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karni\Downloads\"/>
    </mc:Choice>
  </mc:AlternateContent>
  <xr:revisionPtr revIDLastSave="0" documentId="8_{18E1AE8E-A9D1-4433-B99D-49E9E6DE1933}" xr6:coauthVersionLast="47" xr6:coauthVersionMax="47" xr10:uidLastSave="{00000000-0000-0000-0000-000000000000}"/>
  <bookViews>
    <workbookView xWindow="-28898" yWindow="-10493" windowWidth="28996" windowHeight="15675" xr2:uid="{00000000-000D-0000-FFFF-FFFF00000000}"/>
  </bookViews>
  <sheets>
    <sheet name="M CAP DATA" sheetId="2" r:id="rId1"/>
    <sheet name="(W1)Exp 0501" sheetId="3" r:id="rId2"/>
    <sheet name="% Week" sheetId="4" r:id="rId3"/>
    <sheet name="AMFI DATA_2023H1" sheetId="5" r:id="rId4"/>
    <sheet name="Ticker name" sheetId="6" r:id="rId5"/>
    <sheet name="AMFI DATA_2023H2" sheetId="7" r:id="rId6"/>
  </sheets>
  <definedNames>
    <definedName name="_xlnm._FilterDatabase" localSheetId="1" hidden="1">'(W1)Exp 0501'!$A$1:$R$1928</definedName>
    <definedName name="_xlnm._FilterDatabase" localSheetId="0" hidden="1">'M CAP DATA'!$A$1:$AB$1928</definedName>
    <definedName name="Company_name" localSheetId="4">'Ticker name'!$A$2:$A$1924</definedName>
  </definedNames>
  <calcPr calcId="191029"/>
</workbook>
</file>

<file path=xl/calcChain.xml><?xml version="1.0" encoding="utf-8"?>
<calcChain xmlns="http://schemas.openxmlformats.org/spreadsheetml/2006/main">
  <c r="J5014" i="7" l="1"/>
  <c r="J5013" i="7"/>
  <c r="J5012" i="7"/>
  <c r="J5011" i="7"/>
  <c r="J5010" i="7"/>
  <c r="J5009" i="7"/>
  <c r="J5008" i="7"/>
  <c r="J5007" i="7"/>
  <c r="J5006" i="7"/>
  <c r="J5005" i="7"/>
  <c r="J5004" i="7"/>
  <c r="J5003" i="7"/>
  <c r="J5002" i="7"/>
  <c r="J5001" i="7"/>
  <c r="J5000" i="7"/>
  <c r="J4999" i="7"/>
  <c r="J4998" i="7"/>
  <c r="J4997" i="7"/>
  <c r="J4996" i="7"/>
  <c r="J4995" i="7"/>
  <c r="J4994" i="7"/>
  <c r="J4993" i="7"/>
  <c r="J4992" i="7"/>
  <c r="J4991" i="7"/>
  <c r="J4990" i="7"/>
  <c r="J4989" i="7"/>
  <c r="J4988" i="7"/>
  <c r="J4987" i="7"/>
  <c r="J4986" i="7"/>
  <c r="J4985" i="7"/>
  <c r="J4984" i="7"/>
  <c r="J4983" i="7"/>
  <c r="J4982" i="7"/>
  <c r="J4981" i="7"/>
  <c r="J4980" i="7"/>
  <c r="J4979" i="7"/>
  <c r="J4978" i="7"/>
  <c r="J4977" i="7"/>
  <c r="J4976" i="7"/>
  <c r="J4975" i="7"/>
  <c r="J4974" i="7"/>
  <c r="J4973" i="7"/>
  <c r="J4972" i="7"/>
  <c r="J4971" i="7"/>
  <c r="J4970" i="7"/>
  <c r="J4969" i="7"/>
  <c r="J4968" i="7"/>
  <c r="J4967" i="7"/>
  <c r="J4966" i="7"/>
  <c r="J4965" i="7"/>
  <c r="J4964" i="7"/>
  <c r="J4963" i="7"/>
  <c r="J4962" i="7"/>
  <c r="J4961" i="7"/>
  <c r="J4960" i="7"/>
  <c r="J4959" i="7"/>
  <c r="J4958" i="7"/>
  <c r="J4957" i="7"/>
  <c r="J4956" i="7"/>
  <c r="J4955" i="7"/>
  <c r="J4954" i="7"/>
  <c r="J4953" i="7"/>
  <c r="J4952" i="7"/>
  <c r="J4951" i="7"/>
  <c r="J4950" i="7"/>
  <c r="J4949" i="7"/>
  <c r="J4948" i="7"/>
  <c r="J4947" i="7"/>
  <c r="J4946" i="7"/>
  <c r="J4945" i="7"/>
  <c r="J4944" i="7"/>
  <c r="J4943" i="7"/>
  <c r="J4942" i="7"/>
  <c r="J4941" i="7"/>
  <c r="J4940" i="7"/>
  <c r="J4939" i="7"/>
  <c r="J4938" i="7"/>
  <c r="J4937" i="7"/>
  <c r="J4936" i="7"/>
  <c r="J4935" i="7"/>
  <c r="J4934" i="7"/>
  <c r="J4933" i="7"/>
  <c r="J4932" i="7"/>
  <c r="J4931" i="7"/>
  <c r="J4930" i="7"/>
  <c r="J4929" i="7"/>
  <c r="J4928" i="7"/>
  <c r="J4927" i="7"/>
  <c r="J4926" i="7"/>
  <c r="J4925" i="7"/>
  <c r="J4924" i="7"/>
  <c r="J4923" i="7"/>
  <c r="J4922" i="7"/>
  <c r="J4921" i="7"/>
  <c r="J4920" i="7"/>
  <c r="J4919" i="7"/>
  <c r="J4918" i="7"/>
  <c r="J4917" i="7"/>
  <c r="J4916" i="7"/>
  <c r="J4915" i="7"/>
  <c r="J4914" i="7"/>
  <c r="J4913" i="7"/>
  <c r="J4912" i="7"/>
  <c r="J4911" i="7"/>
  <c r="J4910" i="7"/>
  <c r="J4909" i="7"/>
  <c r="J4908" i="7"/>
  <c r="J4907" i="7"/>
  <c r="J4906" i="7"/>
  <c r="J4905" i="7"/>
  <c r="J4904" i="7"/>
  <c r="J4903" i="7"/>
  <c r="J4902" i="7"/>
  <c r="J4901" i="7"/>
  <c r="J4900" i="7"/>
  <c r="J4899" i="7"/>
  <c r="J4898" i="7"/>
  <c r="J4897" i="7"/>
  <c r="J4896" i="7"/>
  <c r="J4895" i="7"/>
  <c r="J4894" i="7"/>
  <c r="J4893" i="7"/>
  <c r="J4892" i="7"/>
  <c r="J4891" i="7"/>
  <c r="J4890" i="7"/>
  <c r="J4889" i="7"/>
  <c r="J4888" i="7"/>
  <c r="J4887" i="7"/>
  <c r="J4886" i="7"/>
  <c r="J4885" i="7"/>
  <c r="J4884" i="7"/>
  <c r="J4883" i="7"/>
  <c r="J4882" i="7"/>
  <c r="J4881" i="7"/>
  <c r="J4880" i="7"/>
  <c r="J4879" i="7"/>
  <c r="J4878" i="7"/>
  <c r="J4877" i="7"/>
  <c r="J4876" i="7"/>
  <c r="J4875" i="7"/>
  <c r="J4874" i="7"/>
  <c r="J4873" i="7"/>
  <c r="J4872" i="7"/>
  <c r="J4871" i="7"/>
  <c r="J4870" i="7"/>
  <c r="J4869" i="7"/>
  <c r="J4868" i="7"/>
  <c r="J4867" i="7"/>
  <c r="J4866" i="7"/>
  <c r="J4865" i="7"/>
  <c r="J4864" i="7"/>
  <c r="J4863" i="7"/>
  <c r="J4862" i="7"/>
  <c r="J4861" i="7"/>
  <c r="J4860" i="7"/>
  <c r="J4859" i="7"/>
  <c r="J4858" i="7"/>
  <c r="J4857" i="7"/>
  <c r="J4856" i="7"/>
  <c r="J4855" i="7"/>
  <c r="J4854" i="7"/>
  <c r="J4853" i="7"/>
  <c r="J4852" i="7"/>
  <c r="J4851" i="7"/>
  <c r="J4850" i="7"/>
  <c r="J4849" i="7"/>
  <c r="J4848" i="7"/>
  <c r="J4847" i="7"/>
  <c r="J4846" i="7"/>
  <c r="J4845" i="7"/>
  <c r="J4844" i="7"/>
  <c r="J4843" i="7"/>
  <c r="J4842" i="7"/>
  <c r="J4841" i="7"/>
  <c r="J4840" i="7"/>
  <c r="J4839" i="7"/>
  <c r="J4838" i="7"/>
  <c r="J4837" i="7"/>
  <c r="J4836" i="7"/>
  <c r="J4835" i="7"/>
  <c r="J4834" i="7"/>
  <c r="J4833" i="7"/>
  <c r="J4832" i="7"/>
  <c r="J4831" i="7"/>
  <c r="J4830" i="7"/>
  <c r="J4829" i="7"/>
  <c r="J4828" i="7"/>
  <c r="J4827" i="7"/>
  <c r="J4826" i="7"/>
  <c r="J4825" i="7"/>
  <c r="J4824" i="7"/>
  <c r="J4823" i="7"/>
  <c r="J4822" i="7"/>
  <c r="J4821" i="7"/>
  <c r="J4820" i="7"/>
  <c r="J4819" i="7"/>
  <c r="J4818" i="7"/>
  <c r="J4817" i="7"/>
  <c r="J4816" i="7"/>
  <c r="J4815" i="7"/>
  <c r="J4814" i="7"/>
  <c r="J4813" i="7"/>
  <c r="J4812" i="7"/>
  <c r="J4811" i="7"/>
  <c r="J4810" i="7"/>
  <c r="J4809" i="7"/>
  <c r="J4808" i="7"/>
  <c r="J4807" i="7"/>
  <c r="J4806" i="7"/>
  <c r="J4805" i="7"/>
  <c r="J4804" i="7"/>
  <c r="J4803" i="7"/>
  <c r="J4802" i="7"/>
  <c r="J4801" i="7"/>
  <c r="J4800" i="7"/>
  <c r="J4799" i="7"/>
  <c r="J4798" i="7"/>
  <c r="J4797" i="7"/>
  <c r="J4796" i="7"/>
  <c r="J4795" i="7"/>
  <c r="J4794" i="7"/>
  <c r="J4793" i="7"/>
  <c r="J4792" i="7"/>
  <c r="J4791" i="7"/>
  <c r="J4790" i="7"/>
  <c r="J4789" i="7"/>
  <c r="J4788" i="7"/>
  <c r="J4787" i="7"/>
  <c r="J4786" i="7"/>
  <c r="J4785" i="7"/>
  <c r="J4784" i="7"/>
  <c r="J4783" i="7"/>
  <c r="J4782" i="7"/>
  <c r="J4781" i="7"/>
  <c r="J4780" i="7"/>
  <c r="J4779" i="7"/>
  <c r="J4778" i="7"/>
  <c r="J4777" i="7"/>
  <c r="J4776" i="7"/>
  <c r="J4775" i="7"/>
  <c r="J4774" i="7"/>
  <c r="J4773" i="7"/>
  <c r="J4772" i="7"/>
  <c r="J4771" i="7"/>
  <c r="J4770" i="7"/>
  <c r="J4769" i="7"/>
  <c r="J4768" i="7"/>
  <c r="J4767" i="7"/>
  <c r="J4766" i="7"/>
  <c r="J4765" i="7"/>
  <c r="J4764" i="7"/>
  <c r="J4763" i="7"/>
  <c r="J4762" i="7"/>
  <c r="J4761" i="7"/>
  <c r="J4760" i="7"/>
  <c r="J4759" i="7"/>
  <c r="J4758" i="7"/>
  <c r="J4757" i="7"/>
  <c r="J4756" i="7"/>
  <c r="J4755" i="7"/>
  <c r="J4754" i="7"/>
  <c r="J4753" i="7"/>
  <c r="J4752" i="7"/>
  <c r="J4751" i="7"/>
  <c r="J4750" i="7"/>
  <c r="J4749" i="7"/>
  <c r="J4748" i="7"/>
  <c r="J4747" i="7"/>
  <c r="J4746" i="7"/>
  <c r="J4745" i="7"/>
  <c r="J4744" i="7"/>
  <c r="J4743" i="7"/>
  <c r="J4742" i="7"/>
  <c r="J4741" i="7"/>
  <c r="J4740" i="7"/>
  <c r="J4739" i="7"/>
  <c r="J4738" i="7"/>
  <c r="J4737" i="7"/>
  <c r="J4736" i="7"/>
  <c r="J4735" i="7"/>
  <c r="J4734" i="7"/>
  <c r="J4733" i="7"/>
  <c r="J4732" i="7"/>
  <c r="J4731" i="7"/>
  <c r="J4730" i="7"/>
  <c r="J4729" i="7"/>
  <c r="J4728" i="7"/>
  <c r="J4727" i="7"/>
  <c r="J4726" i="7"/>
  <c r="J4725" i="7"/>
  <c r="J4724" i="7"/>
  <c r="J4723" i="7"/>
  <c r="J4722" i="7"/>
  <c r="J4721" i="7"/>
  <c r="J4720" i="7"/>
  <c r="J4719" i="7"/>
  <c r="J4718" i="7"/>
  <c r="J4717" i="7"/>
  <c r="J4716" i="7"/>
  <c r="J4715" i="7"/>
  <c r="J4714" i="7"/>
  <c r="J4713" i="7"/>
  <c r="J4712" i="7"/>
  <c r="J4711" i="7"/>
  <c r="J4710" i="7"/>
  <c r="J4709" i="7"/>
  <c r="J4708" i="7"/>
  <c r="J4707" i="7"/>
  <c r="J4706" i="7"/>
  <c r="J4705" i="7"/>
  <c r="J4704" i="7"/>
  <c r="J4703" i="7"/>
  <c r="J4702" i="7"/>
  <c r="J4701" i="7"/>
  <c r="J4700" i="7"/>
  <c r="J4699" i="7"/>
  <c r="J4698" i="7"/>
  <c r="J4697" i="7"/>
  <c r="J4696" i="7"/>
  <c r="J4695" i="7"/>
  <c r="J4694" i="7"/>
  <c r="J4693" i="7"/>
  <c r="J4692" i="7"/>
  <c r="J4691" i="7"/>
  <c r="J4690" i="7"/>
  <c r="J4689" i="7"/>
  <c r="J4688" i="7"/>
  <c r="J4687" i="7"/>
  <c r="J4686" i="7"/>
  <c r="J4685" i="7"/>
  <c r="J4684" i="7"/>
  <c r="J4683" i="7"/>
  <c r="J4682" i="7"/>
  <c r="J4681" i="7"/>
  <c r="J4680" i="7"/>
  <c r="J4679" i="7"/>
  <c r="J4678" i="7"/>
  <c r="J4677" i="7"/>
  <c r="J4676" i="7"/>
  <c r="J4675" i="7"/>
  <c r="J4674" i="7"/>
  <c r="J4673" i="7"/>
  <c r="J4672" i="7"/>
  <c r="J4671" i="7"/>
  <c r="J4670" i="7"/>
  <c r="J4669" i="7"/>
  <c r="J4668" i="7"/>
  <c r="J4667" i="7"/>
  <c r="J4666" i="7"/>
  <c r="J4665" i="7"/>
  <c r="J4664" i="7"/>
  <c r="J4663" i="7"/>
  <c r="J4662" i="7"/>
  <c r="J4661" i="7"/>
  <c r="J4660" i="7"/>
  <c r="J4659" i="7"/>
  <c r="J4658" i="7"/>
  <c r="J4657" i="7"/>
  <c r="J4656" i="7"/>
  <c r="J4655" i="7"/>
  <c r="J4654" i="7"/>
  <c r="J4653" i="7"/>
  <c r="J4652" i="7"/>
  <c r="J4651" i="7"/>
  <c r="J4650" i="7"/>
  <c r="J4649" i="7"/>
  <c r="J4648" i="7"/>
  <c r="J4647" i="7"/>
  <c r="J4646" i="7"/>
  <c r="J4645" i="7"/>
  <c r="J4644" i="7"/>
  <c r="J4643" i="7"/>
  <c r="J4642" i="7"/>
  <c r="J4641" i="7"/>
  <c r="J4640" i="7"/>
  <c r="J4639" i="7"/>
  <c r="J4638" i="7"/>
  <c r="J4637" i="7"/>
  <c r="J4636" i="7"/>
  <c r="J4635" i="7"/>
  <c r="J4634" i="7"/>
  <c r="J4633" i="7"/>
  <c r="J4632" i="7"/>
  <c r="J4631" i="7"/>
  <c r="J4630" i="7"/>
  <c r="J4629" i="7"/>
  <c r="J4628" i="7"/>
  <c r="J4627" i="7"/>
  <c r="J4626" i="7"/>
  <c r="J4625" i="7"/>
  <c r="J4624" i="7"/>
  <c r="J4623" i="7"/>
  <c r="J4622" i="7"/>
  <c r="J4621" i="7"/>
  <c r="J4620" i="7"/>
  <c r="J4619" i="7"/>
  <c r="J4618" i="7"/>
  <c r="J4617" i="7"/>
  <c r="J4616" i="7"/>
  <c r="J4615" i="7"/>
  <c r="J4614" i="7"/>
  <c r="J4613" i="7"/>
  <c r="J4612" i="7"/>
  <c r="J4611" i="7"/>
  <c r="J4610" i="7"/>
  <c r="J4609" i="7"/>
  <c r="J4608" i="7"/>
  <c r="J4607" i="7"/>
  <c r="J4606" i="7"/>
  <c r="J4605" i="7"/>
  <c r="J4604" i="7"/>
  <c r="J4603" i="7"/>
  <c r="J4602" i="7"/>
  <c r="J4601" i="7"/>
  <c r="J4600" i="7"/>
  <c r="J4599" i="7"/>
  <c r="J4598" i="7"/>
  <c r="J4597" i="7"/>
  <c r="J4596" i="7"/>
  <c r="J4595" i="7"/>
  <c r="J4594" i="7"/>
  <c r="J4593" i="7"/>
  <c r="J4592" i="7"/>
  <c r="J4591" i="7"/>
  <c r="J4590" i="7"/>
  <c r="J4589" i="7"/>
  <c r="J4588" i="7"/>
  <c r="J4587" i="7"/>
  <c r="J4586" i="7"/>
  <c r="J4585" i="7"/>
  <c r="J4584" i="7"/>
  <c r="J4583" i="7"/>
  <c r="J4582" i="7"/>
  <c r="J4581" i="7"/>
  <c r="J4580" i="7"/>
  <c r="J4579" i="7"/>
  <c r="J4578" i="7"/>
  <c r="J4577" i="7"/>
  <c r="J4576" i="7"/>
  <c r="J4575" i="7"/>
  <c r="J4574" i="7"/>
  <c r="J4573" i="7"/>
  <c r="J4572" i="7"/>
  <c r="J4571" i="7"/>
  <c r="J4570" i="7"/>
  <c r="J4569" i="7"/>
  <c r="J4568" i="7"/>
  <c r="J4567" i="7"/>
  <c r="J4566" i="7"/>
  <c r="J4565" i="7"/>
  <c r="J4564" i="7"/>
  <c r="J4563" i="7"/>
  <c r="J4562" i="7"/>
  <c r="J4561" i="7"/>
  <c r="J4560" i="7"/>
  <c r="J4559" i="7"/>
  <c r="J4558" i="7"/>
  <c r="J4557" i="7"/>
  <c r="J4556" i="7"/>
  <c r="J4555" i="7"/>
  <c r="J4554" i="7"/>
  <c r="J4553" i="7"/>
  <c r="J4552" i="7"/>
  <c r="J4551" i="7"/>
  <c r="J4550" i="7"/>
  <c r="J4549" i="7"/>
  <c r="J4548" i="7"/>
  <c r="J4547" i="7"/>
  <c r="J4546" i="7"/>
  <c r="J4545" i="7"/>
  <c r="J4544" i="7"/>
  <c r="J4543" i="7"/>
  <c r="J4542" i="7"/>
  <c r="J4541" i="7"/>
  <c r="J4540" i="7"/>
  <c r="J4539" i="7"/>
  <c r="J4538" i="7"/>
  <c r="J4537" i="7"/>
  <c r="J4536" i="7"/>
  <c r="J4535" i="7"/>
  <c r="J4534" i="7"/>
  <c r="J4533" i="7"/>
  <c r="J4532" i="7"/>
  <c r="J4531" i="7"/>
  <c r="J4530" i="7"/>
  <c r="J4529" i="7"/>
  <c r="J4528" i="7"/>
  <c r="J4527" i="7"/>
  <c r="J4526" i="7"/>
  <c r="J4525" i="7"/>
  <c r="J4524" i="7"/>
  <c r="J4523" i="7"/>
  <c r="J4522" i="7"/>
  <c r="J4521" i="7"/>
  <c r="J4520" i="7"/>
  <c r="J4519" i="7"/>
  <c r="J4518" i="7"/>
  <c r="J4517" i="7"/>
  <c r="J4516" i="7"/>
  <c r="J4515" i="7"/>
  <c r="J4514" i="7"/>
  <c r="J4513" i="7"/>
  <c r="J4512" i="7"/>
  <c r="J4511" i="7"/>
  <c r="J4510" i="7"/>
  <c r="J4509" i="7"/>
  <c r="J4508" i="7"/>
  <c r="J4507" i="7"/>
  <c r="J4506" i="7"/>
  <c r="J4505" i="7"/>
  <c r="J4504" i="7"/>
  <c r="J4503" i="7"/>
  <c r="J4502" i="7"/>
  <c r="J4501" i="7"/>
  <c r="J4500" i="7"/>
  <c r="J4499" i="7"/>
  <c r="J4498" i="7"/>
  <c r="J4497" i="7"/>
  <c r="J4496" i="7"/>
  <c r="J4495" i="7"/>
  <c r="J4494" i="7"/>
  <c r="J4493" i="7"/>
  <c r="J4492" i="7"/>
  <c r="J4491" i="7"/>
  <c r="J4490" i="7"/>
  <c r="J4489" i="7"/>
  <c r="J4488" i="7"/>
  <c r="J4487" i="7"/>
  <c r="J4486" i="7"/>
  <c r="J4485" i="7"/>
  <c r="J4484" i="7"/>
  <c r="J4483" i="7"/>
  <c r="J4482" i="7"/>
  <c r="J4481" i="7"/>
  <c r="J4480" i="7"/>
  <c r="J4479" i="7"/>
  <c r="J4478" i="7"/>
  <c r="J4477" i="7"/>
  <c r="J4476" i="7"/>
  <c r="J4475" i="7"/>
  <c r="J4474" i="7"/>
  <c r="J4473" i="7"/>
  <c r="J4472" i="7"/>
  <c r="J4471" i="7"/>
  <c r="J4470" i="7"/>
  <c r="J4469" i="7"/>
  <c r="J4468" i="7"/>
  <c r="J4467" i="7"/>
  <c r="J4466" i="7"/>
  <c r="J4465" i="7"/>
  <c r="J4464" i="7"/>
  <c r="J4463" i="7"/>
  <c r="J4462" i="7"/>
  <c r="J4461" i="7"/>
  <c r="J4460" i="7"/>
  <c r="J4459" i="7"/>
  <c r="J4458" i="7"/>
  <c r="J4457" i="7"/>
  <c r="J4456" i="7"/>
  <c r="J4455" i="7"/>
  <c r="J4454" i="7"/>
  <c r="J4453" i="7"/>
  <c r="J4452" i="7"/>
  <c r="J4451" i="7"/>
  <c r="J4450" i="7"/>
  <c r="J4449" i="7"/>
  <c r="J4448" i="7"/>
  <c r="J4447" i="7"/>
  <c r="J4446" i="7"/>
  <c r="J4445" i="7"/>
  <c r="J4444" i="7"/>
  <c r="J4443" i="7"/>
  <c r="J4442" i="7"/>
  <c r="J4441" i="7"/>
  <c r="J4440" i="7"/>
  <c r="J4439" i="7"/>
  <c r="J4438" i="7"/>
  <c r="J4437" i="7"/>
  <c r="J4436" i="7"/>
  <c r="J4435" i="7"/>
  <c r="J4434" i="7"/>
  <c r="J4433" i="7"/>
  <c r="J4432" i="7"/>
  <c r="J4431" i="7"/>
  <c r="J4430" i="7"/>
  <c r="J4429" i="7"/>
  <c r="J4428" i="7"/>
  <c r="J4427" i="7"/>
  <c r="J4426" i="7"/>
  <c r="J4425" i="7"/>
  <c r="J4424" i="7"/>
  <c r="J4423" i="7"/>
  <c r="J4422" i="7"/>
  <c r="J4421" i="7"/>
  <c r="J4420" i="7"/>
  <c r="J4419" i="7"/>
  <c r="J4418" i="7"/>
  <c r="J4417" i="7"/>
  <c r="J4416" i="7"/>
  <c r="J4415" i="7"/>
  <c r="J4414" i="7"/>
  <c r="J4413" i="7"/>
  <c r="J4412" i="7"/>
  <c r="J4411" i="7"/>
  <c r="J4410" i="7"/>
  <c r="J4409" i="7"/>
  <c r="J4408" i="7"/>
  <c r="J4407" i="7"/>
  <c r="J4406" i="7"/>
  <c r="J4405" i="7"/>
  <c r="J4404" i="7"/>
  <c r="J4403" i="7"/>
  <c r="J4402" i="7"/>
  <c r="J4401" i="7"/>
  <c r="J4400" i="7"/>
  <c r="J4399" i="7"/>
  <c r="J4398" i="7"/>
  <c r="J4397" i="7"/>
  <c r="J4396" i="7"/>
  <c r="J4395" i="7"/>
  <c r="J4394" i="7"/>
  <c r="J4393" i="7"/>
  <c r="J4392" i="7"/>
  <c r="J4391" i="7"/>
  <c r="J4390" i="7"/>
  <c r="J4389" i="7"/>
  <c r="J4388" i="7"/>
  <c r="J4387" i="7"/>
  <c r="J4386" i="7"/>
  <c r="J4385" i="7"/>
  <c r="J4384" i="7"/>
  <c r="J4383" i="7"/>
  <c r="J4382" i="7"/>
  <c r="J4381" i="7"/>
  <c r="J4380" i="7"/>
  <c r="J4379" i="7"/>
  <c r="J4378" i="7"/>
  <c r="J4377" i="7"/>
  <c r="J4376" i="7"/>
  <c r="J4375" i="7"/>
  <c r="J4374" i="7"/>
  <c r="J4373" i="7"/>
  <c r="J4372" i="7"/>
  <c r="J4371" i="7"/>
  <c r="J4370" i="7"/>
  <c r="J4369" i="7"/>
  <c r="J4368" i="7"/>
  <c r="J4367" i="7"/>
  <c r="J4366" i="7"/>
  <c r="J4365" i="7"/>
  <c r="J4364" i="7"/>
  <c r="J4363" i="7"/>
  <c r="J4362" i="7"/>
  <c r="J4361" i="7"/>
  <c r="J4360" i="7"/>
  <c r="J4359" i="7"/>
  <c r="J4358" i="7"/>
  <c r="J4357" i="7"/>
  <c r="J4356" i="7"/>
  <c r="J4355" i="7"/>
  <c r="J4354" i="7"/>
  <c r="J4353" i="7"/>
  <c r="J4352" i="7"/>
  <c r="J4351" i="7"/>
  <c r="J4350" i="7"/>
  <c r="J4349" i="7"/>
  <c r="J4348" i="7"/>
  <c r="J4347" i="7"/>
  <c r="J4346" i="7"/>
  <c r="J4345" i="7"/>
  <c r="J4344" i="7"/>
  <c r="J4343" i="7"/>
  <c r="J4342" i="7"/>
  <c r="J4341" i="7"/>
  <c r="J4340" i="7"/>
  <c r="J4339" i="7"/>
  <c r="J4338" i="7"/>
  <c r="J4337" i="7"/>
  <c r="J4336" i="7"/>
  <c r="J4335" i="7"/>
  <c r="J4334" i="7"/>
  <c r="J4333" i="7"/>
  <c r="J4332" i="7"/>
  <c r="J4331" i="7"/>
  <c r="J4330" i="7"/>
  <c r="J4329" i="7"/>
  <c r="J4328" i="7"/>
  <c r="J4327" i="7"/>
  <c r="J4326" i="7"/>
  <c r="J4325" i="7"/>
  <c r="J4324" i="7"/>
  <c r="J4323" i="7"/>
  <c r="J4322" i="7"/>
  <c r="J4321" i="7"/>
  <c r="J4320" i="7"/>
  <c r="J4319" i="7"/>
  <c r="J4318" i="7"/>
  <c r="J4317" i="7"/>
  <c r="J4316" i="7"/>
  <c r="J4315" i="7"/>
  <c r="J4314" i="7"/>
  <c r="J4313" i="7"/>
  <c r="J4312" i="7"/>
  <c r="J4311" i="7"/>
  <c r="J4310" i="7"/>
  <c r="J4309" i="7"/>
  <c r="J4308" i="7"/>
  <c r="J4307" i="7"/>
  <c r="J4306" i="7"/>
  <c r="J4305" i="7"/>
  <c r="J4304" i="7"/>
  <c r="J4303" i="7"/>
  <c r="J4302" i="7"/>
  <c r="J4301" i="7"/>
  <c r="J4300" i="7"/>
  <c r="J4299" i="7"/>
  <c r="J4298" i="7"/>
  <c r="J4297" i="7"/>
  <c r="J4296" i="7"/>
  <c r="J4295" i="7"/>
  <c r="J4294" i="7"/>
  <c r="J4293" i="7"/>
  <c r="J4292" i="7"/>
  <c r="J4291" i="7"/>
  <c r="J4290" i="7"/>
  <c r="J4289" i="7"/>
  <c r="J4288" i="7"/>
  <c r="J4287" i="7"/>
  <c r="J4286" i="7"/>
  <c r="J4285" i="7"/>
  <c r="J4284" i="7"/>
  <c r="J4283" i="7"/>
  <c r="J4282" i="7"/>
  <c r="J4281" i="7"/>
  <c r="J4280" i="7"/>
  <c r="J4279" i="7"/>
  <c r="J4278" i="7"/>
  <c r="J4277" i="7"/>
  <c r="J4276" i="7"/>
  <c r="J4275" i="7"/>
  <c r="J4274" i="7"/>
  <c r="J4273" i="7"/>
  <c r="J4272" i="7"/>
  <c r="J4271" i="7"/>
  <c r="J4270" i="7"/>
  <c r="J4269" i="7"/>
  <c r="J4268" i="7"/>
  <c r="J4267" i="7"/>
  <c r="J4266" i="7"/>
  <c r="J4265" i="7"/>
  <c r="J4264" i="7"/>
  <c r="J4263" i="7"/>
  <c r="J4262" i="7"/>
  <c r="J4261" i="7"/>
  <c r="J4260" i="7"/>
  <c r="J4259" i="7"/>
  <c r="J4258" i="7"/>
  <c r="J4257" i="7"/>
  <c r="J4256" i="7"/>
  <c r="J4255" i="7"/>
  <c r="J4254" i="7"/>
  <c r="J4253" i="7"/>
  <c r="J4252" i="7"/>
  <c r="J4251" i="7"/>
  <c r="J4250" i="7"/>
  <c r="J4249" i="7"/>
  <c r="J4248" i="7"/>
  <c r="J4247" i="7"/>
  <c r="J4246" i="7"/>
  <c r="J4245" i="7"/>
  <c r="J4244" i="7"/>
  <c r="J4243" i="7"/>
  <c r="J4242" i="7"/>
  <c r="J4241" i="7"/>
  <c r="J4240" i="7"/>
  <c r="J4239" i="7"/>
  <c r="J4238" i="7"/>
  <c r="J4237" i="7"/>
  <c r="J4236" i="7"/>
  <c r="J4235" i="7"/>
  <c r="J4234" i="7"/>
  <c r="J4233" i="7"/>
  <c r="J4232" i="7"/>
  <c r="J4231" i="7"/>
  <c r="J4230" i="7"/>
  <c r="J4229" i="7"/>
  <c r="J4228" i="7"/>
  <c r="J4227" i="7"/>
  <c r="J4226" i="7"/>
  <c r="J4225" i="7"/>
  <c r="J4224" i="7"/>
  <c r="J4223" i="7"/>
  <c r="J4222" i="7"/>
  <c r="J4221" i="7"/>
  <c r="J4220" i="7"/>
  <c r="J4219" i="7"/>
  <c r="J4218" i="7"/>
  <c r="J4217" i="7"/>
  <c r="J4216" i="7"/>
  <c r="J4215" i="7"/>
  <c r="J4214" i="7"/>
  <c r="J4213" i="7"/>
  <c r="J4212" i="7"/>
  <c r="J4211" i="7"/>
  <c r="J4210" i="7"/>
  <c r="J4209" i="7"/>
  <c r="J4208" i="7"/>
  <c r="J4207" i="7"/>
  <c r="J4206" i="7"/>
  <c r="J4205" i="7"/>
  <c r="J4204" i="7"/>
  <c r="J4203" i="7"/>
  <c r="J4202" i="7"/>
  <c r="J4201" i="7"/>
  <c r="J4200" i="7"/>
  <c r="J4199" i="7"/>
  <c r="J4198" i="7"/>
  <c r="J4197" i="7"/>
  <c r="J4196" i="7"/>
  <c r="J4195" i="7"/>
  <c r="J4194" i="7"/>
  <c r="J4193" i="7"/>
  <c r="J4192" i="7"/>
  <c r="J4191" i="7"/>
  <c r="J4190" i="7"/>
  <c r="J4189" i="7"/>
  <c r="J4188" i="7"/>
  <c r="J4187" i="7"/>
  <c r="J4186" i="7"/>
  <c r="J4185" i="7"/>
  <c r="J4184" i="7"/>
  <c r="J4183" i="7"/>
  <c r="J4182" i="7"/>
  <c r="J4181" i="7"/>
  <c r="J4180" i="7"/>
  <c r="J4179" i="7"/>
  <c r="J4178" i="7"/>
  <c r="J4177" i="7"/>
  <c r="J4176" i="7"/>
  <c r="J4175" i="7"/>
  <c r="J4174" i="7"/>
  <c r="J4173" i="7"/>
  <c r="J4172" i="7"/>
  <c r="J4171" i="7"/>
  <c r="J4170" i="7"/>
  <c r="J4169" i="7"/>
  <c r="J4168" i="7"/>
  <c r="J4167" i="7"/>
  <c r="J4166" i="7"/>
  <c r="J4165" i="7"/>
  <c r="J4164" i="7"/>
  <c r="J4163" i="7"/>
  <c r="J4162" i="7"/>
  <c r="J4161" i="7"/>
  <c r="J4160" i="7"/>
  <c r="J4159" i="7"/>
  <c r="J4158" i="7"/>
  <c r="J4157" i="7"/>
  <c r="J4156" i="7"/>
  <c r="J4155" i="7"/>
  <c r="J4154" i="7"/>
  <c r="J4153" i="7"/>
  <c r="J4152" i="7"/>
  <c r="J4151" i="7"/>
  <c r="J4150" i="7"/>
  <c r="J4149" i="7"/>
  <c r="J4148" i="7"/>
  <c r="J4147" i="7"/>
  <c r="J4146" i="7"/>
  <c r="J4145" i="7"/>
  <c r="J4144" i="7"/>
  <c r="J4143" i="7"/>
  <c r="J4142" i="7"/>
  <c r="J4141" i="7"/>
  <c r="J4140" i="7"/>
  <c r="J4139" i="7"/>
  <c r="J4138" i="7"/>
  <c r="J4137" i="7"/>
  <c r="J4136" i="7"/>
  <c r="J4135" i="7"/>
  <c r="J4134" i="7"/>
  <c r="J4133" i="7"/>
  <c r="J4132" i="7"/>
  <c r="J4131" i="7"/>
  <c r="J4130" i="7"/>
  <c r="J4129" i="7"/>
  <c r="J4128" i="7"/>
  <c r="J4127" i="7"/>
  <c r="J4126" i="7"/>
  <c r="J4125" i="7"/>
  <c r="J4124" i="7"/>
  <c r="J4123" i="7"/>
  <c r="J4122" i="7"/>
  <c r="J4121" i="7"/>
  <c r="J4120" i="7"/>
  <c r="J4119" i="7"/>
  <c r="J4118" i="7"/>
  <c r="J4117" i="7"/>
  <c r="J4116" i="7"/>
  <c r="J4115" i="7"/>
  <c r="J4114" i="7"/>
  <c r="J4113" i="7"/>
  <c r="J4112" i="7"/>
  <c r="J4111" i="7"/>
  <c r="J4110" i="7"/>
  <c r="J4109" i="7"/>
  <c r="J4108" i="7"/>
  <c r="J4107" i="7"/>
  <c r="J4106" i="7"/>
  <c r="J4105" i="7"/>
  <c r="J4104" i="7"/>
  <c r="J4103" i="7"/>
  <c r="J4102" i="7"/>
  <c r="J4101" i="7"/>
  <c r="J4100" i="7"/>
  <c r="J4099" i="7"/>
  <c r="J4098" i="7"/>
  <c r="J4097" i="7"/>
  <c r="J4096" i="7"/>
  <c r="J4095" i="7"/>
  <c r="J4094" i="7"/>
  <c r="J4093" i="7"/>
  <c r="J4092" i="7"/>
  <c r="J4091" i="7"/>
  <c r="J4090" i="7"/>
  <c r="J4089" i="7"/>
  <c r="J4088" i="7"/>
  <c r="J4087" i="7"/>
  <c r="J4086" i="7"/>
  <c r="J4085" i="7"/>
  <c r="J4084" i="7"/>
  <c r="J4083" i="7"/>
  <c r="J4082" i="7"/>
  <c r="J4081" i="7"/>
  <c r="J4080" i="7"/>
  <c r="J4079" i="7"/>
  <c r="J4078" i="7"/>
  <c r="J4077" i="7"/>
  <c r="J4076" i="7"/>
  <c r="J4075" i="7"/>
  <c r="J4074" i="7"/>
  <c r="J4073" i="7"/>
  <c r="J4072" i="7"/>
  <c r="J4071" i="7"/>
  <c r="J4070" i="7"/>
  <c r="J4069" i="7"/>
  <c r="J4068" i="7"/>
  <c r="J4067" i="7"/>
  <c r="J4066" i="7"/>
  <c r="J4065" i="7"/>
  <c r="J4064" i="7"/>
  <c r="J4063" i="7"/>
  <c r="J4062" i="7"/>
  <c r="J4061" i="7"/>
  <c r="J4060" i="7"/>
  <c r="J4059" i="7"/>
  <c r="J4058" i="7"/>
  <c r="J4057" i="7"/>
  <c r="J4056" i="7"/>
  <c r="J4055" i="7"/>
  <c r="J4054" i="7"/>
  <c r="J4053" i="7"/>
  <c r="J4052" i="7"/>
  <c r="J4051" i="7"/>
  <c r="J4050" i="7"/>
  <c r="J4049" i="7"/>
  <c r="J4048" i="7"/>
  <c r="J4047" i="7"/>
  <c r="J4046" i="7"/>
  <c r="J4045" i="7"/>
  <c r="J4044" i="7"/>
  <c r="J4043" i="7"/>
  <c r="J4042" i="7"/>
  <c r="J4041" i="7"/>
  <c r="J4040" i="7"/>
  <c r="J4039" i="7"/>
  <c r="J4038" i="7"/>
  <c r="J4037" i="7"/>
  <c r="J4036" i="7"/>
  <c r="J4035" i="7"/>
  <c r="J4034" i="7"/>
  <c r="J4033" i="7"/>
  <c r="J4032" i="7"/>
  <c r="J4031" i="7"/>
  <c r="J4030" i="7"/>
  <c r="J4029" i="7"/>
  <c r="J4028" i="7"/>
  <c r="J4027" i="7"/>
  <c r="J4026" i="7"/>
  <c r="J4025" i="7"/>
  <c r="J4024" i="7"/>
  <c r="J4023" i="7"/>
  <c r="J4022" i="7"/>
  <c r="J4021" i="7"/>
  <c r="J4020" i="7"/>
  <c r="J4019" i="7"/>
  <c r="J4018" i="7"/>
  <c r="J4017" i="7"/>
  <c r="J4016" i="7"/>
  <c r="J4015" i="7"/>
  <c r="J4014" i="7"/>
  <c r="J4013" i="7"/>
  <c r="J4012" i="7"/>
  <c r="J4011" i="7"/>
  <c r="J4010" i="7"/>
  <c r="J4009" i="7"/>
  <c r="J4008" i="7"/>
  <c r="J4007" i="7"/>
  <c r="J4006" i="7"/>
  <c r="J4005" i="7"/>
  <c r="J4004" i="7"/>
  <c r="J4003" i="7"/>
  <c r="J4002" i="7"/>
  <c r="J4001" i="7"/>
  <c r="J4000" i="7"/>
  <c r="J3999" i="7"/>
  <c r="J3998" i="7"/>
  <c r="J3997" i="7"/>
  <c r="J3996" i="7"/>
  <c r="J3995" i="7"/>
  <c r="J3994" i="7"/>
  <c r="J3993" i="7"/>
  <c r="J3992" i="7"/>
  <c r="J3991" i="7"/>
  <c r="J3990" i="7"/>
  <c r="J3989" i="7"/>
  <c r="J3988" i="7"/>
  <c r="J3987" i="7"/>
  <c r="J3986" i="7"/>
  <c r="J3985" i="7"/>
  <c r="J3984" i="7"/>
  <c r="J3983" i="7"/>
  <c r="J3982" i="7"/>
  <c r="J3981" i="7"/>
  <c r="J3980" i="7"/>
  <c r="J3979" i="7"/>
  <c r="J3978" i="7"/>
  <c r="J3977" i="7"/>
  <c r="J3976" i="7"/>
  <c r="J3975" i="7"/>
  <c r="J3974" i="7"/>
  <c r="J3973" i="7"/>
  <c r="J3972" i="7"/>
  <c r="J3971" i="7"/>
  <c r="J3970" i="7"/>
  <c r="J3969" i="7"/>
  <c r="J3968" i="7"/>
  <c r="J3967" i="7"/>
  <c r="J3966" i="7"/>
  <c r="J3965" i="7"/>
  <c r="J3964" i="7"/>
  <c r="J3963" i="7"/>
  <c r="J3962" i="7"/>
  <c r="J3961" i="7"/>
  <c r="J3960" i="7"/>
  <c r="J3959" i="7"/>
  <c r="J3958" i="7"/>
  <c r="J3957" i="7"/>
  <c r="J3956" i="7"/>
  <c r="J3955" i="7"/>
  <c r="J3954" i="7"/>
  <c r="J3953" i="7"/>
  <c r="J3952" i="7"/>
  <c r="J3951" i="7"/>
  <c r="J3950" i="7"/>
  <c r="J3949" i="7"/>
  <c r="J3948" i="7"/>
  <c r="J3947" i="7"/>
  <c r="J3946" i="7"/>
  <c r="J3945" i="7"/>
  <c r="J3944" i="7"/>
  <c r="J3943" i="7"/>
  <c r="J3942" i="7"/>
  <c r="J3941" i="7"/>
  <c r="J3940" i="7"/>
  <c r="J3939" i="7"/>
  <c r="J3938" i="7"/>
  <c r="J3937" i="7"/>
  <c r="J3936" i="7"/>
  <c r="J3935" i="7"/>
  <c r="J3934" i="7"/>
  <c r="J3933" i="7"/>
  <c r="J3932" i="7"/>
  <c r="J3931" i="7"/>
  <c r="J3930" i="7"/>
  <c r="J3929" i="7"/>
  <c r="J3928" i="7"/>
  <c r="J3927" i="7"/>
  <c r="J3926" i="7"/>
  <c r="J3925" i="7"/>
  <c r="J3924" i="7"/>
  <c r="J3923" i="7"/>
  <c r="J3922" i="7"/>
  <c r="J3921" i="7"/>
  <c r="J3920" i="7"/>
  <c r="J3919" i="7"/>
  <c r="J3918" i="7"/>
  <c r="J3917" i="7"/>
  <c r="J3916" i="7"/>
  <c r="J3915" i="7"/>
  <c r="J3914" i="7"/>
  <c r="J3913" i="7"/>
  <c r="J3912" i="7"/>
  <c r="J3911" i="7"/>
  <c r="J3910" i="7"/>
  <c r="J3909" i="7"/>
  <c r="J3908" i="7"/>
  <c r="J3907" i="7"/>
  <c r="J3906" i="7"/>
  <c r="J3905" i="7"/>
  <c r="J3904" i="7"/>
  <c r="J3903" i="7"/>
  <c r="J3902" i="7"/>
  <c r="J3901" i="7"/>
  <c r="J3900" i="7"/>
  <c r="J3899" i="7"/>
  <c r="J3898" i="7"/>
  <c r="J3897" i="7"/>
  <c r="J3896" i="7"/>
  <c r="J3895" i="7"/>
  <c r="J3894" i="7"/>
  <c r="J3893" i="7"/>
  <c r="J3892" i="7"/>
  <c r="J3891" i="7"/>
  <c r="J3890" i="7"/>
  <c r="J3889" i="7"/>
  <c r="J3888" i="7"/>
  <c r="J3887" i="7"/>
  <c r="J3886" i="7"/>
  <c r="J3885" i="7"/>
  <c r="J3884" i="7"/>
  <c r="J3883" i="7"/>
  <c r="J3882" i="7"/>
  <c r="J3881" i="7"/>
  <c r="J3880" i="7"/>
  <c r="J3879" i="7"/>
  <c r="J3878" i="7"/>
  <c r="J3877" i="7"/>
  <c r="J3876" i="7"/>
  <c r="J3875" i="7"/>
  <c r="J3874" i="7"/>
  <c r="J3873" i="7"/>
  <c r="J3872" i="7"/>
  <c r="J3871" i="7"/>
  <c r="J3870" i="7"/>
  <c r="J3869" i="7"/>
  <c r="J3868" i="7"/>
  <c r="J3867" i="7"/>
  <c r="J3866" i="7"/>
  <c r="J3865" i="7"/>
  <c r="J3864" i="7"/>
  <c r="J3863" i="7"/>
  <c r="J3862" i="7"/>
  <c r="J3861" i="7"/>
  <c r="J3860" i="7"/>
  <c r="J3859" i="7"/>
  <c r="J3858" i="7"/>
  <c r="J3857" i="7"/>
  <c r="J3856" i="7"/>
  <c r="J3855" i="7"/>
  <c r="J3854" i="7"/>
  <c r="J3853" i="7"/>
  <c r="J3852" i="7"/>
  <c r="J3851" i="7"/>
  <c r="J3850" i="7"/>
  <c r="J3849" i="7"/>
  <c r="J3848" i="7"/>
  <c r="J3847" i="7"/>
  <c r="J3846" i="7"/>
  <c r="J3845" i="7"/>
  <c r="J3844" i="7"/>
  <c r="J3843" i="7"/>
  <c r="J3842" i="7"/>
  <c r="J3841" i="7"/>
  <c r="J3840" i="7"/>
  <c r="J3839" i="7"/>
  <c r="J3838" i="7"/>
  <c r="J3837" i="7"/>
  <c r="J3836" i="7"/>
  <c r="J3835" i="7"/>
  <c r="J3834" i="7"/>
  <c r="J3833" i="7"/>
  <c r="J3832" i="7"/>
  <c r="J3831" i="7"/>
  <c r="J3830" i="7"/>
  <c r="J3829" i="7"/>
  <c r="J3828" i="7"/>
  <c r="J3827" i="7"/>
  <c r="J3826" i="7"/>
  <c r="J3825" i="7"/>
  <c r="J3824" i="7"/>
  <c r="J3823" i="7"/>
  <c r="J3822" i="7"/>
  <c r="J3821" i="7"/>
  <c r="J3820" i="7"/>
  <c r="J3819" i="7"/>
  <c r="J3818" i="7"/>
  <c r="J3817" i="7"/>
  <c r="J3816" i="7"/>
  <c r="J3815" i="7"/>
  <c r="J3814" i="7"/>
  <c r="J3813" i="7"/>
  <c r="J3812" i="7"/>
  <c r="J3811" i="7"/>
  <c r="J3810" i="7"/>
  <c r="J3809" i="7"/>
  <c r="J3808" i="7"/>
  <c r="J3807" i="7"/>
  <c r="J3806" i="7"/>
  <c r="J3805" i="7"/>
  <c r="J3804" i="7"/>
  <c r="J3803" i="7"/>
  <c r="J3802" i="7"/>
  <c r="J3801" i="7"/>
  <c r="J3800" i="7"/>
  <c r="J3799" i="7"/>
  <c r="J3798" i="7"/>
  <c r="J3797" i="7"/>
  <c r="J3796" i="7"/>
  <c r="J3795" i="7"/>
  <c r="J3794" i="7"/>
  <c r="J3793" i="7"/>
  <c r="J3792" i="7"/>
  <c r="J3791" i="7"/>
  <c r="J3790" i="7"/>
  <c r="J3789" i="7"/>
  <c r="J3788" i="7"/>
  <c r="J3787" i="7"/>
  <c r="J3786" i="7"/>
  <c r="J3785" i="7"/>
  <c r="J3784" i="7"/>
  <c r="J3783" i="7"/>
  <c r="J3782" i="7"/>
  <c r="J3781" i="7"/>
  <c r="J3780" i="7"/>
  <c r="J3779" i="7"/>
  <c r="J3778" i="7"/>
  <c r="J3777" i="7"/>
  <c r="J3776" i="7"/>
  <c r="J3775" i="7"/>
  <c r="J3774" i="7"/>
  <c r="J3773" i="7"/>
  <c r="J3772" i="7"/>
  <c r="J3771" i="7"/>
  <c r="J3770" i="7"/>
  <c r="J3769" i="7"/>
  <c r="J3768" i="7"/>
  <c r="J3767" i="7"/>
  <c r="J3766" i="7"/>
  <c r="J3765" i="7"/>
  <c r="J3764" i="7"/>
  <c r="J3763" i="7"/>
  <c r="J3762" i="7"/>
  <c r="J3761" i="7"/>
  <c r="J3760" i="7"/>
  <c r="J3759" i="7"/>
  <c r="J3758" i="7"/>
  <c r="J3757" i="7"/>
  <c r="J3756" i="7"/>
  <c r="J3755" i="7"/>
  <c r="J3754" i="7"/>
  <c r="J3753" i="7"/>
  <c r="J3752" i="7"/>
  <c r="J3751" i="7"/>
  <c r="J3750" i="7"/>
  <c r="J3749" i="7"/>
  <c r="J3748" i="7"/>
  <c r="J3747" i="7"/>
  <c r="J3746" i="7"/>
  <c r="J3745" i="7"/>
  <c r="J3744" i="7"/>
  <c r="J3743" i="7"/>
  <c r="J3742" i="7"/>
  <c r="J3741" i="7"/>
  <c r="J3740" i="7"/>
  <c r="J3739" i="7"/>
  <c r="J3738" i="7"/>
  <c r="J3737" i="7"/>
  <c r="J3736" i="7"/>
  <c r="J3735" i="7"/>
  <c r="J3734" i="7"/>
  <c r="J3733" i="7"/>
  <c r="J3732" i="7"/>
  <c r="J3731" i="7"/>
  <c r="J3730" i="7"/>
  <c r="J3729" i="7"/>
  <c r="J3728" i="7"/>
  <c r="J3727" i="7"/>
  <c r="J3726" i="7"/>
  <c r="J3725" i="7"/>
  <c r="J3724" i="7"/>
  <c r="J3723" i="7"/>
  <c r="J3722" i="7"/>
  <c r="J3721" i="7"/>
  <c r="J3720" i="7"/>
  <c r="J3719" i="7"/>
  <c r="J3718" i="7"/>
  <c r="J3717" i="7"/>
  <c r="J3716" i="7"/>
  <c r="J3715" i="7"/>
  <c r="J3714" i="7"/>
  <c r="J3713" i="7"/>
  <c r="J3712" i="7"/>
  <c r="J3711" i="7"/>
  <c r="J3710" i="7"/>
  <c r="J3709" i="7"/>
  <c r="J3708" i="7"/>
  <c r="J3707" i="7"/>
  <c r="J3706" i="7"/>
  <c r="J3705" i="7"/>
  <c r="J3704" i="7"/>
  <c r="J3703" i="7"/>
  <c r="J3702" i="7"/>
  <c r="J3701" i="7"/>
  <c r="J3700" i="7"/>
  <c r="J3699" i="7"/>
  <c r="J3698" i="7"/>
  <c r="J3697" i="7"/>
  <c r="J3696" i="7"/>
  <c r="J3695" i="7"/>
  <c r="J3694" i="7"/>
  <c r="J3693" i="7"/>
  <c r="J3692" i="7"/>
  <c r="J3691" i="7"/>
  <c r="J3690" i="7"/>
  <c r="J3689" i="7"/>
  <c r="J3688" i="7"/>
  <c r="J3687" i="7"/>
  <c r="J3686" i="7"/>
  <c r="J3685" i="7"/>
  <c r="J3684" i="7"/>
  <c r="J3683" i="7"/>
  <c r="J3682" i="7"/>
  <c r="J3681" i="7"/>
  <c r="J3680" i="7"/>
  <c r="J3679" i="7"/>
  <c r="J3678" i="7"/>
  <c r="J3677" i="7"/>
  <c r="J3676" i="7"/>
  <c r="J3675" i="7"/>
  <c r="J3674" i="7"/>
  <c r="J3673" i="7"/>
  <c r="J3672" i="7"/>
  <c r="J3671" i="7"/>
  <c r="J3670" i="7"/>
  <c r="J3669" i="7"/>
  <c r="J3668" i="7"/>
  <c r="J3667" i="7"/>
  <c r="J3666" i="7"/>
  <c r="J3665" i="7"/>
  <c r="J3664" i="7"/>
  <c r="J3663" i="7"/>
  <c r="J3662" i="7"/>
  <c r="J3661" i="7"/>
  <c r="J3660" i="7"/>
  <c r="J3659" i="7"/>
  <c r="J3658" i="7"/>
  <c r="J3657" i="7"/>
  <c r="J3656" i="7"/>
  <c r="J3655" i="7"/>
  <c r="J3654" i="7"/>
  <c r="J3653" i="7"/>
  <c r="J3652" i="7"/>
  <c r="J3651" i="7"/>
  <c r="J3650" i="7"/>
  <c r="J3649" i="7"/>
  <c r="J3648" i="7"/>
  <c r="J3647" i="7"/>
  <c r="J3646" i="7"/>
  <c r="J3645" i="7"/>
  <c r="J3644" i="7"/>
  <c r="J3643" i="7"/>
  <c r="J3642" i="7"/>
  <c r="J3641" i="7"/>
  <c r="J3640" i="7"/>
  <c r="J3639" i="7"/>
  <c r="J3638" i="7"/>
  <c r="J3637" i="7"/>
  <c r="J3636" i="7"/>
  <c r="J3635" i="7"/>
  <c r="J3634" i="7"/>
  <c r="J3633" i="7"/>
  <c r="J3632" i="7"/>
  <c r="J3631" i="7"/>
  <c r="J3630" i="7"/>
  <c r="J3629" i="7"/>
  <c r="J3628" i="7"/>
  <c r="J3627" i="7"/>
  <c r="J3626" i="7"/>
  <c r="J3625" i="7"/>
  <c r="J3624" i="7"/>
  <c r="J3623" i="7"/>
  <c r="J3622" i="7"/>
  <c r="J3621" i="7"/>
  <c r="J3620" i="7"/>
  <c r="J3619" i="7"/>
  <c r="J3618" i="7"/>
  <c r="J3617" i="7"/>
  <c r="J3616" i="7"/>
  <c r="J3615" i="7"/>
  <c r="J3614" i="7"/>
  <c r="J3613" i="7"/>
  <c r="J3612" i="7"/>
  <c r="J3611" i="7"/>
  <c r="J3610" i="7"/>
  <c r="J3609" i="7"/>
  <c r="J3608" i="7"/>
  <c r="J3607" i="7"/>
  <c r="J3606" i="7"/>
  <c r="J3605" i="7"/>
  <c r="J3604" i="7"/>
  <c r="J3603" i="7"/>
  <c r="J3602" i="7"/>
  <c r="J3601" i="7"/>
  <c r="J3600" i="7"/>
  <c r="J3599" i="7"/>
  <c r="J3598" i="7"/>
  <c r="J3597" i="7"/>
  <c r="J3596" i="7"/>
  <c r="J3595" i="7"/>
  <c r="J3594" i="7"/>
  <c r="J3593" i="7"/>
  <c r="J3592" i="7"/>
  <c r="J3591" i="7"/>
  <c r="J3590" i="7"/>
  <c r="J3589" i="7"/>
  <c r="J3588" i="7"/>
  <c r="J3587" i="7"/>
  <c r="J3586" i="7"/>
  <c r="J3585" i="7"/>
  <c r="J3584" i="7"/>
  <c r="J3583" i="7"/>
  <c r="J3582" i="7"/>
  <c r="J3581" i="7"/>
  <c r="J3580" i="7"/>
  <c r="J3579" i="7"/>
  <c r="J3578" i="7"/>
  <c r="J3577" i="7"/>
  <c r="J3576" i="7"/>
  <c r="J3575" i="7"/>
  <c r="J3574" i="7"/>
  <c r="J3573" i="7"/>
  <c r="J3572" i="7"/>
  <c r="J3571" i="7"/>
  <c r="J3570" i="7"/>
  <c r="J3569" i="7"/>
  <c r="J3568" i="7"/>
  <c r="J3567" i="7"/>
  <c r="J3566" i="7"/>
  <c r="J3565" i="7"/>
  <c r="J3564" i="7"/>
  <c r="J3563" i="7"/>
  <c r="J3562" i="7"/>
  <c r="J3561" i="7"/>
  <c r="J3560" i="7"/>
  <c r="J3559" i="7"/>
  <c r="J3558" i="7"/>
  <c r="J3557" i="7"/>
  <c r="J3556" i="7"/>
  <c r="J3555" i="7"/>
  <c r="J3554" i="7"/>
  <c r="J3553" i="7"/>
  <c r="J3552" i="7"/>
  <c r="J3551" i="7"/>
  <c r="J3550" i="7"/>
  <c r="J3549" i="7"/>
  <c r="J3548" i="7"/>
  <c r="J3547" i="7"/>
  <c r="J3546" i="7"/>
  <c r="J3545" i="7"/>
  <c r="J3544" i="7"/>
  <c r="J3543" i="7"/>
  <c r="J3542" i="7"/>
  <c r="J3541" i="7"/>
  <c r="J3540" i="7"/>
  <c r="J3539" i="7"/>
  <c r="J3538" i="7"/>
  <c r="J3537" i="7"/>
  <c r="J3536" i="7"/>
  <c r="J3535" i="7"/>
  <c r="J3534" i="7"/>
  <c r="J3533" i="7"/>
  <c r="J3532" i="7"/>
  <c r="J3531" i="7"/>
  <c r="J3530" i="7"/>
  <c r="J3529" i="7"/>
  <c r="J3528" i="7"/>
  <c r="J3527" i="7"/>
  <c r="J3526" i="7"/>
  <c r="J3525" i="7"/>
  <c r="J3524" i="7"/>
  <c r="J3523" i="7"/>
  <c r="J3522" i="7"/>
  <c r="J3521" i="7"/>
  <c r="J3520" i="7"/>
  <c r="J3519" i="7"/>
  <c r="J3518" i="7"/>
  <c r="J3517" i="7"/>
  <c r="J3516" i="7"/>
  <c r="J3515" i="7"/>
  <c r="J3514" i="7"/>
  <c r="J3513" i="7"/>
  <c r="J3512" i="7"/>
  <c r="J3511" i="7"/>
  <c r="J3510" i="7"/>
  <c r="J3509" i="7"/>
  <c r="J3508" i="7"/>
  <c r="J3507" i="7"/>
  <c r="J3506" i="7"/>
  <c r="J3505" i="7"/>
  <c r="J3504" i="7"/>
  <c r="J3503" i="7"/>
  <c r="J3502" i="7"/>
  <c r="J3501" i="7"/>
  <c r="J3500" i="7"/>
  <c r="J3499" i="7"/>
  <c r="J3498" i="7"/>
  <c r="J3497" i="7"/>
  <c r="J3496" i="7"/>
  <c r="J3495" i="7"/>
  <c r="J3494" i="7"/>
  <c r="J3493" i="7"/>
  <c r="J3492" i="7"/>
  <c r="J3491" i="7"/>
  <c r="J3490" i="7"/>
  <c r="J3489" i="7"/>
  <c r="J3488" i="7"/>
  <c r="J3487" i="7"/>
  <c r="J3486" i="7"/>
  <c r="J3485" i="7"/>
  <c r="J3484" i="7"/>
  <c r="J3483" i="7"/>
  <c r="J3482" i="7"/>
  <c r="J3481" i="7"/>
  <c r="J3480" i="7"/>
  <c r="J3479" i="7"/>
  <c r="J3478" i="7"/>
  <c r="J3477" i="7"/>
  <c r="J3476" i="7"/>
  <c r="J3475" i="7"/>
  <c r="J3474" i="7"/>
  <c r="J3473" i="7"/>
  <c r="J3472" i="7"/>
  <c r="J3471" i="7"/>
  <c r="J3470" i="7"/>
  <c r="J3469" i="7"/>
  <c r="J3468" i="7"/>
  <c r="J3467" i="7"/>
  <c r="J3466" i="7"/>
  <c r="J3465" i="7"/>
  <c r="J3464" i="7"/>
  <c r="J3463" i="7"/>
  <c r="J3462" i="7"/>
  <c r="J3461" i="7"/>
  <c r="J3460" i="7"/>
  <c r="J3459" i="7"/>
  <c r="J3458" i="7"/>
  <c r="J3457" i="7"/>
  <c r="J3456" i="7"/>
  <c r="J3455" i="7"/>
  <c r="J3454" i="7"/>
  <c r="J3453" i="7"/>
  <c r="J3452" i="7"/>
  <c r="J3451" i="7"/>
  <c r="J3450" i="7"/>
  <c r="J3449" i="7"/>
  <c r="J3448" i="7"/>
  <c r="J3447" i="7"/>
  <c r="J3446" i="7"/>
  <c r="J3445" i="7"/>
  <c r="J3444" i="7"/>
  <c r="J3443" i="7"/>
  <c r="J3442" i="7"/>
  <c r="J3441" i="7"/>
  <c r="J3440" i="7"/>
  <c r="J3439" i="7"/>
  <c r="J3438" i="7"/>
  <c r="J3437" i="7"/>
  <c r="J3436" i="7"/>
  <c r="J3435" i="7"/>
  <c r="J3434" i="7"/>
  <c r="J3433" i="7"/>
  <c r="J3432" i="7"/>
  <c r="J3431" i="7"/>
  <c r="J3430" i="7"/>
  <c r="J3429" i="7"/>
  <c r="J3428" i="7"/>
  <c r="J3427" i="7"/>
  <c r="J3426" i="7"/>
  <c r="J3425" i="7"/>
  <c r="J3424" i="7"/>
  <c r="J3423" i="7"/>
  <c r="J3422" i="7"/>
  <c r="J3421" i="7"/>
  <c r="J3420" i="7"/>
  <c r="J3419" i="7"/>
  <c r="J3418" i="7"/>
  <c r="J3417" i="7"/>
  <c r="J3416" i="7"/>
  <c r="J3415" i="7"/>
  <c r="J3414" i="7"/>
  <c r="J3413" i="7"/>
  <c r="J3412" i="7"/>
  <c r="J3411" i="7"/>
  <c r="J3410" i="7"/>
  <c r="J3409" i="7"/>
  <c r="J3408" i="7"/>
  <c r="J3407" i="7"/>
  <c r="J3406" i="7"/>
  <c r="J3405" i="7"/>
  <c r="J3404" i="7"/>
  <c r="J3403" i="7"/>
  <c r="J3402" i="7"/>
  <c r="J3401" i="7"/>
  <c r="J3400" i="7"/>
  <c r="J3399" i="7"/>
  <c r="J3398" i="7"/>
  <c r="J3397" i="7"/>
  <c r="J3396" i="7"/>
  <c r="J3395" i="7"/>
  <c r="J3394" i="7"/>
  <c r="J3393" i="7"/>
  <c r="J3392" i="7"/>
  <c r="J3391" i="7"/>
  <c r="J3390" i="7"/>
  <c r="J3389" i="7"/>
  <c r="J3388" i="7"/>
  <c r="J3387" i="7"/>
  <c r="J3386" i="7"/>
  <c r="J3385" i="7"/>
  <c r="J3384" i="7"/>
  <c r="J3383" i="7"/>
  <c r="J3382" i="7"/>
  <c r="J3381" i="7"/>
  <c r="J3380" i="7"/>
  <c r="J3379" i="7"/>
  <c r="J3378" i="7"/>
  <c r="J3377" i="7"/>
  <c r="J3376" i="7"/>
  <c r="J3375" i="7"/>
  <c r="J3374" i="7"/>
  <c r="J3373" i="7"/>
  <c r="J3372" i="7"/>
  <c r="J3371" i="7"/>
  <c r="J3370" i="7"/>
  <c r="J3369" i="7"/>
  <c r="J3368" i="7"/>
  <c r="J3367" i="7"/>
  <c r="J3366" i="7"/>
  <c r="J3365" i="7"/>
  <c r="J3364" i="7"/>
  <c r="J3363" i="7"/>
  <c r="J3362" i="7"/>
  <c r="J3361" i="7"/>
  <c r="J3360" i="7"/>
  <c r="J3359" i="7"/>
  <c r="J3358" i="7"/>
  <c r="J3357" i="7"/>
  <c r="J3356" i="7"/>
  <c r="J3355" i="7"/>
  <c r="J3354" i="7"/>
  <c r="J3353" i="7"/>
  <c r="J3352" i="7"/>
  <c r="J3351" i="7"/>
  <c r="J3350" i="7"/>
  <c r="J3349" i="7"/>
  <c r="J3348" i="7"/>
  <c r="J3347" i="7"/>
  <c r="J3346" i="7"/>
  <c r="J3345" i="7"/>
  <c r="J3344" i="7"/>
  <c r="J3343" i="7"/>
  <c r="J3342" i="7"/>
  <c r="J3341" i="7"/>
  <c r="J3340" i="7"/>
  <c r="J3339" i="7"/>
  <c r="J3338" i="7"/>
  <c r="J3337" i="7"/>
  <c r="J3336" i="7"/>
  <c r="J3335" i="7"/>
  <c r="J3334" i="7"/>
  <c r="J3333" i="7"/>
  <c r="J3332" i="7"/>
  <c r="J3331" i="7"/>
  <c r="J3330" i="7"/>
  <c r="J3329" i="7"/>
  <c r="J3328" i="7"/>
  <c r="J3327" i="7"/>
  <c r="J3326" i="7"/>
  <c r="J3325" i="7"/>
  <c r="J3324" i="7"/>
  <c r="J3323" i="7"/>
  <c r="J3322" i="7"/>
  <c r="J3321" i="7"/>
  <c r="J3320" i="7"/>
  <c r="J3319" i="7"/>
  <c r="J3318" i="7"/>
  <c r="J3317" i="7"/>
  <c r="J3316" i="7"/>
  <c r="J3315" i="7"/>
  <c r="J3314" i="7"/>
  <c r="J3313" i="7"/>
  <c r="J3312" i="7"/>
  <c r="J3311" i="7"/>
  <c r="J3310" i="7"/>
  <c r="J3309" i="7"/>
  <c r="J3308" i="7"/>
  <c r="J3307" i="7"/>
  <c r="J3306" i="7"/>
  <c r="J3305" i="7"/>
  <c r="J3304" i="7"/>
  <c r="J3303" i="7"/>
  <c r="J3302" i="7"/>
  <c r="J3301" i="7"/>
  <c r="J3300" i="7"/>
  <c r="J3299" i="7"/>
  <c r="J3298" i="7"/>
  <c r="J3297" i="7"/>
  <c r="J3296" i="7"/>
  <c r="J3295" i="7"/>
  <c r="J3294" i="7"/>
  <c r="J3293" i="7"/>
  <c r="J3292" i="7"/>
  <c r="J3291" i="7"/>
  <c r="J3290" i="7"/>
  <c r="J3289" i="7"/>
  <c r="J3288" i="7"/>
  <c r="J3287" i="7"/>
  <c r="J3286" i="7"/>
  <c r="J3285" i="7"/>
  <c r="J3284" i="7"/>
  <c r="J3283" i="7"/>
  <c r="J3282" i="7"/>
  <c r="J3281" i="7"/>
  <c r="J3280" i="7"/>
  <c r="J3279" i="7"/>
  <c r="J3278" i="7"/>
  <c r="J3277" i="7"/>
  <c r="J3276" i="7"/>
  <c r="J3275" i="7"/>
  <c r="J3274" i="7"/>
  <c r="J3273" i="7"/>
  <c r="J3272" i="7"/>
  <c r="J3271" i="7"/>
  <c r="J3270" i="7"/>
  <c r="J3269" i="7"/>
  <c r="J3268" i="7"/>
  <c r="J3267" i="7"/>
  <c r="J3266" i="7"/>
  <c r="J3265" i="7"/>
  <c r="J3264" i="7"/>
  <c r="J3263" i="7"/>
  <c r="J3262" i="7"/>
  <c r="J3261" i="7"/>
  <c r="J3260" i="7"/>
  <c r="J3259" i="7"/>
  <c r="J3258" i="7"/>
  <c r="J3257" i="7"/>
  <c r="J3256" i="7"/>
  <c r="J3255" i="7"/>
  <c r="J3254" i="7"/>
  <c r="J3253" i="7"/>
  <c r="J3252" i="7"/>
  <c r="J3251" i="7"/>
  <c r="J3250" i="7"/>
  <c r="J3249" i="7"/>
  <c r="J3248" i="7"/>
  <c r="J3247" i="7"/>
  <c r="J3246" i="7"/>
  <c r="J3245" i="7"/>
  <c r="J3244" i="7"/>
  <c r="J3243" i="7"/>
  <c r="J3242" i="7"/>
  <c r="J3241" i="7"/>
  <c r="J3240" i="7"/>
  <c r="J3239" i="7"/>
  <c r="J3238" i="7"/>
  <c r="J3237" i="7"/>
  <c r="J3236" i="7"/>
  <c r="J3235" i="7"/>
  <c r="J3234" i="7"/>
  <c r="J3233" i="7"/>
  <c r="J3232" i="7"/>
  <c r="J3231" i="7"/>
  <c r="J3230" i="7"/>
  <c r="J3229" i="7"/>
  <c r="J3228" i="7"/>
  <c r="J3227" i="7"/>
  <c r="J3226" i="7"/>
  <c r="J3225" i="7"/>
  <c r="J3224" i="7"/>
  <c r="J3223" i="7"/>
  <c r="J3222" i="7"/>
  <c r="J3221" i="7"/>
  <c r="J3220" i="7"/>
  <c r="J3219" i="7"/>
  <c r="J3218" i="7"/>
  <c r="J3217" i="7"/>
  <c r="J3216" i="7"/>
  <c r="J3215" i="7"/>
  <c r="J3214" i="7"/>
  <c r="J3213" i="7"/>
  <c r="J3212" i="7"/>
  <c r="J3211" i="7"/>
  <c r="J3210" i="7"/>
  <c r="J3209" i="7"/>
  <c r="J3208" i="7"/>
  <c r="J3207" i="7"/>
  <c r="J3206" i="7"/>
  <c r="J3205" i="7"/>
  <c r="J3204" i="7"/>
  <c r="J3203" i="7"/>
  <c r="J3202" i="7"/>
  <c r="J3201" i="7"/>
  <c r="J3200" i="7"/>
  <c r="J3199" i="7"/>
  <c r="J3198" i="7"/>
  <c r="J3197" i="7"/>
  <c r="J3196" i="7"/>
  <c r="J3195" i="7"/>
  <c r="J3194" i="7"/>
  <c r="J3193" i="7"/>
  <c r="J3192" i="7"/>
  <c r="J3191" i="7"/>
  <c r="J3190" i="7"/>
  <c r="J3189" i="7"/>
  <c r="J3188" i="7"/>
  <c r="J3187" i="7"/>
  <c r="J3186" i="7"/>
  <c r="J3185" i="7"/>
  <c r="J3184" i="7"/>
  <c r="J3183" i="7"/>
  <c r="J3182" i="7"/>
  <c r="J3181" i="7"/>
  <c r="J3180" i="7"/>
  <c r="J3179" i="7"/>
  <c r="J3178" i="7"/>
  <c r="J3177" i="7"/>
  <c r="J3176" i="7"/>
  <c r="J3175" i="7"/>
  <c r="J3174" i="7"/>
  <c r="J3173" i="7"/>
  <c r="J3172" i="7"/>
  <c r="J3171" i="7"/>
  <c r="J3170" i="7"/>
  <c r="J3169" i="7"/>
  <c r="J3168" i="7"/>
  <c r="J3167" i="7"/>
  <c r="J3166" i="7"/>
  <c r="J3165" i="7"/>
  <c r="J3164" i="7"/>
  <c r="J3163" i="7"/>
  <c r="J3162" i="7"/>
  <c r="J3161" i="7"/>
  <c r="J3160" i="7"/>
  <c r="J3159" i="7"/>
  <c r="J3158" i="7"/>
  <c r="J3157" i="7"/>
  <c r="J3156" i="7"/>
  <c r="J3155" i="7"/>
  <c r="J3154" i="7"/>
  <c r="J3153" i="7"/>
  <c r="J3152" i="7"/>
  <c r="J3151" i="7"/>
  <c r="J3150" i="7"/>
  <c r="J3149" i="7"/>
  <c r="J3148" i="7"/>
  <c r="J3147" i="7"/>
  <c r="J3146" i="7"/>
  <c r="J3145" i="7"/>
  <c r="J3144" i="7"/>
  <c r="J3143" i="7"/>
  <c r="J3142" i="7"/>
  <c r="J3141" i="7"/>
  <c r="J3140" i="7"/>
  <c r="J3139" i="7"/>
  <c r="J3138" i="7"/>
  <c r="J3137" i="7"/>
  <c r="J3136" i="7"/>
  <c r="J3135" i="7"/>
  <c r="J3134" i="7"/>
  <c r="J3133" i="7"/>
  <c r="J3132" i="7"/>
  <c r="J3131" i="7"/>
  <c r="J3130" i="7"/>
  <c r="J3129" i="7"/>
  <c r="J3128" i="7"/>
  <c r="J3127" i="7"/>
  <c r="J3126" i="7"/>
  <c r="J3125" i="7"/>
  <c r="J3124" i="7"/>
  <c r="J3123" i="7"/>
  <c r="J3122" i="7"/>
  <c r="J3121" i="7"/>
  <c r="J3120" i="7"/>
  <c r="J3119" i="7"/>
  <c r="J3118" i="7"/>
  <c r="J3117" i="7"/>
  <c r="J3116" i="7"/>
  <c r="J3115" i="7"/>
  <c r="J3114" i="7"/>
  <c r="J3113" i="7"/>
  <c r="J3112" i="7"/>
  <c r="J3111" i="7"/>
  <c r="J3110" i="7"/>
  <c r="J3109" i="7"/>
  <c r="J3108" i="7"/>
  <c r="J3107" i="7"/>
  <c r="J3106" i="7"/>
  <c r="J3105" i="7"/>
  <c r="J3104" i="7"/>
  <c r="J3103" i="7"/>
  <c r="J3102" i="7"/>
  <c r="J3101" i="7"/>
  <c r="J3100" i="7"/>
  <c r="J3099" i="7"/>
  <c r="J3098" i="7"/>
  <c r="J3097" i="7"/>
  <c r="J3096" i="7"/>
  <c r="J3095" i="7"/>
  <c r="J3094" i="7"/>
  <c r="J3093" i="7"/>
  <c r="J3092" i="7"/>
  <c r="J3091" i="7"/>
  <c r="J3090" i="7"/>
  <c r="J3089" i="7"/>
  <c r="J3088" i="7"/>
  <c r="J3087" i="7"/>
  <c r="J3086" i="7"/>
  <c r="J3085" i="7"/>
  <c r="J3084" i="7"/>
  <c r="J3083" i="7"/>
  <c r="J3082" i="7"/>
  <c r="J3081" i="7"/>
  <c r="J3080" i="7"/>
  <c r="J3079" i="7"/>
  <c r="J3078" i="7"/>
  <c r="J3077" i="7"/>
  <c r="J3076" i="7"/>
  <c r="J3075" i="7"/>
  <c r="J3074" i="7"/>
  <c r="J3073" i="7"/>
  <c r="J3072" i="7"/>
  <c r="J3071" i="7"/>
  <c r="J3070" i="7"/>
  <c r="J3069" i="7"/>
  <c r="J3068" i="7"/>
  <c r="J3067" i="7"/>
  <c r="J3066" i="7"/>
  <c r="J3065" i="7"/>
  <c r="J3064" i="7"/>
  <c r="J3063" i="7"/>
  <c r="J3062" i="7"/>
  <c r="J3061" i="7"/>
  <c r="J3060" i="7"/>
  <c r="J3059" i="7"/>
  <c r="J3058" i="7"/>
  <c r="J3057" i="7"/>
  <c r="J3056" i="7"/>
  <c r="J3055" i="7"/>
  <c r="J3054" i="7"/>
  <c r="J3053" i="7"/>
  <c r="J3052" i="7"/>
  <c r="J3051" i="7"/>
  <c r="J3050" i="7"/>
  <c r="J3049" i="7"/>
  <c r="J3048" i="7"/>
  <c r="J3047" i="7"/>
  <c r="J3046" i="7"/>
  <c r="J3045" i="7"/>
  <c r="J3044" i="7"/>
  <c r="J3043" i="7"/>
  <c r="J3042" i="7"/>
  <c r="J3041" i="7"/>
  <c r="J3040" i="7"/>
  <c r="J3039" i="7"/>
  <c r="J3038" i="7"/>
  <c r="J3037" i="7"/>
  <c r="J3036" i="7"/>
  <c r="J3035" i="7"/>
  <c r="J3034" i="7"/>
  <c r="J3033" i="7"/>
  <c r="J3032" i="7"/>
  <c r="J3031" i="7"/>
  <c r="J3030" i="7"/>
  <c r="J3029" i="7"/>
  <c r="J3028" i="7"/>
  <c r="J3027" i="7"/>
  <c r="J3026" i="7"/>
  <c r="J3025" i="7"/>
  <c r="J3024" i="7"/>
  <c r="J3023" i="7"/>
  <c r="J3022" i="7"/>
  <c r="J3021" i="7"/>
  <c r="J3020" i="7"/>
  <c r="J3019" i="7"/>
  <c r="J3018" i="7"/>
  <c r="J3017" i="7"/>
  <c r="J3016" i="7"/>
  <c r="J3015" i="7"/>
  <c r="J3014" i="7"/>
  <c r="J3013" i="7"/>
  <c r="J3012" i="7"/>
  <c r="J3011" i="7"/>
  <c r="J3010" i="7"/>
  <c r="J3009" i="7"/>
  <c r="J3008" i="7"/>
  <c r="J3007" i="7"/>
  <c r="J3006" i="7"/>
  <c r="J3005" i="7"/>
  <c r="J3004" i="7"/>
  <c r="J3003" i="7"/>
  <c r="J3002" i="7"/>
  <c r="J3001" i="7"/>
  <c r="J3000" i="7"/>
  <c r="J2999" i="7"/>
  <c r="J2998" i="7"/>
  <c r="J2997" i="7"/>
  <c r="J2996" i="7"/>
  <c r="J2995" i="7"/>
  <c r="J2994" i="7"/>
  <c r="J2993" i="7"/>
  <c r="J2992" i="7"/>
  <c r="J2991" i="7"/>
  <c r="J2990" i="7"/>
  <c r="J2989" i="7"/>
  <c r="J2988" i="7"/>
  <c r="J2987" i="7"/>
  <c r="J2986" i="7"/>
  <c r="J2985" i="7"/>
  <c r="J2984" i="7"/>
  <c r="J2983" i="7"/>
  <c r="J2982" i="7"/>
  <c r="J2981" i="7"/>
  <c r="J2980" i="7"/>
  <c r="J2979" i="7"/>
  <c r="J2978" i="7"/>
  <c r="J2977" i="7"/>
  <c r="J2976" i="7"/>
  <c r="J2975" i="7"/>
  <c r="J2974" i="7"/>
  <c r="J2973" i="7"/>
  <c r="J2972" i="7"/>
  <c r="J2971" i="7"/>
  <c r="J2970" i="7"/>
  <c r="J2969" i="7"/>
  <c r="J2968" i="7"/>
  <c r="J2967" i="7"/>
  <c r="J2966" i="7"/>
  <c r="J2965" i="7"/>
  <c r="J2964" i="7"/>
  <c r="J2963" i="7"/>
  <c r="J2962" i="7"/>
  <c r="J2961" i="7"/>
  <c r="J2960" i="7"/>
  <c r="J2959" i="7"/>
  <c r="J2958" i="7"/>
  <c r="J2957" i="7"/>
  <c r="J2956" i="7"/>
  <c r="J2955" i="7"/>
  <c r="J2954" i="7"/>
  <c r="J2953" i="7"/>
  <c r="J2952" i="7"/>
  <c r="J2951" i="7"/>
  <c r="J2950" i="7"/>
  <c r="J2949" i="7"/>
  <c r="J2948" i="7"/>
  <c r="J2947" i="7"/>
  <c r="J2946" i="7"/>
  <c r="J2945" i="7"/>
  <c r="J2944" i="7"/>
  <c r="J2943" i="7"/>
  <c r="J2942" i="7"/>
  <c r="J2941" i="7"/>
  <c r="J2940" i="7"/>
  <c r="J2939" i="7"/>
  <c r="J2938" i="7"/>
  <c r="J2937" i="7"/>
  <c r="J2936" i="7"/>
  <c r="J2935" i="7"/>
  <c r="J2934" i="7"/>
  <c r="J2933" i="7"/>
  <c r="J2932" i="7"/>
  <c r="J2931" i="7"/>
  <c r="J2930" i="7"/>
  <c r="J2929" i="7"/>
  <c r="J2928" i="7"/>
  <c r="J2927" i="7"/>
  <c r="J2926" i="7"/>
  <c r="J2925" i="7"/>
  <c r="J2924" i="7"/>
  <c r="J2923" i="7"/>
  <c r="J2922" i="7"/>
  <c r="J2921" i="7"/>
  <c r="J2920" i="7"/>
  <c r="J2919" i="7"/>
  <c r="J2918" i="7"/>
  <c r="J2917" i="7"/>
  <c r="J2916" i="7"/>
  <c r="J2915" i="7"/>
  <c r="J2914" i="7"/>
  <c r="J2913" i="7"/>
  <c r="J2912" i="7"/>
  <c r="J2911" i="7"/>
  <c r="J2910" i="7"/>
  <c r="J2909" i="7"/>
  <c r="J2908" i="7"/>
  <c r="J2907" i="7"/>
  <c r="J2906" i="7"/>
  <c r="J2905" i="7"/>
  <c r="J2904" i="7"/>
  <c r="J2903" i="7"/>
  <c r="J2902" i="7"/>
  <c r="J2901" i="7"/>
  <c r="J2900" i="7"/>
  <c r="J2899" i="7"/>
  <c r="J2898" i="7"/>
  <c r="J2897" i="7"/>
  <c r="J2896" i="7"/>
  <c r="J2895" i="7"/>
  <c r="J2894" i="7"/>
  <c r="J2893" i="7"/>
  <c r="J2892" i="7"/>
  <c r="J2891" i="7"/>
  <c r="J2890" i="7"/>
  <c r="J2889" i="7"/>
  <c r="J2888" i="7"/>
  <c r="J2887" i="7"/>
  <c r="J2886" i="7"/>
  <c r="J2885" i="7"/>
  <c r="J2884" i="7"/>
  <c r="J2883" i="7"/>
  <c r="J2882" i="7"/>
  <c r="J2881" i="7"/>
  <c r="J2880" i="7"/>
  <c r="J2879" i="7"/>
  <c r="J2878" i="7"/>
  <c r="J2877" i="7"/>
  <c r="J2876" i="7"/>
  <c r="J2875" i="7"/>
  <c r="J2874" i="7"/>
  <c r="J2873" i="7"/>
  <c r="J2872" i="7"/>
  <c r="J2871" i="7"/>
  <c r="J2870" i="7"/>
  <c r="J2869" i="7"/>
  <c r="J2868" i="7"/>
  <c r="J2867" i="7"/>
  <c r="J2866" i="7"/>
  <c r="J2865" i="7"/>
  <c r="J2864" i="7"/>
  <c r="J2863" i="7"/>
  <c r="J2862" i="7"/>
  <c r="J2861" i="7"/>
  <c r="J2860" i="7"/>
  <c r="J2859" i="7"/>
  <c r="J2858" i="7"/>
  <c r="J2857" i="7"/>
  <c r="J2856" i="7"/>
  <c r="J2855" i="7"/>
  <c r="J2854" i="7"/>
  <c r="J2853" i="7"/>
  <c r="J2852" i="7"/>
  <c r="J2851" i="7"/>
  <c r="J2850" i="7"/>
  <c r="J2849" i="7"/>
  <c r="J2848" i="7"/>
  <c r="J2847" i="7"/>
  <c r="J2846" i="7"/>
  <c r="J2845" i="7"/>
  <c r="J2844" i="7"/>
  <c r="J2843" i="7"/>
  <c r="J2842" i="7"/>
  <c r="J2841" i="7"/>
  <c r="J2840" i="7"/>
  <c r="J2839" i="7"/>
  <c r="J2838" i="7"/>
  <c r="J2837" i="7"/>
  <c r="J2836" i="7"/>
  <c r="J2835" i="7"/>
  <c r="J2834" i="7"/>
  <c r="J2833" i="7"/>
  <c r="J2832" i="7"/>
  <c r="J2831" i="7"/>
  <c r="J2830" i="7"/>
  <c r="J2829" i="7"/>
  <c r="J2828" i="7"/>
  <c r="J2827" i="7"/>
  <c r="J2826" i="7"/>
  <c r="J2825" i="7"/>
  <c r="J2824" i="7"/>
  <c r="J2823" i="7"/>
  <c r="J2822" i="7"/>
  <c r="J2821" i="7"/>
  <c r="J2820" i="7"/>
  <c r="J2819" i="7"/>
  <c r="J2818" i="7"/>
  <c r="J2817" i="7"/>
  <c r="J2816" i="7"/>
  <c r="J2815" i="7"/>
  <c r="J2814" i="7"/>
  <c r="J2813" i="7"/>
  <c r="J2812" i="7"/>
  <c r="J2811" i="7"/>
  <c r="J2810" i="7"/>
  <c r="J2809" i="7"/>
  <c r="J2808" i="7"/>
  <c r="J2807" i="7"/>
  <c r="J2806" i="7"/>
  <c r="J2805" i="7"/>
  <c r="J2804" i="7"/>
  <c r="J2803" i="7"/>
  <c r="J2802" i="7"/>
  <c r="J2801" i="7"/>
  <c r="J2800" i="7"/>
  <c r="J2799" i="7"/>
  <c r="J2798" i="7"/>
  <c r="J2797" i="7"/>
  <c r="J2796" i="7"/>
  <c r="J2795" i="7"/>
  <c r="J2794" i="7"/>
  <c r="J2793" i="7"/>
  <c r="J2792" i="7"/>
  <c r="J2791" i="7"/>
  <c r="J2790" i="7"/>
  <c r="J2789" i="7"/>
  <c r="J2788" i="7"/>
  <c r="J2787" i="7"/>
  <c r="J2786" i="7"/>
  <c r="J2785" i="7"/>
  <c r="J2784" i="7"/>
  <c r="J2783" i="7"/>
  <c r="J2782" i="7"/>
  <c r="J2781" i="7"/>
  <c r="J2780" i="7"/>
  <c r="J2779" i="7"/>
  <c r="J2778" i="7"/>
  <c r="J2777" i="7"/>
  <c r="J2776" i="7"/>
  <c r="J2775" i="7"/>
  <c r="J2774" i="7"/>
  <c r="J2773" i="7"/>
  <c r="J2772" i="7"/>
  <c r="J2771" i="7"/>
  <c r="J2770" i="7"/>
  <c r="J2769" i="7"/>
  <c r="J2768" i="7"/>
  <c r="J2767" i="7"/>
  <c r="J2766" i="7"/>
  <c r="J2765" i="7"/>
  <c r="J2764" i="7"/>
  <c r="J2763" i="7"/>
  <c r="J2762" i="7"/>
  <c r="J2761" i="7"/>
  <c r="J2760" i="7"/>
  <c r="J2759" i="7"/>
  <c r="J2758" i="7"/>
  <c r="J2757" i="7"/>
  <c r="J2756" i="7"/>
  <c r="J2755" i="7"/>
  <c r="J2754" i="7"/>
  <c r="J2753" i="7"/>
  <c r="J2752" i="7"/>
  <c r="J2751" i="7"/>
  <c r="J2750" i="7"/>
  <c r="J2749" i="7"/>
  <c r="J2748" i="7"/>
  <c r="J2747" i="7"/>
  <c r="J2746" i="7"/>
  <c r="J2745" i="7"/>
  <c r="J2744" i="7"/>
  <c r="J2743" i="7"/>
  <c r="J2742" i="7"/>
  <c r="J2741" i="7"/>
  <c r="J2740" i="7"/>
  <c r="J2739" i="7"/>
  <c r="J2738" i="7"/>
  <c r="J2737" i="7"/>
  <c r="J2736" i="7"/>
  <c r="J2735" i="7"/>
  <c r="J2734" i="7"/>
  <c r="J2733" i="7"/>
  <c r="J2732" i="7"/>
  <c r="J2731" i="7"/>
  <c r="J2730" i="7"/>
  <c r="J2729" i="7"/>
  <c r="J2728" i="7"/>
  <c r="J2727" i="7"/>
  <c r="J2726" i="7"/>
  <c r="J2725" i="7"/>
  <c r="J2724" i="7"/>
  <c r="J2723" i="7"/>
  <c r="J2722" i="7"/>
  <c r="J2721" i="7"/>
  <c r="J2720" i="7"/>
  <c r="J2719" i="7"/>
  <c r="J2718" i="7"/>
  <c r="J2717" i="7"/>
  <c r="J2716" i="7"/>
  <c r="J2715" i="7"/>
  <c r="J2714" i="7"/>
  <c r="J2713" i="7"/>
  <c r="J2712" i="7"/>
  <c r="J2711" i="7"/>
  <c r="J2710" i="7"/>
  <c r="J2709" i="7"/>
  <c r="J2708" i="7"/>
  <c r="J2707" i="7"/>
  <c r="J2706" i="7"/>
  <c r="J2705" i="7"/>
  <c r="J2704" i="7"/>
  <c r="J2703" i="7"/>
  <c r="J2702" i="7"/>
  <c r="J2701" i="7"/>
  <c r="J2700" i="7"/>
  <c r="J2699" i="7"/>
  <c r="J2698" i="7"/>
  <c r="J2697" i="7"/>
  <c r="J2696" i="7"/>
  <c r="J2695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A1" i="6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Q1928" i="4"/>
  <c r="E1928" i="4"/>
  <c r="F1928" i="4" s="1"/>
  <c r="A1928" i="4"/>
  <c r="Q1927" i="4"/>
  <c r="F1927" i="4"/>
  <c r="E1927" i="4"/>
  <c r="A1927" i="4"/>
  <c r="Q1926" i="4"/>
  <c r="E1926" i="4"/>
  <c r="F1926" i="4" s="1"/>
  <c r="A1926" i="4"/>
  <c r="Q1925" i="4"/>
  <c r="E1925" i="4"/>
  <c r="F1925" i="4" s="1"/>
  <c r="A1925" i="4"/>
  <c r="Q1924" i="4"/>
  <c r="E1924" i="4"/>
  <c r="F1924" i="4" s="1"/>
  <c r="A1924" i="4"/>
  <c r="Q1923" i="4"/>
  <c r="E1923" i="4"/>
  <c r="F1923" i="4" s="1"/>
  <c r="A1923" i="4"/>
  <c r="Q1922" i="4"/>
  <c r="E1922" i="4"/>
  <c r="F1922" i="4" s="1"/>
  <c r="A1922" i="4"/>
  <c r="Q1921" i="4"/>
  <c r="F1921" i="4"/>
  <c r="E1921" i="4"/>
  <c r="A1921" i="4"/>
  <c r="Q1920" i="4"/>
  <c r="E1920" i="4"/>
  <c r="F1920" i="4" s="1"/>
  <c r="A1920" i="4"/>
  <c r="Q1919" i="4"/>
  <c r="E1919" i="4"/>
  <c r="F1919" i="4" s="1"/>
  <c r="A1919" i="4"/>
  <c r="Q1918" i="4"/>
  <c r="E1918" i="4"/>
  <c r="F1918" i="4" s="1"/>
  <c r="A1918" i="4"/>
  <c r="Q1917" i="4"/>
  <c r="E1917" i="4"/>
  <c r="F1917" i="4" s="1"/>
  <c r="A1917" i="4"/>
  <c r="Q1916" i="4"/>
  <c r="E1916" i="4"/>
  <c r="F1916" i="4" s="1"/>
  <c r="A1916" i="4"/>
  <c r="Q1915" i="4"/>
  <c r="E1915" i="4"/>
  <c r="F1915" i="4" s="1"/>
  <c r="A1915" i="4"/>
  <c r="Q1914" i="4"/>
  <c r="E1914" i="4"/>
  <c r="F1914" i="4" s="1"/>
  <c r="A1914" i="4"/>
  <c r="Q1913" i="4"/>
  <c r="F1913" i="4"/>
  <c r="E1913" i="4"/>
  <c r="A1913" i="4"/>
  <c r="Q1912" i="4"/>
  <c r="E1912" i="4"/>
  <c r="F1912" i="4" s="1"/>
  <c r="A1912" i="4"/>
  <c r="Q1911" i="4"/>
  <c r="F1911" i="4"/>
  <c r="E1911" i="4"/>
  <c r="A1911" i="4"/>
  <c r="Q1910" i="4"/>
  <c r="E1910" i="4"/>
  <c r="F1910" i="4" s="1"/>
  <c r="A1910" i="4"/>
  <c r="Q1909" i="4"/>
  <c r="E1909" i="4"/>
  <c r="F1909" i="4" s="1"/>
  <c r="A1909" i="4"/>
  <c r="Q1908" i="4"/>
  <c r="E1908" i="4"/>
  <c r="F1908" i="4" s="1"/>
  <c r="A1908" i="4"/>
  <c r="Q1907" i="4"/>
  <c r="E1907" i="4"/>
  <c r="F1907" i="4" s="1"/>
  <c r="A1907" i="4"/>
  <c r="Q1906" i="4"/>
  <c r="E1906" i="4"/>
  <c r="F1906" i="4" s="1"/>
  <c r="A1906" i="4"/>
  <c r="Q1905" i="4"/>
  <c r="F1905" i="4"/>
  <c r="E1905" i="4"/>
  <c r="A1905" i="4"/>
  <c r="Q1904" i="4"/>
  <c r="E1904" i="4"/>
  <c r="F1904" i="4" s="1"/>
  <c r="A1904" i="4"/>
  <c r="Q1903" i="4"/>
  <c r="E1903" i="4"/>
  <c r="F1903" i="4" s="1"/>
  <c r="A1903" i="4"/>
  <c r="Q1902" i="4"/>
  <c r="E1902" i="4"/>
  <c r="F1902" i="4" s="1"/>
  <c r="A1902" i="4"/>
  <c r="Q1901" i="4"/>
  <c r="E1901" i="4"/>
  <c r="F1901" i="4" s="1"/>
  <c r="A1901" i="4"/>
  <c r="Q1900" i="4"/>
  <c r="E1900" i="4"/>
  <c r="F1900" i="4" s="1"/>
  <c r="A1900" i="4"/>
  <c r="Q1899" i="4"/>
  <c r="E1899" i="4"/>
  <c r="F1899" i="4" s="1"/>
  <c r="A1899" i="4"/>
  <c r="Q1898" i="4"/>
  <c r="E1898" i="4"/>
  <c r="F1898" i="4" s="1"/>
  <c r="A1898" i="4"/>
  <c r="Q1897" i="4"/>
  <c r="F1897" i="4"/>
  <c r="E1897" i="4"/>
  <c r="A1897" i="4"/>
  <c r="Q1896" i="4"/>
  <c r="E1896" i="4"/>
  <c r="F1896" i="4" s="1"/>
  <c r="A1896" i="4"/>
  <c r="Q1895" i="4"/>
  <c r="F1895" i="4"/>
  <c r="E1895" i="4"/>
  <c r="A1895" i="4"/>
  <c r="Q1894" i="4"/>
  <c r="E1894" i="4"/>
  <c r="F1894" i="4" s="1"/>
  <c r="A1894" i="4"/>
  <c r="Q1893" i="4"/>
  <c r="E1893" i="4"/>
  <c r="F1893" i="4" s="1"/>
  <c r="A1893" i="4"/>
  <c r="Q1892" i="4"/>
  <c r="E1892" i="4"/>
  <c r="F1892" i="4" s="1"/>
  <c r="A1892" i="4"/>
  <c r="Q1891" i="4"/>
  <c r="E1891" i="4"/>
  <c r="F1891" i="4" s="1"/>
  <c r="A1891" i="4"/>
  <c r="Q1890" i="4"/>
  <c r="E1890" i="4"/>
  <c r="F1890" i="4" s="1"/>
  <c r="A1890" i="4"/>
  <c r="Q1889" i="4"/>
  <c r="F1889" i="4"/>
  <c r="E1889" i="4"/>
  <c r="A1889" i="4"/>
  <c r="Q1888" i="4"/>
  <c r="E1888" i="4"/>
  <c r="F1888" i="4" s="1"/>
  <c r="A1888" i="4"/>
  <c r="Q1887" i="4"/>
  <c r="E1887" i="4"/>
  <c r="F1887" i="4" s="1"/>
  <c r="A1887" i="4"/>
  <c r="Q1886" i="4"/>
  <c r="E1886" i="4"/>
  <c r="F1886" i="4" s="1"/>
  <c r="A1886" i="4"/>
  <c r="Q1885" i="4"/>
  <c r="F1885" i="4"/>
  <c r="E1885" i="4"/>
  <c r="A1885" i="4"/>
  <c r="Q1884" i="4"/>
  <c r="E1884" i="4"/>
  <c r="F1884" i="4" s="1"/>
  <c r="A1884" i="4"/>
  <c r="Q1883" i="4"/>
  <c r="E1883" i="4"/>
  <c r="F1883" i="4" s="1"/>
  <c r="A1883" i="4"/>
  <c r="Q1882" i="4"/>
  <c r="E1882" i="4"/>
  <c r="F1882" i="4" s="1"/>
  <c r="A1882" i="4"/>
  <c r="Q1881" i="4"/>
  <c r="F1881" i="4"/>
  <c r="E1881" i="4"/>
  <c r="A1881" i="4"/>
  <c r="Q1880" i="4"/>
  <c r="E1880" i="4"/>
  <c r="F1880" i="4" s="1"/>
  <c r="A1880" i="4"/>
  <c r="Q1879" i="4"/>
  <c r="F1879" i="4"/>
  <c r="E1879" i="4"/>
  <c r="A1879" i="4"/>
  <c r="Q1878" i="4"/>
  <c r="E1878" i="4"/>
  <c r="F1878" i="4" s="1"/>
  <c r="A1878" i="4"/>
  <c r="Q1877" i="4"/>
  <c r="E1877" i="4"/>
  <c r="F1877" i="4" s="1"/>
  <c r="A1877" i="4"/>
  <c r="Q1876" i="4"/>
  <c r="E1876" i="4"/>
  <c r="F1876" i="4" s="1"/>
  <c r="A1876" i="4"/>
  <c r="Q1875" i="4"/>
  <c r="E1875" i="4"/>
  <c r="F1875" i="4" s="1"/>
  <c r="A1875" i="4"/>
  <c r="Q1874" i="4"/>
  <c r="E1874" i="4"/>
  <c r="F1874" i="4" s="1"/>
  <c r="A1874" i="4"/>
  <c r="Q1873" i="4"/>
  <c r="F1873" i="4"/>
  <c r="E1873" i="4"/>
  <c r="A1873" i="4"/>
  <c r="Q1872" i="4"/>
  <c r="E1872" i="4"/>
  <c r="F1872" i="4" s="1"/>
  <c r="A1872" i="4"/>
  <c r="Q1871" i="4"/>
  <c r="E1871" i="4"/>
  <c r="F1871" i="4" s="1"/>
  <c r="A1871" i="4"/>
  <c r="Q1870" i="4"/>
  <c r="E1870" i="4"/>
  <c r="F1870" i="4" s="1"/>
  <c r="A1870" i="4"/>
  <c r="Q1869" i="4"/>
  <c r="F1869" i="4"/>
  <c r="E1869" i="4"/>
  <c r="A1869" i="4"/>
  <c r="Q1868" i="4"/>
  <c r="E1868" i="4"/>
  <c r="F1868" i="4" s="1"/>
  <c r="A1868" i="4"/>
  <c r="Q1867" i="4"/>
  <c r="E1867" i="4"/>
  <c r="F1867" i="4" s="1"/>
  <c r="A1867" i="4"/>
  <c r="Q1866" i="4"/>
  <c r="E1866" i="4"/>
  <c r="F1866" i="4" s="1"/>
  <c r="A1866" i="4"/>
  <c r="Q1865" i="4"/>
  <c r="F1865" i="4"/>
  <c r="E1865" i="4"/>
  <c r="A1865" i="4"/>
  <c r="Q1864" i="4"/>
  <c r="E1864" i="4"/>
  <c r="F1864" i="4" s="1"/>
  <c r="A1864" i="4"/>
  <c r="Q1863" i="4"/>
  <c r="F1863" i="4"/>
  <c r="E1863" i="4"/>
  <c r="A1863" i="4"/>
  <c r="Q1862" i="4"/>
  <c r="E1862" i="4"/>
  <c r="F1862" i="4" s="1"/>
  <c r="A1862" i="4"/>
  <c r="Q1861" i="4"/>
  <c r="E1861" i="4"/>
  <c r="F1861" i="4" s="1"/>
  <c r="A1861" i="4"/>
  <c r="Q1860" i="4"/>
  <c r="E1860" i="4"/>
  <c r="F1860" i="4" s="1"/>
  <c r="A1860" i="4"/>
  <c r="Q1859" i="4"/>
  <c r="E1859" i="4"/>
  <c r="F1859" i="4" s="1"/>
  <c r="A1859" i="4"/>
  <c r="Q1858" i="4"/>
  <c r="E1858" i="4"/>
  <c r="F1858" i="4" s="1"/>
  <c r="A1858" i="4"/>
  <c r="Q1857" i="4"/>
  <c r="F1857" i="4"/>
  <c r="E1857" i="4"/>
  <c r="A1857" i="4"/>
  <c r="Q1856" i="4"/>
  <c r="E1856" i="4"/>
  <c r="F1856" i="4" s="1"/>
  <c r="A1856" i="4"/>
  <c r="Q1855" i="4"/>
  <c r="E1855" i="4"/>
  <c r="F1855" i="4" s="1"/>
  <c r="A1855" i="4"/>
  <c r="Q1854" i="4"/>
  <c r="E1854" i="4"/>
  <c r="F1854" i="4" s="1"/>
  <c r="A1854" i="4"/>
  <c r="Q1853" i="4"/>
  <c r="F1853" i="4"/>
  <c r="E1853" i="4"/>
  <c r="A1853" i="4"/>
  <c r="Q1852" i="4"/>
  <c r="E1852" i="4"/>
  <c r="F1852" i="4" s="1"/>
  <c r="A1852" i="4"/>
  <c r="Q1851" i="4"/>
  <c r="E1851" i="4"/>
  <c r="F1851" i="4" s="1"/>
  <c r="A1851" i="4"/>
  <c r="Q1850" i="4"/>
  <c r="E1850" i="4"/>
  <c r="F1850" i="4" s="1"/>
  <c r="A1850" i="4"/>
  <c r="Q1849" i="4"/>
  <c r="F1849" i="4"/>
  <c r="E1849" i="4"/>
  <c r="A1849" i="4"/>
  <c r="Q1848" i="4"/>
  <c r="E1848" i="4"/>
  <c r="F1848" i="4" s="1"/>
  <c r="A1848" i="4"/>
  <c r="Q1847" i="4"/>
  <c r="F1847" i="4"/>
  <c r="E1847" i="4"/>
  <c r="A1847" i="4"/>
  <c r="Q1846" i="4"/>
  <c r="E1846" i="4"/>
  <c r="F1846" i="4" s="1"/>
  <c r="A1846" i="4"/>
  <c r="Q1845" i="4"/>
  <c r="F1845" i="4"/>
  <c r="E1845" i="4"/>
  <c r="A1845" i="4"/>
  <c r="Q1844" i="4"/>
  <c r="E1844" i="4"/>
  <c r="F1844" i="4" s="1"/>
  <c r="A1844" i="4"/>
  <c r="Q1843" i="4"/>
  <c r="E1843" i="4"/>
  <c r="F1843" i="4" s="1"/>
  <c r="A1843" i="4"/>
  <c r="Q1842" i="4"/>
  <c r="E1842" i="4"/>
  <c r="F1842" i="4" s="1"/>
  <c r="A1842" i="4"/>
  <c r="Q1841" i="4"/>
  <c r="F1841" i="4"/>
  <c r="E1841" i="4"/>
  <c r="A1841" i="4"/>
  <c r="Q1840" i="4"/>
  <c r="E1840" i="4"/>
  <c r="F1840" i="4" s="1"/>
  <c r="A1840" i="4"/>
  <c r="Q1839" i="4"/>
  <c r="E1839" i="4"/>
  <c r="F1839" i="4" s="1"/>
  <c r="A1839" i="4"/>
  <c r="Q1838" i="4"/>
  <c r="E1838" i="4"/>
  <c r="F1838" i="4" s="1"/>
  <c r="A1838" i="4"/>
  <c r="Q1837" i="4"/>
  <c r="F1837" i="4"/>
  <c r="E1837" i="4"/>
  <c r="A1837" i="4"/>
  <c r="Q1836" i="4"/>
  <c r="E1836" i="4"/>
  <c r="F1836" i="4" s="1"/>
  <c r="A1836" i="4"/>
  <c r="Q1835" i="4"/>
  <c r="E1835" i="4"/>
  <c r="F1835" i="4" s="1"/>
  <c r="A1835" i="4"/>
  <c r="Q1834" i="4"/>
  <c r="E1834" i="4"/>
  <c r="F1834" i="4" s="1"/>
  <c r="A1834" i="4"/>
  <c r="Q1833" i="4"/>
  <c r="F1833" i="4"/>
  <c r="E1833" i="4"/>
  <c r="A1833" i="4"/>
  <c r="Q1832" i="4"/>
  <c r="E1832" i="4"/>
  <c r="F1832" i="4" s="1"/>
  <c r="A1832" i="4"/>
  <c r="Q1831" i="4"/>
  <c r="F1831" i="4"/>
  <c r="E1831" i="4"/>
  <c r="A1831" i="4"/>
  <c r="Q1830" i="4"/>
  <c r="E1830" i="4"/>
  <c r="F1830" i="4" s="1"/>
  <c r="A1830" i="4"/>
  <c r="Q1829" i="4"/>
  <c r="E1829" i="4"/>
  <c r="F1829" i="4" s="1"/>
  <c r="A1829" i="4"/>
  <c r="Q1828" i="4"/>
  <c r="E1828" i="4"/>
  <c r="F1828" i="4" s="1"/>
  <c r="A1828" i="4"/>
  <c r="Q1827" i="4"/>
  <c r="E1827" i="4"/>
  <c r="F1827" i="4" s="1"/>
  <c r="A1827" i="4"/>
  <c r="Q1826" i="4"/>
  <c r="E1826" i="4"/>
  <c r="F1826" i="4" s="1"/>
  <c r="A1826" i="4"/>
  <c r="Q1825" i="4"/>
  <c r="F1825" i="4"/>
  <c r="E1825" i="4"/>
  <c r="A1825" i="4"/>
  <c r="Q1824" i="4"/>
  <c r="E1824" i="4"/>
  <c r="F1824" i="4" s="1"/>
  <c r="A1824" i="4"/>
  <c r="Q1823" i="4"/>
  <c r="E1823" i="4"/>
  <c r="F1823" i="4" s="1"/>
  <c r="A1823" i="4"/>
  <c r="Q1822" i="4"/>
  <c r="E1822" i="4"/>
  <c r="F1822" i="4" s="1"/>
  <c r="A1822" i="4"/>
  <c r="Q1821" i="4"/>
  <c r="F1821" i="4"/>
  <c r="E1821" i="4"/>
  <c r="A1821" i="4"/>
  <c r="Q1820" i="4"/>
  <c r="E1820" i="4"/>
  <c r="F1820" i="4" s="1"/>
  <c r="A1820" i="4"/>
  <c r="Q1819" i="4"/>
  <c r="E1819" i="4"/>
  <c r="F1819" i="4" s="1"/>
  <c r="A1819" i="4"/>
  <c r="Q1818" i="4"/>
  <c r="E1818" i="4"/>
  <c r="F1818" i="4" s="1"/>
  <c r="A1818" i="4"/>
  <c r="Q1817" i="4"/>
  <c r="F1817" i="4"/>
  <c r="E1817" i="4"/>
  <c r="A1817" i="4"/>
  <c r="Q1816" i="4"/>
  <c r="E1816" i="4"/>
  <c r="F1816" i="4" s="1"/>
  <c r="A1816" i="4"/>
  <c r="Q1815" i="4"/>
  <c r="E1815" i="4"/>
  <c r="F1815" i="4" s="1"/>
  <c r="A1815" i="4"/>
  <c r="Q1814" i="4"/>
  <c r="E1814" i="4"/>
  <c r="F1814" i="4" s="1"/>
  <c r="A1814" i="4"/>
  <c r="Q1813" i="4"/>
  <c r="F1813" i="4"/>
  <c r="E1813" i="4"/>
  <c r="A1813" i="4"/>
  <c r="Q1812" i="4"/>
  <c r="E1812" i="4"/>
  <c r="F1812" i="4" s="1"/>
  <c r="A1812" i="4"/>
  <c r="Q1811" i="4"/>
  <c r="E1811" i="4"/>
  <c r="F1811" i="4" s="1"/>
  <c r="A1811" i="4"/>
  <c r="Q1810" i="4"/>
  <c r="E1810" i="4"/>
  <c r="F1810" i="4" s="1"/>
  <c r="A1810" i="4"/>
  <c r="Q1809" i="4"/>
  <c r="F1809" i="4"/>
  <c r="E1809" i="4"/>
  <c r="A1809" i="4"/>
  <c r="Q1808" i="4"/>
  <c r="E1808" i="4"/>
  <c r="F1808" i="4" s="1"/>
  <c r="A1808" i="4"/>
  <c r="Q1807" i="4"/>
  <c r="E1807" i="4"/>
  <c r="F1807" i="4" s="1"/>
  <c r="A1807" i="4"/>
  <c r="Q1806" i="4"/>
  <c r="E1806" i="4"/>
  <c r="F1806" i="4" s="1"/>
  <c r="A1806" i="4"/>
  <c r="Q1805" i="4"/>
  <c r="F1805" i="4"/>
  <c r="E1805" i="4"/>
  <c r="A1805" i="4"/>
  <c r="Q1804" i="4"/>
  <c r="E1804" i="4"/>
  <c r="F1804" i="4" s="1"/>
  <c r="A1804" i="4"/>
  <c r="Q1803" i="4"/>
  <c r="E1803" i="4"/>
  <c r="F1803" i="4" s="1"/>
  <c r="A1803" i="4"/>
  <c r="Q1802" i="4"/>
  <c r="E1802" i="4"/>
  <c r="F1802" i="4" s="1"/>
  <c r="A1802" i="4"/>
  <c r="Q1801" i="4"/>
  <c r="F1801" i="4"/>
  <c r="E1801" i="4"/>
  <c r="A1801" i="4"/>
  <c r="Q1800" i="4"/>
  <c r="E1800" i="4"/>
  <c r="F1800" i="4" s="1"/>
  <c r="A1800" i="4"/>
  <c r="Q1799" i="4"/>
  <c r="E1799" i="4"/>
  <c r="F1799" i="4" s="1"/>
  <c r="A1799" i="4"/>
  <c r="Q1798" i="4"/>
  <c r="E1798" i="4"/>
  <c r="F1798" i="4" s="1"/>
  <c r="A1798" i="4"/>
  <c r="Q1797" i="4"/>
  <c r="F1797" i="4"/>
  <c r="E1797" i="4"/>
  <c r="A1797" i="4"/>
  <c r="Q1796" i="4"/>
  <c r="E1796" i="4"/>
  <c r="F1796" i="4" s="1"/>
  <c r="A1796" i="4"/>
  <c r="Q1795" i="4"/>
  <c r="E1795" i="4"/>
  <c r="F1795" i="4" s="1"/>
  <c r="A1795" i="4"/>
  <c r="Q1794" i="4"/>
  <c r="E1794" i="4"/>
  <c r="F1794" i="4" s="1"/>
  <c r="A1794" i="4"/>
  <c r="Q1793" i="4"/>
  <c r="F1793" i="4"/>
  <c r="E1793" i="4"/>
  <c r="A1793" i="4"/>
  <c r="Q1792" i="4"/>
  <c r="E1792" i="4"/>
  <c r="F1792" i="4" s="1"/>
  <c r="A1792" i="4"/>
  <c r="Q1791" i="4"/>
  <c r="E1791" i="4"/>
  <c r="F1791" i="4" s="1"/>
  <c r="A1791" i="4"/>
  <c r="Q1790" i="4"/>
  <c r="E1790" i="4"/>
  <c r="F1790" i="4" s="1"/>
  <c r="A1790" i="4"/>
  <c r="Q1789" i="4"/>
  <c r="F1789" i="4"/>
  <c r="E1789" i="4"/>
  <c r="A1789" i="4"/>
  <c r="Q1788" i="4"/>
  <c r="E1788" i="4"/>
  <c r="F1788" i="4" s="1"/>
  <c r="A1788" i="4"/>
  <c r="Q1787" i="4"/>
  <c r="E1787" i="4"/>
  <c r="F1787" i="4" s="1"/>
  <c r="A1787" i="4"/>
  <c r="Q1786" i="4"/>
  <c r="E1786" i="4"/>
  <c r="F1786" i="4" s="1"/>
  <c r="A1786" i="4"/>
  <c r="Q1785" i="4"/>
  <c r="F1785" i="4"/>
  <c r="E1785" i="4"/>
  <c r="A1785" i="4"/>
  <c r="Q1784" i="4"/>
  <c r="E1784" i="4"/>
  <c r="F1784" i="4" s="1"/>
  <c r="A1784" i="4"/>
  <c r="Q1783" i="4"/>
  <c r="E1783" i="4"/>
  <c r="F1783" i="4" s="1"/>
  <c r="A1783" i="4"/>
  <c r="Q1782" i="4"/>
  <c r="E1782" i="4"/>
  <c r="F1782" i="4" s="1"/>
  <c r="A1782" i="4"/>
  <c r="Q1781" i="4"/>
  <c r="E1781" i="4"/>
  <c r="F1781" i="4" s="1"/>
  <c r="A1781" i="4"/>
  <c r="Q1780" i="4"/>
  <c r="E1780" i="4"/>
  <c r="F1780" i="4" s="1"/>
  <c r="A1780" i="4"/>
  <c r="Q1779" i="4"/>
  <c r="E1779" i="4"/>
  <c r="F1779" i="4" s="1"/>
  <c r="A1779" i="4"/>
  <c r="Q1778" i="4"/>
  <c r="E1778" i="4"/>
  <c r="F1778" i="4" s="1"/>
  <c r="A1778" i="4"/>
  <c r="Q1777" i="4"/>
  <c r="F1777" i="4"/>
  <c r="E1777" i="4"/>
  <c r="A1777" i="4"/>
  <c r="Q1776" i="4"/>
  <c r="E1776" i="4"/>
  <c r="F1776" i="4" s="1"/>
  <c r="A1776" i="4"/>
  <c r="Q1775" i="4"/>
  <c r="E1775" i="4"/>
  <c r="F1775" i="4" s="1"/>
  <c r="A1775" i="4"/>
  <c r="Q1774" i="4"/>
  <c r="E1774" i="4"/>
  <c r="F1774" i="4" s="1"/>
  <c r="A1774" i="4"/>
  <c r="Q1773" i="4"/>
  <c r="F1773" i="4"/>
  <c r="E1773" i="4"/>
  <c r="A1773" i="4"/>
  <c r="Q1772" i="4"/>
  <c r="E1772" i="4"/>
  <c r="F1772" i="4" s="1"/>
  <c r="A1772" i="4"/>
  <c r="Q1771" i="4"/>
  <c r="E1771" i="4"/>
  <c r="F1771" i="4" s="1"/>
  <c r="A1771" i="4"/>
  <c r="Q1770" i="4"/>
  <c r="E1770" i="4"/>
  <c r="F1770" i="4" s="1"/>
  <c r="A1770" i="4"/>
  <c r="Q1769" i="4"/>
  <c r="F1769" i="4"/>
  <c r="E1769" i="4"/>
  <c r="A1769" i="4"/>
  <c r="Q1768" i="4"/>
  <c r="E1768" i="4"/>
  <c r="F1768" i="4" s="1"/>
  <c r="A1768" i="4"/>
  <c r="Q1767" i="4"/>
  <c r="E1767" i="4"/>
  <c r="F1767" i="4" s="1"/>
  <c r="A1767" i="4"/>
  <c r="Q1766" i="4"/>
  <c r="E1766" i="4"/>
  <c r="F1766" i="4" s="1"/>
  <c r="A1766" i="4"/>
  <c r="Q1765" i="4"/>
  <c r="F1765" i="4"/>
  <c r="E1765" i="4"/>
  <c r="A1765" i="4"/>
  <c r="Q1764" i="4"/>
  <c r="E1764" i="4"/>
  <c r="F1764" i="4" s="1"/>
  <c r="A1764" i="4"/>
  <c r="Q1763" i="4"/>
  <c r="E1763" i="4"/>
  <c r="F1763" i="4" s="1"/>
  <c r="A1763" i="4"/>
  <c r="Q1762" i="4"/>
  <c r="E1762" i="4"/>
  <c r="F1762" i="4" s="1"/>
  <c r="A1762" i="4"/>
  <c r="Q1761" i="4"/>
  <c r="F1761" i="4"/>
  <c r="E1761" i="4"/>
  <c r="A1761" i="4"/>
  <c r="Q1760" i="4"/>
  <c r="E1760" i="4"/>
  <c r="F1760" i="4" s="1"/>
  <c r="A1760" i="4"/>
  <c r="Q1759" i="4"/>
  <c r="E1759" i="4"/>
  <c r="F1759" i="4" s="1"/>
  <c r="A1759" i="4"/>
  <c r="Q1758" i="4"/>
  <c r="E1758" i="4"/>
  <c r="F1758" i="4" s="1"/>
  <c r="A1758" i="4"/>
  <c r="Q1757" i="4"/>
  <c r="E1757" i="4"/>
  <c r="F1757" i="4" s="1"/>
  <c r="A1757" i="4"/>
  <c r="Q1756" i="4"/>
  <c r="F1756" i="4"/>
  <c r="E1756" i="4"/>
  <c r="A1756" i="4"/>
  <c r="Q1755" i="4"/>
  <c r="E1755" i="4"/>
  <c r="F1755" i="4" s="1"/>
  <c r="A1755" i="4"/>
  <c r="Q1754" i="4"/>
  <c r="E1754" i="4"/>
  <c r="F1754" i="4" s="1"/>
  <c r="A1754" i="4"/>
  <c r="Q1753" i="4"/>
  <c r="E1753" i="4"/>
  <c r="F1753" i="4" s="1"/>
  <c r="A1753" i="4"/>
  <c r="Q1752" i="4"/>
  <c r="E1752" i="4"/>
  <c r="F1752" i="4" s="1"/>
  <c r="A1752" i="4"/>
  <c r="Q1751" i="4"/>
  <c r="E1751" i="4"/>
  <c r="F1751" i="4" s="1"/>
  <c r="A1751" i="4"/>
  <c r="Q1750" i="4"/>
  <c r="E1750" i="4"/>
  <c r="F1750" i="4" s="1"/>
  <c r="A1750" i="4"/>
  <c r="Q1749" i="4"/>
  <c r="E1749" i="4"/>
  <c r="F1749" i="4" s="1"/>
  <c r="A1749" i="4"/>
  <c r="Q1748" i="4"/>
  <c r="E1748" i="4"/>
  <c r="F1748" i="4" s="1"/>
  <c r="A1748" i="4"/>
  <c r="Q1747" i="4"/>
  <c r="E1747" i="4"/>
  <c r="F1747" i="4" s="1"/>
  <c r="A1747" i="4"/>
  <c r="Q1746" i="4"/>
  <c r="E1746" i="4"/>
  <c r="F1746" i="4" s="1"/>
  <c r="A1746" i="4"/>
  <c r="Q1745" i="4"/>
  <c r="E1745" i="4"/>
  <c r="F1745" i="4" s="1"/>
  <c r="A1745" i="4"/>
  <c r="Q1744" i="4"/>
  <c r="F1744" i="4"/>
  <c r="E1744" i="4"/>
  <c r="A1744" i="4"/>
  <c r="Q1743" i="4"/>
  <c r="E1743" i="4"/>
  <c r="F1743" i="4" s="1"/>
  <c r="A1743" i="4"/>
  <c r="Q1742" i="4"/>
  <c r="E1742" i="4"/>
  <c r="F1742" i="4" s="1"/>
  <c r="A1742" i="4"/>
  <c r="Q1741" i="4"/>
  <c r="E1741" i="4"/>
  <c r="F1741" i="4" s="1"/>
  <c r="A1741" i="4"/>
  <c r="Q1740" i="4"/>
  <c r="F1740" i="4"/>
  <c r="E1740" i="4"/>
  <c r="A1740" i="4"/>
  <c r="Q1739" i="4"/>
  <c r="E1739" i="4"/>
  <c r="F1739" i="4" s="1"/>
  <c r="A1739" i="4"/>
  <c r="Q1738" i="4"/>
  <c r="E1738" i="4"/>
  <c r="F1738" i="4" s="1"/>
  <c r="A1738" i="4"/>
  <c r="Q1737" i="4"/>
  <c r="E1737" i="4"/>
  <c r="F1737" i="4" s="1"/>
  <c r="A1737" i="4"/>
  <c r="Q1736" i="4"/>
  <c r="F1736" i="4"/>
  <c r="E1736" i="4"/>
  <c r="A1736" i="4"/>
  <c r="Q1735" i="4"/>
  <c r="E1735" i="4"/>
  <c r="F1735" i="4" s="1"/>
  <c r="A1735" i="4"/>
  <c r="Q1734" i="4"/>
  <c r="E1734" i="4"/>
  <c r="F1734" i="4" s="1"/>
  <c r="A1734" i="4"/>
  <c r="Q1733" i="4"/>
  <c r="E1733" i="4"/>
  <c r="F1733" i="4" s="1"/>
  <c r="A1733" i="4"/>
  <c r="Q1732" i="4"/>
  <c r="E1732" i="4"/>
  <c r="F1732" i="4" s="1"/>
  <c r="A1732" i="4"/>
  <c r="Q1731" i="4"/>
  <c r="E1731" i="4"/>
  <c r="F1731" i="4" s="1"/>
  <c r="A1731" i="4"/>
  <c r="Q1730" i="4"/>
  <c r="E1730" i="4"/>
  <c r="F1730" i="4" s="1"/>
  <c r="A1730" i="4"/>
  <c r="Q1729" i="4"/>
  <c r="E1729" i="4"/>
  <c r="F1729" i="4" s="1"/>
  <c r="A1729" i="4"/>
  <c r="Q1728" i="4"/>
  <c r="F1728" i="4"/>
  <c r="E1728" i="4"/>
  <c r="A1728" i="4"/>
  <c r="Q1727" i="4"/>
  <c r="E1727" i="4"/>
  <c r="F1727" i="4" s="1"/>
  <c r="A1727" i="4"/>
  <c r="Q1726" i="4"/>
  <c r="E1726" i="4"/>
  <c r="F1726" i="4" s="1"/>
  <c r="A1726" i="4"/>
  <c r="Q1725" i="4"/>
  <c r="E1725" i="4"/>
  <c r="F1725" i="4" s="1"/>
  <c r="A1725" i="4"/>
  <c r="Q1724" i="4"/>
  <c r="F1724" i="4"/>
  <c r="E1724" i="4"/>
  <c r="A1724" i="4"/>
  <c r="Q1723" i="4"/>
  <c r="E1723" i="4"/>
  <c r="F1723" i="4" s="1"/>
  <c r="A1723" i="4"/>
  <c r="Q1722" i="4"/>
  <c r="E1722" i="4"/>
  <c r="F1722" i="4" s="1"/>
  <c r="A1722" i="4"/>
  <c r="Q1721" i="4"/>
  <c r="E1721" i="4"/>
  <c r="F1721" i="4" s="1"/>
  <c r="A1721" i="4"/>
  <c r="Q1720" i="4"/>
  <c r="E1720" i="4"/>
  <c r="F1720" i="4" s="1"/>
  <c r="A1720" i="4"/>
  <c r="Q1719" i="4"/>
  <c r="E1719" i="4"/>
  <c r="F1719" i="4" s="1"/>
  <c r="A1719" i="4"/>
  <c r="Q1718" i="4"/>
  <c r="E1718" i="4"/>
  <c r="F1718" i="4" s="1"/>
  <c r="A1718" i="4"/>
  <c r="Q1717" i="4"/>
  <c r="E1717" i="4"/>
  <c r="F1717" i="4" s="1"/>
  <c r="A1717" i="4"/>
  <c r="Q1716" i="4"/>
  <c r="E1716" i="4"/>
  <c r="F1716" i="4" s="1"/>
  <c r="A1716" i="4"/>
  <c r="Q1715" i="4"/>
  <c r="E1715" i="4"/>
  <c r="F1715" i="4" s="1"/>
  <c r="A1715" i="4"/>
  <c r="Q1714" i="4"/>
  <c r="E1714" i="4"/>
  <c r="F1714" i="4" s="1"/>
  <c r="A1714" i="4"/>
  <c r="Q1713" i="4"/>
  <c r="E1713" i="4"/>
  <c r="F1713" i="4" s="1"/>
  <c r="A1713" i="4"/>
  <c r="Q1712" i="4"/>
  <c r="F1712" i="4"/>
  <c r="E1712" i="4"/>
  <c r="A1712" i="4"/>
  <c r="Q1711" i="4"/>
  <c r="E1711" i="4"/>
  <c r="F1711" i="4" s="1"/>
  <c r="A1711" i="4"/>
  <c r="Q1710" i="4"/>
  <c r="E1710" i="4"/>
  <c r="F1710" i="4" s="1"/>
  <c r="A1710" i="4"/>
  <c r="Q1709" i="4"/>
  <c r="E1709" i="4"/>
  <c r="F1709" i="4" s="1"/>
  <c r="A1709" i="4"/>
  <c r="Q1708" i="4"/>
  <c r="F1708" i="4"/>
  <c r="E1708" i="4"/>
  <c r="A1708" i="4"/>
  <c r="Q1707" i="4"/>
  <c r="E1707" i="4"/>
  <c r="F1707" i="4" s="1"/>
  <c r="A1707" i="4"/>
  <c r="Q1706" i="4"/>
  <c r="E1706" i="4"/>
  <c r="F1706" i="4" s="1"/>
  <c r="A1706" i="4"/>
  <c r="Q1705" i="4"/>
  <c r="E1705" i="4"/>
  <c r="F1705" i="4" s="1"/>
  <c r="A1705" i="4"/>
  <c r="Q1704" i="4"/>
  <c r="F1704" i="4"/>
  <c r="E1704" i="4"/>
  <c r="A1704" i="4"/>
  <c r="Q1703" i="4"/>
  <c r="E1703" i="4"/>
  <c r="F1703" i="4" s="1"/>
  <c r="A1703" i="4"/>
  <c r="Q1702" i="4"/>
  <c r="E1702" i="4"/>
  <c r="F1702" i="4" s="1"/>
  <c r="A1702" i="4"/>
  <c r="Q1701" i="4"/>
  <c r="E1701" i="4"/>
  <c r="F1701" i="4" s="1"/>
  <c r="A1701" i="4"/>
  <c r="Q1700" i="4"/>
  <c r="E1700" i="4"/>
  <c r="F1700" i="4" s="1"/>
  <c r="A1700" i="4"/>
  <c r="Q1699" i="4"/>
  <c r="E1699" i="4"/>
  <c r="F1699" i="4" s="1"/>
  <c r="A1699" i="4"/>
  <c r="Q1698" i="4"/>
  <c r="E1698" i="4"/>
  <c r="F1698" i="4" s="1"/>
  <c r="A1698" i="4"/>
  <c r="Q1697" i="4"/>
  <c r="E1697" i="4"/>
  <c r="F1697" i="4" s="1"/>
  <c r="A1697" i="4"/>
  <c r="Q1696" i="4"/>
  <c r="F1696" i="4"/>
  <c r="E1696" i="4"/>
  <c r="A1696" i="4"/>
  <c r="Q1695" i="4"/>
  <c r="E1695" i="4"/>
  <c r="F1695" i="4" s="1"/>
  <c r="A1695" i="4"/>
  <c r="Q1694" i="4"/>
  <c r="E1694" i="4"/>
  <c r="F1694" i="4" s="1"/>
  <c r="A1694" i="4"/>
  <c r="Q1693" i="4"/>
  <c r="E1693" i="4"/>
  <c r="F1693" i="4" s="1"/>
  <c r="A1693" i="4"/>
  <c r="Q1692" i="4"/>
  <c r="F1692" i="4"/>
  <c r="E1692" i="4"/>
  <c r="A1692" i="4"/>
  <c r="Q1691" i="4"/>
  <c r="E1691" i="4"/>
  <c r="F1691" i="4" s="1"/>
  <c r="A1691" i="4"/>
  <c r="Q1690" i="4"/>
  <c r="E1690" i="4"/>
  <c r="F1690" i="4" s="1"/>
  <c r="A1690" i="4"/>
  <c r="Q1689" i="4"/>
  <c r="E1689" i="4"/>
  <c r="F1689" i="4" s="1"/>
  <c r="A1689" i="4"/>
  <c r="Q1688" i="4"/>
  <c r="F1688" i="4"/>
  <c r="E1688" i="4"/>
  <c r="A1688" i="4"/>
  <c r="Q1687" i="4"/>
  <c r="E1687" i="4"/>
  <c r="F1687" i="4" s="1"/>
  <c r="A1687" i="4"/>
  <c r="Q1686" i="4"/>
  <c r="E1686" i="4"/>
  <c r="F1686" i="4" s="1"/>
  <c r="A1686" i="4"/>
  <c r="Q1685" i="4"/>
  <c r="E1685" i="4"/>
  <c r="F1685" i="4" s="1"/>
  <c r="A1685" i="4"/>
  <c r="Q1684" i="4"/>
  <c r="E1684" i="4"/>
  <c r="F1684" i="4" s="1"/>
  <c r="A1684" i="4"/>
  <c r="Q1683" i="4"/>
  <c r="E1683" i="4"/>
  <c r="F1683" i="4" s="1"/>
  <c r="A1683" i="4"/>
  <c r="Q1682" i="4"/>
  <c r="E1682" i="4"/>
  <c r="F1682" i="4" s="1"/>
  <c r="A1682" i="4"/>
  <c r="Q1681" i="4"/>
  <c r="E1681" i="4"/>
  <c r="F1681" i="4" s="1"/>
  <c r="A1681" i="4"/>
  <c r="Q1680" i="4"/>
  <c r="F1680" i="4"/>
  <c r="E1680" i="4"/>
  <c r="A1680" i="4"/>
  <c r="Q1679" i="4"/>
  <c r="E1679" i="4"/>
  <c r="F1679" i="4" s="1"/>
  <c r="A1679" i="4"/>
  <c r="Q1678" i="4"/>
  <c r="E1678" i="4"/>
  <c r="F1678" i="4" s="1"/>
  <c r="A1678" i="4"/>
  <c r="Q1677" i="4"/>
  <c r="E1677" i="4"/>
  <c r="F1677" i="4" s="1"/>
  <c r="A1677" i="4"/>
  <c r="Q1676" i="4"/>
  <c r="F1676" i="4"/>
  <c r="E1676" i="4"/>
  <c r="A1676" i="4"/>
  <c r="Q1675" i="4"/>
  <c r="E1675" i="4"/>
  <c r="F1675" i="4" s="1"/>
  <c r="A1675" i="4"/>
  <c r="Q1674" i="4"/>
  <c r="E1674" i="4"/>
  <c r="F1674" i="4" s="1"/>
  <c r="A1674" i="4"/>
  <c r="Q1673" i="4"/>
  <c r="E1673" i="4"/>
  <c r="F1673" i="4" s="1"/>
  <c r="A1673" i="4"/>
  <c r="Q1672" i="4"/>
  <c r="F1672" i="4"/>
  <c r="E1672" i="4"/>
  <c r="A1672" i="4"/>
  <c r="Q1671" i="4"/>
  <c r="E1671" i="4"/>
  <c r="F1671" i="4" s="1"/>
  <c r="A1671" i="4"/>
  <c r="Q1670" i="4"/>
  <c r="E1670" i="4"/>
  <c r="F1670" i="4" s="1"/>
  <c r="A1670" i="4"/>
  <c r="Q1669" i="4"/>
  <c r="E1669" i="4"/>
  <c r="F1669" i="4" s="1"/>
  <c r="A1669" i="4"/>
  <c r="Q1668" i="4"/>
  <c r="E1668" i="4"/>
  <c r="F1668" i="4" s="1"/>
  <c r="A1668" i="4"/>
  <c r="Q1667" i="4"/>
  <c r="E1667" i="4"/>
  <c r="F1667" i="4" s="1"/>
  <c r="A1667" i="4"/>
  <c r="Q1666" i="4"/>
  <c r="E1666" i="4"/>
  <c r="F1666" i="4" s="1"/>
  <c r="A1666" i="4"/>
  <c r="Q1665" i="4"/>
  <c r="E1665" i="4"/>
  <c r="F1665" i="4" s="1"/>
  <c r="A1665" i="4"/>
  <c r="Q1664" i="4"/>
  <c r="F1664" i="4"/>
  <c r="E1664" i="4"/>
  <c r="A1664" i="4"/>
  <c r="Q1663" i="4"/>
  <c r="E1663" i="4"/>
  <c r="F1663" i="4" s="1"/>
  <c r="A1663" i="4"/>
  <c r="Q1662" i="4"/>
  <c r="E1662" i="4"/>
  <c r="F1662" i="4" s="1"/>
  <c r="A1662" i="4"/>
  <c r="Q1661" i="4"/>
  <c r="E1661" i="4"/>
  <c r="F1661" i="4" s="1"/>
  <c r="A1661" i="4"/>
  <c r="Q1660" i="4"/>
  <c r="F1660" i="4"/>
  <c r="E1660" i="4"/>
  <c r="A1660" i="4"/>
  <c r="Q1659" i="4"/>
  <c r="E1659" i="4"/>
  <c r="F1659" i="4" s="1"/>
  <c r="A1659" i="4"/>
  <c r="Q1658" i="4"/>
  <c r="E1658" i="4"/>
  <c r="F1658" i="4" s="1"/>
  <c r="A1658" i="4"/>
  <c r="Q1657" i="4"/>
  <c r="E1657" i="4"/>
  <c r="F1657" i="4" s="1"/>
  <c r="A1657" i="4"/>
  <c r="Q1656" i="4"/>
  <c r="F1656" i="4"/>
  <c r="E1656" i="4"/>
  <c r="A1656" i="4"/>
  <c r="Q1655" i="4"/>
  <c r="E1655" i="4"/>
  <c r="F1655" i="4" s="1"/>
  <c r="A1655" i="4"/>
  <c r="Q1654" i="4"/>
  <c r="E1654" i="4"/>
  <c r="F1654" i="4" s="1"/>
  <c r="A1654" i="4"/>
  <c r="Q1653" i="4"/>
  <c r="E1653" i="4"/>
  <c r="F1653" i="4" s="1"/>
  <c r="A1653" i="4"/>
  <c r="Q1652" i="4"/>
  <c r="E1652" i="4"/>
  <c r="F1652" i="4" s="1"/>
  <c r="A1652" i="4"/>
  <c r="Q1651" i="4"/>
  <c r="E1651" i="4"/>
  <c r="F1651" i="4" s="1"/>
  <c r="A1651" i="4"/>
  <c r="Q1650" i="4"/>
  <c r="E1650" i="4"/>
  <c r="F1650" i="4" s="1"/>
  <c r="A1650" i="4"/>
  <c r="Q1649" i="4"/>
  <c r="E1649" i="4"/>
  <c r="F1649" i="4" s="1"/>
  <c r="A1649" i="4"/>
  <c r="Q1648" i="4"/>
  <c r="F1648" i="4"/>
  <c r="E1648" i="4"/>
  <c r="A1648" i="4"/>
  <c r="Q1647" i="4"/>
  <c r="E1647" i="4"/>
  <c r="F1647" i="4" s="1"/>
  <c r="A1647" i="4"/>
  <c r="Q1646" i="4"/>
  <c r="E1646" i="4"/>
  <c r="F1646" i="4" s="1"/>
  <c r="A1646" i="4"/>
  <c r="Q1645" i="4"/>
  <c r="E1645" i="4"/>
  <c r="F1645" i="4" s="1"/>
  <c r="A1645" i="4"/>
  <c r="Q1644" i="4"/>
  <c r="F1644" i="4"/>
  <c r="E1644" i="4"/>
  <c r="A1644" i="4"/>
  <c r="Q1643" i="4"/>
  <c r="E1643" i="4"/>
  <c r="F1643" i="4" s="1"/>
  <c r="A1643" i="4"/>
  <c r="Q1642" i="4"/>
  <c r="E1642" i="4"/>
  <c r="F1642" i="4" s="1"/>
  <c r="A1642" i="4"/>
  <c r="Q1641" i="4"/>
  <c r="E1641" i="4"/>
  <c r="F1641" i="4" s="1"/>
  <c r="A1641" i="4"/>
  <c r="Q1640" i="4"/>
  <c r="F1640" i="4"/>
  <c r="E1640" i="4"/>
  <c r="A1640" i="4"/>
  <c r="Q1639" i="4"/>
  <c r="E1639" i="4"/>
  <c r="F1639" i="4" s="1"/>
  <c r="A1639" i="4"/>
  <c r="Q1638" i="4"/>
  <c r="E1638" i="4"/>
  <c r="F1638" i="4" s="1"/>
  <c r="A1638" i="4"/>
  <c r="Q1637" i="4"/>
  <c r="E1637" i="4"/>
  <c r="F1637" i="4" s="1"/>
  <c r="A1637" i="4"/>
  <c r="Q1636" i="4"/>
  <c r="E1636" i="4"/>
  <c r="F1636" i="4" s="1"/>
  <c r="A1636" i="4"/>
  <c r="Q1635" i="4"/>
  <c r="E1635" i="4"/>
  <c r="F1635" i="4" s="1"/>
  <c r="A1635" i="4"/>
  <c r="Q1634" i="4"/>
  <c r="E1634" i="4"/>
  <c r="F1634" i="4" s="1"/>
  <c r="A1634" i="4"/>
  <c r="Q1633" i="4"/>
  <c r="E1633" i="4"/>
  <c r="F1633" i="4" s="1"/>
  <c r="A1633" i="4"/>
  <c r="Q1632" i="4"/>
  <c r="F1632" i="4"/>
  <c r="E1632" i="4"/>
  <c r="A1632" i="4"/>
  <c r="Q1631" i="4"/>
  <c r="E1631" i="4"/>
  <c r="F1631" i="4" s="1"/>
  <c r="A1631" i="4"/>
  <c r="Q1630" i="4"/>
  <c r="E1630" i="4"/>
  <c r="F1630" i="4" s="1"/>
  <c r="A1630" i="4"/>
  <c r="Q1629" i="4"/>
  <c r="E1629" i="4"/>
  <c r="F1629" i="4" s="1"/>
  <c r="A1629" i="4"/>
  <c r="Q1628" i="4"/>
  <c r="F1628" i="4"/>
  <c r="E1628" i="4"/>
  <c r="A1628" i="4"/>
  <c r="Q1627" i="4"/>
  <c r="E1627" i="4"/>
  <c r="F1627" i="4" s="1"/>
  <c r="A1627" i="4"/>
  <c r="Q1626" i="4"/>
  <c r="E1626" i="4"/>
  <c r="F1626" i="4" s="1"/>
  <c r="A1626" i="4"/>
  <c r="Q1625" i="4"/>
  <c r="E1625" i="4"/>
  <c r="F1625" i="4" s="1"/>
  <c r="A1625" i="4"/>
  <c r="Q1624" i="4"/>
  <c r="F1624" i="4"/>
  <c r="E1624" i="4"/>
  <c r="A1624" i="4"/>
  <c r="Q1623" i="4"/>
  <c r="E1623" i="4"/>
  <c r="F1623" i="4" s="1"/>
  <c r="A1623" i="4"/>
  <c r="Q1622" i="4"/>
  <c r="F1622" i="4"/>
  <c r="E1622" i="4"/>
  <c r="A1622" i="4"/>
  <c r="Q1621" i="4"/>
  <c r="E1621" i="4"/>
  <c r="F1621" i="4" s="1"/>
  <c r="A1621" i="4"/>
  <c r="Q1620" i="4"/>
  <c r="E1620" i="4"/>
  <c r="F1620" i="4" s="1"/>
  <c r="A1620" i="4"/>
  <c r="Q1619" i="4"/>
  <c r="E1619" i="4"/>
  <c r="F1619" i="4" s="1"/>
  <c r="A1619" i="4"/>
  <c r="Q1618" i="4"/>
  <c r="E1618" i="4"/>
  <c r="F1618" i="4" s="1"/>
  <c r="A1618" i="4"/>
  <c r="Q1617" i="4"/>
  <c r="E1617" i="4"/>
  <c r="F1617" i="4" s="1"/>
  <c r="A1617" i="4"/>
  <c r="Q1616" i="4"/>
  <c r="F1616" i="4"/>
  <c r="E1616" i="4"/>
  <c r="A1616" i="4"/>
  <c r="Q1615" i="4"/>
  <c r="E1615" i="4"/>
  <c r="F1615" i="4" s="1"/>
  <c r="A1615" i="4"/>
  <c r="Q1614" i="4"/>
  <c r="E1614" i="4"/>
  <c r="F1614" i="4" s="1"/>
  <c r="A1614" i="4"/>
  <c r="Q1613" i="4"/>
  <c r="E1613" i="4"/>
  <c r="F1613" i="4" s="1"/>
  <c r="A1613" i="4"/>
  <c r="Q1612" i="4"/>
  <c r="F1612" i="4"/>
  <c r="E1612" i="4"/>
  <c r="A1612" i="4"/>
  <c r="Q1611" i="4"/>
  <c r="E1611" i="4"/>
  <c r="F1611" i="4" s="1"/>
  <c r="A1611" i="4"/>
  <c r="Q1610" i="4"/>
  <c r="E1610" i="4"/>
  <c r="F1610" i="4" s="1"/>
  <c r="A1610" i="4"/>
  <c r="Q1609" i="4"/>
  <c r="E1609" i="4"/>
  <c r="F1609" i="4" s="1"/>
  <c r="A1609" i="4"/>
  <c r="Q1608" i="4"/>
  <c r="E1608" i="4"/>
  <c r="F1608" i="4" s="1"/>
  <c r="A1608" i="4"/>
  <c r="Q1607" i="4"/>
  <c r="E1607" i="4"/>
  <c r="F1607" i="4" s="1"/>
  <c r="A1607" i="4"/>
  <c r="Q1606" i="4"/>
  <c r="F1606" i="4"/>
  <c r="E1606" i="4"/>
  <c r="A1606" i="4"/>
  <c r="Q1605" i="4"/>
  <c r="E1605" i="4"/>
  <c r="F1605" i="4" s="1"/>
  <c r="A1605" i="4"/>
  <c r="Q1604" i="4"/>
  <c r="E1604" i="4"/>
  <c r="F1604" i="4" s="1"/>
  <c r="A1604" i="4"/>
  <c r="Q1603" i="4"/>
  <c r="E1603" i="4"/>
  <c r="F1603" i="4" s="1"/>
  <c r="A1603" i="4"/>
  <c r="Q1602" i="4"/>
  <c r="F1602" i="4"/>
  <c r="E1602" i="4"/>
  <c r="A1602" i="4"/>
  <c r="Q1601" i="4"/>
  <c r="E1601" i="4"/>
  <c r="F1601" i="4" s="1"/>
  <c r="A1601" i="4"/>
  <c r="Q1600" i="4"/>
  <c r="E1600" i="4"/>
  <c r="F1600" i="4" s="1"/>
  <c r="A1600" i="4"/>
  <c r="Q1599" i="4"/>
  <c r="E1599" i="4"/>
  <c r="F1599" i="4" s="1"/>
  <c r="A1599" i="4"/>
  <c r="Q1598" i="4"/>
  <c r="F1598" i="4"/>
  <c r="E1598" i="4"/>
  <c r="A1598" i="4"/>
  <c r="Q1597" i="4"/>
  <c r="E1597" i="4"/>
  <c r="F1597" i="4" s="1"/>
  <c r="A1597" i="4"/>
  <c r="Q1596" i="4"/>
  <c r="F1596" i="4"/>
  <c r="E1596" i="4"/>
  <c r="A1596" i="4"/>
  <c r="Q1595" i="4"/>
  <c r="E1595" i="4"/>
  <c r="F1595" i="4" s="1"/>
  <c r="A1595" i="4"/>
  <c r="Q1594" i="4"/>
  <c r="E1594" i="4"/>
  <c r="F1594" i="4" s="1"/>
  <c r="A1594" i="4"/>
  <c r="Q1593" i="4"/>
  <c r="E1593" i="4"/>
  <c r="F1593" i="4" s="1"/>
  <c r="A1593" i="4"/>
  <c r="Q1592" i="4"/>
  <c r="E1592" i="4"/>
  <c r="F1592" i="4" s="1"/>
  <c r="A1592" i="4"/>
  <c r="Q1591" i="4"/>
  <c r="E1591" i="4"/>
  <c r="F1591" i="4" s="1"/>
  <c r="A1591" i="4"/>
  <c r="Q1590" i="4"/>
  <c r="F1590" i="4"/>
  <c r="E1590" i="4"/>
  <c r="A1590" i="4"/>
  <c r="Q1589" i="4"/>
  <c r="E1589" i="4"/>
  <c r="F1589" i="4" s="1"/>
  <c r="A1589" i="4"/>
  <c r="Q1588" i="4"/>
  <c r="E1588" i="4"/>
  <c r="F1588" i="4" s="1"/>
  <c r="A1588" i="4"/>
  <c r="Q1587" i="4"/>
  <c r="E1587" i="4"/>
  <c r="F1587" i="4" s="1"/>
  <c r="A1587" i="4"/>
  <c r="Q1586" i="4"/>
  <c r="F1586" i="4"/>
  <c r="E1586" i="4"/>
  <c r="A1586" i="4"/>
  <c r="Q1585" i="4"/>
  <c r="E1585" i="4"/>
  <c r="F1585" i="4" s="1"/>
  <c r="A1585" i="4"/>
  <c r="Q1584" i="4"/>
  <c r="E1584" i="4"/>
  <c r="F1584" i="4" s="1"/>
  <c r="A1584" i="4"/>
  <c r="Q1583" i="4"/>
  <c r="E1583" i="4"/>
  <c r="F1583" i="4" s="1"/>
  <c r="A1583" i="4"/>
  <c r="Q1582" i="4"/>
  <c r="F1582" i="4"/>
  <c r="E1582" i="4"/>
  <c r="A1582" i="4"/>
  <c r="Q1581" i="4"/>
  <c r="E1581" i="4"/>
  <c r="F1581" i="4" s="1"/>
  <c r="A1581" i="4"/>
  <c r="Q1580" i="4"/>
  <c r="F1580" i="4"/>
  <c r="E1580" i="4"/>
  <c r="A1580" i="4"/>
  <c r="Q1579" i="4"/>
  <c r="E1579" i="4"/>
  <c r="F1579" i="4" s="1"/>
  <c r="A1579" i="4"/>
  <c r="Q1578" i="4"/>
  <c r="E1578" i="4"/>
  <c r="F1578" i="4" s="1"/>
  <c r="A1578" i="4"/>
  <c r="Q1577" i="4"/>
  <c r="E1577" i="4"/>
  <c r="F1577" i="4" s="1"/>
  <c r="A1577" i="4"/>
  <c r="Q1576" i="4"/>
  <c r="E1576" i="4"/>
  <c r="F1576" i="4" s="1"/>
  <c r="A1576" i="4"/>
  <c r="Q1575" i="4"/>
  <c r="E1575" i="4"/>
  <c r="F1575" i="4" s="1"/>
  <c r="A1575" i="4"/>
  <c r="Q1574" i="4"/>
  <c r="F1574" i="4"/>
  <c r="E1574" i="4"/>
  <c r="A1574" i="4"/>
  <c r="Q1573" i="4"/>
  <c r="E1573" i="4"/>
  <c r="F1573" i="4" s="1"/>
  <c r="A1573" i="4"/>
  <c r="Q1572" i="4"/>
  <c r="E1572" i="4"/>
  <c r="F1572" i="4" s="1"/>
  <c r="A1572" i="4"/>
  <c r="Q1571" i="4"/>
  <c r="E1571" i="4"/>
  <c r="F1571" i="4" s="1"/>
  <c r="A1571" i="4"/>
  <c r="Q1570" i="4"/>
  <c r="F1570" i="4"/>
  <c r="E1570" i="4"/>
  <c r="A1570" i="4"/>
  <c r="Q1569" i="4"/>
  <c r="E1569" i="4"/>
  <c r="F1569" i="4" s="1"/>
  <c r="A1569" i="4"/>
  <c r="Q1568" i="4"/>
  <c r="E1568" i="4"/>
  <c r="F1568" i="4" s="1"/>
  <c r="A1568" i="4"/>
  <c r="Q1567" i="4"/>
  <c r="E1567" i="4"/>
  <c r="F1567" i="4" s="1"/>
  <c r="A1567" i="4"/>
  <c r="Q1566" i="4"/>
  <c r="E1566" i="4"/>
  <c r="F1566" i="4" s="1"/>
  <c r="A1566" i="4"/>
  <c r="Q1565" i="4"/>
  <c r="E1565" i="4"/>
  <c r="F1565" i="4" s="1"/>
  <c r="A1565" i="4"/>
  <c r="Q1564" i="4"/>
  <c r="F1564" i="4"/>
  <c r="E1564" i="4"/>
  <c r="A1564" i="4"/>
  <c r="Q1563" i="4"/>
  <c r="E1563" i="4"/>
  <c r="F1563" i="4" s="1"/>
  <c r="A1563" i="4"/>
  <c r="Q1562" i="4"/>
  <c r="F1562" i="4"/>
  <c r="E1562" i="4"/>
  <c r="A1562" i="4"/>
  <c r="Q1561" i="4"/>
  <c r="E1561" i="4"/>
  <c r="F1561" i="4" s="1"/>
  <c r="A1561" i="4"/>
  <c r="Q1560" i="4"/>
  <c r="E1560" i="4"/>
  <c r="F1560" i="4" s="1"/>
  <c r="A1560" i="4"/>
  <c r="Q1559" i="4"/>
  <c r="E1559" i="4"/>
  <c r="F1559" i="4" s="1"/>
  <c r="A1559" i="4"/>
  <c r="Q1558" i="4"/>
  <c r="F1558" i="4"/>
  <c r="E1558" i="4"/>
  <c r="A1558" i="4"/>
  <c r="Q1557" i="4"/>
  <c r="E1557" i="4"/>
  <c r="F1557" i="4" s="1"/>
  <c r="A1557" i="4"/>
  <c r="Q1556" i="4"/>
  <c r="E1556" i="4"/>
  <c r="F1556" i="4" s="1"/>
  <c r="A1556" i="4"/>
  <c r="Q1555" i="4"/>
  <c r="E1555" i="4"/>
  <c r="F1555" i="4" s="1"/>
  <c r="A1555" i="4"/>
  <c r="Q1554" i="4"/>
  <c r="F1554" i="4"/>
  <c r="E1554" i="4"/>
  <c r="A1554" i="4"/>
  <c r="Q1553" i="4"/>
  <c r="E1553" i="4"/>
  <c r="F1553" i="4" s="1"/>
  <c r="A1553" i="4"/>
  <c r="Q1552" i="4"/>
  <c r="E1552" i="4"/>
  <c r="F1552" i="4" s="1"/>
  <c r="A1552" i="4"/>
  <c r="Q1551" i="4"/>
  <c r="E1551" i="4"/>
  <c r="F1551" i="4" s="1"/>
  <c r="A1551" i="4"/>
  <c r="Q1550" i="4"/>
  <c r="E1550" i="4"/>
  <c r="F1550" i="4" s="1"/>
  <c r="A1550" i="4"/>
  <c r="Q1549" i="4"/>
  <c r="E1549" i="4"/>
  <c r="F1549" i="4" s="1"/>
  <c r="A1549" i="4"/>
  <c r="Q1548" i="4"/>
  <c r="F1548" i="4"/>
  <c r="E1548" i="4"/>
  <c r="A1548" i="4"/>
  <c r="Q1547" i="4"/>
  <c r="E1547" i="4"/>
  <c r="F1547" i="4" s="1"/>
  <c r="A1547" i="4"/>
  <c r="Q1546" i="4"/>
  <c r="E1546" i="4"/>
  <c r="F1546" i="4" s="1"/>
  <c r="A1546" i="4"/>
  <c r="Q1545" i="4"/>
  <c r="E1545" i="4"/>
  <c r="F1545" i="4" s="1"/>
  <c r="A1545" i="4"/>
  <c r="Q1544" i="4"/>
  <c r="E1544" i="4"/>
  <c r="F1544" i="4" s="1"/>
  <c r="A1544" i="4"/>
  <c r="Q1543" i="4"/>
  <c r="E1543" i="4"/>
  <c r="F1543" i="4" s="1"/>
  <c r="A1543" i="4"/>
  <c r="Q1542" i="4"/>
  <c r="F1542" i="4"/>
  <c r="E1542" i="4"/>
  <c r="A1542" i="4"/>
  <c r="Q1541" i="4"/>
  <c r="E1541" i="4"/>
  <c r="F1541" i="4" s="1"/>
  <c r="A1541" i="4"/>
  <c r="Q1540" i="4"/>
  <c r="E1540" i="4"/>
  <c r="F1540" i="4" s="1"/>
  <c r="A1540" i="4"/>
  <c r="Q1539" i="4"/>
  <c r="E1539" i="4"/>
  <c r="F1539" i="4" s="1"/>
  <c r="A1539" i="4"/>
  <c r="Q1538" i="4"/>
  <c r="F1538" i="4"/>
  <c r="E1538" i="4"/>
  <c r="A1538" i="4"/>
  <c r="Q1537" i="4"/>
  <c r="E1537" i="4"/>
  <c r="F1537" i="4" s="1"/>
  <c r="A1537" i="4"/>
  <c r="Q1536" i="4"/>
  <c r="E1536" i="4"/>
  <c r="F1536" i="4" s="1"/>
  <c r="A1536" i="4"/>
  <c r="Q1535" i="4"/>
  <c r="E1535" i="4"/>
  <c r="F1535" i="4" s="1"/>
  <c r="A1535" i="4"/>
  <c r="Q1534" i="4"/>
  <c r="E1534" i="4"/>
  <c r="F1534" i="4" s="1"/>
  <c r="A1534" i="4"/>
  <c r="Q1533" i="4"/>
  <c r="E1533" i="4"/>
  <c r="F1533" i="4" s="1"/>
  <c r="A1533" i="4"/>
  <c r="Q1532" i="4"/>
  <c r="F1532" i="4"/>
  <c r="E1532" i="4"/>
  <c r="A1532" i="4"/>
  <c r="Q1531" i="4"/>
  <c r="E1531" i="4"/>
  <c r="F1531" i="4" s="1"/>
  <c r="A1531" i="4"/>
  <c r="Q1530" i="4"/>
  <c r="F1530" i="4"/>
  <c r="E1530" i="4"/>
  <c r="A1530" i="4"/>
  <c r="Q1529" i="4"/>
  <c r="E1529" i="4"/>
  <c r="F1529" i="4" s="1"/>
  <c r="A1529" i="4"/>
  <c r="Q1528" i="4"/>
  <c r="E1528" i="4"/>
  <c r="F1528" i="4" s="1"/>
  <c r="A1528" i="4"/>
  <c r="Q1527" i="4"/>
  <c r="E1527" i="4"/>
  <c r="F1527" i="4" s="1"/>
  <c r="A1527" i="4"/>
  <c r="Q1526" i="4"/>
  <c r="F1526" i="4"/>
  <c r="E1526" i="4"/>
  <c r="A1526" i="4"/>
  <c r="Q1525" i="4"/>
  <c r="E1525" i="4"/>
  <c r="F1525" i="4" s="1"/>
  <c r="A1525" i="4"/>
  <c r="Q1524" i="4"/>
  <c r="E1524" i="4"/>
  <c r="F1524" i="4" s="1"/>
  <c r="A1524" i="4"/>
  <c r="Q1523" i="4"/>
  <c r="E1523" i="4"/>
  <c r="F1523" i="4" s="1"/>
  <c r="A1523" i="4"/>
  <c r="Q1522" i="4"/>
  <c r="F1522" i="4"/>
  <c r="E1522" i="4"/>
  <c r="A1522" i="4"/>
  <c r="Q1521" i="4"/>
  <c r="E1521" i="4"/>
  <c r="F1521" i="4" s="1"/>
  <c r="A1521" i="4"/>
  <c r="Q1520" i="4"/>
  <c r="E1520" i="4"/>
  <c r="F1520" i="4" s="1"/>
  <c r="A1520" i="4"/>
  <c r="Q1519" i="4"/>
  <c r="E1519" i="4"/>
  <c r="F1519" i="4" s="1"/>
  <c r="A1519" i="4"/>
  <c r="Q1518" i="4"/>
  <c r="E1518" i="4"/>
  <c r="F1518" i="4" s="1"/>
  <c r="A1518" i="4"/>
  <c r="Q1517" i="4"/>
  <c r="E1517" i="4"/>
  <c r="F1517" i="4" s="1"/>
  <c r="A1517" i="4"/>
  <c r="Q1516" i="4"/>
  <c r="F1516" i="4"/>
  <c r="E1516" i="4"/>
  <c r="A1516" i="4"/>
  <c r="Q1515" i="4"/>
  <c r="E1515" i="4"/>
  <c r="F1515" i="4" s="1"/>
  <c r="A1515" i="4"/>
  <c r="Q1514" i="4"/>
  <c r="E1514" i="4"/>
  <c r="F1514" i="4" s="1"/>
  <c r="A1514" i="4"/>
  <c r="Q1513" i="4"/>
  <c r="E1513" i="4"/>
  <c r="F1513" i="4" s="1"/>
  <c r="A1513" i="4"/>
  <c r="Q1512" i="4"/>
  <c r="E1512" i="4"/>
  <c r="F1512" i="4" s="1"/>
  <c r="A1512" i="4"/>
  <c r="Q1511" i="4"/>
  <c r="E1511" i="4"/>
  <c r="F1511" i="4" s="1"/>
  <c r="A1511" i="4"/>
  <c r="Q1510" i="4"/>
  <c r="F1510" i="4"/>
  <c r="E1510" i="4"/>
  <c r="A1510" i="4"/>
  <c r="Q1509" i="4"/>
  <c r="E1509" i="4"/>
  <c r="F1509" i="4" s="1"/>
  <c r="A1509" i="4"/>
  <c r="Q1508" i="4"/>
  <c r="E1508" i="4"/>
  <c r="F1508" i="4" s="1"/>
  <c r="A1508" i="4"/>
  <c r="Q1507" i="4"/>
  <c r="E1507" i="4"/>
  <c r="F1507" i="4" s="1"/>
  <c r="A1507" i="4"/>
  <c r="Q1506" i="4"/>
  <c r="F1506" i="4"/>
  <c r="E1506" i="4"/>
  <c r="A1506" i="4"/>
  <c r="Q1505" i="4"/>
  <c r="E1505" i="4"/>
  <c r="F1505" i="4" s="1"/>
  <c r="A1505" i="4"/>
  <c r="Q1504" i="4"/>
  <c r="E1504" i="4"/>
  <c r="F1504" i="4" s="1"/>
  <c r="A1504" i="4"/>
  <c r="Q1503" i="4"/>
  <c r="E1503" i="4"/>
  <c r="F1503" i="4" s="1"/>
  <c r="A1503" i="4"/>
  <c r="Q1502" i="4"/>
  <c r="E1502" i="4"/>
  <c r="F1502" i="4" s="1"/>
  <c r="A1502" i="4"/>
  <c r="Q1501" i="4"/>
  <c r="E1501" i="4"/>
  <c r="F1501" i="4" s="1"/>
  <c r="A1501" i="4"/>
  <c r="Q1500" i="4"/>
  <c r="F1500" i="4"/>
  <c r="E1500" i="4"/>
  <c r="A1500" i="4"/>
  <c r="Q1499" i="4"/>
  <c r="E1499" i="4"/>
  <c r="F1499" i="4" s="1"/>
  <c r="A1499" i="4"/>
  <c r="Q1498" i="4"/>
  <c r="F1498" i="4"/>
  <c r="E1498" i="4"/>
  <c r="A1498" i="4"/>
  <c r="Q1497" i="4"/>
  <c r="E1497" i="4"/>
  <c r="F1497" i="4" s="1"/>
  <c r="A1497" i="4"/>
  <c r="Q1496" i="4"/>
  <c r="E1496" i="4"/>
  <c r="F1496" i="4" s="1"/>
  <c r="A1496" i="4"/>
  <c r="Q1495" i="4"/>
  <c r="E1495" i="4"/>
  <c r="F1495" i="4" s="1"/>
  <c r="A1495" i="4"/>
  <c r="Q1494" i="4"/>
  <c r="F1494" i="4"/>
  <c r="E1494" i="4"/>
  <c r="A1494" i="4"/>
  <c r="Q1493" i="4"/>
  <c r="E1493" i="4"/>
  <c r="F1493" i="4" s="1"/>
  <c r="A1493" i="4"/>
  <c r="Q1492" i="4"/>
  <c r="E1492" i="4"/>
  <c r="F1492" i="4" s="1"/>
  <c r="A1492" i="4"/>
  <c r="Q1491" i="4"/>
  <c r="E1491" i="4"/>
  <c r="F1491" i="4" s="1"/>
  <c r="A1491" i="4"/>
  <c r="Q1490" i="4"/>
  <c r="F1490" i="4"/>
  <c r="E1490" i="4"/>
  <c r="A1490" i="4"/>
  <c r="Q1489" i="4"/>
  <c r="E1489" i="4"/>
  <c r="F1489" i="4" s="1"/>
  <c r="A1489" i="4"/>
  <c r="Q1488" i="4"/>
  <c r="E1488" i="4"/>
  <c r="F1488" i="4" s="1"/>
  <c r="A1488" i="4"/>
  <c r="Q1487" i="4"/>
  <c r="E1487" i="4"/>
  <c r="F1487" i="4" s="1"/>
  <c r="A1487" i="4"/>
  <c r="Q1486" i="4"/>
  <c r="E1486" i="4"/>
  <c r="F1486" i="4" s="1"/>
  <c r="A1486" i="4"/>
  <c r="Q1485" i="4"/>
  <c r="E1485" i="4"/>
  <c r="F1485" i="4" s="1"/>
  <c r="A1485" i="4"/>
  <c r="Q1484" i="4"/>
  <c r="F1484" i="4"/>
  <c r="E1484" i="4"/>
  <c r="A1484" i="4"/>
  <c r="Q1483" i="4"/>
  <c r="E1483" i="4"/>
  <c r="F1483" i="4" s="1"/>
  <c r="A1483" i="4"/>
  <c r="Q1482" i="4"/>
  <c r="E1482" i="4"/>
  <c r="F1482" i="4" s="1"/>
  <c r="A1482" i="4"/>
  <c r="Q1481" i="4"/>
  <c r="E1481" i="4"/>
  <c r="F1481" i="4" s="1"/>
  <c r="A1481" i="4"/>
  <c r="Q1480" i="4"/>
  <c r="F1480" i="4"/>
  <c r="E1480" i="4"/>
  <c r="A1480" i="4"/>
  <c r="Q1479" i="4"/>
  <c r="E1479" i="4"/>
  <c r="F1479" i="4" s="1"/>
  <c r="A1479" i="4"/>
  <c r="Q1478" i="4"/>
  <c r="E1478" i="4"/>
  <c r="F1478" i="4" s="1"/>
  <c r="A1478" i="4"/>
  <c r="Q1477" i="4"/>
  <c r="E1477" i="4"/>
  <c r="F1477" i="4" s="1"/>
  <c r="A1477" i="4"/>
  <c r="Q1476" i="4"/>
  <c r="E1476" i="4"/>
  <c r="F1476" i="4" s="1"/>
  <c r="A1476" i="4"/>
  <c r="Q1475" i="4"/>
  <c r="E1475" i="4"/>
  <c r="F1475" i="4" s="1"/>
  <c r="A1475" i="4"/>
  <c r="Q1474" i="4"/>
  <c r="F1474" i="4"/>
  <c r="E1474" i="4"/>
  <c r="A1474" i="4"/>
  <c r="Q1473" i="4"/>
  <c r="E1473" i="4"/>
  <c r="F1473" i="4" s="1"/>
  <c r="A1473" i="4"/>
  <c r="Q1472" i="4"/>
  <c r="E1472" i="4"/>
  <c r="F1472" i="4" s="1"/>
  <c r="A1472" i="4"/>
  <c r="Q1471" i="4"/>
  <c r="E1471" i="4"/>
  <c r="F1471" i="4" s="1"/>
  <c r="A1471" i="4"/>
  <c r="Q1470" i="4"/>
  <c r="E1470" i="4"/>
  <c r="F1470" i="4" s="1"/>
  <c r="A1470" i="4"/>
  <c r="Q1469" i="4"/>
  <c r="E1469" i="4"/>
  <c r="F1469" i="4" s="1"/>
  <c r="A1469" i="4"/>
  <c r="Q1468" i="4"/>
  <c r="F1468" i="4"/>
  <c r="E1468" i="4"/>
  <c r="A1468" i="4"/>
  <c r="Q1467" i="4"/>
  <c r="E1467" i="4"/>
  <c r="F1467" i="4" s="1"/>
  <c r="A1467" i="4"/>
  <c r="Q1466" i="4"/>
  <c r="F1466" i="4"/>
  <c r="E1466" i="4"/>
  <c r="A1466" i="4"/>
  <c r="Q1465" i="4"/>
  <c r="E1465" i="4"/>
  <c r="F1465" i="4" s="1"/>
  <c r="A1465" i="4"/>
  <c r="Q1464" i="4"/>
  <c r="F1464" i="4"/>
  <c r="E1464" i="4"/>
  <c r="A1464" i="4"/>
  <c r="Q1463" i="4"/>
  <c r="E1463" i="4"/>
  <c r="F1463" i="4" s="1"/>
  <c r="A1463" i="4"/>
  <c r="Q1462" i="4"/>
  <c r="E1462" i="4"/>
  <c r="F1462" i="4" s="1"/>
  <c r="A1462" i="4"/>
  <c r="Q1461" i="4"/>
  <c r="E1461" i="4"/>
  <c r="F1461" i="4" s="1"/>
  <c r="A1461" i="4"/>
  <c r="Q1460" i="4"/>
  <c r="E1460" i="4"/>
  <c r="F1460" i="4" s="1"/>
  <c r="A1460" i="4"/>
  <c r="Q1459" i="4"/>
  <c r="F1459" i="4"/>
  <c r="E1459" i="4"/>
  <c r="A1459" i="4"/>
  <c r="Q1458" i="4"/>
  <c r="E1458" i="4"/>
  <c r="F1458" i="4" s="1"/>
  <c r="A1458" i="4"/>
  <c r="Q1457" i="4"/>
  <c r="F1457" i="4"/>
  <c r="E1457" i="4"/>
  <c r="A1457" i="4"/>
  <c r="Q1456" i="4"/>
  <c r="E1456" i="4"/>
  <c r="F1456" i="4" s="1"/>
  <c r="A1456" i="4"/>
  <c r="Q1455" i="4"/>
  <c r="F1455" i="4"/>
  <c r="E1455" i="4"/>
  <c r="A1455" i="4"/>
  <c r="Q1454" i="4"/>
  <c r="E1454" i="4"/>
  <c r="F1454" i="4" s="1"/>
  <c r="A1454" i="4"/>
  <c r="Q1453" i="4"/>
  <c r="E1453" i="4"/>
  <c r="F1453" i="4" s="1"/>
  <c r="A1453" i="4"/>
  <c r="Q1452" i="4"/>
  <c r="E1452" i="4"/>
  <c r="F1452" i="4" s="1"/>
  <c r="A1452" i="4"/>
  <c r="Q1451" i="4"/>
  <c r="F1451" i="4"/>
  <c r="E1451" i="4"/>
  <c r="A1451" i="4"/>
  <c r="Q1450" i="4"/>
  <c r="E1450" i="4"/>
  <c r="F1450" i="4" s="1"/>
  <c r="A1450" i="4"/>
  <c r="Q1449" i="4"/>
  <c r="E1449" i="4"/>
  <c r="F1449" i="4" s="1"/>
  <c r="A1449" i="4"/>
  <c r="Q1448" i="4"/>
  <c r="E1448" i="4"/>
  <c r="F1448" i="4" s="1"/>
  <c r="A1448" i="4"/>
  <c r="Q1447" i="4"/>
  <c r="F1447" i="4"/>
  <c r="E1447" i="4"/>
  <c r="A1447" i="4"/>
  <c r="Q1446" i="4"/>
  <c r="E1446" i="4"/>
  <c r="F1446" i="4" s="1"/>
  <c r="A1446" i="4"/>
  <c r="Q1445" i="4"/>
  <c r="E1445" i="4"/>
  <c r="F1445" i="4" s="1"/>
  <c r="A1445" i="4"/>
  <c r="Q1444" i="4"/>
  <c r="E1444" i="4"/>
  <c r="F1444" i="4" s="1"/>
  <c r="A1444" i="4"/>
  <c r="Q1443" i="4"/>
  <c r="F1443" i="4"/>
  <c r="E1443" i="4"/>
  <c r="A1443" i="4"/>
  <c r="Q1442" i="4"/>
  <c r="E1442" i="4"/>
  <c r="F1442" i="4" s="1"/>
  <c r="A1442" i="4"/>
  <c r="Q1441" i="4"/>
  <c r="F1441" i="4"/>
  <c r="E1441" i="4"/>
  <c r="A1441" i="4"/>
  <c r="Q1440" i="4"/>
  <c r="E1440" i="4"/>
  <c r="F1440" i="4" s="1"/>
  <c r="A1440" i="4"/>
  <c r="Q1439" i="4"/>
  <c r="E1439" i="4"/>
  <c r="F1439" i="4" s="1"/>
  <c r="A1439" i="4"/>
  <c r="Q1438" i="4"/>
  <c r="E1438" i="4"/>
  <c r="F1438" i="4" s="1"/>
  <c r="A1438" i="4"/>
  <c r="Q1437" i="4"/>
  <c r="E1437" i="4"/>
  <c r="F1437" i="4" s="1"/>
  <c r="A1437" i="4"/>
  <c r="Q1436" i="4"/>
  <c r="E1436" i="4"/>
  <c r="F1436" i="4" s="1"/>
  <c r="A1436" i="4"/>
  <c r="Q1435" i="4"/>
  <c r="F1435" i="4"/>
  <c r="E1435" i="4"/>
  <c r="A1435" i="4"/>
  <c r="Q1434" i="4"/>
  <c r="E1434" i="4"/>
  <c r="F1434" i="4" s="1"/>
  <c r="A1434" i="4"/>
  <c r="Q1433" i="4"/>
  <c r="E1433" i="4"/>
  <c r="F1433" i="4" s="1"/>
  <c r="A1433" i="4"/>
  <c r="Q1432" i="4"/>
  <c r="E1432" i="4"/>
  <c r="F1432" i="4" s="1"/>
  <c r="A1432" i="4"/>
  <c r="Q1431" i="4"/>
  <c r="F1431" i="4"/>
  <c r="E1431" i="4"/>
  <c r="A1431" i="4"/>
  <c r="Q1430" i="4"/>
  <c r="E1430" i="4"/>
  <c r="F1430" i="4" s="1"/>
  <c r="A1430" i="4"/>
  <c r="Q1429" i="4"/>
  <c r="E1429" i="4"/>
  <c r="F1429" i="4" s="1"/>
  <c r="A1429" i="4"/>
  <c r="Q1428" i="4"/>
  <c r="E1428" i="4"/>
  <c r="F1428" i="4" s="1"/>
  <c r="A1428" i="4"/>
  <c r="Q1427" i="4"/>
  <c r="E1427" i="4"/>
  <c r="F1427" i="4" s="1"/>
  <c r="A1427" i="4"/>
  <c r="Q1426" i="4"/>
  <c r="E1426" i="4"/>
  <c r="F1426" i="4" s="1"/>
  <c r="A1426" i="4"/>
  <c r="Q1425" i="4"/>
  <c r="F1425" i="4"/>
  <c r="E1425" i="4"/>
  <c r="A1425" i="4"/>
  <c r="Q1424" i="4"/>
  <c r="E1424" i="4"/>
  <c r="F1424" i="4" s="1"/>
  <c r="A1424" i="4"/>
  <c r="Q1423" i="4"/>
  <c r="E1423" i="4"/>
  <c r="F1423" i="4" s="1"/>
  <c r="A1423" i="4"/>
  <c r="Q1422" i="4"/>
  <c r="E1422" i="4"/>
  <c r="F1422" i="4" s="1"/>
  <c r="A1422" i="4"/>
  <c r="Q1421" i="4"/>
  <c r="E1421" i="4"/>
  <c r="F1421" i="4" s="1"/>
  <c r="A1421" i="4"/>
  <c r="Q1420" i="4"/>
  <c r="E1420" i="4"/>
  <c r="F1420" i="4" s="1"/>
  <c r="A1420" i="4"/>
  <c r="Q1419" i="4"/>
  <c r="F1419" i="4"/>
  <c r="E1419" i="4"/>
  <c r="A1419" i="4"/>
  <c r="Q1418" i="4"/>
  <c r="E1418" i="4"/>
  <c r="F1418" i="4" s="1"/>
  <c r="A1418" i="4"/>
  <c r="Q1417" i="4"/>
  <c r="E1417" i="4"/>
  <c r="F1417" i="4" s="1"/>
  <c r="A1417" i="4"/>
  <c r="Q1416" i="4"/>
  <c r="E1416" i="4"/>
  <c r="F1416" i="4" s="1"/>
  <c r="A1416" i="4"/>
  <c r="Q1415" i="4"/>
  <c r="F1415" i="4"/>
  <c r="E1415" i="4"/>
  <c r="A1415" i="4"/>
  <c r="Q1414" i="4"/>
  <c r="E1414" i="4"/>
  <c r="F1414" i="4" s="1"/>
  <c r="A1414" i="4"/>
  <c r="Q1413" i="4"/>
  <c r="E1413" i="4"/>
  <c r="F1413" i="4" s="1"/>
  <c r="A1413" i="4"/>
  <c r="Q1412" i="4"/>
  <c r="E1412" i="4"/>
  <c r="F1412" i="4" s="1"/>
  <c r="A1412" i="4"/>
  <c r="Q1411" i="4"/>
  <c r="E1411" i="4"/>
  <c r="F1411" i="4" s="1"/>
  <c r="A1411" i="4"/>
  <c r="Q1410" i="4"/>
  <c r="E1410" i="4"/>
  <c r="F1410" i="4" s="1"/>
  <c r="A1410" i="4"/>
  <c r="Q1409" i="4"/>
  <c r="F1409" i="4"/>
  <c r="E1409" i="4"/>
  <c r="A1409" i="4"/>
  <c r="Q1408" i="4"/>
  <c r="E1408" i="4"/>
  <c r="F1408" i="4" s="1"/>
  <c r="A1408" i="4"/>
  <c r="Q1407" i="4"/>
  <c r="E1407" i="4"/>
  <c r="F1407" i="4" s="1"/>
  <c r="A1407" i="4"/>
  <c r="Q1406" i="4"/>
  <c r="E1406" i="4"/>
  <c r="F1406" i="4" s="1"/>
  <c r="A1406" i="4"/>
  <c r="Q1405" i="4"/>
  <c r="E1405" i="4"/>
  <c r="F1405" i="4" s="1"/>
  <c r="A1405" i="4"/>
  <c r="Q1404" i="4"/>
  <c r="E1404" i="4"/>
  <c r="F1404" i="4" s="1"/>
  <c r="A1404" i="4"/>
  <c r="Q1403" i="4"/>
  <c r="F1403" i="4"/>
  <c r="E1403" i="4"/>
  <c r="A1403" i="4"/>
  <c r="Q1402" i="4"/>
  <c r="E1402" i="4"/>
  <c r="F1402" i="4" s="1"/>
  <c r="A1402" i="4"/>
  <c r="Q1401" i="4"/>
  <c r="E1401" i="4"/>
  <c r="F1401" i="4" s="1"/>
  <c r="A1401" i="4"/>
  <c r="Q1400" i="4"/>
  <c r="E1400" i="4"/>
  <c r="F1400" i="4" s="1"/>
  <c r="A1400" i="4"/>
  <c r="Q1399" i="4"/>
  <c r="F1399" i="4"/>
  <c r="E1399" i="4"/>
  <c r="A1399" i="4"/>
  <c r="Q1398" i="4"/>
  <c r="E1398" i="4"/>
  <c r="F1398" i="4" s="1"/>
  <c r="A1398" i="4"/>
  <c r="Q1397" i="4"/>
  <c r="E1397" i="4"/>
  <c r="F1397" i="4" s="1"/>
  <c r="A1397" i="4"/>
  <c r="Q1396" i="4"/>
  <c r="E1396" i="4"/>
  <c r="F1396" i="4" s="1"/>
  <c r="A1396" i="4"/>
  <c r="Q1395" i="4"/>
  <c r="E1395" i="4"/>
  <c r="F1395" i="4" s="1"/>
  <c r="A1395" i="4"/>
  <c r="Q1394" i="4"/>
  <c r="E1394" i="4"/>
  <c r="F1394" i="4" s="1"/>
  <c r="A1394" i="4"/>
  <c r="Q1393" i="4"/>
  <c r="F1393" i="4"/>
  <c r="E1393" i="4"/>
  <c r="A1393" i="4"/>
  <c r="Q1392" i="4"/>
  <c r="E1392" i="4"/>
  <c r="F1392" i="4" s="1"/>
  <c r="A1392" i="4"/>
  <c r="Q1391" i="4"/>
  <c r="E1391" i="4"/>
  <c r="F1391" i="4" s="1"/>
  <c r="A1391" i="4"/>
  <c r="Q1390" i="4"/>
  <c r="E1390" i="4"/>
  <c r="F1390" i="4" s="1"/>
  <c r="A1390" i="4"/>
  <c r="Q1389" i="4"/>
  <c r="E1389" i="4"/>
  <c r="F1389" i="4" s="1"/>
  <c r="A1389" i="4"/>
  <c r="Q1388" i="4"/>
  <c r="E1388" i="4"/>
  <c r="F1388" i="4" s="1"/>
  <c r="A1388" i="4"/>
  <c r="Q1387" i="4"/>
  <c r="F1387" i="4"/>
  <c r="E1387" i="4"/>
  <c r="A1387" i="4"/>
  <c r="Q1386" i="4"/>
  <c r="E1386" i="4"/>
  <c r="F1386" i="4" s="1"/>
  <c r="A1386" i="4"/>
  <c r="Q1385" i="4"/>
  <c r="E1385" i="4"/>
  <c r="F1385" i="4" s="1"/>
  <c r="A1385" i="4"/>
  <c r="Q1384" i="4"/>
  <c r="E1384" i="4"/>
  <c r="F1384" i="4" s="1"/>
  <c r="A1384" i="4"/>
  <c r="Q1383" i="4"/>
  <c r="F1383" i="4"/>
  <c r="E1383" i="4"/>
  <c r="A1383" i="4"/>
  <c r="Q1382" i="4"/>
  <c r="E1382" i="4"/>
  <c r="F1382" i="4" s="1"/>
  <c r="A1382" i="4"/>
  <c r="Q1381" i="4"/>
  <c r="E1381" i="4"/>
  <c r="F1381" i="4" s="1"/>
  <c r="A1381" i="4"/>
  <c r="Q1380" i="4"/>
  <c r="E1380" i="4"/>
  <c r="F1380" i="4" s="1"/>
  <c r="A1380" i="4"/>
  <c r="Q1379" i="4"/>
  <c r="F1379" i="4"/>
  <c r="E1379" i="4"/>
  <c r="A1379" i="4"/>
  <c r="Q1378" i="4"/>
  <c r="E1378" i="4"/>
  <c r="F1378" i="4" s="1"/>
  <c r="A1378" i="4"/>
  <c r="Q1377" i="4"/>
  <c r="F1377" i="4"/>
  <c r="E1377" i="4"/>
  <c r="A1377" i="4"/>
  <c r="Q1376" i="4"/>
  <c r="E1376" i="4"/>
  <c r="F1376" i="4" s="1"/>
  <c r="A1376" i="4"/>
  <c r="Q1375" i="4"/>
  <c r="E1375" i="4"/>
  <c r="F1375" i="4" s="1"/>
  <c r="A1375" i="4"/>
  <c r="Q1374" i="4"/>
  <c r="E1374" i="4"/>
  <c r="F1374" i="4" s="1"/>
  <c r="A1374" i="4"/>
  <c r="Q1373" i="4"/>
  <c r="E1373" i="4"/>
  <c r="F1373" i="4" s="1"/>
  <c r="A1373" i="4"/>
  <c r="Q1372" i="4"/>
  <c r="E1372" i="4"/>
  <c r="F1372" i="4" s="1"/>
  <c r="A1372" i="4"/>
  <c r="Q1371" i="4"/>
  <c r="F1371" i="4"/>
  <c r="E1371" i="4"/>
  <c r="A1371" i="4"/>
  <c r="Q1370" i="4"/>
  <c r="E1370" i="4"/>
  <c r="F1370" i="4" s="1"/>
  <c r="A1370" i="4"/>
  <c r="Q1369" i="4"/>
  <c r="E1369" i="4"/>
  <c r="F1369" i="4" s="1"/>
  <c r="A1369" i="4"/>
  <c r="Q1368" i="4"/>
  <c r="E1368" i="4"/>
  <c r="F1368" i="4" s="1"/>
  <c r="A1368" i="4"/>
  <c r="Q1367" i="4"/>
  <c r="F1367" i="4"/>
  <c r="E1367" i="4"/>
  <c r="A1367" i="4"/>
  <c r="Q1366" i="4"/>
  <c r="E1366" i="4"/>
  <c r="F1366" i="4" s="1"/>
  <c r="A1366" i="4"/>
  <c r="Q1365" i="4"/>
  <c r="E1365" i="4"/>
  <c r="F1365" i="4" s="1"/>
  <c r="A1365" i="4"/>
  <c r="Q1364" i="4"/>
  <c r="E1364" i="4"/>
  <c r="F1364" i="4" s="1"/>
  <c r="A1364" i="4"/>
  <c r="Q1363" i="4"/>
  <c r="F1363" i="4"/>
  <c r="E1363" i="4"/>
  <c r="A1363" i="4"/>
  <c r="Q1362" i="4"/>
  <c r="E1362" i="4"/>
  <c r="F1362" i="4" s="1"/>
  <c r="A1362" i="4"/>
  <c r="Q1361" i="4"/>
  <c r="F1361" i="4"/>
  <c r="E1361" i="4"/>
  <c r="A1361" i="4"/>
  <c r="Q1360" i="4"/>
  <c r="E1360" i="4"/>
  <c r="F1360" i="4" s="1"/>
  <c r="A1360" i="4"/>
  <c r="Q1359" i="4"/>
  <c r="E1359" i="4"/>
  <c r="F1359" i="4" s="1"/>
  <c r="A1359" i="4"/>
  <c r="Q1358" i="4"/>
  <c r="E1358" i="4"/>
  <c r="F1358" i="4" s="1"/>
  <c r="A1358" i="4"/>
  <c r="Q1357" i="4"/>
  <c r="E1357" i="4"/>
  <c r="F1357" i="4" s="1"/>
  <c r="A1357" i="4"/>
  <c r="Q1356" i="4"/>
  <c r="E1356" i="4"/>
  <c r="F1356" i="4" s="1"/>
  <c r="A1356" i="4"/>
  <c r="Q1355" i="4"/>
  <c r="F1355" i="4"/>
  <c r="E1355" i="4"/>
  <c r="A1355" i="4"/>
  <c r="Q1354" i="4"/>
  <c r="E1354" i="4"/>
  <c r="F1354" i="4" s="1"/>
  <c r="A1354" i="4"/>
  <c r="Q1353" i="4"/>
  <c r="E1353" i="4"/>
  <c r="F1353" i="4" s="1"/>
  <c r="A1353" i="4"/>
  <c r="Q1352" i="4"/>
  <c r="E1352" i="4"/>
  <c r="F1352" i="4" s="1"/>
  <c r="A1352" i="4"/>
  <c r="Q1351" i="4"/>
  <c r="F1351" i="4"/>
  <c r="E1351" i="4"/>
  <c r="A1351" i="4"/>
  <c r="Q1350" i="4"/>
  <c r="E1350" i="4"/>
  <c r="F1350" i="4" s="1"/>
  <c r="A1350" i="4"/>
  <c r="Q1349" i="4"/>
  <c r="E1349" i="4"/>
  <c r="F1349" i="4" s="1"/>
  <c r="A1349" i="4"/>
  <c r="Q1348" i="4"/>
  <c r="E1348" i="4"/>
  <c r="F1348" i="4" s="1"/>
  <c r="A1348" i="4"/>
  <c r="Q1347" i="4"/>
  <c r="E1347" i="4"/>
  <c r="F1347" i="4" s="1"/>
  <c r="A1347" i="4"/>
  <c r="Q1346" i="4"/>
  <c r="E1346" i="4"/>
  <c r="F1346" i="4" s="1"/>
  <c r="A1346" i="4"/>
  <c r="Q1345" i="4"/>
  <c r="F1345" i="4"/>
  <c r="E1345" i="4"/>
  <c r="A1345" i="4"/>
  <c r="Q1344" i="4"/>
  <c r="E1344" i="4"/>
  <c r="F1344" i="4" s="1"/>
  <c r="A1344" i="4"/>
  <c r="Q1343" i="4"/>
  <c r="F1343" i="4"/>
  <c r="E1343" i="4"/>
  <c r="A1343" i="4"/>
  <c r="Q1342" i="4"/>
  <c r="E1342" i="4"/>
  <c r="F1342" i="4" s="1"/>
  <c r="A1342" i="4"/>
  <c r="Q1341" i="4"/>
  <c r="E1341" i="4"/>
  <c r="F1341" i="4" s="1"/>
  <c r="A1341" i="4"/>
  <c r="Q1340" i="4"/>
  <c r="E1340" i="4"/>
  <c r="F1340" i="4" s="1"/>
  <c r="A1340" i="4"/>
  <c r="Q1339" i="4"/>
  <c r="F1339" i="4"/>
  <c r="E1339" i="4"/>
  <c r="A1339" i="4"/>
  <c r="Q1338" i="4"/>
  <c r="E1338" i="4"/>
  <c r="F1338" i="4" s="1"/>
  <c r="A1338" i="4"/>
  <c r="Q1337" i="4"/>
  <c r="E1337" i="4"/>
  <c r="F1337" i="4" s="1"/>
  <c r="A1337" i="4"/>
  <c r="Q1336" i="4"/>
  <c r="E1336" i="4"/>
  <c r="F1336" i="4" s="1"/>
  <c r="A1336" i="4"/>
  <c r="Q1335" i="4"/>
  <c r="F1335" i="4"/>
  <c r="E1335" i="4"/>
  <c r="A1335" i="4"/>
  <c r="Q1334" i="4"/>
  <c r="E1334" i="4"/>
  <c r="F1334" i="4" s="1"/>
  <c r="A1334" i="4"/>
  <c r="Q1333" i="4"/>
  <c r="E1333" i="4"/>
  <c r="F1333" i="4" s="1"/>
  <c r="A1333" i="4"/>
  <c r="Q1332" i="4"/>
  <c r="E1332" i="4"/>
  <c r="F1332" i="4" s="1"/>
  <c r="A1332" i="4"/>
  <c r="Q1331" i="4"/>
  <c r="F1331" i="4"/>
  <c r="E1331" i="4"/>
  <c r="A1331" i="4"/>
  <c r="Q1330" i="4"/>
  <c r="E1330" i="4"/>
  <c r="F1330" i="4" s="1"/>
  <c r="A1330" i="4"/>
  <c r="Q1329" i="4"/>
  <c r="F1329" i="4"/>
  <c r="E1329" i="4"/>
  <c r="A1329" i="4"/>
  <c r="Q1328" i="4"/>
  <c r="E1328" i="4"/>
  <c r="F1328" i="4" s="1"/>
  <c r="A1328" i="4"/>
  <c r="Q1327" i="4"/>
  <c r="F1327" i="4"/>
  <c r="E1327" i="4"/>
  <c r="A1327" i="4"/>
  <c r="Q1326" i="4"/>
  <c r="E1326" i="4"/>
  <c r="F1326" i="4" s="1"/>
  <c r="A1326" i="4"/>
  <c r="Q1325" i="4"/>
  <c r="E1325" i="4"/>
  <c r="F1325" i="4" s="1"/>
  <c r="A1325" i="4"/>
  <c r="Q1324" i="4"/>
  <c r="E1324" i="4"/>
  <c r="F1324" i="4" s="1"/>
  <c r="A1324" i="4"/>
  <c r="Q1323" i="4"/>
  <c r="F1323" i="4"/>
  <c r="E1323" i="4"/>
  <c r="A1323" i="4"/>
  <c r="Q1322" i="4"/>
  <c r="E1322" i="4"/>
  <c r="F1322" i="4" s="1"/>
  <c r="A1322" i="4"/>
  <c r="Q1321" i="4"/>
  <c r="E1321" i="4"/>
  <c r="F1321" i="4" s="1"/>
  <c r="A1321" i="4"/>
  <c r="Q1320" i="4"/>
  <c r="E1320" i="4"/>
  <c r="F1320" i="4" s="1"/>
  <c r="A1320" i="4"/>
  <c r="Q1319" i="4"/>
  <c r="F1319" i="4"/>
  <c r="E1319" i="4"/>
  <c r="A1319" i="4"/>
  <c r="Q1318" i="4"/>
  <c r="E1318" i="4"/>
  <c r="F1318" i="4" s="1"/>
  <c r="A1318" i="4"/>
  <c r="Q1317" i="4"/>
  <c r="E1317" i="4"/>
  <c r="F1317" i="4" s="1"/>
  <c r="A1317" i="4"/>
  <c r="Q1316" i="4"/>
  <c r="E1316" i="4"/>
  <c r="F1316" i="4" s="1"/>
  <c r="A1316" i="4"/>
  <c r="Q1315" i="4"/>
  <c r="F1315" i="4"/>
  <c r="E1315" i="4"/>
  <c r="A1315" i="4"/>
  <c r="Q1314" i="4"/>
  <c r="E1314" i="4"/>
  <c r="F1314" i="4" s="1"/>
  <c r="A1314" i="4"/>
  <c r="Q1313" i="4"/>
  <c r="F1313" i="4"/>
  <c r="E1313" i="4"/>
  <c r="A1313" i="4"/>
  <c r="Q1312" i="4"/>
  <c r="E1312" i="4"/>
  <c r="F1312" i="4" s="1"/>
  <c r="A1312" i="4"/>
  <c r="Q1311" i="4"/>
  <c r="E1311" i="4"/>
  <c r="F1311" i="4" s="1"/>
  <c r="A1311" i="4"/>
  <c r="Q1310" i="4"/>
  <c r="E1310" i="4"/>
  <c r="F1310" i="4" s="1"/>
  <c r="A1310" i="4"/>
  <c r="Q1309" i="4"/>
  <c r="E1309" i="4"/>
  <c r="F1309" i="4" s="1"/>
  <c r="A1309" i="4"/>
  <c r="Q1308" i="4"/>
  <c r="E1308" i="4"/>
  <c r="F1308" i="4" s="1"/>
  <c r="A1308" i="4"/>
  <c r="Q1307" i="4"/>
  <c r="F1307" i="4"/>
  <c r="E1307" i="4"/>
  <c r="A1307" i="4"/>
  <c r="Q1306" i="4"/>
  <c r="E1306" i="4"/>
  <c r="F1306" i="4" s="1"/>
  <c r="A1306" i="4"/>
  <c r="Q1305" i="4"/>
  <c r="E1305" i="4"/>
  <c r="F1305" i="4" s="1"/>
  <c r="A1305" i="4"/>
  <c r="Q1304" i="4"/>
  <c r="E1304" i="4"/>
  <c r="F1304" i="4" s="1"/>
  <c r="A1304" i="4"/>
  <c r="Q1303" i="4"/>
  <c r="F1303" i="4"/>
  <c r="E1303" i="4"/>
  <c r="A1303" i="4"/>
  <c r="Q1302" i="4"/>
  <c r="E1302" i="4"/>
  <c r="F1302" i="4" s="1"/>
  <c r="A1302" i="4"/>
  <c r="Q1301" i="4"/>
  <c r="E1301" i="4"/>
  <c r="F1301" i="4" s="1"/>
  <c r="A1301" i="4"/>
  <c r="Q1300" i="4"/>
  <c r="E1300" i="4"/>
  <c r="F1300" i="4" s="1"/>
  <c r="A1300" i="4"/>
  <c r="Q1299" i="4"/>
  <c r="F1299" i="4"/>
  <c r="E1299" i="4"/>
  <c r="A1299" i="4"/>
  <c r="Q1298" i="4"/>
  <c r="E1298" i="4"/>
  <c r="F1298" i="4" s="1"/>
  <c r="A1298" i="4"/>
  <c r="Q1297" i="4"/>
  <c r="F1297" i="4"/>
  <c r="E1297" i="4"/>
  <c r="A1297" i="4"/>
  <c r="Q1296" i="4"/>
  <c r="E1296" i="4"/>
  <c r="F1296" i="4" s="1"/>
  <c r="A1296" i="4"/>
  <c r="Q1295" i="4"/>
  <c r="E1295" i="4"/>
  <c r="F1295" i="4" s="1"/>
  <c r="A1295" i="4"/>
  <c r="Q1294" i="4"/>
  <c r="E1294" i="4"/>
  <c r="F1294" i="4" s="1"/>
  <c r="A1294" i="4"/>
  <c r="Q1293" i="4"/>
  <c r="E1293" i="4"/>
  <c r="F1293" i="4" s="1"/>
  <c r="A1293" i="4"/>
  <c r="Q1292" i="4"/>
  <c r="E1292" i="4"/>
  <c r="F1292" i="4" s="1"/>
  <c r="A1292" i="4"/>
  <c r="Q1291" i="4"/>
  <c r="F1291" i="4"/>
  <c r="E1291" i="4"/>
  <c r="A1291" i="4"/>
  <c r="Q1290" i="4"/>
  <c r="E1290" i="4"/>
  <c r="F1290" i="4" s="1"/>
  <c r="A1290" i="4"/>
  <c r="Q1289" i="4"/>
  <c r="E1289" i="4"/>
  <c r="F1289" i="4" s="1"/>
  <c r="A1289" i="4"/>
  <c r="Q1288" i="4"/>
  <c r="E1288" i="4"/>
  <c r="F1288" i="4" s="1"/>
  <c r="A1288" i="4"/>
  <c r="Q1287" i="4"/>
  <c r="F1287" i="4"/>
  <c r="E1287" i="4"/>
  <c r="A1287" i="4"/>
  <c r="Q1286" i="4"/>
  <c r="E1286" i="4"/>
  <c r="F1286" i="4" s="1"/>
  <c r="A1286" i="4"/>
  <c r="Q1285" i="4"/>
  <c r="E1285" i="4"/>
  <c r="F1285" i="4" s="1"/>
  <c r="A1285" i="4"/>
  <c r="Q1284" i="4"/>
  <c r="E1284" i="4"/>
  <c r="F1284" i="4" s="1"/>
  <c r="A1284" i="4"/>
  <c r="Q1283" i="4"/>
  <c r="F1283" i="4"/>
  <c r="E1283" i="4"/>
  <c r="A1283" i="4"/>
  <c r="Q1282" i="4"/>
  <c r="E1282" i="4"/>
  <c r="F1282" i="4" s="1"/>
  <c r="A1282" i="4"/>
  <c r="Q1281" i="4"/>
  <c r="F1281" i="4"/>
  <c r="E1281" i="4"/>
  <c r="A1281" i="4"/>
  <c r="Q1280" i="4"/>
  <c r="E1280" i="4"/>
  <c r="F1280" i="4" s="1"/>
  <c r="A1280" i="4"/>
  <c r="Q1279" i="4"/>
  <c r="E1279" i="4"/>
  <c r="F1279" i="4" s="1"/>
  <c r="A1279" i="4"/>
  <c r="Q1278" i="4"/>
  <c r="E1278" i="4"/>
  <c r="F1278" i="4" s="1"/>
  <c r="A1278" i="4"/>
  <c r="Q1277" i="4"/>
  <c r="E1277" i="4"/>
  <c r="F1277" i="4" s="1"/>
  <c r="A1277" i="4"/>
  <c r="Q1276" i="4"/>
  <c r="E1276" i="4"/>
  <c r="F1276" i="4" s="1"/>
  <c r="A1276" i="4"/>
  <c r="Q1275" i="4"/>
  <c r="F1275" i="4"/>
  <c r="E1275" i="4"/>
  <c r="A1275" i="4"/>
  <c r="Q1274" i="4"/>
  <c r="E1274" i="4"/>
  <c r="F1274" i="4" s="1"/>
  <c r="A1274" i="4"/>
  <c r="Q1273" i="4"/>
  <c r="E1273" i="4"/>
  <c r="F1273" i="4" s="1"/>
  <c r="A1273" i="4"/>
  <c r="Q1272" i="4"/>
  <c r="E1272" i="4"/>
  <c r="F1272" i="4" s="1"/>
  <c r="A1272" i="4"/>
  <c r="Q1271" i="4"/>
  <c r="F1271" i="4"/>
  <c r="E1271" i="4"/>
  <c r="A1271" i="4"/>
  <c r="Q1270" i="4"/>
  <c r="E1270" i="4"/>
  <c r="F1270" i="4" s="1"/>
  <c r="A1270" i="4"/>
  <c r="Q1269" i="4"/>
  <c r="E1269" i="4"/>
  <c r="F1269" i="4" s="1"/>
  <c r="A1269" i="4"/>
  <c r="Q1268" i="4"/>
  <c r="E1268" i="4"/>
  <c r="F1268" i="4" s="1"/>
  <c r="A1268" i="4"/>
  <c r="Q1267" i="4"/>
  <c r="E1267" i="4"/>
  <c r="F1267" i="4" s="1"/>
  <c r="A1267" i="4"/>
  <c r="Q1266" i="4"/>
  <c r="E1266" i="4"/>
  <c r="F1266" i="4" s="1"/>
  <c r="A1266" i="4"/>
  <c r="Q1265" i="4"/>
  <c r="F1265" i="4"/>
  <c r="E1265" i="4"/>
  <c r="A1265" i="4"/>
  <c r="Q1264" i="4"/>
  <c r="E1264" i="4"/>
  <c r="F1264" i="4" s="1"/>
  <c r="A1264" i="4"/>
  <c r="Q1263" i="4"/>
  <c r="F1263" i="4"/>
  <c r="E1263" i="4"/>
  <c r="A1263" i="4"/>
  <c r="Q1262" i="4"/>
  <c r="E1262" i="4"/>
  <c r="F1262" i="4" s="1"/>
  <c r="A1262" i="4"/>
  <c r="Q1261" i="4"/>
  <c r="E1261" i="4"/>
  <c r="F1261" i="4" s="1"/>
  <c r="A1261" i="4"/>
  <c r="Q1260" i="4"/>
  <c r="E1260" i="4"/>
  <c r="F1260" i="4" s="1"/>
  <c r="A1260" i="4"/>
  <c r="Q1259" i="4"/>
  <c r="F1259" i="4"/>
  <c r="E1259" i="4"/>
  <c r="A1259" i="4"/>
  <c r="Q1258" i="4"/>
  <c r="E1258" i="4"/>
  <c r="F1258" i="4" s="1"/>
  <c r="A1258" i="4"/>
  <c r="Q1257" i="4"/>
  <c r="E1257" i="4"/>
  <c r="F1257" i="4" s="1"/>
  <c r="A1257" i="4"/>
  <c r="Q1256" i="4"/>
  <c r="E1256" i="4"/>
  <c r="F1256" i="4" s="1"/>
  <c r="A1256" i="4"/>
  <c r="Q1255" i="4"/>
  <c r="F1255" i="4"/>
  <c r="E1255" i="4"/>
  <c r="A1255" i="4"/>
  <c r="Q1254" i="4"/>
  <c r="E1254" i="4"/>
  <c r="F1254" i="4" s="1"/>
  <c r="A1254" i="4"/>
  <c r="Q1253" i="4"/>
  <c r="E1253" i="4"/>
  <c r="F1253" i="4" s="1"/>
  <c r="A1253" i="4"/>
  <c r="Q1252" i="4"/>
  <c r="E1252" i="4"/>
  <c r="F1252" i="4" s="1"/>
  <c r="A1252" i="4"/>
  <c r="Q1251" i="4"/>
  <c r="F1251" i="4"/>
  <c r="E1251" i="4"/>
  <c r="A1251" i="4"/>
  <c r="Q1250" i="4"/>
  <c r="E1250" i="4"/>
  <c r="F1250" i="4" s="1"/>
  <c r="A1250" i="4"/>
  <c r="Q1249" i="4"/>
  <c r="F1249" i="4"/>
  <c r="E1249" i="4"/>
  <c r="A1249" i="4"/>
  <c r="Q1248" i="4"/>
  <c r="E1248" i="4"/>
  <c r="F1248" i="4" s="1"/>
  <c r="A1248" i="4"/>
  <c r="Q1247" i="4"/>
  <c r="F1247" i="4"/>
  <c r="E1247" i="4"/>
  <c r="A1247" i="4"/>
  <c r="Q1246" i="4"/>
  <c r="E1246" i="4"/>
  <c r="F1246" i="4" s="1"/>
  <c r="A1246" i="4"/>
  <c r="Q1245" i="4"/>
  <c r="E1245" i="4"/>
  <c r="F1245" i="4" s="1"/>
  <c r="A1245" i="4"/>
  <c r="Q1244" i="4"/>
  <c r="E1244" i="4"/>
  <c r="F1244" i="4" s="1"/>
  <c r="A1244" i="4"/>
  <c r="Q1243" i="4"/>
  <c r="F1243" i="4"/>
  <c r="E1243" i="4"/>
  <c r="A1243" i="4"/>
  <c r="Q1242" i="4"/>
  <c r="E1242" i="4"/>
  <c r="F1242" i="4" s="1"/>
  <c r="A1242" i="4"/>
  <c r="Q1241" i="4"/>
  <c r="E1241" i="4"/>
  <c r="F1241" i="4" s="1"/>
  <c r="A1241" i="4"/>
  <c r="Q1240" i="4"/>
  <c r="E1240" i="4"/>
  <c r="F1240" i="4" s="1"/>
  <c r="A1240" i="4"/>
  <c r="Q1239" i="4"/>
  <c r="F1239" i="4"/>
  <c r="E1239" i="4"/>
  <c r="A1239" i="4"/>
  <c r="Q1238" i="4"/>
  <c r="E1238" i="4"/>
  <c r="F1238" i="4" s="1"/>
  <c r="A1238" i="4"/>
  <c r="Q1237" i="4"/>
  <c r="E1237" i="4"/>
  <c r="F1237" i="4" s="1"/>
  <c r="A1237" i="4"/>
  <c r="Q1236" i="4"/>
  <c r="E1236" i="4"/>
  <c r="F1236" i="4" s="1"/>
  <c r="A1236" i="4"/>
  <c r="Q1235" i="4"/>
  <c r="F1235" i="4"/>
  <c r="E1235" i="4"/>
  <c r="A1235" i="4"/>
  <c r="Q1234" i="4"/>
  <c r="E1234" i="4"/>
  <c r="F1234" i="4" s="1"/>
  <c r="A1234" i="4"/>
  <c r="Q1233" i="4"/>
  <c r="F1233" i="4"/>
  <c r="E1233" i="4"/>
  <c r="A1233" i="4"/>
  <c r="Q1232" i="4"/>
  <c r="E1232" i="4"/>
  <c r="F1232" i="4" s="1"/>
  <c r="A1232" i="4"/>
  <c r="Q1231" i="4"/>
  <c r="E1231" i="4"/>
  <c r="F1231" i="4" s="1"/>
  <c r="A1231" i="4"/>
  <c r="Q1230" i="4"/>
  <c r="E1230" i="4"/>
  <c r="F1230" i="4" s="1"/>
  <c r="A1230" i="4"/>
  <c r="Q1229" i="4"/>
  <c r="E1229" i="4"/>
  <c r="F1229" i="4" s="1"/>
  <c r="A1229" i="4"/>
  <c r="Q1228" i="4"/>
  <c r="E1228" i="4"/>
  <c r="F1228" i="4" s="1"/>
  <c r="A1228" i="4"/>
  <c r="Q1227" i="4"/>
  <c r="F1227" i="4"/>
  <c r="E1227" i="4"/>
  <c r="A1227" i="4"/>
  <c r="Q1226" i="4"/>
  <c r="E1226" i="4"/>
  <c r="F1226" i="4" s="1"/>
  <c r="A1226" i="4"/>
  <c r="Q1225" i="4"/>
  <c r="E1225" i="4"/>
  <c r="F1225" i="4" s="1"/>
  <c r="A1225" i="4"/>
  <c r="Q1224" i="4"/>
  <c r="E1224" i="4"/>
  <c r="F1224" i="4" s="1"/>
  <c r="A1224" i="4"/>
  <c r="Q1223" i="4"/>
  <c r="F1223" i="4"/>
  <c r="E1223" i="4"/>
  <c r="A1223" i="4"/>
  <c r="Q1222" i="4"/>
  <c r="E1222" i="4"/>
  <c r="F1222" i="4" s="1"/>
  <c r="A1222" i="4"/>
  <c r="Q1221" i="4"/>
  <c r="E1221" i="4"/>
  <c r="F1221" i="4" s="1"/>
  <c r="A1221" i="4"/>
  <c r="Q1220" i="4"/>
  <c r="E1220" i="4"/>
  <c r="F1220" i="4" s="1"/>
  <c r="A1220" i="4"/>
  <c r="Q1219" i="4"/>
  <c r="F1219" i="4"/>
  <c r="E1219" i="4"/>
  <c r="A1219" i="4"/>
  <c r="Q1218" i="4"/>
  <c r="E1218" i="4"/>
  <c r="F1218" i="4" s="1"/>
  <c r="A1218" i="4"/>
  <c r="Q1217" i="4"/>
  <c r="F1217" i="4"/>
  <c r="E1217" i="4"/>
  <c r="A1217" i="4"/>
  <c r="Q1216" i="4"/>
  <c r="E1216" i="4"/>
  <c r="F1216" i="4" s="1"/>
  <c r="A1216" i="4"/>
  <c r="Q1215" i="4"/>
  <c r="E1215" i="4"/>
  <c r="F1215" i="4" s="1"/>
  <c r="A1215" i="4"/>
  <c r="Q1214" i="4"/>
  <c r="E1214" i="4"/>
  <c r="F1214" i="4" s="1"/>
  <c r="A1214" i="4"/>
  <c r="Q1213" i="4"/>
  <c r="E1213" i="4"/>
  <c r="F1213" i="4" s="1"/>
  <c r="A1213" i="4"/>
  <c r="Q1212" i="4"/>
  <c r="E1212" i="4"/>
  <c r="F1212" i="4" s="1"/>
  <c r="A1212" i="4"/>
  <c r="Q1211" i="4"/>
  <c r="F1211" i="4"/>
  <c r="E1211" i="4"/>
  <c r="A1211" i="4"/>
  <c r="Q1210" i="4"/>
  <c r="E1210" i="4"/>
  <c r="F1210" i="4" s="1"/>
  <c r="A1210" i="4"/>
  <c r="Q1209" i="4"/>
  <c r="E1209" i="4"/>
  <c r="F1209" i="4" s="1"/>
  <c r="A1209" i="4"/>
  <c r="Q1208" i="4"/>
  <c r="E1208" i="4"/>
  <c r="F1208" i="4" s="1"/>
  <c r="A1208" i="4"/>
  <c r="Q1207" i="4"/>
  <c r="F1207" i="4"/>
  <c r="E1207" i="4"/>
  <c r="A1207" i="4"/>
  <c r="Q1206" i="4"/>
  <c r="E1206" i="4"/>
  <c r="F1206" i="4" s="1"/>
  <c r="A1206" i="4"/>
  <c r="Q1205" i="4"/>
  <c r="E1205" i="4"/>
  <c r="F1205" i="4" s="1"/>
  <c r="A1205" i="4"/>
  <c r="Q1204" i="4"/>
  <c r="E1204" i="4"/>
  <c r="F1204" i="4" s="1"/>
  <c r="A1204" i="4"/>
  <c r="Q1203" i="4"/>
  <c r="F1203" i="4"/>
  <c r="E1203" i="4"/>
  <c r="A1203" i="4"/>
  <c r="Q1202" i="4"/>
  <c r="E1202" i="4"/>
  <c r="F1202" i="4" s="1"/>
  <c r="A1202" i="4"/>
  <c r="Q1201" i="4"/>
  <c r="F1201" i="4"/>
  <c r="E1201" i="4"/>
  <c r="A1201" i="4"/>
  <c r="Q1200" i="4"/>
  <c r="E1200" i="4"/>
  <c r="F1200" i="4" s="1"/>
  <c r="A1200" i="4"/>
  <c r="Q1199" i="4"/>
  <c r="F1199" i="4"/>
  <c r="E1199" i="4"/>
  <c r="A1199" i="4"/>
  <c r="Q1198" i="4"/>
  <c r="E1198" i="4"/>
  <c r="F1198" i="4" s="1"/>
  <c r="A1198" i="4"/>
  <c r="Q1197" i="4"/>
  <c r="E1197" i="4"/>
  <c r="F1197" i="4" s="1"/>
  <c r="A1197" i="4"/>
  <c r="Q1196" i="4"/>
  <c r="E1196" i="4"/>
  <c r="F1196" i="4" s="1"/>
  <c r="A1196" i="4"/>
  <c r="Q1195" i="4"/>
  <c r="E1195" i="4"/>
  <c r="F1195" i="4" s="1"/>
  <c r="A1195" i="4"/>
  <c r="Q1194" i="4"/>
  <c r="E1194" i="4"/>
  <c r="F1194" i="4" s="1"/>
  <c r="A1194" i="4"/>
  <c r="Q1193" i="4"/>
  <c r="E1193" i="4"/>
  <c r="F1193" i="4" s="1"/>
  <c r="A1193" i="4"/>
  <c r="Q1192" i="4"/>
  <c r="E1192" i="4"/>
  <c r="F1192" i="4" s="1"/>
  <c r="A1192" i="4"/>
  <c r="Q1191" i="4"/>
  <c r="F1191" i="4"/>
  <c r="E1191" i="4"/>
  <c r="A1191" i="4"/>
  <c r="Q1190" i="4"/>
  <c r="E1190" i="4"/>
  <c r="F1190" i="4" s="1"/>
  <c r="A1190" i="4"/>
  <c r="Q1189" i="4"/>
  <c r="E1189" i="4"/>
  <c r="F1189" i="4" s="1"/>
  <c r="A1189" i="4"/>
  <c r="Q1188" i="4"/>
  <c r="E1188" i="4"/>
  <c r="F1188" i="4" s="1"/>
  <c r="A1188" i="4"/>
  <c r="Q1187" i="4"/>
  <c r="E1187" i="4"/>
  <c r="F1187" i="4" s="1"/>
  <c r="A1187" i="4"/>
  <c r="Q1186" i="4"/>
  <c r="E1186" i="4"/>
  <c r="F1186" i="4" s="1"/>
  <c r="A1186" i="4"/>
  <c r="Q1185" i="4"/>
  <c r="F1185" i="4"/>
  <c r="E1185" i="4"/>
  <c r="A1185" i="4"/>
  <c r="Q1184" i="4"/>
  <c r="E1184" i="4"/>
  <c r="F1184" i="4" s="1"/>
  <c r="A1184" i="4"/>
  <c r="Q1183" i="4"/>
  <c r="E1183" i="4"/>
  <c r="F1183" i="4" s="1"/>
  <c r="A1183" i="4"/>
  <c r="Q1182" i="4"/>
  <c r="E1182" i="4"/>
  <c r="F1182" i="4" s="1"/>
  <c r="A1182" i="4"/>
  <c r="Q1181" i="4"/>
  <c r="F1181" i="4"/>
  <c r="E1181" i="4"/>
  <c r="A1181" i="4"/>
  <c r="Q1180" i="4"/>
  <c r="E1180" i="4"/>
  <c r="F1180" i="4" s="1"/>
  <c r="A1180" i="4"/>
  <c r="Q1179" i="4"/>
  <c r="F1179" i="4"/>
  <c r="E1179" i="4"/>
  <c r="A1179" i="4"/>
  <c r="Q1178" i="4"/>
  <c r="E1178" i="4"/>
  <c r="F1178" i="4" s="1"/>
  <c r="A1178" i="4"/>
  <c r="Q1177" i="4"/>
  <c r="E1177" i="4"/>
  <c r="F1177" i="4" s="1"/>
  <c r="A1177" i="4"/>
  <c r="Q1176" i="4"/>
  <c r="E1176" i="4"/>
  <c r="F1176" i="4" s="1"/>
  <c r="A1176" i="4"/>
  <c r="Q1175" i="4"/>
  <c r="F1175" i="4"/>
  <c r="E1175" i="4"/>
  <c r="A1175" i="4"/>
  <c r="Q1174" i="4"/>
  <c r="E1174" i="4"/>
  <c r="F1174" i="4" s="1"/>
  <c r="A1174" i="4"/>
  <c r="Q1173" i="4"/>
  <c r="E1173" i="4"/>
  <c r="F1173" i="4" s="1"/>
  <c r="A1173" i="4"/>
  <c r="Q1172" i="4"/>
  <c r="E1172" i="4"/>
  <c r="F1172" i="4" s="1"/>
  <c r="A1172" i="4"/>
  <c r="Q1171" i="4"/>
  <c r="E1171" i="4"/>
  <c r="F1171" i="4" s="1"/>
  <c r="A1171" i="4"/>
  <c r="Q1170" i="4"/>
  <c r="E1170" i="4"/>
  <c r="F1170" i="4" s="1"/>
  <c r="A1170" i="4"/>
  <c r="Q1169" i="4"/>
  <c r="F1169" i="4"/>
  <c r="E1169" i="4"/>
  <c r="A1169" i="4"/>
  <c r="Q1168" i="4"/>
  <c r="E1168" i="4"/>
  <c r="F1168" i="4" s="1"/>
  <c r="A1168" i="4"/>
  <c r="Q1167" i="4"/>
  <c r="E1167" i="4"/>
  <c r="F1167" i="4" s="1"/>
  <c r="A1167" i="4"/>
  <c r="Q1166" i="4"/>
  <c r="E1166" i="4"/>
  <c r="F1166" i="4" s="1"/>
  <c r="A1166" i="4"/>
  <c r="Q1165" i="4"/>
  <c r="E1165" i="4"/>
  <c r="F1165" i="4" s="1"/>
  <c r="A1165" i="4"/>
  <c r="Q1164" i="4"/>
  <c r="E1164" i="4"/>
  <c r="F1164" i="4" s="1"/>
  <c r="A1164" i="4"/>
  <c r="Q1163" i="4"/>
  <c r="F1163" i="4"/>
  <c r="E1163" i="4"/>
  <c r="A1163" i="4"/>
  <c r="Q1162" i="4"/>
  <c r="E1162" i="4"/>
  <c r="F1162" i="4" s="1"/>
  <c r="A1162" i="4"/>
  <c r="Q1161" i="4"/>
  <c r="E1161" i="4"/>
  <c r="F1161" i="4" s="1"/>
  <c r="A1161" i="4"/>
  <c r="Q1160" i="4"/>
  <c r="E1160" i="4"/>
  <c r="F1160" i="4" s="1"/>
  <c r="A1160" i="4"/>
  <c r="Q1159" i="4"/>
  <c r="E1159" i="4"/>
  <c r="F1159" i="4" s="1"/>
  <c r="A1159" i="4"/>
  <c r="Q1158" i="4"/>
  <c r="E1158" i="4"/>
  <c r="F1158" i="4" s="1"/>
  <c r="A1158" i="4"/>
  <c r="Q1157" i="4"/>
  <c r="E1157" i="4"/>
  <c r="F1157" i="4" s="1"/>
  <c r="A1157" i="4"/>
  <c r="Q1156" i="4"/>
  <c r="E1156" i="4"/>
  <c r="F1156" i="4" s="1"/>
  <c r="A1156" i="4"/>
  <c r="Q1155" i="4"/>
  <c r="E1155" i="4"/>
  <c r="F1155" i="4" s="1"/>
  <c r="A1155" i="4"/>
  <c r="Q1154" i="4"/>
  <c r="E1154" i="4"/>
  <c r="F1154" i="4" s="1"/>
  <c r="A1154" i="4"/>
  <c r="Q1153" i="4"/>
  <c r="F1153" i="4"/>
  <c r="E1153" i="4"/>
  <c r="A1153" i="4"/>
  <c r="Q1152" i="4"/>
  <c r="E1152" i="4"/>
  <c r="F1152" i="4" s="1"/>
  <c r="A1152" i="4"/>
  <c r="Q1151" i="4"/>
  <c r="F1151" i="4"/>
  <c r="E1151" i="4"/>
  <c r="A1151" i="4"/>
  <c r="Q1150" i="4"/>
  <c r="E1150" i="4"/>
  <c r="F1150" i="4" s="1"/>
  <c r="A1150" i="4"/>
  <c r="Q1149" i="4"/>
  <c r="E1149" i="4"/>
  <c r="F1149" i="4" s="1"/>
  <c r="A1149" i="4"/>
  <c r="Q1148" i="4"/>
  <c r="E1148" i="4"/>
  <c r="F1148" i="4" s="1"/>
  <c r="A1148" i="4"/>
  <c r="Q1147" i="4"/>
  <c r="E1147" i="4"/>
  <c r="F1147" i="4" s="1"/>
  <c r="A1147" i="4"/>
  <c r="Q1146" i="4"/>
  <c r="E1146" i="4"/>
  <c r="F1146" i="4" s="1"/>
  <c r="A1146" i="4"/>
  <c r="Q1145" i="4"/>
  <c r="E1145" i="4"/>
  <c r="F1145" i="4" s="1"/>
  <c r="A1145" i="4"/>
  <c r="Q1144" i="4"/>
  <c r="E1144" i="4"/>
  <c r="F1144" i="4" s="1"/>
  <c r="A1144" i="4"/>
  <c r="Q1143" i="4"/>
  <c r="F1143" i="4"/>
  <c r="E1143" i="4"/>
  <c r="A1143" i="4"/>
  <c r="Q1142" i="4"/>
  <c r="E1142" i="4"/>
  <c r="F1142" i="4" s="1"/>
  <c r="A1142" i="4"/>
  <c r="Q1141" i="4"/>
  <c r="E1141" i="4"/>
  <c r="F1141" i="4" s="1"/>
  <c r="A1141" i="4"/>
  <c r="Q1140" i="4"/>
  <c r="E1140" i="4"/>
  <c r="F1140" i="4" s="1"/>
  <c r="A1140" i="4"/>
  <c r="Q1139" i="4"/>
  <c r="E1139" i="4"/>
  <c r="F1139" i="4" s="1"/>
  <c r="A1139" i="4"/>
  <c r="Q1138" i="4"/>
  <c r="E1138" i="4"/>
  <c r="F1138" i="4" s="1"/>
  <c r="A1138" i="4"/>
  <c r="Q1137" i="4"/>
  <c r="E1137" i="4"/>
  <c r="F1137" i="4" s="1"/>
  <c r="A1137" i="4"/>
  <c r="Q1136" i="4"/>
  <c r="F1136" i="4"/>
  <c r="E1136" i="4"/>
  <c r="A1136" i="4"/>
  <c r="Q1135" i="4"/>
  <c r="E1135" i="4"/>
  <c r="F1135" i="4" s="1"/>
  <c r="A1135" i="4"/>
  <c r="Q1134" i="4"/>
  <c r="F1134" i="4"/>
  <c r="E1134" i="4"/>
  <c r="A1134" i="4"/>
  <c r="Q1133" i="4"/>
  <c r="E1133" i="4"/>
  <c r="F1133" i="4" s="1"/>
  <c r="A1133" i="4"/>
  <c r="Q1132" i="4"/>
  <c r="E1132" i="4"/>
  <c r="F1132" i="4" s="1"/>
  <c r="A1132" i="4"/>
  <c r="Q1131" i="4"/>
  <c r="E1131" i="4"/>
  <c r="F1131" i="4" s="1"/>
  <c r="A1131" i="4"/>
  <c r="Q1130" i="4"/>
  <c r="F1130" i="4"/>
  <c r="E1130" i="4"/>
  <c r="A1130" i="4"/>
  <c r="Q1129" i="4"/>
  <c r="E1129" i="4"/>
  <c r="F1129" i="4" s="1"/>
  <c r="A1129" i="4"/>
  <c r="Q1128" i="4"/>
  <c r="F1128" i="4"/>
  <c r="E1128" i="4"/>
  <c r="A1128" i="4"/>
  <c r="Q1127" i="4"/>
  <c r="E1127" i="4"/>
  <c r="F1127" i="4" s="1"/>
  <c r="A1127" i="4"/>
  <c r="Q1126" i="4"/>
  <c r="E1126" i="4"/>
  <c r="F1126" i="4" s="1"/>
  <c r="A1126" i="4"/>
  <c r="Q1125" i="4"/>
  <c r="E1125" i="4"/>
  <c r="F1125" i="4" s="1"/>
  <c r="A1125" i="4"/>
  <c r="Q1124" i="4"/>
  <c r="E1124" i="4"/>
  <c r="F1124" i="4" s="1"/>
  <c r="A1124" i="4"/>
  <c r="Q1123" i="4"/>
  <c r="E1123" i="4"/>
  <c r="F1123" i="4" s="1"/>
  <c r="A1123" i="4"/>
  <c r="Q1122" i="4"/>
  <c r="E1122" i="4"/>
  <c r="F1122" i="4" s="1"/>
  <c r="A1122" i="4"/>
  <c r="Q1121" i="4"/>
  <c r="E1121" i="4"/>
  <c r="F1121" i="4" s="1"/>
  <c r="A1121" i="4"/>
  <c r="Q1120" i="4"/>
  <c r="F1120" i="4"/>
  <c r="E1120" i="4"/>
  <c r="A1120" i="4"/>
  <c r="Q1119" i="4"/>
  <c r="E1119" i="4"/>
  <c r="F1119" i="4" s="1"/>
  <c r="A1119" i="4"/>
  <c r="Q1118" i="4"/>
  <c r="F1118" i="4"/>
  <c r="E1118" i="4"/>
  <c r="A1118" i="4"/>
  <c r="Q1117" i="4"/>
  <c r="E1117" i="4"/>
  <c r="F1117" i="4" s="1"/>
  <c r="A1117" i="4"/>
  <c r="Q1116" i="4"/>
  <c r="E1116" i="4"/>
  <c r="F1116" i="4" s="1"/>
  <c r="A1116" i="4"/>
  <c r="Q1115" i="4"/>
  <c r="E1115" i="4"/>
  <c r="F1115" i="4" s="1"/>
  <c r="A1115" i="4"/>
  <c r="Q1114" i="4"/>
  <c r="F1114" i="4"/>
  <c r="E1114" i="4"/>
  <c r="A1114" i="4"/>
  <c r="Q1113" i="4"/>
  <c r="E1113" i="4"/>
  <c r="F1113" i="4" s="1"/>
  <c r="A1113" i="4"/>
  <c r="Q1112" i="4"/>
  <c r="F1112" i="4"/>
  <c r="E1112" i="4"/>
  <c r="A1112" i="4"/>
  <c r="Q1111" i="4"/>
  <c r="E1111" i="4"/>
  <c r="F1111" i="4" s="1"/>
  <c r="A1111" i="4"/>
  <c r="Q1110" i="4"/>
  <c r="E1110" i="4"/>
  <c r="F1110" i="4" s="1"/>
  <c r="A1110" i="4"/>
  <c r="Q1109" i="4"/>
  <c r="E1109" i="4"/>
  <c r="F1109" i="4" s="1"/>
  <c r="A1109" i="4"/>
  <c r="Q1108" i="4"/>
  <c r="E1108" i="4"/>
  <c r="F1108" i="4" s="1"/>
  <c r="A1108" i="4"/>
  <c r="Q1107" i="4"/>
  <c r="E1107" i="4"/>
  <c r="F1107" i="4" s="1"/>
  <c r="A1107" i="4"/>
  <c r="Q1106" i="4"/>
  <c r="E1106" i="4"/>
  <c r="F1106" i="4" s="1"/>
  <c r="A1106" i="4"/>
  <c r="Q1105" i="4"/>
  <c r="E1105" i="4"/>
  <c r="F1105" i="4" s="1"/>
  <c r="A1105" i="4"/>
  <c r="Q1104" i="4"/>
  <c r="F1104" i="4"/>
  <c r="E1104" i="4"/>
  <c r="A1104" i="4"/>
  <c r="Q1103" i="4"/>
  <c r="E1103" i="4"/>
  <c r="F1103" i="4" s="1"/>
  <c r="A1103" i="4"/>
  <c r="Q1102" i="4"/>
  <c r="F1102" i="4"/>
  <c r="E1102" i="4"/>
  <c r="A1102" i="4"/>
  <c r="Q1101" i="4"/>
  <c r="E1101" i="4"/>
  <c r="F1101" i="4" s="1"/>
  <c r="A1101" i="4"/>
  <c r="Q1100" i="4"/>
  <c r="E1100" i="4"/>
  <c r="F1100" i="4" s="1"/>
  <c r="A1100" i="4"/>
  <c r="Q1099" i="4"/>
  <c r="E1099" i="4"/>
  <c r="F1099" i="4" s="1"/>
  <c r="A1099" i="4"/>
  <c r="Q1098" i="4"/>
  <c r="F1098" i="4"/>
  <c r="E1098" i="4"/>
  <c r="A1098" i="4"/>
  <c r="Q1097" i="4"/>
  <c r="E1097" i="4"/>
  <c r="F1097" i="4" s="1"/>
  <c r="A1097" i="4"/>
  <c r="Q1096" i="4"/>
  <c r="F1096" i="4"/>
  <c r="E1096" i="4"/>
  <c r="A1096" i="4"/>
  <c r="Q1095" i="4"/>
  <c r="E1095" i="4"/>
  <c r="F1095" i="4" s="1"/>
  <c r="A1095" i="4"/>
  <c r="Q1094" i="4"/>
  <c r="E1094" i="4"/>
  <c r="F1094" i="4" s="1"/>
  <c r="A1094" i="4"/>
  <c r="Q1093" i="4"/>
  <c r="E1093" i="4"/>
  <c r="F1093" i="4" s="1"/>
  <c r="A1093" i="4"/>
  <c r="Q1092" i="4"/>
  <c r="E1092" i="4"/>
  <c r="F1092" i="4" s="1"/>
  <c r="A1092" i="4"/>
  <c r="Q1091" i="4"/>
  <c r="E1091" i="4"/>
  <c r="F1091" i="4" s="1"/>
  <c r="A1091" i="4"/>
  <c r="Q1090" i="4"/>
  <c r="E1090" i="4"/>
  <c r="F1090" i="4" s="1"/>
  <c r="A1090" i="4"/>
  <c r="Q1089" i="4"/>
  <c r="E1089" i="4"/>
  <c r="F1089" i="4" s="1"/>
  <c r="A1089" i="4"/>
  <c r="Q1088" i="4"/>
  <c r="F1088" i="4"/>
  <c r="E1088" i="4"/>
  <c r="A1088" i="4"/>
  <c r="Q1087" i="4"/>
  <c r="E1087" i="4"/>
  <c r="F1087" i="4" s="1"/>
  <c r="A1087" i="4"/>
  <c r="Q1086" i="4"/>
  <c r="F1086" i="4"/>
  <c r="E1086" i="4"/>
  <c r="A1086" i="4"/>
  <c r="Q1085" i="4"/>
  <c r="E1085" i="4"/>
  <c r="F1085" i="4" s="1"/>
  <c r="A1085" i="4"/>
  <c r="Q1084" i="4"/>
  <c r="E1084" i="4"/>
  <c r="F1084" i="4" s="1"/>
  <c r="A1084" i="4"/>
  <c r="Q1083" i="4"/>
  <c r="E1083" i="4"/>
  <c r="F1083" i="4" s="1"/>
  <c r="A1083" i="4"/>
  <c r="Q1082" i="4"/>
  <c r="F1082" i="4"/>
  <c r="E1082" i="4"/>
  <c r="A1082" i="4"/>
  <c r="Q1081" i="4"/>
  <c r="E1081" i="4"/>
  <c r="F1081" i="4" s="1"/>
  <c r="A1081" i="4"/>
  <c r="Q1080" i="4"/>
  <c r="F1080" i="4"/>
  <c r="E1080" i="4"/>
  <c r="A1080" i="4"/>
  <c r="Q1079" i="4"/>
  <c r="E1079" i="4"/>
  <c r="F1079" i="4" s="1"/>
  <c r="A1079" i="4"/>
  <c r="Q1078" i="4"/>
  <c r="E1078" i="4"/>
  <c r="F1078" i="4" s="1"/>
  <c r="A1078" i="4"/>
  <c r="Q1077" i="4"/>
  <c r="E1077" i="4"/>
  <c r="F1077" i="4" s="1"/>
  <c r="A1077" i="4"/>
  <c r="Q1076" i="4"/>
  <c r="E1076" i="4"/>
  <c r="F1076" i="4" s="1"/>
  <c r="A1076" i="4"/>
  <c r="Q1075" i="4"/>
  <c r="E1075" i="4"/>
  <c r="F1075" i="4" s="1"/>
  <c r="A1075" i="4"/>
  <c r="Q1074" i="4"/>
  <c r="E1074" i="4"/>
  <c r="F1074" i="4" s="1"/>
  <c r="A1074" i="4"/>
  <c r="Q1073" i="4"/>
  <c r="E1073" i="4"/>
  <c r="F1073" i="4" s="1"/>
  <c r="A1073" i="4"/>
  <c r="Q1072" i="4"/>
  <c r="F1072" i="4"/>
  <c r="E1072" i="4"/>
  <c r="A1072" i="4"/>
  <c r="Q1071" i="4"/>
  <c r="E1071" i="4"/>
  <c r="F1071" i="4" s="1"/>
  <c r="A1071" i="4"/>
  <c r="Q1070" i="4"/>
  <c r="F1070" i="4"/>
  <c r="E1070" i="4"/>
  <c r="A1070" i="4"/>
  <c r="Q1069" i="4"/>
  <c r="E1069" i="4"/>
  <c r="F1069" i="4" s="1"/>
  <c r="A1069" i="4"/>
  <c r="Q1068" i="4"/>
  <c r="E1068" i="4"/>
  <c r="F1068" i="4" s="1"/>
  <c r="A1068" i="4"/>
  <c r="Q1067" i="4"/>
  <c r="E1067" i="4"/>
  <c r="F1067" i="4" s="1"/>
  <c r="A1067" i="4"/>
  <c r="Q1066" i="4"/>
  <c r="F1066" i="4"/>
  <c r="E1066" i="4"/>
  <c r="A1066" i="4"/>
  <c r="Q1065" i="4"/>
  <c r="E1065" i="4"/>
  <c r="F1065" i="4" s="1"/>
  <c r="A1065" i="4"/>
  <c r="Q1064" i="4"/>
  <c r="F1064" i="4"/>
  <c r="E1064" i="4"/>
  <c r="A1064" i="4"/>
  <c r="Q1063" i="4"/>
  <c r="E1063" i="4"/>
  <c r="F1063" i="4" s="1"/>
  <c r="A1063" i="4"/>
  <c r="Q1062" i="4"/>
  <c r="E1062" i="4"/>
  <c r="F1062" i="4" s="1"/>
  <c r="A1062" i="4"/>
  <c r="Q1061" i="4"/>
  <c r="E1061" i="4"/>
  <c r="F1061" i="4" s="1"/>
  <c r="A1061" i="4"/>
  <c r="Q1060" i="4"/>
  <c r="E1060" i="4"/>
  <c r="F1060" i="4" s="1"/>
  <c r="A1060" i="4"/>
  <c r="Q1059" i="4"/>
  <c r="E1059" i="4"/>
  <c r="F1059" i="4" s="1"/>
  <c r="A1059" i="4"/>
  <c r="Q1058" i="4"/>
  <c r="E1058" i="4"/>
  <c r="F1058" i="4" s="1"/>
  <c r="A1058" i="4"/>
  <c r="Q1057" i="4"/>
  <c r="E1057" i="4"/>
  <c r="F1057" i="4" s="1"/>
  <c r="A1057" i="4"/>
  <c r="Q1056" i="4"/>
  <c r="F1056" i="4"/>
  <c r="E1056" i="4"/>
  <c r="A1056" i="4"/>
  <c r="Q1055" i="4"/>
  <c r="E1055" i="4"/>
  <c r="F1055" i="4" s="1"/>
  <c r="A1055" i="4"/>
  <c r="Q1054" i="4"/>
  <c r="F1054" i="4"/>
  <c r="E1054" i="4"/>
  <c r="A1054" i="4"/>
  <c r="Q1053" i="4"/>
  <c r="E1053" i="4"/>
  <c r="F1053" i="4" s="1"/>
  <c r="A1053" i="4"/>
  <c r="Q1052" i="4"/>
  <c r="E1052" i="4"/>
  <c r="F1052" i="4" s="1"/>
  <c r="A1052" i="4"/>
  <c r="Q1051" i="4"/>
  <c r="E1051" i="4"/>
  <c r="F1051" i="4" s="1"/>
  <c r="A1051" i="4"/>
  <c r="Q1050" i="4"/>
  <c r="F1050" i="4"/>
  <c r="E1050" i="4"/>
  <c r="A1050" i="4"/>
  <c r="Q1049" i="4"/>
  <c r="E1049" i="4"/>
  <c r="F1049" i="4" s="1"/>
  <c r="A1049" i="4"/>
  <c r="Q1048" i="4"/>
  <c r="F1048" i="4"/>
  <c r="E1048" i="4"/>
  <c r="A1048" i="4"/>
  <c r="Q1047" i="4"/>
  <c r="E1047" i="4"/>
  <c r="F1047" i="4" s="1"/>
  <c r="A1047" i="4"/>
  <c r="Q1046" i="4"/>
  <c r="E1046" i="4"/>
  <c r="F1046" i="4" s="1"/>
  <c r="A1046" i="4"/>
  <c r="Q1045" i="4"/>
  <c r="E1045" i="4"/>
  <c r="F1045" i="4" s="1"/>
  <c r="A1045" i="4"/>
  <c r="Q1044" i="4"/>
  <c r="E1044" i="4"/>
  <c r="F1044" i="4" s="1"/>
  <c r="A1044" i="4"/>
  <c r="Q1043" i="4"/>
  <c r="E1043" i="4"/>
  <c r="F1043" i="4" s="1"/>
  <c r="A1043" i="4"/>
  <c r="Q1042" i="4"/>
  <c r="E1042" i="4"/>
  <c r="F1042" i="4" s="1"/>
  <c r="A1042" i="4"/>
  <c r="Q1041" i="4"/>
  <c r="E1041" i="4"/>
  <c r="F1041" i="4" s="1"/>
  <c r="A1041" i="4"/>
  <c r="Q1040" i="4"/>
  <c r="F1040" i="4"/>
  <c r="E1040" i="4"/>
  <c r="A1040" i="4"/>
  <c r="Q1039" i="4"/>
  <c r="E1039" i="4"/>
  <c r="F1039" i="4" s="1"/>
  <c r="A1039" i="4"/>
  <c r="Q1038" i="4"/>
  <c r="F1038" i="4"/>
  <c r="E1038" i="4"/>
  <c r="A1038" i="4"/>
  <c r="Q1037" i="4"/>
  <c r="E1037" i="4"/>
  <c r="F1037" i="4" s="1"/>
  <c r="A1037" i="4"/>
  <c r="Q1036" i="4"/>
  <c r="E1036" i="4"/>
  <c r="F1036" i="4" s="1"/>
  <c r="A1036" i="4"/>
  <c r="Q1035" i="4"/>
  <c r="E1035" i="4"/>
  <c r="F1035" i="4" s="1"/>
  <c r="A1035" i="4"/>
  <c r="Q1034" i="4"/>
  <c r="F1034" i="4"/>
  <c r="E1034" i="4"/>
  <c r="A1034" i="4"/>
  <c r="Q1033" i="4"/>
  <c r="E1033" i="4"/>
  <c r="F1033" i="4" s="1"/>
  <c r="A1033" i="4"/>
  <c r="Q1032" i="4"/>
  <c r="F1032" i="4"/>
  <c r="E1032" i="4"/>
  <c r="A1032" i="4"/>
  <c r="Q1031" i="4"/>
  <c r="E1031" i="4"/>
  <c r="F1031" i="4" s="1"/>
  <c r="A1031" i="4"/>
  <c r="Q1030" i="4"/>
  <c r="E1030" i="4"/>
  <c r="F1030" i="4" s="1"/>
  <c r="A1030" i="4"/>
  <c r="Q1029" i="4"/>
  <c r="E1029" i="4"/>
  <c r="F1029" i="4" s="1"/>
  <c r="A1029" i="4"/>
  <c r="Q1028" i="4"/>
  <c r="E1028" i="4"/>
  <c r="F1028" i="4" s="1"/>
  <c r="A1028" i="4"/>
  <c r="Q1027" i="4"/>
  <c r="E1027" i="4"/>
  <c r="F1027" i="4" s="1"/>
  <c r="A1027" i="4"/>
  <c r="Q1026" i="4"/>
  <c r="E1026" i="4"/>
  <c r="F1026" i="4" s="1"/>
  <c r="A1026" i="4"/>
  <c r="Q1025" i="4"/>
  <c r="E1025" i="4"/>
  <c r="F1025" i="4" s="1"/>
  <c r="A1025" i="4"/>
  <c r="Q1024" i="4"/>
  <c r="F1024" i="4"/>
  <c r="E1024" i="4"/>
  <c r="A1024" i="4"/>
  <c r="Q1023" i="4"/>
  <c r="E1023" i="4"/>
  <c r="F1023" i="4" s="1"/>
  <c r="A1023" i="4"/>
  <c r="Q1022" i="4"/>
  <c r="F1022" i="4"/>
  <c r="E1022" i="4"/>
  <c r="A1022" i="4"/>
  <c r="Q1021" i="4"/>
  <c r="E1021" i="4"/>
  <c r="F1021" i="4" s="1"/>
  <c r="A1021" i="4"/>
  <c r="Q1020" i="4"/>
  <c r="E1020" i="4"/>
  <c r="F1020" i="4" s="1"/>
  <c r="A1020" i="4"/>
  <c r="Q1019" i="4"/>
  <c r="E1019" i="4"/>
  <c r="F1019" i="4" s="1"/>
  <c r="A1019" i="4"/>
  <c r="Q1018" i="4"/>
  <c r="F1018" i="4"/>
  <c r="E1018" i="4"/>
  <c r="A1018" i="4"/>
  <c r="Q1017" i="4"/>
  <c r="E1017" i="4"/>
  <c r="F1017" i="4" s="1"/>
  <c r="A1017" i="4"/>
  <c r="Q1016" i="4"/>
  <c r="F1016" i="4"/>
  <c r="E1016" i="4"/>
  <c r="A1016" i="4"/>
  <c r="Q1015" i="4"/>
  <c r="E1015" i="4"/>
  <c r="F1015" i="4" s="1"/>
  <c r="A1015" i="4"/>
  <c r="Q1014" i="4"/>
  <c r="E1014" i="4"/>
  <c r="F1014" i="4" s="1"/>
  <c r="A1014" i="4"/>
  <c r="Q1013" i="4"/>
  <c r="F1013" i="4"/>
  <c r="E1013" i="4"/>
  <c r="A1013" i="4"/>
  <c r="Q1012" i="4"/>
  <c r="E1012" i="4"/>
  <c r="F1012" i="4" s="1"/>
  <c r="A1012" i="4"/>
  <c r="Q1011" i="4"/>
  <c r="F1011" i="4"/>
  <c r="E1011" i="4"/>
  <c r="A1011" i="4"/>
  <c r="Q1010" i="4"/>
  <c r="E1010" i="4"/>
  <c r="F1010" i="4" s="1"/>
  <c r="A1010" i="4"/>
  <c r="Q1009" i="4"/>
  <c r="F1009" i="4"/>
  <c r="E1009" i="4"/>
  <c r="A1009" i="4"/>
  <c r="Q1008" i="4"/>
  <c r="E1008" i="4"/>
  <c r="F1008" i="4" s="1"/>
  <c r="A1008" i="4"/>
  <c r="Q1007" i="4"/>
  <c r="F1007" i="4"/>
  <c r="E1007" i="4"/>
  <c r="A1007" i="4"/>
  <c r="Q1006" i="4"/>
  <c r="E1006" i="4"/>
  <c r="F1006" i="4" s="1"/>
  <c r="A1006" i="4"/>
  <c r="Q1005" i="4"/>
  <c r="F1005" i="4"/>
  <c r="E1005" i="4"/>
  <c r="A1005" i="4"/>
  <c r="Q1004" i="4"/>
  <c r="E1004" i="4"/>
  <c r="F1004" i="4" s="1"/>
  <c r="A1004" i="4"/>
  <c r="Q1003" i="4"/>
  <c r="F1003" i="4"/>
  <c r="E1003" i="4"/>
  <c r="A1003" i="4"/>
  <c r="Q1002" i="4"/>
  <c r="E1002" i="4"/>
  <c r="F1002" i="4" s="1"/>
  <c r="A1002" i="4"/>
  <c r="Q1001" i="4"/>
  <c r="F1001" i="4"/>
  <c r="E1001" i="4"/>
  <c r="A1001" i="4"/>
  <c r="Q1000" i="4"/>
  <c r="E1000" i="4"/>
  <c r="F1000" i="4" s="1"/>
  <c r="A1000" i="4"/>
  <c r="Q999" i="4"/>
  <c r="F999" i="4"/>
  <c r="E999" i="4"/>
  <c r="A999" i="4"/>
  <c r="Q998" i="4"/>
  <c r="E998" i="4"/>
  <c r="F998" i="4" s="1"/>
  <c r="A998" i="4"/>
  <c r="Q997" i="4"/>
  <c r="F997" i="4"/>
  <c r="E997" i="4"/>
  <c r="A997" i="4"/>
  <c r="Q996" i="4"/>
  <c r="E996" i="4"/>
  <c r="F996" i="4" s="1"/>
  <c r="A996" i="4"/>
  <c r="Q995" i="4"/>
  <c r="F995" i="4"/>
  <c r="E995" i="4"/>
  <c r="A995" i="4"/>
  <c r="Q994" i="4"/>
  <c r="E994" i="4"/>
  <c r="F994" i="4" s="1"/>
  <c r="A994" i="4"/>
  <c r="Q993" i="4"/>
  <c r="F993" i="4"/>
  <c r="E993" i="4"/>
  <c r="A993" i="4"/>
  <c r="Q992" i="4"/>
  <c r="E992" i="4"/>
  <c r="F992" i="4" s="1"/>
  <c r="A992" i="4"/>
  <c r="Q991" i="4"/>
  <c r="F991" i="4"/>
  <c r="E991" i="4"/>
  <c r="A991" i="4"/>
  <c r="Q990" i="4"/>
  <c r="E990" i="4"/>
  <c r="F990" i="4" s="1"/>
  <c r="A990" i="4"/>
  <c r="Q989" i="4"/>
  <c r="F989" i="4"/>
  <c r="E989" i="4"/>
  <c r="A989" i="4"/>
  <c r="Q988" i="4"/>
  <c r="E988" i="4"/>
  <c r="F988" i="4" s="1"/>
  <c r="A988" i="4"/>
  <c r="Q987" i="4"/>
  <c r="F987" i="4"/>
  <c r="E987" i="4"/>
  <c r="A987" i="4"/>
  <c r="Q986" i="4"/>
  <c r="E986" i="4"/>
  <c r="F986" i="4" s="1"/>
  <c r="A986" i="4"/>
  <c r="Q985" i="4"/>
  <c r="F985" i="4"/>
  <c r="E985" i="4"/>
  <c r="A985" i="4"/>
  <c r="Q984" i="4"/>
  <c r="E984" i="4"/>
  <c r="F984" i="4" s="1"/>
  <c r="A984" i="4"/>
  <c r="Q983" i="4"/>
  <c r="F983" i="4"/>
  <c r="E983" i="4"/>
  <c r="A983" i="4"/>
  <c r="Q982" i="4"/>
  <c r="E982" i="4"/>
  <c r="F982" i="4" s="1"/>
  <c r="A982" i="4"/>
  <c r="Q981" i="4"/>
  <c r="F981" i="4"/>
  <c r="E981" i="4"/>
  <c r="A981" i="4"/>
  <c r="Q980" i="4"/>
  <c r="E980" i="4"/>
  <c r="F980" i="4" s="1"/>
  <c r="A980" i="4"/>
  <c r="Q979" i="4"/>
  <c r="E979" i="4"/>
  <c r="F979" i="4" s="1"/>
  <c r="A979" i="4"/>
  <c r="Q978" i="4"/>
  <c r="E978" i="4"/>
  <c r="F978" i="4" s="1"/>
  <c r="A978" i="4"/>
  <c r="Q977" i="4"/>
  <c r="E977" i="4"/>
  <c r="F977" i="4" s="1"/>
  <c r="A977" i="4"/>
  <c r="Q976" i="4"/>
  <c r="E976" i="4"/>
  <c r="F976" i="4" s="1"/>
  <c r="A976" i="4"/>
  <c r="Q975" i="4"/>
  <c r="F975" i="4"/>
  <c r="E975" i="4"/>
  <c r="A975" i="4"/>
  <c r="Q974" i="4"/>
  <c r="E974" i="4"/>
  <c r="F974" i="4" s="1"/>
  <c r="A974" i="4"/>
  <c r="Q973" i="4"/>
  <c r="E973" i="4"/>
  <c r="F973" i="4" s="1"/>
  <c r="A973" i="4"/>
  <c r="Q972" i="4"/>
  <c r="E972" i="4"/>
  <c r="F972" i="4" s="1"/>
  <c r="A972" i="4"/>
  <c r="Q971" i="4"/>
  <c r="E971" i="4"/>
  <c r="F971" i="4" s="1"/>
  <c r="A971" i="4"/>
  <c r="Q970" i="4"/>
  <c r="E970" i="4"/>
  <c r="F970" i="4" s="1"/>
  <c r="A970" i="4"/>
  <c r="Q969" i="4"/>
  <c r="E969" i="4"/>
  <c r="F969" i="4" s="1"/>
  <c r="A969" i="4"/>
  <c r="Q968" i="4"/>
  <c r="E968" i="4"/>
  <c r="F968" i="4" s="1"/>
  <c r="A968" i="4"/>
  <c r="Q967" i="4"/>
  <c r="F967" i="4"/>
  <c r="E967" i="4"/>
  <c r="A967" i="4"/>
  <c r="Q966" i="4"/>
  <c r="E966" i="4"/>
  <c r="F966" i="4" s="1"/>
  <c r="A966" i="4"/>
  <c r="Q965" i="4"/>
  <c r="F965" i="4"/>
  <c r="E965" i="4"/>
  <c r="A965" i="4"/>
  <c r="Q964" i="4"/>
  <c r="E964" i="4"/>
  <c r="F964" i="4" s="1"/>
  <c r="A964" i="4"/>
  <c r="Q963" i="4"/>
  <c r="E963" i="4"/>
  <c r="F963" i="4" s="1"/>
  <c r="A963" i="4"/>
  <c r="Q962" i="4"/>
  <c r="E962" i="4"/>
  <c r="F962" i="4" s="1"/>
  <c r="A962" i="4"/>
  <c r="Q961" i="4"/>
  <c r="E961" i="4"/>
  <c r="F961" i="4" s="1"/>
  <c r="A961" i="4"/>
  <c r="Q960" i="4"/>
  <c r="E960" i="4"/>
  <c r="F960" i="4" s="1"/>
  <c r="A960" i="4"/>
  <c r="Q959" i="4"/>
  <c r="F959" i="4"/>
  <c r="E959" i="4"/>
  <c r="A959" i="4"/>
  <c r="Q958" i="4"/>
  <c r="E958" i="4"/>
  <c r="F958" i="4" s="1"/>
  <c r="A958" i="4"/>
  <c r="Q957" i="4"/>
  <c r="E957" i="4"/>
  <c r="F957" i="4" s="1"/>
  <c r="A957" i="4"/>
  <c r="Q956" i="4"/>
  <c r="E956" i="4"/>
  <c r="F956" i="4" s="1"/>
  <c r="A956" i="4"/>
  <c r="Q955" i="4"/>
  <c r="E955" i="4"/>
  <c r="F955" i="4" s="1"/>
  <c r="A955" i="4"/>
  <c r="Q954" i="4"/>
  <c r="E954" i="4"/>
  <c r="F954" i="4" s="1"/>
  <c r="A954" i="4"/>
  <c r="Q953" i="4"/>
  <c r="E953" i="4"/>
  <c r="F953" i="4" s="1"/>
  <c r="A953" i="4"/>
  <c r="Q952" i="4"/>
  <c r="E952" i="4"/>
  <c r="F952" i="4" s="1"/>
  <c r="A952" i="4"/>
  <c r="Q951" i="4"/>
  <c r="F951" i="4"/>
  <c r="E951" i="4"/>
  <c r="A951" i="4"/>
  <c r="Q950" i="4"/>
  <c r="E950" i="4"/>
  <c r="F950" i="4" s="1"/>
  <c r="A950" i="4"/>
  <c r="Q949" i="4"/>
  <c r="F949" i="4"/>
  <c r="E949" i="4"/>
  <c r="A949" i="4"/>
  <c r="Q948" i="4"/>
  <c r="E948" i="4"/>
  <c r="F948" i="4" s="1"/>
  <c r="A948" i="4"/>
  <c r="Q947" i="4"/>
  <c r="E947" i="4"/>
  <c r="F947" i="4" s="1"/>
  <c r="A947" i="4"/>
  <c r="Q946" i="4"/>
  <c r="E946" i="4"/>
  <c r="F946" i="4" s="1"/>
  <c r="A946" i="4"/>
  <c r="Q945" i="4"/>
  <c r="E945" i="4"/>
  <c r="F945" i="4" s="1"/>
  <c r="A945" i="4"/>
  <c r="Q944" i="4"/>
  <c r="E944" i="4"/>
  <c r="F944" i="4" s="1"/>
  <c r="A944" i="4"/>
  <c r="Q943" i="4"/>
  <c r="F943" i="4"/>
  <c r="E943" i="4"/>
  <c r="A943" i="4"/>
  <c r="Q942" i="4"/>
  <c r="E942" i="4"/>
  <c r="F942" i="4" s="1"/>
  <c r="A942" i="4"/>
  <c r="Q941" i="4"/>
  <c r="E941" i="4"/>
  <c r="F941" i="4" s="1"/>
  <c r="A941" i="4"/>
  <c r="Q940" i="4"/>
  <c r="E940" i="4"/>
  <c r="F940" i="4" s="1"/>
  <c r="A940" i="4"/>
  <c r="Q939" i="4"/>
  <c r="E939" i="4"/>
  <c r="F939" i="4" s="1"/>
  <c r="A939" i="4"/>
  <c r="Q938" i="4"/>
  <c r="E938" i="4"/>
  <c r="F938" i="4" s="1"/>
  <c r="A938" i="4"/>
  <c r="Q937" i="4"/>
  <c r="E937" i="4"/>
  <c r="F937" i="4" s="1"/>
  <c r="A937" i="4"/>
  <c r="Q936" i="4"/>
  <c r="E936" i="4"/>
  <c r="F936" i="4" s="1"/>
  <c r="A936" i="4"/>
  <c r="Q935" i="4"/>
  <c r="F935" i="4"/>
  <c r="E935" i="4"/>
  <c r="A935" i="4"/>
  <c r="Q934" i="4"/>
  <c r="E934" i="4"/>
  <c r="F934" i="4" s="1"/>
  <c r="A934" i="4"/>
  <c r="Q933" i="4"/>
  <c r="F933" i="4"/>
  <c r="E933" i="4"/>
  <c r="A933" i="4"/>
  <c r="Q932" i="4"/>
  <c r="E932" i="4"/>
  <c r="F932" i="4" s="1"/>
  <c r="A932" i="4"/>
  <c r="Q931" i="4"/>
  <c r="E931" i="4"/>
  <c r="F931" i="4" s="1"/>
  <c r="A931" i="4"/>
  <c r="Q930" i="4"/>
  <c r="E930" i="4"/>
  <c r="F930" i="4" s="1"/>
  <c r="A930" i="4"/>
  <c r="Q929" i="4"/>
  <c r="E929" i="4"/>
  <c r="F929" i="4" s="1"/>
  <c r="A929" i="4"/>
  <c r="Q928" i="4"/>
  <c r="E928" i="4"/>
  <c r="F928" i="4" s="1"/>
  <c r="A928" i="4"/>
  <c r="Q927" i="4"/>
  <c r="F927" i="4"/>
  <c r="E927" i="4"/>
  <c r="A927" i="4"/>
  <c r="Q926" i="4"/>
  <c r="E926" i="4"/>
  <c r="F926" i="4" s="1"/>
  <c r="A926" i="4"/>
  <c r="Q925" i="4"/>
  <c r="E925" i="4"/>
  <c r="F925" i="4" s="1"/>
  <c r="A925" i="4"/>
  <c r="Q924" i="4"/>
  <c r="E924" i="4"/>
  <c r="F924" i="4" s="1"/>
  <c r="A924" i="4"/>
  <c r="Q923" i="4"/>
  <c r="E923" i="4"/>
  <c r="F923" i="4" s="1"/>
  <c r="A923" i="4"/>
  <c r="Q922" i="4"/>
  <c r="E922" i="4"/>
  <c r="F922" i="4" s="1"/>
  <c r="A922" i="4"/>
  <c r="Q921" i="4"/>
  <c r="E921" i="4"/>
  <c r="F921" i="4" s="1"/>
  <c r="A921" i="4"/>
  <c r="Q920" i="4"/>
  <c r="E920" i="4"/>
  <c r="F920" i="4" s="1"/>
  <c r="A920" i="4"/>
  <c r="Q919" i="4"/>
  <c r="F919" i="4"/>
  <c r="E919" i="4"/>
  <c r="A919" i="4"/>
  <c r="Q918" i="4"/>
  <c r="E918" i="4"/>
  <c r="F918" i="4" s="1"/>
  <c r="A918" i="4"/>
  <c r="Q917" i="4"/>
  <c r="F917" i="4"/>
  <c r="E917" i="4"/>
  <c r="A917" i="4"/>
  <c r="Q916" i="4"/>
  <c r="E916" i="4"/>
  <c r="F916" i="4" s="1"/>
  <c r="A916" i="4"/>
  <c r="Q915" i="4"/>
  <c r="E915" i="4"/>
  <c r="F915" i="4" s="1"/>
  <c r="A915" i="4"/>
  <c r="Q914" i="4"/>
  <c r="E914" i="4"/>
  <c r="F914" i="4" s="1"/>
  <c r="A914" i="4"/>
  <c r="Q913" i="4"/>
  <c r="E913" i="4"/>
  <c r="F913" i="4" s="1"/>
  <c r="A913" i="4"/>
  <c r="Q912" i="4"/>
  <c r="E912" i="4"/>
  <c r="F912" i="4" s="1"/>
  <c r="A912" i="4"/>
  <c r="Q911" i="4"/>
  <c r="F911" i="4"/>
  <c r="E911" i="4"/>
  <c r="A911" i="4"/>
  <c r="Q910" i="4"/>
  <c r="E910" i="4"/>
  <c r="F910" i="4" s="1"/>
  <c r="A910" i="4"/>
  <c r="Q909" i="4"/>
  <c r="E909" i="4"/>
  <c r="F909" i="4" s="1"/>
  <c r="A909" i="4"/>
  <c r="Q908" i="4"/>
  <c r="E908" i="4"/>
  <c r="F908" i="4" s="1"/>
  <c r="A908" i="4"/>
  <c r="Q907" i="4"/>
  <c r="E907" i="4"/>
  <c r="F907" i="4" s="1"/>
  <c r="A907" i="4"/>
  <c r="Q906" i="4"/>
  <c r="E906" i="4"/>
  <c r="F906" i="4" s="1"/>
  <c r="A906" i="4"/>
  <c r="Q905" i="4"/>
  <c r="E905" i="4"/>
  <c r="F905" i="4" s="1"/>
  <c r="A905" i="4"/>
  <c r="Q904" i="4"/>
  <c r="E904" i="4"/>
  <c r="F904" i="4" s="1"/>
  <c r="A904" i="4"/>
  <c r="Q903" i="4"/>
  <c r="F903" i="4"/>
  <c r="E903" i="4"/>
  <c r="A903" i="4"/>
  <c r="Q902" i="4"/>
  <c r="E902" i="4"/>
  <c r="F902" i="4" s="1"/>
  <c r="A902" i="4"/>
  <c r="Q901" i="4"/>
  <c r="F901" i="4"/>
  <c r="E901" i="4"/>
  <c r="A901" i="4"/>
  <c r="Q900" i="4"/>
  <c r="E900" i="4"/>
  <c r="F900" i="4" s="1"/>
  <c r="A900" i="4"/>
  <c r="Q899" i="4"/>
  <c r="E899" i="4"/>
  <c r="F899" i="4" s="1"/>
  <c r="A899" i="4"/>
  <c r="Q898" i="4"/>
  <c r="E898" i="4"/>
  <c r="F898" i="4" s="1"/>
  <c r="A898" i="4"/>
  <c r="Q897" i="4"/>
  <c r="E897" i="4"/>
  <c r="F897" i="4" s="1"/>
  <c r="A897" i="4"/>
  <c r="Q896" i="4"/>
  <c r="E896" i="4"/>
  <c r="F896" i="4" s="1"/>
  <c r="A896" i="4"/>
  <c r="Q895" i="4"/>
  <c r="F895" i="4"/>
  <c r="E895" i="4"/>
  <c r="A895" i="4"/>
  <c r="Q894" i="4"/>
  <c r="E894" i="4"/>
  <c r="F894" i="4" s="1"/>
  <c r="A894" i="4"/>
  <c r="Q893" i="4"/>
  <c r="E893" i="4"/>
  <c r="F893" i="4" s="1"/>
  <c r="A893" i="4"/>
  <c r="Q892" i="4"/>
  <c r="E892" i="4"/>
  <c r="F892" i="4" s="1"/>
  <c r="A892" i="4"/>
  <c r="Q891" i="4"/>
  <c r="E891" i="4"/>
  <c r="F891" i="4" s="1"/>
  <c r="A891" i="4"/>
  <c r="Q890" i="4"/>
  <c r="E890" i="4"/>
  <c r="F890" i="4" s="1"/>
  <c r="A890" i="4"/>
  <c r="Q889" i="4"/>
  <c r="E889" i="4"/>
  <c r="F889" i="4" s="1"/>
  <c r="A889" i="4"/>
  <c r="Q888" i="4"/>
  <c r="E888" i="4"/>
  <c r="F888" i="4" s="1"/>
  <c r="A888" i="4"/>
  <c r="Q887" i="4"/>
  <c r="F887" i="4"/>
  <c r="E887" i="4"/>
  <c r="A887" i="4"/>
  <c r="Q886" i="4"/>
  <c r="E886" i="4"/>
  <c r="F886" i="4" s="1"/>
  <c r="A886" i="4"/>
  <c r="Q885" i="4"/>
  <c r="F885" i="4"/>
  <c r="E885" i="4"/>
  <c r="A885" i="4"/>
  <c r="Q884" i="4"/>
  <c r="E884" i="4"/>
  <c r="F884" i="4" s="1"/>
  <c r="A884" i="4"/>
  <c r="Q883" i="4"/>
  <c r="E883" i="4"/>
  <c r="F883" i="4" s="1"/>
  <c r="A883" i="4"/>
  <c r="Q882" i="4"/>
  <c r="E882" i="4"/>
  <c r="F882" i="4" s="1"/>
  <c r="A882" i="4"/>
  <c r="Q881" i="4"/>
  <c r="E881" i="4"/>
  <c r="F881" i="4" s="1"/>
  <c r="A881" i="4"/>
  <c r="Q880" i="4"/>
  <c r="E880" i="4"/>
  <c r="F880" i="4" s="1"/>
  <c r="A880" i="4"/>
  <c r="Q879" i="4"/>
  <c r="F879" i="4"/>
  <c r="E879" i="4"/>
  <c r="A879" i="4"/>
  <c r="Q878" i="4"/>
  <c r="E878" i="4"/>
  <c r="F878" i="4" s="1"/>
  <c r="A878" i="4"/>
  <c r="Q877" i="4"/>
  <c r="E877" i="4"/>
  <c r="F877" i="4" s="1"/>
  <c r="A877" i="4"/>
  <c r="Q876" i="4"/>
  <c r="E876" i="4"/>
  <c r="F876" i="4" s="1"/>
  <c r="A876" i="4"/>
  <c r="Q875" i="4"/>
  <c r="E875" i="4"/>
  <c r="F875" i="4" s="1"/>
  <c r="A875" i="4"/>
  <c r="Q874" i="4"/>
  <c r="E874" i="4"/>
  <c r="F874" i="4" s="1"/>
  <c r="A874" i="4"/>
  <c r="Q873" i="4"/>
  <c r="E873" i="4"/>
  <c r="F873" i="4" s="1"/>
  <c r="A873" i="4"/>
  <c r="Q872" i="4"/>
  <c r="E872" i="4"/>
  <c r="F872" i="4" s="1"/>
  <c r="A872" i="4"/>
  <c r="Q871" i="4"/>
  <c r="F871" i="4"/>
  <c r="E871" i="4"/>
  <c r="A871" i="4"/>
  <c r="Q870" i="4"/>
  <c r="E870" i="4"/>
  <c r="F870" i="4" s="1"/>
  <c r="A870" i="4"/>
  <c r="Q869" i="4"/>
  <c r="F869" i="4"/>
  <c r="E869" i="4"/>
  <c r="A869" i="4"/>
  <c r="Q868" i="4"/>
  <c r="E868" i="4"/>
  <c r="F868" i="4" s="1"/>
  <c r="A868" i="4"/>
  <c r="Q867" i="4"/>
  <c r="E867" i="4"/>
  <c r="F867" i="4" s="1"/>
  <c r="A867" i="4"/>
  <c r="Q866" i="4"/>
  <c r="E866" i="4"/>
  <c r="F866" i="4" s="1"/>
  <c r="A866" i="4"/>
  <c r="Q865" i="4"/>
  <c r="E865" i="4"/>
  <c r="F865" i="4" s="1"/>
  <c r="A865" i="4"/>
  <c r="Q864" i="4"/>
  <c r="E864" i="4"/>
  <c r="F864" i="4" s="1"/>
  <c r="A864" i="4"/>
  <c r="Q863" i="4"/>
  <c r="F863" i="4"/>
  <c r="E863" i="4"/>
  <c r="A863" i="4"/>
  <c r="Q862" i="4"/>
  <c r="E862" i="4"/>
  <c r="F862" i="4" s="1"/>
  <c r="A862" i="4"/>
  <c r="Q861" i="4"/>
  <c r="E861" i="4"/>
  <c r="F861" i="4" s="1"/>
  <c r="A861" i="4"/>
  <c r="Q860" i="4"/>
  <c r="E860" i="4"/>
  <c r="F860" i="4" s="1"/>
  <c r="A860" i="4"/>
  <c r="Q859" i="4"/>
  <c r="E859" i="4"/>
  <c r="F859" i="4" s="1"/>
  <c r="A859" i="4"/>
  <c r="Q858" i="4"/>
  <c r="E858" i="4"/>
  <c r="F858" i="4" s="1"/>
  <c r="A858" i="4"/>
  <c r="Q857" i="4"/>
  <c r="E857" i="4"/>
  <c r="F857" i="4" s="1"/>
  <c r="A857" i="4"/>
  <c r="Q856" i="4"/>
  <c r="E856" i="4"/>
  <c r="F856" i="4" s="1"/>
  <c r="A856" i="4"/>
  <c r="Q855" i="4"/>
  <c r="F855" i="4"/>
  <c r="E855" i="4"/>
  <c r="A855" i="4"/>
  <c r="Q854" i="4"/>
  <c r="E854" i="4"/>
  <c r="F854" i="4" s="1"/>
  <c r="A854" i="4"/>
  <c r="Q853" i="4"/>
  <c r="F853" i="4"/>
  <c r="E853" i="4"/>
  <c r="A853" i="4"/>
  <c r="Q852" i="4"/>
  <c r="E852" i="4"/>
  <c r="F852" i="4" s="1"/>
  <c r="A852" i="4"/>
  <c r="Q851" i="4"/>
  <c r="E851" i="4"/>
  <c r="F851" i="4" s="1"/>
  <c r="A851" i="4"/>
  <c r="Q850" i="4"/>
  <c r="E850" i="4"/>
  <c r="F850" i="4" s="1"/>
  <c r="A850" i="4"/>
  <c r="Q849" i="4"/>
  <c r="E849" i="4"/>
  <c r="F849" i="4" s="1"/>
  <c r="A849" i="4"/>
  <c r="Q848" i="4"/>
  <c r="E848" i="4"/>
  <c r="F848" i="4" s="1"/>
  <c r="A848" i="4"/>
  <c r="Q847" i="4"/>
  <c r="F847" i="4"/>
  <c r="E847" i="4"/>
  <c r="A847" i="4"/>
  <c r="Q846" i="4"/>
  <c r="E846" i="4"/>
  <c r="F846" i="4" s="1"/>
  <c r="A846" i="4"/>
  <c r="Q845" i="4"/>
  <c r="E845" i="4"/>
  <c r="F845" i="4" s="1"/>
  <c r="A845" i="4"/>
  <c r="Q844" i="4"/>
  <c r="E844" i="4"/>
  <c r="F844" i="4" s="1"/>
  <c r="A844" i="4"/>
  <c r="Q843" i="4"/>
  <c r="E843" i="4"/>
  <c r="F843" i="4" s="1"/>
  <c r="A843" i="4"/>
  <c r="Q842" i="4"/>
  <c r="E842" i="4"/>
  <c r="F842" i="4" s="1"/>
  <c r="A842" i="4"/>
  <c r="Q841" i="4"/>
  <c r="E841" i="4"/>
  <c r="F841" i="4" s="1"/>
  <c r="A841" i="4"/>
  <c r="Q840" i="4"/>
  <c r="E840" i="4"/>
  <c r="F840" i="4" s="1"/>
  <c r="A840" i="4"/>
  <c r="Q839" i="4"/>
  <c r="F839" i="4"/>
  <c r="E839" i="4"/>
  <c r="A839" i="4"/>
  <c r="Q838" i="4"/>
  <c r="E838" i="4"/>
  <c r="F838" i="4" s="1"/>
  <c r="A838" i="4"/>
  <c r="Q837" i="4"/>
  <c r="F837" i="4"/>
  <c r="E837" i="4"/>
  <c r="A837" i="4"/>
  <c r="Q836" i="4"/>
  <c r="E836" i="4"/>
  <c r="F836" i="4" s="1"/>
  <c r="A836" i="4"/>
  <c r="Q835" i="4"/>
  <c r="E835" i="4"/>
  <c r="F835" i="4" s="1"/>
  <c r="A835" i="4"/>
  <c r="Q834" i="4"/>
  <c r="E834" i="4"/>
  <c r="F834" i="4" s="1"/>
  <c r="A834" i="4"/>
  <c r="Q833" i="4"/>
  <c r="E833" i="4"/>
  <c r="F833" i="4" s="1"/>
  <c r="A833" i="4"/>
  <c r="Q832" i="4"/>
  <c r="E832" i="4"/>
  <c r="F832" i="4" s="1"/>
  <c r="A832" i="4"/>
  <c r="Q831" i="4"/>
  <c r="F831" i="4"/>
  <c r="E831" i="4"/>
  <c r="A831" i="4"/>
  <c r="Q830" i="4"/>
  <c r="E830" i="4"/>
  <c r="F830" i="4" s="1"/>
  <c r="A830" i="4"/>
  <c r="Q829" i="4"/>
  <c r="E829" i="4"/>
  <c r="F829" i="4" s="1"/>
  <c r="A829" i="4"/>
  <c r="Q828" i="4"/>
  <c r="E828" i="4"/>
  <c r="F828" i="4" s="1"/>
  <c r="A828" i="4"/>
  <c r="Q827" i="4"/>
  <c r="E827" i="4"/>
  <c r="F827" i="4" s="1"/>
  <c r="A827" i="4"/>
  <c r="Q826" i="4"/>
  <c r="E826" i="4"/>
  <c r="F826" i="4" s="1"/>
  <c r="A826" i="4"/>
  <c r="Q825" i="4"/>
  <c r="E825" i="4"/>
  <c r="F825" i="4" s="1"/>
  <c r="A825" i="4"/>
  <c r="Q824" i="4"/>
  <c r="E824" i="4"/>
  <c r="F824" i="4" s="1"/>
  <c r="A824" i="4"/>
  <c r="Q823" i="4"/>
  <c r="F823" i="4"/>
  <c r="E823" i="4"/>
  <c r="A823" i="4"/>
  <c r="Q822" i="4"/>
  <c r="E822" i="4"/>
  <c r="F822" i="4" s="1"/>
  <c r="A822" i="4"/>
  <c r="Q821" i="4"/>
  <c r="F821" i="4"/>
  <c r="E821" i="4"/>
  <c r="A821" i="4"/>
  <c r="Q820" i="4"/>
  <c r="E820" i="4"/>
  <c r="F820" i="4" s="1"/>
  <c r="A820" i="4"/>
  <c r="Q819" i="4"/>
  <c r="E819" i="4"/>
  <c r="F819" i="4" s="1"/>
  <c r="A819" i="4"/>
  <c r="Q818" i="4"/>
  <c r="E818" i="4"/>
  <c r="F818" i="4" s="1"/>
  <c r="A818" i="4"/>
  <c r="Q817" i="4"/>
  <c r="E817" i="4"/>
  <c r="F817" i="4" s="1"/>
  <c r="A817" i="4"/>
  <c r="Q816" i="4"/>
  <c r="E816" i="4"/>
  <c r="F816" i="4" s="1"/>
  <c r="A816" i="4"/>
  <c r="Q815" i="4"/>
  <c r="F815" i="4"/>
  <c r="E815" i="4"/>
  <c r="A815" i="4"/>
  <c r="Q814" i="4"/>
  <c r="E814" i="4"/>
  <c r="F814" i="4" s="1"/>
  <c r="A814" i="4"/>
  <c r="Q813" i="4"/>
  <c r="E813" i="4"/>
  <c r="F813" i="4" s="1"/>
  <c r="A813" i="4"/>
  <c r="Q812" i="4"/>
  <c r="E812" i="4"/>
  <c r="F812" i="4" s="1"/>
  <c r="A812" i="4"/>
  <c r="Q811" i="4"/>
  <c r="E811" i="4"/>
  <c r="F811" i="4" s="1"/>
  <c r="A811" i="4"/>
  <c r="Q810" i="4"/>
  <c r="E810" i="4"/>
  <c r="F810" i="4" s="1"/>
  <c r="A810" i="4"/>
  <c r="Q809" i="4"/>
  <c r="E809" i="4"/>
  <c r="F809" i="4" s="1"/>
  <c r="A809" i="4"/>
  <c r="Q808" i="4"/>
  <c r="E808" i="4"/>
  <c r="F808" i="4" s="1"/>
  <c r="A808" i="4"/>
  <c r="Q807" i="4"/>
  <c r="F807" i="4"/>
  <c r="E807" i="4"/>
  <c r="A807" i="4"/>
  <c r="Q806" i="4"/>
  <c r="E806" i="4"/>
  <c r="F806" i="4" s="1"/>
  <c r="A806" i="4"/>
  <c r="Q805" i="4"/>
  <c r="F805" i="4"/>
  <c r="E805" i="4"/>
  <c r="A805" i="4"/>
  <c r="Q804" i="4"/>
  <c r="E804" i="4"/>
  <c r="F804" i="4" s="1"/>
  <c r="A804" i="4"/>
  <c r="Q803" i="4"/>
  <c r="E803" i="4"/>
  <c r="F803" i="4" s="1"/>
  <c r="A803" i="4"/>
  <c r="Q802" i="4"/>
  <c r="E802" i="4"/>
  <c r="F802" i="4" s="1"/>
  <c r="A802" i="4"/>
  <c r="Q801" i="4"/>
  <c r="E801" i="4"/>
  <c r="F801" i="4" s="1"/>
  <c r="A801" i="4"/>
  <c r="Q800" i="4"/>
  <c r="E800" i="4"/>
  <c r="F800" i="4" s="1"/>
  <c r="A800" i="4"/>
  <c r="Q799" i="4"/>
  <c r="F799" i="4"/>
  <c r="E799" i="4"/>
  <c r="A799" i="4"/>
  <c r="Q798" i="4"/>
  <c r="E798" i="4"/>
  <c r="F798" i="4" s="1"/>
  <c r="A798" i="4"/>
  <c r="Q797" i="4"/>
  <c r="E797" i="4"/>
  <c r="F797" i="4" s="1"/>
  <c r="A797" i="4"/>
  <c r="Q796" i="4"/>
  <c r="E796" i="4"/>
  <c r="F796" i="4" s="1"/>
  <c r="A796" i="4"/>
  <c r="Q795" i="4"/>
  <c r="E795" i="4"/>
  <c r="F795" i="4" s="1"/>
  <c r="A795" i="4"/>
  <c r="Q794" i="4"/>
  <c r="E794" i="4"/>
  <c r="F794" i="4" s="1"/>
  <c r="A794" i="4"/>
  <c r="Q793" i="4"/>
  <c r="E793" i="4"/>
  <c r="F793" i="4" s="1"/>
  <c r="A793" i="4"/>
  <c r="Q792" i="4"/>
  <c r="E792" i="4"/>
  <c r="F792" i="4" s="1"/>
  <c r="A792" i="4"/>
  <c r="Q791" i="4"/>
  <c r="F791" i="4"/>
  <c r="E791" i="4"/>
  <c r="A791" i="4"/>
  <c r="Q790" i="4"/>
  <c r="E790" i="4"/>
  <c r="F790" i="4" s="1"/>
  <c r="A790" i="4"/>
  <c r="Q789" i="4"/>
  <c r="F789" i="4"/>
  <c r="E789" i="4"/>
  <c r="A789" i="4"/>
  <c r="Q788" i="4"/>
  <c r="E788" i="4"/>
  <c r="F788" i="4" s="1"/>
  <c r="A788" i="4"/>
  <c r="Q787" i="4"/>
  <c r="E787" i="4"/>
  <c r="F787" i="4" s="1"/>
  <c r="A787" i="4"/>
  <c r="Q786" i="4"/>
  <c r="E786" i="4"/>
  <c r="F786" i="4" s="1"/>
  <c r="A786" i="4"/>
  <c r="Q785" i="4"/>
  <c r="E785" i="4"/>
  <c r="F785" i="4" s="1"/>
  <c r="A785" i="4"/>
  <c r="Q784" i="4"/>
  <c r="E784" i="4"/>
  <c r="F784" i="4" s="1"/>
  <c r="A784" i="4"/>
  <c r="Q783" i="4"/>
  <c r="F783" i="4"/>
  <c r="E783" i="4"/>
  <c r="A783" i="4"/>
  <c r="Q782" i="4"/>
  <c r="E782" i="4"/>
  <c r="F782" i="4" s="1"/>
  <c r="A782" i="4"/>
  <c r="Q781" i="4"/>
  <c r="E781" i="4"/>
  <c r="F781" i="4" s="1"/>
  <c r="A781" i="4"/>
  <c r="Q780" i="4"/>
  <c r="E780" i="4"/>
  <c r="F780" i="4" s="1"/>
  <c r="A780" i="4"/>
  <c r="Q779" i="4"/>
  <c r="E779" i="4"/>
  <c r="F779" i="4" s="1"/>
  <c r="A779" i="4"/>
  <c r="Q778" i="4"/>
  <c r="E778" i="4"/>
  <c r="F778" i="4" s="1"/>
  <c r="A778" i="4"/>
  <c r="Q777" i="4"/>
  <c r="E777" i="4"/>
  <c r="F777" i="4" s="1"/>
  <c r="A777" i="4"/>
  <c r="Q776" i="4"/>
  <c r="E776" i="4"/>
  <c r="F776" i="4" s="1"/>
  <c r="A776" i="4"/>
  <c r="Q775" i="4"/>
  <c r="F775" i="4"/>
  <c r="E775" i="4"/>
  <c r="A775" i="4"/>
  <c r="Q774" i="4"/>
  <c r="E774" i="4"/>
  <c r="F774" i="4" s="1"/>
  <c r="A774" i="4"/>
  <c r="Q773" i="4"/>
  <c r="F773" i="4"/>
  <c r="E773" i="4"/>
  <c r="A773" i="4"/>
  <c r="Q772" i="4"/>
  <c r="E772" i="4"/>
  <c r="F772" i="4" s="1"/>
  <c r="A772" i="4"/>
  <c r="Q771" i="4"/>
  <c r="E771" i="4"/>
  <c r="F771" i="4" s="1"/>
  <c r="A771" i="4"/>
  <c r="Q770" i="4"/>
  <c r="E770" i="4"/>
  <c r="F770" i="4" s="1"/>
  <c r="A770" i="4"/>
  <c r="Q769" i="4"/>
  <c r="E769" i="4"/>
  <c r="F769" i="4" s="1"/>
  <c r="A769" i="4"/>
  <c r="Q768" i="4"/>
  <c r="E768" i="4"/>
  <c r="F768" i="4" s="1"/>
  <c r="A768" i="4"/>
  <c r="Q767" i="4"/>
  <c r="F767" i="4"/>
  <c r="E767" i="4"/>
  <c r="A767" i="4"/>
  <c r="Q766" i="4"/>
  <c r="E766" i="4"/>
  <c r="F766" i="4" s="1"/>
  <c r="A766" i="4"/>
  <c r="Q765" i="4"/>
  <c r="E765" i="4"/>
  <c r="F765" i="4" s="1"/>
  <c r="A765" i="4"/>
  <c r="Q764" i="4"/>
  <c r="E764" i="4"/>
  <c r="F764" i="4" s="1"/>
  <c r="A764" i="4"/>
  <c r="Q763" i="4"/>
  <c r="E763" i="4"/>
  <c r="F763" i="4" s="1"/>
  <c r="A763" i="4"/>
  <c r="Q762" i="4"/>
  <c r="E762" i="4"/>
  <c r="F762" i="4" s="1"/>
  <c r="A762" i="4"/>
  <c r="Q761" i="4"/>
  <c r="E761" i="4"/>
  <c r="F761" i="4" s="1"/>
  <c r="A761" i="4"/>
  <c r="Q760" i="4"/>
  <c r="E760" i="4"/>
  <c r="F760" i="4" s="1"/>
  <c r="A760" i="4"/>
  <c r="Q759" i="4"/>
  <c r="F759" i="4"/>
  <c r="E759" i="4"/>
  <c r="A759" i="4"/>
  <c r="Q758" i="4"/>
  <c r="E758" i="4"/>
  <c r="F758" i="4" s="1"/>
  <c r="A758" i="4"/>
  <c r="Q757" i="4"/>
  <c r="F757" i="4"/>
  <c r="E757" i="4"/>
  <c r="A757" i="4"/>
  <c r="Q756" i="4"/>
  <c r="E756" i="4"/>
  <c r="F756" i="4" s="1"/>
  <c r="A756" i="4"/>
  <c r="Q755" i="4"/>
  <c r="E755" i="4"/>
  <c r="F755" i="4" s="1"/>
  <c r="A755" i="4"/>
  <c r="Q754" i="4"/>
  <c r="E754" i="4"/>
  <c r="F754" i="4" s="1"/>
  <c r="A754" i="4"/>
  <c r="Q753" i="4"/>
  <c r="E753" i="4"/>
  <c r="F753" i="4" s="1"/>
  <c r="A753" i="4"/>
  <c r="Q752" i="4"/>
  <c r="E752" i="4"/>
  <c r="F752" i="4" s="1"/>
  <c r="A752" i="4"/>
  <c r="Q751" i="4"/>
  <c r="F751" i="4"/>
  <c r="E751" i="4"/>
  <c r="A751" i="4"/>
  <c r="Q750" i="4"/>
  <c r="E750" i="4"/>
  <c r="F750" i="4" s="1"/>
  <c r="A750" i="4"/>
  <c r="Q749" i="4"/>
  <c r="E749" i="4"/>
  <c r="F749" i="4" s="1"/>
  <c r="A749" i="4"/>
  <c r="Q748" i="4"/>
  <c r="E748" i="4"/>
  <c r="F748" i="4" s="1"/>
  <c r="A748" i="4"/>
  <c r="Q747" i="4"/>
  <c r="E747" i="4"/>
  <c r="F747" i="4" s="1"/>
  <c r="A747" i="4"/>
  <c r="Q746" i="4"/>
  <c r="E746" i="4"/>
  <c r="F746" i="4" s="1"/>
  <c r="A746" i="4"/>
  <c r="Q745" i="4"/>
  <c r="E745" i="4"/>
  <c r="F745" i="4" s="1"/>
  <c r="A745" i="4"/>
  <c r="Q744" i="4"/>
  <c r="E744" i="4"/>
  <c r="F744" i="4" s="1"/>
  <c r="A744" i="4"/>
  <c r="Q743" i="4"/>
  <c r="F743" i="4"/>
  <c r="E743" i="4"/>
  <c r="A743" i="4"/>
  <c r="Q742" i="4"/>
  <c r="E742" i="4"/>
  <c r="F742" i="4" s="1"/>
  <c r="A742" i="4"/>
  <c r="Q741" i="4"/>
  <c r="F741" i="4"/>
  <c r="E741" i="4"/>
  <c r="A741" i="4"/>
  <c r="Q740" i="4"/>
  <c r="E740" i="4"/>
  <c r="F740" i="4" s="1"/>
  <c r="A740" i="4"/>
  <c r="Q739" i="4"/>
  <c r="E739" i="4"/>
  <c r="F739" i="4" s="1"/>
  <c r="A739" i="4"/>
  <c r="Q738" i="4"/>
  <c r="E738" i="4"/>
  <c r="F738" i="4" s="1"/>
  <c r="A738" i="4"/>
  <c r="Q737" i="4"/>
  <c r="E737" i="4"/>
  <c r="F737" i="4" s="1"/>
  <c r="A737" i="4"/>
  <c r="Q736" i="4"/>
  <c r="E736" i="4"/>
  <c r="F736" i="4" s="1"/>
  <c r="A736" i="4"/>
  <c r="Q735" i="4"/>
  <c r="F735" i="4"/>
  <c r="E735" i="4"/>
  <c r="A735" i="4"/>
  <c r="Q734" i="4"/>
  <c r="E734" i="4"/>
  <c r="F734" i="4" s="1"/>
  <c r="A734" i="4"/>
  <c r="Q733" i="4"/>
  <c r="E733" i="4"/>
  <c r="F733" i="4" s="1"/>
  <c r="A733" i="4"/>
  <c r="Q732" i="4"/>
  <c r="E732" i="4"/>
  <c r="F732" i="4" s="1"/>
  <c r="A732" i="4"/>
  <c r="Q731" i="4"/>
  <c r="E731" i="4"/>
  <c r="F731" i="4" s="1"/>
  <c r="A731" i="4"/>
  <c r="Q730" i="4"/>
  <c r="E730" i="4"/>
  <c r="F730" i="4" s="1"/>
  <c r="A730" i="4"/>
  <c r="Q729" i="4"/>
  <c r="E729" i="4"/>
  <c r="F729" i="4" s="1"/>
  <c r="A729" i="4"/>
  <c r="Q728" i="4"/>
  <c r="E728" i="4"/>
  <c r="F728" i="4" s="1"/>
  <c r="A728" i="4"/>
  <c r="Q727" i="4"/>
  <c r="F727" i="4"/>
  <c r="E727" i="4"/>
  <c r="A727" i="4"/>
  <c r="Q726" i="4"/>
  <c r="E726" i="4"/>
  <c r="F726" i="4" s="1"/>
  <c r="A726" i="4"/>
  <c r="Q725" i="4"/>
  <c r="F725" i="4"/>
  <c r="E725" i="4"/>
  <c r="A725" i="4"/>
  <c r="Q724" i="4"/>
  <c r="E724" i="4"/>
  <c r="F724" i="4" s="1"/>
  <c r="A724" i="4"/>
  <c r="Q723" i="4"/>
  <c r="E723" i="4"/>
  <c r="F723" i="4" s="1"/>
  <c r="A723" i="4"/>
  <c r="Q722" i="4"/>
  <c r="E722" i="4"/>
  <c r="F722" i="4" s="1"/>
  <c r="A722" i="4"/>
  <c r="Q721" i="4"/>
  <c r="E721" i="4"/>
  <c r="F721" i="4" s="1"/>
  <c r="A721" i="4"/>
  <c r="Q720" i="4"/>
  <c r="E720" i="4"/>
  <c r="F720" i="4" s="1"/>
  <c r="A720" i="4"/>
  <c r="Q719" i="4"/>
  <c r="F719" i="4"/>
  <c r="E719" i="4"/>
  <c r="A719" i="4"/>
  <c r="Q718" i="4"/>
  <c r="E718" i="4"/>
  <c r="F718" i="4" s="1"/>
  <c r="A718" i="4"/>
  <c r="Q717" i="4"/>
  <c r="E717" i="4"/>
  <c r="F717" i="4" s="1"/>
  <c r="A717" i="4"/>
  <c r="Q716" i="4"/>
  <c r="E716" i="4"/>
  <c r="F716" i="4" s="1"/>
  <c r="A716" i="4"/>
  <c r="Q715" i="4"/>
  <c r="E715" i="4"/>
  <c r="F715" i="4" s="1"/>
  <c r="A715" i="4"/>
  <c r="Q714" i="4"/>
  <c r="E714" i="4"/>
  <c r="F714" i="4" s="1"/>
  <c r="A714" i="4"/>
  <c r="Q713" i="4"/>
  <c r="E713" i="4"/>
  <c r="F713" i="4" s="1"/>
  <c r="A713" i="4"/>
  <c r="Q712" i="4"/>
  <c r="E712" i="4"/>
  <c r="F712" i="4" s="1"/>
  <c r="A712" i="4"/>
  <c r="Q711" i="4"/>
  <c r="F711" i="4"/>
  <c r="E711" i="4"/>
  <c r="A711" i="4"/>
  <c r="Q710" i="4"/>
  <c r="E710" i="4"/>
  <c r="F710" i="4" s="1"/>
  <c r="A710" i="4"/>
  <c r="Q709" i="4"/>
  <c r="F709" i="4"/>
  <c r="E709" i="4"/>
  <c r="A709" i="4"/>
  <c r="Q708" i="4"/>
  <c r="E708" i="4"/>
  <c r="F708" i="4" s="1"/>
  <c r="A708" i="4"/>
  <c r="Q707" i="4"/>
  <c r="E707" i="4"/>
  <c r="F707" i="4" s="1"/>
  <c r="A707" i="4"/>
  <c r="Q706" i="4"/>
  <c r="E706" i="4"/>
  <c r="F706" i="4" s="1"/>
  <c r="A706" i="4"/>
  <c r="Q705" i="4"/>
  <c r="E705" i="4"/>
  <c r="F705" i="4" s="1"/>
  <c r="A705" i="4"/>
  <c r="Q704" i="4"/>
  <c r="E704" i="4"/>
  <c r="F704" i="4" s="1"/>
  <c r="A704" i="4"/>
  <c r="Q703" i="4"/>
  <c r="F703" i="4"/>
  <c r="E703" i="4"/>
  <c r="A703" i="4"/>
  <c r="Q702" i="4"/>
  <c r="E702" i="4"/>
  <c r="F702" i="4" s="1"/>
  <c r="A702" i="4"/>
  <c r="Q701" i="4"/>
  <c r="E701" i="4"/>
  <c r="F701" i="4" s="1"/>
  <c r="A701" i="4"/>
  <c r="Q700" i="4"/>
  <c r="E700" i="4"/>
  <c r="F700" i="4" s="1"/>
  <c r="A700" i="4"/>
  <c r="Q699" i="4"/>
  <c r="E699" i="4"/>
  <c r="F699" i="4" s="1"/>
  <c r="A699" i="4"/>
  <c r="Q698" i="4"/>
  <c r="E698" i="4"/>
  <c r="F698" i="4" s="1"/>
  <c r="A698" i="4"/>
  <c r="Q697" i="4"/>
  <c r="E697" i="4"/>
  <c r="F697" i="4" s="1"/>
  <c r="A697" i="4"/>
  <c r="Q696" i="4"/>
  <c r="E696" i="4"/>
  <c r="F696" i="4" s="1"/>
  <c r="A696" i="4"/>
  <c r="Q695" i="4"/>
  <c r="F695" i="4"/>
  <c r="E695" i="4"/>
  <c r="A695" i="4"/>
  <c r="Q694" i="4"/>
  <c r="E694" i="4"/>
  <c r="F694" i="4" s="1"/>
  <c r="A694" i="4"/>
  <c r="Q693" i="4"/>
  <c r="F693" i="4"/>
  <c r="E693" i="4"/>
  <c r="A693" i="4"/>
  <c r="Q692" i="4"/>
  <c r="E692" i="4"/>
  <c r="F692" i="4" s="1"/>
  <c r="A692" i="4"/>
  <c r="Q691" i="4"/>
  <c r="E691" i="4"/>
  <c r="F691" i="4" s="1"/>
  <c r="A691" i="4"/>
  <c r="Q690" i="4"/>
  <c r="E690" i="4"/>
  <c r="F690" i="4" s="1"/>
  <c r="A690" i="4"/>
  <c r="Q689" i="4"/>
  <c r="E689" i="4"/>
  <c r="F689" i="4" s="1"/>
  <c r="A689" i="4"/>
  <c r="Q688" i="4"/>
  <c r="E688" i="4"/>
  <c r="F688" i="4" s="1"/>
  <c r="A688" i="4"/>
  <c r="Q687" i="4"/>
  <c r="F687" i="4"/>
  <c r="E687" i="4"/>
  <c r="A687" i="4"/>
  <c r="Q686" i="4"/>
  <c r="E686" i="4"/>
  <c r="F686" i="4" s="1"/>
  <c r="A686" i="4"/>
  <c r="Q685" i="4"/>
  <c r="E685" i="4"/>
  <c r="F685" i="4" s="1"/>
  <c r="A685" i="4"/>
  <c r="Q684" i="4"/>
  <c r="E684" i="4"/>
  <c r="F684" i="4" s="1"/>
  <c r="A684" i="4"/>
  <c r="Q683" i="4"/>
  <c r="E683" i="4"/>
  <c r="F683" i="4" s="1"/>
  <c r="A683" i="4"/>
  <c r="Q682" i="4"/>
  <c r="E682" i="4"/>
  <c r="F682" i="4" s="1"/>
  <c r="A682" i="4"/>
  <c r="Q681" i="4"/>
  <c r="E681" i="4"/>
  <c r="F681" i="4" s="1"/>
  <c r="A681" i="4"/>
  <c r="Q680" i="4"/>
  <c r="E680" i="4"/>
  <c r="F680" i="4" s="1"/>
  <c r="A680" i="4"/>
  <c r="Q679" i="4"/>
  <c r="F679" i="4"/>
  <c r="E679" i="4"/>
  <c r="A679" i="4"/>
  <c r="Q678" i="4"/>
  <c r="E678" i="4"/>
  <c r="F678" i="4" s="1"/>
  <c r="A678" i="4"/>
  <c r="Q677" i="4"/>
  <c r="F677" i="4"/>
  <c r="E677" i="4"/>
  <c r="A677" i="4"/>
  <c r="Q676" i="4"/>
  <c r="E676" i="4"/>
  <c r="F676" i="4" s="1"/>
  <c r="A676" i="4"/>
  <c r="Q675" i="4"/>
  <c r="E675" i="4"/>
  <c r="F675" i="4" s="1"/>
  <c r="A675" i="4"/>
  <c r="Q674" i="4"/>
  <c r="E674" i="4"/>
  <c r="F674" i="4" s="1"/>
  <c r="A674" i="4"/>
  <c r="Q673" i="4"/>
  <c r="E673" i="4"/>
  <c r="F673" i="4" s="1"/>
  <c r="A673" i="4"/>
  <c r="Q672" i="4"/>
  <c r="E672" i="4"/>
  <c r="F672" i="4" s="1"/>
  <c r="A672" i="4"/>
  <c r="Q671" i="4"/>
  <c r="F671" i="4"/>
  <c r="E671" i="4"/>
  <c r="A671" i="4"/>
  <c r="Q670" i="4"/>
  <c r="E670" i="4"/>
  <c r="F670" i="4" s="1"/>
  <c r="A670" i="4"/>
  <c r="Q669" i="4"/>
  <c r="E669" i="4"/>
  <c r="F669" i="4" s="1"/>
  <c r="A669" i="4"/>
  <c r="Q668" i="4"/>
  <c r="E668" i="4"/>
  <c r="F668" i="4" s="1"/>
  <c r="A668" i="4"/>
  <c r="Q667" i="4"/>
  <c r="E667" i="4"/>
  <c r="F667" i="4" s="1"/>
  <c r="A667" i="4"/>
  <c r="Q666" i="4"/>
  <c r="E666" i="4"/>
  <c r="F666" i="4" s="1"/>
  <c r="A666" i="4"/>
  <c r="Q665" i="4"/>
  <c r="E665" i="4"/>
  <c r="F665" i="4" s="1"/>
  <c r="A665" i="4"/>
  <c r="Q664" i="4"/>
  <c r="E664" i="4"/>
  <c r="F664" i="4" s="1"/>
  <c r="A664" i="4"/>
  <c r="Q663" i="4"/>
  <c r="F663" i="4"/>
  <c r="E663" i="4"/>
  <c r="A663" i="4"/>
  <c r="Q662" i="4"/>
  <c r="E662" i="4"/>
  <c r="F662" i="4" s="1"/>
  <c r="A662" i="4"/>
  <c r="Q661" i="4"/>
  <c r="F661" i="4"/>
  <c r="E661" i="4"/>
  <c r="A661" i="4"/>
  <c r="Q660" i="4"/>
  <c r="E660" i="4"/>
  <c r="F660" i="4" s="1"/>
  <c r="A660" i="4"/>
  <c r="Q659" i="4"/>
  <c r="E659" i="4"/>
  <c r="F659" i="4" s="1"/>
  <c r="A659" i="4"/>
  <c r="Q658" i="4"/>
  <c r="E658" i="4"/>
  <c r="F658" i="4" s="1"/>
  <c r="A658" i="4"/>
  <c r="Q657" i="4"/>
  <c r="E657" i="4"/>
  <c r="F657" i="4" s="1"/>
  <c r="A657" i="4"/>
  <c r="Q656" i="4"/>
  <c r="E656" i="4"/>
  <c r="F656" i="4" s="1"/>
  <c r="A656" i="4"/>
  <c r="Q655" i="4"/>
  <c r="F655" i="4"/>
  <c r="E655" i="4"/>
  <c r="A655" i="4"/>
  <c r="Q654" i="4"/>
  <c r="E654" i="4"/>
  <c r="F654" i="4" s="1"/>
  <c r="A654" i="4"/>
  <c r="Q653" i="4"/>
  <c r="E653" i="4"/>
  <c r="F653" i="4" s="1"/>
  <c r="A653" i="4"/>
  <c r="Q652" i="4"/>
  <c r="E652" i="4"/>
  <c r="F652" i="4" s="1"/>
  <c r="A652" i="4"/>
  <c r="Q651" i="4"/>
  <c r="E651" i="4"/>
  <c r="F651" i="4" s="1"/>
  <c r="A651" i="4"/>
  <c r="Q650" i="4"/>
  <c r="E650" i="4"/>
  <c r="F650" i="4" s="1"/>
  <c r="A650" i="4"/>
  <c r="Q649" i="4"/>
  <c r="E649" i="4"/>
  <c r="F649" i="4" s="1"/>
  <c r="A649" i="4"/>
  <c r="Q648" i="4"/>
  <c r="E648" i="4"/>
  <c r="F648" i="4" s="1"/>
  <c r="A648" i="4"/>
  <c r="Q647" i="4"/>
  <c r="F647" i="4"/>
  <c r="E647" i="4"/>
  <c r="A647" i="4"/>
  <c r="Q646" i="4"/>
  <c r="E646" i="4"/>
  <c r="F646" i="4" s="1"/>
  <c r="A646" i="4"/>
  <c r="Q645" i="4"/>
  <c r="F645" i="4"/>
  <c r="E645" i="4"/>
  <c r="A645" i="4"/>
  <c r="Q644" i="4"/>
  <c r="E644" i="4"/>
  <c r="F644" i="4" s="1"/>
  <c r="A644" i="4"/>
  <c r="Q643" i="4"/>
  <c r="E643" i="4"/>
  <c r="F643" i="4" s="1"/>
  <c r="A643" i="4"/>
  <c r="Q642" i="4"/>
  <c r="E642" i="4"/>
  <c r="F642" i="4" s="1"/>
  <c r="A642" i="4"/>
  <c r="Q641" i="4"/>
  <c r="E641" i="4"/>
  <c r="F641" i="4" s="1"/>
  <c r="A641" i="4"/>
  <c r="Q640" i="4"/>
  <c r="E640" i="4"/>
  <c r="F640" i="4" s="1"/>
  <c r="A640" i="4"/>
  <c r="Q639" i="4"/>
  <c r="F639" i="4"/>
  <c r="E639" i="4"/>
  <c r="A639" i="4"/>
  <c r="Q638" i="4"/>
  <c r="E638" i="4"/>
  <c r="F638" i="4" s="1"/>
  <c r="A638" i="4"/>
  <c r="Q637" i="4"/>
  <c r="E637" i="4"/>
  <c r="F637" i="4" s="1"/>
  <c r="A637" i="4"/>
  <c r="Q636" i="4"/>
  <c r="E636" i="4"/>
  <c r="F636" i="4" s="1"/>
  <c r="A636" i="4"/>
  <c r="Q635" i="4"/>
  <c r="E635" i="4"/>
  <c r="F635" i="4" s="1"/>
  <c r="A635" i="4"/>
  <c r="Q634" i="4"/>
  <c r="E634" i="4"/>
  <c r="F634" i="4" s="1"/>
  <c r="A634" i="4"/>
  <c r="Q633" i="4"/>
  <c r="E633" i="4"/>
  <c r="F633" i="4" s="1"/>
  <c r="A633" i="4"/>
  <c r="Q632" i="4"/>
  <c r="E632" i="4"/>
  <c r="F632" i="4" s="1"/>
  <c r="A632" i="4"/>
  <c r="Q631" i="4"/>
  <c r="F631" i="4"/>
  <c r="E631" i="4"/>
  <c r="A631" i="4"/>
  <c r="Q630" i="4"/>
  <c r="E630" i="4"/>
  <c r="F630" i="4" s="1"/>
  <c r="A630" i="4"/>
  <c r="Q629" i="4"/>
  <c r="F629" i="4"/>
  <c r="E629" i="4"/>
  <c r="A629" i="4"/>
  <c r="Q628" i="4"/>
  <c r="E628" i="4"/>
  <c r="F628" i="4" s="1"/>
  <c r="A628" i="4"/>
  <c r="Q627" i="4"/>
  <c r="E627" i="4"/>
  <c r="F627" i="4" s="1"/>
  <c r="A627" i="4"/>
  <c r="Q626" i="4"/>
  <c r="E626" i="4"/>
  <c r="F626" i="4" s="1"/>
  <c r="A626" i="4"/>
  <c r="Q625" i="4"/>
  <c r="E625" i="4"/>
  <c r="F625" i="4" s="1"/>
  <c r="A625" i="4"/>
  <c r="Q624" i="4"/>
  <c r="E624" i="4"/>
  <c r="F624" i="4" s="1"/>
  <c r="A624" i="4"/>
  <c r="Q623" i="4"/>
  <c r="F623" i="4"/>
  <c r="E623" i="4"/>
  <c r="A623" i="4"/>
  <c r="Q622" i="4"/>
  <c r="E622" i="4"/>
  <c r="F622" i="4" s="1"/>
  <c r="A622" i="4"/>
  <c r="Q621" i="4"/>
  <c r="E621" i="4"/>
  <c r="F621" i="4" s="1"/>
  <c r="A621" i="4"/>
  <c r="Q620" i="4"/>
  <c r="E620" i="4"/>
  <c r="F620" i="4" s="1"/>
  <c r="A620" i="4"/>
  <c r="Q619" i="4"/>
  <c r="E619" i="4"/>
  <c r="F619" i="4" s="1"/>
  <c r="A619" i="4"/>
  <c r="Q618" i="4"/>
  <c r="E618" i="4"/>
  <c r="F618" i="4" s="1"/>
  <c r="A618" i="4"/>
  <c r="Q617" i="4"/>
  <c r="E617" i="4"/>
  <c r="F617" i="4" s="1"/>
  <c r="A617" i="4"/>
  <c r="Q616" i="4"/>
  <c r="E616" i="4"/>
  <c r="F616" i="4" s="1"/>
  <c r="A616" i="4"/>
  <c r="Q615" i="4"/>
  <c r="F615" i="4"/>
  <c r="E615" i="4"/>
  <c r="A615" i="4"/>
  <c r="Q614" i="4"/>
  <c r="E614" i="4"/>
  <c r="F614" i="4" s="1"/>
  <c r="A614" i="4"/>
  <c r="Q613" i="4"/>
  <c r="F613" i="4"/>
  <c r="E613" i="4"/>
  <c r="A613" i="4"/>
  <c r="Q612" i="4"/>
  <c r="E612" i="4"/>
  <c r="F612" i="4" s="1"/>
  <c r="A612" i="4"/>
  <c r="Q611" i="4"/>
  <c r="E611" i="4"/>
  <c r="F611" i="4" s="1"/>
  <c r="A611" i="4"/>
  <c r="Q610" i="4"/>
  <c r="E610" i="4"/>
  <c r="F610" i="4" s="1"/>
  <c r="A610" i="4"/>
  <c r="Q609" i="4"/>
  <c r="E609" i="4"/>
  <c r="F609" i="4" s="1"/>
  <c r="A609" i="4"/>
  <c r="Q608" i="4"/>
  <c r="E608" i="4"/>
  <c r="F608" i="4" s="1"/>
  <c r="A608" i="4"/>
  <c r="Q607" i="4"/>
  <c r="F607" i="4"/>
  <c r="E607" i="4"/>
  <c r="A607" i="4"/>
  <c r="Q606" i="4"/>
  <c r="E606" i="4"/>
  <c r="F606" i="4" s="1"/>
  <c r="A606" i="4"/>
  <c r="Q605" i="4"/>
  <c r="E605" i="4"/>
  <c r="F605" i="4" s="1"/>
  <c r="A605" i="4"/>
  <c r="Q604" i="4"/>
  <c r="E604" i="4"/>
  <c r="F604" i="4" s="1"/>
  <c r="A604" i="4"/>
  <c r="Q603" i="4"/>
  <c r="E603" i="4"/>
  <c r="F603" i="4" s="1"/>
  <c r="A603" i="4"/>
  <c r="Q602" i="4"/>
  <c r="E602" i="4"/>
  <c r="F602" i="4" s="1"/>
  <c r="A602" i="4"/>
  <c r="Q601" i="4"/>
  <c r="E601" i="4"/>
  <c r="F601" i="4" s="1"/>
  <c r="A601" i="4"/>
  <c r="Q600" i="4"/>
  <c r="E600" i="4"/>
  <c r="F600" i="4" s="1"/>
  <c r="A600" i="4"/>
  <c r="Q599" i="4"/>
  <c r="F599" i="4"/>
  <c r="E599" i="4"/>
  <c r="A599" i="4"/>
  <c r="Q598" i="4"/>
  <c r="E598" i="4"/>
  <c r="F598" i="4" s="1"/>
  <c r="A598" i="4"/>
  <c r="Q597" i="4"/>
  <c r="F597" i="4"/>
  <c r="E597" i="4"/>
  <c r="A597" i="4"/>
  <c r="Q596" i="4"/>
  <c r="E596" i="4"/>
  <c r="F596" i="4" s="1"/>
  <c r="A596" i="4"/>
  <c r="Q595" i="4"/>
  <c r="E595" i="4"/>
  <c r="F595" i="4" s="1"/>
  <c r="A595" i="4"/>
  <c r="Q594" i="4"/>
  <c r="E594" i="4"/>
  <c r="F594" i="4" s="1"/>
  <c r="A594" i="4"/>
  <c r="Q593" i="4"/>
  <c r="E593" i="4"/>
  <c r="F593" i="4" s="1"/>
  <c r="A593" i="4"/>
  <c r="Q592" i="4"/>
  <c r="E592" i="4"/>
  <c r="F592" i="4" s="1"/>
  <c r="A592" i="4"/>
  <c r="Q591" i="4"/>
  <c r="F591" i="4"/>
  <c r="E591" i="4"/>
  <c r="A591" i="4"/>
  <c r="Q590" i="4"/>
  <c r="E590" i="4"/>
  <c r="F590" i="4" s="1"/>
  <c r="A590" i="4"/>
  <c r="Q589" i="4"/>
  <c r="E589" i="4"/>
  <c r="F589" i="4" s="1"/>
  <c r="A589" i="4"/>
  <c r="Q588" i="4"/>
  <c r="E588" i="4"/>
  <c r="F588" i="4" s="1"/>
  <c r="A588" i="4"/>
  <c r="Q587" i="4"/>
  <c r="E587" i="4"/>
  <c r="F587" i="4" s="1"/>
  <c r="A587" i="4"/>
  <c r="Q586" i="4"/>
  <c r="E586" i="4"/>
  <c r="F586" i="4" s="1"/>
  <c r="A586" i="4"/>
  <c r="Q585" i="4"/>
  <c r="E585" i="4"/>
  <c r="F585" i="4" s="1"/>
  <c r="A585" i="4"/>
  <c r="Q584" i="4"/>
  <c r="E584" i="4"/>
  <c r="F584" i="4" s="1"/>
  <c r="A584" i="4"/>
  <c r="Q583" i="4"/>
  <c r="F583" i="4"/>
  <c r="E583" i="4"/>
  <c r="A583" i="4"/>
  <c r="Q582" i="4"/>
  <c r="E582" i="4"/>
  <c r="F582" i="4" s="1"/>
  <c r="A582" i="4"/>
  <c r="Q581" i="4"/>
  <c r="F581" i="4"/>
  <c r="E581" i="4"/>
  <c r="A581" i="4"/>
  <c r="Q580" i="4"/>
  <c r="E580" i="4"/>
  <c r="F580" i="4" s="1"/>
  <c r="A580" i="4"/>
  <c r="Q579" i="4"/>
  <c r="E579" i="4"/>
  <c r="F579" i="4" s="1"/>
  <c r="A579" i="4"/>
  <c r="Q578" i="4"/>
  <c r="E578" i="4"/>
  <c r="F578" i="4" s="1"/>
  <c r="A578" i="4"/>
  <c r="Q577" i="4"/>
  <c r="E577" i="4"/>
  <c r="F577" i="4" s="1"/>
  <c r="A577" i="4"/>
  <c r="Q576" i="4"/>
  <c r="E576" i="4"/>
  <c r="F576" i="4" s="1"/>
  <c r="A576" i="4"/>
  <c r="Q575" i="4"/>
  <c r="F575" i="4"/>
  <c r="E575" i="4"/>
  <c r="A575" i="4"/>
  <c r="Q574" i="4"/>
  <c r="E574" i="4"/>
  <c r="F574" i="4" s="1"/>
  <c r="A574" i="4"/>
  <c r="Q573" i="4"/>
  <c r="E573" i="4"/>
  <c r="F573" i="4" s="1"/>
  <c r="A573" i="4"/>
  <c r="Q572" i="4"/>
  <c r="E572" i="4"/>
  <c r="F572" i="4" s="1"/>
  <c r="A572" i="4"/>
  <c r="Q571" i="4"/>
  <c r="E571" i="4"/>
  <c r="F571" i="4" s="1"/>
  <c r="A571" i="4"/>
  <c r="Q570" i="4"/>
  <c r="E570" i="4"/>
  <c r="F570" i="4" s="1"/>
  <c r="A570" i="4"/>
  <c r="Q569" i="4"/>
  <c r="E569" i="4"/>
  <c r="F569" i="4" s="1"/>
  <c r="A569" i="4"/>
  <c r="Q568" i="4"/>
  <c r="E568" i="4"/>
  <c r="F568" i="4" s="1"/>
  <c r="A568" i="4"/>
  <c r="Q567" i="4"/>
  <c r="F567" i="4"/>
  <c r="E567" i="4"/>
  <c r="A567" i="4"/>
  <c r="Q566" i="4"/>
  <c r="E566" i="4"/>
  <c r="F566" i="4" s="1"/>
  <c r="A566" i="4"/>
  <c r="Q565" i="4"/>
  <c r="F565" i="4"/>
  <c r="E565" i="4"/>
  <c r="A565" i="4"/>
  <c r="Q564" i="4"/>
  <c r="E564" i="4"/>
  <c r="F564" i="4" s="1"/>
  <c r="A564" i="4"/>
  <c r="Q563" i="4"/>
  <c r="E563" i="4"/>
  <c r="F563" i="4" s="1"/>
  <c r="A563" i="4"/>
  <c r="Q562" i="4"/>
  <c r="E562" i="4"/>
  <c r="F562" i="4" s="1"/>
  <c r="A562" i="4"/>
  <c r="Q561" i="4"/>
  <c r="E561" i="4"/>
  <c r="F561" i="4" s="1"/>
  <c r="A561" i="4"/>
  <c r="Q560" i="4"/>
  <c r="E560" i="4"/>
  <c r="F560" i="4" s="1"/>
  <c r="A560" i="4"/>
  <c r="Q559" i="4"/>
  <c r="F559" i="4"/>
  <c r="E559" i="4"/>
  <c r="A559" i="4"/>
  <c r="Q558" i="4"/>
  <c r="E558" i="4"/>
  <c r="F558" i="4" s="1"/>
  <c r="A558" i="4"/>
  <c r="Q557" i="4"/>
  <c r="E557" i="4"/>
  <c r="F557" i="4" s="1"/>
  <c r="A557" i="4"/>
  <c r="Q556" i="4"/>
  <c r="E556" i="4"/>
  <c r="F556" i="4" s="1"/>
  <c r="A556" i="4"/>
  <c r="Q555" i="4"/>
  <c r="E555" i="4"/>
  <c r="F555" i="4" s="1"/>
  <c r="A555" i="4"/>
  <c r="Q554" i="4"/>
  <c r="E554" i="4"/>
  <c r="F554" i="4" s="1"/>
  <c r="A554" i="4"/>
  <c r="Q553" i="4"/>
  <c r="E553" i="4"/>
  <c r="F553" i="4" s="1"/>
  <c r="A553" i="4"/>
  <c r="Q552" i="4"/>
  <c r="E552" i="4"/>
  <c r="F552" i="4" s="1"/>
  <c r="A552" i="4"/>
  <c r="Q551" i="4"/>
  <c r="F551" i="4"/>
  <c r="E551" i="4"/>
  <c r="A551" i="4"/>
  <c r="Q550" i="4"/>
  <c r="E550" i="4"/>
  <c r="F550" i="4" s="1"/>
  <c r="A550" i="4"/>
  <c r="Q549" i="4"/>
  <c r="F549" i="4"/>
  <c r="E549" i="4"/>
  <c r="A549" i="4"/>
  <c r="Q548" i="4"/>
  <c r="E548" i="4"/>
  <c r="F548" i="4" s="1"/>
  <c r="A548" i="4"/>
  <c r="Q547" i="4"/>
  <c r="E547" i="4"/>
  <c r="F547" i="4" s="1"/>
  <c r="A547" i="4"/>
  <c r="Q546" i="4"/>
  <c r="E546" i="4"/>
  <c r="F546" i="4" s="1"/>
  <c r="A546" i="4"/>
  <c r="Q545" i="4"/>
  <c r="E545" i="4"/>
  <c r="F545" i="4" s="1"/>
  <c r="A545" i="4"/>
  <c r="Q544" i="4"/>
  <c r="E544" i="4"/>
  <c r="F544" i="4" s="1"/>
  <c r="A544" i="4"/>
  <c r="Q543" i="4"/>
  <c r="F543" i="4"/>
  <c r="E543" i="4"/>
  <c r="A543" i="4"/>
  <c r="Q542" i="4"/>
  <c r="E542" i="4"/>
  <c r="F542" i="4" s="1"/>
  <c r="A542" i="4"/>
  <c r="Q541" i="4"/>
  <c r="E541" i="4"/>
  <c r="F541" i="4" s="1"/>
  <c r="A541" i="4"/>
  <c r="Q540" i="4"/>
  <c r="E540" i="4"/>
  <c r="F540" i="4" s="1"/>
  <c r="A540" i="4"/>
  <c r="Q539" i="4"/>
  <c r="E539" i="4"/>
  <c r="F539" i="4" s="1"/>
  <c r="A539" i="4"/>
  <c r="Q538" i="4"/>
  <c r="E538" i="4"/>
  <c r="F538" i="4" s="1"/>
  <c r="A538" i="4"/>
  <c r="Q537" i="4"/>
  <c r="E537" i="4"/>
  <c r="F537" i="4" s="1"/>
  <c r="A537" i="4"/>
  <c r="Q536" i="4"/>
  <c r="E536" i="4"/>
  <c r="F536" i="4" s="1"/>
  <c r="A536" i="4"/>
  <c r="Q535" i="4"/>
  <c r="F535" i="4"/>
  <c r="E535" i="4"/>
  <c r="A535" i="4"/>
  <c r="Q534" i="4"/>
  <c r="E534" i="4"/>
  <c r="F534" i="4" s="1"/>
  <c r="A534" i="4"/>
  <c r="Q533" i="4"/>
  <c r="F533" i="4"/>
  <c r="E533" i="4"/>
  <c r="A533" i="4"/>
  <c r="Q532" i="4"/>
  <c r="E532" i="4"/>
  <c r="F532" i="4" s="1"/>
  <c r="A532" i="4"/>
  <c r="Q531" i="4"/>
  <c r="E531" i="4"/>
  <c r="F531" i="4" s="1"/>
  <c r="A531" i="4"/>
  <c r="Q530" i="4"/>
  <c r="E530" i="4"/>
  <c r="F530" i="4" s="1"/>
  <c r="A530" i="4"/>
  <c r="Q529" i="4"/>
  <c r="E529" i="4"/>
  <c r="F529" i="4" s="1"/>
  <c r="A529" i="4"/>
  <c r="Q528" i="4"/>
  <c r="E528" i="4"/>
  <c r="F528" i="4" s="1"/>
  <c r="A528" i="4"/>
  <c r="Q527" i="4"/>
  <c r="F527" i="4"/>
  <c r="E527" i="4"/>
  <c r="A527" i="4"/>
  <c r="Q526" i="4"/>
  <c r="E526" i="4"/>
  <c r="F526" i="4" s="1"/>
  <c r="A526" i="4"/>
  <c r="Q525" i="4"/>
  <c r="E525" i="4"/>
  <c r="F525" i="4" s="1"/>
  <c r="A525" i="4"/>
  <c r="Q524" i="4"/>
  <c r="E524" i="4"/>
  <c r="F524" i="4" s="1"/>
  <c r="A524" i="4"/>
  <c r="Q523" i="4"/>
  <c r="E523" i="4"/>
  <c r="F523" i="4" s="1"/>
  <c r="A523" i="4"/>
  <c r="Q522" i="4"/>
  <c r="E522" i="4"/>
  <c r="F522" i="4" s="1"/>
  <c r="A522" i="4"/>
  <c r="Q521" i="4"/>
  <c r="E521" i="4"/>
  <c r="F521" i="4" s="1"/>
  <c r="A521" i="4"/>
  <c r="Q520" i="4"/>
  <c r="E520" i="4"/>
  <c r="F520" i="4" s="1"/>
  <c r="A520" i="4"/>
  <c r="Q519" i="4"/>
  <c r="F519" i="4"/>
  <c r="E519" i="4"/>
  <c r="A519" i="4"/>
  <c r="Q518" i="4"/>
  <c r="E518" i="4"/>
  <c r="F518" i="4" s="1"/>
  <c r="A518" i="4"/>
  <c r="Q517" i="4"/>
  <c r="F517" i="4"/>
  <c r="E517" i="4"/>
  <c r="A517" i="4"/>
  <c r="Q516" i="4"/>
  <c r="E516" i="4"/>
  <c r="F516" i="4" s="1"/>
  <c r="A516" i="4"/>
  <c r="Q515" i="4"/>
  <c r="E515" i="4"/>
  <c r="F515" i="4" s="1"/>
  <c r="A515" i="4"/>
  <c r="Q514" i="4"/>
  <c r="E514" i="4"/>
  <c r="F514" i="4" s="1"/>
  <c r="A514" i="4"/>
  <c r="Q513" i="4"/>
  <c r="E513" i="4"/>
  <c r="F513" i="4" s="1"/>
  <c r="A513" i="4"/>
  <c r="Q512" i="4"/>
  <c r="E512" i="4"/>
  <c r="F512" i="4" s="1"/>
  <c r="A512" i="4"/>
  <c r="Q511" i="4"/>
  <c r="F511" i="4"/>
  <c r="E511" i="4"/>
  <c r="A511" i="4"/>
  <c r="Q510" i="4"/>
  <c r="E510" i="4"/>
  <c r="F510" i="4" s="1"/>
  <c r="A510" i="4"/>
  <c r="Q509" i="4"/>
  <c r="E509" i="4"/>
  <c r="F509" i="4" s="1"/>
  <c r="A509" i="4"/>
  <c r="Q508" i="4"/>
  <c r="E508" i="4"/>
  <c r="F508" i="4" s="1"/>
  <c r="A508" i="4"/>
  <c r="Q507" i="4"/>
  <c r="E507" i="4"/>
  <c r="F507" i="4" s="1"/>
  <c r="A507" i="4"/>
  <c r="Q506" i="4"/>
  <c r="E506" i="4"/>
  <c r="F506" i="4" s="1"/>
  <c r="A506" i="4"/>
  <c r="Q505" i="4"/>
  <c r="E505" i="4"/>
  <c r="F505" i="4" s="1"/>
  <c r="A505" i="4"/>
  <c r="Q504" i="4"/>
  <c r="E504" i="4"/>
  <c r="F504" i="4" s="1"/>
  <c r="A504" i="4"/>
  <c r="Q503" i="4"/>
  <c r="F503" i="4"/>
  <c r="E503" i="4"/>
  <c r="A503" i="4"/>
  <c r="Q502" i="4"/>
  <c r="E502" i="4"/>
  <c r="F502" i="4" s="1"/>
  <c r="A502" i="4"/>
  <c r="Q501" i="4"/>
  <c r="F501" i="4"/>
  <c r="E501" i="4"/>
  <c r="A501" i="4"/>
  <c r="Q500" i="4"/>
  <c r="E500" i="4"/>
  <c r="F500" i="4" s="1"/>
  <c r="A500" i="4"/>
  <c r="Q499" i="4"/>
  <c r="E499" i="4"/>
  <c r="F499" i="4" s="1"/>
  <c r="A499" i="4"/>
  <c r="Q498" i="4"/>
  <c r="E498" i="4"/>
  <c r="F498" i="4" s="1"/>
  <c r="A498" i="4"/>
  <c r="Q497" i="4"/>
  <c r="E497" i="4"/>
  <c r="F497" i="4" s="1"/>
  <c r="A497" i="4"/>
  <c r="Q496" i="4"/>
  <c r="E496" i="4"/>
  <c r="F496" i="4" s="1"/>
  <c r="A496" i="4"/>
  <c r="Q495" i="4"/>
  <c r="F495" i="4"/>
  <c r="E495" i="4"/>
  <c r="A495" i="4"/>
  <c r="Q494" i="4"/>
  <c r="E494" i="4"/>
  <c r="F494" i="4" s="1"/>
  <c r="A494" i="4"/>
  <c r="Q493" i="4"/>
  <c r="E493" i="4"/>
  <c r="F493" i="4" s="1"/>
  <c r="A493" i="4"/>
  <c r="Q492" i="4"/>
  <c r="E492" i="4"/>
  <c r="F492" i="4" s="1"/>
  <c r="A492" i="4"/>
  <c r="Q491" i="4"/>
  <c r="E491" i="4"/>
  <c r="F491" i="4" s="1"/>
  <c r="A491" i="4"/>
  <c r="Q490" i="4"/>
  <c r="E490" i="4"/>
  <c r="F490" i="4" s="1"/>
  <c r="A490" i="4"/>
  <c r="Q489" i="4"/>
  <c r="E489" i="4"/>
  <c r="F489" i="4" s="1"/>
  <c r="A489" i="4"/>
  <c r="Q488" i="4"/>
  <c r="E488" i="4"/>
  <c r="F488" i="4" s="1"/>
  <c r="A488" i="4"/>
  <c r="Q487" i="4"/>
  <c r="F487" i="4"/>
  <c r="E487" i="4"/>
  <c r="A487" i="4"/>
  <c r="Q486" i="4"/>
  <c r="E486" i="4"/>
  <c r="F486" i="4" s="1"/>
  <c r="A486" i="4"/>
  <c r="Q485" i="4"/>
  <c r="F485" i="4"/>
  <c r="E485" i="4"/>
  <c r="A485" i="4"/>
  <c r="Q484" i="4"/>
  <c r="E484" i="4"/>
  <c r="F484" i="4" s="1"/>
  <c r="A484" i="4"/>
  <c r="Q483" i="4"/>
  <c r="E483" i="4"/>
  <c r="F483" i="4" s="1"/>
  <c r="A483" i="4"/>
  <c r="Q482" i="4"/>
  <c r="E482" i="4"/>
  <c r="F482" i="4" s="1"/>
  <c r="A482" i="4"/>
  <c r="Q481" i="4"/>
  <c r="E481" i="4"/>
  <c r="F481" i="4" s="1"/>
  <c r="A481" i="4"/>
  <c r="Q480" i="4"/>
  <c r="E480" i="4"/>
  <c r="F480" i="4" s="1"/>
  <c r="A480" i="4"/>
  <c r="Q479" i="4"/>
  <c r="F479" i="4"/>
  <c r="E479" i="4"/>
  <c r="A479" i="4"/>
  <c r="Q478" i="4"/>
  <c r="E478" i="4"/>
  <c r="F478" i="4" s="1"/>
  <c r="A478" i="4"/>
  <c r="Q477" i="4"/>
  <c r="E477" i="4"/>
  <c r="F477" i="4" s="1"/>
  <c r="A477" i="4"/>
  <c r="Q476" i="4"/>
  <c r="E476" i="4"/>
  <c r="F476" i="4" s="1"/>
  <c r="A476" i="4"/>
  <c r="Q475" i="4"/>
  <c r="E475" i="4"/>
  <c r="F475" i="4" s="1"/>
  <c r="A475" i="4"/>
  <c r="Q474" i="4"/>
  <c r="E474" i="4"/>
  <c r="F474" i="4" s="1"/>
  <c r="A474" i="4"/>
  <c r="Q473" i="4"/>
  <c r="E473" i="4"/>
  <c r="F473" i="4" s="1"/>
  <c r="A473" i="4"/>
  <c r="Q472" i="4"/>
  <c r="E472" i="4"/>
  <c r="F472" i="4" s="1"/>
  <c r="A472" i="4"/>
  <c r="Q471" i="4"/>
  <c r="F471" i="4"/>
  <c r="E471" i="4"/>
  <c r="A471" i="4"/>
  <c r="Q470" i="4"/>
  <c r="E470" i="4"/>
  <c r="F470" i="4" s="1"/>
  <c r="A470" i="4"/>
  <c r="Q469" i="4"/>
  <c r="F469" i="4"/>
  <c r="E469" i="4"/>
  <c r="A469" i="4"/>
  <c r="Q468" i="4"/>
  <c r="E468" i="4"/>
  <c r="F468" i="4" s="1"/>
  <c r="A468" i="4"/>
  <c r="Q467" i="4"/>
  <c r="E467" i="4"/>
  <c r="F467" i="4" s="1"/>
  <c r="A467" i="4"/>
  <c r="Q466" i="4"/>
  <c r="E466" i="4"/>
  <c r="F466" i="4" s="1"/>
  <c r="A466" i="4"/>
  <c r="Q465" i="4"/>
  <c r="E465" i="4"/>
  <c r="F465" i="4" s="1"/>
  <c r="A465" i="4"/>
  <c r="Q464" i="4"/>
  <c r="E464" i="4"/>
  <c r="F464" i="4" s="1"/>
  <c r="A464" i="4"/>
  <c r="Q463" i="4"/>
  <c r="F463" i="4"/>
  <c r="E463" i="4"/>
  <c r="A463" i="4"/>
  <c r="Q462" i="4"/>
  <c r="E462" i="4"/>
  <c r="F462" i="4" s="1"/>
  <c r="A462" i="4"/>
  <c r="Q461" i="4"/>
  <c r="E461" i="4"/>
  <c r="F461" i="4" s="1"/>
  <c r="A461" i="4"/>
  <c r="Q460" i="4"/>
  <c r="E460" i="4"/>
  <c r="F460" i="4" s="1"/>
  <c r="A460" i="4"/>
  <c r="Q459" i="4"/>
  <c r="E459" i="4"/>
  <c r="F459" i="4" s="1"/>
  <c r="A459" i="4"/>
  <c r="Q458" i="4"/>
  <c r="E458" i="4"/>
  <c r="F458" i="4" s="1"/>
  <c r="A458" i="4"/>
  <c r="Q457" i="4"/>
  <c r="E457" i="4"/>
  <c r="F457" i="4" s="1"/>
  <c r="A457" i="4"/>
  <c r="Q456" i="4"/>
  <c r="E456" i="4"/>
  <c r="F456" i="4" s="1"/>
  <c r="A456" i="4"/>
  <c r="Q455" i="4"/>
  <c r="F455" i="4"/>
  <c r="E455" i="4"/>
  <c r="A455" i="4"/>
  <c r="Q454" i="4"/>
  <c r="E454" i="4"/>
  <c r="F454" i="4" s="1"/>
  <c r="A454" i="4"/>
  <c r="Q453" i="4"/>
  <c r="F453" i="4"/>
  <c r="E453" i="4"/>
  <c r="A453" i="4"/>
  <c r="Q452" i="4"/>
  <c r="E452" i="4"/>
  <c r="F452" i="4" s="1"/>
  <c r="A452" i="4"/>
  <c r="Q451" i="4"/>
  <c r="E451" i="4"/>
  <c r="F451" i="4" s="1"/>
  <c r="A451" i="4"/>
  <c r="Q450" i="4"/>
  <c r="E450" i="4"/>
  <c r="F450" i="4" s="1"/>
  <c r="A450" i="4"/>
  <c r="Q449" i="4"/>
  <c r="E449" i="4"/>
  <c r="F449" i="4" s="1"/>
  <c r="A449" i="4"/>
  <c r="Q448" i="4"/>
  <c r="E448" i="4"/>
  <c r="F448" i="4" s="1"/>
  <c r="A448" i="4"/>
  <c r="Q447" i="4"/>
  <c r="F447" i="4"/>
  <c r="E447" i="4"/>
  <c r="A447" i="4"/>
  <c r="Q446" i="4"/>
  <c r="E446" i="4"/>
  <c r="F446" i="4" s="1"/>
  <c r="A446" i="4"/>
  <c r="Q445" i="4"/>
  <c r="E445" i="4"/>
  <c r="F445" i="4" s="1"/>
  <c r="A445" i="4"/>
  <c r="Q444" i="4"/>
  <c r="E444" i="4"/>
  <c r="F444" i="4" s="1"/>
  <c r="A444" i="4"/>
  <c r="Q443" i="4"/>
  <c r="E443" i="4"/>
  <c r="F443" i="4" s="1"/>
  <c r="A443" i="4"/>
  <c r="Q442" i="4"/>
  <c r="E442" i="4"/>
  <c r="F442" i="4" s="1"/>
  <c r="A442" i="4"/>
  <c r="Q441" i="4"/>
  <c r="E441" i="4"/>
  <c r="F441" i="4" s="1"/>
  <c r="A441" i="4"/>
  <c r="Q440" i="4"/>
  <c r="E440" i="4"/>
  <c r="F440" i="4" s="1"/>
  <c r="A440" i="4"/>
  <c r="Q439" i="4"/>
  <c r="F439" i="4"/>
  <c r="E439" i="4"/>
  <c r="A439" i="4"/>
  <c r="Q438" i="4"/>
  <c r="E438" i="4"/>
  <c r="F438" i="4" s="1"/>
  <c r="A438" i="4"/>
  <c r="Q437" i="4"/>
  <c r="F437" i="4"/>
  <c r="E437" i="4"/>
  <c r="A437" i="4"/>
  <c r="Q436" i="4"/>
  <c r="E436" i="4"/>
  <c r="F436" i="4" s="1"/>
  <c r="A436" i="4"/>
  <c r="Q435" i="4"/>
  <c r="E435" i="4"/>
  <c r="F435" i="4" s="1"/>
  <c r="A435" i="4"/>
  <c r="Q434" i="4"/>
  <c r="E434" i="4"/>
  <c r="F434" i="4" s="1"/>
  <c r="A434" i="4"/>
  <c r="Q433" i="4"/>
  <c r="E433" i="4"/>
  <c r="F433" i="4" s="1"/>
  <c r="A433" i="4"/>
  <c r="Q432" i="4"/>
  <c r="E432" i="4"/>
  <c r="F432" i="4" s="1"/>
  <c r="A432" i="4"/>
  <c r="Q431" i="4"/>
  <c r="F431" i="4"/>
  <c r="E431" i="4"/>
  <c r="A431" i="4"/>
  <c r="Q430" i="4"/>
  <c r="E430" i="4"/>
  <c r="F430" i="4" s="1"/>
  <c r="A430" i="4"/>
  <c r="Q429" i="4"/>
  <c r="E429" i="4"/>
  <c r="F429" i="4" s="1"/>
  <c r="A429" i="4"/>
  <c r="Q428" i="4"/>
  <c r="E428" i="4"/>
  <c r="F428" i="4" s="1"/>
  <c r="A428" i="4"/>
  <c r="Q427" i="4"/>
  <c r="E427" i="4"/>
  <c r="F427" i="4" s="1"/>
  <c r="A427" i="4"/>
  <c r="Q426" i="4"/>
  <c r="E426" i="4"/>
  <c r="F426" i="4" s="1"/>
  <c r="A426" i="4"/>
  <c r="Q425" i="4"/>
  <c r="E425" i="4"/>
  <c r="F425" i="4" s="1"/>
  <c r="A425" i="4"/>
  <c r="Q424" i="4"/>
  <c r="E424" i="4"/>
  <c r="F424" i="4" s="1"/>
  <c r="A424" i="4"/>
  <c r="Q423" i="4"/>
  <c r="F423" i="4"/>
  <c r="E423" i="4"/>
  <c r="A423" i="4"/>
  <c r="Q422" i="4"/>
  <c r="E422" i="4"/>
  <c r="F422" i="4" s="1"/>
  <c r="A422" i="4"/>
  <c r="Q421" i="4"/>
  <c r="F421" i="4"/>
  <c r="E421" i="4"/>
  <c r="A421" i="4"/>
  <c r="Q420" i="4"/>
  <c r="E420" i="4"/>
  <c r="F420" i="4" s="1"/>
  <c r="A420" i="4"/>
  <c r="Q419" i="4"/>
  <c r="E419" i="4"/>
  <c r="F419" i="4" s="1"/>
  <c r="A419" i="4"/>
  <c r="Q418" i="4"/>
  <c r="E418" i="4"/>
  <c r="F418" i="4" s="1"/>
  <c r="A418" i="4"/>
  <c r="Q417" i="4"/>
  <c r="E417" i="4"/>
  <c r="F417" i="4" s="1"/>
  <c r="A417" i="4"/>
  <c r="Q416" i="4"/>
  <c r="E416" i="4"/>
  <c r="F416" i="4" s="1"/>
  <c r="A416" i="4"/>
  <c r="Q415" i="4"/>
  <c r="F415" i="4"/>
  <c r="E415" i="4"/>
  <c r="A415" i="4"/>
  <c r="Q414" i="4"/>
  <c r="E414" i="4"/>
  <c r="F414" i="4" s="1"/>
  <c r="A414" i="4"/>
  <c r="Q413" i="4"/>
  <c r="E413" i="4"/>
  <c r="F413" i="4" s="1"/>
  <c r="A413" i="4"/>
  <c r="Q412" i="4"/>
  <c r="E412" i="4"/>
  <c r="F412" i="4" s="1"/>
  <c r="A412" i="4"/>
  <c r="Q411" i="4"/>
  <c r="E411" i="4"/>
  <c r="F411" i="4" s="1"/>
  <c r="A411" i="4"/>
  <c r="Q410" i="4"/>
  <c r="E410" i="4"/>
  <c r="F410" i="4" s="1"/>
  <c r="A410" i="4"/>
  <c r="Q409" i="4"/>
  <c r="E409" i="4"/>
  <c r="F409" i="4" s="1"/>
  <c r="A409" i="4"/>
  <c r="Q408" i="4"/>
  <c r="E408" i="4"/>
  <c r="F408" i="4" s="1"/>
  <c r="A408" i="4"/>
  <c r="Q407" i="4"/>
  <c r="F407" i="4"/>
  <c r="E407" i="4"/>
  <c r="A407" i="4"/>
  <c r="Q406" i="4"/>
  <c r="E406" i="4"/>
  <c r="F406" i="4" s="1"/>
  <c r="A406" i="4"/>
  <c r="Q405" i="4"/>
  <c r="F405" i="4"/>
  <c r="E405" i="4"/>
  <c r="A405" i="4"/>
  <c r="Q404" i="4"/>
  <c r="E404" i="4"/>
  <c r="F404" i="4" s="1"/>
  <c r="A404" i="4"/>
  <c r="Q403" i="4"/>
  <c r="E403" i="4"/>
  <c r="F403" i="4" s="1"/>
  <c r="A403" i="4"/>
  <c r="Q402" i="4"/>
  <c r="E402" i="4"/>
  <c r="F402" i="4" s="1"/>
  <c r="A402" i="4"/>
  <c r="Q401" i="4"/>
  <c r="E401" i="4"/>
  <c r="F401" i="4" s="1"/>
  <c r="A401" i="4"/>
  <c r="Q400" i="4"/>
  <c r="E400" i="4"/>
  <c r="F400" i="4" s="1"/>
  <c r="A400" i="4"/>
  <c r="Q399" i="4"/>
  <c r="F399" i="4"/>
  <c r="E399" i="4"/>
  <c r="A399" i="4"/>
  <c r="Q398" i="4"/>
  <c r="E398" i="4"/>
  <c r="F398" i="4" s="1"/>
  <c r="A398" i="4"/>
  <c r="Q397" i="4"/>
  <c r="E397" i="4"/>
  <c r="F397" i="4" s="1"/>
  <c r="A397" i="4"/>
  <c r="Q396" i="4"/>
  <c r="E396" i="4"/>
  <c r="F396" i="4" s="1"/>
  <c r="A396" i="4"/>
  <c r="Q395" i="4"/>
  <c r="E395" i="4"/>
  <c r="F395" i="4" s="1"/>
  <c r="A395" i="4"/>
  <c r="Q394" i="4"/>
  <c r="E394" i="4"/>
  <c r="F394" i="4" s="1"/>
  <c r="A394" i="4"/>
  <c r="Q393" i="4"/>
  <c r="E393" i="4"/>
  <c r="F393" i="4" s="1"/>
  <c r="A393" i="4"/>
  <c r="Q392" i="4"/>
  <c r="E392" i="4"/>
  <c r="F392" i="4" s="1"/>
  <c r="A392" i="4"/>
  <c r="Q391" i="4"/>
  <c r="F391" i="4"/>
  <c r="E391" i="4"/>
  <c r="A391" i="4"/>
  <c r="Q390" i="4"/>
  <c r="E390" i="4"/>
  <c r="F390" i="4" s="1"/>
  <c r="A390" i="4"/>
  <c r="Q389" i="4"/>
  <c r="F389" i="4"/>
  <c r="E389" i="4"/>
  <c r="A389" i="4"/>
  <c r="Q388" i="4"/>
  <c r="E388" i="4"/>
  <c r="F388" i="4" s="1"/>
  <c r="A388" i="4"/>
  <c r="Q387" i="4"/>
  <c r="E387" i="4"/>
  <c r="F387" i="4" s="1"/>
  <c r="A387" i="4"/>
  <c r="Q386" i="4"/>
  <c r="E386" i="4"/>
  <c r="F386" i="4" s="1"/>
  <c r="A386" i="4"/>
  <c r="Q385" i="4"/>
  <c r="E385" i="4"/>
  <c r="F385" i="4" s="1"/>
  <c r="A385" i="4"/>
  <c r="Q384" i="4"/>
  <c r="E384" i="4"/>
  <c r="F384" i="4" s="1"/>
  <c r="A384" i="4"/>
  <c r="Q383" i="4"/>
  <c r="F383" i="4"/>
  <c r="E383" i="4"/>
  <c r="A383" i="4"/>
  <c r="Q382" i="4"/>
  <c r="E382" i="4"/>
  <c r="F382" i="4" s="1"/>
  <c r="A382" i="4"/>
  <c r="Q381" i="4"/>
  <c r="E381" i="4"/>
  <c r="F381" i="4" s="1"/>
  <c r="A381" i="4"/>
  <c r="Q380" i="4"/>
  <c r="E380" i="4"/>
  <c r="F380" i="4" s="1"/>
  <c r="A380" i="4"/>
  <c r="Q379" i="4"/>
  <c r="E379" i="4"/>
  <c r="F379" i="4" s="1"/>
  <c r="A379" i="4"/>
  <c r="Q378" i="4"/>
  <c r="E378" i="4"/>
  <c r="F378" i="4" s="1"/>
  <c r="A378" i="4"/>
  <c r="Q377" i="4"/>
  <c r="E377" i="4"/>
  <c r="F377" i="4" s="1"/>
  <c r="A377" i="4"/>
  <c r="Q376" i="4"/>
  <c r="E376" i="4"/>
  <c r="F376" i="4" s="1"/>
  <c r="A376" i="4"/>
  <c r="Q375" i="4"/>
  <c r="F375" i="4"/>
  <c r="E375" i="4"/>
  <c r="A375" i="4"/>
  <c r="Q374" i="4"/>
  <c r="E374" i="4"/>
  <c r="F374" i="4" s="1"/>
  <c r="A374" i="4"/>
  <c r="Q373" i="4"/>
  <c r="F373" i="4"/>
  <c r="E373" i="4"/>
  <c r="A373" i="4"/>
  <c r="Q372" i="4"/>
  <c r="E372" i="4"/>
  <c r="F372" i="4" s="1"/>
  <c r="A372" i="4"/>
  <c r="Q371" i="4"/>
  <c r="E371" i="4"/>
  <c r="F371" i="4" s="1"/>
  <c r="A371" i="4"/>
  <c r="Q370" i="4"/>
  <c r="E370" i="4"/>
  <c r="F370" i="4" s="1"/>
  <c r="A370" i="4"/>
  <c r="Q369" i="4"/>
  <c r="E369" i="4"/>
  <c r="F369" i="4" s="1"/>
  <c r="A369" i="4"/>
  <c r="Q368" i="4"/>
  <c r="E368" i="4"/>
  <c r="F368" i="4" s="1"/>
  <c r="A368" i="4"/>
  <c r="Q367" i="4"/>
  <c r="F367" i="4"/>
  <c r="E367" i="4"/>
  <c r="A367" i="4"/>
  <c r="Q366" i="4"/>
  <c r="E366" i="4"/>
  <c r="F366" i="4" s="1"/>
  <c r="A366" i="4"/>
  <c r="Q365" i="4"/>
  <c r="E365" i="4"/>
  <c r="F365" i="4" s="1"/>
  <c r="A365" i="4"/>
  <c r="Q364" i="4"/>
  <c r="E364" i="4"/>
  <c r="F364" i="4" s="1"/>
  <c r="A364" i="4"/>
  <c r="Q363" i="4"/>
  <c r="E363" i="4"/>
  <c r="F363" i="4" s="1"/>
  <c r="A363" i="4"/>
  <c r="Q362" i="4"/>
  <c r="E362" i="4"/>
  <c r="F362" i="4" s="1"/>
  <c r="A362" i="4"/>
  <c r="Q361" i="4"/>
  <c r="E361" i="4"/>
  <c r="F361" i="4" s="1"/>
  <c r="A361" i="4"/>
  <c r="Q360" i="4"/>
  <c r="E360" i="4"/>
  <c r="F360" i="4" s="1"/>
  <c r="A360" i="4"/>
  <c r="Q359" i="4"/>
  <c r="F359" i="4"/>
  <c r="E359" i="4"/>
  <c r="A359" i="4"/>
  <c r="Q358" i="4"/>
  <c r="E358" i="4"/>
  <c r="F358" i="4" s="1"/>
  <c r="A358" i="4"/>
  <c r="Q357" i="4"/>
  <c r="F357" i="4"/>
  <c r="E357" i="4"/>
  <c r="A357" i="4"/>
  <c r="Q356" i="4"/>
  <c r="E356" i="4"/>
  <c r="F356" i="4" s="1"/>
  <c r="A356" i="4"/>
  <c r="Q355" i="4"/>
  <c r="F355" i="4"/>
  <c r="E355" i="4"/>
  <c r="A355" i="4"/>
  <c r="Q354" i="4"/>
  <c r="E354" i="4"/>
  <c r="F354" i="4" s="1"/>
  <c r="A354" i="4"/>
  <c r="Q353" i="4"/>
  <c r="F353" i="4"/>
  <c r="E353" i="4"/>
  <c r="A353" i="4"/>
  <c r="Q352" i="4"/>
  <c r="E352" i="4"/>
  <c r="F352" i="4" s="1"/>
  <c r="A352" i="4"/>
  <c r="Q351" i="4"/>
  <c r="F351" i="4"/>
  <c r="E351" i="4"/>
  <c r="A351" i="4"/>
  <c r="Q350" i="4"/>
  <c r="E350" i="4"/>
  <c r="F350" i="4" s="1"/>
  <c r="A350" i="4"/>
  <c r="Q349" i="4"/>
  <c r="F349" i="4"/>
  <c r="E349" i="4"/>
  <c r="A349" i="4"/>
  <c r="Q348" i="4"/>
  <c r="E348" i="4"/>
  <c r="F348" i="4" s="1"/>
  <c r="A348" i="4"/>
  <c r="Q347" i="4"/>
  <c r="F347" i="4"/>
  <c r="E347" i="4"/>
  <c r="A347" i="4"/>
  <c r="Q346" i="4"/>
  <c r="E346" i="4"/>
  <c r="F346" i="4" s="1"/>
  <c r="A346" i="4"/>
  <c r="Q345" i="4"/>
  <c r="F345" i="4"/>
  <c r="E345" i="4"/>
  <c r="A345" i="4"/>
  <c r="Q344" i="4"/>
  <c r="E344" i="4"/>
  <c r="F344" i="4" s="1"/>
  <c r="A344" i="4"/>
  <c r="Q343" i="4"/>
  <c r="F343" i="4"/>
  <c r="E343" i="4"/>
  <c r="A343" i="4"/>
  <c r="Q342" i="4"/>
  <c r="E342" i="4"/>
  <c r="F342" i="4" s="1"/>
  <c r="A342" i="4"/>
  <c r="Q341" i="4"/>
  <c r="F341" i="4"/>
  <c r="E341" i="4"/>
  <c r="A341" i="4"/>
  <c r="Q340" i="4"/>
  <c r="E340" i="4"/>
  <c r="F340" i="4" s="1"/>
  <c r="A340" i="4"/>
  <c r="Q339" i="4"/>
  <c r="F339" i="4"/>
  <c r="E339" i="4"/>
  <c r="A339" i="4"/>
  <c r="Q338" i="4"/>
  <c r="E338" i="4"/>
  <c r="F338" i="4" s="1"/>
  <c r="A338" i="4"/>
  <c r="Q337" i="4"/>
  <c r="F337" i="4"/>
  <c r="E337" i="4"/>
  <c r="A337" i="4"/>
  <c r="Q336" i="4"/>
  <c r="E336" i="4"/>
  <c r="F336" i="4" s="1"/>
  <c r="A336" i="4"/>
  <c r="Q335" i="4"/>
  <c r="F335" i="4"/>
  <c r="E335" i="4"/>
  <c r="A335" i="4"/>
  <c r="Q334" i="4"/>
  <c r="E334" i="4"/>
  <c r="F334" i="4" s="1"/>
  <c r="A334" i="4"/>
  <c r="Q333" i="4"/>
  <c r="F333" i="4"/>
  <c r="E333" i="4"/>
  <c r="A333" i="4"/>
  <c r="Q332" i="4"/>
  <c r="E332" i="4"/>
  <c r="F332" i="4" s="1"/>
  <c r="A332" i="4"/>
  <c r="Q331" i="4"/>
  <c r="F331" i="4"/>
  <c r="E331" i="4"/>
  <c r="A331" i="4"/>
  <c r="Q330" i="4"/>
  <c r="E330" i="4"/>
  <c r="F330" i="4" s="1"/>
  <c r="A330" i="4"/>
  <c r="Q329" i="4"/>
  <c r="F329" i="4"/>
  <c r="E329" i="4"/>
  <c r="A329" i="4"/>
  <c r="Q328" i="4"/>
  <c r="E328" i="4"/>
  <c r="F328" i="4" s="1"/>
  <c r="A328" i="4"/>
  <c r="Q327" i="4"/>
  <c r="F327" i="4"/>
  <c r="E327" i="4"/>
  <c r="A327" i="4"/>
  <c r="Q326" i="4"/>
  <c r="E326" i="4"/>
  <c r="F326" i="4" s="1"/>
  <c r="A326" i="4"/>
  <c r="Q325" i="4"/>
  <c r="F325" i="4"/>
  <c r="E325" i="4"/>
  <c r="A325" i="4"/>
  <c r="Q324" i="4"/>
  <c r="E324" i="4"/>
  <c r="F324" i="4" s="1"/>
  <c r="A324" i="4"/>
  <c r="Q323" i="4"/>
  <c r="F323" i="4"/>
  <c r="E323" i="4"/>
  <c r="A323" i="4"/>
  <c r="Q322" i="4"/>
  <c r="E322" i="4"/>
  <c r="F322" i="4" s="1"/>
  <c r="A322" i="4"/>
  <c r="Q321" i="4"/>
  <c r="F321" i="4"/>
  <c r="E321" i="4"/>
  <c r="A321" i="4"/>
  <c r="Q320" i="4"/>
  <c r="E320" i="4"/>
  <c r="F320" i="4" s="1"/>
  <c r="A320" i="4"/>
  <c r="Q319" i="4"/>
  <c r="F319" i="4"/>
  <c r="E319" i="4"/>
  <c r="A319" i="4"/>
  <c r="Q318" i="4"/>
  <c r="E318" i="4"/>
  <c r="F318" i="4" s="1"/>
  <c r="A318" i="4"/>
  <c r="Q317" i="4"/>
  <c r="F317" i="4"/>
  <c r="E317" i="4"/>
  <c r="A317" i="4"/>
  <c r="Q316" i="4"/>
  <c r="E316" i="4"/>
  <c r="F316" i="4" s="1"/>
  <c r="A316" i="4"/>
  <c r="Q315" i="4"/>
  <c r="F315" i="4"/>
  <c r="E315" i="4"/>
  <c r="A315" i="4"/>
  <c r="Q314" i="4"/>
  <c r="E314" i="4"/>
  <c r="F314" i="4" s="1"/>
  <c r="A314" i="4"/>
  <c r="Q313" i="4"/>
  <c r="F313" i="4"/>
  <c r="E313" i="4"/>
  <c r="A313" i="4"/>
  <c r="Q312" i="4"/>
  <c r="E312" i="4"/>
  <c r="F312" i="4" s="1"/>
  <c r="A312" i="4"/>
  <c r="Q311" i="4"/>
  <c r="F311" i="4"/>
  <c r="E311" i="4"/>
  <c r="A311" i="4"/>
  <c r="Q310" i="4"/>
  <c r="E310" i="4"/>
  <c r="F310" i="4" s="1"/>
  <c r="A310" i="4"/>
  <c r="Q309" i="4"/>
  <c r="F309" i="4"/>
  <c r="E309" i="4"/>
  <c r="A309" i="4"/>
  <c r="Q308" i="4"/>
  <c r="E308" i="4"/>
  <c r="F308" i="4" s="1"/>
  <c r="A308" i="4"/>
  <c r="Q307" i="4"/>
  <c r="F307" i="4"/>
  <c r="E307" i="4"/>
  <c r="A307" i="4"/>
  <c r="Q306" i="4"/>
  <c r="E306" i="4"/>
  <c r="F306" i="4" s="1"/>
  <c r="A306" i="4"/>
  <c r="Q305" i="4"/>
  <c r="F305" i="4"/>
  <c r="E305" i="4"/>
  <c r="A305" i="4"/>
  <c r="Q304" i="4"/>
  <c r="E304" i="4"/>
  <c r="F304" i="4" s="1"/>
  <c r="A304" i="4"/>
  <c r="Q303" i="4"/>
  <c r="F303" i="4"/>
  <c r="E303" i="4"/>
  <c r="A303" i="4"/>
  <c r="Q302" i="4"/>
  <c r="E302" i="4"/>
  <c r="F302" i="4" s="1"/>
  <c r="A302" i="4"/>
  <c r="Q301" i="4"/>
  <c r="F301" i="4"/>
  <c r="E301" i="4"/>
  <c r="A301" i="4"/>
  <c r="Q300" i="4"/>
  <c r="E300" i="4"/>
  <c r="F300" i="4" s="1"/>
  <c r="A300" i="4"/>
  <c r="Q299" i="4"/>
  <c r="F299" i="4"/>
  <c r="E299" i="4"/>
  <c r="A299" i="4"/>
  <c r="Q298" i="4"/>
  <c r="E298" i="4"/>
  <c r="F298" i="4" s="1"/>
  <c r="A298" i="4"/>
  <c r="Q297" i="4"/>
  <c r="E297" i="4"/>
  <c r="F297" i="4" s="1"/>
  <c r="A297" i="4"/>
  <c r="Q296" i="4"/>
  <c r="E296" i="4"/>
  <c r="F296" i="4" s="1"/>
  <c r="A296" i="4"/>
  <c r="Q295" i="4"/>
  <c r="F295" i="4"/>
  <c r="E295" i="4"/>
  <c r="A295" i="4"/>
  <c r="Q294" i="4"/>
  <c r="E294" i="4"/>
  <c r="F294" i="4" s="1"/>
  <c r="A294" i="4"/>
  <c r="Q293" i="4"/>
  <c r="E293" i="4"/>
  <c r="F293" i="4" s="1"/>
  <c r="A293" i="4"/>
  <c r="Q292" i="4"/>
  <c r="E292" i="4"/>
  <c r="F292" i="4" s="1"/>
  <c r="A292" i="4"/>
  <c r="Q291" i="4"/>
  <c r="E291" i="4"/>
  <c r="F291" i="4" s="1"/>
  <c r="A291" i="4"/>
  <c r="Q290" i="4"/>
  <c r="E290" i="4"/>
  <c r="F290" i="4" s="1"/>
  <c r="A290" i="4"/>
  <c r="Q289" i="4"/>
  <c r="F289" i="4"/>
  <c r="E289" i="4"/>
  <c r="A289" i="4"/>
  <c r="Q288" i="4"/>
  <c r="E288" i="4"/>
  <c r="F288" i="4" s="1"/>
  <c r="A288" i="4"/>
  <c r="Q287" i="4"/>
  <c r="E287" i="4"/>
  <c r="F287" i="4" s="1"/>
  <c r="A287" i="4"/>
  <c r="Q286" i="4"/>
  <c r="E286" i="4"/>
  <c r="F286" i="4" s="1"/>
  <c r="A286" i="4"/>
  <c r="Q285" i="4"/>
  <c r="F285" i="4"/>
  <c r="E285" i="4"/>
  <c r="A285" i="4"/>
  <c r="Q284" i="4"/>
  <c r="E284" i="4"/>
  <c r="F284" i="4" s="1"/>
  <c r="A284" i="4"/>
  <c r="Q283" i="4"/>
  <c r="F283" i="4"/>
  <c r="E283" i="4"/>
  <c r="A283" i="4"/>
  <c r="Q282" i="4"/>
  <c r="E282" i="4"/>
  <c r="F282" i="4" s="1"/>
  <c r="A282" i="4"/>
  <c r="Q281" i="4"/>
  <c r="E281" i="4"/>
  <c r="F281" i="4" s="1"/>
  <c r="A281" i="4"/>
  <c r="Q280" i="4"/>
  <c r="E280" i="4"/>
  <c r="F280" i="4" s="1"/>
  <c r="A280" i="4"/>
  <c r="Q279" i="4"/>
  <c r="F279" i="4"/>
  <c r="E279" i="4"/>
  <c r="A279" i="4"/>
  <c r="Q278" i="4"/>
  <c r="E278" i="4"/>
  <c r="F278" i="4" s="1"/>
  <c r="A278" i="4"/>
  <c r="Q277" i="4"/>
  <c r="E277" i="4"/>
  <c r="F277" i="4" s="1"/>
  <c r="A277" i="4"/>
  <c r="Q276" i="4"/>
  <c r="E276" i="4"/>
  <c r="F276" i="4" s="1"/>
  <c r="A276" i="4"/>
  <c r="Q275" i="4"/>
  <c r="E275" i="4"/>
  <c r="F275" i="4" s="1"/>
  <c r="A275" i="4"/>
  <c r="Q274" i="4"/>
  <c r="E274" i="4"/>
  <c r="F274" i="4" s="1"/>
  <c r="A274" i="4"/>
  <c r="Q273" i="4"/>
  <c r="F273" i="4"/>
  <c r="E273" i="4"/>
  <c r="A273" i="4"/>
  <c r="Q272" i="4"/>
  <c r="E272" i="4"/>
  <c r="F272" i="4" s="1"/>
  <c r="A272" i="4"/>
  <c r="Q271" i="4"/>
  <c r="E271" i="4"/>
  <c r="F271" i="4" s="1"/>
  <c r="A271" i="4"/>
  <c r="Q270" i="4"/>
  <c r="E270" i="4"/>
  <c r="F270" i="4" s="1"/>
  <c r="A270" i="4"/>
  <c r="Q269" i="4"/>
  <c r="F269" i="4"/>
  <c r="E269" i="4"/>
  <c r="A269" i="4"/>
  <c r="Q268" i="4"/>
  <c r="E268" i="4"/>
  <c r="F268" i="4" s="1"/>
  <c r="A268" i="4"/>
  <c r="Q267" i="4"/>
  <c r="F267" i="4"/>
  <c r="E267" i="4"/>
  <c r="A267" i="4"/>
  <c r="Q266" i="4"/>
  <c r="E266" i="4"/>
  <c r="F266" i="4" s="1"/>
  <c r="A266" i="4"/>
  <c r="Q265" i="4"/>
  <c r="E265" i="4"/>
  <c r="F265" i="4" s="1"/>
  <c r="A265" i="4"/>
  <c r="Q264" i="4"/>
  <c r="E264" i="4"/>
  <c r="F264" i="4" s="1"/>
  <c r="A264" i="4"/>
  <c r="Q263" i="4"/>
  <c r="F263" i="4"/>
  <c r="E263" i="4"/>
  <c r="A263" i="4"/>
  <c r="Q262" i="4"/>
  <c r="E262" i="4"/>
  <c r="F262" i="4" s="1"/>
  <c r="A262" i="4"/>
  <c r="Q261" i="4"/>
  <c r="E261" i="4"/>
  <c r="F261" i="4" s="1"/>
  <c r="A261" i="4"/>
  <c r="Q260" i="4"/>
  <c r="E260" i="4"/>
  <c r="F260" i="4" s="1"/>
  <c r="A260" i="4"/>
  <c r="Q259" i="4"/>
  <c r="E259" i="4"/>
  <c r="F259" i="4" s="1"/>
  <c r="A259" i="4"/>
  <c r="Q258" i="4"/>
  <c r="E258" i="4"/>
  <c r="F258" i="4" s="1"/>
  <c r="A258" i="4"/>
  <c r="Q257" i="4"/>
  <c r="E257" i="4"/>
  <c r="F257" i="4" s="1"/>
  <c r="A257" i="4"/>
  <c r="Q256" i="4"/>
  <c r="E256" i="4"/>
  <c r="F256" i="4" s="1"/>
  <c r="A256" i="4"/>
  <c r="Q255" i="4"/>
  <c r="E255" i="4"/>
  <c r="F255" i="4" s="1"/>
  <c r="A255" i="4"/>
  <c r="Q254" i="4"/>
  <c r="E254" i="4"/>
  <c r="F254" i="4" s="1"/>
  <c r="A254" i="4"/>
  <c r="Q253" i="4"/>
  <c r="F253" i="4"/>
  <c r="E253" i="4"/>
  <c r="A253" i="4"/>
  <c r="Q252" i="4"/>
  <c r="E252" i="4"/>
  <c r="F252" i="4" s="1"/>
  <c r="A252" i="4"/>
  <c r="Q251" i="4"/>
  <c r="F251" i="4"/>
  <c r="E251" i="4"/>
  <c r="A251" i="4"/>
  <c r="Q250" i="4"/>
  <c r="E250" i="4"/>
  <c r="F250" i="4" s="1"/>
  <c r="A250" i="4"/>
  <c r="Q249" i="4"/>
  <c r="E249" i="4"/>
  <c r="F249" i="4" s="1"/>
  <c r="A249" i="4"/>
  <c r="Q248" i="4"/>
  <c r="E248" i="4"/>
  <c r="F248" i="4" s="1"/>
  <c r="A248" i="4"/>
  <c r="Q247" i="4"/>
  <c r="F247" i="4"/>
  <c r="E247" i="4"/>
  <c r="A247" i="4"/>
  <c r="Q246" i="4"/>
  <c r="E246" i="4"/>
  <c r="F246" i="4" s="1"/>
  <c r="A246" i="4"/>
  <c r="Q245" i="4"/>
  <c r="E245" i="4"/>
  <c r="F245" i="4" s="1"/>
  <c r="A245" i="4"/>
  <c r="Q244" i="4"/>
  <c r="E244" i="4"/>
  <c r="F244" i="4" s="1"/>
  <c r="A244" i="4"/>
  <c r="Q243" i="4"/>
  <c r="E243" i="4"/>
  <c r="F243" i="4" s="1"/>
  <c r="A243" i="4"/>
  <c r="Q242" i="4"/>
  <c r="E242" i="4"/>
  <c r="F242" i="4" s="1"/>
  <c r="A242" i="4"/>
  <c r="Q241" i="4"/>
  <c r="F241" i="4"/>
  <c r="E241" i="4"/>
  <c r="A241" i="4"/>
  <c r="Q240" i="4"/>
  <c r="E240" i="4"/>
  <c r="F240" i="4" s="1"/>
  <c r="A240" i="4"/>
  <c r="Q239" i="4"/>
  <c r="E239" i="4"/>
  <c r="F239" i="4" s="1"/>
  <c r="A239" i="4"/>
  <c r="Q238" i="4"/>
  <c r="E238" i="4"/>
  <c r="F238" i="4" s="1"/>
  <c r="A238" i="4"/>
  <c r="Q237" i="4"/>
  <c r="F237" i="4"/>
  <c r="E237" i="4"/>
  <c r="A237" i="4"/>
  <c r="Q236" i="4"/>
  <c r="E236" i="4"/>
  <c r="F236" i="4" s="1"/>
  <c r="A236" i="4"/>
  <c r="Q235" i="4"/>
  <c r="F235" i="4"/>
  <c r="E235" i="4"/>
  <c r="A235" i="4"/>
  <c r="Q234" i="4"/>
  <c r="E234" i="4"/>
  <c r="F234" i="4" s="1"/>
  <c r="A234" i="4"/>
  <c r="Q233" i="4"/>
  <c r="E233" i="4"/>
  <c r="F233" i="4" s="1"/>
  <c r="A233" i="4"/>
  <c r="Q232" i="4"/>
  <c r="E232" i="4"/>
  <c r="F232" i="4" s="1"/>
  <c r="A232" i="4"/>
  <c r="Q231" i="4"/>
  <c r="F231" i="4"/>
  <c r="E231" i="4"/>
  <c r="A231" i="4"/>
  <c r="Q230" i="4"/>
  <c r="E230" i="4"/>
  <c r="F230" i="4" s="1"/>
  <c r="A230" i="4"/>
  <c r="Q229" i="4"/>
  <c r="E229" i="4"/>
  <c r="F229" i="4" s="1"/>
  <c r="A229" i="4"/>
  <c r="Q228" i="4"/>
  <c r="E228" i="4"/>
  <c r="F228" i="4" s="1"/>
  <c r="A228" i="4"/>
  <c r="Q227" i="4"/>
  <c r="E227" i="4"/>
  <c r="F227" i="4" s="1"/>
  <c r="A227" i="4"/>
  <c r="Q226" i="4"/>
  <c r="E226" i="4"/>
  <c r="F226" i="4" s="1"/>
  <c r="A226" i="4"/>
  <c r="Q225" i="4"/>
  <c r="F225" i="4"/>
  <c r="E225" i="4"/>
  <c r="A225" i="4"/>
  <c r="Q224" i="4"/>
  <c r="E224" i="4"/>
  <c r="F224" i="4" s="1"/>
  <c r="A224" i="4"/>
  <c r="Q223" i="4"/>
  <c r="E223" i="4"/>
  <c r="F223" i="4" s="1"/>
  <c r="A223" i="4"/>
  <c r="Q222" i="4"/>
  <c r="E222" i="4"/>
  <c r="F222" i="4" s="1"/>
  <c r="A222" i="4"/>
  <c r="Q221" i="4"/>
  <c r="F221" i="4"/>
  <c r="E221" i="4"/>
  <c r="A221" i="4"/>
  <c r="Q220" i="4"/>
  <c r="E220" i="4"/>
  <c r="F220" i="4" s="1"/>
  <c r="A220" i="4"/>
  <c r="Q219" i="4"/>
  <c r="E219" i="4"/>
  <c r="F219" i="4" s="1"/>
  <c r="A219" i="4"/>
  <c r="Q218" i="4"/>
  <c r="E218" i="4"/>
  <c r="F218" i="4" s="1"/>
  <c r="A218" i="4"/>
  <c r="Q217" i="4"/>
  <c r="E217" i="4"/>
  <c r="F217" i="4" s="1"/>
  <c r="A217" i="4"/>
  <c r="Q216" i="4"/>
  <c r="E216" i="4"/>
  <c r="F216" i="4" s="1"/>
  <c r="A216" i="4"/>
  <c r="Q215" i="4"/>
  <c r="F215" i="4"/>
  <c r="E215" i="4"/>
  <c r="A215" i="4"/>
  <c r="Q214" i="4"/>
  <c r="E214" i="4"/>
  <c r="F214" i="4" s="1"/>
  <c r="A214" i="4"/>
  <c r="Q213" i="4"/>
  <c r="E213" i="4"/>
  <c r="F213" i="4" s="1"/>
  <c r="A213" i="4"/>
  <c r="Q212" i="4"/>
  <c r="E212" i="4"/>
  <c r="F212" i="4" s="1"/>
  <c r="A212" i="4"/>
  <c r="Q211" i="4"/>
  <c r="F211" i="4"/>
  <c r="E211" i="4"/>
  <c r="A211" i="4"/>
  <c r="Q210" i="4"/>
  <c r="E210" i="4"/>
  <c r="F210" i="4" s="1"/>
  <c r="A210" i="4"/>
  <c r="Q209" i="4"/>
  <c r="E209" i="4"/>
  <c r="F209" i="4" s="1"/>
  <c r="A209" i="4"/>
  <c r="Q208" i="4"/>
  <c r="E208" i="4"/>
  <c r="F208" i="4" s="1"/>
  <c r="A208" i="4"/>
  <c r="Q207" i="4"/>
  <c r="E207" i="4"/>
  <c r="F207" i="4" s="1"/>
  <c r="A207" i="4"/>
  <c r="Q206" i="4"/>
  <c r="E206" i="4"/>
  <c r="F206" i="4" s="1"/>
  <c r="A206" i="4"/>
  <c r="Q205" i="4"/>
  <c r="F205" i="4"/>
  <c r="E205" i="4"/>
  <c r="A205" i="4"/>
  <c r="Q204" i="4"/>
  <c r="E204" i="4"/>
  <c r="F204" i="4" s="1"/>
  <c r="A204" i="4"/>
  <c r="Q203" i="4"/>
  <c r="E203" i="4"/>
  <c r="F203" i="4" s="1"/>
  <c r="A203" i="4"/>
  <c r="Q202" i="4"/>
  <c r="E202" i="4"/>
  <c r="F202" i="4" s="1"/>
  <c r="A202" i="4"/>
  <c r="Q201" i="4"/>
  <c r="E201" i="4"/>
  <c r="F201" i="4" s="1"/>
  <c r="A201" i="4"/>
  <c r="Q200" i="4"/>
  <c r="E200" i="4"/>
  <c r="F200" i="4" s="1"/>
  <c r="A200" i="4"/>
  <c r="Q199" i="4"/>
  <c r="F199" i="4"/>
  <c r="E199" i="4"/>
  <c r="A199" i="4"/>
  <c r="Q198" i="4"/>
  <c r="E198" i="4"/>
  <c r="F198" i="4" s="1"/>
  <c r="A198" i="4"/>
  <c r="Q197" i="4"/>
  <c r="F197" i="4"/>
  <c r="E197" i="4"/>
  <c r="A197" i="4"/>
  <c r="Q196" i="4"/>
  <c r="E196" i="4"/>
  <c r="F196" i="4" s="1"/>
  <c r="A196" i="4"/>
  <c r="Q195" i="4"/>
  <c r="F195" i="4"/>
  <c r="E195" i="4"/>
  <c r="A195" i="4"/>
  <c r="Q194" i="4"/>
  <c r="E194" i="4"/>
  <c r="F194" i="4" s="1"/>
  <c r="A194" i="4"/>
  <c r="Q193" i="4"/>
  <c r="E193" i="4"/>
  <c r="F193" i="4" s="1"/>
  <c r="A193" i="4"/>
  <c r="Q192" i="4"/>
  <c r="E192" i="4"/>
  <c r="F192" i="4" s="1"/>
  <c r="A192" i="4"/>
  <c r="Q191" i="4"/>
  <c r="E191" i="4"/>
  <c r="F191" i="4" s="1"/>
  <c r="A191" i="4"/>
  <c r="Q190" i="4"/>
  <c r="E190" i="4"/>
  <c r="F190" i="4" s="1"/>
  <c r="A190" i="4"/>
  <c r="Q189" i="4"/>
  <c r="F189" i="4"/>
  <c r="E189" i="4"/>
  <c r="A189" i="4"/>
  <c r="Q188" i="4"/>
  <c r="E188" i="4"/>
  <c r="F188" i="4" s="1"/>
  <c r="A188" i="4"/>
  <c r="Q187" i="4"/>
  <c r="E187" i="4"/>
  <c r="F187" i="4" s="1"/>
  <c r="A187" i="4"/>
  <c r="Q186" i="4"/>
  <c r="E186" i="4"/>
  <c r="F186" i="4" s="1"/>
  <c r="A186" i="4"/>
  <c r="Q185" i="4"/>
  <c r="E185" i="4"/>
  <c r="F185" i="4" s="1"/>
  <c r="A185" i="4"/>
  <c r="Q184" i="4"/>
  <c r="E184" i="4"/>
  <c r="F184" i="4" s="1"/>
  <c r="A184" i="4"/>
  <c r="Q183" i="4"/>
  <c r="F183" i="4"/>
  <c r="E183" i="4"/>
  <c r="A183" i="4"/>
  <c r="Q182" i="4"/>
  <c r="E182" i="4"/>
  <c r="F182" i="4" s="1"/>
  <c r="A182" i="4"/>
  <c r="Q181" i="4"/>
  <c r="F181" i="4"/>
  <c r="E181" i="4"/>
  <c r="A181" i="4"/>
  <c r="Q180" i="4"/>
  <c r="E180" i="4"/>
  <c r="F180" i="4" s="1"/>
  <c r="A180" i="4"/>
  <c r="Q179" i="4"/>
  <c r="F179" i="4"/>
  <c r="E179" i="4"/>
  <c r="A179" i="4"/>
  <c r="Q178" i="4"/>
  <c r="E178" i="4"/>
  <c r="F178" i="4" s="1"/>
  <c r="A178" i="4"/>
  <c r="Q177" i="4"/>
  <c r="E177" i="4"/>
  <c r="F177" i="4" s="1"/>
  <c r="A177" i="4"/>
  <c r="Q176" i="4"/>
  <c r="E176" i="4"/>
  <c r="F176" i="4" s="1"/>
  <c r="A176" i="4"/>
  <c r="Q175" i="4"/>
  <c r="E175" i="4"/>
  <c r="F175" i="4" s="1"/>
  <c r="A175" i="4"/>
  <c r="Q174" i="4"/>
  <c r="E174" i="4"/>
  <c r="F174" i="4" s="1"/>
  <c r="A174" i="4"/>
  <c r="Q173" i="4"/>
  <c r="F173" i="4"/>
  <c r="E173" i="4"/>
  <c r="A173" i="4"/>
  <c r="Q172" i="4"/>
  <c r="E172" i="4"/>
  <c r="F172" i="4" s="1"/>
  <c r="A172" i="4"/>
  <c r="Q171" i="4"/>
  <c r="E171" i="4"/>
  <c r="F171" i="4" s="1"/>
  <c r="A171" i="4"/>
  <c r="Q170" i="4"/>
  <c r="E170" i="4"/>
  <c r="F170" i="4" s="1"/>
  <c r="A170" i="4"/>
  <c r="Q169" i="4"/>
  <c r="E169" i="4"/>
  <c r="F169" i="4" s="1"/>
  <c r="A169" i="4"/>
  <c r="Q168" i="4"/>
  <c r="E168" i="4"/>
  <c r="F168" i="4" s="1"/>
  <c r="A168" i="4"/>
  <c r="Q167" i="4"/>
  <c r="F167" i="4"/>
  <c r="E167" i="4"/>
  <c r="A167" i="4"/>
  <c r="Q166" i="4"/>
  <c r="E166" i="4"/>
  <c r="F166" i="4" s="1"/>
  <c r="A166" i="4"/>
  <c r="Q165" i="4"/>
  <c r="F165" i="4"/>
  <c r="E165" i="4"/>
  <c r="A165" i="4"/>
  <c r="Q164" i="4"/>
  <c r="E164" i="4"/>
  <c r="F164" i="4" s="1"/>
  <c r="A164" i="4"/>
  <c r="Q163" i="4"/>
  <c r="F163" i="4"/>
  <c r="E163" i="4"/>
  <c r="A163" i="4"/>
  <c r="Q162" i="4"/>
  <c r="E162" i="4"/>
  <c r="F162" i="4" s="1"/>
  <c r="A162" i="4"/>
  <c r="Q161" i="4"/>
  <c r="E161" i="4"/>
  <c r="F161" i="4" s="1"/>
  <c r="A161" i="4"/>
  <c r="Q160" i="4"/>
  <c r="E160" i="4"/>
  <c r="F160" i="4" s="1"/>
  <c r="A160" i="4"/>
  <c r="Q159" i="4"/>
  <c r="E159" i="4"/>
  <c r="F159" i="4" s="1"/>
  <c r="A159" i="4"/>
  <c r="Q158" i="4"/>
  <c r="E158" i="4"/>
  <c r="F158" i="4" s="1"/>
  <c r="A158" i="4"/>
  <c r="Q157" i="4"/>
  <c r="F157" i="4"/>
  <c r="E157" i="4"/>
  <c r="A157" i="4"/>
  <c r="Q156" i="4"/>
  <c r="E156" i="4"/>
  <c r="F156" i="4" s="1"/>
  <c r="A156" i="4"/>
  <c r="Q155" i="4"/>
  <c r="E155" i="4"/>
  <c r="F155" i="4" s="1"/>
  <c r="A155" i="4"/>
  <c r="Q154" i="4"/>
  <c r="E154" i="4"/>
  <c r="F154" i="4" s="1"/>
  <c r="A154" i="4"/>
  <c r="Q153" i="4"/>
  <c r="E153" i="4"/>
  <c r="F153" i="4" s="1"/>
  <c r="A153" i="4"/>
  <c r="Q152" i="4"/>
  <c r="E152" i="4"/>
  <c r="F152" i="4" s="1"/>
  <c r="A152" i="4"/>
  <c r="Q151" i="4"/>
  <c r="F151" i="4"/>
  <c r="E151" i="4"/>
  <c r="A151" i="4"/>
  <c r="Q150" i="4"/>
  <c r="E150" i="4"/>
  <c r="F150" i="4" s="1"/>
  <c r="A150" i="4"/>
  <c r="Q149" i="4"/>
  <c r="F149" i="4"/>
  <c r="E149" i="4"/>
  <c r="A149" i="4"/>
  <c r="Q148" i="4"/>
  <c r="E148" i="4"/>
  <c r="F148" i="4" s="1"/>
  <c r="A148" i="4"/>
  <c r="Q147" i="4"/>
  <c r="F147" i="4"/>
  <c r="E147" i="4"/>
  <c r="A147" i="4"/>
  <c r="Q146" i="4"/>
  <c r="E146" i="4"/>
  <c r="F146" i="4" s="1"/>
  <c r="A146" i="4"/>
  <c r="Q145" i="4"/>
  <c r="E145" i="4"/>
  <c r="F145" i="4" s="1"/>
  <c r="A145" i="4"/>
  <c r="Q144" i="4"/>
  <c r="E144" i="4"/>
  <c r="F144" i="4" s="1"/>
  <c r="A144" i="4"/>
  <c r="Q143" i="4"/>
  <c r="E143" i="4"/>
  <c r="F143" i="4" s="1"/>
  <c r="A143" i="4"/>
  <c r="Q142" i="4"/>
  <c r="E142" i="4"/>
  <c r="F142" i="4" s="1"/>
  <c r="A142" i="4"/>
  <c r="Q141" i="4"/>
  <c r="F141" i="4"/>
  <c r="E141" i="4"/>
  <c r="A141" i="4"/>
  <c r="Q140" i="4"/>
  <c r="E140" i="4"/>
  <c r="F140" i="4" s="1"/>
  <c r="A140" i="4"/>
  <c r="Q139" i="4"/>
  <c r="E139" i="4"/>
  <c r="F139" i="4" s="1"/>
  <c r="A139" i="4"/>
  <c r="Q138" i="4"/>
  <c r="E138" i="4"/>
  <c r="F138" i="4" s="1"/>
  <c r="A138" i="4"/>
  <c r="Q137" i="4"/>
  <c r="E137" i="4"/>
  <c r="F137" i="4" s="1"/>
  <c r="A137" i="4"/>
  <c r="Q136" i="4"/>
  <c r="E136" i="4"/>
  <c r="F136" i="4" s="1"/>
  <c r="A136" i="4"/>
  <c r="Q135" i="4"/>
  <c r="F135" i="4"/>
  <c r="E135" i="4"/>
  <c r="A135" i="4"/>
  <c r="Q134" i="4"/>
  <c r="E134" i="4"/>
  <c r="F134" i="4" s="1"/>
  <c r="A134" i="4"/>
  <c r="Q133" i="4"/>
  <c r="F133" i="4"/>
  <c r="E133" i="4"/>
  <c r="A133" i="4"/>
  <c r="Q132" i="4"/>
  <c r="E132" i="4"/>
  <c r="F132" i="4" s="1"/>
  <c r="A132" i="4"/>
  <c r="Q131" i="4"/>
  <c r="F131" i="4"/>
  <c r="E131" i="4"/>
  <c r="A131" i="4"/>
  <c r="Q130" i="4"/>
  <c r="E130" i="4"/>
  <c r="F130" i="4" s="1"/>
  <c r="A130" i="4"/>
  <c r="Q129" i="4"/>
  <c r="E129" i="4"/>
  <c r="F129" i="4" s="1"/>
  <c r="A129" i="4"/>
  <c r="Q128" i="4"/>
  <c r="E128" i="4"/>
  <c r="F128" i="4" s="1"/>
  <c r="A128" i="4"/>
  <c r="Q127" i="4"/>
  <c r="E127" i="4"/>
  <c r="F127" i="4" s="1"/>
  <c r="A127" i="4"/>
  <c r="Q126" i="4"/>
  <c r="E126" i="4"/>
  <c r="F126" i="4" s="1"/>
  <c r="A126" i="4"/>
  <c r="Q125" i="4"/>
  <c r="F125" i="4"/>
  <c r="E125" i="4"/>
  <c r="A125" i="4"/>
  <c r="Q124" i="4"/>
  <c r="E124" i="4"/>
  <c r="F124" i="4" s="1"/>
  <c r="A124" i="4"/>
  <c r="Q123" i="4"/>
  <c r="F123" i="4"/>
  <c r="E123" i="4"/>
  <c r="A123" i="4"/>
  <c r="Q122" i="4"/>
  <c r="E122" i="4"/>
  <c r="F122" i="4" s="1"/>
  <c r="A122" i="4"/>
  <c r="Q121" i="4"/>
  <c r="E121" i="4"/>
  <c r="F121" i="4" s="1"/>
  <c r="A121" i="4"/>
  <c r="Q120" i="4"/>
  <c r="E120" i="4"/>
  <c r="F120" i="4" s="1"/>
  <c r="A120" i="4"/>
  <c r="Q119" i="4"/>
  <c r="F119" i="4"/>
  <c r="E119" i="4"/>
  <c r="A119" i="4"/>
  <c r="Q118" i="4"/>
  <c r="E118" i="4"/>
  <c r="F118" i="4" s="1"/>
  <c r="A118" i="4"/>
  <c r="Q117" i="4"/>
  <c r="F117" i="4"/>
  <c r="E117" i="4"/>
  <c r="A117" i="4"/>
  <c r="Q116" i="4"/>
  <c r="E116" i="4"/>
  <c r="F116" i="4" s="1"/>
  <c r="A116" i="4"/>
  <c r="Q115" i="4"/>
  <c r="F115" i="4"/>
  <c r="E115" i="4"/>
  <c r="A115" i="4"/>
  <c r="Q114" i="4"/>
  <c r="E114" i="4"/>
  <c r="F114" i="4" s="1"/>
  <c r="A114" i="4"/>
  <c r="Q113" i="4"/>
  <c r="E113" i="4"/>
  <c r="F113" i="4" s="1"/>
  <c r="A113" i="4"/>
  <c r="Q112" i="4"/>
  <c r="E112" i="4"/>
  <c r="F112" i="4" s="1"/>
  <c r="A112" i="4"/>
  <c r="Q111" i="4"/>
  <c r="E111" i="4"/>
  <c r="F111" i="4" s="1"/>
  <c r="A111" i="4"/>
  <c r="Q110" i="4"/>
  <c r="E110" i="4"/>
  <c r="F110" i="4" s="1"/>
  <c r="A110" i="4"/>
  <c r="Q109" i="4"/>
  <c r="F109" i="4"/>
  <c r="E109" i="4"/>
  <c r="A109" i="4"/>
  <c r="Q108" i="4"/>
  <c r="E108" i="4"/>
  <c r="F108" i="4" s="1"/>
  <c r="A108" i="4"/>
  <c r="Q107" i="4"/>
  <c r="F107" i="4"/>
  <c r="E107" i="4"/>
  <c r="A107" i="4"/>
  <c r="Q106" i="4"/>
  <c r="E106" i="4"/>
  <c r="F106" i="4" s="1"/>
  <c r="A106" i="4"/>
  <c r="Q105" i="4"/>
  <c r="E105" i="4"/>
  <c r="F105" i="4" s="1"/>
  <c r="A105" i="4"/>
  <c r="Q104" i="4"/>
  <c r="E104" i="4"/>
  <c r="F104" i="4" s="1"/>
  <c r="A104" i="4"/>
  <c r="Q103" i="4"/>
  <c r="F103" i="4"/>
  <c r="E103" i="4"/>
  <c r="A103" i="4"/>
  <c r="Q102" i="4"/>
  <c r="E102" i="4"/>
  <c r="F102" i="4" s="1"/>
  <c r="A102" i="4"/>
  <c r="Q101" i="4"/>
  <c r="F101" i="4"/>
  <c r="E101" i="4"/>
  <c r="A101" i="4"/>
  <c r="Q100" i="4"/>
  <c r="E100" i="4"/>
  <c r="F100" i="4" s="1"/>
  <c r="A100" i="4"/>
  <c r="Q99" i="4"/>
  <c r="F99" i="4"/>
  <c r="E99" i="4"/>
  <c r="A99" i="4"/>
  <c r="Q98" i="4"/>
  <c r="E98" i="4"/>
  <c r="F98" i="4" s="1"/>
  <c r="A98" i="4"/>
  <c r="Q97" i="4"/>
  <c r="E97" i="4"/>
  <c r="F97" i="4" s="1"/>
  <c r="A97" i="4"/>
  <c r="Q96" i="4"/>
  <c r="E96" i="4"/>
  <c r="F96" i="4" s="1"/>
  <c r="A96" i="4"/>
  <c r="Q95" i="4"/>
  <c r="E95" i="4"/>
  <c r="F95" i="4" s="1"/>
  <c r="A95" i="4"/>
  <c r="Q94" i="4"/>
  <c r="E94" i="4"/>
  <c r="F94" i="4" s="1"/>
  <c r="A94" i="4"/>
  <c r="Q93" i="4"/>
  <c r="F93" i="4"/>
  <c r="E93" i="4"/>
  <c r="A93" i="4"/>
  <c r="Q92" i="4"/>
  <c r="E92" i="4"/>
  <c r="F92" i="4" s="1"/>
  <c r="A92" i="4"/>
  <c r="Q91" i="4"/>
  <c r="F91" i="4"/>
  <c r="E91" i="4"/>
  <c r="A91" i="4"/>
  <c r="Q90" i="4"/>
  <c r="E90" i="4"/>
  <c r="F90" i="4" s="1"/>
  <c r="A90" i="4"/>
  <c r="Q89" i="4"/>
  <c r="E89" i="4"/>
  <c r="F89" i="4" s="1"/>
  <c r="A89" i="4"/>
  <c r="Q88" i="4"/>
  <c r="E88" i="4"/>
  <c r="F88" i="4" s="1"/>
  <c r="A88" i="4"/>
  <c r="Q87" i="4"/>
  <c r="F87" i="4"/>
  <c r="E87" i="4"/>
  <c r="A87" i="4"/>
  <c r="Q86" i="4"/>
  <c r="E86" i="4"/>
  <c r="F86" i="4" s="1"/>
  <c r="A86" i="4"/>
  <c r="Q85" i="4"/>
  <c r="F85" i="4"/>
  <c r="E85" i="4"/>
  <c r="A85" i="4"/>
  <c r="Q84" i="4"/>
  <c r="E84" i="4"/>
  <c r="F84" i="4" s="1"/>
  <c r="A84" i="4"/>
  <c r="Q83" i="4"/>
  <c r="F83" i="4"/>
  <c r="E83" i="4"/>
  <c r="A83" i="4"/>
  <c r="Q82" i="4"/>
  <c r="E82" i="4"/>
  <c r="F82" i="4" s="1"/>
  <c r="A82" i="4"/>
  <c r="Q81" i="4"/>
  <c r="E81" i="4"/>
  <c r="F81" i="4" s="1"/>
  <c r="A81" i="4"/>
  <c r="Q80" i="4"/>
  <c r="E80" i="4"/>
  <c r="F80" i="4" s="1"/>
  <c r="A80" i="4"/>
  <c r="Q79" i="4"/>
  <c r="E79" i="4"/>
  <c r="F79" i="4" s="1"/>
  <c r="A79" i="4"/>
  <c r="Q78" i="4"/>
  <c r="E78" i="4"/>
  <c r="F78" i="4" s="1"/>
  <c r="A78" i="4"/>
  <c r="Q77" i="4"/>
  <c r="F77" i="4"/>
  <c r="E77" i="4"/>
  <c r="A77" i="4"/>
  <c r="Q76" i="4"/>
  <c r="E76" i="4"/>
  <c r="F76" i="4" s="1"/>
  <c r="A76" i="4"/>
  <c r="Q75" i="4"/>
  <c r="E75" i="4"/>
  <c r="F75" i="4" s="1"/>
  <c r="A75" i="4"/>
  <c r="Q74" i="4"/>
  <c r="E74" i="4"/>
  <c r="F74" i="4" s="1"/>
  <c r="A74" i="4"/>
  <c r="Q73" i="4"/>
  <c r="E73" i="4"/>
  <c r="F73" i="4" s="1"/>
  <c r="A73" i="4"/>
  <c r="Q72" i="4"/>
  <c r="E72" i="4"/>
  <c r="F72" i="4" s="1"/>
  <c r="A72" i="4"/>
  <c r="Q71" i="4"/>
  <c r="F71" i="4"/>
  <c r="E71" i="4"/>
  <c r="A71" i="4"/>
  <c r="Q70" i="4"/>
  <c r="E70" i="4"/>
  <c r="F70" i="4" s="1"/>
  <c r="A70" i="4"/>
  <c r="Q69" i="4"/>
  <c r="F69" i="4"/>
  <c r="E69" i="4"/>
  <c r="A69" i="4"/>
  <c r="Q68" i="4"/>
  <c r="E68" i="4"/>
  <c r="F68" i="4" s="1"/>
  <c r="A68" i="4"/>
  <c r="Q67" i="4"/>
  <c r="F67" i="4"/>
  <c r="E67" i="4"/>
  <c r="A67" i="4"/>
  <c r="Q66" i="4"/>
  <c r="E66" i="4"/>
  <c r="F66" i="4" s="1"/>
  <c r="A66" i="4"/>
  <c r="Q65" i="4"/>
  <c r="E65" i="4"/>
  <c r="F65" i="4" s="1"/>
  <c r="A65" i="4"/>
  <c r="Q64" i="4"/>
  <c r="E64" i="4"/>
  <c r="F64" i="4" s="1"/>
  <c r="A64" i="4"/>
  <c r="Q63" i="4"/>
  <c r="E63" i="4"/>
  <c r="F63" i="4" s="1"/>
  <c r="A63" i="4"/>
  <c r="Q62" i="4"/>
  <c r="E62" i="4"/>
  <c r="F62" i="4" s="1"/>
  <c r="A62" i="4"/>
  <c r="Q61" i="4"/>
  <c r="F61" i="4"/>
  <c r="E61" i="4"/>
  <c r="A61" i="4"/>
  <c r="Q60" i="4"/>
  <c r="E60" i="4"/>
  <c r="F60" i="4" s="1"/>
  <c r="A60" i="4"/>
  <c r="Q59" i="4"/>
  <c r="E59" i="4"/>
  <c r="F59" i="4" s="1"/>
  <c r="A59" i="4"/>
  <c r="Q58" i="4"/>
  <c r="E58" i="4"/>
  <c r="F58" i="4" s="1"/>
  <c r="A58" i="4"/>
  <c r="Q57" i="4"/>
  <c r="E57" i="4"/>
  <c r="F57" i="4" s="1"/>
  <c r="A57" i="4"/>
  <c r="Q56" i="4"/>
  <c r="E56" i="4"/>
  <c r="F56" i="4" s="1"/>
  <c r="A56" i="4"/>
  <c r="Q55" i="4"/>
  <c r="F55" i="4"/>
  <c r="E55" i="4"/>
  <c r="A55" i="4"/>
  <c r="Q54" i="4"/>
  <c r="E54" i="4"/>
  <c r="F54" i="4" s="1"/>
  <c r="A54" i="4"/>
  <c r="Q53" i="4"/>
  <c r="F53" i="4"/>
  <c r="E53" i="4"/>
  <c r="A53" i="4"/>
  <c r="Q52" i="4"/>
  <c r="E52" i="4"/>
  <c r="F52" i="4" s="1"/>
  <c r="A52" i="4"/>
  <c r="Q51" i="4"/>
  <c r="F51" i="4"/>
  <c r="E51" i="4"/>
  <c r="A51" i="4"/>
  <c r="Q50" i="4"/>
  <c r="E50" i="4"/>
  <c r="F50" i="4" s="1"/>
  <c r="A50" i="4"/>
  <c r="Q49" i="4"/>
  <c r="E49" i="4"/>
  <c r="F49" i="4" s="1"/>
  <c r="A49" i="4"/>
  <c r="Q48" i="4"/>
  <c r="E48" i="4"/>
  <c r="F48" i="4" s="1"/>
  <c r="A48" i="4"/>
  <c r="Q47" i="4"/>
  <c r="E47" i="4"/>
  <c r="F47" i="4" s="1"/>
  <c r="A47" i="4"/>
  <c r="Q46" i="4"/>
  <c r="E46" i="4"/>
  <c r="F46" i="4" s="1"/>
  <c r="A46" i="4"/>
  <c r="Q45" i="4"/>
  <c r="F45" i="4"/>
  <c r="E45" i="4"/>
  <c r="A45" i="4"/>
  <c r="Q44" i="4"/>
  <c r="E44" i="4"/>
  <c r="F44" i="4" s="1"/>
  <c r="A44" i="4"/>
  <c r="Q43" i="4"/>
  <c r="E43" i="4"/>
  <c r="F43" i="4" s="1"/>
  <c r="A43" i="4"/>
  <c r="Q42" i="4"/>
  <c r="E42" i="4"/>
  <c r="F42" i="4" s="1"/>
  <c r="A42" i="4"/>
  <c r="Q41" i="4"/>
  <c r="E41" i="4"/>
  <c r="F41" i="4" s="1"/>
  <c r="A41" i="4"/>
  <c r="Q40" i="4"/>
  <c r="E40" i="4"/>
  <c r="F40" i="4" s="1"/>
  <c r="A40" i="4"/>
  <c r="Q39" i="4"/>
  <c r="F39" i="4"/>
  <c r="E39" i="4"/>
  <c r="A39" i="4"/>
  <c r="Q38" i="4"/>
  <c r="E38" i="4"/>
  <c r="F38" i="4" s="1"/>
  <c r="A38" i="4"/>
  <c r="Q37" i="4"/>
  <c r="F37" i="4"/>
  <c r="E37" i="4"/>
  <c r="A37" i="4"/>
  <c r="Q36" i="4"/>
  <c r="E36" i="4"/>
  <c r="F36" i="4" s="1"/>
  <c r="A36" i="4"/>
  <c r="Q35" i="4"/>
  <c r="F35" i="4"/>
  <c r="E35" i="4"/>
  <c r="A35" i="4"/>
  <c r="Q34" i="4"/>
  <c r="E34" i="4"/>
  <c r="F34" i="4" s="1"/>
  <c r="A34" i="4"/>
  <c r="Q33" i="4"/>
  <c r="E33" i="4"/>
  <c r="F33" i="4" s="1"/>
  <c r="A33" i="4"/>
  <c r="Q32" i="4"/>
  <c r="E32" i="4"/>
  <c r="F32" i="4" s="1"/>
  <c r="A32" i="4"/>
  <c r="Q31" i="4"/>
  <c r="E31" i="4"/>
  <c r="F31" i="4" s="1"/>
  <c r="A31" i="4"/>
  <c r="Q30" i="4"/>
  <c r="E30" i="4"/>
  <c r="F30" i="4" s="1"/>
  <c r="A30" i="4"/>
  <c r="Q29" i="4"/>
  <c r="F29" i="4"/>
  <c r="E29" i="4"/>
  <c r="A29" i="4"/>
  <c r="Q28" i="4"/>
  <c r="E28" i="4"/>
  <c r="F28" i="4" s="1"/>
  <c r="A28" i="4"/>
  <c r="Q27" i="4"/>
  <c r="E27" i="4"/>
  <c r="F27" i="4" s="1"/>
  <c r="A27" i="4"/>
  <c r="Q26" i="4"/>
  <c r="E26" i="4"/>
  <c r="F26" i="4" s="1"/>
  <c r="A26" i="4"/>
  <c r="Q25" i="4"/>
  <c r="E25" i="4"/>
  <c r="F25" i="4" s="1"/>
  <c r="A25" i="4"/>
  <c r="Q24" i="4"/>
  <c r="E24" i="4"/>
  <c r="F24" i="4" s="1"/>
  <c r="A24" i="4"/>
  <c r="Q23" i="4"/>
  <c r="F23" i="4"/>
  <c r="E23" i="4"/>
  <c r="A23" i="4"/>
  <c r="Q22" i="4"/>
  <c r="E22" i="4"/>
  <c r="F22" i="4" s="1"/>
  <c r="A22" i="4"/>
  <c r="Q21" i="4"/>
  <c r="F21" i="4"/>
  <c r="E21" i="4"/>
  <c r="A21" i="4"/>
  <c r="Q20" i="4"/>
  <c r="E20" i="4"/>
  <c r="F20" i="4" s="1"/>
  <c r="A20" i="4"/>
  <c r="Q19" i="4"/>
  <c r="F19" i="4"/>
  <c r="E19" i="4"/>
  <c r="A19" i="4"/>
  <c r="Q18" i="4"/>
  <c r="E18" i="4"/>
  <c r="F18" i="4" s="1"/>
  <c r="A18" i="4"/>
  <c r="Q17" i="4"/>
  <c r="E17" i="4"/>
  <c r="F17" i="4" s="1"/>
  <c r="A17" i="4"/>
  <c r="Q16" i="4"/>
  <c r="E16" i="4"/>
  <c r="F16" i="4" s="1"/>
  <c r="A16" i="4"/>
  <c r="Q15" i="4"/>
  <c r="E15" i="4"/>
  <c r="F15" i="4" s="1"/>
  <c r="A15" i="4"/>
  <c r="Q14" i="4"/>
  <c r="E14" i="4"/>
  <c r="F14" i="4" s="1"/>
  <c r="A14" i="4"/>
  <c r="Q13" i="4"/>
  <c r="F13" i="4"/>
  <c r="E13" i="4"/>
  <c r="A13" i="4"/>
  <c r="Q12" i="4"/>
  <c r="E12" i="4"/>
  <c r="F12" i="4" s="1"/>
  <c r="A12" i="4"/>
  <c r="Q11" i="4"/>
  <c r="E11" i="4"/>
  <c r="F11" i="4" s="1"/>
  <c r="A11" i="4"/>
  <c r="Q10" i="4"/>
  <c r="E10" i="4"/>
  <c r="F10" i="4" s="1"/>
  <c r="A10" i="4"/>
  <c r="Q9" i="4"/>
  <c r="E9" i="4"/>
  <c r="F9" i="4" s="1"/>
  <c r="A9" i="4"/>
  <c r="Q8" i="4"/>
  <c r="E8" i="4"/>
  <c r="F8" i="4" s="1"/>
  <c r="A8" i="4"/>
  <c r="Q7" i="4"/>
  <c r="F7" i="4"/>
  <c r="E7" i="4"/>
  <c r="A7" i="4"/>
  <c r="Q6" i="4"/>
  <c r="E6" i="4"/>
  <c r="F6" i="4" s="1"/>
  <c r="A6" i="4"/>
  <c r="Q5" i="4"/>
  <c r="F5" i="4"/>
  <c r="E5" i="4"/>
  <c r="A5" i="4"/>
  <c r="Q4" i="4"/>
  <c r="E4" i="4"/>
  <c r="F4" i="4" s="1"/>
  <c r="A4" i="4"/>
  <c r="Q3" i="4"/>
  <c r="F3" i="4"/>
  <c r="E3" i="4"/>
  <c r="A3" i="4"/>
  <c r="Q2" i="4"/>
  <c r="E2" i="4"/>
  <c r="F2" i="4" s="1"/>
  <c r="A2" i="4"/>
  <c r="F1928" i="3"/>
  <c r="A1928" i="3"/>
  <c r="R1927" i="3"/>
  <c r="F1927" i="3"/>
  <c r="G1927" i="3" s="1"/>
  <c r="A1927" i="3"/>
  <c r="G1926" i="3"/>
  <c r="F1926" i="3"/>
  <c r="R1926" i="3" s="1"/>
  <c r="A1926" i="3"/>
  <c r="R1925" i="3"/>
  <c r="G1925" i="3"/>
  <c r="F1925" i="3"/>
  <c r="A1925" i="3"/>
  <c r="G1924" i="3"/>
  <c r="F1924" i="3"/>
  <c r="R1924" i="3" s="1"/>
  <c r="A1924" i="3"/>
  <c r="U1923" i="3"/>
  <c r="W1923" i="3" s="1"/>
  <c r="R1923" i="3"/>
  <c r="G1923" i="3"/>
  <c r="F1923" i="3"/>
  <c r="A1923" i="3"/>
  <c r="F1922" i="3"/>
  <c r="A1922" i="3"/>
  <c r="R1921" i="3"/>
  <c r="F1921" i="3"/>
  <c r="G1921" i="3" s="1"/>
  <c r="A1921" i="3"/>
  <c r="F1920" i="3"/>
  <c r="G1920" i="3" s="1"/>
  <c r="A1920" i="3"/>
  <c r="R1919" i="3"/>
  <c r="F1919" i="3"/>
  <c r="G1919" i="3" s="1"/>
  <c r="A1919" i="3"/>
  <c r="F1918" i="3"/>
  <c r="G1918" i="3" s="1"/>
  <c r="A1918" i="3"/>
  <c r="R1917" i="3"/>
  <c r="F1917" i="3"/>
  <c r="G1917" i="3" s="1"/>
  <c r="A1917" i="3"/>
  <c r="R1916" i="3"/>
  <c r="F1916" i="3"/>
  <c r="G1916" i="3" s="1"/>
  <c r="A1916" i="3"/>
  <c r="R1915" i="3"/>
  <c r="F1915" i="3"/>
  <c r="G1915" i="3" s="1"/>
  <c r="A1915" i="3"/>
  <c r="F1914" i="3"/>
  <c r="A1914" i="3"/>
  <c r="R1913" i="3"/>
  <c r="F1913" i="3"/>
  <c r="G1913" i="3" s="1"/>
  <c r="A1913" i="3"/>
  <c r="F1912" i="3"/>
  <c r="G1912" i="3" s="1"/>
  <c r="A1912" i="3"/>
  <c r="R1911" i="3"/>
  <c r="F1911" i="3"/>
  <c r="G1911" i="3" s="1"/>
  <c r="A1911" i="3"/>
  <c r="F1910" i="3"/>
  <c r="G1910" i="3" s="1"/>
  <c r="A1910" i="3"/>
  <c r="U1909" i="3"/>
  <c r="W1909" i="3" s="1"/>
  <c r="F1909" i="3"/>
  <c r="A1909" i="3"/>
  <c r="G1908" i="3"/>
  <c r="F1908" i="3"/>
  <c r="R1908" i="3" s="1"/>
  <c r="A1908" i="3"/>
  <c r="F1907" i="3"/>
  <c r="A1907" i="3"/>
  <c r="F1906" i="3"/>
  <c r="R1906" i="3" s="1"/>
  <c r="A1906" i="3"/>
  <c r="G1905" i="3"/>
  <c r="F1905" i="3"/>
  <c r="R1905" i="3" s="1"/>
  <c r="A1905" i="3"/>
  <c r="U1904" i="3"/>
  <c r="W1904" i="3" s="1"/>
  <c r="R1904" i="3"/>
  <c r="F1904" i="3"/>
  <c r="G1904" i="3" s="1"/>
  <c r="A1904" i="3"/>
  <c r="R1903" i="3"/>
  <c r="F1903" i="3"/>
  <c r="G1903" i="3" s="1"/>
  <c r="A1903" i="3"/>
  <c r="R1902" i="3"/>
  <c r="F1902" i="3"/>
  <c r="G1902" i="3" s="1"/>
  <c r="A1902" i="3"/>
  <c r="R1901" i="3"/>
  <c r="F1901" i="3"/>
  <c r="G1901" i="3" s="1"/>
  <c r="A1901" i="3"/>
  <c r="R1900" i="3"/>
  <c r="F1900" i="3"/>
  <c r="G1900" i="3" s="1"/>
  <c r="A1900" i="3"/>
  <c r="F1899" i="3"/>
  <c r="G1899" i="3" s="1"/>
  <c r="A1899" i="3"/>
  <c r="R1898" i="3"/>
  <c r="F1898" i="3"/>
  <c r="G1898" i="3" s="1"/>
  <c r="A1898" i="3"/>
  <c r="F1897" i="3"/>
  <c r="A1897" i="3"/>
  <c r="R1896" i="3"/>
  <c r="F1896" i="3"/>
  <c r="G1896" i="3" s="1"/>
  <c r="A1896" i="3"/>
  <c r="F1895" i="3"/>
  <c r="G1895" i="3" s="1"/>
  <c r="A1895" i="3"/>
  <c r="R1894" i="3"/>
  <c r="F1894" i="3"/>
  <c r="G1894" i="3" s="1"/>
  <c r="A1894" i="3"/>
  <c r="R1893" i="3"/>
  <c r="F1893" i="3"/>
  <c r="G1893" i="3" s="1"/>
  <c r="A1893" i="3"/>
  <c r="R1892" i="3"/>
  <c r="F1892" i="3"/>
  <c r="G1892" i="3" s="1"/>
  <c r="A1892" i="3"/>
  <c r="F1891" i="3"/>
  <c r="G1891" i="3" s="1"/>
  <c r="A1891" i="3"/>
  <c r="R1890" i="3"/>
  <c r="F1890" i="3"/>
  <c r="G1890" i="3" s="1"/>
  <c r="A1890" i="3"/>
  <c r="R1889" i="3"/>
  <c r="F1889" i="3"/>
  <c r="G1889" i="3" s="1"/>
  <c r="A1889" i="3"/>
  <c r="R1888" i="3"/>
  <c r="F1888" i="3"/>
  <c r="G1888" i="3" s="1"/>
  <c r="A1888" i="3"/>
  <c r="F1887" i="3"/>
  <c r="G1887" i="3" s="1"/>
  <c r="A1887" i="3"/>
  <c r="R1886" i="3"/>
  <c r="F1886" i="3"/>
  <c r="G1886" i="3" s="1"/>
  <c r="A1886" i="3"/>
  <c r="F1885" i="3"/>
  <c r="G1885" i="3" s="1"/>
  <c r="A1885" i="3"/>
  <c r="R1884" i="3"/>
  <c r="F1884" i="3"/>
  <c r="G1884" i="3" s="1"/>
  <c r="A1884" i="3"/>
  <c r="F1883" i="3"/>
  <c r="G1883" i="3" s="1"/>
  <c r="A1883" i="3"/>
  <c r="R1882" i="3"/>
  <c r="F1882" i="3"/>
  <c r="G1882" i="3" s="1"/>
  <c r="A1882" i="3"/>
  <c r="R1881" i="3"/>
  <c r="F1881" i="3"/>
  <c r="G1881" i="3" s="1"/>
  <c r="A1881" i="3"/>
  <c r="R1880" i="3"/>
  <c r="F1880" i="3"/>
  <c r="G1880" i="3" s="1"/>
  <c r="A1880" i="3"/>
  <c r="F1879" i="3"/>
  <c r="G1879" i="3" s="1"/>
  <c r="A1879" i="3"/>
  <c r="R1878" i="3"/>
  <c r="F1878" i="3"/>
  <c r="G1878" i="3" s="1"/>
  <c r="A1878" i="3"/>
  <c r="F1877" i="3"/>
  <c r="G1877" i="3" s="1"/>
  <c r="A1877" i="3"/>
  <c r="R1876" i="3"/>
  <c r="F1876" i="3"/>
  <c r="G1876" i="3" s="1"/>
  <c r="A1876" i="3"/>
  <c r="F1875" i="3"/>
  <c r="G1875" i="3" s="1"/>
  <c r="A1875" i="3"/>
  <c r="R1874" i="3"/>
  <c r="F1874" i="3"/>
  <c r="G1874" i="3" s="1"/>
  <c r="A1874" i="3"/>
  <c r="F1873" i="3"/>
  <c r="A1873" i="3"/>
  <c r="F1872" i="3"/>
  <c r="G1872" i="3" s="1"/>
  <c r="A1872" i="3"/>
  <c r="F1871" i="3"/>
  <c r="G1871" i="3" s="1"/>
  <c r="A1871" i="3"/>
  <c r="R1870" i="3"/>
  <c r="F1870" i="3"/>
  <c r="G1870" i="3" s="1"/>
  <c r="A1870" i="3"/>
  <c r="F1869" i="3"/>
  <c r="G1869" i="3" s="1"/>
  <c r="A1869" i="3"/>
  <c r="F1868" i="3"/>
  <c r="A1868" i="3"/>
  <c r="F1867" i="3"/>
  <c r="G1867" i="3" s="1"/>
  <c r="A1867" i="3"/>
  <c r="R1866" i="3"/>
  <c r="F1866" i="3"/>
  <c r="G1866" i="3" s="1"/>
  <c r="A1866" i="3"/>
  <c r="R1865" i="3"/>
  <c r="F1865" i="3"/>
  <c r="G1865" i="3" s="1"/>
  <c r="A1865" i="3"/>
  <c r="F1864" i="3"/>
  <c r="G1864" i="3" s="1"/>
  <c r="A1864" i="3"/>
  <c r="F1863" i="3"/>
  <c r="G1863" i="3" s="1"/>
  <c r="A1863" i="3"/>
  <c r="R1862" i="3"/>
  <c r="F1862" i="3"/>
  <c r="G1862" i="3" s="1"/>
  <c r="A1862" i="3"/>
  <c r="F1861" i="3"/>
  <c r="G1861" i="3" s="1"/>
  <c r="A1861" i="3"/>
  <c r="F1860" i="3"/>
  <c r="A1860" i="3"/>
  <c r="F1859" i="3"/>
  <c r="G1859" i="3" s="1"/>
  <c r="A1859" i="3"/>
  <c r="R1858" i="3"/>
  <c r="F1858" i="3"/>
  <c r="G1858" i="3" s="1"/>
  <c r="A1858" i="3"/>
  <c r="R1857" i="3"/>
  <c r="F1857" i="3"/>
  <c r="G1857" i="3" s="1"/>
  <c r="A1857" i="3"/>
  <c r="F1856" i="3"/>
  <c r="G1856" i="3" s="1"/>
  <c r="A1856" i="3"/>
  <c r="F1855" i="3"/>
  <c r="G1855" i="3" s="1"/>
  <c r="A1855" i="3"/>
  <c r="R1854" i="3"/>
  <c r="F1854" i="3"/>
  <c r="G1854" i="3" s="1"/>
  <c r="A1854" i="3"/>
  <c r="F1853" i="3"/>
  <c r="G1853" i="3" s="1"/>
  <c r="A1853" i="3"/>
  <c r="F1852" i="3"/>
  <c r="A1852" i="3"/>
  <c r="F1851" i="3"/>
  <c r="G1851" i="3" s="1"/>
  <c r="A1851" i="3"/>
  <c r="R1850" i="3"/>
  <c r="F1850" i="3"/>
  <c r="G1850" i="3" s="1"/>
  <c r="A1850" i="3"/>
  <c r="R1849" i="3"/>
  <c r="F1849" i="3"/>
  <c r="G1849" i="3" s="1"/>
  <c r="A1849" i="3"/>
  <c r="U1848" i="3"/>
  <c r="W1848" i="3" s="1"/>
  <c r="F1848" i="3"/>
  <c r="R1848" i="3" s="1"/>
  <c r="A1848" i="3"/>
  <c r="R1847" i="3"/>
  <c r="F1847" i="3"/>
  <c r="G1847" i="3" s="1"/>
  <c r="A1847" i="3"/>
  <c r="F1846" i="3"/>
  <c r="R1846" i="3" s="1"/>
  <c r="A1846" i="3"/>
  <c r="R1845" i="3"/>
  <c r="F1845" i="3"/>
  <c r="G1845" i="3" s="1"/>
  <c r="A1845" i="3"/>
  <c r="F1844" i="3"/>
  <c r="R1844" i="3" s="1"/>
  <c r="A1844" i="3"/>
  <c r="R1843" i="3"/>
  <c r="F1843" i="3"/>
  <c r="G1843" i="3" s="1"/>
  <c r="A1843" i="3"/>
  <c r="F1842" i="3"/>
  <c r="R1842" i="3" s="1"/>
  <c r="A1842" i="3"/>
  <c r="R1841" i="3"/>
  <c r="F1841" i="3"/>
  <c r="G1841" i="3" s="1"/>
  <c r="A1841" i="3"/>
  <c r="F1840" i="3"/>
  <c r="R1840" i="3" s="1"/>
  <c r="A1840" i="3"/>
  <c r="R1839" i="3"/>
  <c r="F1839" i="3"/>
  <c r="G1839" i="3" s="1"/>
  <c r="A1839" i="3"/>
  <c r="F1838" i="3"/>
  <c r="R1838" i="3" s="1"/>
  <c r="A1838" i="3"/>
  <c r="R1837" i="3"/>
  <c r="F1837" i="3"/>
  <c r="G1837" i="3" s="1"/>
  <c r="A1837" i="3"/>
  <c r="F1836" i="3"/>
  <c r="R1836" i="3" s="1"/>
  <c r="A1836" i="3"/>
  <c r="R1835" i="3"/>
  <c r="F1835" i="3"/>
  <c r="G1835" i="3" s="1"/>
  <c r="A1835" i="3"/>
  <c r="F1834" i="3"/>
  <c r="R1834" i="3" s="1"/>
  <c r="A1834" i="3"/>
  <c r="R1833" i="3"/>
  <c r="F1833" i="3"/>
  <c r="G1833" i="3" s="1"/>
  <c r="A1833" i="3"/>
  <c r="U1832" i="3"/>
  <c r="W1832" i="3" s="1"/>
  <c r="F1832" i="3"/>
  <c r="A1832" i="3"/>
  <c r="F1831" i="3"/>
  <c r="G1831" i="3" s="1"/>
  <c r="A1831" i="3"/>
  <c r="R1830" i="3"/>
  <c r="F1830" i="3"/>
  <c r="G1830" i="3" s="1"/>
  <c r="A1830" i="3"/>
  <c r="F1829" i="3"/>
  <c r="G1829" i="3" s="1"/>
  <c r="A1829" i="3"/>
  <c r="R1828" i="3"/>
  <c r="F1828" i="3"/>
  <c r="G1828" i="3" s="1"/>
  <c r="A1828" i="3"/>
  <c r="F1827" i="3"/>
  <c r="G1827" i="3" s="1"/>
  <c r="A1827" i="3"/>
  <c r="R1826" i="3"/>
  <c r="F1826" i="3"/>
  <c r="G1826" i="3" s="1"/>
  <c r="A1826" i="3"/>
  <c r="F1825" i="3"/>
  <c r="G1825" i="3" s="1"/>
  <c r="A1825" i="3"/>
  <c r="F1824" i="3"/>
  <c r="A1824" i="3"/>
  <c r="F1823" i="3"/>
  <c r="G1823" i="3" s="1"/>
  <c r="A1823" i="3"/>
  <c r="R1822" i="3"/>
  <c r="F1822" i="3"/>
  <c r="G1822" i="3" s="1"/>
  <c r="A1822" i="3"/>
  <c r="F1821" i="3"/>
  <c r="G1821" i="3" s="1"/>
  <c r="A1821" i="3"/>
  <c r="U1820" i="3"/>
  <c r="W1820" i="3" s="1"/>
  <c r="F1820" i="3"/>
  <c r="R1820" i="3" s="1"/>
  <c r="A1820" i="3"/>
  <c r="R1819" i="3"/>
  <c r="F1819" i="3"/>
  <c r="G1819" i="3" s="1"/>
  <c r="A1819" i="3"/>
  <c r="F1818" i="3"/>
  <c r="R1818" i="3" s="1"/>
  <c r="A1818" i="3"/>
  <c r="R1817" i="3"/>
  <c r="F1817" i="3"/>
  <c r="G1817" i="3" s="1"/>
  <c r="A1817" i="3"/>
  <c r="F1816" i="3"/>
  <c r="R1816" i="3" s="1"/>
  <c r="A1816" i="3"/>
  <c r="R1815" i="3"/>
  <c r="F1815" i="3"/>
  <c r="G1815" i="3" s="1"/>
  <c r="A1815" i="3"/>
  <c r="F1814" i="3"/>
  <c r="R1814" i="3" s="1"/>
  <c r="A1814" i="3"/>
  <c r="R1813" i="3"/>
  <c r="F1813" i="3"/>
  <c r="G1813" i="3" s="1"/>
  <c r="A1813" i="3"/>
  <c r="F1812" i="3"/>
  <c r="R1812" i="3" s="1"/>
  <c r="A1812" i="3"/>
  <c r="R1811" i="3"/>
  <c r="F1811" i="3"/>
  <c r="G1811" i="3" s="1"/>
  <c r="A1811" i="3"/>
  <c r="F1810" i="3"/>
  <c r="R1810" i="3" s="1"/>
  <c r="A1810" i="3"/>
  <c r="R1809" i="3"/>
  <c r="F1809" i="3"/>
  <c r="G1809" i="3" s="1"/>
  <c r="A1809" i="3"/>
  <c r="F1808" i="3"/>
  <c r="R1808" i="3" s="1"/>
  <c r="A1808" i="3"/>
  <c r="R1807" i="3"/>
  <c r="F1807" i="3"/>
  <c r="G1807" i="3" s="1"/>
  <c r="A1807" i="3"/>
  <c r="F1806" i="3"/>
  <c r="R1806" i="3" s="1"/>
  <c r="A1806" i="3"/>
  <c r="R1805" i="3"/>
  <c r="F1805" i="3"/>
  <c r="G1805" i="3" s="1"/>
  <c r="A1805" i="3"/>
  <c r="F1804" i="3"/>
  <c r="R1804" i="3" s="1"/>
  <c r="A1804" i="3"/>
  <c r="R1803" i="3"/>
  <c r="F1803" i="3"/>
  <c r="G1803" i="3" s="1"/>
  <c r="A1803" i="3"/>
  <c r="F1802" i="3"/>
  <c r="R1802" i="3" s="1"/>
  <c r="A1802" i="3"/>
  <c r="R1801" i="3"/>
  <c r="F1801" i="3"/>
  <c r="G1801" i="3" s="1"/>
  <c r="A1801" i="3"/>
  <c r="F1800" i="3"/>
  <c r="R1800" i="3" s="1"/>
  <c r="A1800" i="3"/>
  <c r="R1799" i="3"/>
  <c r="F1799" i="3"/>
  <c r="G1799" i="3" s="1"/>
  <c r="A1799" i="3"/>
  <c r="F1798" i="3"/>
  <c r="R1798" i="3" s="1"/>
  <c r="A1798" i="3"/>
  <c r="R1797" i="3"/>
  <c r="F1797" i="3"/>
  <c r="G1797" i="3" s="1"/>
  <c r="A1797" i="3"/>
  <c r="U1796" i="3"/>
  <c r="W1796" i="3" s="1"/>
  <c r="R1796" i="3"/>
  <c r="F1796" i="3"/>
  <c r="G1796" i="3" s="1"/>
  <c r="A1796" i="3"/>
  <c r="F1795" i="3"/>
  <c r="A1795" i="3"/>
  <c r="F1794" i="3"/>
  <c r="G1794" i="3" s="1"/>
  <c r="A1794" i="3"/>
  <c r="F1793" i="3"/>
  <c r="A1793" i="3"/>
  <c r="R1792" i="3"/>
  <c r="F1792" i="3"/>
  <c r="G1792" i="3" s="1"/>
  <c r="A1792" i="3"/>
  <c r="F1791" i="3"/>
  <c r="A1791" i="3"/>
  <c r="R1790" i="3"/>
  <c r="F1790" i="3"/>
  <c r="G1790" i="3" s="1"/>
  <c r="A1790" i="3"/>
  <c r="R1789" i="3"/>
  <c r="F1789" i="3"/>
  <c r="G1789" i="3" s="1"/>
  <c r="A1789" i="3"/>
  <c r="F1788" i="3"/>
  <c r="G1788" i="3" s="1"/>
  <c r="A1788" i="3"/>
  <c r="G1787" i="3"/>
  <c r="F1787" i="3"/>
  <c r="R1787" i="3" s="1"/>
  <c r="A1787" i="3"/>
  <c r="F1786" i="3"/>
  <c r="A1786" i="3"/>
  <c r="F1785" i="3"/>
  <c r="G1785" i="3" s="1"/>
  <c r="A1785" i="3"/>
  <c r="R1784" i="3"/>
  <c r="F1784" i="3"/>
  <c r="G1784" i="3" s="1"/>
  <c r="A1784" i="3"/>
  <c r="R1783" i="3"/>
  <c r="G1783" i="3"/>
  <c r="F1783" i="3"/>
  <c r="A1783" i="3"/>
  <c r="R1782" i="3"/>
  <c r="F1782" i="3"/>
  <c r="G1782" i="3" s="1"/>
  <c r="A1782" i="3"/>
  <c r="U1781" i="3"/>
  <c r="W1781" i="3" s="1"/>
  <c r="F1781" i="3"/>
  <c r="G1781" i="3" s="1"/>
  <c r="A1781" i="3"/>
  <c r="F1780" i="3"/>
  <c r="A1780" i="3"/>
  <c r="F1779" i="3"/>
  <c r="G1779" i="3" s="1"/>
  <c r="A1779" i="3"/>
  <c r="F1778" i="3"/>
  <c r="A1778" i="3"/>
  <c r="R1777" i="3"/>
  <c r="F1777" i="3"/>
  <c r="G1777" i="3" s="1"/>
  <c r="A1777" i="3"/>
  <c r="F1776" i="3"/>
  <c r="A1776" i="3"/>
  <c r="R1775" i="3"/>
  <c r="F1775" i="3"/>
  <c r="G1775" i="3" s="1"/>
  <c r="A1775" i="3"/>
  <c r="F1774" i="3"/>
  <c r="A1774" i="3"/>
  <c r="R1773" i="3"/>
  <c r="F1773" i="3"/>
  <c r="G1773" i="3" s="1"/>
  <c r="A1773" i="3"/>
  <c r="F1772" i="3"/>
  <c r="A1772" i="3"/>
  <c r="F1771" i="3"/>
  <c r="G1771" i="3" s="1"/>
  <c r="A1771" i="3"/>
  <c r="F1770" i="3"/>
  <c r="A1770" i="3"/>
  <c r="F1769" i="3"/>
  <c r="A1769" i="3"/>
  <c r="F1768" i="3"/>
  <c r="A1768" i="3"/>
  <c r="F1767" i="3"/>
  <c r="A1767" i="3"/>
  <c r="F1766" i="3"/>
  <c r="A1766" i="3"/>
  <c r="F1765" i="3"/>
  <c r="G1765" i="3" s="1"/>
  <c r="A1765" i="3"/>
  <c r="F1764" i="3"/>
  <c r="A1764" i="3"/>
  <c r="F1763" i="3"/>
  <c r="G1763" i="3" s="1"/>
  <c r="A1763" i="3"/>
  <c r="F1762" i="3"/>
  <c r="A1762" i="3"/>
  <c r="R1761" i="3"/>
  <c r="F1761" i="3"/>
  <c r="G1761" i="3" s="1"/>
  <c r="A1761" i="3"/>
  <c r="F1760" i="3"/>
  <c r="A1760" i="3"/>
  <c r="R1759" i="3"/>
  <c r="F1759" i="3"/>
  <c r="G1759" i="3" s="1"/>
  <c r="A1759" i="3"/>
  <c r="F1758" i="3"/>
  <c r="A1758" i="3"/>
  <c r="R1757" i="3"/>
  <c r="F1757" i="3"/>
  <c r="G1757" i="3" s="1"/>
  <c r="A1757" i="3"/>
  <c r="F1756" i="3"/>
  <c r="A1756" i="3"/>
  <c r="F1755" i="3"/>
  <c r="G1755" i="3" s="1"/>
  <c r="A1755" i="3"/>
  <c r="F1754" i="3"/>
  <c r="A1754" i="3"/>
  <c r="F1753" i="3"/>
  <c r="A1753" i="3"/>
  <c r="F1752" i="3"/>
  <c r="A1752" i="3"/>
  <c r="F1751" i="3"/>
  <c r="A1751" i="3"/>
  <c r="F1750" i="3"/>
  <c r="A1750" i="3"/>
  <c r="F1749" i="3"/>
  <c r="G1749" i="3" s="1"/>
  <c r="A1749" i="3"/>
  <c r="F1748" i="3"/>
  <c r="A1748" i="3"/>
  <c r="F1747" i="3"/>
  <c r="G1747" i="3" s="1"/>
  <c r="A1747" i="3"/>
  <c r="F1746" i="3"/>
  <c r="A1746" i="3"/>
  <c r="R1745" i="3"/>
  <c r="F1745" i="3"/>
  <c r="G1745" i="3" s="1"/>
  <c r="A1745" i="3"/>
  <c r="F1744" i="3"/>
  <c r="A1744" i="3"/>
  <c r="R1743" i="3"/>
  <c r="F1743" i="3"/>
  <c r="G1743" i="3" s="1"/>
  <c r="A1743" i="3"/>
  <c r="F1742" i="3"/>
  <c r="A1742" i="3"/>
  <c r="R1741" i="3"/>
  <c r="F1741" i="3"/>
  <c r="G1741" i="3" s="1"/>
  <c r="A1741" i="3"/>
  <c r="F1740" i="3"/>
  <c r="A1740" i="3"/>
  <c r="F1739" i="3"/>
  <c r="G1739" i="3" s="1"/>
  <c r="A1739" i="3"/>
  <c r="F1738" i="3"/>
  <c r="A1738" i="3"/>
  <c r="F1737" i="3"/>
  <c r="A1737" i="3"/>
  <c r="F1736" i="3"/>
  <c r="A1736" i="3"/>
  <c r="F1735" i="3"/>
  <c r="A1735" i="3"/>
  <c r="F1734" i="3"/>
  <c r="A1734" i="3"/>
  <c r="F1733" i="3"/>
  <c r="G1733" i="3" s="1"/>
  <c r="A1733" i="3"/>
  <c r="F1732" i="3"/>
  <c r="A1732" i="3"/>
  <c r="F1731" i="3"/>
  <c r="G1731" i="3" s="1"/>
  <c r="A1731" i="3"/>
  <c r="F1730" i="3"/>
  <c r="A1730" i="3"/>
  <c r="R1729" i="3"/>
  <c r="F1729" i="3"/>
  <c r="G1729" i="3" s="1"/>
  <c r="A1729" i="3"/>
  <c r="F1728" i="3"/>
  <c r="A1728" i="3"/>
  <c r="R1727" i="3"/>
  <c r="F1727" i="3"/>
  <c r="G1727" i="3" s="1"/>
  <c r="A1727" i="3"/>
  <c r="F1726" i="3"/>
  <c r="A1726" i="3"/>
  <c r="R1725" i="3"/>
  <c r="F1725" i="3"/>
  <c r="G1725" i="3" s="1"/>
  <c r="A1725" i="3"/>
  <c r="F1724" i="3"/>
  <c r="A1724" i="3"/>
  <c r="F1723" i="3"/>
  <c r="G1723" i="3" s="1"/>
  <c r="A1723" i="3"/>
  <c r="F1722" i="3"/>
  <c r="A1722" i="3"/>
  <c r="F1721" i="3"/>
  <c r="A1721" i="3"/>
  <c r="F1720" i="3"/>
  <c r="A1720" i="3"/>
  <c r="F1719" i="3"/>
  <c r="A1719" i="3"/>
  <c r="F1718" i="3"/>
  <c r="A1718" i="3"/>
  <c r="F1717" i="3"/>
  <c r="G1717" i="3" s="1"/>
  <c r="A1717" i="3"/>
  <c r="F1716" i="3"/>
  <c r="A1716" i="3"/>
  <c r="F1715" i="3"/>
  <c r="G1715" i="3" s="1"/>
  <c r="A1715" i="3"/>
  <c r="F1714" i="3"/>
  <c r="A1714" i="3"/>
  <c r="R1713" i="3"/>
  <c r="F1713" i="3"/>
  <c r="G1713" i="3" s="1"/>
  <c r="A1713" i="3"/>
  <c r="F1712" i="3"/>
  <c r="A1712" i="3"/>
  <c r="R1711" i="3"/>
  <c r="F1711" i="3"/>
  <c r="G1711" i="3" s="1"/>
  <c r="A1711" i="3"/>
  <c r="F1710" i="3"/>
  <c r="A1710" i="3"/>
  <c r="R1709" i="3"/>
  <c r="F1709" i="3"/>
  <c r="G1709" i="3" s="1"/>
  <c r="A1709" i="3"/>
  <c r="F1708" i="3"/>
  <c r="A1708" i="3"/>
  <c r="F1707" i="3"/>
  <c r="G1707" i="3" s="1"/>
  <c r="A1707" i="3"/>
  <c r="U1706" i="3"/>
  <c r="W1706" i="3" s="1"/>
  <c r="R1706" i="3"/>
  <c r="G1706" i="3"/>
  <c r="F1706" i="3"/>
  <c r="A1706" i="3"/>
  <c r="R1705" i="3"/>
  <c r="G1705" i="3"/>
  <c r="F1705" i="3"/>
  <c r="A1705" i="3"/>
  <c r="R1704" i="3"/>
  <c r="G1704" i="3"/>
  <c r="F1704" i="3"/>
  <c r="A1704" i="3"/>
  <c r="R1703" i="3"/>
  <c r="G1703" i="3"/>
  <c r="F1703" i="3"/>
  <c r="A1703" i="3"/>
  <c r="G1702" i="3"/>
  <c r="F1702" i="3"/>
  <c r="R1702" i="3" s="1"/>
  <c r="A1702" i="3"/>
  <c r="R1701" i="3"/>
  <c r="G1701" i="3"/>
  <c r="F1701" i="3"/>
  <c r="A1701" i="3"/>
  <c r="G1700" i="3"/>
  <c r="F1700" i="3"/>
  <c r="R1700" i="3" s="1"/>
  <c r="A1700" i="3"/>
  <c r="R1699" i="3"/>
  <c r="G1699" i="3"/>
  <c r="F1699" i="3"/>
  <c r="A1699" i="3"/>
  <c r="G1698" i="3"/>
  <c r="F1698" i="3"/>
  <c r="R1698" i="3" s="1"/>
  <c r="A1698" i="3"/>
  <c r="R1697" i="3"/>
  <c r="G1697" i="3"/>
  <c r="F1697" i="3"/>
  <c r="A1697" i="3"/>
  <c r="G1696" i="3"/>
  <c r="F1696" i="3"/>
  <c r="R1696" i="3" s="1"/>
  <c r="A1696" i="3"/>
  <c r="R1695" i="3"/>
  <c r="G1695" i="3"/>
  <c r="F1695" i="3"/>
  <c r="A1695" i="3"/>
  <c r="U1694" i="3"/>
  <c r="W1694" i="3" s="1"/>
  <c r="R1694" i="3"/>
  <c r="F1694" i="3"/>
  <c r="G1694" i="3" s="1"/>
  <c r="A1694" i="3"/>
  <c r="F1693" i="3"/>
  <c r="A1693" i="3"/>
  <c r="F1692" i="3"/>
  <c r="G1692" i="3" s="1"/>
  <c r="A1692" i="3"/>
  <c r="F1691" i="3"/>
  <c r="A1691" i="3"/>
  <c r="R1690" i="3"/>
  <c r="F1690" i="3"/>
  <c r="G1690" i="3" s="1"/>
  <c r="A1690" i="3"/>
  <c r="U1689" i="3"/>
  <c r="W1689" i="3" s="1"/>
  <c r="R1689" i="3"/>
  <c r="G1689" i="3"/>
  <c r="F1689" i="3"/>
  <c r="A1689" i="3"/>
  <c r="R1688" i="3"/>
  <c r="G1688" i="3"/>
  <c r="F1688" i="3"/>
  <c r="A1688" i="3"/>
  <c r="R1687" i="3"/>
  <c r="G1687" i="3"/>
  <c r="F1687" i="3"/>
  <c r="A1687" i="3"/>
  <c r="R1686" i="3"/>
  <c r="G1686" i="3"/>
  <c r="F1686" i="3"/>
  <c r="A1686" i="3"/>
  <c r="R1685" i="3"/>
  <c r="G1685" i="3"/>
  <c r="F1685" i="3"/>
  <c r="A1685" i="3"/>
  <c r="R1684" i="3"/>
  <c r="G1684" i="3"/>
  <c r="F1684" i="3"/>
  <c r="A1684" i="3"/>
  <c r="R1683" i="3"/>
  <c r="G1683" i="3"/>
  <c r="F1683" i="3"/>
  <c r="A1683" i="3"/>
  <c r="R1682" i="3"/>
  <c r="G1682" i="3"/>
  <c r="F1682" i="3"/>
  <c r="A1682" i="3"/>
  <c r="R1681" i="3"/>
  <c r="F1681" i="3"/>
  <c r="G1681" i="3" s="1"/>
  <c r="A1681" i="3"/>
  <c r="R1680" i="3"/>
  <c r="G1680" i="3"/>
  <c r="F1680" i="3"/>
  <c r="A1680" i="3"/>
  <c r="R1679" i="3"/>
  <c r="F1679" i="3"/>
  <c r="G1679" i="3" s="1"/>
  <c r="A1679" i="3"/>
  <c r="R1678" i="3"/>
  <c r="G1678" i="3"/>
  <c r="F1678" i="3"/>
  <c r="A1678" i="3"/>
  <c r="R1677" i="3"/>
  <c r="F1677" i="3"/>
  <c r="G1677" i="3" s="1"/>
  <c r="A1677" i="3"/>
  <c r="R1676" i="3"/>
  <c r="G1676" i="3"/>
  <c r="F1676" i="3"/>
  <c r="A1676" i="3"/>
  <c r="R1675" i="3"/>
  <c r="F1675" i="3"/>
  <c r="G1675" i="3" s="1"/>
  <c r="A1675" i="3"/>
  <c r="R1674" i="3"/>
  <c r="G1674" i="3"/>
  <c r="F1674" i="3"/>
  <c r="A1674" i="3"/>
  <c r="R1673" i="3"/>
  <c r="F1673" i="3"/>
  <c r="G1673" i="3" s="1"/>
  <c r="A1673" i="3"/>
  <c r="R1672" i="3"/>
  <c r="G1672" i="3"/>
  <c r="F1672" i="3"/>
  <c r="A1672" i="3"/>
  <c r="U1671" i="3"/>
  <c r="W1671" i="3" s="1"/>
  <c r="R1671" i="3"/>
  <c r="F1671" i="3"/>
  <c r="G1671" i="3" s="1"/>
  <c r="A1671" i="3"/>
  <c r="R1670" i="3"/>
  <c r="F1670" i="3"/>
  <c r="G1670" i="3" s="1"/>
  <c r="A1670" i="3"/>
  <c r="R1669" i="3"/>
  <c r="F1669" i="3"/>
  <c r="G1669" i="3" s="1"/>
  <c r="A1669" i="3"/>
  <c r="R1668" i="3"/>
  <c r="F1668" i="3"/>
  <c r="G1668" i="3" s="1"/>
  <c r="A1668" i="3"/>
  <c r="F1667" i="3"/>
  <c r="G1667" i="3" s="1"/>
  <c r="A1667" i="3"/>
  <c r="F1666" i="3"/>
  <c r="G1666" i="3" s="1"/>
  <c r="A1666" i="3"/>
  <c r="F1665" i="3"/>
  <c r="A1665" i="3"/>
  <c r="F1664" i="3"/>
  <c r="A1664" i="3"/>
  <c r="R1663" i="3"/>
  <c r="F1663" i="3"/>
  <c r="G1663" i="3" s="1"/>
  <c r="A1663" i="3"/>
  <c r="R1662" i="3"/>
  <c r="F1662" i="3"/>
  <c r="G1662" i="3" s="1"/>
  <c r="A1662" i="3"/>
  <c r="R1661" i="3"/>
  <c r="F1661" i="3"/>
  <c r="G1661" i="3" s="1"/>
  <c r="A1661" i="3"/>
  <c r="R1660" i="3"/>
  <c r="F1660" i="3"/>
  <c r="G1660" i="3" s="1"/>
  <c r="A1660" i="3"/>
  <c r="F1659" i="3"/>
  <c r="G1659" i="3" s="1"/>
  <c r="A1659" i="3"/>
  <c r="F1658" i="3"/>
  <c r="G1658" i="3" s="1"/>
  <c r="A1658" i="3"/>
  <c r="F1657" i="3"/>
  <c r="A1657" i="3"/>
  <c r="F1656" i="3"/>
  <c r="A1656" i="3"/>
  <c r="R1655" i="3"/>
  <c r="F1655" i="3"/>
  <c r="G1655" i="3" s="1"/>
  <c r="A1655" i="3"/>
  <c r="R1654" i="3"/>
  <c r="F1654" i="3"/>
  <c r="G1654" i="3" s="1"/>
  <c r="A1654" i="3"/>
  <c r="R1653" i="3"/>
  <c r="F1653" i="3"/>
  <c r="G1653" i="3" s="1"/>
  <c r="A1653" i="3"/>
  <c r="R1652" i="3"/>
  <c r="F1652" i="3"/>
  <c r="G1652" i="3" s="1"/>
  <c r="A1652" i="3"/>
  <c r="F1651" i="3"/>
  <c r="G1651" i="3" s="1"/>
  <c r="A1651" i="3"/>
  <c r="F1650" i="3"/>
  <c r="G1650" i="3" s="1"/>
  <c r="A1650" i="3"/>
  <c r="F1649" i="3"/>
  <c r="A1649" i="3"/>
  <c r="F1648" i="3"/>
  <c r="A1648" i="3"/>
  <c r="R1647" i="3"/>
  <c r="F1647" i="3"/>
  <c r="G1647" i="3" s="1"/>
  <c r="A1647" i="3"/>
  <c r="R1646" i="3"/>
  <c r="F1646" i="3"/>
  <c r="G1646" i="3" s="1"/>
  <c r="A1646" i="3"/>
  <c r="R1645" i="3"/>
  <c r="F1645" i="3"/>
  <c r="G1645" i="3" s="1"/>
  <c r="A1645" i="3"/>
  <c r="R1644" i="3"/>
  <c r="F1644" i="3"/>
  <c r="G1644" i="3" s="1"/>
  <c r="A1644" i="3"/>
  <c r="F1643" i="3"/>
  <c r="G1643" i="3" s="1"/>
  <c r="A1643" i="3"/>
  <c r="F1642" i="3"/>
  <c r="G1642" i="3" s="1"/>
  <c r="A1642" i="3"/>
  <c r="F1641" i="3"/>
  <c r="A1641" i="3"/>
  <c r="F1640" i="3"/>
  <c r="A1640" i="3"/>
  <c r="R1639" i="3"/>
  <c r="F1639" i="3"/>
  <c r="G1639" i="3" s="1"/>
  <c r="A1639" i="3"/>
  <c r="R1638" i="3"/>
  <c r="F1638" i="3"/>
  <c r="G1638" i="3" s="1"/>
  <c r="A1638" i="3"/>
  <c r="R1637" i="3"/>
  <c r="F1637" i="3"/>
  <c r="G1637" i="3" s="1"/>
  <c r="A1637" i="3"/>
  <c r="F1636" i="3"/>
  <c r="A1636" i="3"/>
  <c r="F1635" i="3"/>
  <c r="A1635" i="3"/>
  <c r="R1634" i="3"/>
  <c r="G1634" i="3"/>
  <c r="F1634" i="3"/>
  <c r="A1634" i="3"/>
  <c r="F1633" i="3"/>
  <c r="G1633" i="3" s="1"/>
  <c r="A1633" i="3"/>
  <c r="R1632" i="3"/>
  <c r="G1632" i="3"/>
  <c r="F1632" i="3"/>
  <c r="A1632" i="3"/>
  <c r="R1631" i="3"/>
  <c r="F1631" i="3"/>
  <c r="G1631" i="3" s="1"/>
  <c r="A1631" i="3"/>
  <c r="R1630" i="3"/>
  <c r="F1630" i="3"/>
  <c r="G1630" i="3" s="1"/>
  <c r="A1630" i="3"/>
  <c r="F1629" i="3"/>
  <c r="A1629" i="3"/>
  <c r="G1628" i="3"/>
  <c r="F1628" i="3"/>
  <c r="R1628" i="3" s="1"/>
  <c r="A1628" i="3"/>
  <c r="R1627" i="3"/>
  <c r="F1627" i="3"/>
  <c r="G1627" i="3" s="1"/>
  <c r="A1627" i="3"/>
  <c r="F1626" i="3"/>
  <c r="A1626" i="3"/>
  <c r="R1625" i="3"/>
  <c r="F1625" i="3"/>
  <c r="G1625" i="3" s="1"/>
  <c r="A1625" i="3"/>
  <c r="R1624" i="3"/>
  <c r="F1624" i="3"/>
  <c r="G1624" i="3" s="1"/>
  <c r="A1624" i="3"/>
  <c r="F1623" i="3"/>
  <c r="G1623" i="3" s="1"/>
  <c r="A1623" i="3"/>
  <c r="R1622" i="3"/>
  <c r="G1622" i="3"/>
  <c r="F1622" i="3"/>
  <c r="A1622" i="3"/>
  <c r="R1621" i="3"/>
  <c r="F1621" i="3"/>
  <c r="G1621" i="3" s="1"/>
  <c r="A1621" i="3"/>
  <c r="F1620" i="3"/>
  <c r="A1620" i="3"/>
  <c r="F1619" i="3"/>
  <c r="A1619" i="3"/>
  <c r="R1618" i="3"/>
  <c r="G1618" i="3"/>
  <c r="F1618" i="3"/>
  <c r="A1618" i="3"/>
  <c r="F1617" i="3"/>
  <c r="G1617" i="3" s="1"/>
  <c r="A1617" i="3"/>
  <c r="R1616" i="3"/>
  <c r="G1616" i="3"/>
  <c r="F1616" i="3"/>
  <c r="A1616" i="3"/>
  <c r="R1615" i="3"/>
  <c r="F1615" i="3"/>
  <c r="G1615" i="3" s="1"/>
  <c r="A1615" i="3"/>
  <c r="U1614" i="3"/>
  <c r="W1614" i="3" s="1"/>
  <c r="R1614" i="3"/>
  <c r="G1614" i="3"/>
  <c r="F1614" i="3"/>
  <c r="A1614" i="3"/>
  <c r="F1613" i="3"/>
  <c r="A1613" i="3"/>
  <c r="R1612" i="3"/>
  <c r="G1612" i="3"/>
  <c r="F1612" i="3"/>
  <c r="A1612" i="3"/>
  <c r="F1611" i="3"/>
  <c r="A1611" i="3"/>
  <c r="R1610" i="3"/>
  <c r="F1610" i="3"/>
  <c r="G1610" i="3" s="1"/>
  <c r="A1610" i="3"/>
  <c r="F1609" i="3"/>
  <c r="A1609" i="3"/>
  <c r="R1608" i="3"/>
  <c r="F1608" i="3"/>
  <c r="G1608" i="3" s="1"/>
  <c r="A1608" i="3"/>
  <c r="F1607" i="3"/>
  <c r="A1607" i="3"/>
  <c r="R1606" i="3"/>
  <c r="F1606" i="3"/>
  <c r="G1606" i="3" s="1"/>
  <c r="A1606" i="3"/>
  <c r="F1605" i="3"/>
  <c r="A1605" i="3"/>
  <c r="R1604" i="3"/>
  <c r="F1604" i="3"/>
  <c r="G1604" i="3" s="1"/>
  <c r="A1604" i="3"/>
  <c r="F1603" i="3"/>
  <c r="A1603" i="3"/>
  <c r="R1602" i="3"/>
  <c r="F1602" i="3"/>
  <c r="G1602" i="3" s="1"/>
  <c r="A1602" i="3"/>
  <c r="F1601" i="3"/>
  <c r="A1601" i="3"/>
  <c r="F1600" i="3"/>
  <c r="R1600" i="3" s="1"/>
  <c r="A1600" i="3"/>
  <c r="F1599" i="3"/>
  <c r="A1599" i="3"/>
  <c r="F1598" i="3"/>
  <c r="R1598" i="3" s="1"/>
  <c r="A1598" i="3"/>
  <c r="F1597" i="3"/>
  <c r="A1597" i="3"/>
  <c r="F1596" i="3"/>
  <c r="R1596" i="3" s="1"/>
  <c r="A1596" i="3"/>
  <c r="F1595" i="3"/>
  <c r="A1595" i="3"/>
  <c r="F1594" i="3"/>
  <c r="R1594" i="3" s="1"/>
  <c r="A1594" i="3"/>
  <c r="F1593" i="3"/>
  <c r="A1593" i="3"/>
  <c r="F1592" i="3"/>
  <c r="R1592" i="3" s="1"/>
  <c r="A1592" i="3"/>
  <c r="F1591" i="3"/>
  <c r="A1591" i="3"/>
  <c r="F1590" i="3"/>
  <c r="R1590" i="3" s="1"/>
  <c r="A1590" i="3"/>
  <c r="F1589" i="3"/>
  <c r="A1589" i="3"/>
  <c r="F1588" i="3"/>
  <c r="R1588" i="3" s="1"/>
  <c r="A1588" i="3"/>
  <c r="F1587" i="3"/>
  <c r="A1587" i="3"/>
  <c r="F1586" i="3"/>
  <c r="R1586" i="3" s="1"/>
  <c r="A1586" i="3"/>
  <c r="F1585" i="3"/>
  <c r="A1585" i="3"/>
  <c r="F1584" i="3"/>
  <c r="R1584" i="3" s="1"/>
  <c r="A1584" i="3"/>
  <c r="F1583" i="3"/>
  <c r="A1583" i="3"/>
  <c r="F1582" i="3"/>
  <c r="R1582" i="3" s="1"/>
  <c r="A1582" i="3"/>
  <c r="F1581" i="3"/>
  <c r="A1581" i="3"/>
  <c r="F1580" i="3"/>
  <c r="R1580" i="3" s="1"/>
  <c r="A1580" i="3"/>
  <c r="F1579" i="3"/>
  <c r="A1579" i="3"/>
  <c r="F1578" i="3"/>
  <c r="R1578" i="3" s="1"/>
  <c r="A1578" i="3"/>
  <c r="F1577" i="3"/>
  <c r="A1577" i="3"/>
  <c r="F1576" i="3"/>
  <c r="R1576" i="3" s="1"/>
  <c r="A1576" i="3"/>
  <c r="F1575" i="3"/>
  <c r="A1575" i="3"/>
  <c r="F1574" i="3"/>
  <c r="R1574" i="3" s="1"/>
  <c r="A1574" i="3"/>
  <c r="F1573" i="3"/>
  <c r="A1573" i="3"/>
  <c r="F1572" i="3"/>
  <c r="R1572" i="3" s="1"/>
  <c r="A1572" i="3"/>
  <c r="F1571" i="3"/>
  <c r="A1571" i="3"/>
  <c r="U1570" i="3"/>
  <c r="W1570" i="3" s="1"/>
  <c r="R1570" i="3"/>
  <c r="G1570" i="3"/>
  <c r="F1570" i="3"/>
  <c r="A1570" i="3"/>
  <c r="R1569" i="3"/>
  <c r="G1569" i="3"/>
  <c r="F1569" i="3"/>
  <c r="A1569" i="3"/>
  <c r="R1568" i="3"/>
  <c r="G1568" i="3"/>
  <c r="F1568" i="3"/>
  <c r="A1568" i="3"/>
  <c r="R1567" i="3"/>
  <c r="G1567" i="3"/>
  <c r="F1567" i="3"/>
  <c r="A1567" i="3"/>
  <c r="R1566" i="3"/>
  <c r="G1566" i="3"/>
  <c r="F1566" i="3"/>
  <c r="A1566" i="3"/>
  <c r="R1565" i="3"/>
  <c r="G1565" i="3"/>
  <c r="F1565" i="3"/>
  <c r="A1565" i="3"/>
  <c r="R1564" i="3"/>
  <c r="G1564" i="3"/>
  <c r="F1564" i="3"/>
  <c r="A1564" i="3"/>
  <c r="R1563" i="3"/>
  <c r="G1563" i="3"/>
  <c r="F1563" i="3"/>
  <c r="A1563" i="3"/>
  <c r="R1562" i="3"/>
  <c r="G1562" i="3"/>
  <c r="F1562" i="3"/>
  <c r="A1562" i="3"/>
  <c r="R1561" i="3"/>
  <c r="G1561" i="3"/>
  <c r="F1561" i="3"/>
  <c r="A1561" i="3"/>
  <c r="R1560" i="3"/>
  <c r="G1560" i="3"/>
  <c r="F1560" i="3"/>
  <c r="A1560" i="3"/>
  <c r="R1559" i="3"/>
  <c r="G1559" i="3"/>
  <c r="F1559" i="3"/>
  <c r="A1559" i="3"/>
  <c r="R1558" i="3"/>
  <c r="G1558" i="3"/>
  <c r="F1558" i="3"/>
  <c r="A1558" i="3"/>
  <c r="R1557" i="3"/>
  <c r="G1557" i="3"/>
  <c r="F1557" i="3"/>
  <c r="A1557" i="3"/>
  <c r="R1556" i="3"/>
  <c r="G1556" i="3"/>
  <c r="F1556" i="3"/>
  <c r="A1556" i="3"/>
  <c r="R1555" i="3"/>
  <c r="G1555" i="3"/>
  <c r="F1555" i="3"/>
  <c r="A1555" i="3"/>
  <c r="R1554" i="3"/>
  <c r="G1554" i="3"/>
  <c r="F1554" i="3"/>
  <c r="A1554" i="3"/>
  <c r="R1553" i="3"/>
  <c r="G1553" i="3"/>
  <c r="F1553" i="3"/>
  <c r="A1553" i="3"/>
  <c r="R1552" i="3"/>
  <c r="G1552" i="3"/>
  <c r="F1552" i="3"/>
  <c r="A1552" i="3"/>
  <c r="R1551" i="3"/>
  <c r="G1551" i="3"/>
  <c r="F1551" i="3"/>
  <c r="A1551" i="3"/>
  <c r="R1550" i="3"/>
  <c r="G1550" i="3"/>
  <c r="F1550" i="3"/>
  <c r="A1550" i="3"/>
  <c r="R1549" i="3"/>
  <c r="G1549" i="3"/>
  <c r="F1549" i="3"/>
  <c r="A1549" i="3"/>
  <c r="R1548" i="3"/>
  <c r="G1548" i="3"/>
  <c r="F1548" i="3"/>
  <c r="A1548" i="3"/>
  <c r="R1547" i="3"/>
  <c r="G1547" i="3"/>
  <c r="F1547" i="3"/>
  <c r="A1547" i="3"/>
  <c r="R1546" i="3"/>
  <c r="G1546" i="3"/>
  <c r="F1546" i="3"/>
  <c r="A1546" i="3"/>
  <c r="R1545" i="3"/>
  <c r="G1545" i="3"/>
  <c r="F1545" i="3"/>
  <c r="A1545" i="3"/>
  <c r="R1544" i="3"/>
  <c r="G1544" i="3"/>
  <c r="F1544" i="3"/>
  <c r="A1544" i="3"/>
  <c r="R1543" i="3"/>
  <c r="G1543" i="3"/>
  <c r="F1543" i="3"/>
  <c r="A1543" i="3"/>
  <c r="R1542" i="3"/>
  <c r="G1542" i="3"/>
  <c r="F1542" i="3"/>
  <c r="A1542" i="3"/>
  <c r="R1541" i="3"/>
  <c r="G1541" i="3"/>
  <c r="F1541" i="3"/>
  <c r="A1541" i="3"/>
  <c r="R1540" i="3"/>
  <c r="G1540" i="3"/>
  <c r="F1540" i="3"/>
  <c r="A1540" i="3"/>
  <c r="R1539" i="3"/>
  <c r="G1539" i="3"/>
  <c r="F1539" i="3"/>
  <c r="A1539" i="3"/>
  <c r="R1538" i="3"/>
  <c r="G1538" i="3"/>
  <c r="F1538" i="3"/>
  <c r="A1538" i="3"/>
  <c r="R1537" i="3"/>
  <c r="G1537" i="3"/>
  <c r="F1537" i="3"/>
  <c r="A1537" i="3"/>
  <c r="R1536" i="3"/>
  <c r="G1536" i="3"/>
  <c r="F1536" i="3"/>
  <c r="A1536" i="3"/>
  <c r="R1535" i="3"/>
  <c r="G1535" i="3"/>
  <c r="F1535" i="3"/>
  <c r="A1535" i="3"/>
  <c r="R1534" i="3"/>
  <c r="G1534" i="3"/>
  <c r="F1534" i="3"/>
  <c r="A1534" i="3"/>
  <c r="R1533" i="3"/>
  <c r="F1533" i="3"/>
  <c r="G1533" i="3" s="1"/>
  <c r="A1533" i="3"/>
  <c r="R1532" i="3"/>
  <c r="G1532" i="3"/>
  <c r="F1532" i="3"/>
  <c r="A1532" i="3"/>
  <c r="R1531" i="3"/>
  <c r="F1531" i="3"/>
  <c r="G1531" i="3" s="1"/>
  <c r="A1531" i="3"/>
  <c r="R1530" i="3"/>
  <c r="G1530" i="3"/>
  <c r="F1530" i="3"/>
  <c r="A1530" i="3"/>
  <c r="R1529" i="3"/>
  <c r="F1529" i="3"/>
  <c r="G1529" i="3" s="1"/>
  <c r="A1529" i="3"/>
  <c r="R1528" i="3"/>
  <c r="G1528" i="3"/>
  <c r="F1528" i="3"/>
  <c r="A1528" i="3"/>
  <c r="R1527" i="3"/>
  <c r="F1527" i="3"/>
  <c r="G1527" i="3" s="1"/>
  <c r="A1527" i="3"/>
  <c r="G1526" i="3"/>
  <c r="F1526" i="3"/>
  <c r="R1526" i="3" s="1"/>
  <c r="A1526" i="3"/>
  <c r="R1525" i="3"/>
  <c r="F1525" i="3"/>
  <c r="G1525" i="3" s="1"/>
  <c r="A1525" i="3"/>
  <c r="G1524" i="3"/>
  <c r="F1524" i="3"/>
  <c r="R1524" i="3" s="1"/>
  <c r="A1524" i="3"/>
  <c r="R1523" i="3"/>
  <c r="F1523" i="3"/>
  <c r="G1523" i="3" s="1"/>
  <c r="A1523" i="3"/>
  <c r="G1522" i="3"/>
  <c r="F1522" i="3"/>
  <c r="R1522" i="3" s="1"/>
  <c r="A1522" i="3"/>
  <c r="R1521" i="3"/>
  <c r="F1521" i="3"/>
  <c r="G1521" i="3" s="1"/>
  <c r="A1521" i="3"/>
  <c r="G1520" i="3"/>
  <c r="F1520" i="3"/>
  <c r="R1520" i="3" s="1"/>
  <c r="A1520" i="3"/>
  <c r="R1519" i="3"/>
  <c r="F1519" i="3"/>
  <c r="G1519" i="3" s="1"/>
  <c r="A1519" i="3"/>
  <c r="G1518" i="3"/>
  <c r="F1518" i="3"/>
  <c r="R1518" i="3" s="1"/>
  <c r="A1518" i="3"/>
  <c r="R1517" i="3"/>
  <c r="F1517" i="3"/>
  <c r="G1517" i="3" s="1"/>
  <c r="A1517" i="3"/>
  <c r="G1516" i="3"/>
  <c r="F1516" i="3"/>
  <c r="R1516" i="3" s="1"/>
  <c r="A1516" i="3"/>
  <c r="R1515" i="3"/>
  <c r="F1515" i="3"/>
  <c r="G1515" i="3" s="1"/>
  <c r="A1515" i="3"/>
  <c r="G1514" i="3"/>
  <c r="F1514" i="3"/>
  <c r="R1514" i="3" s="1"/>
  <c r="A1514" i="3"/>
  <c r="R1513" i="3"/>
  <c r="F1513" i="3"/>
  <c r="G1513" i="3" s="1"/>
  <c r="A1513" i="3"/>
  <c r="G1512" i="3"/>
  <c r="F1512" i="3"/>
  <c r="R1512" i="3" s="1"/>
  <c r="A1512" i="3"/>
  <c r="R1511" i="3"/>
  <c r="F1511" i="3"/>
  <c r="G1511" i="3" s="1"/>
  <c r="A1511" i="3"/>
  <c r="G1510" i="3"/>
  <c r="F1510" i="3"/>
  <c r="R1510" i="3" s="1"/>
  <c r="A1510" i="3"/>
  <c r="R1509" i="3"/>
  <c r="F1509" i="3"/>
  <c r="G1509" i="3" s="1"/>
  <c r="A1509" i="3"/>
  <c r="G1508" i="3"/>
  <c r="F1508" i="3"/>
  <c r="R1508" i="3" s="1"/>
  <c r="A1508" i="3"/>
  <c r="R1507" i="3"/>
  <c r="F1507" i="3"/>
  <c r="G1507" i="3" s="1"/>
  <c r="A1507" i="3"/>
  <c r="G1506" i="3"/>
  <c r="F1506" i="3"/>
  <c r="R1506" i="3" s="1"/>
  <c r="A1506" i="3"/>
  <c r="R1505" i="3"/>
  <c r="F1505" i="3"/>
  <c r="G1505" i="3" s="1"/>
  <c r="A1505" i="3"/>
  <c r="G1504" i="3"/>
  <c r="F1504" i="3"/>
  <c r="R1504" i="3" s="1"/>
  <c r="A1504" i="3"/>
  <c r="R1503" i="3"/>
  <c r="F1503" i="3"/>
  <c r="G1503" i="3" s="1"/>
  <c r="A1503" i="3"/>
  <c r="G1502" i="3"/>
  <c r="F1502" i="3"/>
  <c r="R1502" i="3" s="1"/>
  <c r="A1502" i="3"/>
  <c r="R1501" i="3"/>
  <c r="F1501" i="3"/>
  <c r="G1501" i="3" s="1"/>
  <c r="A1501" i="3"/>
  <c r="G1500" i="3"/>
  <c r="F1500" i="3"/>
  <c r="R1500" i="3" s="1"/>
  <c r="A1500" i="3"/>
  <c r="R1499" i="3"/>
  <c r="F1499" i="3"/>
  <c r="G1499" i="3" s="1"/>
  <c r="A1499" i="3"/>
  <c r="G1498" i="3"/>
  <c r="F1498" i="3"/>
  <c r="R1498" i="3" s="1"/>
  <c r="A1498" i="3"/>
  <c r="R1497" i="3"/>
  <c r="F1497" i="3"/>
  <c r="G1497" i="3" s="1"/>
  <c r="A1497" i="3"/>
  <c r="G1496" i="3"/>
  <c r="F1496" i="3"/>
  <c r="R1496" i="3" s="1"/>
  <c r="A1496" i="3"/>
  <c r="R1495" i="3"/>
  <c r="F1495" i="3"/>
  <c r="G1495" i="3" s="1"/>
  <c r="A1495" i="3"/>
  <c r="U1494" i="3"/>
  <c r="W1494" i="3" s="1"/>
  <c r="F1494" i="3"/>
  <c r="A1494" i="3"/>
  <c r="R1493" i="3"/>
  <c r="G1493" i="3"/>
  <c r="F1493" i="3"/>
  <c r="A1493" i="3"/>
  <c r="F1492" i="3"/>
  <c r="A1492" i="3"/>
  <c r="U1491" i="3"/>
  <c r="W1491" i="3" s="1"/>
  <c r="G1491" i="3"/>
  <c r="F1491" i="3"/>
  <c r="R1491" i="3" s="1"/>
  <c r="A1491" i="3"/>
  <c r="R1490" i="3"/>
  <c r="F1490" i="3"/>
  <c r="G1490" i="3" s="1"/>
  <c r="A1490" i="3"/>
  <c r="G1489" i="3"/>
  <c r="F1489" i="3"/>
  <c r="R1489" i="3" s="1"/>
  <c r="A1489" i="3"/>
  <c r="R1488" i="3"/>
  <c r="F1488" i="3"/>
  <c r="G1488" i="3" s="1"/>
  <c r="A1488" i="3"/>
  <c r="G1487" i="3"/>
  <c r="F1487" i="3"/>
  <c r="R1487" i="3" s="1"/>
  <c r="A1487" i="3"/>
  <c r="R1486" i="3"/>
  <c r="F1486" i="3"/>
  <c r="G1486" i="3" s="1"/>
  <c r="A1486" i="3"/>
  <c r="G1485" i="3"/>
  <c r="F1485" i="3"/>
  <c r="R1485" i="3" s="1"/>
  <c r="A1485" i="3"/>
  <c r="R1484" i="3"/>
  <c r="F1484" i="3"/>
  <c r="G1484" i="3" s="1"/>
  <c r="A1484" i="3"/>
  <c r="G1483" i="3"/>
  <c r="F1483" i="3"/>
  <c r="R1483" i="3" s="1"/>
  <c r="A1483" i="3"/>
  <c r="U1482" i="3"/>
  <c r="W1482" i="3" s="1"/>
  <c r="R1482" i="3"/>
  <c r="G1482" i="3"/>
  <c r="F1482" i="3"/>
  <c r="A1482" i="3"/>
  <c r="F1481" i="3"/>
  <c r="A1481" i="3"/>
  <c r="R1480" i="3"/>
  <c r="G1480" i="3"/>
  <c r="F1480" i="3"/>
  <c r="A1480" i="3"/>
  <c r="F1479" i="3"/>
  <c r="A1479" i="3"/>
  <c r="R1478" i="3"/>
  <c r="G1478" i="3"/>
  <c r="F1478" i="3"/>
  <c r="A1478" i="3"/>
  <c r="F1477" i="3"/>
  <c r="A1477" i="3"/>
  <c r="R1476" i="3"/>
  <c r="G1476" i="3"/>
  <c r="F1476" i="3"/>
  <c r="A1476" i="3"/>
  <c r="F1475" i="3"/>
  <c r="A1475" i="3"/>
  <c r="R1474" i="3"/>
  <c r="G1474" i="3"/>
  <c r="F1474" i="3"/>
  <c r="A1474" i="3"/>
  <c r="F1473" i="3"/>
  <c r="A1473" i="3"/>
  <c r="R1472" i="3"/>
  <c r="G1472" i="3"/>
  <c r="F1472" i="3"/>
  <c r="A1472" i="3"/>
  <c r="U1471" i="3"/>
  <c r="W1471" i="3" s="1"/>
  <c r="R1471" i="3"/>
  <c r="F1471" i="3"/>
  <c r="G1471" i="3" s="1"/>
  <c r="A1471" i="3"/>
  <c r="G1470" i="3"/>
  <c r="F1470" i="3"/>
  <c r="R1470" i="3" s="1"/>
  <c r="A1470" i="3"/>
  <c r="R1469" i="3"/>
  <c r="F1469" i="3"/>
  <c r="G1469" i="3" s="1"/>
  <c r="A1469" i="3"/>
  <c r="G1468" i="3"/>
  <c r="F1468" i="3"/>
  <c r="R1468" i="3" s="1"/>
  <c r="A1468" i="3"/>
  <c r="R1467" i="3"/>
  <c r="F1467" i="3"/>
  <c r="G1467" i="3" s="1"/>
  <c r="A1467" i="3"/>
  <c r="G1466" i="3"/>
  <c r="F1466" i="3"/>
  <c r="R1466" i="3" s="1"/>
  <c r="A1466" i="3"/>
  <c r="R1465" i="3"/>
  <c r="F1465" i="3"/>
  <c r="G1465" i="3" s="1"/>
  <c r="A1465" i="3"/>
  <c r="G1464" i="3"/>
  <c r="F1464" i="3"/>
  <c r="R1464" i="3" s="1"/>
  <c r="A1464" i="3"/>
  <c r="R1463" i="3"/>
  <c r="F1463" i="3"/>
  <c r="G1463" i="3" s="1"/>
  <c r="A1463" i="3"/>
  <c r="G1462" i="3"/>
  <c r="F1462" i="3"/>
  <c r="R1462" i="3" s="1"/>
  <c r="A1462" i="3"/>
  <c r="R1461" i="3"/>
  <c r="F1461" i="3"/>
  <c r="G1461" i="3" s="1"/>
  <c r="A1461" i="3"/>
  <c r="G1460" i="3"/>
  <c r="F1460" i="3"/>
  <c r="R1460" i="3" s="1"/>
  <c r="A1460" i="3"/>
  <c r="R1459" i="3"/>
  <c r="F1459" i="3"/>
  <c r="G1459" i="3" s="1"/>
  <c r="A1459" i="3"/>
  <c r="G1458" i="3"/>
  <c r="F1458" i="3"/>
  <c r="R1458" i="3" s="1"/>
  <c r="A1458" i="3"/>
  <c r="R1457" i="3"/>
  <c r="F1457" i="3"/>
  <c r="G1457" i="3" s="1"/>
  <c r="A1457" i="3"/>
  <c r="G1456" i="3"/>
  <c r="F1456" i="3"/>
  <c r="R1456" i="3" s="1"/>
  <c r="A1456" i="3"/>
  <c r="F1455" i="3"/>
  <c r="G1455" i="3" s="1"/>
  <c r="A1455" i="3"/>
  <c r="G1454" i="3"/>
  <c r="F1454" i="3"/>
  <c r="R1454" i="3" s="1"/>
  <c r="A1454" i="3"/>
  <c r="R1453" i="3"/>
  <c r="F1453" i="3"/>
  <c r="G1453" i="3" s="1"/>
  <c r="A1453" i="3"/>
  <c r="G1452" i="3"/>
  <c r="F1452" i="3"/>
  <c r="R1452" i="3" s="1"/>
  <c r="A1452" i="3"/>
  <c r="F1451" i="3"/>
  <c r="G1451" i="3" s="1"/>
  <c r="A1451" i="3"/>
  <c r="G1450" i="3"/>
  <c r="F1450" i="3"/>
  <c r="R1450" i="3" s="1"/>
  <c r="A1450" i="3"/>
  <c r="R1449" i="3"/>
  <c r="F1449" i="3"/>
  <c r="G1449" i="3" s="1"/>
  <c r="A1449" i="3"/>
  <c r="G1448" i="3"/>
  <c r="F1448" i="3"/>
  <c r="R1448" i="3" s="1"/>
  <c r="A1448" i="3"/>
  <c r="F1447" i="3"/>
  <c r="G1447" i="3" s="1"/>
  <c r="A1447" i="3"/>
  <c r="G1446" i="3"/>
  <c r="F1446" i="3"/>
  <c r="R1446" i="3" s="1"/>
  <c r="A1446" i="3"/>
  <c r="R1445" i="3"/>
  <c r="F1445" i="3"/>
  <c r="G1445" i="3" s="1"/>
  <c r="A1445" i="3"/>
  <c r="G1444" i="3"/>
  <c r="F1444" i="3"/>
  <c r="R1444" i="3" s="1"/>
  <c r="A1444" i="3"/>
  <c r="F1443" i="3"/>
  <c r="G1443" i="3" s="1"/>
  <c r="A1443" i="3"/>
  <c r="G1442" i="3"/>
  <c r="F1442" i="3"/>
  <c r="R1442" i="3" s="1"/>
  <c r="A1442" i="3"/>
  <c r="F1441" i="3"/>
  <c r="G1441" i="3" s="1"/>
  <c r="A1441" i="3"/>
  <c r="F1440" i="3"/>
  <c r="R1440" i="3" s="1"/>
  <c r="A1440" i="3"/>
  <c r="F1439" i="3"/>
  <c r="G1439" i="3" s="1"/>
  <c r="A1439" i="3"/>
  <c r="F1438" i="3"/>
  <c r="R1438" i="3" s="1"/>
  <c r="A1438" i="3"/>
  <c r="R1437" i="3"/>
  <c r="F1437" i="3"/>
  <c r="G1437" i="3" s="1"/>
  <c r="A1437" i="3"/>
  <c r="G1436" i="3"/>
  <c r="F1436" i="3"/>
  <c r="R1436" i="3" s="1"/>
  <c r="A1436" i="3"/>
  <c r="F1435" i="3"/>
  <c r="G1435" i="3" s="1"/>
  <c r="A1435" i="3"/>
  <c r="F1434" i="3"/>
  <c r="R1434" i="3" s="1"/>
  <c r="A1434" i="3"/>
  <c r="F1433" i="3"/>
  <c r="G1433" i="3" s="1"/>
  <c r="A1433" i="3"/>
  <c r="F1432" i="3"/>
  <c r="R1432" i="3" s="1"/>
  <c r="A1432" i="3"/>
  <c r="F1431" i="3"/>
  <c r="G1431" i="3" s="1"/>
  <c r="A1431" i="3"/>
  <c r="F1430" i="3"/>
  <c r="R1430" i="3" s="1"/>
  <c r="A1430" i="3"/>
  <c r="R1429" i="3"/>
  <c r="F1429" i="3"/>
  <c r="G1429" i="3" s="1"/>
  <c r="A1429" i="3"/>
  <c r="G1428" i="3"/>
  <c r="F1428" i="3"/>
  <c r="R1428" i="3" s="1"/>
  <c r="A1428" i="3"/>
  <c r="F1427" i="3"/>
  <c r="G1427" i="3" s="1"/>
  <c r="A1427" i="3"/>
  <c r="F1426" i="3"/>
  <c r="R1426" i="3" s="1"/>
  <c r="A1426" i="3"/>
  <c r="F1425" i="3"/>
  <c r="G1425" i="3" s="1"/>
  <c r="A1425" i="3"/>
  <c r="F1424" i="3"/>
  <c r="R1424" i="3" s="1"/>
  <c r="A1424" i="3"/>
  <c r="F1423" i="3"/>
  <c r="G1423" i="3" s="1"/>
  <c r="A1423" i="3"/>
  <c r="F1422" i="3"/>
  <c r="R1422" i="3" s="1"/>
  <c r="A1422" i="3"/>
  <c r="R1421" i="3"/>
  <c r="F1421" i="3"/>
  <c r="G1421" i="3" s="1"/>
  <c r="A1421" i="3"/>
  <c r="G1420" i="3"/>
  <c r="F1420" i="3"/>
  <c r="R1420" i="3" s="1"/>
  <c r="A1420" i="3"/>
  <c r="F1419" i="3"/>
  <c r="G1419" i="3" s="1"/>
  <c r="A1419" i="3"/>
  <c r="F1418" i="3"/>
  <c r="R1418" i="3" s="1"/>
  <c r="A1418" i="3"/>
  <c r="F1417" i="3"/>
  <c r="G1417" i="3" s="1"/>
  <c r="A1417" i="3"/>
  <c r="F1416" i="3"/>
  <c r="R1416" i="3" s="1"/>
  <c r="A1416" i="3"/>
  <c r="F1415" i="3"/>
  <c r="G1415" i="3" s="1"/>
  <c r="A1415" i="3"/>
  <c r="F1414" i="3"/>
  <c r="R1414" i="3" s="1"/>
  <c r="A1414" i="3"/>
  <c r="R1413" i="3"/>
  <c r="F1413" i="3"/>
  <c r="G1413" i="3" s="1"/>
  <c r="A1413" i="3"/>
  <c r="G1412" i="3"/>
  <c r="F1412" i="3"/>
  <c r="R1412" i="3" s="1"/>
  <c r="A1412" i="3"/>
  <c r="U1411" i="3"/>
  <c r="W1411" i="3" s="1"/>
  <c r="R1411" i="3"/>
  <c r="G1411" i="3"/>
  <c r="F1411" i="3"/>
  <c r="A1411" i="3"/>
  <c r="F1410" i="3"/>
  <c r="R1410" i="3" s="1"/>
  <c r="A1410" i="3"/>
  <c r="R1409" i="3"/>
  <c r="G1409" i="3"/>
  <c r="F1409" i="3"/>
  <c r="A1409" i="3"/>
  <c r="F1408" i="3"/>
  <c r="R1408" i="3" s="1"/>
  <c r="A1408" i="3"/>
  <c r="R1407" i="3"/>
  <c r="G1407" i="3"/>
  <c r="F1407" i="3"/>
  <c r="A1407" i="3"/>
  <c r="F1406" i="3"/>
  <c r="R1406" i="3" s="1"/>
  <c r="A1406" i="3"/>
  <c r="R1405" i="3"/>
  <c r="G1405" i="3"/>
  <c r="F1405" i="3"/>
  <c r="A1405" i="3"/>
  <c r="F1404" i="3"/>
  <c r="R1404" i="3" s="1"/>
  <c r="A1404" i="3"/>
  <c r="R1403" i="3"/>
  <c r="G1403" i="3"/>
  <c r="F1403" i="3"/>
  <c r="A1403" i="3"/>
  <c r="F1402" i="3"/>
  <c r="R1402" i="3" s="1"/>
  <c r="A1402" i="3"/>
  <c r="R1401" i="3"/>
  <c r="G1401" i="3"/>
  <c r="F1401" i="3"/>
  <c r="A1401" i="3"/>
  <c r="F1400" i="3"/>
  <c r="R1400" i="3" s="1"/>
  <c r="A1400" i="3"/>
  <c r="R1399" i="3"/>
  <c r="G1399" i="3"/>
  <c r="F1399" i="3"/>
  <c r="A1399" i="3"/>
  <c r="F1398" i="3"/>
  <c r="R1398" i="3" s="1"/>
  <c r="A1398" i="3"/>
  <c r="R1397" i="3"/>
  <c r="G1397" i="3"/>
  <c r="F1397" i="3"/>
  <c r="A1397" i="3"/>
  <c r="F1396" i="3"/>
  <c r="R1396" i="3" s="1"/>
  <c r="A1396" i="3"/>
  <c r="R1395" i="3"/>
  <c r="G1395" i="3"/>
  <c r="F1395" i="3"/>
  <c r="A1395" i="3"/>
  <c r="F1394" i="3"/>
  <c r="R1394" i="3" s="1"/>
  <c r="A1394" i="3"/>
  <c r="U1393" i="3"/>
  <c r="W1393" i="3" s="1"/>
  <c r="F1393" i="3"/>
  <c r="R1393" i="3" s="1"/>
  <c r="A1393" i="3"/>
  <c r="F1392" i="3"/>
  <c r="G1392" i="3" s="1"/>
  <c r="A1392" i="3"/>
  <c r="G1391" i="3"/>
  <c r="F1391" i="3"/>
  <c r="R1391" i="3" s="1"/>
  <c r="A1391" i="3"/>
  <c r="R1390" i="3"/>
  <c r="F1390" i="3"/>
  <c r="G1390" i="3" s="1"/>
  <c r="A1390" i="3"/>
  <c r="G1389" i="3"/>
  <c r="F1389" i="3"/>
  <c r="R1389" i="3" s="1"/>
  <c r="A1389" i="3"/>
  <c r="F1388" i="3"/>
  <c r="G1388" i="3" s="1"/>
  <c r="A1388" i="3"/>
  <c r="U1387" i="3"/>
  <c r="W1387" i="3" s="1"/>
  <c r="G1387" i="3"/>
  <c r="F1387" i="3"/>
  <c r="R1387" i="3" s="1"/>
  <c r="A1387" i="3"/>
  <c r="R1386" i="3"/>
  <c r="G1386" i="3"/>
  <c r="F1386" i="3"/>
  <c r="A1386" i="3"/>
  <c r="G1385" i="3"/>
  <c r="F1385" i="3"/>
  <c r="R1385" i="3" s="1"/>
  <c r="A1385" i="3"/>
  <c r="R1384" i="3"/>
  <c r="G1384" i="3"/>
  <c r="F1384" i="3"/>
  <c r="A1384" i="3"/>
  <c r="G1383" i="3"/>
  <c r="F1383" i="3"/>
  <c r="R1383" i="3" s="1"/>
  <c r="A1383" i="3"/>
  <c r="R1382" i="3"/>
  <c r="G1382" i="3"/>
  <c r="F1382" i="3"/>
  <c r="A1382" i="3"/>
  <c r="G1381" i="3"/>
  <c r="F1381" i="3"/>
  <c r="R1381" i="3" s="1"/>
  <c r="A1381" i="3"/>
  <c r="R1380" i="3"/>
  <c r="G1380" i="3"/>
  <c r="F1380" i="3"/>
  <c r="A1380" i="3"/>
  <c r="G1379" i="3"/>
  <c r="F1379" i="3"/>
  <c r="R1379" i="3" s="1"/>
  <c r="A1379" i="3"/>
  <c r="R1378" i="3"/>
  <c r="G1378" i="3"/>
  <c r="F1378" i="3"/>
  <c r="A1378" i="3"/>
  <c r="G1377" i="3"/>
  <c r="F1377" i="3"/>
  <c r="R1377" i="3" s="1"/>
  <c r="A1377" i="3"/>
  <c r="R1376" i="3"/>
  <c r="G1376" i="3"/>
  <c r="F1376" i="3"/>
  <c r="A1376" i="3"/>
  <c r="G1375" i="3"/>
  <c r="F1375" i="3"/>
  <c r="R1375" i="3" s="1"/>
  <c r="A1375" i="3"/>
  <c r="R1374" i="3"/>
  <c r="G1374" i="3"/>
  <c r="F1374" i="3"/>
  <c r="A1374" i="3"/>
  <c r="F1373" i="3"/>
  <c r="R1373" i="3" s="1"/>
  <c r="A1373" i="3"/>
  <c r="R1372" i="3"/>
  <c r="G1372" i="3"/>
  <c r="F1372" i="3"/>
  <c r="A1372" i="3"/>
  <c r="F1371" i="3"/>
  <c r="R1371" i="3" s="1"/>
  <c r="A1371" i="3"/>
  <c r="R1370" i="3"/>
  <c r="G1370" i="3"/>
  <c r="F1370" i="3"/>
  <c r="A1370" i="3"/>
  <c r="F1369" i="3"/>
  <c r="R1369" i="3" s="1"/>
  <c r="A1369" i="3"/>
  <c r="R1368" i="3"/>
  <c r="G1368" i="3"/>
  <c r="F1368" i="3"/>
  <c r="A1368" i="3"/>
  <c r="F1367" i="3"/>
  <c r="R1367" i="3" s="1"/>
  <c r="A1367" i="3"/>
  <c r="R1366" i="3"/>
  <c r="G1366" i="3"/>
  <c r="F1366" i="3"/>
  <c r="A1366" i="3"/>
  <c r="F1365" i="3"/>
  <c r="R1365" i="3" s="1"/>
  <c r="A1365" i="3"/>
  <c r="R1364" i="3"/>
  <c r="G1364" i="3"/>
  <c r="F1364" i="3"/>
  <c r="A1364" i="3"/>
  <c r="F1363" i="3"/>
  <c r="R1363" i="3" s="1"/>
  <c r="A1363" i="3"/>
  <c r="R1362" i="3"/>
  <c r="G1362" i="3"/>
  <c r="F1362" i="3"/>
  <c r="A1362" i="3"/>
  <c r="F1361" i="3"/>
  <c r="R1361" i="3" s="1"/>
  <c r="A1361" i="3"/>
  <c r="R1360" i="3"/>
  <c r="G1360" i="3"/>
  <c r="F1360" i="3"/>
  <c r="A1360" i="3"/>
  <c r="U1359" i="3"/>
  <c r="W1359" i="3" s="1"/>
  <c r="F1359" i="3"/>
  <c r="G1359" i="3" s="1"/>
  <c r="A1359" i="3"/>
  <c r="F1358" i="3"/>
  <c r="R1358" i="3" s="1"/>
  <c r="A1358" i="3"/>
  <c r="F1357" i="3"/>
  <c r="G1357" i="3" s="1"/>
  <c r="A1357" i="3"/>
  <c r="G1356" i="3"/>
  <c r="F1356" i="3"/>
  <c r="R1356" i="3" s="1"/>
  <c r="A1356" i="3"/>
  <c r="R1355" i="3"/>
  <c r="F1355" i="3"/>
  <c r="G1355" i="3" s="1"/>
  <c r="A1355" i="3"/>
  <c r="F1354" i="3"/>
  <c r="R1354" i="3" s="1"/>
  <c r="A1354" i="3"/>
  <c r="F1353" i="3"/>
  <c r="G1353" i="3" s="1"/>
  <c r="A1353" i="3"/>
  <c r="G1352" i="3"/>
  <c r="F1352" i="3"/>
  <c r="R1352" i="3" s="1"/>
  <c r="A1352" i="3"/>
  <c r="F1351" i="3"/>
  <c r="G1351" i="3" s="1"/>
  <c r="A1351" i="3"/>
  <c r="F1350" i="3"/>
  <c r="R1350" i="3" s="1"/>
  <c r="A1350" i="3"/>
  <c r="F1349" i="3"/>
  <c r="G1349" i="3" s="1"/>
  <c r="A1349" i="3"/>
  <c r="G1348" i="3"/>
  <c r="F1348" i="3"/>
  <c r="R1348" i="3" s="1"/>
  <c r="A1348" i="3"/>
  <c r="R1347" i="3"/>
  <c r="F1347" i="3"/>
  <c r="G1347" i="3" s="1"/>
  <c r="A1347" i="3"/>
  <c r="F1346" i="3"/>
  <c r="R1346" i="3" s="1"/>
  <c r="A1346" i="3"/>
  <c r="F1345" i="3"/>
  <c r="R1345" i="3" s="1"/>
  <c r="A1345" i="3"/>
  <c r="F1344" i="3"/>
  <c r="R1344" i="3" s="1"/>
  <c r="A1344" i="3"/>
  <c r="R1343" i="3"/>
  <c r="F1343" i="3"/>
  <c r="G1343" i="3" s="1"/>
  <c r="A1343" i="3"/>
  <c r="G1342" i="3"/>
  <c r="F1342" i="3"/>
  <c r="R1342" i="3" s="1"/>
  <c r="A1342" i="3"/>
  <c r="R1341" i="3"/>
  <c r="G1341" i="3"/>
  <c r="F1341" i="3"/>
  <c r="A1341" i="3"/>
  <c r="G1340" i="3"/>
  <c r="F1340" i="3"/>
  <c r="R1340" i="3" s="1"/>
  <c r="A1340" i="3"/>
  <c r="U1339" i="3"/>
  <c r="W1339" i="3" s="1"/>
  <c r="R1339" i="3"/>
  <c r="G1339" i="3"/>
  <c r="F1339" i="3"/>
  <c r="A1339" i="3"/>
  <c r="R1338" i="3"/>
  <c r="F1338" i="3"/>
  <c r="G1338" i="3" s="1"/>
  <c r="A1338" i="3"/>
  <c r="R1337" i="3"/>
  <c r="G1337" i="3"/>
  <c r="F1337" i="3"/>
  <c r="A1337" i="3"/>
  <c r="R1336" i="3"/>
  <c r="F1336" i="3"/>
  <c r="G1336" i="3" s="1"/>
  <c r="A1336" i="3"/>
  <c r="R1335" i="3"/>
  <c r="G1335" i="3"/>
  <c r="F1335" i="3"/>
  <c r="A1335" i="3"/>
  <c r="F1334" i="3"/>
  <c r="R1334" i="3" s="1"/>
  <c r="A1334" i="3"/>
  <c r="R1333" i="3"/>
  <c r="F1333" i="3"/>
  <c r="G1333" i="3" s="1"/>
  <c r="A1333" i="3"/>
  <c r="F1332" i="3"/>
  <c r="R1332" i="3" s="1"/>
  <c r="A1332" i="3"/>
  <c r="R1331" i="3"/>
  <c r="F1331" i="3"/>
  <c r="G1331" i="3" s="1"/>
  <c r="A1331" i="3"/>
  <c r="F1330" i="3"/>
  <c r="R1330" i="3" s="1"/>
  <c r="A1330" i="3"/>
  <c r="R1329" i="3"/>
  <c r="F1329" i="3"/>
  <c r="G1329" i="3" s="1"/>
  <c r="A1329" i="3"/>
  <c r="F1328" i="3"/>
  <c r="R1328" i="3" s="1"/>
  <c r="A1328" i="3"/>
  <c r="R1327" i="3"/>
  <c r="F1327" i="3"/>
  <c r="G1327" i="3" s="1"/>
  <c r="A1327" i="3"/>
  <c r="F1326" i="3"/>
  <c r="R1326" i="3" s="1"/>
  <c r="A1326" i="3"/>
  <c r="R1325" i="3"/>
  <c r="F1325" i="3"/>
  <c r="G1325" i="3" s="1"/>
  <c r="A1325" i="3"/>
  <c r="F1324" i="3"/>
  <c r="R1324" i="3" s="1"/>
  <c r="A1324" i="3"/>
  <c r="R1323" i="3"/>
  <c r="F1323" i="3"/>
  <c r="G1323" i="3" s="1"/>
  <c r="A1323" i="3"/>
  <c r="F1322" i="3"/>
  <c r="R1322" i="3" s="1"/>
  <c r="A1322" i="3"/>
  <c r="R1321" i="3"/>
  <c r="F1321" i="3"/>
  <c r="G1321" i="3" s="1"/>
  <c r="A1321" i="3"/>
  <c r="F1320" i="3"/>
  <c r="R1320" i="3" s="1"/>
  <c r="A1320" i="3"/>
  <c r="R1319" i="3"/>
  <c r="F1319" i="3"/>
  <c r="G1319" i="3" s="1"/>
  <c r="A1319" i="3"/>
  <c r="U1318" i="3"/>
  <c r="W1318" i="3" s="1"/>
  <c r="F1318" i="3"/>
  <c r="R1318" i="3" s="1"/>
  <c r="A1318" i="3"/>
  <c r="R1317" i="3"/>
  <c r="G1317" i="3"/>
  <c r="F1317" i="3"/>
  <c r="A1317" i="3"/>
  <c r="F1316" i="3"/>
  <c r="R1316" i="3" s="1"/>
  <c r="A1316" i="3"/>
  <c r="R1315" i="3"/>
  <c r="G1315" i="3"/>
  <c r="F1315" i="3"/>
  <c r="A1315" i="3"/>
  <c r="F1314" i="3"/>
  <c r="R1314" i="3" s="1"/>
  <c r="A1314" i="3"/>
  <c r="R1313" i="3"/>
  <c r="G1313" i="3"/>
  <c r="F1313" i="3"/>
  <c r="A1313" i="3"/>
  <c r="F1312" i="3"/>
  <c r="R1312" i="3" s="1"/>
  <c r="A1312" i="3"/>
  <c r="R1311" i="3"/>
  <c r="G1311" i="3"/>
  <c r="F1311" i="3"/>
  <c r="A1311" i="3"/>
  <c r="F1310" i="3"/>
  <c r="R1310" i="3" s="1"/>
  <c r="A1310" i="3"/>
  <c r="R1309" i="3"/>
  <c r="G1309" i="3"/>
  <c r="F1309" i="3"/>
  <c r="A1309" i="3"/>
  <c r="F1308" i="3"/>
  <c r="R1308" i="3" s="1"/>
  <c r="A1308" i="3"/>
  <c r="G1307" i="3"/>
  <c r="F1307" i="3"/>
  <c r="R1307" i="3" s="1"/>
  <c r="A1307" i="3"/>
  <c r="F1306" i="3"/>
  <c r="R1306" i="3" s="1"/>
  <c r="A1306" i="3"/>
  <c r="G1305" i="3"/>
  <c r="F1305" i="3"/>
  <c r="R1305" i="3" s="1"/>
  <c r="A1305" i="3"/>
  <c r="F1304" i="3"/>
  <c r="R1304" i="3" s="1"/>
  <c r="A1304" i="3"/>
  <c r="G1303" i="3"/>
  <c r="F1303" i="3"/>
  <c r="R1303" i="3" s="1"/>
  <c r="A1303" i="3"/>
  <c r="F1302" i="3"/>
  <c r="R1302" i="3" s="1"/>
  <c r="A1302" i="3"/>
  <c r="G1301" i="3"/>
  <c r="F1301" i="3"/>
  <c r="R1301" i="3" s="1"/>
  <c r="A1301" i="3"/>
  <c r="F1300" i="3"/>
  <c r="R1300" i="3" s="1"/>
  <c r="A1300" i="3"/>
  <c r="G1299" i="3"/>
  <c r="F1299" i="3"/>
  <c r="R1299" i="3" s="1"/>
  <c r="A1299" i="3"/>
  <c r="F1298" i="3"/>
  <c r="R1298" i="3" s="1"/>
  <c r="A1298" i="3"/>
  <c r="G1297" i="3"/>
  <c r="F1297" i="3"/>
  <c r="R1297" i="3" s="1"/>
  <c r="A1297" i="3"/>
  <c r="F1296" i="3"/>
  <c r="R1296" i="3" s="1"/>
  <c r="A1296" i="3"/>
  <c r="G1295" i="3"/>
  <c r="F1295" i="3"/>
  <c r="R1295" i="3" s="1"/>
  <c r="A1295" i="3"/>
  <c r="F1294" i="3"/>
  <c r="R1294" i="3" s="1"/>
  <c r="A1294" i="3"/>
  <c r="U1293" i="3"/>
  <c r="W1293" i="3" s="1"/>
  <c r="R1293" i="3"/>
  <c r="F1293" i="3"/>
  <c r="G1293" i="3" s="1"/>
  <c r="A1293" i="3"/>
  <c r="R1292" i="3"/>
  <c r="F1292" i="3"/>
  <c r="G1292" i="3" s="1"/>
  <c r="A1292" i="3"/>
  <c r="R1291" i="3"/>
  <c r="F1291" i="3"/>
  <c r="G1291" i="3" s="1"/>
  <c r="A1291" i="3"/>
  <c r="R1290" i="3"/>
  <c r="F1290" i="3"/>
  <c r="G1290" i="3" s="1"/>
  <c r="A1290" i="3"/>
  <c r="R1289" i="3"/>
  <c r="F1289" i="3"/>
  <c r="G1289" i="3" s="1"/>
  <c r="A1289" i="3"/>
  <c r="R1288" i="3"/>
  <c r="F1288" i="3"/>
  <c r="G1288" i="3" s="1"/>
  <c r="A1288" i="3"/>
  <c r="R1287" i="3"/>
  <c r="F1287" i="3"/>
  <c r="G1287" i="3" s="1"/>
  <c r="A1287" i="3"/>
  <c r="R1286" i="3"/>
  <c r="F1286" i="3"/>
  <c r="G1286" i="3" s="1"/>
  <c r="A1286" i="3"/>
  <c r="F1285" i="3"/>
  <c r="R1285" i="3" s="1"/>
  <c r="A1285" i="3"/>
  <c r="R1284" i="3"/>
  <c r="F1284" i="3"/>
  <c r="G1284" i="3" s="1"/>
  <c r="A1284" i="3"/>
  <c r="F1283" i="3"/>
  <c r="R1283" i="3" s="1"/>
  <c r="A1283" i="3"/>
  <c r="R1282" i="3"/>
  <c r="F1282" i="3"/>
  <c r="G1282" i="3" s="1"/>
  <c r="A1282" i="3"/>
  <c r="F1281" i="3"/>
  <c r="R1281" i="3" s="1"/>
  <c r="A1281" i="3"/>
  <c r="R1280" i="3"/>
  <c r="F1280" i="3"/>
  <c r="G1280" i="3" s="1"/>
  <c r="A1280" i="3"/>
  <c r="F1279" i="3"/>
  <c r="R1279" i="3" s="1"/>
  <c r="A1279" i="3"/>
  <c r="R1278" i="3"/>
  <c r="F1278" i="3"/>
  <c r="G1278" i="3" s="1"/>
  <c r="A1278" i="3"/>
  <c r="F1277" i="3"/>
  <c r="R1277" i="3" s="1"/>
  <c r="A1277" i="3"/>
  <c r="R1276" i="3"/>
  <c r="F1276" i="3"/>
  <c r="G1276" i="3" s="1"/>
  <c r="A1276" i="3"/>
  <c r="F1275" i="3"/>
  <c r="R1275" i="3" s="1"/>
  <c r="A1275" i="3"/>
  <c r="R1274" i="3"/>
  <c r="F1274" i="3"/>
  <c r="G1274" i="3" s="1"/>
  <c r="A1274" i="3"/>
  <c r="F1273" i="3"/>
  <c r="R1273" i="3" s="1"/>
  <c r="A1273" i="3"/>
  <c r="R1272" i="3"/>
  <c r="F1272" i="3"/>
  <c r="G1272" i="3" s="1"/>
  <c r="A1272" i="3"/>
  <c r="U1271" i="3"/>
  <c r="W1271" i="3" s="1"/>
  <c r="F1271" i="3"/>
  <c r="R1271" i="3" s="1"/>
  <c r="A1271" i="3"/>
  <c r="R1270" i="3"/>
  <c r="G1270" i="3"/>
  <c r="F1270" i="3"/>
  <c r="A1270" i="3"/>
  <c r="F1269" i="3"/>
  <c r="R1269" i="3" s="1"/>
  <c r="A1269" i="3"/>
  <c r="R1268" i="3"/>
  <c r="G1268" i="3"/>
  <c r="F1268" i="3"/>
  <c r="A1268" i="3"/>
  <c r="F1267" i="3"/>
  <c r="R1267" i="3" s="1"/>
  <c r="A1267" i="3"/>
  <c r="R1266" i="3"/>
  <c r="G1266" i="3"/>
  <c r="F1266" i="3"/>
  <c r="A1266" i="3"/>
  <c r="F1265" i="3"/>
  <c r="R1265" i="3" s="1"/>
  <c r="A1265" i="3"/>
  <c r="R1264" i="3"/>
  <c r="G1264" i="3"/>
  <c r="F1264" i="3"/>
  <c r="A1264" i="3"/>
  <c r="F1263" i="3"/>
  <c r="R1263" i="3" s="1"/>
  <c r="A1263" i="3"/>
  <c r="G1262" i="3"/>
  <c r="F1262" i="3"/>
  <c r="R1262" i="3" s="1"/>
  <c r="A1262" i="3"/>
  <c r="F1261" i="3"/>
  <c r="R1261" i="3" s="1"/>
  <c r="A1261" i="3"/>
  <c r="G1260" i="3"/>
  <c r="F1260" i="3"/>
  <c r="R1260" i="3" s="1"/>
  <c r="A1260" i="3"/>
  <c r="F1259" i="3"/>
  <c r="R1259" i="3" s="1"/>
  <c r="A1259" i="3"/>
  <c r="G1258" i="3"/>
  <c r="F1258" i="3"/>
  <c r="R1258" i="3" s="1"/>
  <c r="A1258" i="3"/>
  <c r="F1257" i="3"/>
  <c r="R1257" i="3" s="1"/>
  <c r="A1257" i="3"/>
  <c r="G1256" i="3"/>
  <c r="F1256" i="3"/>
  <c r="R1256" i="3" s="1"/>
  <c r="A1256" i="3"/>
  <c r="F1255" i="3"/>
  <c r="R1255" i="3" s="1"/>
  <c r="A1255" i="3"/>
  <c r="G1254" i="3"/>
  <c r="F1254" i="3"/>
  <c r="R1254" i="3" s="1"/>
  <c r="A1254" i="3"/>
  <c r="F1253" i="3"/>
  <c r="R1253" i="3" s="1"/>
  <c r="A1253" i="3"/>
  <c r="G1252" i="3"/>
  <c r="F1252" i="3"/>
  <c r="R1252" i="3" s="1"/>
  <c r="A1252" i="3"/>
  <c r="F1251" i="3"/>
  <c r="R1251" i="3" s="1"/>
  <c r="A1251" i="3"/>
  <c r="G1250" i="3"/>
  <c r="F1250" i="3"/>
  <c r="R1250" i="3" s="1"/>
  <c r="A1250" i="3"/>
  <c r="F1249" i="3"/>
  <c r="R1249" i="3" s="1"/>
  <c r="A1249" i="3"/>
  <c r="G1248" i="3"/>
  <c r="F1248" i="3"/>
  <c r="R1248" i="3" s="1"/>
  <c r="A1248" i="3"/>
  <c r="F1247" i="3"/>
  <c r="R1247" i="3" s="1"/>
  <c r="A1247" i="3"/>
  <c r="G1246" i="3"/>
  <c r="F1246" i="3"/>
  <c r="R1246" i="3" s="1"/>
  <c r="A1246" i="3"/>
  <c r="U1245" i="3"/>
  <c r="W1245" i="3" s="1"/>
  <c r="R1245" i="3"/>
  <c r="F1245" i="3"/>
  <c r="G1245" i="3" s="1"/>
  <c r="A1245" i="3"/>
  <c r="R1244" i="3"/>
  <c r="F1244" i="3"/>
  <c r="G1244" i="3" s="1"/>
  <c r="A1244" i="3"/>
  <c r="R1243" i="3"/>
  <c r="F1243" i="3"/>
  <c r="G1243" i="3" s="1"/>
  <c r="A1243" i="3"/>
  <c r="R1242" i="3"/>
  <c r="F1242" i="3"/>
  <c r="G1242" i="3" s="1"/>
  <c r="A1242" i="3"/>
  <c r="R1241" i="3"/>
  <c r="F1241" i="3"/>
  <c r="G1241" i="3" s="1"/>
  <c r="A1241" i="3"/>
  <c r="R1240" i="3"/>
  <c r="F1240" i="3"/>
  <c r="G1240" i="3" s="1"/>
  <c r="A1240" i="3"/>
  <c r="R1239" i="3"/>
  <c r="F1239" i="3"/>
  <c r="G1239" i="3" s="1"/>
  <c r="A1239" i="3"/>
  <c r="R1238" i="3"/>
  <c r="F1238" i="3"/>
  <c r="G1238" i="3" s="1"/>
  <c r="A1238" i="3"/>
  <c r="R1237" i="3"/>
  <c r="F1237" i="3"/>
  <c r="G1237" i="3" s="1"/>
  <c r="A1237" i="3"/>
  <c r="R1236" i="3"/>
  <c r="F1236" i="3"/>
  <c r="G1236" i="3" s="1"/>
  <c r="A1236" i="3"/>
  <c r="R1235" i="3"/>
  <c r="F1235" i="3"/>
  <c r="G1235" i="3" s="1"/>
  <c r="A1235" i="3"/>
  <c r="R1234" i="3"/>
  <c r="F1234" i="3"/>
  <c r="G1234" i="3" s="1"/>
  <c r="A1234" i="3"/>
  <c r="R1233" i="3"/>
  <c r="F1233" i="3"/>
  <c r="G1233" i="3" s="1"/>
  <c r="A1233" i="3"/>
  <c r="F1232" i="3"/>
  <c r="R1232" i="3" s="1"/>
  <c r="A1232" i="3"/>
  <c r="R1231" i="3"/>
  <c r="F1231" i="3"/>
  <c r="G1231" i="3" s="1"/>
  <c r="A1231" i="3"/>
  <c r="F1230" i="3"/>
  <c r="R1230" i="3" s="1"/>
  <c r="A1230" i="3"/>
  <c r="R1229" i="3"/>
  <c r="F1229" i="3"/>
  <c r="G1229" i="3" s="1"/>
  <c r="A1229" i="3"/>
  <c r="F1228" i="3"/>
  <c r="R1228" i="3" s="1"/>
  <c r="A1228" i="3"/>
  <c r="R1227" i="3"/>
  <c r="F1227" i="3"/>
  <c r="G1227" i="3" s="1"/>
  <c r="A1227" i="3"/>
  <c r="F1226" i="3"/>
  <c r="R1226" i="3" s="1"/>
  <c r="A1226" i="3"/>
  <c r="R1225" i="3"/>
  <c r="F1225" i="3"/>
  <c r="G1225" i="3" s="1"/>
  <c r="A1225" i="3"/>
  <c r="F1224" i="3"/>
  <c r="R1224" i="3" s="1"/>
  <c r="A1224" i="3"/>
  <c r="R1223" i="3"/>
  <c r="F1223" i="3"/>
  <c r="G1223" i="3" s="1"/>
  <c r="A1223" i="3"/>
  <c r="F1222" i="3"/>
  <c r="R1222" i="3" s="1"/>
  <c r="A1222" i="3"/>
  <c r="R1221" i="3"/>
  <c r="F1221" i="3"/>
  <c r="G1221" i="3" s="1"/>
  <c r="A1221" i="3"/>
  <c r="F1220" i="3"/>
  <c r="R1220" i="3" s="1"/>
  <c r="A1220" i="3"/>
  <c r="R1219" i="3"/>
  <c r="F1219" i="3"/>
  <c r="G1219" i="3" s="1"/>
  <c r="A1219" i="3"/>
  <c r="F1218" i="3"/>
  <c r="R1218" i="3" s="1"/>
  <c r="A1218" i="3"/>
  <c r="R1217" i="3"/>
  <c r="F1217" i="3"/>
  <c r="G1217" i="3" s="1"/>
  <c r="A1217" i="3"/>
  <c r="F1216" i="3"/>
  <c r="R1216" i="3" s="1"/>
  <c r="A1216" i="3"/>
  <c r="R1215" i="3"/>
  <c r="F1215" i="3"/>
  <c r="G1215" i="3" s="1"/>
  <c r="A1215" i="3"/>
  <c r="F1214" i="3"/>
  <c r="R1214" i="3" s="1"/>
  <c r="A1214" i="3"/>
  <c r="R1213" i="3"/>
  <c r="F1213" i="3"/>
  <c r="G1213" i="3" s="1"/>
  <c r="A1213" i="3"/>
  <c r="F1212" i="3"/>
  <c r="R1212" i="3" s="1"/>
  <c r="A1212" i="3"/>
  <c r="R1211" i="3"/>
  <c r="F1211" i="3"/>
  <c r="G1211" i="3" s="1"/>
  <c r="A1211" i="3"/>
  <c r="F1210" i="3"/>
  <c r="R1210" i="3" s="1"/>
  <c r="A1210" i="3"/>
  <c r="R1209" i="3"/>
  <c r="F1209" i="3"/>
  <c r="G1209" i="3" s="1"/>
  <c r="A1209" i="3"/>
  <c r="F1208" i="3"/>
  <c r="R1208" i="3" s="1"/>
  <c r="A1208" i="3"/>
  <c r="R1207" i="3"/>
  <c r="F1207" i="3"/>
  <c r="G1207" i="3" s="1"/>
  <c r="A1207" i="3"/>
  <c r="F1206" i="3"/>
  <c r="R1206" i="3" s="1"/>
  <c r="A1206" i="3"/>
  <c r="R1205" i="3"/>
  <c r="F1205" i="3"/>
  <c r="G1205" i="3" s="1"/>
  <c r="A1205" i="3"/>
  <c r="F1204" i="3"/>
  <c r="R1204" i="3" s="1"/>
  <c r="A1204" i="3"/>
  <c r="R1203" i="3"/>
  <c r="F1203" i="3"/>
  <c r="G1203" i="3" s="1"/>
  <c r="A1203" i="3"/>
  <c r="F1202" i="3"/>
  <c r="R1202" i="3" s="1"/>
  <c r="A1202" i="3"/>
  <c r="R1201" i="3"/>
  <c r="F1201" i="3"/>
  <c r="G1201" i="3" s="1"/>
  <c r="A1201" i="3"/>
  <c r="F1200" i="3"/>
  <c r="R1200" i="3" s="1"/>
  <c r="A1200" i="3"/>
  <c r="U1199" i="3"/>
  <c r="W1199" i="3" s="1"/>
  <c r="R1199" i="3"/>
  <c r="G1199" i="3"/>
  <c r="F1199" i="3"/>
  <c r="A1199" i="3"/>
  <c r="F1198" i="3"/>
  <c r="R1198" i="3" s="1"/>
  <c r="A1198" i="3"/>
  <c r="R1197" i="3"/>
  <c r="G1197" i="3"/>
  <c r="F1197" i="3"/>
  <c r="A1197" i="3"/>
  <c r="F1196" i="3"/>
  <c r="R1196" i="3" s="1"/>
  <c r="A1196" i="3"/>
  <c r="R1195" i="3"/>
  <c r="G1195" i="3"/>
  <c r="F1195" i="3"/>
  <c r="A1195" i="3"/>
  <c r="F1194" i="3"/>
  <c r="R1194" i="3" s="1"/>
  <c r="A1194" i="3"/>
  <c r="R1193" i="3"/>
  <c r="G1193" i="3"/>
  <c r="F1193" i="3"/>
  <c r="A1193" i="3"/>
  <c r="U1192" i="3"/>
  <c r="W1192" i="3" s="1"/>
  <c r="R1192" i="3"/>
  <c r="F1192" i="3"/>
  <c r="G1192" i="3" s="1"/>
  <c r="A1192" i="3"/>
  <c r="F1191" i="3"/>
  <c r="R1191" i="3" s="1"/>
  <c r="A1191" i="3"/>
  <c r="U1190" i="3"/>
  <c r="W1190" i="3" s="1"/>
  <c r="R1190" i="3"/>
  <c r="G1190" i="3"/>
  <c r="F1190" i="3"/>
  <c r="A1190" i="3"/>
  <c r="F1189" i="3"/>
  <c r="R1189" i="3" s="1"/>
  <c r="A1189" i="3"/>
  <c r="R1188" i="3"/>
  <c r="G1188" i="3"/>
  <c r="F1188" i="3"/>
  <c r="A1188" i="3"/>
  <c r="F1187" i="3"/>
  <c r="R1187" i="3" s="1"/>
  <c r="A1187" i="3"/>
  <c r="R1186" i="3"/>
  <c r="G1186" i="3"/>
  <c r="F1186" i="3"/>
  <c r="A1186" i="3"/>
  <c r="F1185" i="3"/>
  <c r="R1185" i="3" s="1"/>
  <c r="A1185" i="3"/>
  <c r="R1184" i="3"/>
  <c r="G1184" i="3"/>
  <c r="F1184" i="3"/>
  <c r="A1184" i="3"/>
  <c r="F1183" i="3"/>
  <c r="R1183" i="3" s="1"/>
  <c r="A1183" i="3"/>
  <c r="R1182" i="3"/>
  <c r="G1182" i="3"/>
  <c r="F1182" i="3"/>
  <c r="A1182" i="3"/>
  <c r="F1181" i="3"/>
  <c r="R1181" i="3" s="1"/>
  <c r="A1181" i="3"/>
  <c r="R1180" i="3"/>
  <c r="G1180" i="3"/>
  <c r="F1180" i="3"/>
  <c r="A1180" i="3"/>
  <c r="F1179" i="3"/>
  <c r="R1179" i="3" s="1"/>
  <c r="A1179" i="3"/>
  <c r="R1178" i="3"/>
  <c r="G1178" i="3"/>
  <c r="F1178" i="3"/>
  <c r="A1178" i="3"/>
  <c r="F1177" i="3"/>
  <c r="R1177" i="3" s="1"/>
  <c r="A1177" i="3"/>
  <c r="R1176" i="3"/>
  <c r="G1176" i="3"/>
  <c r="F1176" i="3"/>
  <c r="A1176" i="3"/>
  <c r="F1175" i="3"/>
  <c r="R1175" i="3" s="1"/>
  <c r="A1175" i="3"/>
  <c r="R1174" i="3"/>
  <c r="G1174" i="3"/>
  <c r="F1174" i="3"/>
  <c r="A1174" i="3"/>
  <c r="F1173" i="3"/>
  <c r="R1173" i="3" s="1"/>
  <c r="A1173" i="3"/>
  <c r="R1172" i="3"/>
  <c r="G1172" i="3"/>
  <c r="F1172" i="3"/>
  <c r="A1172" i="3"/>
  <c r="F1171" i="3"/>
  <c r="R1171" i="3" s="1"/>
  <c r="A1171" i="3"/>
  <c r="R1170" i="3"/>
  <c r="G1170" i="3"/>
  <c r="F1170" i="3"/>
  <c r="A1170" i="3"/>
  <c r="F1169" i="3"/>
  <c r="R1169" i="3" s="1"/>
  <c r="A1169" i="3"/>
  <c r="R1168" i="3"/>
  <c r="G1168" i="3"/>
  <c r="F1168" i="3"/>
  <c r="A1168" i="3"/>
  <c r="F1167" i="3"/>
  <c r="R1167" i="3" s="1"/>
  <c r="A1167" i="3"/>
  <c r="R1166" i="3"/>
  <c r="G1166" i="3"/>
  <c r="F1166" i="3"/>
  <c r="A1166" i="3"/>
  <c r="F1165" i="3"/>
  <c r="R1165" i="3" s="1"/>
  <c r="A1165" i="3"/>
  <c r="R1164" i="3"/>
  <c r="G1164" i="3"/>
  <c r="F1164" i="3"/>
  <c r="A1164" i="3"/>
  <c r="U1163" i="3"/>
  <c r="W1163" i="3" s="1"/>
  <c r="R1163" i="3"/>
  <c r="F1163" i="3"/>
  <c r="G1163" i="3" s="1"/>
  <c r="A1163" i="3"/>
  <c r="F1162" i="3"/>
  <c r="R1162" i="3" s="1"/>
  <c r="A1162" i="3"/>
  <c r="R1161" i="3"/>
  <c r="F1161" i="3"/>
  <c r="G1161" i="3" s="1"/>
  <c r="A1161" i="3"/>
  <c r="F1160" i="3"/>
  <c r="R1160" i="3" s="1"/>
  <c r="A1160" i="3"/>
  <c r="U1159" i="3"/>
  <c r="W1159" i="3" s="1"/>
  <c r="R1159" i="3"/>
  <c r="G1159" i="3"/>
  <c r="F1159" i="3"/>
  <c r="A1159" i="3"/>
  <c r="F1158" i="3"/>
  <c r="R1158" i="3" s="1"/>
  <c r="A1158" i="3"/>
  <c r="U1157" i="3"/>
  <c r="W1157" i="3" s="1"/>
  <c r="F1157" i="3"/>
  <c r="R1157" i="3" s="1"/>
  <c r="A1157" i="3"/>
  <c r="R1156" i="3"/>
  <c r="F1156" i="3"/>
  <c r="G1156" i="3" s="1"/>
  <c r="A1156" i="3"/>
  <c r="F1155" i="3"/>
  <c r="R1155" i="3" s="1"/>
  <c r="A1155" i="3"/>
  <c r="U1154" i="3"/>
  <c r="W1154" i="3" s="1"/>
  <c r="R1154" i="3"/>
  <c r="G1154" i="3"/>
  <c r="F1154" i="3"/>
  <c r="A1154" i="3"/>
  <c r="F1153" i="3"/>
  <c r="R1153" i="3" s="1"/>
  <c r="A1153" i="3"/>
  <c r="R1152" i="3"/>
  <c r="G1152" i="3"/>
  <c r="F1152" i="3"/>
  <c r="A1152" i="3"/>
  <c r="F1151" i="3"/>
  <c r="R1151" i="3" s="1"/>
  <c r="A1151" i="3"/>
  <c r="R1150" i="3"/>
  <c r="G1150" i="3"/>
  <c r="F1150" i="3"/>
  <c r="A1150" i="3"/>
  <c r="F1149" i="3"/>
  <c r="R1149" i="3" s="1"/>
  <c r="A1149" i="3"/>
  <c r="R1148" i="3"/>
  <c r="G1148" i="3"/>
  <c r="F1148" i="3"/>
  <c r="A1148" i="3"/>
  <c r="F1147" i="3"/>
  <c r="R1147" i="3" s="1"/>
  <c r="A1147" i="3"/>
  <c r="R1146" i="3"/>
  <c r="G1146" i="3"/>
  <c r="F1146" i="3"/>
  <c r="A1146" i="3"/>
  <c r="F1145" i="3"/>
  <c r="R1145" i="3" s="1"/>
  <c r="A1145" i="3"/>
  <c r="R1144" i="3"/>
  <c r="G1144" i="3"/>
  <c r="F1144" i="3"/>
  <c r="A1144" i="3"/>
  <c r="F1143" i="3"/>
  <c r="R1143" i="3" s="1"/>
  <c r="A1143" i="3"/>
  <c r="R1142" i="3"/>
  <c r="G1142" i="3"/>
  <c r="F1142" i="3"/>
  <c r="A1142" i="3"/>
  <c r="F1141" i="3"/>
  <c r="R1141" i="3" s="1"/>
  <c r="A1141" i="3"/>
  <c r="R1140" i="3"/>
  <c r="G1140" i="3"/>
  <c r="F1140" i="3"/>
  <c r="A1140" i="3"/>
  <c r="F1139" i="3"/>
  <c r="R1139" i="3" s="1"/>
  <c r="A1139" i="3"/>
  <c r="R1138" i="3"/>
  <c r="G1138" i="3"/>
  <c r="F1138" i="3"/>
  <c r="A1138" i="3"/>
  <c r="F1137" i="3"/>
  <c r="R1137" i="3" s="1"/>
  <c r="A1137" i="3"/>
  <c r="R1136" i="3"/>
  <c r="G1136" i="3"/>
  <c r="F1136" i="3"/>
  <c r="A1136" i="3"/>
  <c r="F1135" i="3"/>
  <c r="R1135" i="3" s="1"/>
  <c r="A1135" i="3"/>
  <c r="R1134" i="3"/>
  <c r="G1134" i="3"/>
  <c r="F1134" i="3"/>
  <c r="A1134" i="3"/>
  <c r="F1133" i="3"/>
  <c r="R1133" i="3" s="1"/>
  <c r="A1133" i="3"/>
  <c r="R1132" i="3"/>
  <c r="G1132" i="3"/>
  <c r="F1132" i="3"/>
  <c r="A1132" i="3"/>
  <c r="U1131" i="3"/>
  <c r="W1131" i="3" s="1"/>
  <c r="R1131" i="3"/>
  <c r="F1131" i="3"/>
  <c r="G1131" i="3" s="1"/>
  <c r="A1131" i="3"/>
  <c r="R1130" i="3"/>
  <c r="F1130" i="3"/>
  <c r="G1130" i="3" s="1"/>
  <c r="A1130" i="3"/>
  <c r="R1129" i="3"/>
  <c r="F1129" i="3"/>
  <c r="G1129" i="3" s="1"/>
  <c r="A1129" i="3"/>
  <c r="R1128" i="3"/>
  <c r="F1128" i="3"/>
  <c r="G1128" i="3" s="1"/>
  <c r="A1128" i="3"/>
  <c r="R1127" i="3"/>
  <c r="F1127" i="3"/>
  <c r="G1127" i="3" s="1"/>
  <c r="A1127" i="3"/>
  <c r="R1126" i="3"/>
  <c r="F1126" i="3"/>
  <c r="G1126" i="3" s="1"/>
  <c r="A1126" i="3"/>
  <c r="R1125" i="3"/>
  <c r="F1125" i="3"/>
  <c r="G1125" i="3" s="1"/>
  <c r="A1125" i="3"/>
  <c r="R1124" i="3"/>
  <c r="F1124" i="3"/>
  <c r="G1124" i="3" s="1"/>
  <c r="A1124" i="3"/>
  <c r="R1123" i="3"/>
  <c r="F1123" i="3"/>
  <c r="G1123" i="3" s="1"/>
  <c r="A1123" i="3"/>
  <c r="R1122" i="3"/>
  <c r="F1122" i="3"/>
  <c r="G1122" i="3" s="1"/>
  <c r="A1122" i="3"/>
  <c r="R1121" i="3"/>
  <c r="F1121" i="3"/>
  <c r="G1121" i="3" s="1"/>
  <c r="A1121" i="3"/>
  <c r="R1120" i="3"/>
  <c r="F1120" i="3"/>
  <c r="G1120" i="3" s="1"/>
  <c r="A1120" i="3"/>
  <c r="R1119" i="3"/>
  <c r="F1119" i="3"/>
  <c r="G1119" i="3" s="1"/>
  <c r="A1119" i="3"/>
  <c r="R1118" i="3"/>
  <c r="F1118" i="3"/>
  <c r="G1118" i="3" s="1"/>
  <c r="A1118" i="3"/>
  <c r="R1117" i="3"/>
  <c r="F1117" i="3"/>
  <c r="G1117" i="3" s="1"/>
  <c r="A1117" i="3"/>
  <c r="R1116" i="3"/>
  <c r="F1116" i="3"/>
  <c r="G1116" i="3" s="1"/>
  <c r="A1116" i="3"/>
  <c r="R1115" i="3"/>
  <c r="F1115" i="3"/>
  <c r="G1115" i="3" s="1"/>
  <c r="A1115" i="3"/>
  <c r="R1114" i="3"/>
  <c r="F1114" i="3"/>
  <c r="G1114" i="3" s="1"/>
  <c r="A1114" i="3"/>
  <c r="R1113" i="3"/>
  <c r="F1113" i="3"/>
  <c r="G1113" i="3" s="1"/>
  <c r="A1113" i="3"/>
  <c r="F1112" i="3"/>
  <c r="R1112" i="3" s="1"/>
  <c r="A1112" i="3"/>
  <c r="R1111" i="3"/>
  <c r="F1111" i="3"/>
  <c r="G1111" i="3" s="1"/>
  <c r="A1111" i="3"/>
  <c r="U1110" i="3"/>
  <c r="W1110" i="3" s="1"/>
  <c r="F1110" i="3"/>
  <c r="R1110" i="3" s="1"/>
  <c r="A1110" i="3"/>
  <c r="R1109" i="3"/>
  <c r="G1109" i="3"/>
  <c r="F1109" i="3"/>
  <c r="A1109" i="3"/>
  <c r="F1108" i="3"/>
  <c r="R1108" i="3" s="1"/>
  <c r="A1108" i="3"/>
  <c r="R1107" i="3"/>
  <c r="G1107" i="3"/>
  <c r="F1107" i="3"/>
  <c r="A1107" i="3"/>
  <c r="F1106" i="3"/>
  <c r="R1106" i="3" s="1"/>
  <c r="A1106" i="3"/>
  <c r="R1105" i="3"/>
  <c r="G1105" i="3"/>
  <c r="F1105" i="3"/>
  <c r="A1105" i="3"/>
  <c r="F1104" i="3"/>
  <c r="R1104" i="3" s="1"/>
  <c r="A1104" i="3"/>
  <c r="R1103" i="3"/>
  <c r="G1103" i="3"/>
  <c r="F1103" i="3"/>
  <c r="A1103" i="3"/>
  <c r="F1102" i="3"/>
  <c r="R1102" i="3" s="1"/>
  <c r="A1102" i="3"/>
  <c r="R1101" i="3"/>
  <c r="G1101" i="3"/>
  <c r="F1101" i="3"/>
  <c r="A1101" i="3"/>
  <c r="F1100" i="3"/>
  <c r="R1100" i="3" s="1"/>
  <c r="A1100" i="3"/>
  <c r="R1099" i="3"/>
  <c r="G1099" i="3"/>
  <c r="F1099" i="3"/>
  <c r="A1099" i="3"/>
  <c r="F1098" i="3"/>
  <c r="R1098" i="3" s="1"/>
  <c r="A1098" i="3"/>
  <c r="R1097" i="3"/>
  <c r="G1097" i="3"/>
  <c r="F1097" i="3"/>
  <c r="A1097" i="3"/>
  <c r="F1096" i="3"/>
  <c r="R1096" i="3" s="1"/>
  <c r="A1096" i="3"/>
  <c r="R1095" i="3"/>
  <c r="G1095" i="3"/>
  <c r="F1095" i="3"/>
  <c r="A1095" i="3"/>
  <c r="F1094" i="3"/>
  <c r="R1094" i="3" s="1"/>
  <c r="A1094" i="3"/>
  <c r="R1093" i="3"/>
  <c r="G1093" i="3"/>
  <c r="F1093" i="3"/>
  <c r="A1093" i="3"/>
  <c r="F1092" i="3"/>
  <c r="R1092" i="3" s="1"/>
  <c r="A1092" i="3"/>
  <c r="R1091" i="3"/>
  <c r="G1091" i="3"/>
  <c r="F1091" i="3"/>
  <c r="A1091" i="3"/>
  <c r="F1090" i="3"/>
  <c r="R1090" i="3" s="1"/>
  <c r="A1090" i="3"/>
  <c r="R1089" i="3"/>
  <c r="G1089" i="3"/>
  <c r="F1089" i="3"/>
  <c r="A1089" i="3"/>
  <c r="F1088" i="3"/>
  <c r="R1088" i="3" s="1"/>
  <c r="A1088" i="3"/>
  <c r="R1087" i="3"/>
  <c r="G1087" i="3"/>
  <c r="F1087" i="3"/>
  <c r="A1087" i="3"/>
  <c r="F1086" i="3"/>
  <c r="R1086" i="3" s="1"/>
  <c r="A1086" i="3"/>
  <c r="G1085" i="3"/>
  <c r="F1085" i="3"/>
  <c r="R1085" i="3" s="1"/>
  <c r="A1085" i="3"/>
  <c r="F1084" i="3"/>
  <c r="R1084" i="3" s="1"/>
  <c r="A1084" i="3"/>
  <c r="G1083" i="3"/>
  <c r="F1083" i="3"/>
  <c r="R1083" i="3" s="1"/>
  <c r="A1083" i="3"/>
  <c r="F1082" i="3"/>
  <c r="R1082" i="3" s="1"/>
  <c r="A1082" i="3"/>
  <c r="G1081" i="3"/>
  <c r="F1081" i="3"/>
  <c r="R1081" i="3" s="1"/>
  <c r="A1081" i="3"/>
  <c r="F1080" i="3"/>
  <c r="R1080" i="3" s="1"/>
  <c r="A1080" i="3"/>
  <c r="G1079" i="3"/>
  <c r="F1079" i="3"/>
  <c r="R1079" i="3" s="1"/>
  <c r="A1079" i="3"/>
  <c r="F1078" i="3"/>
  <c r="R1078" i="3" s="1"/>
  <c r="A1078" i="3"/>
  <c r="G1077" i="3"/>
  <c r="F1077" i="3"/>
  <c r="R1077" i="3" s="1"/>
  <c r="A1077" i="3"/>
  <c r="F1076" i="3"/>
  <c r="A1076" i="3"/>
  <c r="G1075" i="3"/>
  <c r="F1075" i="3"/>
  <c r="R1075" i="3" s="1"/>
  <c r="A1075" i="3"/>
  <c r="F1074" i="3"/>
  <c r="A1074" i="3"/>
  <c r="G1073" i="3"/>
  <c r="F1073" i="3"/>
  <c r="R1073" i="3" s="1"/>
  <c r="A1073" i="3"/>
  <c r="F1072" i="3"/>
  <c r="A1072" i="3"/>
  <c r="G1071" i="3"/>
  <c r="F1071" i="3"/>
  <c r="R1071" i="3" s="1"/>
  <c r="A1071" i="3"/>
  <c r="F1070" i="3"/>
  <c r="A1070" i="3"/>
  <c r="G1069" i="3"/>
  <c r="F1069" i="3"/>
  <c r="R1069" i="3" s="1"/>
  <c r="A1069" i="3"/>
  <c r="F1068" i="3"/>
  <c r="A1068" i="3"/>
  <c r="G1067" i="3"/>
  <c r="F1067" i="3"/>
  <c r="R1067" i="3" s="1"/>
  <c r="A1067" i="3"/>
  <c r="F1066" i="3"/>
  <c r="A1066" i="3"/>
  <c r="G1065" i="3"/>
  <c r="F1065" i="3"/>
  <c r="R1065" i="3" s="1"/>
  <c r="A1065" i="3"/>
  <c r="F1064" i="3"/>
  <c r="A1064" i="3"/>
  <c r="G1063" i="3"/>
  <c r="F1063" i="3"/>
  <c r="R1063" i="3" s="1"/>
  <c r="A1063" i="3"/>
  <c r="F1062" i="3"/>
  <c r="A1062" i="3"/>
  <c r="G1061" i="3"/>
  <c r="F1061" i="3"/>
  <c r="R1061" i="3" s="1"/>
  <c r="A1061" i="3"/>
  <c r="F1060" i="3"/>
  <c r="A1060" i="3"/>
  <c r="G1059" i="3"/>
  <c r="F1059" i="3"/>
  <c r="R1059" i="3" s="1"/>
  <c r="A1059" i="3"/>
  <c r="F1058" i="3"/>
  <c r="A1058" i="3"/>
  <c r="G1057" i="3"/>
  <c r="F1057" i="3"/>
  <c r="R1057" i="3" s="1"/>
  <c r="A1057" i="3"/>
  <c r="F1056" i="3"/>
  <c r="A1056" i="3"/>
  <c r="G1055" i="3"/>
  <c r="F1055" i="3"/>
  <c r="R1055" i="3" s="1"/>
  <c r="A1055" i="3"/>
  <c r="F1054" i="3"/>
  <c r="A1054" i="3"/>
  <c r="U1053" i="3"/>
  <c r="W1053" i="3" s="1"/>
  <c r="R1053" i="3"/>
  <c r="G1053" i="3"/>
  <c r="F1053" i="3"/>
  <c r="A1053" i="3"/>
  <c r="R1052" i="3"/>
  <c r="F1052" i="3"/>
  <c r="G1052" i="3" s="1"/>
  <c r="A1052" i="3"/>
  <c r="R1051" i="3"/>
  <c r="G1051" i="3"/>
  <c r="F1051" i="3"/>
  <c r="A1051" i="3"/>
  <c r="R1050" i="3"/>
  <c r="F1050" i="3"/>
  <c r="G1050" i="3" s="1"/>
  <c r="A1050" i="3"/>
  <c r="R1049" i="3"/>
  <c r="G1049" i="3"/>
  <c r="F1049" i="3"/>
  <c r="A1049" i="3"/>
  <c r="R1048" i="3"/>
  <c r="F1048" i="3"/>
  <c r="G1048" i="3" s="1"/>
  <c r="A1048" i="3"/>
  <c r="R1047" i="3"/>
  <c r="G1047" i="3"/>
  <c r="F1047" i="3"/>
  <c r="A1047" i="3"/>
  <c r="R1046" i="3"/>
  <c r="F1046" i="3"/>
  <c r="G1046" i="3" s="1"/>
  <c r="A1046" i="3"/>
  <c r="R1045" i="3"/>
  <c r="G1045" i="3"/>
  <c r="F1045" i="3"/>
  <c r="A1045" i="3"/>
  <c r="R1044" i="3"/>
  <c r="F1044" i="3"/>
  <c r="G1044" i="3" s="1"/>
  <c r="A1044" i="3"/>
  <c r="R1043" i="3"/>
  <c r="G1043" i="3"/>
  <c r="F1043" i="3"/>
  <c r="A1043" i="3"/>
  <c r="R1042" i="3"/>
  <c r="F1042" i="3"/>
  <c r="G1042" i="3" s="1"/>
  <c r="A1042" i="3"/>
  <c r="R1041" i="3"/>
  <c r="G1041" i="3"/>
  <c r="F1041" i="3"/>
  <c r="A1041" i="3"/>
  <c r="R1040" i="3"/>
  <c r="F1040" i="3"/>
  <c r="G1040" i="3" s="1"/>
  <c r="A1040" i="3"/>
  <c r="R1039" i="3"/>
  <c r="G1039" i="3"/>
  <c r="F1039" i="3"/>
  <c r="A1039" i="3"/>
  <c r="R1038" i="3"/>
  <c r="F1038" i="3"/>
  <c r="G1038" i="3" s="1"/>
  <c r="A1038" i="3"/>
  <c r="R1037" i="3"/>
  <c r="F1037" i="3"/>
  <c r="G1037" i="3" s="1"/>
  <c r="A1037" i="3"/>
  <c r="R1036" i="3"/>
  <c r="F1036" i="3"/>
  <c r="G1036" i="3" s="1"/>
  <c r="A1036" i="3"/>
  <c r="R1035" i="3"/>
  <c r="F1035" i="3"/>
  <c r="G1035" i="3" s="1"/>
  <c r="A1035" i="3"/>
  <c r="R1034" i="3"/>
  <c r="F1034" i="3"/>
  <c r="G1034" i="3" s="1"/>
  <c r="A1034" i="3"/>
  <c r="R1033" i="3"/>
  <c r="F1033" i="3"/>
  <c r="G1033" i="3" s="1"/>
  <c r="A1033" i="3"/>
  <c r="R1032" i="3"/>
  <c r="F1032" i="3"/>
  <c r="G1032" i="3" s="1"/>
  <c r="A1032" i="3"/>
  <c r="R1031" i="3"/>
  <c r="F1031" i="3"/>
  <c r="G1031" i="3" s="1"/>
  <c r="A1031" i="3"/>
  <c r="R1030" i="3"/>
  <c r="F1030" i="3"/>
  <c r="G1030" i="3" s="1"/>
  <c r="A1030" i="3"/>
  <c r="R1029" i="3"/>
  <c r="F1029" i="3"/>
  <c r="G1029" i="3" s="1"/>
  <c r="A1029" i="3"/>
  <c r="R1028" i="3"/>
  <c r="F1028" i="3"/>
  <c r="G1028" i="3" s="1"/>
  <c r="A1028" i="3"/>
  <c r="R1027" i="3"/>
  <c r="F1027" i="3"/>
  <c r="G1027" i="3" s="1"/>
  <c r="A1027" i="3"/>
  <c r="R1026" i="3"/>
  <c r="F1026" i="3"/>
  <c r="G1026" i="3" s="1"/>
  <c r="A1026" i="3"/>
  <c r="R1025" i="3"/>
  <c r="F1025" i="3"/>
  <c r="G1025" i="3" s="1"/>
  <c r="A1025" i="3"/>
  <c r="R1024" i="3"/>
  <c r="F1024" i="3"/>
  <c r="G1024" i="3" s="1"/>
  <c r="A1024" i="3"/>
  <c r="R1023" i="3"/>
  <c r="F1023" i="3"/>
  <c r="G1023" i="3" s="1"/>
  <c r="A1023" i="3"/>
  <c r="R1022" i="3"/>
  <c r="F1022" i="3"/>
  <c r="G1022" i="3" s="1"/>
  <c r="A1022" i="3"/>
  <c r="R1021" i="3"/>
  <c r="F1021" i="3"/>
  <c r="G1021" i="3" s="1"/>
  <c r="A1021" i="3"/>
  <c r="R1020" i="3"/>
  <c r="F1020" i="3"/>
  <c r="G1020" i="3" s="1"/>
  <c r="A1020" i="3"/>
  <c r="R1019" i="3"/>
  <c r="F1019" i="3"/>
  <c r="G1019" i="3" s="1"/>
  <c r="A1019" i="3"/>
  <c r="R1018" i="3"/>
  <c r="F1018" i="3"/>
  <c r="G1018" i="3" s="1"/>
  <c r="A1018" i="3"/>
  <c r="R1017" i="3"/>
  <c r="F1017" i="3"/>
  <c r="G1017" i="3" s="1"/>
  <c r="A1017" i="3"/>
  <c r="R1016" i="3"/>
  <c r="F1016" i="3"/>
  <c r="G1016" i="3" s="1"/>
  <c r="A1016" i="3"/>
  <c r="R1015" i="3"/>
  <c r="F1015" i="3"/>
  <c r="G1015" i="3" s="1"/>
  <c r="A1015" i="3"/>
  <c r="R1014" i="3"/>
  <c r="F1014" i="3"/>
  <c r="G1014" i="3" s="1"/>
  <c r="A1014" i="3"/>
  <c r="R1013" i="3"/>
  <c r="F1013" i="3"/>
  <c r="G1013" i="3" s="1"/>
  <c r="A1013" i="3"/>
  <c r="R1012" i="3"/>
  <c r="F1012" i="3"/>
  <c r="G1012" i="3" s="1"/>
  <c r="A1012" i="3"/>
  <c r="R1011" i="3"/>
  <c r="F1011" i="3"/>
  <c r="G1011" i="3" s="1"/>
  <c r="A1011" i="3"/>
  <c r="R1010" i="3"/>
  <c r="F1010" i="3"/>
  <c r="G1010" i="3" s="1"/>
  <c r="A1010" i="3"/>
  <c r="F1009" i="3"/>
  <c r="R1009" i="3" s="1"/>
  <c r="A1009" i="3"/>
  <c r="R1008" i="3"/>
  <c r="F1008" i="3"/>
  <c r="G1008" i="3" s="1"/>
  <c r="A1008" i="3"/>
  <c r="F1007" i="3"/>
  <c r="R1007" i="3" s="1"/>
  <c r="A1007" i="3"/>
  <c r="R1006" i="3"/>
  <c r="F1006" i="3"/>
  <c r="G1006" i="3" s="1"/>
  <c r="A1006" i="3"/>
  <c r="F1005" i="3"/>
  <c r="R1005" i="3" s="1"/>
  <c r="A1005" i="3"/>
  <c r="R1004" i="3"/>
  <c r="F1004" i="3"/>
  <c r="G1004" i="3" s="1"/>
  <c r="A1004" i="3"/>
  <c r="F1003" i="3"/>
  <c r="R1003" i="3" s="1"/>
  <c r="A1003" i="3"/>
  <c r="R1002" i="3"/>
  <c r="F1002" i="3"/>
  <c r="G1002" i="3" s="1"/>
  <c r="A1002" i="3"/>
  <c r="F1001" i="3"/>
  <c r="R1001" i="3" s="1"/>
  <c r="A1001" i="3"/>
  <c r="R1000" i="3"/>
  <c r="F1000" i="3"/>
  <c r="G1000" i="3" s="1"/>
  <c r="A1000" i="3"/>
  <c r="F999" i="3"/>
  <c r="R999" i="3" s="1"/>
  <c r="A999" i="3"/>
  <c r="R998" i="3"/>
  <c r="F998" i="3"/>
  <c r="G998" i="3" s="1"/>
  <c r="A998" i="3"/>
  <c r="F997" i="3"/>
  <c r="R997" i="3" s="1"/>
  <c r="A997" i="3"/>
  <c r="R996" i="3"/>
  <c r="F996" i="3"/>
  <c r="G996" i="3" s="1"/>
  <c r="A996" i="3"/>
  <c r="F995" i="3"/>
  <c r="R995" i="3" s="1"/>
  <c r="A995" i="3"/>
  <c r="R994" i="3"/>
  <c r="F994" i="3"/>
  <c r="G994" i="3" s="1"/>
  <c r="A994" i="3"/>
  <c r="F993" i="3"/>
  <c r="R993" i="3" s="1"/>
  <c r="A993" i="3"/>
  <c r="R992" i="3"/>
  <c r="F992" i="3"/>
  <c r="G992" i="3" s="1"/>
  <c r="A992" i="3"/>
  <c r="F991" i="3"/>
  <c r="R991" i="3" s="1"/>
  <c r="A991" i="3"/>
  <c r="R990" i="3"/>
  <c r="F990" i="3"/>
  <c r="G990" i="3" s="1"/>
  <c r="A990" i="3"/>
  <c r="F989" i="3"/>
  <c r="R989" i="3" s="1"/>
  <c r="A989" i="3"/>
  <c r="R988" i="3"/>
  <c r="F988" i="3"/>
  <c r="G988" i="3" s="1"/>
  <c r="A988" i="3"/>
  <c r="F987" i="3"/>
  <c r="R987" i="3" s="1"/>
  <c r="A987" i="3"/>
  <c r="R986" i="3"/>
  <c r="F986" i="3"/>
  <c r="G986" i="3" s="1"/>
  <c r="A986" i="3"/>
  <c r="F985" i="3"/>
  <c r="R985" i="3" s="1"/>
  <c r="A985" i="3"/>
  <c r="R984" i="3"/>
  <c r="F984" i="3"/>
  <c r="G984" i="3" s="1"/>
  <c r="A984" i="3"/>
  <c r="F983" i="3"/>
  <c r="R983" i="3" s="1"/>
  <c r="A983" i="3"/>
  <c r="R982" i="3"/>
  <c r="F982" i="3"/>
  <c r="G982" i="3" s="1"/>
  <c r="A982" i="3"/>
  <c r="F981" i="3"/>
  <c r="R981" i="3" s="1"/>
  <c r="A981" i="3"/>
  <c r="F980" i="3"/>
  <c r="G980" i="3" s="1"/>
  <c r="A980" i="3"/>
  <c r="U979" i="3"/>
  <c r="W979" i="3" s="1"/>
  <c r="G979" i="3"/>
  <c r="F979" i="3"/>
  <c r="R979" i="3" s="1"/>
  <c r="A979" i="3"/>
  <c r="R978" i="3"/>
  <c r="G978" i="3"/>
  <c r="F978" i="3"/>
  <c r="A978" i="3"/>
  <c r="F977" i="3"/>
  <c r="R977" i="3" s="1"/>
  <c r="A977" i="3"/>
  <c r="R976" i="3"/>
  <c r="G976" i="3"/>
  <c r="F976" i="3"/>
  <c r="A976" i="3"/>
  <c r="U975" i="3"/>
  <c r="W975" i="3" s="1"/>
  <c r="F975" i="3"/>
  <c r="G975" i="3" s="1"/>
  <c r="A975" i="3"/>
  <c r="F974" i="3"/>
  <c r="R974" i="3" s="1"/>
  <c r="A974" i="3"/>
  <c r="R973" i="3"/>
  <c r="F973" i="3"/>
  <c r="G973" i="3" s="1"/>
  <c r="A973" i="3"/>
  <c r="F972" i="3"/>
  <c r="R972" i="3" s="1"/>
  <c r="A972" i="3"/>
  <c r="F971" i="3"/>
  <c r="G971" i="3" s="1"/>
  <c r="A971" i="3"/>
  <c r="F970" i="3"/>
  <c r="R970" i="3" s="1"/>
  <c r="A970" i="3"/>
  <c r="R969" i="3"/>
  <c r="F969" i="3"/>
  <c r="G969" i="3" s="1"/>
  <c r="A969" i="3"/>
  <c r="F968" i="3"/>
  <c r="R968" i="3" s="1"/>
  <c r="A968" i="3"/>
  <c r="F967" i="3"/>
  <c r="G967" i="3" s="1"/>
  <c r="A967" i="3"/>
  <c r="F966" i="3"/>
  <c r="A966" i="3"/>
  <c r="R965" i="3"/>
  <c r="F965" i="3"/>
  <c r="G965" i="3" s="1"/>
  <c r="A965" i="3"/>
  <c r="F964" i="3"/>
  <c r="A964" i="3"/>
  <c r="F963" i="3"/>
  <c r="G963" i="3" s="1"/>
  <c r="A963" i="3"/>
  <c r="F962" i="3"/>
  <c r="A962" i="3"/>
  <c r="R961" i="3"/>
  <c r="F961" i="3"/>
  <c r="G961" i="3" s="1"/>
  <c r="A961" i="3"/>
  <c r="F960" i="3"/>
  <c r="A960" i="3"/>
  <c r="F959" i="3"/>
  <c r="G959" i="3" s="1"/>
  <c r="A959" i="3"/>
  <c r="F958" i="3"/>
  <c r="A958" i="3"/>
  <c r="R957" i="3"/>
  <c r="F957" i="3"/>
  <c r="G957" i="3" s="1"/>
  <c r="A957" i="3"/>
  <c r="F956" i="3"/>
  <c r="A956" i="3"/>
  <c r="F955" i="3"/>
  <c r="G955" i="3" s="1"/>
  <c r="A955" i="3"/>
  <c r="F954" i="3"/>
  <c r="A954" i="3"/>
  <c r="R953" i="3"/>
  <c r="F953" i="3"/>
  <c r="G953" i="3" s="1"/>
  <c r="A953" i="3"/>
  <c r="F952" i="3"/>
  <c r="A952" i="3"/>
  <c r="F951" i="3"/>
  <c r="G951" i="3" s="1"/>
  <c r="A951" i="3"/>
  <c r="F950" i="3"/>
  <c r="A950" i="3"/>
  <c r="R949" i="3"/>
  <c r="F949" i="3"/>
  <c r="G949" i="3" s="1"/>
  <c r="A949" i="3"/>
  <c r="F948" i="3"/>
  <c r="A948" i="3"/>
  <c r="F947" i="3"/>
  <c r="G947" i="3" s="1"/>
  <c r="A947" i="3"/>
  <c r="U946" i="3"/>
  <c r="W946" i="3" s="1"/>
  <c r="F946" i="3"/>
  <c r="R946" i="3" s="1"/>
  <c r="A946" i="3"/>
  <c r="R945" i="3"/>
  <c r="G945" i="3"/>
  <c r="F945" i="3"/>
  <c r="A945" i="3"/>
  <c r="F944" i="3"/>
  <c r="R944" i="3" s="1"/>
  <c r="A944" i="3"/>
  <c r="R943" i="3"/>
  <c r="G943" i="3"/>
  <c r="F943" i="3"/>
  <c r="A943" i="3"/>
  <c r="F942" i="3"/>
  <c r="R942" i="3" s="1"/>
  <c r="A942" i="3"/>
  <c r="R941" i="3"/>
  <c r="G941" i="3"/>
  <c r="F941" i="3"/>
  <c r="A941" i="3"/>
  <c r="F940" i="3"/>
  <c r="R940" i="3" s="1"/>
  <c r="A940" i="3"/>
  <c r="R939" i="3"/>
  <c r="G939" i="3"/>
  <c r="F939" i="3"/>
  <c r="A939" i="3"/>
  <c r="F938" i="3"/>
  <c r="R938" i="3" s="1"/>
  <c r="A938" i="3"/>
  <c r="R937" i="3"/>
  <c r="G937" i="3"/>
  <c r="F937" i="3"/>
  <c r="A937" i="3"/>
  <c r="U936" i="3"/>
  <c r="W936" i="3" s="1"/>
  <c r="R936" i="3"/>
  <c r="F936" i="3"/>
  <c r="G936" i="3" s="1"/>
  <c r="A936" i="3"/>
  <c r="F935" i="3"/>
  <c r="A935" i="3"/>
  <c r="F934" i="3"/>
  <c r="G934" i="3" s="1"/>
  <c r="A934" i="3"/>
  <c r="F933" i="3"/>
  <c r="A933" i="3"/>
  <c r="F932" i="3"/>
  <c r="G932" i="3" s="1"/>
  <c r="A932" i="3"/>
  <c r="F931" i="3"/>
  <c r="A931" i="3"/>
  <c r="F930" i="3"/>
  <c r="G930" i="3" s="1"/>
  <c r="A930" i="3"/>
  <c r="F929" i="3"/>
  <c r="A929" i="3"/>
  <c r="R928" i="3"/>
  <c r="F928" i="3"/>
  <c r="G928" i="3" s="1"/>
  <c r="A928" i="3"/>
  <c r="F927" i="3"/>
  <c r="A927" i="3"/>
  <c r="F926" i="3"/>
  <c r="G926" i="3" s="1"/>
  <c r="A926" i="3"/>
  <c r="F925" i="3"/>
  <c r="A925" i="3"/>
  <c r="R924" i="3"/>
  <c r="F924" i="3"/>
  <c r="G924" i="3" s="1"/>
  <c r="A924" i="3"/>
  <c r="F923" i="3"/>
  <c r="A923" i="3"/>
  <c r="F922" i="3"/>
  <c r="G922" i="3" s="1"/>
  <c r="A922" i="3"/>
  <c r="F921" i="3"/>
  <c r="A921" i="3"/>
  <c r="R920" i="3"/>
  <c r="F920" i="3"/>
  <c r="G920" i="3" s="1"/>
  <c r="A920" i="3"/>
  <c r="F919" i="3"/>
  <c r="A919" i="3"/>
  <c r="F918" i="3"/>
  <c r="G918" i="3" s="1"/>
  <c r="A918" i="3"/>
  <c r="F917" i="3"/>
  <c r="A917" i="3"/>
  <c r="F916" i="3"/>
  <c r="G916" i="3" s="1"/>
  <c r="A916" i="3"/>
  <c r="F915" i="3"/>
  <c r="A915" i="3"/>
  <c r="F914" i="3"/>
  <c r="G914" i="3" s="1"/>
  <c r="A914" i="3"/>
  <c r="F913" i="3"/>
  <c r="A913" i="3"/>
  <c r="R912" i="3"/>
  <c r="F912" i="3"/>
  <c r="G912" i="3" s="1"/>
  <c r="A912" i="3"/>
  <c r="F911" i="3"/>
  <c r="A911" i="3"/>
  <c r="F910" i="3"/>
  <c r="G910" i="3" s="1"/>
  <c r="A910" i="3"/>
  <c r="F909" i="3"/>
  <c r="A909" i="3"/>
  <c r="R908" i="3"/>
  <c r="F908" i="3"/>
  <c r="G908" i="3" s="1"/>
  <c r="A908" i="3"/>
  <c r="F907" i="3"/>
  <c r="A907" i="3"/>
  <c r="F906" i="3"/>
  <c r="G906" i="3" s="1"/>
  <c r="A906" i="3"/>
  <c r="F905" i="3"/>
  <c r="A905" i="3"/>
  <c r="U904" i="3"/>
  <c r="W904" i="3" s="1"/>
  <c r="R904" i="3"/>
  <c r="G904" i="3"/>
  <c r="F904" i="3"/>
  <c r="A904" i="3"/>
  <c r="F903" i="3"/>
  <c r="R903" i="3" s="1"/>
  <c r="A903" i="3"/>
  <c r="R902" i="3"/>
  <c r="G902" i="3"/>
  <c r="F902" i="3"/>
  <c r="A902" i="3"/>
  <c r="F901" i="3"/>
  <c r="R901" i="3" s="1"/>
  <c r="A901" i="3"/>
  <c r="U900" i="3"/>
  <c r="W900" i="3" s="1"/>
  <c r="F900" i="3"/>
  <c r="A900" i="3"/>
  <c r="R899" i="3"/>
  <c r="F899" i="3"/>
  <c r="G899" i="3" s="1"/>
  <c r="A899" i="3"/>
  <c r="F898" i="3"/>
  <c r="A898" i="3"/>
  <c r="F897" i="3"/>
  <c r="G897" i="3" s="1"/>
  <c r="A897" i="3"/>
  <c r="F896" i="3"/>
  <c r="A896" i="3"/>
  <c r="R895" i="3"/>
  <c r="F895" i="3"/>
  <c r="G895" i="3" s="1"/>
  <c r="A895" i="3"/>
  <c r="F894" i="3"/>
  <c r="A894" i="3"/>
  <c r="U893" i="3"/>
  <c r="W893" i="3" s="1"/>
  <c r="R893" i="3"/>
  <c r="G893" i="3"/>
  <c r="F893" i="3"/>
  <c r="A893" i="3"/>
  <c r="R892" i="3"/>
  <c r="G892" i="3"/>
  <c r="F892" i="3"/>
  <c r="A892" i="3"/>
  <c r="R891" i="3"/>
  <c r="G891" i="3"/>
  <c r="F891" i="3"/>
  <c r="A891" i="3"/>
  <c r="G890" i="3"/>
  <c r="F890" i="3"/>
  <c r="R890" i="3" s="1"/>
  <c r="A890" i="3"/>
  <c r="R889" i="3"/>
  <c r="G889" i="3"/>
  <c r="F889" i="3"/>
  <c r="A889" i="3"/>
  <c r="G888" i="3"/>
  <c r="F888" i="3"/>
  <c r="R888" i="3" s="1"/>
  <c r="A888" i="3"/>
  <c r="R887" i="3"/>
  <c r="G887" i="3"/>
  <c r="F887" i="3"/>
  <c r="A887" i="3"/>
  <c r="G886" i="3"/>
  <c r="F886" i="3"/>
  <c r="R886" i="3" s="1"/>
  <c r="A886" i="3"/>
  <c r="R885" i="3"/>
  <c r="G885" i="3"/>
  <c r="F885" i="3"/>
  <c r="A885" i="3"/>
  <c r="G884" i="3"/>
  <c r="F884" i="3"/>
  <c r="R884" i="3" s="1"/>
  <c r="A884" i="3"/>
  <c r="R883" i="3"/>
  <c r="G883" i="3"/>
  <c r="F883" i="3"/>
  <c r="A883" i="3"/>
  <c r="G882" i="3"/>
  <c r="F882" i="3"/>
  <c r="R882" i="3" s="1"/>
  <c r="A882" i="3"/>
  <c r="R881" i="3"/>
  <c r="G881" i="3"/>
  <c r="F881" i="3"/>
  <c r="A881" i="3"/>
  <c r="G880" i="3"/>
  <c r="F880" i="3"/>
  <c r="R880" i="3" s="1"/>
  <c r="A880" i="3"/>
  <c r="R879" i="3"/>
  <c r="G879" i="3"/>
  <c r="F879" i="3"/>
  <c r="A879" i="3"/>
  <c r="F878" i="3"/>
  <c r="R878" i="3" s="1"/>
  <c r="A878" i="3"/>
  <c r="R877" i="3"/>
  <c r="G877" i="3"/>
  <c r="F877" i="3"/>
  <c r="A877" i="3"/>
  <c r="F876" i="3"/>
  <c r="R876" i="3" s="1"/>
  <c r="A876" i="3"/>
  <c r="R875" i="3"/>
  <c r="G875" i="3"/>
  <c r="F875" i="3"/>
  <c r="A875" i="3"/>
  <c r="F874" i="3"/>
  <c r="R874" i="3" s="1"/>
  <c r="A874" i="3"/>
  <c r="G873" i="3"/>
  <c r="F873" i="3"/>
  <c r="R873" i="3" s="1"/>
  <c r="A873" i="3"/>
  <c r="F872" i="3"/>
  <c r="R872" i="3" s="1"/>
  <c r="A872" i="3"/>
  <c r="G871" i="3"/>
  <c r="F871" i="3"/>
  <c r="R871" i="3" s="1"/>
  <c r="A871" i="3"/>
  <c r="F870" i="3"/>
  <c r="R870" i="3" s="1"/>
  <c r="A870" i="3"/>
  <c r="G869" i="3"/>
  <c r="F869" i="3"/>
  <c r="R869" i="3" s="1"/>
  <c r="A869" i="3"/>
  <c r="F868" i="3"/>
  <c r="R868" i="3" s="1"/>
  <c r="A868" i="3"/>
  <c r="G867" i="3"/>
  <c r="F867" i="3"/>
  <c r="R867" i="3" s="1"/>
  <c r="A867" i="3"/>
  <c r="F866" i="3"/>
  <c r="R866" i="3" s="1"/>
  <c r="A866" i="3"/>
  <c r="G865" i="3"/>
  <c r="F865" i="3"/>
  <c r="R865" i="3" s="1"/>
  <c r="A865" i="3"/>
  <c r="F864" i="3"/>
  <c r="R864" i="3" s="1"/>
  <c r="A864" i="3"/>
  <c r="G863" i="3"/>
  <c r="F863" i="3"/>
  <c r="R863" i="3" s="1"/>
  <c r="A863" i="3"/>
  <c r="F862" i="3"/>
  <c r="R862" i="3" s="1"/>
  <c r="A862" i="3"/>
  <c r="G861" i="3"/>
  <c r="F861" i="3"/>
  <c r="R861" i="3" s="1"/>
  <c r="A861" i="3"/>
  <c r="F860" i="3"/>
  <c r="R860" i="3" s="1"/>
  <c r="A860" i="3"/>
  <c r="G859" i="3"/>
  <c r="F859" i="3"/>
  <c r="R859" i="3" s="1"/>
  <c r="A859" i="3"/>
  <c r="F858" i="3"/>
  <c r="R858" i="3" s="1"/>
  <c r="A858" i="3"/>
  <c r="G857" i="3"/>
  <c r="F857" i="3"/>
  <c r="R857" i="3" s="1"/>
  <c r="A857" i="3"/>
  <c r="F856" i="3"/>
  <c r="R856" i="3" s="1"/>
  <c r="A856" i="3"/>
  <c r="G855" i="3"/>
  <c r="F855" i="3"/>
  <c r="R855" i="3" s="1"/>
  <c r="A855" i="3"/>
  <c r="F854" i="3"/>
  <c r="R854" i="3" s="1"/>
  <c r="A854" i="3"/>
  <c r="G853" i="3"/>
  <c r="F853" i="3"/>
  <c r="R853" i="3" s="1"/>
  <c r="A853" i="3"/>
  <c r="F852" i="3"/>
  <c r="R852" i="3" s="1"/>
  <c r="A852" i="3"/>
  <c r="U851" i="3"/>
  <c r="W851" i="3" s="1"/>
  <c r="R851" i="3"/>
  <c r="F851" i="3"/>
  <c r="G851" i="3" s="1"/>
  <c r="A851" i="3"/>
  <c r="R850" i="3"/>
  <c r="G850" i="3"/>
  <c r="F850" i="3"/>
  <c r="A850" i="3"/>
  <c r="F849" i="3"/>
  <c r="G849" i="3" s="1"/>
  <c r="A849" i="3"/>
  <c r="F848" i="3"/>
  <c r="R848" i="3" s="1"/>
  <c r="A848" i="3"/>
  <c r="F847" i="3"/>
  <c r="G847" i="3" s="1"/>
  <c r="A847" i="3"/>
  <c r="F846" i="3"/>
  <c r="R846" i="3" s="1"/>
  <c r="A846" i="3"/>
  <c r="R845" i="3"/>
  <c r="F845" i="3"/>
  <c r="G845" i="3" s="1"/>
  <c r="A845" i="3"/>
  <c r="R844" i="3"/>
  <c r="G844" i="3"/>
  <c r="F844" i="3"/>
  <c r="A844" i="3"/>
  <c r="R843" i="3"/>
  <c r="F843" i="3"/>
  <c r="G843" i="3" s="1"/>
  <c r="A843" i="3"/>
  <c r="R842" i="3"/>
  <c r="G842" i="3"/>
  <c r="F842" i="3"/>
  <c r="A842" i="3"/>
  <c r="F841" i="3"/>
  <c r="G841" i="3" s="1"/>
  <c r="A841" i="3"/>
  <c r="F840" i="3"/>
  <c r="R840" i="3" s="1"/>
  <c r="A840" i="3"/>
  <c r="F839" i="3"/>
  <c r="G839" i="3" s="1"/>
  <c r="A839" i="3"/>
  <c r="F838" i="3"/>
  <c r="R838" i="3" s="1"/>
  <c r="A838" i="3"/>
  <c r="R837" i="3"/>
  <c r="F837" i="3"/>
  <c r="G837" i="3" s="1"/>
  <c r="A837" i="3"/>
  <c r="R836" i="3"/>
  <c r="G836" i="3"/>
  <c r="F836" i="3"/>
  <c r="A836" i="3"/>
  <c r="R835" i="3"/>
  <c r="F835" i="3"/>
  <c r="G835" i="3" s="1"/>
  <c r="A835" i="3"/>
  <c r="R834" i="3"/>
  <c r="G834" i="3"/>
  <c r="F834" i="3"/>
  <c r="A834" i="3"/>
  <c r="F833" i="3"/>
  <c r="G833" i="3" s="1"/>
  <c r="A833" i="3"/>
  <c r="F832" i="3"/>
  <c r="R832" i="3" s="1"/>
  <c r="A832" i="3"/>
  <c r="F831" i="3"/>
  <c r="G831" i="3" s="1"/>
  <c r="A831" i="3"/>
  <c r="F830" i="3"/>
  <c r="R830" i="3" s="1"/>
  <c r="A830" i="3"/>
  <c r="R829" i="3"/>
  <c r="F829" i="3"/>
  <c r="G829" i="3" s="1"/>
  <c r="A829" i="3"/>
  <c r="R828" i="3"/>
  <c r="G828" i="3"/>
  <c r="F828" i="3"/>
  <c r="A828" i="3"/>
  <c r="R827" i="3"/>
  <c r="F827" i="3"/>
  <c r="G827" i="3" s="1"/>
  <c r="A827" i="3"/>
  <c r="R826" i="3"/>
  <c r="G826" i="3"/>
  <c r="F826" i="3"/>
  <c r="A826" i="3"/>
  <c r="F825" i="3"/>
  <c r="G825" i="3" s="1"/>
  <c r="A825" i="3"/>
  <c r="F824" i="3"/>
  <c r="R824" i="3" s="1"/>
  <c r="A824" i="3"/>
  <c r="F823" i="3"/>
  <c r="R823" i="3" s="1"/>
  <c r="A823" i="3"/>
  <c r="F822" i="3"/>
  <c r="R822" i="3" s="1"/>
  <c r="A822" i="3"/>
  <c r="F821" i="3"/>
  <c r="R821" i="3" s="1"/>
  <c r="A821" i="3"/>
  <c r="F820" i="3"/>
  <c r="R820" i="3" s="1"/>
  <c r="A820" i="3"/>
  <c r="F819" i="3"/>
  <c r="R819" i="3" s="1"/>
  <c r="A819" i="3"/>
  <c r="F818" i="3"/>
  <c r="R818" i="3" s="1"/>
  <c r="A818" i="3"/>
  <c r="F817" i="3"/>
  <c r="R817" i="3" s="1"/>
  <c r="A817" i="3"/>
  <c r="F816" i="3"/>
  <c r="R816" i="3" s="1"/>
  <c r="A816" i="3"/>
  <c r="F815" i="3"/>
  <c r="R815" i="3" s="1"/>
  <c r="A815" i="3"/>
  <c r="F814" i="3"/>
  <c r="R814" i="3" s="1"/>
  <c r="A814" i="3"/>
  <c r="F813" i="3"/>
  <c r="R813" i="3" s="1"/>
  <c r="A813" i="3"/>
  <c r="F812" i="3"/>
  <c r="R812" i="3" s="1"/>
  <c r="A812" i="3"/>
  <c r="F811" i="3"/>
  <c r="R811" i="3" s="1"/>
  <c r="A811" i="3"/>
  <c r="F810" i="3"/>
  <c r="R810" i="3" s="1"/>
  <c r="A810" i="3"/>
  <c r="F809" i="3"/>
  <c r="R809" i="3" s="1"/>
  <c r="A809" i="3"/>
  <c r="F808" i="3"/>
  <c r="R808" i="3" s="1"/>
  <c r="A808" i="3"/>
  <c r="F807" i="3"/>
  <c r="R807" i="3" s="1"/>
  <c r="A807" i="3"/>
  <c r="F806" i="3"/>
  <c r="R806" i="3" s="1"/>
  <c r="A806" i="3"/>
  <c r="F805" i="3"/>
  <c r="R805" i="3" s="1"/>
  <c r="A805" i="3"/>
  <c r="F804" i="3"/>
  <c r="R804" i="3" s="1"/>
  <c r="A804" i="3"/>
  <c r="F803" i="3"/>
  <c r="R803" i="3" s="1"/>
  <c r="A803" i="3"/>
  <c r="F802" i="3"/>
  <c r="R802" i="3" s="1"/>
  <c r="A802" i="3"/>
  <c r="F801" i="3"/>
  <c r="R801" i="3" s="1"/>
  <c r="A801" i="3"/>
  <c r="F800" i="3"/>
  <c r="R800" i="3" s="1"/>
  <c r="A800" i="3"/>
  <c r="F799" i="3"/>
  <c r="R799" i="3" s="1"/>
  <c r="A799" i="3"/>
  <c r="F798" i="3"/>
  <c r="R798" i="3" s="1"/>
  <c r="A798" i="3"/>
  <c r="F797" i="3"/>
  <c r="R797" i="3" s="1"/>
  <c r="A797" i="3"/>
  <c r="F796" i="3"/>
  <c r="R796" i="3" s="1"/>
  <c r="A796" i="3"/>
  <c r="F795" i="3"/>
  <c r="R795" i="3" s="1"/>
  <c r="A795" i="3"/>
  <c r="F794" i="3"/>
  <c r="R794" i="3" s="1"/>
  <c r="A794" i="3"/>
  <c r="F793" i="3"/>
  <c r="R793" i="3" s="1"/>
  <c r="A793" i="3"/>
  <c r="F792" i="3"/>
  <c r="R792" i="3" s="1"/>
  <c r="A792" i="3"/>
  <c r="F791" i="3"/>
  <c r="R791" i="3" s="1"/>
  <c r="A791" i="3"/>
  <c r="F790" i="3"/>
  <c r="R790" i="3" s="1"/>
  <c r="A790" i="3"/>
  <c r="F789" i="3"/>
  <c r="R789" i="3" s="1"/>
  <c r="A789" i="3"/>
  <c r="F788" i="3"/>
  <c r="R788" i="3" s="1"/>
  <c r="A788" i="3"/>
  <c r="F787" i="3"/>
  <c r="R787" i="3" s="1"/>
  <c r="A787" i="3"/>
  <c r="F786" i="3"/>
  <c r="R786" i="3" s="1"/>
  <c r="A786" i="3"/>
  <c r="F785" i="3"/>
  <c r="R785" i="3" s="1"/>
  <c r="A785" i="3"/>
  <c r="F784" i="3"/>
  <c r="R784" i="3" s="1"/>
  <c r="A784" i="3"/>
  <c r="F783" i="3"/>
  <c r="R783" i="3" s="1"/>
  <c r="A783" i="3"/>
  <c r="F782" i="3"/>
  <c r="R782" i="3" s="1"/>
  <c r="A782" i="3"/>
  <c r="F781" i="3"/>
  <c r="R781" i="3" s="1"/>
  <c r="A781" i="3"/>
  <c r="F780" i="3"/>
  <c r="R780" i="3" s="1"/>
  <c r="A780" i="3"/>
  <c r="F779" i="3"/>
  <c r="R779" i="3" s="1"/>
  <c r="A779" i="3"/>
  <c r="F778" i="3"/>
  <c r="R778" i="3" s="1"/>
  <c r="A778" i="3"/>
  <c r="F777" i="3"/>
  <c r="R777" i="3" s="1"/>
  <c r="A777" i="3"/>
  <c r="F776" i="3"/>
  <c r="R776" i="3" s="1"/>
  <c r="A776" i="3"/>
  <c r="F775" i="3"/>
  <c r="R775" i="3" s="1"/>
  <c r="A775" i="3"/>
  <c r="F774" i="3"/>
  <c r="R774" i="3" s="1"/>
  <c r="A774" i="3"/>
  <c r="F773" i="3"/>
  <c r="R773" i="3" s="1"/>
  <c r="A773" i="3"/>
  <c r="F772" i="3"/>
  <c r="R772" i="3" s="1"/>
  <c r="A772" i="3"/>
  <c r="F771" i="3"/>
  <c r="R771" i="3" s="1"/>
  <c r="A771" i="3"/>
  <c r="F770" i="3"/>
  <c r="R770" i="3" s="1"/>
  <c r="A770" i="3"/>
  <c r="F769" i="3"/>
  <c r="R769" i="3" s="1"/>
  <c r="A769" i="3"/>
  <c r="F768" i="3"/>
  <c r="R768" i="3" s="1"/>
  <c r="A768" i="3"/>
  <c r="F767" i="3"/>
  <c r="R767" i="3" s="1"/>
  <c r="A767" i="3"/>
  <c r="F766" i="3"/>
  <c r="R766" i="3" s="1"/>
  <c r="A766" i="3"/>
  <c r="F765" i="3"/>
  <c r="R765" i="3" s="1"/>
  <c r="A765" i="3"/>
  <c r="F764" i="3"/>
  <c r="R764" i="3" s="1"/>
  <c r="A764" i="3"/>
  <c r="F763" i="3"/>
  <c r="R763" i="3" s="1"/>
  <c r="A763" i="3"/>
  <c r="U762" i="3"/>
  <c r="W762" i="3" s="1"/>
  <c r="R762" i="3"/>
  <c r="G762" i="3"/>
  <c r="F762" i="3"/>
  <c r="A762" i="3"/>
  <c r="R761" i="3"/>
  <c r="G761" i="3"/>
  <c r="F761" i="3"/>
  <c r="A761" i="3"/>
  <c r="U760" i="3"/>
  <c r="W760" i="3" s="1"/>
  <c r="F760" i="3"/>
  <c r="A760" i="3"/>
  <c r="F759" i="3"/>
  <c r="R759" i="3" s="1"/>
  <c r="A759" i="3"/>
  <c r="F758" i="3"/>
  <c r="A758" i="3"/>
  <c r="F757" i="3"/>
  <c r="R757" i="3" s="1"/>
  <c r="A757" i="3"/>
  <c r="F756" i="3"/>
  <c r="A756" i="3"/>
  <c r="F755" i="3"/>
  <c r="R755" i="3" s="1"/>
  <c r="A755" i="3"/>
  <c r="F754" i="3"/>
  <c r="A754" i="3"/>
  <c r="F753" i="3"/>
  <c r="R753" i="3" s="1"/>
  <c r="A753" i="3"/>
  <c r="F752" i="3"/>
  <c r="A752" i="3"/>
  <c r="F751" i="3"/>
  <c r="R751" i="3" s="1"/>
  <c r="A751" i="3"/>
  <c r="U750" i="3"/>
  <c r="W750" i="3" s="1"/>
  <c r="R750" i="3"/>
  <c r="G750" i="3"/>
  <c r="F750" i="3"/>
  <c r="A750" i="3"/>
  <c r="R749" i="3"/>
  <c r="G749" i="3"/>
  <c r="F749" i="3"/>
  <c r="A749" i="3"/>
  <c r="R748" i="3"/>
  <c r="G748" i="3"/>
  <c r="F748" i="3"/>
  <c r="A748" i="3"/>
  <c r="R747" i="3"/>
  <c r="G747" i="3"/>
  <c r="F747" i="3"/>
  <c r="A747" i="3"/>
  <c r="R746" i="3"/>
  <c r="G746" i="3"/>
  <c r="F746" i="3"/>
  <c r="A746" i="3"/>
  <c r="R745" i="3"/>
  <c r="G745" i="3"/>
  <c r="F745" i="3"/>
  <c r="A745" i="3"/>
  <c r="R744" i="3"/>
  <c r="G744" i="3"/>
  <c r="F744" i="3"/>
  <c r="A744" i="3"/>
  <c r="R743" i="3"/>
  <c r="G743" i="3"/>
  <c r="F743" i="3"/>
  <c r="A743" i="3"/>
  <c r="R742" i="3"/>
  <c r="G742" i="3"/>
  <c r="F742" i="3"/>
  <c r="A742" i="3"/>
  <c r="R741" i="3"/>
  <c r="G741" i="3"/>
  <c r="F741" i="3"/>
  <c r="A741" i="3"/>
  <c r="R740" i="3"/>
  <c r="G740" i="3"/>
  <c r="F740" i="3"/>
  <c r="A740" i="3"/>
  <c r="R739" i="3"/>
  <c r="G739" i="3"/>
  <c r="F739" i="3"/>
  <c r="A739" i="3"/>
  <c r="R738" i="3"/>
  <c r="G738" i="3"/>
  <c r="F738" i="3"/>
  <c r="A738" i="3"/>
  <c r="R737" i="3"/>
  <c r="G737" i="3"/>
  <c r="F737" i="3"/>
  <c r="A737" i="3"/>
  <c r="R736" i="3"/>
  <c r="G736" i="3"/>
  <c r="F736" i="3"/>
  <c r="A736" i="3"/>
  <c r="R735" i="3"/>
  <c r="G735" i="3"/>
  <c r="F735" i="3"/>
  <c r="A735" i="3"/>
  <c r="R734" i="3"/>
  <c r="G734" i="3"/>
  <c r="F734" i="3"/>
  <c r="A734" i="3"/>
  <c r="R733" i="3"/>
  <c r="G733" i="3"/>
  <c r="F733" i="3"/>
  <c r="A733" i="3"/>
  <c r="R732" i="3"/>
  <c r="G732" i="3"/>
  <c r="F732" i="3"/>
  <c r="A732" i="3"/>
  <c r="R731" i="3"/>
  <c r="G731" i="3"/>
  <c r="F731" i="3"/>
  <c r="A731" i="3"/>
  <c r="R730" i="3"/>
  <c r="G730" i="3"/>
  <c r="F730" i="3"/>
  <c r="A730" i="3"/>
  <c r="R729" i="3"/>
  <c r="G729" i="3"/>
  <c r="F729" i="3"/>
  <c r="A729" i="3"/>
  <c r="R728" i="3"/>
  <c r="G728" i="3"/>
  <c r="F728" i="3"/>
  <c r="A728" i="3"/>
  <c r="R727" i="3"/>
  <c r="G727" i="3"/>
  <c r="F727" i="3"/>
  <c r="A727" i="3"/>
  <c r="R726" i="3"/>
  <c r="G726" i="3"/>
  <c r="F726" i="3"/>
  <c r="A726" i="3"/>
  <c r="R725" i="3"/>
  <c r="G725" i="3"/>
  <c r="F725" i="3"/>
  <c r="A725" i="3"/>
  <c r="R724" i="3"/>
  <c r="G724" i="3"/>
  <c r="F724" i="3"/>
  <c r="A724" i="3"/>
  <c r="R723" i="3"/>
  <c r="G723" i="3"/>
  <c r="F723" i="3"/>
  <c r="A723" i="3"/>
  <c r="R722" i="3"/>
  <c r="G722" i="3"/>
  <c r="F722" i="3"/>
  <c r="A722" i="3"/>
  <c r="R721" i="3"/>
  <c r="G721" i="3"/>
  <c r="F721" i="3"/>
  <c r="A721" i="3"/>
  <c r="R720" i="3"/>
  <c r="G720" i="3"/>
  <c r="F720" i="3"/>
  <c r="A720" i="3"/>
  <c r="R719" i="3"/>
  <c r="G719" i="3"/>
  <c r="F719" i="3"/>
  <c r="A719" i="3"/>
  <c r="R718" i="3"/>
  <c r="G718" i="3"/>
  <c r="F718" i="3"/>
  <c r="A718" i="3"/>
  <c r="U717" i="3"/>
  <c r="W717" i="3" s="1"/>
  <c r="F717" i="3"/>
  <c r="A717" i="3"/>
  <c r="F716" i="3"/>
  <c r="R716" i="3" s="1"/>
  <c r="A716" i="3"/>
  <c r="F715" i="3"/>
  <c r="A715" i="3"/>
  <c r="F714" i="3"/>
  <c r="R714" i="3" s="1"/>
  <c r="A714" i="3"/>
  <c r="F713" i="3"/>
  <c r="A713" i="3"/>
  <c r="F712" i="3"/>
  <c r="R712" i="3" s="1"/>
  <c r="A712" i="3"/>
  <c r="F711" i="3"/>
  <c r="A711" i="3"/>
  <c r="F710" i="3"/>
  <c r="R710" i="3" s="1"/>
  <c r="A710" i="3"/>
  <c r="F709" i="3"/>
  <c r="A709" i="3"/>
  <c r="F708" i="3"/>
  <c r="R708" i="3" s="1"/>
  <c r="A708" i="3"/>
  <c r="F707" i="3"/>
  <c r="A707" i="3"/>
  <c r="F706" i="3"/>
  <c r="A706" i="3"/>
  <c r="F705" i="3"/>
  <c r="A705" i="3"/>
  <c r="F704" i="3"/>
  <c r="A704" i="3"/>
  <c r="U703" i="3"/>
  <c r="W703" i="3" s="1"/>
  <c r="R703" i="3"/>
  <c r="G703" i="3"/>
  <c r="F703" i="3"/>
  <c r="A703" i="3"/>
  <c r="R702" i="3"/>
  <c r="G702" i="3"/>
  <c r="F702" i="3"/>
  <c r="A702" i="3"/>
  <c r="R701" i="3"/>
  <c r="G701" i="3"/>
  <c r="F701" i="3"/>
  <c r="A701" i="3"/>
  <c r="R700" i="3"/>
  <c r="G700" i="3"/>
  <c r="F700" i="3"/>
  <c r="A700" i="3"/>
  <c r="R699" i="3"/>
  <c r="G699" i="3"/>
  <c r="F699" i="3"/>
  <c r="A699" i="3"/>
  <c r="R698" i="3"/>
  <c r="G698" i="3"/>
  <c r="F698" i="3"/>
  <c r="A698" i="3"/>
  <c r="R697" i="3"/>
  <c r="G697" i="3"/>
  <c r="F697" i="3"/>
  <c r="A697" i="3"/>
  <c r="R696" i="3"/>
  <c r="G696" i="3"/>
  <c r="F696" i="3"/>
  <c r="A696" i="3"/>
  <c r="R695" i="3"/>
  <c r="G695" i="3"/>
  <c r="F695" i="3"/>
  <c r="A695" i="3"/>
  <c r="R694" i="3"/>
  <c r="G694" i="3"/>
  <c r="F694" i="3"/>
  <c r="A694" i="3"/>
  <c r="R693" i="3"/>
  <c r="G693" i="3"/>
  <c r="F693" i="3"/>
  <c r="A693" i="3"/>
  <c r="R692" i="3"/>
  <c r="G692" i="3"/>
  <c r="F692" i="3"/>
  <c r="A692" i="3"/>
  <c r="R691" i="3"/>
  <c r="G691" i="3"/>
  <c r="F691" i="3"/>
  <c r="A691" i="3"/>
  <c r="R690" i="3"/>
  <c r="G690" i="3"/>
  <c r="F690" i="3"/>
  <c r="A690" i="3"/>
  <c r="R689" i="3"/>
  <c r="G689" i="3"/>
  <c r="F689" i="3"/>
  <c r="A689" i="3"/>
  <c r="R688" i="3"/>
  <c r="G688" i="3"/>
  <c r="F688" i="3"/>
  <c r="A688" i="3"/>
  <c r="R687" i="3"/>
  <c r="G687" i="3"/>
  <c r="F687" i="3"/>
  <c r="A687" i="3"/>
  <c r="U686" i="3"/>
  <c r="W686" i="3" s="1"/>
  <c r="F686" i="3"/>
  <c r="A686" i="3"/>
  <c r="F685" i="3"/>
  <c r="A685" i="3"/>
  <c r="F684" i="3"/>
  <c r="A684" i="3"/>
  <c r="F683" i="3"/>
  <c r="A683" i="3"/>
  <c r="F682" i="3"/>
  <c r="A682" i="3"/>
  <c r="F681" i="3"/>
  <c r="A681" i="3"/>
  <c r="F680" i="3"/>
  <c r="A680" i="3"/>
  <c r="U679" i="3"/>
  <c r="W679" i="3" s="1"/>
  <c r="R679" i="3"/>
  <c r="G679" i="3"/>
  <c r="F679" i="3"/>
  <c r="A679" i="3"/>
  <c r="R678" i="3"/>
  <c r="G678" i="3"/>
  <c r="F678" i="3"/>
  <c r="A678" i="3"/>
  <c r="R677" i="3"/>
  <c r="G677" i="3"/>
  <c r="F677" i="3"/>
  <c r="A677" i="3"/>
  <c r="R676" i="3"/>
  <c r="G676" i="3"/>
  <c r="F676" i="3"/>
  <c r="A676" i="3"/>
  <c r="R675" i="3"/>
  <c r="G675" i="3"/>
  <c r="F675" i="3"/>
  <c r="A675" i="3"/>
  <c r="U674" i="3"/>
  <c r="W674" i="3" s="1"/>
  <c r="F674" i="3"/>
  <c r="A674" i="3"/>
  <c r="F673" i="3"/>
  <c r="A673" i="3"/>
  <c r="F672" i="3"/>
  <c r="A672" i="3"/>
  <c r="F671" i="3"/>
  <c r="A671" i="3"/>
  <c r="U670" i="3"/>
  <c r="W670" i="3" s="1"/>
  <c r="R670" i="3"/>
  <c r="G670" i="3"/>
  <c r="F670" i="3"/>
  <c r="A670" i="3"/>
  <c r="R669" i="3"/>
  <c r="G669" i="3"/>
  <c r="F669" i="3"/>
  <c r="A669" i="3"/>
  <c r="R668" i="3"/>
  <c r="G668" i="3"/>
  <c r="F668" i="3"/>
  <c r="A668" i="3"/>
  <c r="R667" i="3"/>
  <c r="G667" i="3"/>
  <c r="F667" i="3"/>
  <c r="A667" i="3"/>
  <c r="R666" i="3"/>
  <c r="G666" i="3"/>
  <c r="F666" i="3"/>
  <c r="A666" i="3"/>
  <c r="R665" i="3"/>
  <c r="G665" i="3"/>
  <c r="F665" i="3"/>
  <c r="A665" i="3"/>
  <c r="R664" i="3"/>
  <c r="G664" i="3"/>
  <c r="F664" i="3"/>
  <c r="A664" i="3"/>
  <c r="U663" i="3"/>
  <c r="W663" i="3" s="1"/>
  <c r="F663" i="3"/>
  <c r="A663" i="3"/>
  <c r="F662" i="3"/>
  <c r="A662" i="3"/>
  <c r="F661" i="3"/>
  <c r="A661" i="3"/>
  <c r="F660" i="3"/>
  <c r="A660" i="3"/>
  <c r="F659" i="3"/>
  <c r="A659" i="3"/>
  <c r="F658" i="3"/>
  <c r="A658" i="3"/>
  <c r="F657" i="3"/>
  <c r="A657" i="3"/>
  <c r="F656" i="3"/>
  <c r="A656" i="3"/>
  <c r="F655" i="3"/>
  <c r="A655" i="3"/>
  <c r="F654" i="3"/>
  <c r="A654" i="3"/>
  <c r="F653" i="3"/>
  <c r="A653" i="3"/>
  <c r="F652" i="3"/>
  <c r="A652" i="3"/>
  <c r="F651" i="3"/>
  <c r="A651" i="3"/>
  <c r="F650" i="3"/>
  <c r="A650" i="3"/>
  <c r="F649" i="3"/>
  <c r="A649" i="3"/>
  <c r="F648" i="3"/>
  <c r="A648" i="3"/>
  <c r="F647" i="3"/>
  <c r="A647" i="3"/>
  <c r="U646" i="3"/>
  <c r="W646" i="3" s="1"/>
  <c r="R646" i="3"/>
  <c r="G646" i="3"/>
  <c r="F646" i="3"/>
  <c r="A646" i="3"/>
  <c r="R645" i="3"/>
  <c r="G645" i="3"/>
  <c r="F645" i="3"/>
  <c r="A645" i="3"/>
  <c r="R644" i="3"/>
  <c r="G644" i="3"/>
  <c r="F644" i="3"/>
  <c r="A644" i="3"/>
  <c r="R643" i="3"/>
  <c r="G643" i="3"/>
  <c r="F643" i="3"/>
  <c r="A643" i="3"/>
  <c r="R642" i="3"/>
  <c r="G642" i="3"/>
  <c r="F642" i="3"/>
  <c r="A642" i="3"/>
  <c r="R641" i="3"/>
  <c r="G641" i="3"/>
  <c r="F641" i="3"/>
  <c r="A641" i="3"/>
  <c r="R640" i="3"/>
  <c r="G640" i="3"/>
  <c r="F640" i="3"/>
  <c r="A640" i="3"/>
  <c r="R639" i="3"/>
  <c r="G639" i="3"/>
  <c r="F639" i="3"/>
  <c r="A639" i="3"/>
  <c r="R638" i="3"/>
  <c r="G638" i="3"/>
  <c r="F638" i="3"/>
  <c r="A638" i="3"/>
  <c r="R637" i="3"/>
  <c r="G637" i="3"/>
  <c r="F637" i="3"/>
  <c r="A637" i="3"/>
  <c r="R636" i="3"/>
  <c r="G636" i="3"/>
  <c r="F636" i="3"/>
  <c r="A636" i="3"/>
  <c r="R635" i="3"/>
  <c r="G635" i="3"/>
  <c r="F635" i="3"/>
  <c r="A635" i="3"/>
  <c r="R634" i="3"/>
  <c r="G634" i="3"/>
  <c r="F634" i="3"/>
  <c r="A634" i="3"/>
  <c r="R633" i="3"/>
  <c r="G633" i="3"/>
  <c r="F633" i="3"/>
  <c r="A633" i="3"/>
  <c r="R632" i="3"/>
  <c r="G632" i="3"/>
  <c r="F632" i="3"/>
  <c r="A632" i="3"/>
  <c r="R631" i="3"/>
  <c r="G631" i="3"/>
  <c r="F631" i="3"/>
  <c r="A631" i="3"/>
  <c r="R630" i="3"/>
  <c r="G630" i="3"/>
  <c r="F630" i="3"/>
  <c r="A630" i="3"/>
  <c r="R629" i="3"/>
  <c r="G629" i="3"/>
  <c r="F629" i="3"/>
  <c r="A629" i="3"/>
  <c r="R628" i="3"/>
  <c r="G628" i="3"/>
  <c r="F628" i="3"/>
  <c r="A628" i="3"/>
  <c r="R627" i="3"/>
  <c r="G627" i="3"/>
  <c r="F627" i="3"/>
  <c r="A627" i="3"/>
  <c r="R626" i="3"/>
  <c r="G626" i="3"/>
  <c r="F626" i="3"/>
  <c r="A626" i="3"/>
  <c r="R625" i="3"/>
  <c r="G625" i="3"/>
  <c r="F625" i="3"/>
  <c r="A625" i="3"/>
  <c r="R624" i="3"/>
  <c r="G624" i="3"/>
  <c r="F624" i="3"/>
  <c r="A624" i="3"/>
  <c r="R623" i="3"/>
  <c r="G623" i="3"/>
  <c r="F623" i="3"/>
  <c r="A623" i="3"/>
  <c r="R622" i="3"/>
  <c r="G622" i="3"/>
  <c r="F622" i="3"/>
  <c r="A622" i="3"/>
  <c r="R621" i="3"/>
  <c r="G621" i="3"/>
  <c r="F621" i="3"/>
  <c r="A621" i="3"/>
  <c r="R620" i="3"/>
  <c r="G620" i="3"/>
  <c r="F620" i="3"/>
  <c r="A620" i="3"/>
  <c r="U619" i="3"/>
  <c r="W619" i="3" s="1"/>
  <c r="F619" i="3"/>
  <c r="A619" i="3"/>
  <c r="F618" i="3"/>
  <c r="R618" i="3" s="1"/>
  <c r="A618" i="3"/>
  <c r="F617" i="3"/>
  <c r="A617" i="3"/>
  <c r="F616" i="3"/>
  <c r="R616" i="3" s="1"/>
  <c r="A616" i="3"/>
  <c r="F615" i="3"/>
  <c r="A615" i="3"/>
  <c r="F614" i="3"/>
  <c r="R614" i="3" s="1"/>
  <c r="A614" i="3"/>
  <c r="F613" i="3"/>
  <c r="A613" i="3"/>
  <c r="G612" i="3"/>
  <c r="F612" i="3"/>
  <c r="R612" i="3" s="1"/>
  <c r="A612" i="3"/>
  <c r="F611" i="3"/>
  <c r="A611" i="3"/>
  <c r="F610" i="3"/>
  <c r="R610" i="3" s="1"/>
  <c r="A610" i="3"/>
  <c r="F609" i="3"/>
  <c r="A609" i="3"/>
  <c r="F608" i="3"/>
  <c r="R608" i="3" s="1"/>
  <c r="A608" i="3"/>
  <c r="F607" i="3"/>
  <c r="A607" i="3"/>
  <c r="G606" i="3"/>
  <c r="F606" i="3"/>
  <c r="R606" i="3" s="1"/>
  <c r="A606" i="3"/>
  <c r="F605" i="3"/>
  <c r="A605" i="3"/>
  <c r="G604" i="3"/>
  <c r="F604" i="3"/>
  <c r="R604" i="3" s="1"/>
  <c r="A604" i="3"/>
  <c r="G603" i="3"/>
  <c r="F603" i="3"/>
  <c r="R603" i="3" s="1"/>
  <c r="A603" i="3"/>
  <c r="F602" i="3"/>
  <c r="R602" i="3" s="1"/>
  <c r="A602" i="3"/>
  <c r="F601" i="3"/>
  <c r="R601" i="3" s="1"/>
  <c r="A601" i="3"/>
  <c r="F600" i="3"/>
  <c r="R600" i="3" s="1"/>
  <c r="A600" i="3"/>
  <c r="U599" i="3"/>
  <c r="W599" i="3" s="1"/>
  <c r="R599" i="3"/>
  <c r="G599" i="3"/>
  <c r="F599" i="3"/>
  <c r="A599" i="3"/>
  <c r="R598" i="3"/>
  <c r="G598" i="3"/>
  <c r="F598" i="3"/>
  <c r="A598" i="3"/>
  <c r="R597" i="3"/>
  <c r="G597" i="3"/>
  <c r="F597" i="3"/>
  <c r="A597" i="3"/>
  <c r="R596" i="3"/>
  <c r="G596" i="3"/>
  <c r="F596" i="3"/>
  <c r="A596" i="3"/>
  <c r="R595" i="3"/>
  <c r="G595" i="3"/>
  <c r="F595" i="3"/>
  <c r="A595" i="3"/>
  <c r="R594" i="3"/>
  <c r="G594" i="3"/>
  <c r="F594" i="3"/>
  <c r="A594" i="3"/>
  <c r="R593" i="3"/>
  <c r="G593" i="3"/>
  <c r="F593" i="3"/>
  <c r="A593" i="3"/>
  <c r="R592" i="3"/>
  <c r="G592" i="3"/>
  <c r="F592" i="3"/>
  <c r="A592" i="3"/>
  <c r="R591" i="3"/>
  <c r="F591" i="3"/>
  <c r="G591" i="3" s="1"/>
  <c r="A591" i="3"/>
  <c r="F590" i="3"/>
  <c r="R590" i="3" s="1"/>
  <c r="A590" i="3"/>
  <c r="R589" i="3"/>
  <c r="F589" i="3"/>
  <c r="G589" i="3" s="1"/>
  <c r="A589" i="3"/>
  <c r="F588" i="3"/>
  <c r="R588" i="3" s="1"/>
  <c r="A588" i="3"/>
  <c r="R587" i="3"/>
  <c r="F587" i="3"/>
  <c r="G587" i="3" s="1"/>
  <c r="A587" i="3"/>
  <c r="U586" i="3"/>
  <c r="W586" i="3" s="1"/>
  <c r="F586" i="3"/>
  <c r="R586" i="3" s="1"/>
  <c r="A586" i="3"/>
  <c r="R585" i="3"/>
  <c r="G585" i="3"/>
  <c r="F585" i="3"/>
  <c r="A585" i="3"/>
  <c r="F584" i="3"/>
  <c r="R584" i="3" s="1"/>
  <c r="A584" i="3"/>
  <c r="R583" i="3"/>
  <c r="G583" i="3"/>
  <c r="F583" i="3"/>
  <c r="A583" i="3"/>
  <c r="F582" i="3"/>
  <c r="R582" i="3" s="1"/>
  <c r="A582" i="3"/>
  <c r="U581" i="3"/>
  <c r="W581" i="3" s="1"/>
  <c r="F581" i="3"/>
  <c r="R581" i="3" s="1"/>
  <c r="A581" i="3"/>
  <c r="R580" i="3"/>
  <c r="F580" i="3"/>
  <c r="G580" i="3" s="1"/>
  <c r="A580" i="3"/>
  <c r="F579" i="3"/>
  <c r="R579" i="3" s="1"/>
  <c r="A579" i="3"/>
  <c r="R578" i="3"/>
  <c r="F578" i="3"/>
  <c r="G578" i="3" s="1"/>
  <c r="A578" i="3"/>
  <c r="F577" i="3"/>
  <c r="R577" i="3" s="1"/>
  <c r="A577" i="3"/>
  <c r="R576" i="3"/>
  <c r="F576" i="3"/>
  <c r="G576" i="3" s="1"/>
  <c r="A576" i="3"/>
  <c r="F575" i="3"/>
  <c r="R575" i="3" s="1"/>
  <c r="A575" i="3"/>
  <c r="F574" i="3"/>
  <c r="R574" i="3" s="1"/>
  <c r="A574" i="3"/>
  <c r="F573" i="3"/>
  <c r="R573" i="3" s="1"/>
  <c r="A573" i="3"/>
  <c r="F572" i="3"/>
  <c r="R572" i="3" s="1"/>
  <c r="A572" i="3"/>
  <c r="F571" i="3"/>
  <c r="R571" i="3" s="1"/>
  <c r="A571" i="3"/>
  <c r="F570" i="3"/>
  <c r="R570" i="3" s="1"/>
  <c r="A570" i="3"/>
  <c r="U569" i="3"/>
  <c r="W569" i="3" s="1"/>
  <c r="G569" i="3"/>
  <c r="F569" i="3"/>
  <c r="R569" i="3" s="1"/>
  <c r="A569" i="3"/>
  <c r="U568" i="3"/>
  <c r="W568" i="3" s="1"/>
  <c r="F568" i="3"/>
  <c r="R568" i="3" s="1"/>
  <c r="A568" i="3"/>
  <c r="F567" i="3"/>
  <c r="R567" i="3" s="1"/>
  <c r="A567" i="3"/>
  <c r="F566" i="3"/>
  <c r="R566" i="3" s="1"/>
  <c r="A566" i="3"/>
  <c r="F565" i="3"/>
  <c r="R565" i="3" s="1"/>
  <c r="A565" i="3"/>
  <c r="F564" i="3"/>
  <c r="R564" i="3" s="1"/>
  <c r="A564" i="3"/>
  <c r="F563" i="3"/>
  <c r="R563" i="3" s="1"/>
  <c r="A563" i="3"/>
  <c r="F562" i="3"/>
  <c r="R562" i="3" s="1"/>
  <c r="A562" i="3"/>
  <c r="F561" i="3"/>
  <c r="R561" i="3" s="1"/>
  <c r="A561" i="3"/>
  <c r="F560" i="3"/>
  <c r="R560" i="3" s="1"/>
  <c r="A560" i="3"/>
  <c r="F559" i="3"/>
  <c r="R559" i="3" s="1"/>
  <c r="A559" i="3"/>
  <c r="F558" i="3"/>
  <c r="R558" i="3" s="1"/>
  <c r="A558" i="3"/>
  <c r="F557" i="3"/>
  <c r="R557" i="3" s="1"/>
  <c r="A557" i="3"/>
  <c r="F556" i="3"/>
  <c r="R556" i="3" s="1"/>
  <c r="A556" i="3"/>
  <c r="F555" i="3"/>
  <c r="R555" i="3" s="1"/>
  <c r="A555" i="3"/>
  <c r="F554" i="3"/>
  <c r="R554" i="3" s="1"/>
  <c r="A554" i="3"/>
  <c r="F553" i="3"/>
  <c r="R553" i="3" s="1"/>
  <c r="A553" i="3"/>
  <c r="F552" i="3"/>
  <c r="R552" i="3" s="1"/>
  <c r="A552" i="3"/>
  <c r="F551" i="3"/>
  <c r="R551" i="3" s="1"/>
  <c r="A551" i="3"/>
  <c r="F550" i="3"/>
  <c r="R550" i="3" s="1"/>
  <c r="A550" i="3"/>
  <c r="F549" i="3"/>
  <c r="R549" i="3" s="1"/>
  <c r="A549" i="3"/>
  <c r="F548" i="3"/>
  <c r="R548" i="3" s="1"/>
  <c r="A548" i="3"/>
  <c r="F547" i="3"/>
  <c r="R547" i="3" s="1"/>
  <c r="A547" i="3"/>
  <c r="F546" i="3"/>
  <c r="R546" i="3" s="1"/>
  <c r="A546" i="3"/>
  <c r="F545" i="3"/>
  <c r="R545" i="3" s="1"/>
  <c r="A545" i="3"/>
  <c r="F544" i="3"/>
  <c r="R544" i="3" s="1"/>
  <c r="A544" i="3"/>
  <c r="F543" i="3"/>
  <c r="R543" i="3" s="1"/>
  <c r="A543" i="3"/>
  <c r="F542" i="3"/>
  <c r="R542" i="3" s="1"/>
  <c r="A542" i="3"/>
  <c r="F541" i="3"/>
  <c r="R541" i="3" s="1"/>
  <c r="A541" i="3"/>
  <c r="F540" i="3"/>
  <c r="R540" i="3" s="1"/>
  <c r="A540" i="3"/>
  <c r="F539" i="3"/>
  <c r="R539" i="3" s="1"/>
  <c r="A539" i="3"/>
  <c r="F538" i="3"/>
  <c r="R538" i="3" s="1"/>
  <c r="A538" i="3"/>
  <c r="F537" i="3"/>
  <c r="R537" i="3" s="1"/>
  <c r="A537" i="3"/>
  <c r="F536" i="3"/>
  <c r="R536" i="3" s="1"/>
  <c r="A536" i="3"/>
  <c r="F535" i="3"/>
  <c r="R535" i="3" s="1"/>
  <c r="A535" i="3"/>
  <c r="U534" i="3"/>
  <c r="W534" i="3" s="1"/>
  <c r="R534" i="3"/>
  <c r="G534" i="3"/>
  <c r="F534" i="3"/>
  <c r="A534" i="3"/>
  <c r="R533" i="3"/>
  <c r="G533" i="3"/>
  <c r="F533" i="3"/>
  <c r="A533" i="3"/>
  <c r="R532" i="3"/>
  <c r="G532" i="3"/>
  <c r="F532" i="3"/>
  <c r="A532" i="3"/>
  <c r="R531" i="3"/>
  <c r="G531" i="3"/>
  <c r="F531" i="3"/>
  <c r="A531" i="3"/>
  <c r="R530" i="3"/>
  <c r="G530" i="3"/>
  <c r="F530" i="3"/>
  <c r="A530" i="3"/>
  <c r="R529" i="3"/>
  <c r="G529" i="3"/>
  <c r="F529" i="3"/>
  <c r="A529" i="3"/>
  <c r="R528" i="3"/>
  <c r="G528" i="3"/>
  <c r="F528" i="3"/>
  <c r="A528" i="3"/>
  <c r="R527" i="3"/>
  <c r="G527" i="3"/>
  <c r="F527" i="3"/>
  <c r="A527" i="3"/>
  <c r="R526" i="3"/>
  <c r="G526" i="3"/>
  <c r="F526" i="3"/>
  <c r="A526" i="3"/>
  <c r="R525" i="3"/>
  <c r="G525" i="3"/>
  <c r="F525" i="3"/>
  <c r="A525" i="3"/>
  <c r="R524" i="3"/>
  <c r="G524" i="3"/>
  <c r="F524" i="3"/>
  <c r="A524" i="3"/>
  <c r="R523" i="3"/>
  <c r="G523" i="3"/>
  <c r="F523" i="3"/>
  <c r="A523" i="3"/>
  <c r="R522" i="3"/>
  <c r="G522" i="3"/>
  <c r="F522" i="3"/>
  <c r="A522" i="3"/>
  <c r="R521" i="3"/>
  <c r="G521" i="3"/>
  <c r="F521" i="3"/>
  <c r="A521" i="3"/>
  <c r="R520" i="3"/>
  <c r="G520" i="3"/>
  <c r="F520" i="3"/>
  <c r="A520" i="3"/>
  <c r="R519" i="3"/>
  <c r="G519" i="3"/>
  <c r="F519" i="3"/>
  <c r="A519" i="3"/>
  <c r="R518" i="3"/>
  <c r="G518" i="3"/>
  <c r="F518" i="3"/>
  <c r="A518" i="3"/>
  <c r="R517" i="3"/>
  <c r="G517" i="3"/>
  <c r="F517" i="3"/>
  <c r="A517" i="3"/>
  <c r="R516" i="3"/>
  <c r="G516" i="3"/>
  <c r="F516" i="3"/>
  <c r="A516" i="3"/>
  <c r="R515" i="3"/>
  <c r="G515" i="3"/>
  <c r="F515" i="3"/>
  <c r="A515" i="3"/>
  <c r="R514" i="3"/>
  <c r="G514" i="3"/>
  <c r="F514" i="3"/>
  <c r="A514" i="3"/>
  <c r="R513" i="3"/>
  <c r="G513" i="3"/>
  <c r="F513" i="3"/>
  <c r="A513" i="3"/>
  <c r="R512" i="3"/>
  <c r="G512" i="3"/>
  <c r="F512" i="3"/>
  <c r="A512" i="3"/>
  <c r="R511" i="3"/>
  <c r="G511" i="3"/>
  <c r="F511" i="3"/>
  <c r="A511" i="3"/>
  <c r="R510" i="3"/>
  <c r="G510" i="3"/>
  <c r="F510" i="3"/>
  <c r="A510" i="3"/>
  <c r="R509" i="3"/>
  <c r="G509" i="3"/>
  <c r="F509" i="3"/>
  <c r="A509" i="3"/>
  <c r="G508" i="3"/>
  <c r="F508" i="3"/>
  <c r="R508" i="3" s="1"/>
  <c r="A508" i="3"/>
  <c r="R507" i="3"/>
  <c r="G507" i="3"/>
  <c r="F507" i="3"/>
  <c r="A507" i="3"/>
  <c r="G506" i="3"/>
  <c r="F506" i="3"/>
  <c r="R506" i="3" s="1"/>
  <c r="A506" i="3"/>
  <c r="R505" i="3"/>
  <c r="G505" i="3"/>
  <c r="F505" i="3"/>
  <c r="A505" i="3"/>
  <c r="G504" i="3"/>
  <c r="F504" i="3"/>
  <c r="R504" i="3" s="1"/>
  <c r="A504" i="3"/>
  <c r="R503" i="3"/>
  <c r="G503" i="3"/>
  <c r="F503" i="3"/>
  <c r="A503" i="3"/>
  <c r="U502" i="3"/>
  <c r="W502" i="3" s="1"/>
  <c r="F502" i="3"/>
  <c r="R502" i="3" s="1"/>
  <c r="A502" i="3"/>
  <c r="F501" i="3"/>
  <c r="R501" i="3" s="1"/>
  <c r="A501" i="3"/>
  <c r="F500" i="3"/>
  <c r="R500" i="3" s="1"/>
  <c r="A500" i="3"/>
  <c r="F499" i="3"/>
  <c r="R499" i="3" s="1"/>
  <c r="A499" i="3"/>
  <c r="F498" i="3"/>
  <c r="R498" i="3" s="1"/>
  <c r="A498" i="3"/>
  <c r="F497" i="3"/>
  <c r="R497" i="3" s="1"/>
  <c r="A497" i="3"/>
  <c r="F496" i="3"/>
  <c r="R496" i="3" s="1"/>
  <c r="A496" i="3"/>
  <c r="F495" i="3"/>
  <c r="R495" i="3" s="1"/>
  <c r="A495" i="3"/>
  <c r="F494" i="3"/>
  <c r="R494" i="3" s="1"/>
  <c r="A494" i="3"/>
  <c r="F493" i="3"/>
  <c r="R493" i="3" s="1"/>
  <c r="A493" i="3"/>
  <c r="F492" i="3"/>
  <c r="R492" i="3" s="1"/>
  <c r="A492" i="3"/>
  <c r="F491" i="3"/>
  <c r="R491" i="3" s="1"/>
  <c r="A491" i="3"/>
  <c r="F490" i="3"/>
  <c r="R490" i="3" s="1"/>
  <c r="A490" i="3"/>
  <c r="U489" i="3"/>
  <c r="W489" i="3" s="1"/>
  <c r="R489" i="3"/>
  <c r="G489" i="3"/>
  <c r="F489" i="3"/>
  <c r="A489" i="3"/>
  <c r="R488" i="3"/>
  <c r="G488" i="3"/>
  <c r="F488" i="3"/>
  <c r="A488" i="3"/>
  <c r="R487" i="3"/>
  <c r="G487" i="3"/>
  <c r="F487" i="3"/>
  <c r="A487" i="3"/>
  <c r="R486" i="3"/>
  <c r="G486" i="3"/>
  <c r="F486" i="3"/>
  <c r="A486" i="3"/>
  <c r="R485" i="3"/>
  <c r="G485" i="3"/>
  <c r="F485" i="3"/>
  <c r="A485" i="3"/>
  <c r="R484" i="3"/>
  <c r="G484" i="3"/>
  <c r="F484" i="3"/>
  <c r="A484" i="3"/>
  <c r="G483" i="3"/>
  <c r="F483" i="3"/>
  <c r="R483" i="3" s="1"/>
  <c r="A483" i="3"/>
  <c r="R482" i="3"/>
  <c r="G482" i="3"/>
  <c r="F482" i="3"/>
  <c r="A482" i="3"/>
  <c r="G481" i="3"/>
  <c r="F481" i="3"/>
  <c r="R481" i="3" s="1"/>
  <c r="A481" i="3"/>
  <c r="R480" i="3"/>
  <c r="G480" i="3"/>
  <c r="F480" i="3"/>
  <c r="A480" i="3"/>
  <c r="G479" i="3"/>
  <c r="F479" i="3"/>
  <c r="R479" i="3" s="1"/>
  <c r="A479" i="3"/>
  <c r="R478" i="3"/>
  <c r="G478" i="3"/>
  <c r="F478" i="3"/>
  <c r="A478" i="3"/>
  <c r="G477" i="3"/>
  <c r="F477" i="3"/>
  <c r="R477" i="3" s="1"/>
  <c r="A477" i="3"/>
  <c r="R476" i="3"/>
  <c r="G476" i="3"/>
  <c r="F476" i="3"/>
  <c r="A476" i="3"/>
  <c r="G475" i="3"/>
  <c r="F475" i="3"/>
  <c r="R475" i="3" s="1"/>
  <c r="A475" i="3"/>
  <c r="R474" i="3"/>
  <c r="G474" i="3"/>
  <c r="F474" i="3"/>
  <c r="A474" i="3"/>
  <c r="F473" i="3"/>
  <c r="R473" i="3" s="1"/>
  <c r="A473" i="3"/>
  <c r="R472" i="3"/>
  <c r="G472" i="3"/>
  <c r="F472" i="3"/>
  <c r="A472" i="3"/>
  <c r="F471" i="3"/>
  <c r="R471" i="3" s="1"/>
  <c r="A471" i="3"/>
  <c r="R470" i="3"/>
  <c r="G470" i="3"/>
  <c r="F470" i="3"/>
  <c r="A470" i="3"/>
  <c r="F469" i="3"/>
  <c r="R469" i="3" s="1"/>
  <c r="A469" i="3"/>
  <c r="R468" i="3"/>
  <c r="G468" i="3"/>
  <c r="F468" i="3"/>
  <c r="A468" i="3"/>
  <c r="F467" i="3"/>
  <c r="R467" i="3" s="1"/>
  <c r="A467" i="3"/>
  <c r="R466" i="3"/>
  <c r="G466" i="3"/>
  <c r="F466" i="3"/>
  <c r="A466" i="3"/>
  <c r="F465" i="3"/>
  <c r="R465" i="3" s="1"/>
  <c r="A465" i="3"/>
  <c r="R464" i="3"/>
  <c r="G464" i="3"/>
  <c r="F464" i="3"/>
  <c r="A464" i="3"/>
  <c r="F463" i="3"/>
  <c r="R463" i="3" s="1"/>
  <c r="A463" i="3"/>
  <c r="R462" i="3"/>
  <c r="G462" i="3"/>
  <c r="F462" i="3"/>
  <c r="A462" i="3"/>
  <c r="F461" i="3"/>
  <c r="R461" i="3" s="1"/>
  <c r="A461" i="3"/>
  <c r="R460" i="3"/>
  <c r="G460" i="3"/>
  <c r="F460" i="3"/>
  <c r="A460" i="3"/>
  <c r="F459" i="3"/>
  <c r="R459" i="3" s="1"/>
  <c r="A459" i="3"/>
  <c r="U458" i="3"/>
  <c r="W458" i="3" s="1"/>
  <c r="R458" i="3"/>
  <c r="G458" i="3"/>
  <c r="F458" i="3"/>
  <c r="A458" i="3"/>
  <c r="R457" i="3"/>
  <c r="F457" i="3"/>
  <c r="G457" i="3" s="1"/>
  <c r="A457" i="3"/>
  <c r="R456" i="3"/>
  <c r="G456" i="3"/>
  <c r="F456" i="3"/>
  <c r="A456" i="3"/>
  <c r="R455" i="3"/>
  <c r="F455" i="3"/>
  <c r="G455" i="3" s="1"/>
  <c r="A455" i="3"/>
  <c r="F454" i="3"/>
  <c r="R454" i="3" s="1"/>
  <c r="A454" i="3"/>
  <c r="R453" i="3"/>
  <c r="F453" i="3"/>
  <c r="G453" i="3" s="1"/>
  <c r="A453" i="3"/>
  <c r="F452" i="3"/>
  <c r="R452" i="3" s="1"/>
  <c r="A452" i="3"/>
  <c r="R451" i="3"/>
  <c r="F451" i="3"/>
  <c r="G451" i="3" s="1"/>
  <c r="A451" i="3"/>
  <c r="F450" i="3"/>
  <c r="R450" i="3" s="1"/>
  <c r="A450" i="3"/>
  <c r="F449" i="3"/>
  <c r="R449" i="3" s="1"/>
  <c r="A449" i="3"/>
  <c r="F448" i="3"/>
  <c r="R448" i="3" s="1"/>
  <c r="A448" i="3"/>
  <c r="F447" i="3"/>
  <c r="R447" i="3" s="1"/>
  <c r="A447" i="3"/>
  <c r="F446" i="3"/>
  <c r="R446" i="3" s="1"/>
  <c r="A446" i="3"/>
  <c r="F445" i="3"/>
  <c r="R445" i="3" s="1"/>
  <c r="A445" i="3"/>
  <c r="F444" i="3"/>
  <c r="R444" i="3" s="1"/>
  <c r="A444" i="3"/>
  <c r="F443" i="3"/>
  <c r="R443" i="3" s="1"/>
  <c r="A443" i="3"/>
  <c r="F442" i="3"/>
  <c r="R442" i="3" s="1"/>
  <c r="A442" i="3"/>
  <c r="F441" i="3"/>
  <c r="R441" i="3" s="1"/>
  <c r="A441" i="3"/>
  <c r="F440" i="3"/>
  <c r="R440" i="3" s="1"/>
  <c r="A440" i="3"/>
  <c r="F439" i="3"/>
  <c r="R439" i="3" s="1"/>
  <c r="A439" i="3"/>
  <c r="F438" i="3"/>
  <c r="R438" i="3" s="1"/>
  <c r="A438" i="3"/>
  <c r="F437" i="3"/>
  <c r="R437" i="3" s="1"/>
  <c r="A437" i="3"/>
  <c r="F436" i="3"/>
  <c r="R436" i="3" s="1"/>
  <c r="A436" i="3"/>
  <c r="F435" i="3"/>
  <c r="R435" i="3" s="1"/>
  <c r="A435" i="3"/>
  <c r="F434" i="3"/>
  <c r="R434" i="3" s="1"/>
  <c r="A434" i="3"/>
  <c r="F433" i="3"/>
  <c r="R433" i="3" s="1"/>
  <c r="A433" i="3"/>
  <c r="F432" i="3"/>
  <c r="R432" i="3" s="1"/>
  <c r="A432" i="3"/>
  <c r="F431" i="3"/>
  <c r="R431" i="3" s="1"/>
  <c r="A431" i="3"/>
  <c r="F430" i="3"/>
  <c r="R430" i="3" s="1"/>
  <c r="A430" i="3"/>
  <c r="F429" i="3"/>
  <c r="R429" i="3" s="1"/>
  <c r="A429" i="3"/>
  <c r="F428" i="3"/>
  <c r="R428" i="3" s="1"/>
  <c r="A428" i="3"/>
  <c r="F427" i="3"/>
  <c r="R427" i="3" s="1"/>
  <c r="A427" i="3"/>
  <c r="F426" i="3"/>
  <c r="R426" i="3" s="1"/>
  <c r="A426" i="3"/>
  <c r="F425" i="3"/>
  <c r="R425" i="3" s="1"/>
  <c r="A425" i="3"/>
  <c r="F424" i="3"/>
  <c r="R424" i="3" s="1"/>
  <c r="A424" i="3"/>
  <c r="F423" i="3"/>
  <c r="R423" i="3" s="1"/>
  <c r="A423" i="3"/>
  <c r="F422" i="3"/>
  <c r="R422" i="3" s="1"/>
  <c r="A422" i="3"/>
  <c r="F421" i="3"/>
  <c r="R421" i="3" s="1"/>
  <c r="A421" i="3"/>
  <c r="F420" i="3"/>
  <c r="R420" i="3" s="1"/>
  <c r="A420" i="3"/>
  <c r="F419" i="3"/>
  <c r="R419" i="3" s="1"/>
  <c r="A419" i="3"/>
  <c r="F418" i="3"/>
  <c r="R418" i="3" s="1"/>
  <c r="A418" i="3"/>
  <c r="F417" i="3"/>
  <c r="R417" i="3" s="1"/>
  <c r="A417" i="3"/>
  <c r="F416" i="3"/>
  <c r="R416" i="3" s="1"/>
  <c r="A416" i="3"/>
  <c r="F415" i="3"/>
  <c r="R415" i="3" s="1"/>
  <c r="A415" i="3"/>
  <c r="F414" i="3"/>
  <c r="R414" i="3" s="1"/>
  <c r="A414" i="3"/>
  <c r="F413" i="3"/>
  <c r="R413" i="3" s="1"/>
  <c r="A413" i="3"/>
  <c r="F412" i="3"/>
  <c r="R412" i="3" s="1"/>
  <c r="A412" i="3"/>
  <c r="F411" i="3"/>
  <c r="R411" i="3" s="1"/>
  <c r="A411" i="3"/>
  <c r="F410" i="3"/>
  <c r="R410" i="3" s="1"/>
  <c r="A410" i="3"/>
  <c r="F409" i="3"/>
  <c r="R409" i="3" s="1"/>
  <c r="A409" i="3"/>
  <c r="F408" i="3"/>
  <c r="R408" i="3" s="1"/>
  <c r="A408" i="3"/>
  <c r="F407" i="3"/>
  <c r="R407" i="3" s="1"/>
  <c r="A407" i="3"/>
  <c r="F406" i="3"/>
  <c r="R406" i="3" s="1"/>
  <c r="A406" i="3"/>
  <c r="F405" i="3"/>
  <c r="R405" i="3" s="1"/>
  <c r="A405" i="3"/>
  <c r="F404" i="3"/>
  <c r="R404" i="3" s="1"/>
  <c r="A404" i="3"/>
  <c r="F403" i="3"/>
  <c r="R403" i="3" s="1"/>
  <c r="A403" i="3"/>
  <c r="F402" i="3"/>
  <c r="R402" i="3" s="1"/>
  <c r="A402" i="3"/>
  <c r="F401" i="3"/>
  <c r="R401" i="3" s="1"/>
  <c r="A401" i="3"/>
  <c r="F400" i="3"/>
  <c r="R400" i="3" s="1"/>
  <c r="A400" i="3"/>
  <c r="F399" i="3"/>
  <c r="R399" i="3" s="1"/>
  <c r="A399" i="3"/>
  <c r="F398" i="3"/>
  <c r="R398" i="3" s="1"/>
  <c r="A398" i="3"/>
  <c r="F397" i="3"/>
  <c r="R397" i="3" s="1"/>
  <c r="A397" i="3"/>
  <c r="F396" i="3"/>
  <c r="R396" i="3" s="1"/>
  <c r="A396" i="3"/>
  <c r="F395" i="3"/>
  <c r="R395" i="3" s="1"/>
  <c r="A395" i="3"/>
  <c r="F394" i="3"/>
  <c r="R394" i="3" s="1"/>
  <c r="A394" i="3"/>
  <c r="F393" i="3"/>
  <c r="R393" i="3" s="1"/>
  <c r="A393" i="3"/>
  <c r="F392" i="3"/>
  <c r="R392" i="3" s="1"/>
  <c r="A392" i="3"/>
  <c r="U391" i="3"/>
  <c r="W391" i="3" s="1"/>
  <c r="R391" i="3"/>
  <c r="G391" i="3"/>
  <c r="F391" i="3"/>
  <c r="A391" i="3"/>
  <c r="R390" i="3"/>
  <c r="G390" i="3"/>
  <c r="F390" i="3"/>
  <c r="A390" i="3"/>
  <c r="R389" i="3"/>
  <c r="G389" i="3"/>
  <c r="F389" i="3"/>
  <c r="A389" i="3"/>
  <c r="R388" i="3"/>
  <c r="G388" i="3"/>
  <c r="F388" i="3"/>
  <c r="A388" i="3"/>
  <c r="R387" i="3"/>
  <c r="G387" i="3"/>
  <c r="F387" i="3"/>
  <c r="A387" i="3"/>
  <c r="R386" i="3"/>
  <c r="G386" i="3"/>
  <c r="F386" i="3"/>
  <c r="A386" i="3"/>
  <c r="R385" i="3"/>
  <c r="G385" i="3"/>
  <c r="F385" i="3"/>
  <c r="A385" i="3"/>
  <c r="R384" i="3"/>
  <c r="G384" i="3"/>
  <c r="F384" i="3"/>
  <c r="A384" i="3"/>
  <c r="R383" i="3"/>
  <c r="G383" i="3"/>
  <c r="F383" i="3"/>
  <c r="A383" i="3"/>
  <c r="R382" i="3"/>
  <c r="G382" i="3"/>
  <c r="F382" i="3"/>
  <c r="A382" i="3"/>
  <c r="R381" i="3"/>
  <c r="G381" i="3"/>
  <c r="F381" i="3"/>
  <c r="A381" i="3"/>
  <c r="R380" i="3"/>
  <c r="G380" i="3"/>
  <c r="F380" i="3"/>
  <c r="A380" i="3"/>
  <c r="R379" i="3"/>
  <c r="G379" i="3"/>
  <c r="F379" i="3"/>
  <c r="A379" i="3"/>
  <c r="R378" i="3"/>
  <c r="G378" i="3"/>
  <c r="F378" i="3"/>
  <c r="A378" i="3"/>
  <c r="R377" i="3"/>
  <c r="G377" i="3"/>
  <c r="F377" i="3"/>
  <c r="A377" i="3"/>
  <c r="R376" i="3"/>
  <c r="G376" i="3"/>
  <c r="F376" i="3"/>
  <c r="A376" i="3"/>
  <c r="R375" i="3"/>
  <c r="G375" i="3"/>
  <c r="F375" i="3"/>
  <c r="A375" i="3"/>
  <c r="R374" i="3"/>
  <c r="G374" i="3"/>
  <c r="F374" i="3"/>
  <c r="A374" i="3"/>
  <c r="R373" i="3"/>
  <c r="G373" i="3"/>
  <c r="F373" i="3"/>
  <c r="A373" i="3"/>
  <c r="U372" i="3"/>
  <c r="W372" i="3" s="1"/>
  <c r="F372" i="3"/>
  <c r="R372" i="3" s="1"/>
  <c r="A372" i="3"/>
  <c r="F371" i="3"/>
  <c r="R371" i="3" s="1"/>
  <c r="A371" i="3"/>
  <c r="F370" i="3"/>
  <c r="R370" i="3" s="1"/>
  <c r="A370" i="3"/>
  <c r="F369" i="3"/>
  <c r="R369" i="3" s="1"/>
  <c r="A369" i="3"/>
  <c r="F368" i="3"/>
  <c r="R368" i="3" s="1"/>
  <c r="A368" i="3"/>
  <c r="F367" i="3"/>
  <c r="R367" i="3" s="1"/>
  <c r="A367" i="3"/>
  <c r="F366" i="3"/>
  <c r="R366" i="3" s="1"/>
  <c r="A366" i="3"/>
  <c r="F365" i="3"/>
  <c r="R365" i="3" s="1"/>
  <c r="A365" i="3"/>
  <c r="F364" i="3"/>
  <c r="R364" i="3" s="1"/>
  <c r="A364" i="3"/>
  <c r="F363" i="3"/>
  <c r="R363" i="3" s="1"/>
  <c r="A363" i="3"/>
  <c r="F362" i="3"/>
  <c r="R362" i="3" s="1"/>
  <c r="A362" i="3"/>
  <c r="F361" i="3"/>
  <c r="R361" i="3" s="1"/>
  <c r="A361" i="3"/>
  <c r="F360" i="3"/>
  <c r="R360" i="3" s="1"/>
  <c r="A360" i="3"/>
  <c r="F359" i="3"/>
  <c r="R359" i="3" s="1"/>
  <c r="A359" i="3"/>
  <c r="F358" i="3"/>
  <c r="R358" i="3" s="1"/>
  <c r="A358" i="3"/>
  <c r="F357" i="3"/>
  <c r="R357" i="3" s="1"/>
  <c r="A357" i="3"/>
  <c r="F356" i="3"/>
  <c r="R356" i="3" s="1"/>
  <c r="A356" i="3"/>
  <c r="F355" i="3"/>
  <c r="R355" i="3" s="1"/>
  <c r="A355" i="3"/>
  <c r="F354" i="3"/>
  <c r="R354" i="3" s="1"/>
  <c r="A354" i="3"/>
  <c r="F353" i="3"/>
  <c r="R353" i="3" s="1"/>
  <c r="A353" i="3"/>
  <c r="F352" i="3"/>
  <c r="R352" i="3" s="1"/>
  <c r="A352" i="3"/>
  <c r="F351" i="3"/>
  <c r="R351" i="3" s="1"/>
  <c r="A351" i="3"/>
  <c r="F350" i="3"/>
  <c r="R350" i="3" s="1"/>
  <c r="A350" i="3"/>
  <c r="U349" i="3"/>
  <c r="W349" i="3" s="1"/>
  <c r="R349" i="3"/>
  <c r="G349" i="3"/>
  <c r="F349" i="3"/>
  <c r="A349" i="3"/>
  <c r="R348" i="3"/>
  <c r="G348" i="3"/>
  <c r="F348" i="3"/>
  <c r="A348" i="3"/>
  <c r="R347" i="3"/>
  <c r="G347" i="3"/>
  <c r="F347" i="3"/>
  <c r="A347" i="3"/>
  <c r="R346" i="3"/>
  <c r="G346" i="3"/>
  <c r="F346" i="3"/>
  <c r="A346" i="3"/>
  <c r="R345" i="3"/>
  <c r="G345" i="3"/>
  <c r="F345" i="3"/>
  <c r="A345" i="3"/>
  <c r="R344" i="3"/>
  <c r="G344" i="3"/>
  <c r="F344" i="3"/>
  <c r="A344" i="3"/>
  <c r="R343" i="3"/>
  <c r="G343" i="3"/>
  <c r="F343" i="3"/>
  <c r="A343" i="3"/>
  <c r="R342" i="3"/>
  <c r="G342" i="3"/>
  <c r="F342" i="3"/>
  <c r="A342" i="3"/>
  <c r="R341" i="3"/>
  <c r="G341" i="3"/>
  <c r="F341" i="3"/>
  <c r="A341" i="3"/>
  <c r="R340" i="3"/>
  <c r="G340" i="3"/>
  <c r="F340" i="3"/>
  <c r="A340" i="3"/>
  <c r="R339" i="3"/>
  <c r="G339" i="3"/>
  <c r="F339" i="3"/>
  <c r="A339" i="3"/>
  <c r="R338" i="3"/>
  <c r="G338" i="3"/>
  <c r="F338" i="3"/>
  <c r="A338" i="3"/>
  <c r="R337" i="3"/>
  <c r="G337" i="3"/>
  <c r="F337" i="3"/>
  <c r="A337" i="3"/>
  <c r="R336" i="3"/>
  <c r="G336" i="3"/>
  <c r="F336" i="3"/>
  <c r="A336" i="3"/>
  <c r="R335" i="3"/>
  <c r="G335" i="3"/>
  <c r="F335" i="3"/>
  <c r="A335" i="3"/>
  <c r="R334" i="3"/>
  <c r="G334" i="3"/>
  <c r="F334" i="3"/>
  <c r="A334" i="3"/>
  <c r="R333" i="3"/>
  <c r="G333" i="3"/>
  <c r="F333" i="3"/>
  <c r="A333" i="3"/>
  <c r="R332" i="3"/>
  <c r="G332" i="3"/>
  <c r="F332" i="3"/>
  <c r="A332" i="3"/>
  <c r="R331" i="3"/>
  <c r="G331" i="3"/>
  <c r="F331" i="3"/>
  <c r="A331" i="3"/>
  <c r="R330" i="3"/>
  <c r="G330" i="3"/>
  <c r="F330" i="3"/>
  <c r="A330" i="3"/>
  <c r="R329" i="3"/>
  <c r="G329" i="3"/>
  <c r="F329" i="3"/>
  <c r="A329" i="3"/>
  <c r="R328" i="3"/>
  <c r="G328" i="3"/>
  <c r="F328" i="3"/>
  <c r="A328" i="3"/>
  <c r="R327" i="3"/>
  <c r="G327" i="3"/>
  <c r="F327" i="3"/>
  <c r="A327" i="3"/>
  <c r="R326" i="3"/>
  <c r="G326" i="3"/>
  <c r="F326" i="3"/>
  <c r="A326" i="3"/>
  <c r="R325" i="3"/>
  <c r="G325" i="3"/>
  <c r="F325" i="3"/>
  <c r="A325" i="3"/>
  <c r="R324" i="3"/>
  <c r="G324" i="3"/>
  <c r="F324" i="3"/>
  <c r="A324" i="3"/>
  <c r="U323" i="3"/>
  <c r="W323" i="3" s="1"/>
  <c r="F323" i="3"/>
  <c r="R323" i="3" s="1"/>
  <c r="A323" i="3"/>
  <c r="F322" i="3"/>
  <c r="R322" i="3" s="1"/>
  <c r="A322" i="3"/>
  <c r="F321" i="3"/>
  <c r="R321" i="3" s="1"/>
  <c r="A321" i="3"/>
  <c r="F320" i="3"/>
  <c r="R320" i="3" s="1"/>
  <c r="A320" i="3"/>
  <c r="F319" i="3"/>
  <c r="R319" i="3" s="1"/>
  <c r="A319" i="3"/>
  <c r="F318" i="3"/>
  <c r="R318" i="3" s="1"/>
  <c r="A318" i="3"/>
  <c r="F317" i="3"/>
  <c r="R317" i="3" s="1"/>
  <c r="A317" i="3"/>
  <c r="F316" i="3"/>
  <c r="R316" i="3" s="1"/>
  <c r="A316" i="3"/>
  <c r="F315" i="3"/>
  <c r="R315" i="3" s="1"/>
  <c r="A315" i="3"/>
  <c r="F314" i="3"/>
  <c r="R314" i="3" s="1"/>
  <c r="A314" i="3"/>
  <c r="F313" i="3"/>
  <c r="R313" i="3" s="1"/>
  <c r="A313" i="3"/>
  <c r="F312" i="3"/>
  <c r="R312" i="3" s="1"/>
  <c r="A312" i="3"/>
  <c r="U311" i="3"/>
  <c r="W311" i="3" s="1"/>
  <c r="R311" i="3"/>
  <c r="G311" i="3"/>
  <c r="F311" i="3"/>
  <c r="A311" i="3"/>
  <c r="R310" i="3"/>
  <c r="G310" i="3"/>
  <c r="F310" i="3"/>
  <c r="A310" i="3"/>
  <c r="R309" i="3"/>
  <c r="G309" i="3"/>
  <c r="F309" i="3"/>
  <c r="A309" i="3"/>
  <c r="R308" i="3"/>
  <c r="G308" i="3"/>
  <c r="F308" i="3"/>
  <c r="A308" i="3"/>
  <c r="R307" i="3"/>
  <c r="G307" i="3"/>
  <c r="F307" i="3"/>
  <c r="A307" i="3"/>
  <c r="R306" i="3"/>
  <c r="G306" i="3"/>
  <c r="F306" i="3"/>
  <c r="A306" i="3"/>
  <c r="R305" i="3"/>
  <c r="G305" i="3"/>
  <c r="F305" i="3"/>
  <c r="A305" i="3"/>
  <c r="R304" i="3"/>
  <c r="G304" i="3"/>
  <c r="F304" i="3"/>
  <c r="A304" i="3"/>
  <c r="R303" i="3"/>
  <c r="G303" i="3"/>
  <c r="F303" i="3"/>
  <c r="A303" i="3"/>
  <c r="R302" i="3"/>
  <c r="G302" i="3"/>
  <c r="F302" i="3"/>
  <c r="A302" i="3"/>
  <c r="R301" i="3"/>
  <c r="G301" i="3"/>
  <c r="F301" i="3"/>
  <c r="A301" i="3"/>
  <c r="R300" i="3"/>
  <c r="G300" i="3"/>
  <c r="F300" i="3"/>
  <c r="A300" i="3"/>
  <c r="R299" i="3"/>
  <c r="G299" i="3"/>
  <c r="F299" i="3"/>
  <c r="A299" i="3"/>
  <c r="R298" i="3"/>
  <c r="G298" i="3"/>
  <c r="F298" i="3"/>
  <c r="A298" i="3"/>
  <c r="R297" i="3"/>
  <c r="G297" i="3"/>
  <c r="F297" i="3"/>
  <c r="A297" i="3"/>
  <c r="R296" i="3"/>
  <c r="G296" i="3"/>
  <c r="F296" i="3"/>
  <c r="A296" i="3"/>
  <c r="R295" i="3"/>
  <c r="G295" i="3"/>
  <c r="F295" i="3"/>
  <c r="A295" i="3"/>
  <c r="R294" i="3"/>
  <c r="G294" i="3"/>
  <c r="F294" i="3"/>
  <c r="A294" i="3"/>
  <c r="R293" i="3"/>
  <c r="G293" i="3"/>
  <c r="F293" i="3"/>
  <c r="A293" i="3"/>
  <c r="R292" i="3"/>
  <c r="G292" i="3"/>
  <c r="F292" i="3"/>
  <c r="A292" i="3"/>
  <c r="R291" i="3"/>
  <c r="G291" i="3"/>
  <c r="F291" i="3"/>
  <c r="A291" i="3"/>
  <c r="R290" i="3"/>
  <c r="G290" i="3"/>
  <c r="F290" i="3"/>
  <c r="A290" i="3"/>
  <c r="R289" i="3"/>
  <c r="G289" i="3"/>
  <c r="F289" i="3"/>
  <c r="A289" i="3"/>
  <c r="R288" i="3"/>
  <c r="G288" i="3"/>
  <c r="F288" i="3"/>
  <c r="A288" i="3"/>
  <c r="R287" i="3"/>
  <c r="G287" i="3"/>
  <c r="F287" i="3"/>
  <c r="A287" i="3"/>
  <c r="R286" i="3"/>
  <c r="G286" i="3"/>
  <c r="F286" i="3"/>
  <c r="A286" i="3"/>
  <c r="R285" i="3"/>
  <c r="G285" i="3"/>
  <c r="F285" i="3"/>
  <c r="A285" i="3"/>
  <c r="R284" i="3"/>
  <c r="G284" i="3"/>
  <c r="F284" i="3"/>
  <c r="A284" i="3"/>
  <c r="R283" i="3"/>
  <c r="G283" i="3"/>
  <c r="F283" i="3"/>
  <c r="A283" i="3"/>
  <c r="R282" i="3"/>
  <c r="G282" i="3"/>
  <c r="F282" i="3"/>
  <c r="A282" i="3"/>
  <c r="R281" i="3"/>
  <c r="G281" i="3"/>
  <c r="F281" i="3"/>
  <c r="A281" i="3"/>
  <c r="R280" i="3"/>
  <c r="G280" i="3"/>
  <c r="F280" i="3"/>
  <c r="A280" i="3"/>
  <c r="R279" i="3"/>
  <c r="G279" i="3"/>
  <c r="F279" i="3"/>
  <c r="A279" i="3"/>
  <c r="R278" i="3"/>
  <c r="G278" i="3"/>
  <c r="F278" i="3"/>
  <c r="A278" i="3"/>
  <c r="R277" i="3"/>
  <c r="G277" i="3"/>
  <c r="F277" i="3"/>
  <c r="A277" i="3"/>
  <c r="G276" i="3"/>
  <c r="F276" i="3"/>
  <c r="R276" i="3" s="1"/>
  <c r="A276" i="3"/>
  <c r="R275" i="3"/>
  <c r="G275" i="3"/>
  <c r="F275" i="3"/>
  <c r="A275" i="3"/>
  <c r="G274" i="3"/>
  <c r="F274" i="3"/>
  <c r="R274" i="3" s="1"/>
  <c r="A274" i="3"/>
  <c r="U273" i="3"/>
  <c r="W273" i="3" s="1"/>
  <c r="F273" i="3"/>
  <c r="R273" i="3" s="1"/>
  <c r="A273" i="3"/>
  <c r="F272" i="3"/>
  <c r="R272" i="3" s="1"/>
  <c r="A272" i="3"/>
  <c r="F271" i="3"/>
  <c r="R271" i="3" s="1"/>
  <c r="A271" i="3"/>
  <c r="F270" i="3"/>
  <c r="R270" i="3" s="1"/>
  <c r="A270" i="3"/>
  <c r="F269" i="3"/>
  <c r="R269" i="3" s="1"/>
  <c r="A269" i="3"/>
  <c r="F268" i="3"/>
  <c r="R268" i="3" s="1"/>
  <c r="A268" i="3"/>
  <c r="F267" i="3"/>
  <c r="R267" i="3" s="1"/>
  <c r="A267" i="3"/>
  <c r="F266" i="3"/>
  <c r="R266" i="3" s="1"/>
  <c r="A266" i="3"/>
  <c r="U265" i="3"/>
  <c r="W265" i="3" s="1"/>
  <c r="R265" i="3"/>
  <c r="G265" i="3"/>
  <c r="F265" i="3"/>
  <c r="A265" i="3"/>
  <c r="U264" i="3"/>
  <c r="W264" i="3" s="1"/>
  <c r="F264" i="3"/>
  <c r="R264" i="3" s="1"/>
  <c r="A264" i="3"/>
  <c r="F263" i="3"/>
  <c r="R263" i="3" s="1"/>
  <c r="A263" i="3"/>
  <c r="F262" i="3"/>
  <c r="R262" i="3" s="1"/>
  <c r="A262" i="3"/>
  <c r="F261" i="3"/>
  <c r="R261" i="3" s="1"/>
  <c r="A261" i="3"/>
  <c r="F260" i="3"/>
  <c r="R260" i="3" s="1"/>
  <c r="A260" i="3"/>
  <c r="F259" i="3"/>
  <c r="R259" i="3" s="1"/>
  <c r="A259" i="3"/>
  <c r="F258" i="3"/>
  <c r="R258" i="3" s="1"/>
  <c r="A258" i="3"/>
  <c r="F257" i="3"/>
  <c r="R257" i="3" s="1"/>
  <c r="A257" i="3"/>
  <c r="F256" i="3"/>
  <c r="R256" i="3" s="1"/>
  <c r="A256" i="3"/>
  <c r="F255" i="3"/>
  <c r="R255" i="3" s="1"/>
  <c r="A255" i="3"/>
  <c r="F254" i="3"/>
  <c r="R254" i="3" s="1"/>
  <c r="A254" i="3"/>
  <c r="F253" i="3"/>
  <c r="R253" i="3" s="1"/>
  <c r="A253" i="3"/>
  <c r="F252" i="3"/>
  <c r="R252" i="3" s="1"/>
  <c r="A252" i="3"/>
  <c r="F251" i="3"/>
  <c r="R251" i="3" s="1"/>
  <c r="A251" i="3"/>
  <c r="U250" i="3"/>
  <c r="W250" i="3" s="1"/>
  <c r="R250" i="3"/>
  <c r="G250" i="3"/>
  <c r="F250" i="3"/>
  <c r="A250" i="3"/>
  <c r="R249" i="3"/>
  <c r="G249" i="3"/>
  <c r="F249" i="3"/>
  <c r="A249" i="3"/>
  <c r="R248" i="3"/>
  <c r="G248" i="3"/>
  <c r="F248" i="3"/>
  <c r="A248" i="3"/>
  <c r="R247" i="3"/>
  <c r="G247" i="3"/>
  <c r="F247" i="3"/>
  <c r="A247" i="3"/>
  <c r="R246" i="3"/>
  <c r="G246" i="3"/>
  <c r="F246" i="3"/>
  <c r="A246" i="3"/>
  <c r="R245" i="3"/>
  <c r="G245" i="3"/>
  <c r="F245" i="3"/>
  <c r="A245" i="3"/>
  <c r="R244" i="3"/>
  <c r="G244" i="3"/>
  <c r="F244" i="3"/>
  <c r="A244" i="3"/>
  <c r="R243" i="3"/>
  <c r="G243" i="3"/>
  <c r="F243" i="3"/>
  <c r="A243" i="3"/>
  <c r="R242" i="3"/>
  <c r="G242" i="3"/>
  <c r="F242" i="3"/>
  <c r="A242" i="3"/>
  <c r="U241" i="3"/>
  <c r="W241" i="3" s="1"/>
  <c r="F241" i="3"/>
  <c r="R241" i="3" s="1"/>
  <c r="A241" i="3"/>
  <c r="F240" i="3"/>
  <c r="R240" i="3" s="1"/>
  <c r="A240" i="3"/>
  <c r="F239" i="3"/>
  <c r="R239" i="3" s="1"/>
  <c r="A239" i="3"/>
  <c r="F238" i="3"/>
  <c r="R238" i="3" s="1"/>
  <c r="A238" i="3"/>
  <c r="F237" i="3"/>
  <c r="R237" i="3" s="1"/>
  <c r="A237" i="3"/>
  <c r="F236" i="3"/>
  <c r="R236" i="3" s="1"/>
  <c r="A236" i="3"/>
  <c r="F235" i="3"/>
  <c r="R235" i="3" s="1"/>
  <c r="A235" i="3"/>
  <c r="F234" i="3"/>
  <c r="R234" i="3" s="1"/>
  <c r="A234" i="3"/>
  <c r="F233" i="3"/>
  <c r="R233" i="3" s="1"/>
  <c r="A233" i="3"/>
  <c r="F232" i="3"/>
  <c r="R232" i="3" s="1"/>
  <c r="A232" i="3"/>
  <c r="F231" i="3"/>
  <c r="R231" i="3" s="1"/>
  <c r="A231" i="3"/>
  <c r="F230" i="3"/>
  <c r="R230" i="3" s="1"/>
  <c r="A230" i="3"/>
  <c r="F229" i="3"/>
  <c r="R229" i="3" s="1"/>
  <c r="A229" i="3"/>
  <c r="F228" i="3"/>
  <c r="R228" i="3" s="1"/>
  <c r="A228" i="3"/>
  <c r="F227" i="3"/>
  <c r="R227" i="3" s="1"/>
  <c r="A227" i="3"/>
  <c r="F226" i="3"/>
  <c r="R226" i="3" s="1"/>
  <c r="A226" i="3"/>
  <c r="F225" i="3"/>
  <c r="R225" i="3" s="1"/>
  <c r="A225" i="3"/>
  <c r="F224" i="3"/>
  <c r="R224" i="3" s="1"/>
  <c r="A224" i="3"/>
  <c r="F223" i="3"/>
  <c r="R223" i="3" s="1"/>
  <c r="A223" i="3"/>
  <c r="F222" i="3"/>
  <c r="R222" i="3" s="1"/>
  <c r="A222" i="3"/>
  <c r="F221" i="3"/>
  <c r="R221" i="3" s="1"/>
  <c r="A221" i="3"/>
  <c r="F220" i="3"/>
  <c r="R220" i="3" s="1"/>
  <c r="A220" i="3"/>
  <c r="F219" i="3"/>
  <c r="R219" i="3" s="1"/>
  <c r="A219" i="3"/>
  <c r="F218" i="3"/>
  <c r="R218" i="3" s="1"/>
  <c r="A218" i="3"/>
  <c r="F217" i="3"/>
  <c r="R217" i="3" s="1"/>
  <c r="A217" i="3"/>
  <c r="F216" i="3"/>
  <c r="R216" i="3" s="1"/>
  <c r="A216" i="3"/>
  <c r="F215" i="3"/>
  <c r="R215" i="3" s="1"/>
  <c r="A215" i="3"/>
  <c r="F214" i="3"/>
  <c r="R214" i="3" s="1"/>
  <c r="A214" i="3"/>
  <c r="F213" i="3"/>
  <c r="R213" i="3" s="1"/>
  <c r="A213" i="3"/>
  <c r="F212" i="3"/>
  <c r="R212" i="3" s="1"/>
  <c r="A212" i="3"/>
  <c r="F211" i="3"/>
  <c r="R211" i="3" s="1"/>
  <c r="A211" i="3"/>
  <c r="F210" i="3"/>
  <c r="R210" i="3" s="1"/>
  <c r="A210" i="3"/>
  <c r="F209" i="3"/>
  <c r="R209" i="3" s="1"/>
  <c r="A209" i="3"/>
  <c r="F208" i="3"/>
  <c r="R208" i="3" s="1"/>
  <c r="A208" i="3"/>
  <c r="F207" i="3"/>
  <c r="R207" i="3" s="1"/>
  <c r="A207" i="3"/>
  <c r="F206" i="3"/>
  <c r="R206" i="3" s="1"/>
  <c r="A206" i="3"/>
  <c r="F205" i="3"/>
  <c r="R205" i="3" s="1"/>
  <c r="A205" i="3"/>
  <c r="F204" i="3"/>
  <c r="R204" i="3" s="1"/>
  <c r="A204" i="3"/>
  <c r="F203" i="3"/>
  <c r="R203" i="3" s="1"/>
  <c r="A203" i="3"/>
  <c r="F202" i="3"/>
  <c r="R202" i="3" s="1"/>
  <c r="A202" i="3"/>
  <c r="F201" i="3"/>
  <c r="R201" i="3" s="1"/>
  <c r="A201" i="3"/>
  <c r="F200" i="3"/>
  <c r="R200" i="3" s="1"/>
  <c r="A200" i="3"/>
  <c r="F199" i="3"/>
  <c r="R199" i="3" s="1"/>
  <c r="A199" i="3"/>
  <c r="F198" i="3"/>
  <c r="R198" i="3" s="1"/>
  <c r="A198" i="3"/>
  <c r="F197" i="3"/>
  <c r="R197" i="3" s="1"/>
  <c r="A197" i="3"/>
  <c r="F196" i="3"/>
  <c r="R196" i="3" s="1"/>
  <c r="A196" i="3"/>
  <c r="F195" i="3"/>
  <c r="R195" i="3" s="1"/>
  <c r="A195" i="3"/>
  <c r="F194" i="3"/>
  <c r="R194" i="3" s="1"/>
  <c r="A194" i="3"/>
  <c r="F193" i="3"/>
  <c r="R193" i="3" s="1"/>
  <c r="A193" i="3"/>
  <c r="F192" i="3"/>
  <c r="R192" i="3" s="1"/>
  <c r="A192" i="3"/>
  <c r="F191" i="3"/>
  <c r="R191" i="3" s="1"/>
  <c r="A191" i="3"/>
  <c r="F190" i="3"/>
  <c r="R190" i="3" s="1"/>
  <c r="A190" i="3"/>
  <c r="F189" i="3"/>
  <c r="R189" i="3" s="1"/>
  <c r="A189" i="3"/>
  <c r="F188" i="3"/>
  <c r="R188" i="3" s="1"/>
  <c r="A188" i="3"/>
  <c r="F187" i="3"/>
  <c r="R187" i="3" s="1"/>
  <c r="A187" i="3"/>
  <c r="F186" i="3"/>
  <c r="R186" i="3" s="1"/>
  <c r="A186" i="3"/>
  <c r="F185" i="3"/>
  <c r="R185" i="3" s="1"/>
  <c r="A185" i="3"/>
  <c r="F184" i="3"/>
  <c r="R184" i="3" s="1"/>
  <c r="A184" i="3"/>
  <c r="F183" i="3"/>
  <c r="R183" i="3" s="1"/>
  <c r="A183" i="3"/>
  <c r="F182" i="3"/>
  <c r="R182" i="3" s="1"/>
  <c r="A182" i="3"/>
  <c r="F181" i="3"/>
  <c r="R181" i="3" s="1"/>
  <c r="A181" i="3"/>
  <c r="F180" i="3"/>
  <c r="R180" i="3" s="1"/>
  <c r="A180" i="3"/>
  <c r="F179" i="3"/>
  <c r="R179" i="3" s="1"/>
  <c r="A179" i="3"/>
  <c r="F178" i="3"/>
  <c r="R178" i="3" s="1"/>
  <c r="A178" i="3"/>
  <c r="F177" i="3"/>
  <c r="R177" i="3" s="1"/>
  <c r="A177" i="3"/>
  <c r="F176" i="3"/>
  <c r="R176" i="3" s="1"/>
  <c r="A176" i="3"/>
  <c r="F175" i="3"/>
  <c r="R175" i="3" s="1"/>
  <c r="A175" i="3"/>
  <c r="F174" i="3"/>
  <c r="R174" i="3" s="1"/>
  <c r="A174" i="3"/>
  <c r="F173" i="3"/>
  <c r="R173" i="3" s="1"/>
  <c r="A173" i="3"/>
  <c r="F172" i="3"/>
  <c r="R172" i="3" s="1"/>
  <c r="A172" i="3"/>
  <c r="U171" i="3"/>
  <c r="W171" i="3" s="1"/>
  <c r="R171" i="3"/>
  <c r="G171" i="3"/>
  <c r="F171" i="3"/>
  <c r="A171" i="3"/>
  <c r="R170" i="3"/>
  <c r="G170" i="3"/>
  <c r="F170" i="3"/>
  <c r="A170" i="3"/>
  <c r="R169" i="3"/>
  <c r="G169" i="3"/>
  <c r="F169" i="3"/>
  <c r="A169" i="3"/>
  <c r="R168" i="3"/>
  <c r="G168" i="3"/>
  <c r="F168" i="3"/>
  <c r="A168" i="3"/>
  <c r="R167" i="3"/>
  <c r="G167" i="3"/>
  <c r="F167" i="3"/>
  <c r="A167" i="3"/>
  <c r="R166" i="3"/>
  <c r="G166" i="3"/>
  <c r="F166" i="3"/>
  <c r="A166" i="3"/>
  <c r="R165" i="3"/>
  <c r="G165" i="3"/>
  <c r="F165" i="3"/>
  <c r="A165" i="3"/>
  <c r="R164" i="3"/>
  <c r="G164" i="3"/>
  <c r="F164" i="3"/>
  <c r="A164" i="3"/>
  <c r="R163" i="3"/>
  <c r="G163" i="3"/>
  <c r="F163" i="3"/>
  <c r="A163" i="3"/>
  <c r="R162" i="3"/>
  <c r="G162" i="3"/>
  <c r="F162" i="3"/>
  <c r="A162" i="3"/>
  <c r="R161" i="3"/>
  <c r="G161" i="3"/>
  <c r="F161" i="3"/>
  <c r="A161" i="3"/>
  <c r="R160" i="3"/>
  <c r="G160" i="3"/>
  <c r="F160" i="3"/>
  <c r="A160" i="3"/>
  <c r="R159" i="3"/>
  <c r="G159" i="3"/>
  <c r="F159" i="3"/>
  <c r="A159" i="3"/>
  <c r="R158" i="3"/>
  <c r="G158" i="3"/>
  <c r="F158" i="3"/>
  <c r="A158" i="3"/>
  <c r="R157" i="3"/>
  <c r="G157" i="3"/>
  <c r="F157" i="3"/>
  <c r="A157" i="3"/>
  <c r="R156" i="3"/>
  <c r="G156" i="3"/>
  <c r="F156" i="3"/>
  <c r="A156" i="3"/>
  <c r="R155" i="3"/>
  <c r="G155" i="3"/>
  <c r="F155" i="3"/>
  <c r="A155" i="3"/>
  <c r="R154" i="3"/>
  <c r="G154" i="3"/>
  <c r="F154" i="3"/>
  <c r="A154" i="3"/>
  <c r="R153" i="3"/>
  <c r="G153" i="3"/>
  <c r="F153" i="3"/>
  <c r="A153" i="3"/>
  <c r="R152" i="3"/>
  <c r="G152" i="3"/>
  <c r="F152" i="3"/>
  <c r="A152" i="3"/>
  <c r="R151" i="3"/>
  <c r="G151" i="3"/>
  <c r="F151" i="3"/>
  <c r="A151" i="3"/>
  <c r="R150" i="3"/>
  <c r="G150" i="3"/>
  <c r="F150" i="3"/>
  <c r="A150" i="3"/>
  <c r="R149" i="3"/>
  <c r="G149" i="3"/>
  <c r="F149" i="3"/>
  <c r="A149" i="3"/>
  <c r="R148" i="3"/>
  <c r="G148" i="3"/>
  <c r="F148" i="3"/>
  <c r="A148" i="3"/>
  <c r="R147" i="3"/>
  <c r="G147" i="3"/>
  <c r="F147" i="3"/>
  <c r="A147" i="3"/>
  <c r="R146" i="3"/>
  <c r="G146" i="3"/>
  <c r="F146" i="3"/>
  <c r="A146" i="3"/>
  <c r="W145" i="3"/>
  <c r="U145" i="3"/>
  <c r="F145" i="3"/>
  <c r="R145" i="3" s="1"/>
  <c r="A145" i="3"/>
  <c r="F144" i="3"/>
  <c r="R144" i="3" s="1"/>
  <c r="A144" i="3"/>
  <c r="F143" i="3"/>
  <c r="R143" i="3" s="1"/>
  <c r="A143" i="3"/>
  <c r="F142" i="3"/>
  <c r="R142" i="3" s="1"/>
  <c r="A142" i="3"/>
  <c r="U141" i="3"/>
  <c r="W141" i="3" s="1"/>
  <c r="R141" i="3"/>
  <c r="G141" i="3"/>
  <c r="F141" i="3"/>
  <c r="A141" i="3"/>
  <c r="R140" i="3"/>
  <c r="G140" i="3"/>
  <c r="F140" i="3"/>
  <c r="A140" i="3"/>
  <c r="R139" i="3"/>
  <c r="G139" i="3"/>
  <c r="F139" i="3"/>
  <c r="A139" i="3"/>
  <c r="R138" i="3"/>
  <c r="G138" i="3"/>
  <c r="F138" i="3"/>
  <c r="A138" i="3"/>
  <c r="U137" i="3"/>
  <c r="W137" i="3" s="1"/>
  <c r="F137" i="3"/>
  <c r="R137" i="3" s="1"/>
  <c r="A137" i="3"/>
  <c r="F136" i="3"/>
  <c r="R136" i="3" s="1"/>
  <c r="A136" i="3"/>
  <c r="F135" i="3"/>
  <c r="R135" i="3" s="1"/>
  <c r="A135" i="3"/>
  <c r="F134" i="3"/>
  <c r="R134" i="3" s="1"/>
  <c r="A134" i="3"/>
  <c r="F133" i="3"/>
  <c r="R133" i="3" s="1"/>
  <c r="A133" i="3"/>
  <c r="U132" i="3"/>
  <c r="W132" i="3" s="1"/>
  <c r="R132" i="3"/>
  <c r="G132" i="3"/>
  <c r="F132" i="3"/>
  <c r="A132" i="3"/>
  <c r="R131" i="3"/>
  <c r="G131" i="3"/>
  <c r="F131" i="3"/>
  <c r="A131" i="3"/>
  <c r="R130" i="3"/>
  <c r="G130" i="3"/>
  <c r="F130" i="3"/>
  <c r="A130" i="3"/>
  <c r="R129" i="3"/>
  <c r="G129" i="3"/>
  <c r="F129" i="3"/>
  <c r="A129" i="3"/>
  <c r="R128" i="3"/>
  <c r="G128" i="3"/>
  <c r="F128" i="3"/>
  <c r="A128" i="3"/>
  <c r="R127" i="3"/>
  <c r="G127" i="3"/>
  <c r="F127" i="3"/>
  <c r="A127" i="3"/>
  <c r="R126" i="3"/>
  <c r="G126" i="3"/>
  <c r="F126" i="3"/>
  <c r="A126" i="3"/>
  <c r="R125" i="3"/>
  <c r="G125" i="3"/>
  <c r="F125" i="3"/>
  <c r="A125" i="3"/>
  <c r="R124" i="3"/>
  <c r="G124" i="3"/>
  <c r="F124" i="3"/>
  <c r="A124" i="3"/>
  <c r="R123" i="3"/>
  <c r="G123" i="3"/>
  <c r="F123" i="3"/>
  <c r="A123" i="3"/>
  <c r="R122" i="3"/>
  <c r="G122" i="3"/>
  <c r="F122" i="3"/>
  <c r="A122" i="3"/>
  <c r="R121" i="3"/>
  <c r="G121" i="3"/>
  <c r="F121" i="3"/>
  <c r="A121" i="3"/>
  <c r="R120" i="3"/>
  <c r="G120" i="3"/>
  <c r="F120" i="3"/>
  <c r="A120" i="3"/>
  <c r="R119" i="3"/>
  <c r="G119" i="3"/>
  <c r="F119" i="3"/>
  <c r="A119" i="3"/>
  <c r="R118" i="3"/>
  <c r="G118" i="3"/>
  <c r="F118" i="3"/>
  <c r="A118" i="3"/>
  <c r="R117" i="3"/>
  <c r="G117" i="3"/>
  <c r="F117" i="3"/>
  <c r="A117" i="3"/>
  <c r="R116" i="3"/>
  <c r="G116" i="3"/>
  <c r="F116" i="3"/>
  <c r="A116" i="3"/>
  <c r="R115" i="3"/>
  <c r="G115" i="3"/>
  <c r="F115" i="3"/>
  <c r="A115" i="3"/>
  <c r="R114" i="3"/>
  <c r="G114" i="3"/>
  <c r="F114" i="3"/>
  <c r="A114" i="3"/>
  <c r="R113" i="3"/>
  <c r="G113" i="3"/>
  <c r="F113" i="3"/>
  <c r="A113" i="3"/>
  <c r="R112" i="3"/>
  <c r="G112" i="3"/>
  <c r="F112" i="3"/>
  <c r="A112" i="3"/>
  <c r="R111" i="3"/>
  <c r="G111" i="3"/>
  <c r="F111" i="3"/>
  <c r="A111" i="3"/>
  <c r="R110" i="3"/>
  <c r="G110" i="3"/>
  <c r="F110" i="3"/>
  <c r="A110" i="3"/>
  <c r="R109" i="3"/>
  <c r="G109" i="3"/>
  <c r="F109" i="3"/>
  <c r="A109" i="3"/>
  <c r="R108" i="3"/>
  <c r="G108" i="3"/>
  <c r="F108" i="3"/>
  <c r="A108" i="3"/>
  <c r="R107" i="3"/>
  <c r="G107" i="3"/>
  <c r="F107" i="3"/>
  <c r="A107" i="3"/>
  <c r="R106" i="3"/>
  <c r="G106" i="3"/>
  <c r="F106" i="3"/>
  <c r="A106" i="3"/>
  <c r="R105" i="3"/>
  <c r="G105" i="3"/>
  <c r="F105" i="3"/>
  <c r="A105" i="3"/>
  <c r="R104" i="3"/>
  <c r="G104" i="3"/>
  <c r="F104" i="3"/>
  <c r="A104" i="3"/>
  <c r="R103" i="3"/>
  <c r="G103" i="3"/>
  <c r="F103" i="3"/>
  <c r="A103" i="3"/>
  <c r="R102" i="3"/>
  <c r="G102" i="3"/>
  <c r="F102" i="3"/>
  <c r="A102" i="3"/>
  <c r="R101" i="3"/>
  <c r="G101" i="3"/>
  <c r="F101" i="3"/>
  <c r="A101" i="3"/>
  <c r="R100" i="3"/>
  <c r="G100" i="3"/>
  <c r="F100" i="3"/>
  <c r="A100" i="3"/>
  <c r="R99" i="3"/>
  <c r="G99" i="3"/>
  <c r="F99" i="3"/>
  <c r="A99" i="3"/>
  <c r="R98" i="3"/>
  <c r="G98" i="3"/>
  <c r="F98" i="3"/>
  <c r="A98" i="3"/>
  <c r="R97" i="3"/>
  <c r="G97" i="3"/>
  <c r="F97" i="3"/>
  <c r="A97" i="3"/>
  <c r="R96" i="3"/>
  <c r="G96" i="3"/>
  <c r="F96" i="3"/>
  <c r="A96" i="3"/>
  <c r="R95" i="3"/>
  <c r="G95" i="3"/>
  <c r="F95" i="3"/>
  <c r="A95" i="3"/>
  <c r="R94" i="3"/>
  <c r="G94" i="3"/>
  <c r="F94" i="3"/>
  <c r="A94" i="3"/>
  <c r="R93" i="3"/>
  <c r="G93" i="3"/>
  <c r="F93" i="3"/>
  <c r="A93" i="3"/>
  <c r="U92" i="3"/>
  <c r="W92" i="3" s="1"/>
  <c r="G92" i="3"/>
  <c r="F92" i="3"/>
  <c r="R92" i="3" s="1"/>
  <c r="A92" i="3"/>
  <c r="F91" i="3"/>
  <c r="R91" i="3" s="1"/>
  <c r="A91" i="3"/>
  <c r="G90" i="3"/>
  <c r="F90" i="3"/>
  <c r="R90" i="3" s="1"/>
  <c r="A90" i="3"/>
  <c r="F89" i="3"/>
  <c r="R89" i="3" s="1"/>
  <c r="A89" i="3"/>
  <c r="G88" i="3"/>
  <c r="F88" i="3"/>
  <c r="R88" i="3" s="1"/>
  <c r="A88" i="3"/>
  <c r="F87" i="3"/>
  <c r="R87" i="3" s="1"/>
  <c r="A87" i="3"/>
  <c r="G86" i="3"/>
  <c r="F86" i="3"/>
  <c r="R86" i="3" s="1"/>
  <c r="A86" i="3"/>
  <c r="F85" i="3"/>
  <c r="R85" i="3" s="1"/>
  <c r="A85" i="3"/>
  <c r="G84" i="3"/>
  <c r="F84" i="3"/>
  <c r="R84" i="3" s="1"/>
  <c r="A84" i="3"/>
  <c r="U83" i="3"/>
  <c r="W83" i="3" s="1"/>
  <c r="R83" i="3"/>
  <c r="G83" i="3"/>
  <c r="F83" i="3"/>
  <c r="A83" i="3"/>
  <c r="R82" i="3"/>
  <c r="G82" i="3"/>
  <c r="F82" i="3"/>
  <c r="A82" i="3"/>
  <c r="R81" i="3"/>
  <c r="G81" i="3"/>
  <c r="F81" i="3"/>
  <c r="A81" i="3"/>
  <c r="R80" i="3"/>
  <c r="G80" i="3"/>
  <c r="F80" i="3"/>
  <c r="A80" i="3"/>
  <c r="R79" i="3"/>
  <c r="G79" i="3"/>
  <c r="F79" i="3"/>
  <c r="A79" i="3"/>
  <c r="R78" i="3"/>
  <c r="G78" i="3"/>
  <c r="F78" i="3"/>
  <c r="A78" i="3"/>
  <c r="R77" i="3"/>
  <c r="G77" i="3"/>
  <c r="F77" i="3"/>
  <c r="A77" i="3"/>
  <c r="R76" i="3"/>
  <c r="G76" i="3"/>
  <c r="F76" i="3"/>
  <c r="A76" i="3"/>
  <c r="R75" i="3"/>
  <c r="G75" i="3"/>
  <c r="F75" i="3"/>
  <c r="A75" i="3"/>
  <c r="R74" i="3"/>
  <c r="G74" i="3"/>
  <c r="F74" i="3"/>
  <c r="A74" i="3"/>
  <c r="R73" i="3"/>
  <c r="G73" i="3"/>
  <c r="F73" i="3"/>
  <c r="A73" i="3"/>
  <c r="R72" i="3"/>
  <c r="G72" i="3"/>
  <c r="F72" i="3"/>
  <c r="A72" i="3"/>
  <c r="R71" i="3"/>
  <c r="G71" i="3"/>
  <c r="F71" i="3"/>
  <c r="A71" i="3"/>
  <c r="R70" i="3"/>
  <c r="G70" i="3"/>
  <c r="F70" i="3"/>
  <c r="A70" i="3"/>
  <c r="R69" i="3"/>
  <c r="G69" i="3"/>
  <c r="F69" i="3"/>
  <c r="A69" i="3"/>
  <c r="R68" i="3"/>
  <c r="G68" i="3"/>
  <c r="F68" i="3"/>
  <c r="A68" i="3"/>
  <c r="R67" i="3"/>
  <c r="G67" i="3"/>
  <c r="F67" i="3"/>
  <c r="A67" i="3"/>
  <c r="R66" i="3"/>
  <c r="G66" i="3"/>
  <c r="F66" i="3"/>
  <c r="A66" i="3"/>
  <c r="R65" i="3"/>
  <c r="G65" i="3"/>
  <c r="F65" i="3"/>
  <c r="A65" i="3"/>
  <c r="R64" i="3"/>
  <c r="G64" i="3"/>
  <c r="F64" i="3"/>
  <c r="A64" i="3"/>
  <c r="R63" i="3"/>
  <c r="G63" i="3"/>
  <c r="F63" i="3"/>
  <c r="A63" i="3"/>
  <c r="R62" i="3"/>
  <c r="G62" i="3"/>
  <c r="F62" i="3"/>
  <c r="A62" i="3"/>
  <c r="R61" i="3"/>
  <c r="G61" i="3"/>
  <c r="F61" i="3"/>
  <c r="A61" i="3"/>
  <c r="R60" i="3"/>
  <c r="G60" i="3"/>
  <c r="F60" i="3"/>
  <c r="A60" i="3"/>
  <c r="R59" i="3"/>
  <c r="G59" i="3"/>
  <c r="F59" i="3"/>
  <c r="A59" i="3"/>
  <c r="R58" i="3"/>
  <c r="G58" i="3"/>
  <c r="F58" i="3"/>
  <c r="A58" i="3"/>
  <c r="R57" i="3"/>
  <c r="G57" i="3"/>
  <c r="F57" i="3"/>
  <c r="A57" i="3"/>
  <c r="R56" i="3"/>
  <c r="G56" i="3"/>
  <c r="F56" i="3"/>
  <c r="A56" i="3"/>
  <c r="R55" i="3"/>
  <c r="G55" i="3"/>
  <c r="F55" i="3"/>
  <c r="A55" i="3"/>
  <c r="R54" i="3"/>
  <c r="G54" i="3"/>
  <c r="F54" i="3"/>
  <c r="A54" i="3"/>
  <c r="R53" i="3"/>
  <c r="G53" i="3"/>
  <c r="F53" i="3"/>
  <c r="A53" i="3"/>
  <c r="U52" i="3"/>
  <c r="W52" i="3" s="1"/>
  <c r="F52" i="3"/>
  <c r="R52" i="3" s="1"/>
  <c r="A52" i="3"/>
  <c r="G51" i="3"/>
  <c r="F51" i="3"/>
  <c r="R51" i="3" s="1"/>
  <c r="A51" i="3"/>
  <c r="F50" i="3"/>
  <c r="R50" i="3" s="1"/>
  <c r="A50" i="3"/>
  <c r="G49" i="3"/>
  <c r="F49" i="3"/>
  <c r="R49" i="3" s="1"/>
  <c r="A49" i="3"/>
  <c r="F48" i="3"/>
  <c r="R48" i="3" s="1"/>
  <c r="A48" i="3"/>
  <c r="G47" i="3"/>
  <c r="F47" i="3"/>
  <c r="R47" i="3" s="1"/>
  <c r="A47" i="3"/>
  <c r="F46" i="3"/>
  <c r="R46" i="3" s="1"/>
  <c r="A46" i="3"/>
  <c r="U45" i="3"/>
  <c r="W45" i="3" s="1"/>
  <c r="R45" i="3"/>
  <c r="G45" i="3"/>
  <c r="F45" i="3"/>
  <c r="A45" i="3"/>
  <c r="R44" i="3"/>
  <c r="G44" i="3"/>
  <c r="F44" i="3"/>
  <c r="A44" i="3"/>
  <c r="R43" i="3"/>
  <c r="G43" i="3"/>
  <c r="F43" i="3"/>
  <c r="A43" i="3"/>
  <c r="R42" i="3"/>
  <c r="G42" i="3"/>
  <c r="F42" i="3"/>
  <c r="A42" i="3"/>
  <c r="R41" i="3"/>
  <c r="G41" i="3"/>
  <c r="F41" i="3"/>
  <c r="A41" i="3"/>
  <c r="R40" i="3"/>
  <c r="G40" i="3"/>
  <c r="F40" i="3"/>
  <c r="A40" i="3"/>
  <c r="R39" i="3"/>
  <c r="G39" i="3"/>
  <c r="F39" i="3"/>
  <c r="A39" i="3"/>
  <c r="R38" i="3"/>
  <c r="G38" i="3"/>
  <c r="F38" i="3"/>
  <c r="A38" i="3"/>
  <c r="R37" i="3"/>
  <c r="G37" i="3"/>
  <c r="F37" i="3"/>
  <c r="A37" i="3"/>
  <c r="R36" i="3"/>
  <c r="G36" i="3"/>
  <c r="F36" i="3"/>
  <c r="A36" i="3"/>
  <c r="R35" i="3"/>
  <c r="F35" i="3"/>
  <c r="G35" i="3" s="1"/>
  <c r="A35" i="3"/>
  <c r="R34" i="3"/>
  <c r="G34" i="3"/>
  <c r="F34" i="3"/>
  <c r="A34" i="3"/>
  <c r="R33" i="3"/>
  <c r="F33" i="3"/>
  <c r="G33" i="3" s="1"/>
  <c r="A33" i="3"/>
  <c r="R32" i="3"/>
  <c r="G32" i="3"/>
  <c r="F32" i="3"/>
  <c r="A32" i="3"/>
  <c r="R31" i="3"/>
  <c r="F31" i="3"/>
  <c r="G31" i="3" s="1"/>
  <c r="A31" i="3"/>
  <c r="R30" i="3"/>
  <c r="G30" i="3"/>
  <c r="F30" i="3"/>
  <c r="A30" i="3"/>
  <c r="R29" i="3"/>
  <c r="F29" i="3"/>
  <c r="G29" i="3" s="1"/>
  <c r="A29" i="3"/>
  <c r="R28" i="3"/>
  <c r="G28" i="3"/>
  <c r="F28" i="3"/>
  <c r="A28" i="3"/>
  <c r="R27" i="3"/>
  <c r="F27" i="3"/>
  <c r="G27" i="3" s="1"/>
  <c r="A27" i="3"/>
  <c r="R26" i="3"/>
  <c r="G26" i="3"/>
  <c r="F26" i="3"/>
  <c r="A26" i="3"/>
  <c r="R25" i="3"/>
  <c r="F25" i="3"/>
  <c r="G25" i="3" s="1"/>
  <c r="A25" i="3"/>
  <c r="R24" i="3"/>
  <c r="G24" i="3"/>
  <c r="F24" i="3"/>
  <c r="A24" i="3"/>
  <c r="R23" i="3"/>
  <c r="F23" i="3"/>
  <c r="G23" i="3" s="1"/>
  <c r="A23" i="3"/>
  <c r="R22" i="3"/>
  <c r="G22" i="3"/>
  <c r="F22" i="3"/>
  <c r="A22" i="3"/>
  <c r="R21" i="3"/>
  <c r="F21" i="3"/>
  <c r="G21" i="3" s="1"/>
  <c r="A21" i="3"/>
  <c r="R20" i="3"/>
  <c r="G20" i="3"/>
  <c r="F20" i="3"/>
  <c r="A20" i="3"/>
  <c r="R19" i="3"/>
  <c r="F19" i="3"/>
  <c r="G19" i="3" s="1"/>
  <c r="A19" i="3"/>
  <c r="U18" i="3"/>
  <c r="W18" i="3" s="1"/>
  <c r="G18" i="3"/>
  <c r="F18" i="3"/>
  <c r="R18" i="3" s="1"/>
  <c r="A18" i="3"/>
  <c r="R17" i="3"/>
  <c r="F17" i="3"/>
  <c r="G17" i="3" s="1"/>
  <c r="A17" i="3"/>
  <c r="G16" i="3"/>
  <c r="F16" i="3"/>
  <c r="R16" i="3" s="1"/>
  <c r="A16" i="3"/>
  <c r="R15" i="3"/>
  <c r="F15" i="3"/>
  <c r="G15" i="3" s="1"/>
  <c r="A15" i="3"/>
  <c r="G14" i="3"/>
  <c r="F14" i="3"/>
  <c r="R14" i="3" s="1"/>
  <c r="A14" i="3"/>
  <c r="R13" i="3"/>
  <c r="F13" i="3"/>
  <c r="G13" i="3" s="1"/>
  <c r="A13" i="3"/>
  <c r="G12" i="3"/>
  <c r="F12" i="3"/>
  <c r="R12" i="3" s="1"/>
  <c r="A12" i="3"/>
  <c r="F11" i="3"/>
  <c r="R11" i="3" s="1"/>
  <c r="A11" i="3"/>
  <c r="G10" i="3"/>
  <c r="F10" i="3"/>
  <c r="R10" i="3" s="1"/>
  <c r="A10" i="3"/>
  <c r="F9" i="3"/>
  <c r="R9" i="3" s="1"/>
  <c r="A9" i="3"/>
  <c r="G8" i="3"/>
  <c r="F8" i="3"/>
  <c r="R8" i="3" s="1"/>
  <c r="A8" i="3"/>
  <c r="F7" i="3"/>
  <c r="R7" i="3" s="1"/>
  <c r="A7" i="3"/>
  <c r="G6" i="3"/>
  <c r="F6" i="3"/>
  <c r="R6" i="3" s="1"/>
  <c r="A6" i="3"/>
  <c r="F5" i="3"/>
  <c r="R5" i="3" s="1"/>
  <c r="A5" i="3"/>
  <c r="U4" i="3"/>
  <c r="W4" i="3" s="1"/>
  <c r="R4" i="3"/>
  <c r="F4" i="3"/>
  <c r="G4" i="3" s="1"/>
  <c r="A4" i="3"/>
  <c r="R3" i="3"/>
  <c r="G3" i="3"/>
  <c r="F3" i="3"/>
  <c r="A3" i="3"/>
  <c r="R2" i="3"/>
  <c r="F2" i="3"/>
  <c r="G2" i="3" s="1"/>
  <c r="A2" i="3"/>
  <c r="G1928" i="2"/>
  <c r="F1928" i="2"/>
  <c r="A1928" i="2"/>
  <c r="G1927" i="2"/>
  <c r="F1927" i="2"/>
  <c r="A1927" i="2"/>
  <c r="G1926" i="2"/>
  <c r="F1926" i="2"/>
  <c r="A1926" i="2"/>
  <c r="G1925" i="2"/>
  <c r="F1925" i="2"/>
  <c r="A1925" i="2"/>
  <c r="G1924" i="2"/>
  <c r="F1924" i="2"/>
  <c r="A1924" i="2"/>
  <c r="F1923" i="2"/>
  <c r="G1923" i="2" s="1"/>
  <c r="A1923" i="2"/>
  <c r="F1922" i="2"/>
  <c r="G1922" i="2" s="1"/>
  <c r="A1922" i="2"/>
  <c r="F1921" i="2"/>
  <c r="G1921" i="2" s="1"/>
  <c r="A1921" i="2"/>
  <c r="G1920" i="2"/>
  <c r="F1920" i="2"/>
  <c r="A1920" i="2"/>
  <c r="G1919" i="2"/>
  <c r="F1919" i="2"/>
  <c r="A1919" i="2"/>
  <c r="G1918" i="2"/>
  <c r="F1918" i="2"/>
  <c r="A1918" i="2"/>
  <c r="G1917" i="2"/>
  <c r="F1917" i="2"/>
  <c r="A1917" i="2"/>
  <c r="G1916" i="2"/>
  <c r="F1916" i="2"/>
  <c r="A1916" i="2"/>
  <c r="F1915" i="2"/>
  <c r="G1915" i="2" s="1"/>
  <c r="A1915" i="2"/>
  <c r="F1914" i="2"/>
  <c r="G1914" i="2" s="1"/>
  <c r="A1914" i="2"/>
  <c r="F1913" i="2"/>
  <c r="G1913" i="2" s="1"/>
  <c r="A1913" i="2"/>
  <c r="G1912" i="2"/>
  <c r="F1912" i="2"/>
  <c r="A1912" i="2"/>
  <c r="G1911" i="2"/>
  <c r="F1911" i="2"/>
  <c r="A1911" i="2"/>
  <c r="G1910" i="2"/>
  <c r="F1910" i="2"/>
  <c r="A1910" i="2"/>
  <c r="G1909" i="2"/>
  <c r="F1909" i="2"/>
  <c r="A1909" i="2"/>
  <c r="G1908" i="2"/>
  <c r="F1908" i="2"/>
  <c r="A1908" i="2"/>
  <c r="F1907" i="2"/>
  <c r="G1907" i="2" s="1"/>
  <c r="A1907" i="2"/>
  <c r="F1906" i="2"/>
  <c r="G1906" i="2" s="1"/>
  <c r="A1906" i="2"/>
  <c r="F1905" i="2"/>
  <c r="G1905" i="2" s="1"/>
  <c r="A1905" i="2"/>
  <c r="G1904" i="2"/>
  <c r="F1904" i="2"/>
  <c r="A1904" i="2"/>
  <c r="G1903" i="2"/>
  <c r="F1903" i="2"/>
  <c r="A1903" i="2"/>
  <c r="G1902" i="2"/>
  <c r="F1902" i="2"/>
  <c r="A1902" i="2"/>
  <c r="G1901" i="2"/>
  <c r="F1901" i="2"/>
  <c r="A1901" i="2"/>
  <c r="G1900" i="2"/>
  <c r="F1900" i="2"/>
  <c r="A1900" i="2"/>
  <c r="F1899" i="2"/>
  <c r="G1899" i="2" s="1"/>
  <c r="A1899" i="2"/>
  <c r="F1898" i="2"/>
  <c r="G1898" i="2" s="1"/>
  <c r="A1898" i="2"/>
  <c r="F1897" i="2"/>
  <c r="G1897" i="2" s="1"/>
  <c r="A1897" i="2"/>
  <c r="G1896" i="2"/>
  <c r="F1896" i="2"/>
  <c r="A1896" i="2"/>
  <c r="G1895" i="2"/>
  <c r="F1895" i="2"/>
  <c r="A1895" i="2"/>
  <c r="G1894" i="2"/>
  <c r="F1894" i="2"/>
  <c r="A1894" i="2"/>
  <c r="G1893" i="2"/>
  <c r="F1893" i="2"/>
  <c r="A1893" i="2"/>
  <c r="G1892" i="2"/>
  <c r="F1892" i="2"/>
  <c r="A1892" i="2"/>
  <c r="F1891" i="2"/>
  <c r="G1891" i="2" s="1"/>
  <c r="A1891" i="2"/>
  <c r="F1890" i="2"/>
  <c r="G1890" i="2" s="1"/>
  <c r="A1890" i="2"/>
  <c r="F1889" i="2"/>
  <c r="G1889" i="2" s="1"/>
  <c r="A1889" i="2"/>
  <c r="G1888" i="2"/>
  <c r="F1888" i="2"/>
  <c r="A1888" i="2"/>
  <c r="G1887" i="2"/>
  <c r="F1887" i="2"/>
  <c r="A1887" i="2"/>
  <c r="G1886" i="2"/>
  <c r="F1886" i="2"/>
  <c r="A1886" i="2"/>
  <c r="G1885" i="2"/>
  <c r="F1885" i="2"/>
  <c r="A1885" i="2"/>
  <c r="G1884" i="2"/>
  <c r="F1884" i="2"/>
  <c r="A1884" i="2"/>
  <c r="F1883" i="2"/>
  <c r="G1883" i="2" s="1"/>
  <c r="A1883" i="2"/>
  <c r="F1882" i="2"/>
  <c r="G1882" i="2" s="1"/>
  <c r="A1882" i="2"/>
  <c r="F1881" i="2"/>
  <c r="G1881" i="2" s="1"/>
  <c r="A1881" i="2"/>
  <c r="G1880" i="2"/>
  <c r="F1880" i="2"/>
  <c r="A1880" i="2"/>
  <c r="G1879" i="2"/>
  <c r="F1879" i="2"/>
  <c r="A1879" i="2"/>
  <c r="G1878" i="2"/>
  <c r="F1878" i="2"/>
  <c r="A1878" i="2"/>
  <c r="G1877" i="2"/>
  <c r="F1877" i="2"/>
  <c r="A1877" i="2"/>
  <c r="G1876" i="2"/>
  <c r="F1876" i="2"/>
  <c r="A1876" i="2"/>
  <c r="F1875" i="2"/>
  <c r="G1875" i="2" s="1"/>
  <c r="A1875" i="2"/>
  <c r="F1874" i="2"/>
  <c r="G1874" i="2" s="1"/>
  <c r="A1874" i="2"/>
  <c r="F1873" i="2"/>
  <c r="G1873" i="2" s="1"/>
  <c r="A1873" i="2"/>
  <c r="G1872" i="2"/>
  <c r="F1872" i="2"/>
  <c r="A1872" i="2"/>
  <c r="F1871" i="2"/>
  <c r="G1871" i="2" s="1"/>
  <c r="A1871" i="2"/>
  <c r="G1870" i="2"/>
  <c r="F1870" i="2"/>
  <c r="A1870" i="2"/>
  <c r="G1869" i="2"/>
  <c r="F1869" i="2"/>
  <c r="A1869" i="2"/>
  <c r="G1868" i="2"/>
  <c r="F1868" i="2"/>
  <c r="A1868" i="2"/>
  <c r="F1867" i="2"/>
  <c r="G1867" i="2" s="1"/>
  <c r="A1867" i="2"/>
  <c r="F1866" i="2"/>
  <c r="G1866" i="2" s="1"/>
  <c r="A1866" i="2"/>
  <c r="F1865" i="2"/>
  <c r="G1865" i="2" s="1"/>
  <c r="A1865" i="2"/>
  <c r="G1864" i="2"/>
  <c r="F1864" i="2"/>
  <c r="A1864" i="2"/>
  <c r="F1863" i="2"/>
  <c r="G1863" i="2" s="1"/>
  <c r="A1863" i="2"/>
  <c r="G1862" i="2"/>
  <c r="F1862" i="2"/>
  <c r="A1862" i="2"/>
  <c r="G1861" i="2"/>
  <c r="F1861" i="2"/>
  <c r="A1861" i="2"/>
  <c r="G1860" i="2"/>
  <c r="F1860" i="2"/>
  <c r="A1860" i="2"/>
  <c r="F1859" i="2"/>
  <c r="G1859" i="2" s="1"/>
  <c r="A1859" i="2"/>
  <c r="F1858" i="2"/>
  <c r="G1858" i="2" s="1"/>
  <c r="A1858" i="2"/>
  <c r="F1857" i="2"/>
  <c r="G1857" i="2" s="1"/>
  <c r="A1857" i="2"/>
  <c r="G1856" i="2"/>
  <c r="F1856" i="2"/>
  <c r="A1856" i="2"/>
  <c r="F1855" i="2"/>
  <c r="G1855" i="2" s="1"/>
  <c r="A1855" i="2"/>
  <c r="G1854" i="2"/>
  <c r="F1854" i="2"/>
  <c r="A1854" i="2"/>
  <c r="G1853" i="2"/>
  <c r="F1853" i="2"/>
  <c r="A1853" i="2"/>
  <c r="G1852" i="2"/>
  <c r="F1852" i="2"/>
  <c r="A1852" i="2"/>
  <c r="F1851" i="2"/>
  <c r="G1851" i="2" s="1"/>
  <c r="A1851" i="2"/>
  <c r="F1850" i="2"/>
  <c r="G1850" i="2" s="1"/>
  <c r="A1850" i="2"/>
  <c r="F1849" i="2"/>
  <c r="G1849" i="2" s="1"/>
  <c r="A1849" i="2"/>
  <c r="G1848" i="2"/>
  <c r="F1848" i="2"/>
  <c r="A1848" i="2"/>
  <c r="G1847" i="2"/>
  <c r="F1847" i="2"/>
  <c r="A1847" i="2"/>
  <c r="G1846" i="2"/>
  <c r="F1846" i="2"/>
  <c r="A1846" i="2"/>
  <c r="G1845" i="2"/>
  <c r="F1845" i="2"/>
  <c r="A1845" i="2"/>
  <c r="G1844" i="2"/>
  <c r="F1844" i="2"/>
  <c r="A1844" i="2"/>
  <c r="F1843" i="2"/>
  <c r="G1843" i="2" s="1"/>
  <c r="A1843" i="2"/>
  <c r="F1842" i="2"/>
  <c r="G1842" i="2" s="1"/>
  <c r="A1842" i="2"/>
  <c r="F1841" i="2"/>
  <c r="G1841" i="2" s="1"/>
  <c r="A1841" i="2"/>
  <c r="G1840" i="2"/>
  <c r="F1840" i="2"/>
  <c r="A1840" i="2"/>
  <c r="G1839" i="2"/>
  <c r="F1839" i="2"/>
  <c r="A1839" i="2"/>
  <c r="G1838" i="2"/>
  <c r="F1838" i="2"/>
  <c r="A1838" i="2"/>
  <c r="G1837" i="2"/>
  <c r="F1837" i="2"/>
  <c r="A1837" i="2"/>
  <c r="G1836" i="2"/>
  <c r="F1836" i="2"/>
  <c r="A1836" i="2"/>
  <c r="F1835" i="2"/>
  <c r="G1835" i="2" s="1"/>
  <c r="A1835" i="2"/>
  <c r="F1834" i="2"/>
  <c r="G1834" i="2" s="1"/>
  <c r="A1834" i="2"/>
  <c r="F1833" i="2"/>
  <c r="G1833" i="2" s="1"/>
  <c r="A1833" i="2"/>
  <c r="G1832" i="2"/>
  <c r="F1832" i="2"/>
  <c r="A1832" i="2"/>
  <c r="G1831" i="2"/>
  <c r="F1831" i="2"/>
  <c r="A1831" i="2"/>
  <c r="G1830" i="2"/>
  <c r="F1830" i="2"/>
  <c r="A1830" i="2"/>
  <c r="G1829" i="2"/>
  <c r="F1829" i="2"/>
  <c r="A1829" i="2"/>
  <c r="G1828" i="2"/>
  <c r="F1828" i="2"/>
  <c r="A1828" i="2"/>
  <c r="F1827" i="2"/>
  <c r="G1827" i="2" s="1"/>
  <c r="A1827" i="2"/>
  <c r="F1826" i="2"/>
  <c r="G1826" i="2" s="1"/>
  <c r="A1826" i="2"/>
  <c r="F1825" i="2"/>
  <c r="G1825" i="2" s="1"/>
  <c r="A1825" i="2"/>
  <c r="F1824" i="2"/>
  <c r="G1824" i="2" s="1"/>
  <c r="A1824" i="2"/>
  <c r="F1823" i="2"/>
  <c r="G1823" i="2" s="1"/>
  <c r="A1823" i="2"/>
  <c r="G1822" i="2"/>
  <c r="F1822" i="2"/>
  <c r="A1822" i="2"/>
  <c r="G1821" i="2"/>
  <c r="F1821" i="2"/>
  <c r="A1821" i="2"/>
  <c r="G1820" i="2"/>
  <c r="F1820" i="2"/>
  <c r="A1820" i="2"/>
  <c r="F1819" i="2"/>
  <c r="G1819" i="2" s="1"/>
  <c r="A1819" i="2"/>
  <c r="F1818" i="2"/>
  <c r="G1818" i="2" s="1"/>
  <c r="A1818" i="2"/>
  <c r="F1817" i="2"/>
  <c r="G1817" i="2" s="1"/>
  <c r="A1817" i="2"/>
  <c r="F1816" i="2"/>
  <c r="G1816" i="2" s="1"/>
  <c r="A1816" i="2"/>
  <c r="F1815" i="2"/>
  <c r="G1815" i="2" s="1"/>
  <c r="A1815" i="2"/>
  <c r="G1814" i="2"/>
  <c r="F1814" i="2"/>
  <c r="A1814" i="2"/>
  <c r="G1813" i="2"/>
  <c r="F1813" i="2"/>
  <c r="A1813" i="2"/>
  <c r="G1812" i="2"/>
  <c r="F1812" i="2"/>
  <c r="A1812" i="2"/>
  <c r="F1811" i="2"/>
  <c r="G1811" i="2" s="1"/>
  <c r="A1811" i="2"/>
  <c r="F1810" i="2"/>
  <c r="G1810" i="2" s="1"/>
  <c r="A1810" i="2"/>
  <c r="F1809" i="2"/>
  <c r="G1809" i="2" s="1"/>
  <c r="A1809" i="2"/>
  <c r="F1808" i="2"/>
  <c r="G1808" i="2" s="1"/>
  <c r="A1808" i="2"/>
  <c r="G1807" i="2"/>
  <c r="F1807" i="2"/>
  <c r="A1807" i="2"/>
  <c r="G1806" i="2"/>
  <c r="F1806" i="2"/>
  <c r="A1806" i="2"/>
  <c r="G1805" i="2"/>
  <c r="F1805" i="2"/>
  <c r="A1805" i="2"/>
  <c r="F1804" i="2"/>
  <c r="G1804" i="2" s="1"/>
  <c r="A1804" i="2"/>
  <c r="F1803" i="2"/>
  <c r="G1803" i="2" s="1"/>
  <c r="A1803" i="2"/>
  <c r="G1802" i="2"/>
  <c r="F1802" i="2"/>
  <c r="A1802" i="2"/>
  <c r="F1801" i="2"/>
  <c r="G1801" i="2" s="1"/>
  <c r="A1801" i="2"/>
  <c r="F1800" i="2"/>
  <c r="G1800" i="2" s="1"/>
  <c r="A1800" i="2"/>
  <c r="F1799" i="2"/>
  <c r="G1799" i="2" s="1"/>
  <c r="A1799" i="2"/>
  <c r="F1798" i="2"/>
  <c r="G1798" i="2" s="1"/>
  <c r="A1798" i="2"/>
  <c r="F1797" i="2"/>
  <c r="G1797" i="2" s="1"/>
  <c r="A1797" i="2"/>
  <c r="G1796" i="2"/>
  <c r="F1796" i="2"/>
  <c r="A1796" i="2"/>
  <c r="G1795" i="2"/>
  <c r="F1795" i="2"/>
  <c r="A1795" i="2"/>
  <c r="G1794" i="2"/>
  <c r="F1794" i="2"/>
  <c r="A1794" i="2"/>
  <c r="F1793" i="2"/>
  <c r="G1793" i="2" s="1"/>
  <c r="A1793" i="2"/>
  <c r="F1792" i="2"/>
  <c r="G1792" i="2" s="1"/>
  <c r="A1792" i="2"/>
  <c r="F1791" i="2"/>
  <c r="G1791" i="2" s="1"/>
  <c r="A1791" i="2"/>
  <c r="F1790" i="2"/>
  <c r="G1790" i="2" s="1"/>
  <c r="A1790" i="2"/>
  <c r="F1789" i="2"/>
  <c r="G1789" i="2" s="1"/>
  <c r="A1789" i="2"/>
  <c r="G1788" i="2"/>
  <c r="F1788" i="2"/>
  <c r="A1788" i="2"/>
  <c r="G1787" i="2"/>
  <c r="F1787" i="2"/>
  <c r="A1787" i="2"/>
  <c r="G1786" i="2"/>
  <c r="F1786" i="2"/>
  <c r="A1786" i="2"/>
  <c r="F1785" i="2"/>
  <c r="G1785" i="2" s="1"/>
  <c r="A1785" i="2"/>
  <c r="F1784" i="2"/>
  <c r="G1784" i="2" s="1"/>
  <c r="A1784" i="2"/>
  <c r="F1783" i="2"/>
  <c r="G1783" i="2" s="1"/>
  <c r="A1783" i="2"/>
  <c r="F1782" i="2"/>
  <c r="G1782" i="2" s="1"/>
  <c r="A1782" i="2"/>
  <c r="F1781" i="2"/>
  <c r="G1781" i="2" s="1"/>
  <c r="A1781" i="2"/>
  <c r="G1780" i="2"/>
  <c r="F1780" i="2"/>
  <c r="A1780" i="2"/>
  <c r="G1779" i="2"/>
  <c r="F1779" i="2"/>
  <c r="A1779" i="2"/>
  <c r="G1778" i="2"/>
  <c r="F1778" i="2"/>
  <c r="A1778" i="2"/>
  <c r="F1777" i="2"/>
  <c r="G1777" i="2" s="1"/>
  <c r="A1777" i="2"/>
  <c r="F1776" i="2"/>
  <c r="G1776" i="2" s="1"/>
  <c r="A1776" i="2"/>
  <c r="F1775" i="2"/>
  <c r="G1775" i="2" s="1"/>
  <c r="A1775" i="2"/>
  <c r="F1774" i="2"/>
  <c r="G1774" i="2" s="1"/>
  <c r="A1774" i="2"/>
  <c r="F1773" i="2"/>
  <c r="G1773" i="2" s="1"/>
  <c r="A1773" i="2"/>
  <c r="G1772" i="2"/>
  <c r="F1772" i="2"/>
  <c r="A1772" i="2"/>
  <c r="G1771" i="2"/>
  <c r="F1771" i="2"/>
  <c r="A1771" i="2"/>
  <c r="G1770" i="2"/>
  <c r="F1770" i="2"/>
  <c r="A1770" i="2"/>
  <c r="F1769" i="2"/>
  <c r="G1769" i="2" s="1"/>
  <c r="A1769" i="2"/>
  <c r="F1768" i="2"/>
  <c r="G1768" i="2" s="1"/>
  <c r="A1768" i="2"/>
  <c r="F1767" i="2"/>
  <c r="G1767" i="2" s="1"/>
  <c r="A1767" i="2"/>
  <c r="F1766" i="2"/>
  <c r="G1766" i="2" s="1"/>
  <c r="A1766" i="2"/>
  <c r="F1765" i="2"/>
  <c r="G1765" i="2" s="1"/>
  <c r="A1765" i="2"/>
  <c r="G1764" i="2"/>
  <c r="F1764" i="2"/>
  <c r="A1764" i="2"/>
  <c r="G1763" i="2"/>
  <c r="F1763" i="2"/>
  <c r="A1763" i="2"/>
  <c r="G1762" i="2"/>
  <c r="F1762" i="2"/>
  <c r="A1762" i="2"/>
  <c r="F1761" i="2"/>
  <c r="G1761" i="2" s="1"/>
  <c r="A1761" i="2"/>
  <c r="F1760" i="2"/>
  <c r="G1760" i="2" s="1"/>
  <c r="A1760" i="2"/>
  <c r="F1759" i="2"/>
  <c r="G1759" i="2" s="1"/>
  <c r="A1759" i="2"/>
  <c r="F1758" i="2"/>
  <c r="G1758" i="2" s="1"/>
  <c r="A1758" i="2"/>
  <c r="F1757" i="2"/>
  <c r="G1757" i="2" s="1"/>
  <c r="A1757" i="2"/>
  <c r="G1756" i="2"/>
  <c r="F1756" i="2"/>
  <c r="A1756" i="2"/>
  <c r="G1755" i="2"/>
  <c r="F1755" i="2"/>
  <c r="A1755" i="2"/>
  <c r="G1754" i="2"/>
  <c r="F1754" i="2"/>
  <c r="A1754" i="2"/>
  <c r="F1753" i="2"/>
  <c r="G1753" i="2" s="1"/>
  <c r="A1753" i="2"/>
  <c r="F1752" i="2"/>
  <c r="G1752" i="2" s="1"/>
  <c r="A1752" i="2"/>
  <c r="F1751" i="2"/>
  <c r="G1751" i="2" s="1"/>
  <c r="A1751" i="2"/>
  <c r="F1750" i="2"/>
  <c r="G1750" i="2" s="1"/>
  <c r="A1750" i="2"/>
  <c r="F1749" i="2"/>
  <c r="G1749" i="2" s="1"/>
  <c r="A1749" i="2"/>
  <c r="G1748" i="2"/>
  <c r="F1748" i="2"/>
  <c r="A1748" i="2"/>
  <c r="G1747" i="2"/>
  <c r="F1747" i="2"/>
  <c r="A1747" i="2"/>
  <c r="G1746" i="2"/>
  <c r="F1746" i="2"/>
  <c r="A1746" i="2"/>
  <c r="F1745" i="2"/>
  <c r="G1745" i="2" s="1"/>
  <c r="A1745" i="2"/>
  <c r="F1744" i="2"/>
  <c r="G1744" i="2" s="1"/>
  <c r="A1744" i="2"/>
  <c r="F1743" i="2"/>
  <c r="G1743" i="2" s="1"/>
  <c r="A1743" i="2"/>
  <c r="F1742" i="2"/>
  <c r="G1742" i="2" s="1"/>
  <c r="A1742" i="2"/>
  <c r="F1741" i="2"/>
  <c r="G1741" i="2" s="1"/>
  <c r="A1741" i="2"/>
  <c r="G1740" i="2"/>
  <c r="F1740" i="2"/>
  <c r="A1740" i="2"/>
  <c r="G1739" i="2"/>
  <c r="F1739" i="2"/>
  <c r="A1739" i="2"/>
  <c r="G1738" i="2"/>
  <c r="F1738" i="2"/>
  <c r="A1738" i="2"/>
  <c r="F1737" i="2"/>
  <c r="G1737" i="2" s="1"/>
  <c r="A1737" i="2"/>
  <c r="F1736" i="2"/>
  <c r="G1736" i="2" s="1"/>
  <c r="A1736" i="2"/>
  <c r="F1735" i="2"/>
  <c r="G1735" i="2" s="1"/>
  <c r="A1735" i="2"/>
  <c r="F1734" i="2"/>
  <c r="G1734" i="2" s="1"/>
  <c r="A1734" i="2"/>
  <c r="F1733" i="2"/>
  <c r="G1733" i="2" s="1"/>
  <c r="A1733" i="2"/>
  <c r="G1732" i="2"/>
  <c r="F1732" i="2"/>
  <c r="A1732" i="2"/>
  <c r="G1731" i="2"/>
  <c r="F1731" i="2"/>
  <c r="A1731" i="2"/>
  <c r="G1730" i="2"/>
  <c r="F1730" i="2"/>
  <c r="A1730" i="2"/>
  <c r="F1729" i="2"/>
  <c r="G1729" i="2" s="1"/>
  <c r="A1729" i="2"/>
  <c r="F1728" i="2"/>
  <c r="G1728" i="2" s="1"/>
  <c r="A1728" i="2"/>
  <c r="F1727" i="2"/>
  <c r="G1727" i="2" s="1"/>
  <c r="A1727" i="2"/>
  <c r="F1726" i="2"/>
  <c r="G1726" i="2" s="1"/>
  <c r="A1726" i="2"/>
  <c r="F1725" i="2"/>
  <c r="G1725" i="2" s="1"/>
  <c r="A1725" i="2"/>
  <c r="G1724" i="2"/>
  <c r="F1724" i="2"/>
  <c r="A1724" i="2"/>
  <c r="G1723" i="2"/>
  <c r="F1723" i="2"/>
  <c r="A1723" i="2"/>
  <c r="G1722" i="2"/>
  <c r="F1722" i="2"/>
  <c r="A1722" i="2"/>
  <c r="F1721" i="2"/>
  <c r="G1721" i="2" s="1"/>
  <c r="A1721" i="2"/>
  <c r="F1720" i="2"/>
  <c r="G1720" i="2" s="1"/>
  <c r="A1720" i="2"/>
  <c r="F1719" i="2"/>
  <c r="G1719" i="2" s="1"/>
  <c r="A1719" i="2"/>
  <c r="F1718" i="2"/>
  <c r="G1718" i="2" s="1"/>
  <c r="A1718" i="2"/>
  <c r="F1717" i="2"/>
  <c r="G1717" i="2" s="1"/>
  <c r="A1717" i="2"/>
  <c r="G1716" i="2"/>
  <c r="F1716" i="2"/>
  <c r="A1716" i="2"/>
  <c r="G1715" i="2"/>
  <c r="F1715" i="2"/>
  <c r="A1715" i="2"/>
  <c r="G1714" i="2"/>
  <c r="F1714" i="2"/>
  <c r="A1714" i="2"/>
  <c r="F1713" i="2"/>
  <c r="G1713" i="2" s="1"/>
  <c r="A1713" i="2"/>
  <c r="F1712" i="2"/>
  <c r="G1712" i="2" s="1"/>
  <c r="A1712" i="2"/>
  <c r="F1711" i="2"/>
  <c r="G1711" i="2" s="1"/>
  <c r="A1711" i="2"/>
  <c r="F1710" i="2"/>
  <c r="G1710" i="2" s="1"/>
  <c r="A1710" i="2"/>
  <c r="F1709" i="2"/>
  <c r="G1709" i="2" s="1"/>
  <c r="A1709" i="2"/>
  <c r="G1708" i="2"/>
  <c r="F1708" i="2"/>
  <c r="A1708" i="2"/>
  <c r="G1707" i="2"/>
  <c r="F1707" i="2"/>
  <c r="A1707" i="2"/>
  <c r="G1706" i="2"/>
  <c r="F1706" i="2"/>
  <c r="A1706" i="2"/>
  <c r="F1705" i="2"/>
  <c r="G1705" i="2" s="1"/>
  <c r="A1705" i="2"/>
  <c r="F1704" i="2"/>
  <c r="G1704" i="2" s="1"/>
  <c r="A1704" i="2"/>
  <c r="F1703" i="2"/>
  <c r="G1703" i="2" s="1"/>
  <c r="A1703" i="2"/>
  <c r="F1702" i="2"/>
  <c r="G1702" i="2" s="1"/>
  <c r="A1702" i="2"/>
  <c r="F1701" i="2"/>
  <c r="G1701" i="2" s="1"/>
  <c r="A1701" i="2"/>
  <c r="G1700" i="2"/>
  <c r="F1700" i="2"/>
  <c r="A1700" i="2"/>
  <c r="G1699" i="2"/>
  <c r="F1699" i="2"/>
  <c r="A1699" i="2"/>
  <c r="G1698" i="2"/>
  <c r="F1698" i="2"/>
  <c r="A1698" i="2"/>
  <c r="F1697" i="2"/>
  <c r="G1697" i="2" s="1"/>
  <c r="A1697" i="2"/>
  <c r="F1696" i="2"/>
  <c r="G1696" i="2" s="1"/>
  <c r="A1696" i="2"/>
  <c r="F1695" i="2"/>
  <c r="G1695" i="2" s="1"/>
  <c r="A1695" i="2"/>
  <c r="F1694" i="2"/>
  <c r="G1694" i="2" s="1"/>
  <c r="A1694" i="2"/>
  <c r="F1693" i="2"/>
  <c r="G1693" i="2" s="1"/>
  <c r="A1693" i="2"/>
  <c r="G1692" i="2"/>
  <c r="F1692" i="2"/>
  <c r="A1692" i="2"/>
  <c r="G1691" i="2"/>
  <c r="F1691" i="2"/>
  <c r="A1691" i="2"/>
  <c r="G1690" i="2"/>
  <c r="F1690" i="2"/>
  <c r="A1690" i="2"/>
  <c r="F1689" i="2"/>
  <c r="G1689" i="2" s="1"/>
  <c r="A1689" i="2"/>
  <c r="F1688" i="2"/>
  <c r="G1688" i="2" s="1"/>
  <c r="A1688" i="2"/>
  <c r="F1687" i="2"/>
  <c r="G1687" i="2" s="1"/>
  <c r="A1687" i="2"/>
  <c r="F1686" i="2"/>
  <c r="G1686" i="2" s="1"/>
  <c r="A1686" i="2"/>
  <c r="F1685" i="2"/>
  <c r="G1685" i="2" s="1"/>
  <c r="A1685" i="2"/>
  <c r="G1684" i="2"/>
  <c r="F1684" i="2"/>
  <c r="A1684" i="2"/>
  <c r="G1683" i="2"/>
  <c r="F1683" i="2"/>
  <c r="A1683" i="2"/>
  <c r="G1682" i="2"/>
  <c r="F1682" i="2"/>
  <c r="A1682" i="2"/>
  <c r="F1681" i="2"/>
  <c r="G1681" i="2" s="1"/>
  <c r="A1681" i="2"/>
  <c r="F1680" i="2"/>
  <c r="G1680" i="2" s="1"/>
  <c r="A1680" i="2"/>
  <c r="F1679" i="2"/>
  <c r="G1679" i="2" s="1"/>
  <c r="A1679" i="2"/>
  <c r="F1678" i="2"/>
  <c r="G1678" i="2" s="1"/>
  <c r="A1678" i="2"/>
  <c r="F1677" i="2"/>
  <c r="G1677" i="2" s="1"/>
  <c r="A1677" i="2"/>
  <c r="G1676" i="2"/>
  <c r="F1676" i="2"/>
  <c r="A1676" i="2"/>
  <c r="G1675" i="2"/>
  <c r="F1675" i="2"/>
  <c r="A1675" i="2"/>
  <c r="G1674" i="2"/>
  <c r="F1674" i="2"/>
  <c r="A1674" i="2"/>
  <c r="F1673" i="2"/>
  <c r="G1673" i="2" s="1"/>
  <c r="A1673" i="2"/>
  <c r="F1672" i="2"/>
  <c r="G1672" i="2" s="1"/>
  <c r="A1672" i="2"/>
  <c r="F1671" i="2"/>
  <c r="G1671" i="2" s="1"/>
  <c r="A1671" i="2"/>
  <c r="F1670" i="2"/>
  <c r="G1670" i="2" s="1"/>
  <c r="A1670" i="2"/>
  <c r="F1669" i="2"/>
  <c r="G1669" i="2" s="1"/>
  <c r="A1669" i="2"/>
  <c r="G1668" i="2"/>
  <c r="F1668" i="2"/>
  <c r="A1668" i="2"/>
  <c r="G1667" i="2"/>
  <c r="F1667" i="2"/>
  <c r="A1667" i="2"/>
  <c r="G1666" i="2"/>
  <c r="F1666" i="2"/>
  <c r="A1666" i="2"/>
  <c r="F1665" i="2"/>
  <c r="G1665" i="2" s="1"/>
  <c r="A1665" i="2"/>
  <c r="F1664" i="2"/>
  <c r="G1664" i="2" s="1"/>
  <c r="A1664" i="2"/>
  <c r="F1663" i="2"/>
  <c r="G1663" i="2" s="1"/>
  <c r="A1663" i="2"/>
  <c r="F1662" i="2"/>
  <c r="G1662" i="2" s="1"/>
  <c r="A1662" i="2"/>
  <c r="F1661" i="2"/>
  <c r="G1661" i="2" s="1"/>
  <c r="A1661" i="2"/>
  <c r="G1660" i="2"/>
  <c r="F1660" i="2"/>
  <c r="A1660" i="2"/>
  <c r="G1659" i="2"/>
  <c r="F1659" i="2"/>
  <c r="A1659" i="2"/>
  <c r="G1658" i="2"/>
  <c r="F1658" i="2"/>
  <c r="A1658" i="2"/>
  <c r="F1657" i="2"/>
  <c r="G1657" i="2" s="1"/>
  <c r="A1657" i="2"/>
  <c r="F1656" i="2"/>
  <c r="G1656" i="2" s="1"/>
  <c r="A1656" i="2"/>
  <c r="F1655" i="2"/>
  <c r="G1655" i="2" s="1"/>
  <c r="A1655" i="2"/>
  <c r="F1654" i="2"/>
  <c r="G1654" i="2" s="1"/>
  <c r="A1654" i="2"/>
  <c r="F1653" i="2"/>
  <c r="G1653" i="2" s="1"/>
  <c r="A1653" i="2"/>
  <c r="G1652" i="2"/>
  <c r="F1652" i="2"/>
  <c r="A1652" i="2"/>
  <c r="G1651" i="2"/>
  <c r="F1651" i="2"/>
  <c r="A1651" i="2"/>
  <c r="G1650" i="2"/>
  <c r="F1650" i="2"/>
  <c r="A1650" i="2"/>
  <c r="F1649" i="2"/>
  <c r="G1649" i="2" s="1"/>
  <c r="A1649" i="2"/>
  <c r="F1648" i="2"/>
  <c r="G1648" i="2" s="1"/>
  <c r="A1648" i="2"/>
  <c r="F1647" i="2"/>
  <c r="G1647" i="2" s="1"/>
  <c r="A1647" i="2"/>
  <c r="F1646" i="2"/>
  <c r="G1646" i="2" s="1"/>
  <c r="A1646" i="2"/>
  <c r="F1645" i="2"/>
  <c r="G1645" i="2" s="1"/>
  <c r="A1645" i="2"/>
  <c r="G1644" i="2"/>
  <c r="F1644" i="2"/>
  <c r="A1644" i="2"/>
  <c r="G1643" i="2"/>
  <c r="F1643" i="2"/>
  <c r="A1643" i="2"/>
  <c r="G1642" i="2"/>
  <c r="F1642" i="2"/>
  <c r="A1642" i="2"/>
  <c r="F1641" i="2"/>
  <c r="G1641" i="2" s="1"/>
  <c r="A1641" i="2"/>
  <c r="F1640" i="2"/>
  <c r="G1640" i="2" s="1"/>
  <c r="A1640" i="2"/>
  <c r="F1639" i="2"/>
  <c r="G1639" i="2" s="1"/>
  <c r="A1639" i="2"/>
  <c r="F1638" i="2"/>
  <c r="G1638" i="2" s="1"/>
  <c r="A1638" i="2"/>
  <c r="F1637" i="2"/>
  <c r="G1637" i="2" s="1"/>
  <c r="A1637" i="2"/>
  <c r="G1636" i="2"/>
  <c r="F1636" i="2"/>
  <c r="A1636" i="2"/>
  <c r="G1635" i="2"/>
  <c r="F1635" i="2"/>
  <c r="A1635" i="2"/>
  <c r="G1634" i="2"/>
  <c r="F1634" i="2"/>
  <c r="A1634" i="2"/>
  <c r="F1633" i="2"/>
  <c r="G1633" i="2" s="1"/>
  <c r="A1633" i="2"/>
  <c r="F1632" i="2"/>
  <c r="G1632" i="2" s="1"/>
  <c r="A1632" i="2"/>
  <c r="F1631" i="2"/>
  <c r="G1631" i="2" s="1"/>
  <c r="A1631" i="2"/>
  <c r="F1630" i="2"/>
  <c r="G1630" i="2" s="1"/>
  <c r="A1630" i="2"/>
  <c r="F1629" i="2"/>
  <c r="G1629" i="2" s="1"/>
  <c r="A1629" i="2"/>
  <c r="G1628" i="2"/>
  <c r="F1628" i="2"/>
  <c r="A1628" i="2"/>
  <c r="G1627" i="2"/>
  <c r="F1627" i="2"/>
  <c r="A1627" i="2"/>
  <c r="G1626" i="2"/>
  <c r="F1626" i="2"/>
  <c r="A1626" i="2"/>
  <c r="F1625" i="2"/>
  <c r="G1625" i="2" s="1"/>
  <c r="A1625" i="2"/>
  <c r="F1624" i="2"/>
  <c r="G1624" i="2" s="1"/>
  <c r="A1624" i="2"/>
  <c r="F1623" i="2"/>
  <c r="G1623" i="2" s="1"/>
  <c r="A1623" i="2"/>
  <c r="F1622" i="2"/>
  <c r="G1622" i="2" s="1"/>
  <c r="A1622" i="2"/>
  <c r="F1621" i="2"/>
  <c r="G1621" i="2" s="1"/>
  <c r="A1621" i="2"/>
  <c r="G1620" i="2"/>
  <c r="F1620" i="2"/>
  <c r="A1620" i="2"/>
  <c r="G1619" i="2"/>
  <c r="F1619" i="2"/>
  <c r="A1619" i="2"/>
  <c r="G1618" i="2"/>
  <c r="F1618" i="2"/>
  <c r="A1618" i="2"/>
  <c r="F1617" i="2"/>
  <c r="G1617" i="2" s="1"/>
  <c r="A1617" i="2"/>
  <c r="F1616" i="2"/>
  <c r="G1616" i="2" s="1"/>
  <c r="A1616" i="2"/>
  <c r="F1615" i="2"/>
  <c r="G1615" i="2" s="1"/>
  <c r="A1615" i="2"/>
  <c r="F1614" i="2"/>
  <c r="G1614" i="2" s="1"/>
  <c r="A1614" i="2"/>
  <c r="F1613" i="2"/>
  <c r="G1613" i="2" s="1"/>
  <c r="A1613" i="2"/>
  <c r="G1612" i="2"/>
  <c r="F1612" i="2"/>
  <c r="A1612" i="2"/>
  <c r="G1611" i="2"/>
  <c r="F1611" i="2"/>
  <c r="A1611" i="2"/>
  <c r="G1610" i="2"/>
  <c r="F1610" i="2"/>
  <c r="A1610" i="2"/>
  <c r="F1609" i="2"/>
  <c r="G1609" i="2" s="1"/>
  <c r="A1609" i="2"/>
  <c r="F1608" i="2"/>
  <c r="G1608" i="2" s="1"/>
  <c r="A1608" i="2"/>
  <c r="F1607" i="2"/>
  <c r="G1607" i="2" s="1"/>
  <c r="A1607" i="2"/>
  <c r="F1606" i="2"/>
  <c r="G1606" i="2" s="1"/>
  <c r="A1606" i="2"/>
  <c r="F1605" i="2"/>
  <c r="G1605" i="2" s="1"/>
  <c r="A1605" i="2"/>
  <c r="G1604" i="2"/>
  <c r="F1604" i="2"/>
  <c r="A1604" i="2"/>
  <c r="G1603" i="2"/>
  <c r="F1603" i="2"/>
  <c r="A1603" i="2"/>
  <c r="G1602" i="2"/>
  <c r="F1602" i="2"/>
  <c r="A1602" i="2"/>
  <c r="F1601" i="2"/>
  <c r="G1601" i="2" s="1"/>
  <c r="A1601" i="2"/>
  <c r="F1600" i="2"/>
  <c r="G1600" i="2" s="1"/>
  <c r="A1600" i="2"/>
  <c r="F1599" i="2"/>
  <c r="G1599" i="2" s="1"/>
  <c r="A1599" i="2"/>
  <c r="F1598" i="2"/>
  <c r="G1598" i="2" s="1"/>
  <c r="A1598" i="2"/>
  <c r="F1597" i="2"/>
  <c r="G1597" i="2" s="1"/>
  <c r="A1597" i="2"/>
  <c r="G1596" i="2"/>
  <c r="F1596" i="2"/>
  <c r="A1596" i="2"/>
  <c r="G1595" i="2"/>
  <c r="F1595" i="2"/>
  <c r="A1595" i="2"/>
  <c r="G1594" i="2"/>
  <c r="F1594" i="2"/>
  <c r="A1594" i="2"/>
  <c r="F1593" i="2"/>
  <c r="G1593" i="2" s="1"/>
  <c r="A1593" i="2"/>
  <c r="F1592" i="2"/>
  <c r="G1592" i="2" s="1"/>
  <c r="A1592" i="2"/>
  <c r="F1591" i="2"/>
  <c r="G1591" i="2" s="1"/>
  <c r="A1591" i="2"/>
  <c r="F1590" i="2"/>
  <c r="G1590" i="2" s="1"/>
  <c r="A1590" i="2"/>
  <c r="F1589" i="2"/>
  <c r="G1589" i="2" s="1"/>
  <c r="A1589" i="2"/>
  <c r="G1588" i="2"/>
  <c r="F1588" i="2"/>
  <c r="A1588" i="2"/>
  <c r="G1587" i="2"/>
  <c r="F1587" i="2"/>
  <c r="A1587" i="2"/>
  <c r="G1586" i="2"/>
  <c r="F1586" i="2"/>
  <c r="A1586" i="2"/>
  <c r="F1585" i="2"/>
  <c r="G1585" i="2" s="1"/>
  <c r="A1585" i="2"/>
  <c r="F1584" i="2"/>
  <c r="G1584" i="2" s="1"/>
  <c r="A1584" i="2"/>
  <c r="F1583" i="2"/>
  <c r="G1583" i="2" s="1"/>
  <c r="A1583" i="2"/>
  <c r="F1582" i="2"/>
  <c r="G1582" i="2" s="1"/>
  <c r="A1582" i="2"/>
  <c r="F1581" i="2"/>
  <c r="G1581" i="2" s="1"/>
  <c r="A1581" i="2"/>
  <c r="G1580" i="2"/>
  <c r="F1580" i="2"/>
  <c r="A1580" i="2"/>
  <c r="G1579" i="2"/>
  <c r="F1579" i="2"/>
  <c r="A1579" i="2"/>
  <c r="G1578" i="2"/>
  <c r="F1578" i="2"/>
  <c r="A1578" i="2"/>
  <c r="F1577" i="2"/>
  <c r="G1577" i="2" s="1"/>
  <c r="A1577" i="2"/>
  <c r="F1576" i="2"/>
  <c r="G1576" i="2" s="1"/>
  <c r="A1576" i="2"/>
  <c r="F1575" i="2"/>
  <c r="G1575" i="2" s="1"/>
  <c r="A1575" i="2"/>
  <c r="F1574" i="2"/>
  <c r="G1574" i="2" s="1"/>
  <c r="A1574" i="2"/>
  <c r="F1573" i="2"/>
  <c r="G1573" i="2" s="1"/>
  <c r="A1573" i="2"/>
  <c r="G1572" i="2"/>
  <c r="F1572" i="2"/>
  <c r="A1572" i="2"/>
  <c r="G1571" i="2"/>
  <c r="F1571" i="2"/>
  <c r="A1571" i="2"/>
  <c r="G1570" i="2"/>
  <c r="F1570" i="2"/>
  <c r="A1570" i="2"/>
  <c r="F1569" i="2"/>
  <c r="G1569" i="2" s="1"/>
  <c r="A1569" i="2"/>
  <c r="F1568" i="2"/>
  <c r="G1568" i="2" s="1"/>
  <c r="A1568" i="2"/>
  <c r="F1567" i="2"/>
  <c r="G1567" i="2" s="1"/>
  <c r="A1567" i="2"/>
  <c r="F1566" i="2"/>
  <c r="G1566" i="2" s="1"/>
  <c r="A1566" i="2"/>
  <c r="F1565" i="2"/>
  <c r="G1565" i="2" s="1"/>
  <c r="A1565" i="2"/>
  <c r="G1564" i="2"/>
  <c r="F1564" i="2"/>
  <c r="A1564" i="2"/>
  <c r="G1563" i="2"/>
  <c r="F1563" i="2"/>
  <c r="A1563" i="2"/>
  <c r="G1562" i="2"/>
  <c r="F1562" i="2"/>
  <c r="A1562" i="2"/>
  <c r="F1561" i="2"/>
  <c r="G1561" i="2" s="1"/>
  <c r="A1561" i="2"/>
  <c r="F1560" i="2"/>
  <c r="G1560" i="2" s="1"/>
  <c r="A1560" i="2"/>
  <c r="F1559" i="2"/>
  <c r="G1559" i="2" s="1"/>
  <c r="A1559" i="2"/>
  <c r="F1558" i="2"/>
  <c r="G1558" i="2" s="1"/>
  <c r="A1558" i="2"/>
  <c r="F1557" i="2"/>
  <c r="G1557" i="2" s="1"/>
  <c r="A1557" i="2"/>
  <c r="G1556" i="2"/>
  <c r="F1556" i="2"/>
  <c r="A1556" i="2"/>
  <c r="G1555" i="2"/>
  <c r="F1555" i="2"/>
  <c r="A1555" i="2"/>
  <c r="G1554" i="2"/>
  <c r="F1554" i="2"/>
  <c r="A1554" i="2"/>
  <c r="F1553" i="2"/>
  <c r="G1553" i="2" s="1"/>
  <c r="A1553" i="2"/>
  <c r="F1552" i="2"/>
  <c r="G1552" i="2" s="1"/>
  <c r="A1552" i="2"/>
  <c r="F1551" i="2"/>
  <c r="G1551" i="2" s="1"/>
  <c r="A1551" i="2"/>
  <c r="F1550" i="2"/>
  <c r="G1550" i="2" s="1"/>
  <c r="A1550" i="2"/>
  <c r="F1549" i="2"/>
  <c r="G1549" i="2" s="1"/>
  <c r="A1549" i="2"/>
  <c r="G1548" i="2"/>
  <c r="F1548" i="2"/>
  <c r="A1548" i="2"/>
  <c r="G1547" i="2"/>
  <c r="F1547" i="2"/>
  <c r="A1547" i="2"/>
  <c r="G1546" i="2"/>
  <c r="F1546" i="2"/>
  <c r="A1546" i="2"/>
  <c r="F1545" i="2"/>
  <c r="G1545" i="2" s="1"/>
  <c r="A1545" i="2"/>
  <c r="F1544" i="2"/>
  <c r="G1544" i="2" s="1"/>
  <c r="A1544" i="2"/>
  <c r="F1543" i="2"/>
  <c r="G1543" i="2" s="1"/>
  <c r="A1543" i="2"/>
  <c r="F1542" i="2"/>
  <c r="G1542" i="2" s="1"/>
  <c r="A1542" i="2"/>
  <c r="F1541" i="2"/>
  <c r="G1541" i="2" s="1"/>
  <c r="A1541" i="2"/>
  <c r="G1540" i="2"/>
  <c r="F1540" i="2"/>
  <c r="A1540" i="2"/>
  <c r="G1539" i="2"/>
  <c r="F1539" i="2"/>
  <c r="A1539" i="2"/>
  <c r="G1538" i="2"/>
  <c r="F1538" i="2"/>
  <c r="A1538" i="2"/>
  <c r="F1537" i="2"/>
  <c r="G1537" i="2" s="1"/>
  <c r="A1537" i="2"/>
  <c r="F1536" i="2"/>
  <c r="G1536" i="2" s="1"/>
  <c r="A1536" i="2"/>
  <c r="F1535" i="2"/>
  <c r="G1535" i="2" s="1"/>
  <c r="A1535" i="2"/>
  <c r="F1534" i="2"/>
  <c r="G1534" i="2" s="1"/>
  <c r="A1534" i="2"/>
  <c r="F1533" i="2"/>
  <c r="G1533" i="2" s="1"/>
  <c r="A1533" i="2"/>
  <c r="G1532" i="2"/>
  <c r="F1532" i="2"/>
  <c r="A1532" i="2"/>
  <c r="G1531" i="2"/>
  <c r="F1531" i="2"/>
  <c r="A1531" i="2"/>
  <c r="G1530" i="2"/>
  <c r="F1530" i="2"/>
  <c r="A1530" i="2"/>
  <c r="F1529" i="2"/>
  <c r="G1529" i="2" s="1"/>
  <c r="A1529" i="2"/>
  <c r="F1528" i="2"/>
  <c r="G1528" i="2" s="1"/>
  <c r="A1528" i="2"/>
  <c r="F1527" i="2"/>
  <c r="G1527" i="2" s="1"/>
  <c r="A1527" i="2"/>
  <c r="F1526" i="2"/>
  <c r="G1526" i="2" s="1"/>
  <c r="A1526" i="2"/>
  <c r="F1525" i="2"/>
  <c r="G1525" i="2" s="1"/>
  <c r="A1525" i="2"/>
  <c r="G1524" i="2"/>
  <c r="F1524" i="2"/>
  <c r="A1524" i="2"/>
  <c r="G1523" i="2"/>
  <c r="F1523" i="2"/>
  <c r="A1523" i="2"/>
  <c r="G1522" i="2"/>
  <c r="F1522" i="2"/>
  <c r="A1522" i="2"/>
  <c r="F1521" i="2"/>
  <c r="G1521" i="2" s="1"/>
  <c r="A1521" i="2"/>
  <c r="F1520" i="2"/>
  <c r="G1520" i="2" s="1"/>
  <c r="A1520" i="2"/>
  <c r="F1519" i="2"/>
  <c r="G1519" i="2" s="1"/>
  <c r="A1519" i="2"/>
  <c r="F1518" i="2"/>
  <c r="G1518" i="2" s="1"/>
  <c r="A1518" i="2"/>
  <c r="F1517" i="2"/>
  <c r="G1517" i="2" s="1"/>
  <c r="A1517" i="2"/>
  <c r="G1516" i="2"/>
  <c r="F1516" i="2"/>
  <c r="A1516" i="2"/>
  <c r="G1515" i="2"/>
  <c r="F1515" i="2"/>
  <c r="A1515" i="2"/>
  <c r="G1514" i="2"/>
  <c r="F1514" i="2"/>
  <c r="A1514" i="2"/>
  <c r="F1513" i="2"/>
  <c r="G1513" i="2" s="1"/>
  <c r="A1513" i="2"/>
  <c r="F1512" i="2"/>
  <c r="G1512" i="2" s="1"/>
  <c r="A1512" i="2"/>
  <c r="F1511" i="2"/>
  <c r="G1511" i="2" s="1"/>
  <c r="A1511" i="2"/>
  <c r="F1510" i="2"/>
  <c r="G1510" i="2" s="1"/>
  <c r="A1510" i="2"/>
  <c r="F1509" i="2"/>
  <c r="G1509" i="2" s="1"/>
  <c r="A1509" i="2"/>
  <c r="G1508" i="2"/>
  <c r="F1508" i="2"/>
  <c r="A1508" i="2"/>
  <c r="G1507" i="2"/>
  <c r="F1507" i="2"/>
  <c r="A1507" i="2"/>
  <c r="G1506" i="2"/>
  <c r="F1506" i="2"/>
  <c r="A1506" i="2"/>
  <c r="F1505" i="2"/>
  <c r="G1505" i="2" s="1"/>
  <c r="A1505" i="2"/>
  <c r="F1504" i="2"/>
  <c r="G1504" i="2" s="1"/>
  <c r="A1504" i="2"/>
  <c r="F1503" i="2"/>
  <c r="G1503" i="2" s="1"/>
  <c r="A1503" i="2"/>
  <c r="F1502" i="2"/>
  <c r="G1502" i="2" s="1"/>
  <c r="A1502" i="2"/>
  <c r="F1501" i="2"/>
  <c r="G1501" i="2" s="1"/>
  <c r="A1501" i="2"/>
  <c r="G1500" i="2"/>
  <c r="F1500" i="2"/>
  <c r="A1500" i="2"/>
  <c r="G1499" i="2"/>
  <c r="F1499" i="2"/>
  <c r="A1499" i="2"/>
  <c r="G1498" i="2"/>
  <c r="F1498" i="2"/>
  <c r="A1498" i="2"/>
  <c r="F1497" i="2"/>
  <c r="G1497" i="2" s="1"/>
  <c r="A1497" i="2"/>
  <c r="F1496" i="2"/>
  <c r="G1496" i="2" s="1"/>
  <c r="A1496" i="2"/>
  <c r="F1495" i="2"/>
  <c r="G1495" i="2" s="1"/>
  <c r="A1495" i="2"/>
  <c r="F1494" i="2"/>
  <c r="G1494" i="2" s="1"/>
  <c r="A1494" i="2"/>
  <c r="F1493" i="2"/>
  <c r="G1493" i="2" s="1"/>
  <c r="A1493" i="2"/>
  <c r="G1492" i="2"/>
  <c r="F1492" i="2"/>
  <c r="A1492" i="2"/>
  <c r="G1491" i="2"/>
  <c r="F1491" i="2"/>
  <c r="A1491" i="2"/>
  <c r="G1490" i="2"/>
  <c r="F1490" i="2"/>
  <c r="A1490" i="2"/>
  <c r="F1489" i="2"/>
  <c r="G1489" i="2" s="1"/>
  <c r="A1489" i="2"/>
  <c r="F1488" i="2"/>
  <c r="G1488" i="2" s="1"/>
  <c r="A1488" i="2"/>
  <c r="F1487" i="2"/>
  <c r="G1487" i="2" s="1"/>
  <c r="A1487" i="2"/>
  <c r="F1486" i="2"/>
  <c r="G1486" i="2" s="1"/>
  <c r="A1486" i="2"/>
  <c r="F1485" i="2"/>
  <c r="G1485" i="2" s="1"/>
  <c r="A1485" i="2"/>
  <c r="G1484" i="2"/>
  <c r="F1484" i="2"/>
  <c r="A1484" i="2"/>
  <c r="G1483" i="2"/>
  <c r="F1483" i="2"/>
  <c r="A1483" i="2"/>
  <c r="G1482" i="2"/>
  <c r="F1482" i="2"/>
  <c r="A1482" i="2"/>
  <c r="F1481" i="2"/>
  <c r="G1481" i="2" s="1"/>
  <c r="A1481" i="2"/>
  <c r="F1480" i="2"/>
  <c r="G1480" i="2" s="1"/>
  <c r="A1480" i="2"/>
  <c r="F1479" i="2"/>
  <c r="G1479" i="2" s="1"/>
  <c r="A1479" i="2"/>
  <c r="F1478" i="2"/>
  <c r="G1478" i="2" s="1"/>
  <c r="A1478" i="2"/>
  <c r="F1477" i="2"/>
  <c r="G1477" i="2" s="1"/>
  <c r="A1477" i="2"/>
  <c r="G1476" i="2"/>
  <c r="F1476" i="2"/>
  <c r="A1476" i="2"/>
  <c r="G1475" i="2"/>
  <c r="F1475" i="2"/>
  <c r="A1475" i="2"/>
  <c r="G1474" i="2"/>
  <c r="F1474" i="2"/>
  <c r="A1474" i="2"/>
  <c r="F1473" i="2"/>
  <c r="G1473" i="2" s="1"/>
  <c r="A1473" i="2"/>
  <c r="F1472" i="2"/>
  <c r="G1472" i="2" s="1"/>
  <c r="A1472" i="2"/>
  <c r="F1471" i="2"/>
  <c r="G1471" i="2" s="1"/>
  <c r="A1471" i="2"/>
  <c r="F1470" i="2"/>
  <c r="G1470" i="2" s="1"/>
  <c r="A1470" i="2"/>
  <c r="F1469" i="2"/>
  <c r="G1469" i="2" s="1"/>
  <c r="A1469" i="2"/>
  <c r="G1468" i="2"/>
  <c r="F1468" i="2"/>
  <c r="A1468" i="2"/>
  <c r="G1467" i="2"/>
  <c r="F1467" i="2"/>
  <c r="A1467" i="2"/>
  <c r="G1466" i="2"/>
  <c r="F1466" i="2"/>
  <c r="A1466" i="2"/>
  <c r="F1465" i="2"/>
  <c r="G1465" i="2" s="1"/>
  <c r="A1465" i="2"/>
  <c r="F1464" i="2"/>
  <c r="G1464" i="2" s="1"/>
  <c r="A1464" i="2"/>
  <c r="F1463" i="2"/>
  <c r="G1463" i="2" s="1"/>
  <c r="A1463" i="2"/>
  <c r="F1462" i="2"/>
  <c r="G1462" i="2" s="1"/>
  <c r="A1462" i="2"/>
  <c r="F1461" i="2"/>
  <c r="G1461" i="2" s="1"/>
  <c r="A1461" i="2"/>
  <c r="G1460" i="2"/>
  <c r="F1460" i="2"/>
  <c r="A1460" i="2"/>
  <c r="G1459" i="2"/>
  <c r="F1459" i="2"/>
  <c r="A1459" i="2"/>
  <c r="G1458" i="2"/>
  <c r="F1458" i="2"/>
  <c r="A1458" i="2"/>
  <c r="F1457" i="2"/>
  <c r="G1457" i="2" s="1"/>
  <c r="A1457" i="2"/>
  <c r="F1456" i="2"/>
  <c r="G1456" i="2" s="1"/>
  <c r="A1456" i="2"/>
  <c r="F1455" i="2"/>
  <c r="G1455" i="2" s="1"/>
  <c r="A1455" i="2"/>
  <c r="F1454" i="2"/>
  <c r="G1454" i="2" s="1"/>
  <c r="A1454" i="2"/>
  <c r="F1453" i="2"/>
  <c r="G1453" i="2" s="1"/>
  <c r="A1453" i="2"/>
  <c r="G1452" i="2"/>
  <c r="F1452" i="2"/>
  <c r="A1452" i="2"/>
  <c r="G1451" i="2"/>
  <c r="F1451" i="2"/>
  <c r="A1451" i="2"/>
  <c r="G1450" i="2"/>
  <c r="F1450" i="2"/>
  <c r="A1450" i="2"/>
  <c r="F1449" i="2"/>
  <c r="G1449" i="2" s="1"/>
  <c r="A1449" i="2"/>
  <c r="F1448" i="2"/>
  <c r="G1448" i="2" s="1"/>
  <c r="A1448" i="2"/>
  <c r="F1447" i="2"/>
  <c r="G1447" i="2" s="1"/>
  <c r="A1447" i="2"/>
  <c r="F1446" i="2"/>
  <c r="G1446" i="2" s="1"/>
  <c r="A1446" i="2"/>
  <c r="F1445" i="2"/>
  <c r="G1445" i="2" s="1"/>
  <c r="A1445" i="2"/>
  <c r="G1444" i="2"/>
  <c r="F1444" i="2"/>
  <c r="A1444" i="2"/>
  <c r="G1443" i="2"/>
  <c r="F1443" i="2"/>
  <c r="A1443" i="2"/>
  <c r="G1442" i="2"/>
  <c r="F1442" i="2"/>
  <c r="A1442" i="2"/>
  <c r="F1441" i="2"/>
  <c r="G1441" i="2" s="1"/>
  <c r="A1441" i="2"/>
  <c r="F1440" i="2"/>
  <c r="G1440" i="2" s="1"/>
  <c r="A1440" i="2"/>
  <c r="F1439" i="2"/>
  <c r="G1439" i="2" s="1"/>
  <c r="A1439" i="2"/>
  <c r="F1438" i="2"/>
  <c r="G1438" i="2" s="1"/>
  <c r="A1438" i="2"/>
  <c r="F1437" i="2"/>
  <c r="G1437" i="2" s="1"/>
  <c r="A1437" i="2"/>
  <c r="G1436" i="2"/>
  <c r="F1436" i="2"/>
  <c r="A1436" i="2"/>
  <c r="G1435" i="2"/>
  <c r="F1435" i="2"/>
  <c r="A1435" i="2"/>
  <c r="G1434" i="2"/>
  <c r="F1434" i="2"/>
  <c r="A1434" i="2"/>
  <c r="F1433" i="2"/>
  <c r="G1433" i="2" s="1"/>
  <c r="A1433" i="2"/>
  <c r="F1432" i="2"/>
  <c r="G1432" i="2" s="1"/>
  <c r="A1432" i="2"/>
  <c r="F1431" i="2"/>
  <c r="G1431" i="2" s="1"/>
  <c r="A1431" i="2"/>
  <c r="F1430" i="2"/>
  <c r="G1430" i="2" s="1"/>
  <c r="A1430" i="2"/>
  <c r="F1429" i="2"/>
  <c r="G1429" i="2" s="1"/>
  <c r="A1429" i="2"/>
  <c r="G1428" i="2"/>
  <c r="F1428" i="2"/>
  <c r="A1428" i="2"/>
  <c r="G1427" i="2"/>
  <c r="F1427" i="2"/>
  <c r="A1427" i="2"/>
  <c r="G1426" i="2"/>
  <c r="F1426" i="2"/>
  <c r="A1426" i="2"/>
  <c r="F1425" i="2"/>
  <c r="G1425" i="2" s="1"/>
  <c r="A1425" i="2"/>
  <c r="F1424" i="2"/>
  <c r="G1424" i="2" s="1"/>
  <c r="A1424" i="2"/>
  <c r="F1423" i="2"/>
  <c r="G1423" i="2" s="1"/>
  <c r="A1423" i="2"/>
  <c r="F1422" i="2"/>
  <c r="G1422" i="2" s="1"/>
  <c r="A1422" i="2"/>
  <c r="F1421" i="2"/>
  <c r="G1421" i="2" s="1"/>
  <c r="A1421" i="2"/>
  <c r="G1420" i="2"/>
  <c r="F1420" i="2"/>
  <c r="A1420" i="2"/>
  <c r="G1419" i="2"/>
  <c r="F1419" i="2"/>
  <c r="A1419" i="2"/>
  <c r="G1418" i="2"/>
  <c r="F1418" i="2"/>
  <c r="A1418" i="2"/>
  <c r="F1417" i="2"/>
  <c r="G1417" i="2" s="1"/>
  <c r="A1417" i="2"/>
  <c r="F1416" i="2"/>
  <c r="G1416" i="2" s="1"/>
  <c r="A1416" i="2"/>
  <c r="F1415" i="2"/>
  <c r="G1415" i="2" s="1"/>
  <c r="A1415" i="2"/>
  <c r="F1414" i="2"/>
  <c r="G1414" i="2" s="1"/>
  <c r="A1414" i="2"/>
  <c r="F1413" i="2"/>
  <c r="G1413" i="2" s="1"/>
  <c r="A1413" i="2"/>
  <c r="G1412" i="2"/>
  <c r="F1412" i="2"/>
  <c r="A1412" i="2"/>
  <c r="G1411" i="2"/>
  <c r="F1411" i="2"/>
  <c r="A1411" i="2"/>
  <c r="G1410" i="2"/>
  <c r="F1410" i="2"/>
  <c r="A1410" i="2"/>
  <c r="F1409" i="2"/>
  <c r="G1409" i="2" s="1"/>
  <c r="A1409" i="2"/>
  <c r="F1408" i="2"/>
  <c r="G1408" i="2" s="1"/>
  <c r="A1408" i="2"/>
  <c r="F1407" i="2"/>
  <c r="G1407" i="2" s="1"/>
  <c r="A1407" i="2"/>
  <c r="F1406" i="2"/>
  <c r="G1406" i="2" s="1"/>
  <c r="A1406" i="2"/>
  <c r="F1405" i="2"/>
  <c r="G1405" i="2" s="1"/>
  <c r="A1405" i="2"/>
  <c r="G1404" i="2"/>
  <c r="F1404" i="2"/>
  <c r="A1404" i="2"/>
  <c r="G1403" i="2"/>
  <c r="F1403" i="2"/>
  <c r="A1403" i="2"/>
  <c r="G1402" i="2"/>
  <c r="F1402" i="2"/>
  <c r="A1402" i="2"/>
  <c r="F1401" i="2"/>
  <c r="G1401" i="2" s="1"/>
  <c r="A1401" i="2"/>
  <c r="F1400" i="2"/>
  <c r="G1400" i="2" s="1"/>
  <c r="A1400" i="2"/>
  <c r="F1399" i="2"/>
  <c r="G1399" i="2" s="1"/>
  <c r="A1399" i="2"/>
  <c r="F1398" i="2"/>
  <c r="G1398" i="2" s="1"/>
  <c r="A1398" i="2"/>
  <c r="F1397" i="2"/>
  <c r="G1397" i="2" s="1"/>
  <c r="A1397" i="2"/>
  <c r="G1396" i="2"/>
  <c r="F1396" i="2"/>
  <c r="A1396" i="2"/>
  <c r="G1395" i="2"/>
  <c r="F1395" i="2"/>
  <c r="A1395" i="2"/>
  <c r="G1394" i="2"/>
  <c r="F1394" i="2"/>
  <c r="A1394" i="2"/>
  <c r="F1393" i="2"/>
  <c r="G1393" i="2" s="1"/>
  <c r="A1393" i="2"/>
  <c r="F1392" i="2"/>
  <c r="G1392" i="2" s="1"/>
  <c r="A1392" i="2"/>
  <c r="F1391" i="2"/>
  <c r="G1391" i="2" s="1"/>
  <c r="A1391" i="2"/>
  <c r="F1390" i="2"/>
  <c r="G1390" i="2" s="1"/>
  <c r="A1390" i="2"/>
  <c r="F1389" i="2"/>
  <c r="G1389" i="2" s="1"/>
  <c r="A1389" i="2"/>
  <c r="G1388" i="2"/>
  <c r="F1388" i="2"/>
  <c r="A1388" i="2"/>
  <c r="G1387" i="2"/>
  <c r="F1387" i="2"/>
  <c r="A1387" i="2"/>
  <c r="G1386" i="2"/>
  <c r="F1386" i="2"/>
  <c r="A1386" i="2"/>
  <c r="F1385" i="2"/>
  <c r="G1385" i="2" s="1"/>
  <c r="A1385" i="2"/>
  <c r="F1384" i="2"/>
  <c r="G1384" i="2" s="1"/>
  <c r="A1384" i="2"/>
  <c r="F1383" i="2"/>
  <c r="G1383" i="2" s="1"/>
  <c r="A1383" i="2"/>
  <c r="F1382" i="2"/>
  <c r="G1382" i="2" s="1"/>
  <c r="A1382" i="2"/>
  <c r="F1381" i="2"/>
  <c r="G1381" i="2" s="1"/>
  <c r="A1381" i="2"/>
  <c r="G1380" i="2"/>
  <c r="F1380" i="2"/>
  <c r="A1380" i="2"/>
  <c r="G1379" i="2"/>
  <c r="F1379" i="2"/>
  <c r="A1379" i="2"/>
  <c r="G1378" i="2"/>
  <c r="F1378" i="2"/>
  <c r="A1378" i="2"/>
  <c r="F1377" i="2"/>
  <c r="G1377" i="2" s="1"/>
  <c r="A1377" i="2"/>
  <c r="F1376" i="2"/>
  <c r="G1376" i="2" s="1"/>
  <c r="A1376" i="2"/>
  <c r="F1375" i="2"/>
  <c r="G1375" i="2" s="1"/>
  <c r="A1375" i="2"/>
  <c r="F1374" i="2"/>
  <c r="G1374" i="2" s="1"/>
  <c r="A1374" i="2"/>
  <c r="F1373" i="2"/>
  <c r="G1373" i="2" s="1"/>
  <c r="A1373" i="2"/>
  <c r="G1372" i="2"/>
  <c r="F1372" i="2"/>
  <c r="A1372" i="2"/>
  <c r="G1371" i="2"/>
  <c r="F1371" i="2"/>
  <c r="A1371" i="2"/>
  <c r="G1370" i="2"/>
  <c r="F1370" i="2"/>
  <c r="A1370" i="2"/>
  <c r="F1369" i="2"/>
  <c r="G1369" i="2" s="1"/>
  <c r="A1369" i="2"/>
  <c r="F1368" i="2"/>
  <c r="G1368" i="2" s="1"/>
  <c r="A1368" i="2"/>
  <c r="F1367" i="2"/>
  <c r="G1367" i="2" s="1"/>
  <c r="A1367" i="2"/>
  <c r="F1366" i="2"/>
  <c r="G1366" i="2" s="1"/>
  <c r="A1366" i="2"/>
  <c r="F1365" i="2"/>
  <c r="G1365" i="2" s="1"/>
  <c r="A1365" i="2"/>
  <c r="G1364" i="2"/>
  <c r="F1364" i="2"/>
  <c r="A1364" i="2"/>
  <c r="G1363" i="2"/>
  <c r="F1363" i="2"/>
  <c r="A1363" i="2"/>
  <c r="G1362" i="2"/>
  <c r="F1362" i="2"/>
  <c r="A1362" i="2"/>
  <c r="F1361" i="2"/>
  <c r="G1361" i="2" s="1"/>
  <c r="A1361" i="2"/>
  <c r="F1360" i="2"/>
  <c r="G1360" i="2" s="1"/>
  <c r="A1360" i="2"/>
  <c r="F1359" i="2"/>
  <c r="G1359" i="2" s="1"/>
  <c r="A1359" i="2"/>
  <c r="F1358" i="2"/>
  <c r="G1358" i="2" s="1"/>
  <c r="A1358" i="2"/>
  <c r="F1357" i="2"/>
  <c r="G1357" i="2" s="1"/>
  <c r="A1357" i="2"/>
  <c r="G1356" i="2"/>
  <c r="F1356" i="2"/>
  <c r="A1356" i="2"/>
  <c r="G1355" i="2"/>
  <c r="F1355" i="2"/>
  <c r="A1355" i="2"/>
  <c r="G1354" i="2"/>
  <c r="F1354" i="2"/>
  <c r="A1354" i="2"/>
  <c r="F1353" i="2"/>
  <c r="G1353" i="2" s="1"/>
  <c r="A1353" i="2"/>
  <c r="F1352" i="2"/>
  <c r="G1352" i="2" s="1"/>
  <c r="A1352" i="2"/>
  <c r="F1351" i="2"/>
  <c r="G1351" i="2" s="1"/>
  <c r="A1351" i="2"/>
  <c r="F1350" i="2"/>
  <c r="G1350" i="2" s="1"/>
  <c r="A1350" i="2"/>
  <c r="F1349" i="2"/>
  <c r="G1349" i="2" s="1"/>
  <c r="A1349" i="2"/>
  <c r="G1348" i="2"/>
  <c r="F1348" i="2"/>
  <c r="A1348" i="2"/>
  <c r="G1347" i="2"/>
  <c r="F1347" i="2"/>
  <c r="A1347" i="2"/>
  <c r="G1346" i="2"/>
  <c r="F1346" i="2"/>
  <c r="A1346" i="2"/>
  <c r="F1345" i="2"/>
  <c r="G1345" i="2" s="1"/>
  <c r="A1345" i="2"/>
  <c r="F1344" i="2"/>
  <c r="G1344" i="2" s="1"/>
  <c r="A1344" i="2"/>
  <c r="F1343" i="2"/>
  <c r="G1343" i="2" s="1"/>
  <c r="A1343" i="2"/>
  <c r="F1342" i="2"/>
  <c r="G1342" i="2" s="1"/>
  <c r="A1342" i="2"/>
  <c r="F1341" i="2"/>
  <c r="G1341" i="2" s="1"/>
  <c r="A1341" i="2"/>
  <c r="G1340" i="2"/>
  <c r="F1340" i="2"/>
  <c r="A1340" i="2"/>
  <c r="G1339" i="2"/>
  <c r="F1339" i="2"/>
  <c r="A1339" i="2"/>
  <c r="G1338" i="2"/>
  <c r="F1338" i="2"/>
  <c r="A1338" i="2"/>
  <c r="F1337" i="2"/>
  <c r="G1337" i="2" s="1"/>
  <c r="A1337" i="2"/>
  <c r="F1336" i="2"/>
  <c r="G1336" i="2" s="1"/>
  <c r="A1336" i="2"/>
  <c r="F1335" i="2"/>
  <c r="G1335" i="2" s="1"/>
  <c r="A1335" i="2"/>
  <c r="F1334" i="2"/>
  <c r="G1334" i="2" s="1"/>
  <c r="A1334" i="2"/>
  <c r="F1333" i="2"/>
  <c r="G1333" i="2" s="1"/>
  <c r="A1333" i="2"/>
  <c r="G1332" i="2"/>
  <c r="F1332" i="2"/>
  <c r="A1332" i="2"/>
  <c r="G1331" i="2"/>
  <c r="F1331" i="2"/>
  <c r="A1331" i="2"/>
  <c r="G1330" i="2"/>
  <c r="F1330" i="2"/>
  <c r="A1330" i="2"/>
  <c r="F1329" i="2"/>
  <c r="G1329" i="2" s="1"/>
  <c r="A1329" i="2"/>
  <c r="F1328" i="2"/>
  <c r="G1328" i="2" s="1"/>
  <c r="A1328" i="2"/>
  <c r="F1327" i="2"/>
  <c r="G1327" i="2" s="1"/>
  <c r="A1327" i="2"/>
  <c r="F1326" i="2"/>
  <c r="G1326" i="2" s="1"/>
  <c r="A1326" i="2"/>
  <c r="F1325" i="2"/>
  <c r="G1325" i="2" s="1"/>
  <c r="A1325" i="2"/>
  <c r="G1324" i="2"/>
  <c r="F1324" i="2"/>
  <c r="A1324" i="2"/>
  <c r="G1323" i="2"/>
  <c r="F1323" i="2"/>
  <c r="A1323" i="2"/>
  <c r="G1322" i="2"/>
  <c r="F1322" i="2"/>
  <c r="A1322" i="2"/>
  <c r="F1321" i="2"/>
  <c r="G1321" i="2" s="1"/>
  <c r="A1321" i="2"/>
  <c r="F1320" i="2"/>
  <c r="G1320" i="2" s="1"/>
  <c r="A1320" i="2"/>
  <c r="F1319" i="2"/>
  <c r="G1319" i="2" s="1"/>
  <c r="A1319" i="2"/>
  <c r="F1318" i="2"/>
  <c r="G1318" i="2" s="1"/>
  <c r="A1318" i="2"/>
  <c r="F1317" i="2"/>
  <c r="G1317" i="2" s="1"/>
  <c r="A1317" i="2"/>
  <c r="G1316" i="2"/>
  <c r="F1316" i="2"/>
  <c r="A1316" i="2"/>
  <c r="G1315" i="2"/>
  <c r="F1315" i="2"/>
  <c r="A1315" i="2"/>
  <c r="G1314" i="2"/>
  <c r="F1314" i="2"/>
  <c r="A1314" i="2"/>
  <c r="F1313" i="2"/>
  <c r="G1313" i="2" s="1"/>
  <c r="A1313" i="2"/>
  <c r="F1312" i="2"/>
  <c r="G1312" i="2" s="1"/>
  <c r="A1312" i="2"/>
  <c r="F1311" i="2"/>
  <c r="G1311" i="2" s="1"/>
  <c r="A1311" i="2"/>
  <c r="F1310" i="2"/>
  <c r="G1310" i="2" s="1"/>
  <c r="A1310" i="2"/>
  <c r="F1309" i="2"/>
  <c r="G1309" i="2" s="1"/>
  <c r="A1309" i="2"/>
  <c r="G1308" i="2"/>
  <c r="F1308" i="2"/>
  <c r="A1308" i="2"/>
  <c r="G1307" i="2"/>
  <c r="F1307" i="2"/>
  <c r="A1307" i="2"/>
  <c r="G1306" i="2"/>
  <c r="F1306" i="2"/>
  <c r="A1306" i="2"/>
  <c r="F1305" i="2"/>
  <c r="G1305" i="2" s="1"/>
  <c r="A1305" i="2"/>
  <c r="F1304" i="2"/>
  <c r="G1304" i="2" s="1"/>
  <c r="A1304" i="2"/>
  <c r="F1303" i="2"/>
  <c r="G1303" i="2" s="1"/>
  <c r="A1303" i="2"/>
  <c r="F1302" i="2"/>
  <c r="G1302" i="2" s="1"/>
  <c r="A1302" i="2"/>
  <c r="F1301" i="2"/>
  <c r="G1301" i="2" s="1"/>
  <c r="A1301" i="2"/>
  <c r="G1300" i="2"/>
  <c r="F1300" i="2"/>
  <c r="A1300" i="2"/>
  <c r="G1299" i="2"/>
  <c r="F1299" i="2"/>
  <c r="A1299" i="2"/>
  <c r="G1298" i="2"/>
  <c r="F1298" i="2"/>
  <c r="A1298" i="2"/>
  <c r="F1297" i="2"/>
  <c r="G1297" i="2" s="1"/>
  <c r="A1297" i="2"/>
  <c r="F1296" i="2"/>
  <c r="G1296" i="2" s="1"/>
  <c r="A1296" i="2"/>
  <c r="F1295" i="2"/>
  <c r="G1295" i="2" s="1"/>
  <c r="A1295" i="2"/>
  <c r="F1294" i="2"/>
  <c r="G1294" i="2" s="1"/>
  <c r="A1294" i="2"/>
  <c r="F1293" i="2"/>
  <c r="G1293" i="2" s="1"/>
  <c r="A1293" i="2"/>
  <c r="G1292" i="2"/>
  <c r="F1292" i="2"/>
  <c r="A1292" i="2"/>
  <c r="G1291" i="2"/>
  <c r="F1291" i="2"/>
  <c r="A1291" i="2"/>
  <c r="G1290" i="2"/>
  <c r="F1290" i="2"/>
  <c r="A1290" i="2"/>
  <c r="F1289" i="2"/>
  <c r="G1289" i="2" s="1"/>
  <c r="A1289" i="2"/>
  <c r="G1288" i="2"/>
  <c r="F1288" i="2"/>
  <c r="A1288" i="2"/>
  <c r="F1287" i="2"/>
  <c r="G1287" i="2" s="1"/>
  <c r="A1287" i="2"/>
  <c r="F1286" i="2"/>
  <c r="G1286" i="2" s="1"/>
  <c r="A1286" i="2"/>
  <c r="F1285" i="2"/>
  <c r="G1285" i="2" s="1"/>
  <c r="A1285" i="2"/>
  <c r="G1284" i="2"/>
  <c r="F1284" i="2"/>
  <c r="A1284" i="2"/>
  <c r="G1283" i="2"/>
  <c r="F1283" i="2"/>
  <c r="A1283" i="2"/>
  <c r="G1282" i="2"/>
  <c r="F1282" i="2"/>
  <c r="A1282" i="2"/>
  <c r="F1281" i="2"/>
  <c r="G1281" i="2" s="1"/>
  <c r="A1281" i="2"/>
  <c r="G1280" i="2"/>
  <c r="F1280" i="2"/>
  <c r="A1280" i="2"/>
  <c r="F1279" i="2"/>
  <c r="G1279" i="2" s="1"/>
  <c r="A1279" i="2"/>
  <c r="F1278" i="2"/>
  <c r="G1278" i="2" s="1"/>
  <c r="A1278" i="2"/>
  <c r="F1277" i="2"/>
  <c r="G1277" i="2" s="1"/>
  <c r="A1277" i="2"/>
  <c r="G1276" i="2"/>
  <c r="F1276" i="2"/>
  <c r="A1276" i="2"/>
  <c r="G1275" i="2"/>
  <c r="F1275" i="2"/>
  <c r="A1275" i="2"/>
  <c r="G1274" i="2"/>
  <c r="F1274" i="2"/>
  <c r="A1274" i="2"/>
  <c r="F1273" i="2"/>
  <c r="G1273" i="2" s="1"/>
  <c r="A1273" i="2"/>
  <c r="G1272" i="2"/>
  <c r="F1272" i="2"/>
  <c r="A1272" i="2"/>
  <c r="F1271" i="2"/>
  <c r="G1271" i="2" s="1"/>
  <c r="A1271" i="2"/>
  <c r="F1270" i="2"/>
  <c r="G1270" i="2" s="1"/>
  <c r="A1270" i="2"/>
  <c r="F1269" i="2"/>
  <c r="G1269" i="2" s="1"/>
  <c r="A1269" i="2"/>
  <c r="G1268" i="2"/>
  <c r="F1268" i="2"/>
  <c r="A1268" i="2"/>
  <c r="G1267" i="2"/>
  <c r="F1267" i="2"/>
  <c r="A1267" i="2"/>
  <c r="G1266" i="2"/>
  <c r="F1266" i="2"/>
  <c r="A1266" i="2"/>
  <c r="F1265" i="2"/>
  <c r="G1265" i="2" s="1"/>
  <c r="A1265" i="2"/>
  <c r="G1264" i="2"/>
  <c r="F1264" i="2"/>
  <c r="A1264" i="2"/>
  <c r="F1263" i="2"/>
  <c r="G1263" i="2" s="1"/>
  <c r="A1263" i="2"/>
  <c r="F1262" i="2"/>
  <c r="G1262" i="2" s="1"/>
  <c r="A1262" i="2"/>
  <c r="F1261" i="2"/>
  <c r="G1261" i="2" s="1"/>
  <c r="A1261" i="2"/>
  <c r="G1260" i="2"/>
  <c r="F1260" i="2"/>
  <c r="A1260" i="2"/>
  <c r="G1259" i="2"/>
  <c r="F1259" i="2"/>
  <c r="A1259" i="2"/>
  <c r="G1258" i="2"/>
  <c r="F1258" i="2"/>
  <c r="A1258" i="2"/>
  <c r="F1257" i="2"/>
  <c r="G1257" i="2" s="1"/>
  <c r="A1257" i="2"/>
  <c r="G1256" i="2"/>
  <c r="F1256" i="2"/>
  <c r="A1256" i="2"/>
  <c r="F1255" i="2"/>
  <c r="G1255" i="2" s="1"/>
  <c r="A1255" i="2"/>
  <c r="F1254" i="2"/>
  <c r="G1254" i="2" s="1"/>
  <c r="A1254" i="2"/>
  <c r="F1253" i="2"/>
  <c r="G1253" i="2" s="1"/>
  <c r="A1253" i="2"/>
  <c r="G1252" i="2"/>
  <c r="F1252" i="2"/>
  <c r="A1252" i="2"/>
  <c r="G1251" i="2"/>
  <c r="F1251" i="2"/>
  <c r="A1251" i="2"/>
  <c r="G1250" i="2"/>
  <c r="F1250" i="2"/>
  <c r="A1250" i="2"/>
  <c r="F1249" i="2"/>
  <c r="G1249" i="2" s="1"/>
  <c r="A1249" i="2"/>
  <c r="G1248" i="2"/>
  <c r="F1248" i="2"/>
  <c r="A1248" i="2"/>
  <c r="F1247" i="2"/>
  <c r="G1247" i="2" s="1"/>
  <c r="A1247" i="2"/>
  <c r="F1246" i="2"/>
  <c r="G1246" i="2" s="1"/>
  <c r="A1246" i="2"/>
  <c r="F1245" i="2"/>
  <c r="G1245" i="2" s="1"/>
  <c r="A1245" i="2"/>
  <c r="G1244" i="2"/>
  <c r="F1244" i="2"/>
  <c r="A1244" i="2"/>
  <c r="G1243" i="2"/>
  <c r="F1243" i="2"/>
  <c r="A1243" i="2"/>
  <c r="G1242" i="2"/>
  <c r="F1242" i="2"/>
  <c r="A1242" i="2"/>
  <c r="F1241" i="2"/>
  <c r="G1241" i="2" s="1"/>
  <c r="A1241" i="2"/>
  <c r="G1240" i="2"/>
  <c r="F1240" i="2"/>
  <c r="A1240" i="2"/>
  <c r="F1239" i="2"/>
  <c r="G1239" i="2" s="1"/>
  <c r="A1239" i="2"/>
  <c r="F1238" i="2"/>
  <c r="G1238" i="2" s="1"/>
  <c r="A1238" i="2"/>
  <c r="F1237" i="2"/>
  <c r="G1237" i="2" s="1"/>
  <c r="A1237" i="2"/>
  <c r="G1236" i="2"/>
  <c r="F1236" i="2"/>
  <c r="A1236" i="2"/>
  <c r="G1235" i="2"/>
  <c r="F1235" i="2"/>
  <c r="A1235" i="2"/>
  <c r="G1234" i="2"/>
  <c r="F1234" i="2"/>
  <c r="A1234" i="2"/>
  <c r="F1233" i="2"/>
  <c r="G1233" i="2" s="1"/>
  <c r="A1233" i="2"/>
  <c r="G1232" i="2"/>
  <c r="F1232" i="2"/>
  <c r="A1232" i="2"/>
  <c r="F1231" i="2"/>
  <c r="G1231" i="2" s="1"/>
  <c r="A1231" i="2"/>
  <c r="F1230" i="2"/>
  <c r="G1230" i="2" s="1"/>
  <c r="A1230" i="2"/>
  <c r="F1229" i="2"/>
  <c r="G1229" i="2" s="1"/>
  <c r="A1229" i="2"/>
  <c r="F1228" i="2"/>
  <c r="G1228" i="2" s="1"/>
  <c r="A1228" i="2"/>
  <c r="G1227" i="2"/>
  <c r="F1227" i="2"/>
  <c r="A1227" i="2"/>
  <c r="G1226" i="2"/>
  <c r="F1226" i="2"/>
  <c r="A1226" i="2"/>
  <c r="G1225" i="2"/>
  <c r="F1225" i="2"/>
  <c r="A1225" i="2"/>
  <c r="G1224" i="2"/>
  <c r="F1224" i="2"/>
  <c r="A1224" i="2"/>
  <c r="F1223" i="2"/>
  <c r="G1223" i="2" s="1"/>
  <c r="A1223" i="2"/>
  <c r="F1222" i="2"/>
  <c r="G1222" i="2" s="1"/>
  <c r="A1222" i="2"/>
  <c r="F1221" i="2"/>
  <c r="G1221" i="2" s="1"/>
  <c r="A1221" i="2"/>
  <c r="F1220" i="2"/>
  <c r="G1220" i="2" s="1"/>
  <c r="A1220" i="2"/>
  <c r="G1219" i="2"/>
  <c r="F1219" i="2"/>
  <c r="A1219" i="2"/>
  <c r="G1218" i="2"/>
  <c r="F1218" i="2"/>
  <c r="A1218" i="2"/>
  <c r="G1217" i="2"/>
  <c r="F1217" i="2"/>
  <c r="A1217" i="2"/>
  <c r="G1216" i="2"/>
  <c r="F1216" i="2"/>
  <c r="A1216" i="2"/>
  <c r="F1215" i="2"/>
  <c r="G1215" i="2" s="1"/>
  <c r="A1215" i="2"/>
  <c r="F1214" i="2"/>
  <c r="G1214" i="2" s="1"/>
  <c r="A1214" i="2"/>
  <c r="F1213" i="2"/>
  <c r="G1213" i="2" s="1"/>
  <c r="A1213" i="2"/>
  <c r="F1212" i="2"/>
  <c r="G1212" i="2" s="1"/>
  <c r="A1212" i="2"/>
  <c r="G1211" i="2"/>
  <c r="F1211" i="2"/>
  <c r="A1211" i="2"/>
  <c r="G1210" i="2"/>
  <c r="F1210" i="2"/>
  <c r="A1210" i="2"/>
  <c r="G1209" i="2"/>
  <c r="F1209" i="2"/>
  <c r="A1209" i="2"/>
  <c r="G1208" i="2"/>
  <c r="F1208" i="2"/>
  <c r="A1208" i="2"/>
  <c r="F1207" i="2"/>
  <c r="G1207" i="2" s="1"/>
  <c r="A1207" i="2"/>
  <c r="F1206" i="2"/>
  <c r="G1206" i="2" s="1"/>
  <c r="A1206" i="2"/>
  <c r="F1205" i="2"/>
  <c r="G1205" i="2" s="1"/>
  <c r="A1205" i="2"/>
  <c r="F1204" i="2"/>
  <c r="G1204" i="2" s="1"/>
  <c r="A1204" i="2"/>
  <c r="G1203" i="2"/>
  <c r="F1203" i="2"/>
  <c r="A1203" i="2"/>
  <c r="G1202" i="2"/>
  <c r="F1202" i="2"/>
  <c r="A1202" i="2"/>
  <c r="G1201" i="2"/>
  <c r="F1201" i="2"/>
  <c r="A1201" i="2"/>
  <c r="G1200" i="2"/>
  <c r="F1200" i="2"/>
  <c r="A1200" i="2"/>
  <c r="F1199" i="2"/>
  <c r="G1199" i="2" s="1"/>
  <c r="A1199" i="2"/>
  <c r="F1198" i="2"/>
  <c r="G1198" i="2" s="1"/>
  <c r="A1198" i="2"/>
  <c r="F1197" i="2"/>
  <c r="G1197" i="2" s="1"/>
  <c r="A1197" i="2"/>
  <c r="F1196" i="2"/>
  <c r="G1196" i="2" s="1"/>
  <c r="A1196" i="2"/>
  <c r="G1195" i="2"/>
  <c r="F1195" i="2"/>
  <c r="A1195" i="2"/>
  <c r="G1194" i="2"/>
  <c r="F1194" i="2"/>
  <c r="A1194" i="2"/>
  <c r="G1193" i="2"/>
  <c r="F1193" i="2"/>
  <c r="A1193" i="2"/>
  <c r="G1192" i="2"/>
  <c r="F1192" i="2"/>
  <c r="A1192" i="2"/>
  <c r="F1191" i="2"/>
  <c r="G1191" i="2" s="1"/>
  <c r="A1191" i="2"/>
  <c r="F1190" i="2"/>
  <c r="G1190" i="2" s="1"/>
  <c r="A1190" i="2"/>
  <c r="F1189" i="2"/>
  <c r="G1189" i="2" s="1"/>
  <c r="A1189" i="2"/>
  <c r="F1188" i="2"/>
  <c r="G1188" i="2" s="1"/>
  <c r="A1188" i="2"/>
  <c r="G1187" i="2"/>
  <c r="F1187" i="2"/>
  <c r="A1187" i="2"/>
  <c r="G1186" i="2"/>
  <c r="F1186" i="2"/>
  <c r="A1186" i="2"/>
  <c r="G1185" i="2"/>
  <c r="F1185" i="2"/>
  <c r="A1185" i="2"/>
  <c r="G1184" i="2"/>
  <c r="F1184" i="2"/>
  <c r="A1184" i="2"/>
  <c r="F1183" i="2"/>
  <c r="G1183" i="2" s="1"/>
  <c r="A1183" i="2"/>
  <c r="F1182" i="2"/>
  <c r="G1182" i="2" s="1"/>
  <c r="A1182" i="2"/>
  <c r="F1181" i="2"/>
  <c r="G1181" i="2" s="1"/>
  <c r="A1181" i="2"/>
  <c r="F1180" i="2"/>
  <c r="G1180" i="2" s="1"/>
  <c r="A1180" i="2"/>
  <c r="G1179" i="2"/>
  <c r="F1179" i="2"/>
  <c r="A1179" i="2"/>
  <c r="G1178" i="2"/>
  <c r="F1178" i="2"/>
  <c r="A1178" i="2"/>
  <c r="G1177" i="2"/>
  <c r="F1177" i="2"/>
  <c r="A1177" i="2"/>
  <c r="G1176" i="2"/>
  <c r="F1176" i="2"/>
  <c r="A1176" i="2"/>
  <c r="F1175" i="2"/>
  <c r="G1175" i="2" s="1"/>
  <c r="A1175" i="2"/>
  <c r="F1174" i="2"/>
  <c r="G1174" i="2" s="1"/>
  <c r="A1174" i="2"/>
  <c r="F1173" i="2"/>
  <c r="G1173" i="2" s="1"/>
  <c r="A1173" i="2"/>
  <c r="F1172" i="2"/>
  <c r="G1172" i="2" s="1"/>
  <c r="A1172" i="2"/>
  <c r="G1171" i="2"/>
  <c r="F1171" i="2"/>
  <c r="A1171" i="2"/>
  <c r="G1170" i="2"/>
  <c r="F1170" i="2"/>
  <c r="A1170" i="2"/>
  <c r="G1169" i="2"/>
  <c r="F1169" i="2"/>
  <c r="A1169" i="2"/>
  <c r="G1168" i="2"/>
  <c r="F1168" i="2"/>
  <c r="A1168" i="2"/>
  <c r="F1167" i="2"/>
  <c r="G1167" i="2" s="1"/>
  <c r="A1167" i="2"/>
  <c r="F1166" i="2"/>
  <c r="G1166" i="2" s="1"/>
  <c r="A1166" i="2"/>
  <c r="F1165" i="2"/>
  <c r="G1165" i="2" s="1"/>
  <c r="A1165" i="2"/>
  <c r="F1164" i="2"/>
  <c r="G1164" i="2" s="1"/>
  <c r="A1164" i="2"/>
  <c r="G1163" i="2"/>
  <c r="F1163" i="2"/>
  <c r="A1163" i="2"/>
  <c r="G1162" i="2"/>
  <c r="F1162" i="2"/>
  <c r="A1162" i="2"/>
  <c r="G1161" i="2"/>
  <c r="F1161" i="2"/>
  <c r="A1161" i="2"/>
  <c r="G1160" i="2"/>
  <c r="F1160" i="2"/>
  <c r="A1160" i="2"/>
  <c r="F1159" i="2"/>
  <c r="G1159" i="2" s="1"/>
  <c r="A1159" i="2"/>
  <c r="F1158" i="2"/>
  <c r="G1158" i="2" s="1"/>
  <c r="A1158" i="2"/>
  <c r="F1157" i="2"/>
  <c r="G1157" i="2" s="1"/>
  <c r="A1157" i="2"/>
  <c r="F1156" i="2"/>
  <c r="G1156" i="2" s="1"/>
  <c r="A1156" i="2"/>
  <c r="G1155" i="2"/>
  <c r="F1155" i="2"/>
  <c r="A1155" i="2"/>
  <c r="G1154" i="2"/>
  <c r="F1154" i="2"/>
  <c r="A1154" i="2"/>
  <c r="G1153" i="2"/>
  <c r="F1153" i="2"/>
  <c r="A1153" i="2"/>
  <c r="G1152" i="2"/>
  <c r="F1152" i="2"/>
  <c r="A1152" i="2"/>
  <c r="F1151" i="2"/>
  <c r="G1151" i="2" s="1"/>
  <c r="A1151" i="2"/>
  <c r="F1150" i="2"/>
  <c r="G1150" i="2" s="1"/>
  <c r="A1150" i="2"/>
  <c r="F1149" i="2"/>
  <c r="G1149" i="2" s="1"/>
  <c r="A1149" i="2"/>
  <c r="F1148" i="2"/>
  <c r="G1148" i="2" s="1"/>
  <c r="A1148" i="2"/>
  <c r="G1147" i="2"/>
  <c r="F1147" i="2"/>
  <c r="A1147" i="2"/>
  <c r="G1146" i="2"/>
  <c r="F1146" i="2"/>
  <c r="A1146" i="2"/>
  <c r="G1145" i="2"/>
  <c r="F1145" i="2"/>
  <c r="A1145" i="2"/>
  <c r="G1144" i="2"/>
  <c r="F1144" i="2"/>
  <c r="A1144" i="2"/>
  <c r="F1143" i="2"/>
  <c r="G1143" i="2" s="1"/>
  <c r="A1143" i="2"/>
  <c r="F1142" i="2"/>
  <c r="G1142" i="2" s="1"/>
  <c r="A1142" i="2"/>
  <c r="F1141" i="2"/>
  <c r="G1141" i="2" s="1"/>
  <c r="A1141" i="2"/>
  <c r="F1140" i="2"/>
  <c r="G1140" i="2" s="1"/>
  <c r="A1140" i="2"/>
  <c r="G1139" i="2"/>
  <c r="F1139" i="2"/>
  <c r="A1139" i="2"/>
  <c r="G1138" i="2"/>
  <c r="F1138" i="2"/>
  <c r="A1138" i="2"/>
  <c r="G1137" i="2"/>
  <c r="F1137" i="2"/>
  <c r="A1137" i="2"/>
  <c r="G1136" i="2"/>
  <c r="F1136" i="2"/>
  <c r="A1136" i="2"/>
  <c r="F1135" i="2"/>
  <c r="G1135" i="2" s="1"/>
  <c r="A1135" i="2"/>
  <c r="F1134" i="2"/>
  <c r="G1134" i="2" s="1"/>
  <c r="A1134" i="2"/>
  <c r="F1133" i="2"/>
  <c r="G1133" i="2" s="1"/>
  <c r="A1133" i="2"/>
  <c r="F1132" i="2"/>
  <c r="G1132" i="2" s="1"/>
  <c r="A1132" i="2"/>
  <c r="G1131" i="2"/>
  <c r="F1131" i="2"/>
  <c r="A1131" i="2"/>
  <c r="G1130" i="2"/>
  <c r="F1130" i="2"/>
  <c r="A1130" i="2"/>
  <c r="G1129" i="2"/>
  <c r="F1129" i="2"/>
  <c r="A1129" i="2"/>
  <c r="G1128" i="2"/>
  <c r="F1128" i="2"/>
  <c r="A1128" i="2"/>
  <c r="F1127" i="2"/>
  <c r="G1127" i="2" s="1"/>
  <c r="A1127" i="2"/>
  <c r="F1126" i="2"/>
  <c r="G1126" i="2" s="1"/>
  <c r="A1126" i="2"/>
  <c r="F1125" i="2"/>
  <c r="G1125" i="2" s="1"/>
  <c r="A1125" i="2"/>
  <c r="F1124" i="2"/>
  <c r="G1124" i="2" s="1"/>
  <c r="A1124" i="2"/>
  <c r="G1123" i="2"/>
  <c r="F1123" i="2"/>
  <c r="A1123" i="2"/>
  <c r="G1122" i="2"/>
  <c r="F1122" i="2"/>
  <c r="A1122" i="2"/>
  <c r="G1121" i="2"/>
  <c r="F1121" i="2"/>
  <c r="A1121" i="2"/>
  <c r="G1120" i="2"/>
  <c r="F1120" i="2"/>
  <c r="A1120" i="2"/>
  <c r="F1119" i="2"/>
  <c r="G1119" i="2" s="1"/>
  <c r="A1119" i="2"/>
  <c r="F1118" i="2"/>
  <c r="G1118" i="2" s="1"/>
  <c r="A1118" i="2"/>
  <c r="F1117" i="2"/>
  <c r="G1117" i="2" s="1"/>
  <c r="A1117" i="2"/>
  <c r="F1116" i="2"/>
  <c r="G1116" i="2" s="1"/>
  <c r="A1116" i="2"/>
  <c r="G1115" i="2"/>
  <c r="F1115" i="2"/>
  <c r="A1115" i="2"/>
  <c r="G1114" i="2"/>
  <c r="F1114" i="2"/>
  <c r="A1114" i="2"/>
  <c r="G1113" i="2"/>
  <c r="F1113" i="2"/>
  <c r="A1113" i="2"/>
  <c r="G1112" i="2"/>
  <c r="F1112" i="2"/>
  <c r="A1112" i="2"/>
  <c r="F1111" i="2"/>
  <c r="G1111" i="2" s="1"/>
  <c r="A1111" i="2"/>
  <c r="F1110" i="2"/>
  <c r="G1110" i="2" s="1"/>
  <c r="A1110" i="2"/>
  <c r="F1109" i="2"/>
  <c r="G1109" i="2" s="1"/>
  <c r="A1109" i="2"/>
  <c r="F1108" i="2"/>
  <c r="G1108" i="2" s="1"/>
  <c r="A1108" i="2"/>
  <c r="G1107" i="2"/>
  <c r="F1107" i="2"/>
  <c r="A1107" i="2"/>
  <c r="G1106" i="2"/>
  <c r="F1106" i="2"/>
  <c r="A1106" i="2"/>
  <c r="G1105" i="2"/>
  <c r="F1105" i="2"/>
  <c r="A1105" i="2"/>
  <c r="G1104" i="2"/>
  <c r="F1104" i="2"/>
  <c r="A1104" i="2"/>
  <c r="F1103" i="2"/>
  <c r="G1103" i="2" s="1"/>
  <c r="A1103" i="2"/>
  <c r="F1102" i="2"/>
  <c r="G1102" i="2" s="1"/>
  <c r="A1102" i="2"/>
  <c r="F1101" i="2"/>
  <c r="G1101" i="2" s="1"/>
  <c r="A1101" i="2"/>
  <c r="F1100" i="2"/>
  <c r="G1100" i="2" s="1"/>
  <c r="A1100" i="2"/>
  <c r="G1099" i="2"/>
  <c r="F1099" i="2"/>
  <c r="A1099" i="2"/>
  <c r="G1098" i="2"/>
  <c r="F1098" i="2"/>
  <c r="A1098" i="2"/>
  <c r="G1097" i="2"/>
  <c r="F1097" i="2"/>
  <c r="A1097" i="2"/>
  <c r="G1096" i="2"/>
  <c r="F1096" i="2"/>
  <c r="A1096" i="2"/>
  <c r="F1095" i="2"/>
  <c r="G1095" i="2" s="1"/>
  <c r="A1095" i="2"/>
  <c r="F1094" i="2"/>
  <c r="G1094" i="2" s="1"/>
  <c r="A1094" i="2"/>
  <c r="F1093" i="2"/>
  <c r="G1093" i="2" s="1"/>
  <c r="A1093" i="2"/>
  <c r="F1092" i="2"/>
  <c r="G1092" i="2" s="1"/>
  <c r="A1092" i="2"/>
  <c r="G1091" i="2"/>
  <c r="F1091" i="2"/>
  <c r="A1091" i="2"/>
  <c r="G1090" i="2"/>
  <c r="F1090" i="2"/>
  <c r="A1090" i="2"/>
  <c r="G1089" i="2"/>
  <c r="F1089" i="2"/>
  <c r="A1089" i="2"/>
  <c r="G1088" i="2"/>
  <c r="F1088" i="2"/>
  <c r="A1088" i="2"/>
  <c r="F1087" i="2"/>
  <c r="G1087" i="2" s="1"/>
  <c r="A1087" i="2"/>
  <c r="F1086" i="2"/>
  <c r="G1086" i="2" s="1"/>
  <c r="A1086" i="2"/>
  <c r="F1085" i="2"/>
  <c r="G1085" i="2" s="1"/>
  <c r="A1085" i="2"/>
  <c r="F1084" i="2"/>
  <c r="G1084" i="2" s="1"/>
  <c r="A1084" i="2"/>
  <c r="G1083" i="2"/>
  <c r="F1083" i="2"/>
  <c r="A1083" i="2"/>
  <c r="G1082" i="2"/>
  <c r="F1082" i="2"/>
  <c r="A1082" i="2"/>
  <c r="G1081" i="2"/>
  <c r="F1081" i="2"/>
  <c r="A1081" i="2"/>
  <c r="G1080" i="2"/>
  <c r="F1080" i="2"/>
  <c r="A1080" i="2"/>
  <c r="F1079" i="2"/>
  <c r="G1079" i="2" s="1"/>
  <c r="A1079" i="2"/>
  <c r="F1078" i="2"/>
  <c r="G1078" i="2" s="1"/>
  <c r="A1078" i="2"/>
  <c r="F1077" i="2"/>
  <c r="G1077" i="2" s="1"/>
  <c r="A1077" i="2"/>
  <c r="F1076" i="2"/>
  <c r="G1076" i="2" s="1"/>
  <c r="A1076" i="2"/>
  <c r="G1075" i="2"/>
  <c r="F1075" i="2"/>
  <c r="A1075" i="2"/>
  <c r="G1074" i="2"/>
  <c r="F1074" i="2"/>
  <c r="A1074" i="2"/>
  <c r="G1073" i="2"/>
  <c r="F1073" i="2"/>
  <c r="A1073" i="2"/>
  <c r="G1072" i="2"/>
  <c r="F1072" i="2"/>
  <c r="A1072" i="2"/>
  <c r="F1071" i="2"/>
  <c r="G1071" i="2" s="1"/>
  <c r="A1071" i="2"/>
  <c r="F1070" i="2"/>
  <c r="G1070" i="2" s="1"/>
  <c r="A1070" i="2"/>
  <c r="F1069" i="2"/>
  <c r="G1069" i="2" s="1"/>
  <c r="A1069" i="2"/>
  <c r="F1068" i="2"/>
  <c r="G1068" i="2" s="1"/>
  <c r="A1068" i="2"/>
  <c r="G1067" i="2"/>
  <c r="F1067" i="2"/>
  <c r="A1067" i="2"/>
  <c r="G1066" i="2"/>
  <c r="F1066" i="2"/>
  <c r="A1066" i="2"/>
  <c r="G1065" i="2"/>
  <c r="F1065" i="2"/>
  <c r="A1065" i="2"/>
  <c r="G1064" i="2"/>
  <c r="F1064" i="2"/>
  <c r="A1064" i="2"/>
  <c r="F1063" i="2"/>
  <c r="G1063" i="2" s="1"/>
  <c r="A1063" i="2"/>
  <c r="F1062" i="2"/>
  <c r="G1062" i="2" s="1"/>
  <c r="A1062" i="2"/>
  <c r="F1061" i="2"/>
  <c r="G1061" i="2" s="1"/>
  <c r="A1061" i="2"/>
  <c r="F1060" i="2"/>
  <c r="G1060" i="2" s="1"/>
  <c r="A1060" i="2"/>
  <c r="G1059" i="2"/>
  <c r="F1059" i="2"/>
  <c r="A1059" i="2"/>
  <c r="G1058" i="2"/>
  <c r="F1058" i="2"/>
  <c r="A1058" i="2"/>
  <c r="G1057" i="2"/>
  <c r="F1057" i="2"/>
  <c r="A1057" i="2"/>
  <c r="G1056" i="2"/>
  <c r="F1056" i="2"/>
  <c r="A1056" i="2"/>
  <c r="F1055" i="2"/>
  <c r="G1055" i="2" s="1"/>
  <c r="A1055" i="2"/>
  <c r="F1054" i="2"/>
  <c r="G1054" i="2" s="1"/>
  <c r="A1054" i="2"/>
  <c r="F1053" i="2"/>
  <c r="G1053" i="2" s="1"/>
  <c r="A1053" i="2"/>
  <c r="F1052" i="2"/>
  <c r="G1052" i="2" s="1"/>
  <c r="A1052" i="2"/>
  <c r="G1051" i="2"/>
  <c r="F1051" i="2"/>
  <c r="A1051" i="2"/>
  <c r="G1050" i="2"/>
  <c r="F1050" i="2"/>
  <c r="A1050" i="2"/>
  <c r="G1049" i="2"/>
  <c r="F1049" i="2"/>
  <c r="A1049" i="2"/>
  <c r="G1048" i="2"/>
  <c r="F1048" i="2"/>
  <c r="A1048" i="2"/>
  <c r="F1047" i="2"/>
  <c r="G1047" i="2" s="1"/>
  <c r="A1047" i="2"/>
  <c r="F1046" i="2"/>
  <c r="G1046" i="2" s="1"/>
  <c r="A1046" i="2"/>
  <c r="F1045" i="2"/>
  <c r="G1045" i="2" s="1"/>
  <c r="A1045" i="2"/>
  <c r="F1044" i="2"/>
  <c r="G1044" i="2" s="1"/>
  <c r="A1044" i="2"/>
  <c r="G1043" i="2"/>
  <c r="F1043" i="2"/>
  <c r="A1043" i="2"/>
  <c r="G1042" i="2"/>
  <c r="F1042" i="2"/>
  <c r="A1042" i="2"/>
  <c r="G1041" i="2"/>
  <c r="F1041" i="2"/>
  <c r="A1041" i="2"/>
  <c r="G1040" i="2"/>
  <c r="F1040" i="2"/>
  <c r="A1040" i="2"/>
  <c r="F1039" i="2"/>
  <c r="G1039" i="2" s="1"/>
  <c r="A1039" i="2"/>
  <c r="F1038" i="2"/>
  <c r="G1038" i="2" s="1"/>
  <c r="A1038" i="2"/>
  <c r="F1037" i="2"/>
  <c r="G1037" i="2" s="1"/>
  <c r="A1037" i="2"/>
  <c r="F1036" i="2"/>
  <c r="G1036" i="2" s="1"/>
  <c r="A1036" i="2"/>
  <c r="G1035" i="2"/>
  <c r="F1035" i="2"/>
  <c r="A1035" i="2"/>
  <c r="G1034" i="2"/>
  <c r="F1034" i="2"/>
  <c r="A1034" i="2"/>
  <c r="G1033" i="2"/>
  <c r="F1033" i="2"/>
  <c r="A1033" i="2"/>
  <c r="G1032" i="2"/>
  <c r="F1032" i="2"/>
  <c r="A1032" i="2"/>
  <c r="F1031" i="2"/>
  <c r="G1031" i="2" s="1"/>
  <c r="A1031" i="2"/>
  <c r="F1030" i="2"/>
  <c r="G1030" i="2" s="1"/>
  <c r="A1030" i="2"/>
  <c r="F1029" i="2"/>
  <c r="G1029" i="2" s="1"/>
  <c r="A1029" i="2"/>
  <c r="F1028" i="2"/>
  <c r="G1028" i="2" s="1"/>
  <c r="A1028" i="2"/>
  <c r="G1027" i="2"/>
  <c r="F1027" i="2"/>
  <c r="A1027" i="2"/>
  <c r="G1026" i="2"/>
  <c r="F1026" i="2"/>
  <c r="A1026" i="2"/>
  <c r="G1025" i="2"/>
  <c r="F1025" i="2"/>
  <c r="A1025" i="2"/>
  <c r="G1024" i="2"/>
  <c r="F1024" i="2"/>
  <c r="A1024" i="2"/>
  <c r="F1023" i="2"/>
  <c r="G1023" i="2" s="1"/>
  <c r="A1023" i="2"/>
  <c r="F1022" i="2"/>
  <c r="G1022" i="2" s="1"/>
  <c r="A1022" i="2"/>
  <c r="F1021" i="2"/>
  <c r="G1021" i="2" s="1"/>
  <c r="A1021" i="2"/>
  <c r="F1020" i="2"/>
  <c r="G1020" i="2" s="1"/>
  <c r="A1020" i="2"/>
  <c r="G1019" i="2"/>
  <c r="F1019" i="2"/>
  <c r="A1019" i="2"/>
  <c r="G1018" i="2"/>
  <c r="F1018" i="2"/>
  <c r="A1018" i="2"/>
  <c r="G1017" i="2"/>
  <c r="F1017" i="2"/>
  <c r="A1017" i="2"/>
  <c r="G1016" i="2"/>
  <c r="F1016" i="2"/>
  <c r="A1016" i="2"/>
  <c r="F1015" i="2"/>
  <c r="G1015" i="2" s="1"/>
  <c r="A1015" i="2"/>
  <c r="F1014" i="2"/>
  <c r="G1014" i="2" s="1"/>
  <c r="A1014" i="2"/>
  <c r="F1013" i="2"/>
  <c r="G1013" i="2" s="1"/>
  <c r="A1013" i="2"/>
  <c r="F1012" i="2"/>
  <c r="G1012" i="2" s="1"/>
  <c r="A1012" i="2"/>
  <c r="G1011" i="2"/>
  <c r="F1011" i="2"/>
  <c r="A1011" i="2"/>
  <c r="G1010" i="2"/>
  <c r="F1010" i="2"/>
  <c r="A1010" i="2"/>
  <c r="G1009" i="2"/>
  <c r="F1009" i="2"/>
  <c r="A1009" i="2"/>
  <c r="G1008" i="2"/>
  <c r="F1008" i="2"/>
  <c r="A1008" i="2"/>
  <c r="F1007" i="2"/>
  <c r="G1007" i="2" s="1"/>
  <c r="A1007" i="2"/>
  <c r="F1006" i="2"/>
  <c r="G1006" i="2" s="1"/>
  <c r="A1006" i="2"/>
  <c r="F1005" i="2"/>
  <c r="G1005" i="2" s="1"/>
  <c r="A1005" i="2"/>
  <c r="F1004" i="2"/>
  <c r="G1004" i="2" s="1"/>
  <c r="A1004" i="2"/>
  <c r="G1003" i="2"/>
  <c r="F1003" i="2"/>
  <c r="A1003" i="2"/>
  <c r="G1002" i="2"/>
  <c r="F1002" i="2"/>
  <c r="A1002" i="2"/>
  <c r="G1001" i="2"/>
  <c r="F1001" i="2"/>
  <c r="A1001" i="2"/>
  <c r="G1000" i="2"/>
  <c r="F1000" i="2"/>
  <c r="A1000" i="2"/>
  <c r="F999" i="2"/>
  <c r="G999" i="2" s="1"/>
  <c r="A999" i="2"/>
  <c r="F998" i="2"/>
  <c r="G998" i="2" s="1"/>
  <c r="A998" i="2"/>
  <c r="F997" i="2"/>
  <c r="G997" i="2" s="1"/>
  <c r="A997" i="2"/>
  <c r="F996" i="2"/>
  <c r="G996" i="2" s="1"/>
  <c r="A996" i="2"/>
  <c r="G995" i="2"/>
  <c r="F995" i="2"/>
  <c r="A995" i="2"/>
  <c r="G994" i="2"/>
  <c r="F994" i="2"/>
  <c r="A994" i="2"/>
  <c r="G993" i="2"/>
  <c r="F993" i="2"/>
  <c r="A993" i="2"/>
  <c r="G992" i="2"/>
  <c r="F992" i="2"/>
  <c r="A992" i="2"/>
  <c r="F991" i="2"/>
  <c r="G991" i="2" s="1"/>
  <c r="A991" i="2"/>
  <c r="F990" i="2"/>
  <c r="G990" i="2" s="1"/>
  <c r="A990" i="2"/>
  <c r="F989" i="2"/>
  <c r="G989" i="2" s="1"/>
  <c r="A989" i="2"/>
  <c r="F988" i="2"/>
  <c r="G988" i="2" s="1"/>
  <c r="A988" i="2"/>
  <c r="G987" i="2"/>
  <c r="F987" i="2"/>
  <c r="A987" i="2"/>
  <c r="G986" i="2"/>
  <c r="F986" i="2"/>
  <c r="A986" i="2"/>
  <c r="G985" i="2"/>
  <c r="F985" i="2"/>
  <c r="A985" i="2"/>
  <c r="G984" i="2"/>
  <c r="F984" i="2"/>
  <c r="A984" i="2"/>
  <c r="F983" i="2"/>
  <c r="G983" i="2" s="1"/>
  <c r="A983" i="2"/>
  <c r="F982" i="2"/>
  <c r="G982" i="2" s="1"/>
  <c r="A982" i="2"/>
  <c r="F981" i="2"/>
  <c r="G981" i="2" s="1"/>
  <c r="A981" i="2"/>
  <c r="F980" i="2"/>
  <c r="G980" i="2" s="1"/>
  <c r="A980" i="2"/>
  <c r="G979" i="2"/>
  <c r="F979" i="2"/>
  <c r="A979" i="2"/>
  <c r="G978" i="2"/>
  <c r="F978" i="2"/>
  <c r="A978" i="2"/>
  <c r="G977" i="2"/>
  <c r="F977" i="2"/>
  <c r="A977" i="2"/>
  <c r="G976" i="2"/>
  <c r="F976" i="2"/>
  <c r="A976" i="2"/>
  <c r="F975" i="2"/>
  <c r="G975" i="2" s="1"/>
  <c r="A975" i="2"/>
  <c r="F974" i="2"/>
  <c r="G974" i="2" s="1"/>
  <c r="A974" i="2"/>
  <c r="F973" i="2"/>
  <c r="G973" i="2" s="1"/>
  <c r="A973" i="2"/>
  <c r="F972" i="2"/>
  <c r="G972" i="2" s="1"/>
  <c r="A972" i="2"/>
  <c r="G971" i="2"/>
  <c r="F971" i="2"/>
  <c r="A971" i="2"/>
  <c r="G970" i="2"/>
  <c r="F970" i="2"/>
  <c r="A970" i="2"/>
  <c r="G969" i="2"/>
  <c r="F969" i="2"/>
  <c r="A969" i="2"/>
  <c r="G968" i="2"/>
  <c r="F968" i="2"/>
  <c r="A968" i="2"/>
  <c r="F967" i="2"/>
  <c r="G967" i="2" s="1"/>
  <c r="A967" i="2"/>
  <c r="F966" i="2"/>
  <c r="G966" i="2" s="1"/>
  <c r="A966" i="2"/>
  <c r="F965" i="2"/>
  <c r="G965" i="2" s="1"/>
  <c r="A965" i="2"/>
  <c r="F964" i="2"/>
  <c r="G964" i="2" s="1"/>
  <c r="A964" i="2"/>
  <c r="G963" i="2"/>
  <c r="F963" i="2"/>
  <c r="A963" i="2"/>
  <c r="G962" i="2"/>
  <c r="F962" i="2"/>
  <c r="A962" i="2"/>
  <c r="G961" i="2"/>
  <c r="F961" i="2"/>
  <c r="A961" i="2"/>
  <c r="G960" i="2"/>
  <c r="F960" i="2"/>
  <c r="A960" i="2"/>
  <c r="F959" i="2"/>
  <c r="G959" i="2" s="1"/>
  <c r="A959" i="2"/>
  <c r="F958" i="2"/>
  <c r="G958" i="2" s="1"/>
  <c r="A958" i="2"/>
  <c r="F957" i="2"/>
  <c r="G957" i="2" s="1"/>
  <c r="A957" i="2"/>
  <c r="F956" i="2"/>
  <c r="G956" i="2" s="1"/>
  <c r="A956" i="2"/>
  <c r="G955" i="2"/>
  <c r="F955" i="2"/>
  <c r="A955" i="2"/>
  <c r="G954" i="2"/>
  <c r="F954" i="2"/>
  <c r="A954" i="2"/>
  <c r="G953" i="2"/>
  <c r="F953" i="2"/>
  <c r="A953" i="2"/>
  <c r="G952" i="2"/>
  <c r="F952" i="2"/>
  <c r="A952" i="2"/>
  <c r="F951" i="2"/>
  <c r="G951" i="2" s="1"/>
  <c r="A951" i="2"/>
  <c r="F950" i="2"/>
  <c r="G950" i="2" s="1"/>
  <c r="A950" i="2"/>
  <c r="F949" i="2"/>
  <c r="G949" i="2" s="1"/>
  <c r="A949" i="2"/>
  <c r="F948" i="2"/>
  <c r="G948" i="2" s="1"/>
  <c r="A948" i="2"/>
  <c r="G947" i="2"/>
  <c r="F947" i="2"/>
  <c r="A947" i="2"/>
  <c r="G946" i="2"/>
  <c r="F946" i="2"/>
  <c r="A946" i="2"/>
  <c r="G945" i="2"/>
  <c r="F945" i="2"/>
  <c r="A945" i="2"/>
  <c r="G944" i="2"/>
  <c r="F944" i="2"/>
  <c r="A944" i="2"/>
  <c r="F943" i="2"/>
  <c r="G943" i="2" s="1"/>
  <c r="A943" i="2"/>
  <c r="F942" i="2"/>
  <c r="G942" i="2" s="1"/>
  <c r="A942" i="2"/>
  <c r="F941" i="2"/>
  <c r="G941" i="2" s="1"/>
  <c r="A941" i="2"/>
  <c r="F940" i="2"/>
  <c r="G940" i="2" s="1"/>
  <c r="A940" i="2"/>
  <c r="G939" i="2"/>
  <c r="F939" i="2"/>
  <c r="A939" i="2"/>
  <c r="G938" i="2"/>
  <c r="F938" i="2"/>
  <c r="A938" i="2"/>
  <c r="G937" i="2"/>
  <c r="F937" i="2"/>
  <c r="A937" i="2"/>
  <c r="G936" i="2"/>
  <c r="F936" i="2"/>
  <c r="A936" i="2"/>
  <c r="F935" i="2"/>
  <c r="G935" i="2" s="1"/>
  <c r="A935" i="2"/>
  <c r="F934" i="2"/>
  <c r="G934" i="2" s="1"/>
  <c r="A934" i="2"/>
  <c r="F933" i="2"/>
  <c r="G933" i="2" s="1"/>
  <c r="A933" i="2"/>
  <c r="F932" i="2"/>
  <c r="G932" i="2" s="1"/>
  <c r="A932" i="2"/>
  <c r="G931" i="2"/>
  <c r="F931" i="2"/>
  <c r="A931" i="2"/>
  <c r="G930" i="2"/>
  <c r="F930" i="2"/>
  <c r="A930" i="2"/>
  <c r="G929" i="2"/>
  <c r="F929" i="2"/>
  <c r="A929" i="2"/>
  <c r="G928" i="2"/>
  <c r="F928" i="2"/>
  <c r="A928" i="2"/>
  <c r="F927" i="2"/>
  <c r="G927" i="2" s="1"/>
  <c r="A927" i="2"/>
  <c r="F926" i="2"/>
  <c r="G926" i="2" s="1"/>
  <c r="A926" i="2"/>
  <c r="F925" i="2"/>
  <c r="G925" i="2" s="1"/>
  <c r="A925" i="2"/>
  <c r="F924" i="2"/>
  <c r="G924" i="2" s="1"/>
  <c r="A924" i="2"/>
  <c r="G923" i="2"/>
  <c r="F923" i="2"/>
  <c r="A923" i="2"/>
  <c r="G922" i="2"/>
  <c r="F922" i="2"/>
  <c r="A922" i="2"/>
  <c r="G921" i="2"/>
  <c r="F921" i="2"/>
  <c r="A921" i="2"/>
  <c r="G920" i="2"/>
  <c r="F920" i="2"/>
  <c r="A920" i="2"/>
  <c r="F919" i="2"/>
  <c r="G919" i="2" s="1"/>
  <c r="A919" i="2"/>
  <c r="F918" i="2"/>
  <c r="G918" i="2" s="1"/>
  <c r="A918" i="2"/>
  <c r="F917" i="2"/>
  <c r="G917" i="2" s="1"/>
  <c r="A917" i="2"/>
  <c r="F916" i="2"/>
  <c r="G916" i="2" s="1"/>
  <c r="A916" i="2"/>
  <c r="G915" i="2"/>
  <c r="F915" i="2"/>
  <c r="A915" i="2"/>
  <c r="G914" i="2"/>
  <c r="F914" i="2"/>
  <c r="A914" i="2"/>
  <c r="G913" i="2"/>
  <c r="F913" i="2"/>
  <c r="A913" i="2"/>
  <c r="G912" i="2"/>
  <c r="F912" i="2"/>
  <c r="A912" i="2"/>
  <c r="F911" i="2"/>
  <c r="G911" i="2" s="1"/>
  <c r="A911" i="2"/>
  <c r="F910" i="2"/>
  <c r="G910" i="2" s="1"/>
  <c r="A910" i="2"/>
  <c r="F909" i="2"/>
  <c r="G909" i="2" s="1"/>
  <c r="A909" i="2"/>
  <c r="F908" i="2"/>
  <c r="G908" i="2" s="1"/>
  <c r="A908" i="2"/>
  <c r="G907" i="2"/>
  <c r="F907" i="2"/>
  <c r="A907" i="2"/>
  <c r="G906" i="2"/>
  <c r="F906" i="2"/>
  <c r="A906" i="2"/>
  <c r="G905" i="2"/>
  <c r="F905" i="2"/>
  <c r="A905" i="2"/>
  <c r="G904" i="2"/>
  <c r="F904" i="2"/>
  <c r="A904" i="2"/>
  <c r="F903" i="2"/>
  <c r="G903" i="2" s="1"/>
  <c r="A903" i="2"/>
  <c r="F902" i="2"/>
  <c r="G902" i="2" s="1"/>
  <c r="A902" i="2"/>
  <c r="F901" i="2"/>
  <c r="G901" i="2" s="1"/>
  <c r="A901" i="2"/>
  <c r="F900" i="2"/>
  <c r="G900" i="2" s="1"/>
  <c r="A900" i="2"/>
  <c r="G899" i="2"/>
  <c r="F899" i="2"/>
  <c r="A899" i="2"/>
  <c r="G898" i="2"/>
  <c r="F898" i="2"/>
  <c r="A898" i="2"/>
  <c r="G897" i="2"/>
  <c r="F897" i="2"/>
  <c r="A897" i="2"/>
  <c r="G896" i="2"/>
  <c r="F896" i="2"/>
  <c r="A896" i="2"/>
  <c r="F895" i="2"/>
  <c r="G895" i="2" s="1"/>
  <c r="A895" i="2"/>
  <c r="F894" i="2"/>
  <c r="G894" i="2" s="1"/>
  <c r="A894" i="2"/>
  <c r="F893" i="2"/>
  <c r="G893" i="2" s="1"/>
  <c r="A893" i="2"/>
  <c r="F892" i="2"/>
  <c r="G892" i="2" s="1"/>
  <c r="A892" i="2"/>
  <c r="G891" i="2"/>
  <c r="F891" i="2"/>
  <c r="A891" i="2"/>
  <c r="G890" i="2"/>
  <c r="F890" i="2"/>
  <c r="A890" i="2"/>
  <c r="G889" i="2"/>
  <c r="F889" i="2"/>
  <c r="A889" i="2"/>
  <c r="G888" i="2"/>
  <c r="F888" i="2"/>
  <c r="A888" i="2"/>
  <c r="F887" i="2"/>
  <c r="G887" i="2" s="1"/>
  <c r="A887" i="2"/>
  <c r="F886" i="2"/>
  <c r="G886" i="2" s="1"/>
  <c r="A886" i="2"/>
  <c r="F885" i="2"/>
  <c r="G885" i="2" s="1"/>
  <c r="A885" i="2"/>
  <c r="F884" i="2"/>
  <c r="G884" i="2" s="1"/>
  <c r="A884" i="2"/>
  <c r="G883" i="2"/>
  <c r="F883" i="2"/>
  <c r="A883" i="2"/>
  <c r="G882" i="2"/>
  <c r="F882" i="2"/>
  <c r="A882" i="2"/>
  <c r="G881" i="2"/>
  <c r="F881" i="2"/>
  <c r="A881" i="2"/>
  <c r="G880" i="2"/>
  <c r="F880" i="2"/>
  <c r="A880" i="2"/>
  <c r="F879" i="2"/>
  <c r="G879" i="2" s="1"/>
  <c r="A879" i="2"/>
  <c r="F878" i="2"/>
  <c r="G878" i="2" s="1"/>
  <c r="A878" i="2"/>
  <c r="F877" i="2"/>
  <c r="G877" i="2" s="1"/>
  <c r="A877" i="2"/>
  <c r="F876" i="2"/>
  <c r="G876" i="2" s="1"/>
  <c r="A876" i="2"/>
  <c r="G875" i="2"/>
  <c r="F875" i="2"/>
  <c r="A875" i="2"/>
  <c r="G874" i="2"/>
  <c r="F874" i="2"/>
  <c r="A874" i="2"/>
  <c r="G873" i="2"/>
  <c r="F873" i="2"/>
  <c r="A873" i="2"/>
  <c r="G872" i="2"/>
  <c r="F872" i="2"/>
  <c r="A872" i="2"/>
  <c r="F871" i="2"/>
  <c r="G871" i="2" s="1"/>
  <c r="A871" i="2"/>
  <c r="F870" i="2"/>
  <c r="G870" i="2" s="1"/>
  <c r="A870" i="2"/>
  <c r="F869" i="2"/>
  <c r="G869" i="2" s="1"/>
  <c r="A869" i="2"/>
  <c r="F868" i="2"/>
  <c r="G868" i="2" s="1"/>
  <c r="A868" i="2"/>
  <c r="G867" i="2"/>
  <c r="F867" i="2"/>
  <c r="A867" i="2"/>
  <c r="G866" i="2"/>
  <c r="F866" i="2"/>
  <c r="A866" i="2"/>
  <c r="G865" i="2"/>
  <c r="F865" i="2"/>
  <c r="A865" i="2"/>
  <c r="G864" i="2"/>
  <c r="F864" i="2"/>
  <c r="A864" i="2"/>
  <c r="F863" i="2"/>
  <c r="G863" i="2" s="1"/>
  <c r="A863" i="2"/>
  <c r="F862" i="2"/>
  <c r="G862" i="2" s="1"/>
  <c r="A862" i="2"/>
  <c r="F861" i="2"/>
  <c r="G861" i="2" s="1"/>
  <c r="A861" i="2"/>
  <c r="F860" i="2"/>
  <c r="G860" i="2" s="1"/>
  <c r="A860" i="2"/>
  <c r="G859" i="2"/>
  <c r="F859" i="2"/>
  <c r="A859" i="2"/>
  <c r="G858" i="2"/>
  <c r="F858" i="2"/>
  <c r="A858" i="2"/>
  <c r="G857" i="2"/>
  <c r="F857" i="2"/>
  <c r="A857" i="2"/>
  <c r="G856" i="2"/>
  <c r="F856" i="2"/>
  <c r="A856" i="2"/>
  <c r="F855" i="2"/>
  <c r="G855" i="2" s="1"/>
  <c r="A855" i="2"/>
  <c r="F854" i="2"/>
  <c r="G854" i="2" s="1"/>
  <c r="A854" i="2"/>
  <c r="F853" i="2"/>
  <c r="G853" i="2" s="1"/>
  <c r="A853" i="2"/>
  <c r="F852" i="2"/>
  <c r="G852" i="2" s="1"/>
  <c r="A852" i="2"/>
  <c r="G851" i="2"/>
  <c r="F851" i="2"/>
  <c r="A851" i="2"/>
  <c r="G850" i="2"/>
  <c r="F850" i="2"/>
  <c r="A850" i="2"/>
  <c r="G849" i="2"/>
  <c r="F849" i="2"/>
  <c r="A849" i="2"/>
  <c r="G848" i="2"/>
  <c r="F848" i="2"/>
  <c r="A848" i="2"/>
  <c r="F847" i="2"/>
  <c r="G847" i="2" s="1"/>
  <c r="A847" i="2"/>
  <c r="F846" i="2"/>
  <c r="G846" i="2" s="1"/>
  <c r="A846" i="2"/>
  <c r="F845" i="2"/>
  <c r="G845" i="2" s="1"/>
  <c r="A845" i="2"/>
  <c r="F844" i="2"/>
  <c r="G844" i="2" s="1"/>
  <c r="A844" i="2"/>
  <c r="G843" i="2"/>
  <c r="F843" i="2"/>
  <c r="A843" i="2"/>
  <c r="G842" i="2"/>
  <c r="F842" i="2"/>
  <c r="A842" i="2"/>
  <c r="G841" i="2"/>
  <c r="F841" i="2"/>
  <c r="A841" i="2"/>
  <c r="G840" i="2"/>
  <c r="F840" i="2"/>
  <c r="A840" i="2"/>
  <c r="F839" i="2"/>
  <c r="G839" i="2" s="1"/>
  <c r="A839" i="2"/>
  <c r="F838" i="2"/>
  <c r="G838" i="2" s="1"/>
  <c r="A838" i="2"/>
  <c r="F837" i="2"/>
  <c r="G837" i="2" s="1"/>
  <c r="A837" i="2"/>
  <c r="F836" i="2"/>
  <c r="G836" i="2" s="1"/>
  <c r="A836" i="2"/>
  <c r="G835" i="2"/>
  <c r="F835" i="2"/>
  <c r="A835" i="2"/>
  <c r="G834" i="2"/>
  <c r="F834" i="2"/>
  <c r="A834" i="2"/>
  <c r="G833" i="2"/>
  <c r="F833" i="2"/>
  <c r="A833" i="2"/>
  <c r="G832" i="2"/>
  <c r="F832" i="2"/>
  <c r="A832" i="2"/>
  <c r="F831" i="2"/>
  <c r="G831" i="2" s="1"/>
  <c r="A831" i="2"/>
  <c r="F830" i="2"/>
  <c r="G830" i="2" s="1"/>
  <c r="A830" i="2"/>
  <c r="F829" i="2"/>
  <c r="G829" i="2" s="1"/>
  <c r="A829" i="2"/>
  <c r="F828" i="2"/>
  <c r="G828" i="2" s="1"/>
  <c r="A828" i="2"/>
  <c r="G827" i="2"/>
  <c r="F827" i="2"/>
  <c r="A827" i="2"/>
  <c r="G826" i="2"/>
  <c r="F826" i="2"/>
  <c r="A826" i="2"/>
  <c r="G825" i="2"/>
  <c r="F825" i="2"/>
  <c r="A825" i="2"/>
  <c r="G824" i="2"/>
  <c r="F824" i="2"/>
  <c r="A824" i="2"/>
  <c r="F823" i="2"/>
  <c r="G823" i="2" s="1"/>
  <c r="A823" i="2"/>
  <c r="F822" i="2"/>
  <c r="G822" i="2" s="1"/>
  <c r="A822" i="2"/>
  <c r="F821" i="2"/>
  <c r="G821" i="2" s="1"/>
  <c r="A821" i="2"/>
  <c r="F820" i="2"/>
  <c r="G820" i="2" s="1"/>
  <c r="A820" i="2"/>
  <c r="G819" i="2"/>
  <c r="F819" i="2"/>
  <c r="A819" i="2"/>
  <c r="G818" i="2"/>
  <c r="F818" i="2"/>
  <c r="A818" i="2"/>
  <c r="G817" i="2"/>
  <c r="F817" i="2"/>
  <c r="A817" i="2"/>
  <c r="G816" i="2"/>
  <c r="F816" i="2"/>
  <c r="A816" i="2"/>
  <c r="F815" i="2"/>
  <c r="G815" i="2" s="1"/>
  <c r="A815" i="2"/>
  <c r="F814" i="2"/>
  <c r="G814" i="2" s="1"/>
  <c r="A814" i="2"/>
  <c r="F813" i="2"/>
  <c r="G813" i="2" s="1"/>
  <c r="A813" i="2"/>
  <c r="F812" i="2"/>
  <c r="G812" i="2" s="1"/>
  <c r="A812" i="2"/>
  <c r="G811" i="2"/>
  <c r="F811" i="2"/>
  <c r="A811" i="2"/>
  <c r="G810" i="2"/>
  <c r="F810" i="2"/>
  <c r="A810" i="2"/>
  <c r="G809" i="2"/>
  <c r="F809" i="2"/>
  <c r="A809" i="2"/>
  <c r="G808" i="2"/>
  <c r="F808" i="2"/>
  <c r="A808" i="2"/>
  <c r="F807" i="2"/>
  <c r="G807" i="2" s="1"/>
  <c r="A807" i="2"/>
  <c r="F806" i="2"/>
  <c r="G806" i="2" s="1"/>
  <c r="A806" i="2"/>
  <c r="F805" i="2"/>
  <c r="G805" i="2" s="1"/>
  <c r="A805" i="2"/>
  <c r="F804" i="2"/>
  <c r="G804" i="2" s="1"/>
  <c r="A804" i="2"/>
  <c r="G803" i="2"/>
  <c r="F803" i="2"/>
  <c r="A803" i="2"/>
  <c r="G802" i="2"/>
  <c r="F802" i="2"/>
  <c r="A802" i="2"/>
  <c r="G801" i="2"/>
  <c r="F801" i="2"/>
  <c r="A801" i="2"/>
  <c r="G800" i="2"/>
  <c r="F800" i="2"/>
  <c r="A800" i="2"/>
  <c r="F799" i="2"/>
  <c r="G799" i="2" s="1"/>
  <c r="A799" i="2"/>
  <c r="F798" i="2"/>
  <c r="G798" i="2" s="1"/>
  <c r="A798" i="2"/>
  <c r="F797" i="2"/>
  <c r="G797" i="2" s="1"/>
  <c r="A797" i="2"/>
  <c r="F796" i="2"/>
  <c r="G796" i="2" s="1"/>
  <c r="A796" i="2"/>
  <c r="G795" i="2"/>
  <c r="F795" i="2"/>
  <c r="A795" i="2"/>
  <c r="G794" i="2"/>
  <c r="F794" i="2"/>
  <c r="A794" i="2"/>
  <c r="G793" i="2"/>
  <c r="F793" i="2"/>
  <c r="A793" i="2"/>
  <c r="G792" i="2"/>
  <c r="F792" i="2"/>
  <c r="A792" i="2"/>
  <c r="F791" i="2"/>
  <c r="G791" i="2" s="1"/>
  <c r="A791" i="2"/>
  <c r="F790" i="2"/>
  <c r="G790" i="2" s="1"/>
  <c r="A790" i="2"/>
  <c r="F789" i="2"/>
  <c r="G789" i="2" s="1"/>
  <c r="A789" i="2"/>
  <c r="F788" i="2"/>
  <c r="G788" i="2" s="1"/>
  <c r="A788" i="2"/>
  <c r="G787" i="2"/>
  <c r="F787" i="2"/>
  <c r="A787" i="2"/>
  <c r="G786" i="2"/>
  <c r="F786" i="2"/>
  <c r="A786" i="2"/>
  <c r="G785" i="2"/>
  <c r="F785" i="2"/>
  <c r="A785" i="2"/>
  <c r="G784" i="2"/>
  <c r="F784" i="2"/>
  <c r="A784" i="2"/>
  <c r="F783" i="2"/>
  <c r="G783" i="2" s="1"/>
  <c r="A783" i="2"/>
  <c r="F782" i="2"/>
  <c r="G782" i="2" s="1"/>
  <c r="A782" i="2"/>
  <c r="F781" i="2"/>
  <c r="G781" i="2" s="1"/>
  <c r="A781" i="2"/>
  <c r="F780" i="2"/>
  <c r="G780" i="2" s="1"/>
  <c r="A780" i="2"/>
  <c r="G779" i="2"/>
  <c r="F779" i="2"/>
  <c r="A779" i="2"/>
  <c r="G778" i="2"/>
  <c r="F778" i="2"/>
  <c r="A778" i="2"/>
  <c r="G777" i="2"/>
  <c r="F777" i="2"/>
  <c r="A777" i="2"/>
  <c r="G776" i="2"/>
  <c r="F776" i="2"/>
  <c r="A776" i="2"/>
  <c r="F775" i="2"/>
  <c r="G775" i="2" s="1"/>
  <c r="A775" i="2"/>
  <c r="F774" i="2"/>
  <c r="G774" i="2" s="1"/>
  <c r="A774" i="2"/>
  <c r="F773" i="2"/>
  <c r="G773" i="2" s="1"/>
  <c r="A773" i="2"/>
  <c r="F772" i="2"/>
  <c r="G772" i="2" s="1"/>
  <c r="A772" i="2"/>
  <c r="G771" i="2"/>
  <c r="F771" i="2"/>
  <c r="A771" i="2"/>
  <c r="G770" i="2"/>
  <c r="F770" i="2"/>
  <c r="A770" i="2"/>
  <c r="G769" i="2"/>
  <c r="F769" i="2"/>
  <c r="A769" i="2"/>
  <c r="G768" i="2"/>
  <c r="F768" i="2"/>
  <c r="A768" i="2"/>
  <c r="F767" i="2"/>
  <c r="G767" i="2" s="1"/>
  <c r="A767" i="2"/>
  <c r="F766" i="2"/>
  <c r="G766" i="2" s="1"/>
  <c r="A766" i="2"/>
  <c r="F765" i="2"/>
  <c r="G765" i="2" s="1"/>
  <c r="A765" i="2"/>
  <c r="F764" i="2"/>
  <c r="G764" i="2" s="1"/>
  <c r="A764" i="2"/>
  <c r="G763" i="2"/>
  <c r="F763" i="2"/>
  <c r="A763" i="2"/>
  <c r="G762" i="2"/>
  <c r="F762" i="2"/>
  <c r="A762" i="2"/>
  <c r="G761" i="2"/>
  <c r="F761" i="2"/>
  <c r="A761" i="2"/>
  <c r="G760" i="2"/>
  <c r="F760" i="2"/>
  <c r="A760" i="2"/>
  <c r="F759" i="2"/>
  <c r="G759" i="2" s="1"/>
  <c r="A759" i="2"/>
  <c r="F758" i="2"/>
  <c r="G758" i="2" s="1"/>
  <c r="A758" i="2"/>
  <c r="F757" i="2"/>
  <c r="G757" i="2" s="1"/>
  <c r="A757" i="2"/>
  <c r="F756" i="2"/>
  <c r="G756" i="2" s="1"/>
  <c r="A756" i="2"/>
  <c r="G755" i="2"/>
  <c r="F755" i="2"/>
  <c r="A755" i="2"/>
  <c r="G754" i="2"/>
  <c r="F754" i="2"/>
  <c r="A754" i="2"/>
  <c r="G753" i="2"/>
  <c r="F753" i="2"/>
  <c r="A753" i="2"/>
  <c r="G752" i="2"/>
  <c r="F752" i="2"/>
  <c r="A752" i="2"/>
  <c r="F751" i="2"/>
  <c r="G751" i="2" s="1"/>
  <c r="A751" i="2"/>
  <c r="F750" i="2"/>
  <c r="G750" i="2" s="1"/>
  <c r="A750" i="2"/>
  <c r="F749" i="2"/>
  <c r="G749" i="2" s="1"/>
  <c r="A749" i="2"/>
  <c r="F748" i="2"/>
  <c r="G748" i="2" s="1"/>
  <c r="A748" i="2"/>
  <c r="G747" i="2"/>
  <c r="F747" i="2"/>
  <c r="A747" i="2"/>
  <c r="G746" i="2"/>
  <c r="F746" i="2"/>
  <c r="A746" i="2"/>
  <c r="G745" i="2"/>
  <c r="F745" i="2"/>
  <c r="A745" i="2"/>
  <c r="G744" i="2"/>
  <c r="F744" i="2"/>
  <c r="A744" i="2"/>
  <c r="F743" i="2"/>
  <c r="G743" i="2" s="1"/>
  <c r="A743" i="2"/>
  <c r="F742" i="2"/>
  <c r="G742" i="2" s="1"/>
  <c r="A742" i="2"/>
  <c r="F741" i="2"/>
  <c r="G741" i="2" s="1"/>
  <c r="A741" i="2"/>
  <c r="F740" i="2"/>
  <c r="G740" i="2" s="1"/>
  <c r="A740" i="2"/>
  <c r="G739" i="2"/>
  <c r="F739" i="2"/>
  <c r="A739" i="2"/>
  <c r="G738" i="2"/>
  <c r="F738" i="2"/>
  <c r="A738" i="2"/>
  <c r="G737" i="2"/>
  <c r="F737" i="2"/>
  <c r="A737" i="2"/>
  <c r="G736" i="2"/>
  <c r="F736" i="2"/>
  <c r="A736" i="2"/>
  <c r="F735" i="2"/>
  <c r="G735" i="2" s="1"/>
  <c r="A735" i="2"/>
  <c r="F734" i="2"/>
  <c r="G734" i="2" s="1"/>
  <c r="A734" i="2"/>
  <c r="F733" i="2"/>
  <c r="G733" i="2" s="1"/>
  <c r="A733" i="2"/>
  <c r="F732" i="2"/>
  <c r="G732" i="2" s="1"/>
  <c r="A732" i="2"/>
  <c r="G731" i="2"/>
  <c r="F731" i="2"/>
  <c r="A731" i="2"/>
  <c r="G730" i="2"/>
  <c r="F730" i="2"/>
  <c r="A730" i="2"/>
  <c r="G729" i="2"/>
  <c r="F729" i="2"/>
  <c r="A729" i="2"/>
  <c r="G728" i="2"/>
  <c r="F728" i="2"/>
  <c r="A728" i="2"/>
  <c r="F727" i="2"/>
  <c r="G727" i="2" s="1"/>
  <c r="A727" i="2"/>
  <c r="F726" i="2"/>
  <c r="G726" i="2" s="1"/>
  <c r="A726" i="2"/>
  <c r="F725" i="2"/>
  <c r="G725" i="2" s="1"/>
  <c r="A725" i="2"/>
  <c r="F724" i="2"/>
  <c r="G724" i="2" s="1"/>
  <c r="A724" i="2"/>
  <c r="G723" i="2"/>
  <c r="F723" i="2"/>
  <c r="A723" i="2"/>
  <c r="G722" i="2"/>
  <c r="F722" i="2"/>
  <c r="A722" i="2"/>
  <c r="G721" i="2"/>
  <c r="F721" i="2"/>
  <c r="A721" i="2"/>
  <c r="G720" i="2"/>
  <c r="F720" i="2"/>
  <c r="A720" i="2"/>
  <c r="F719" i="2"/>
  <c r="G719" i="2" s="1"/>
  <c r="A719" i="2"/>
  <c r="F718" i="2"/>
  <c r="G718" i="2" s="1"/>
  <c r="A718" i="2"/>
  <c r="F717" i="2"/>
  <c r="G717" i="2" s="1"/>
  <c r="A717" i="2"/>
  <c r="F716" i="2"/>
  <c r="G716" i="2" s="1"/>
  <c r="A716" i="2"/>
  <c r="G715" i="2"/>
  <c r="F715" i="2"/>
  <c r="A715" i="2"/>
  <c r="G714" i="2"/>
  <c r="F714" i="2"/>
  <c r="A714" i="2"/>
  <c r="G713" i="2"/>
  <c r="F713" i="2"/>
  <c r="A713" i="2"/>
  <c r="G712" i="2"/>
  <c r="F712" i="2"/>
  <c r="A712" i="2"/>
  <c r="F711" i="2"/>
  <c r="G711" i="2" s="1"/>
  <c r="A711" i="2"/>
  <c r="F710" i="2"/>
  <c r="G710" i="2" s="1"/>
  <c r="A710" i="2"/>
  <c r="F709" i="2"/>
  <c r="G709" i="2" s="1"/>
  <c r="A709" i="2"/>
  <c r="F708" i="2"/>
  <c r="G708" i="2" s="1"/>
  <c r="A708" i="2"/>
  <c r="G707" i="2"/>
  <c r="F707" i="2"/>
  <c r="A707" i="2"/>
  <c r="G706" i="2"/>
  <c r="F706" i="2"/>
  <c r="A706" i="2"/>
  <c r="G705" i="2"/>
  <c r="F705" i="2"/>
  <c r="A705" i="2"/>
  <c r="G704" i="2"/>
  <c r="F704" i="2"/>
  <c r="A704" i="2"/>
  <c r="F703" i="2"/>
  <c r="G703" i="2" s="1"/>
  <c r="A703" i="2"/>
  <c r="F702" i="2"/>
  <c r="G702" i="2" s="1"/>
  <c r="A702" i="2"/>
  <c r="F701" i="2"/>
  <c r="G701" i="2" s="1"/>
  <c r="A701" i="2"/>
  <c r="F700" i="2"/>
  <c r="G700" i="2" s="1"/>
  <c r="A700" i="2"/>
  <c r="G699" i="2"/>
  <c r="F699" i="2"/>
  <c r="A699" i="2"/>
  <c r="G698" i="2"/>
  <c r="F698" i="2"/>
  <c r="A698" i="2"/>
  <c r="G697" i="2"/>
  <c r="F697" i="2"/>
  <c r="A697" i="2"/>
  <c r="G696" i="2"/>
  <c r="F696" i="2"/>
  <c r="A696" i="2"/>
  <c r="F695" i="2"/>
  <c r="G695" i="2" s="1"/>
  <c r="A695" i="2"/>
  <c r="F694" i="2"/>
  <c r="G694" i="2" s="1"/>
  <c r="A694" i="2"/>
  <c r="F693" i="2"/>
  <c r="G693" i="2" s="1"/>
  <c r="A693" i="2"/>
  <c r="F692" i="2"/>
  <c r="G692" i="2" s="1"/>
  <c r="A692" i="2"/>
  <c r="G691" i="2"/>
  <c r="F691" i="2"/>
  <c r="A691" i="2"/>
  <c r="G690" i="2"/>
  <c r="F690" i="2"/>
  <c r="A690" i="2"/>
  <c r="G689" i="2"/>
  <c r="F689" i="2"/>
  <c r="A689" i="2"/>
  <c r="G688" i="2"/>
  <c r="F688" i="2"/>
  <c r="A688" i="2"/>
  <c r="F687" i="2"/>
  <c r="G687" i="2" s="1"/>
  <c r="A687" i="2"/>
  <c r="F686" i="2"/>
  <c r="G686" i="2" s="1"/>
  <c r="A686" i="2"/>
  <c r="F685" i="2"/>
  <c r="G685" i="2" s="1"/>
  <c r="A685" i="2"/>
  <c r="F684" i="2"/>
  <c r="G684" i="2" s="1"/>
  <c r="A684" i="2"/>
  <c r="G683" i="2"/>
  <c r="F683" i="2"/>
  <c r="A683" i="2"/>
  <c r="G682" i="2"/>
  <c r="F682" i="2"/>
  <c r="A682" i="2"/>
  <c r="G681" i="2"/>
  <c r="F681" i="2"/>
  <c r="A681" i="2"/>
  <c r="G680" i="2"/>
  <c r="F680" i="2"/>
  <c r="A680" i="2"/>
  <c r="F679" i="2"/>
  <c r="G679" i="2" s="1"/>
  <c r="A679" i="2"/>
  <c r="F678" i="2"/>
  <c r="G678" i="2" s="1"/>
  <c r="A678" i="2"/>
  <c r="F677" i="2"/>
  <c r="G677" i="2" s="1"/>
  <c r="A677" i="2"/>
  <c r="F676" i="2"/>
  <c r="G676" i="2" s="1"/>
  <c r="A676" i="2"/>
  <c r="G675" i="2"/>
  <c r="F675" i="2"/>
  <c r="A675" i="2"/>
  <c r="G674" i="2"/>
  <c r="F674" i="2"/>
  <c r="A674" i="2"/>
  <c r="G673" i="2"/>
  <c r="F673" i="2"/>
  <c r="A673" i="2"/>
  <c r="G672" i="2"/>
  <c r="F672" i="2"/>
  <c r="A672" i="2"/>
  <c r="F671" i="2"/>
  <c r="G671" i="2" s="1"/>
  <c r="A671" i="2"/>
  <c r="F670" i="2"/>
  <c r="G670" i="2" s="1"/>
  <c r="A670" i="2"/>
  <c r="F669" i="2"/>
  <c r="G669" i="2" s="1"/>
  <c r="A669" i="2"/>
  <c r="F668" i="2"/>
  <c r="G668" i="2" s="1"/>
  <c r="A668" i="2"/>
  <c r="G667" i="2"/>
  <c r="F667" i="2"/>
  <c r="A667" i="2"/>
  <c r="G666" i="2"/>
  <c r="F666" i="2"/>
  <c r="A666" i="2"/>
  <c r="G665" i="2"/>
  <c r="F665" i="2"/>
  <c r="A665" i="2"/>
  <c r="G664" i="2"/>
  <c r="F664" i="2"/>
  <c r="A664" i="2"/>
  <c r="F663" i="2"/>
  <c r="G663" i="2" s="1"/>
  <c r="A663" i="2"/>
  <c r="F662" i="2"/>
  <c r="G662" i="2" s="1"/>
  <c r="A662" i="2"/>
  <c r="F661" i="2"/>
  <c r="G661" i="2" s="1"/>
  <c r="A661" i="2"/>
  <c r="F660" i="2"/>
  <c r="G660" i="2" s="1"/>
  <c r="A660" i="2"/>
  <c r="G659" i="2"/>
  <c r="F659" i="2"/>
  <c r="A659" i="2"/>
  <c r="G658" i="2"/>
  <c r="F658" i="2"/>
  <c r="A658" i="2"/>
  <c r="G657" i="2"/>
  <c r="F657" i="2"/>
  <c r="A657" i="2"/>
  <c r="G656" i="2"/>
  <c r="F656" i="2"/>
  <c r="A656" i="2"/>
  <c r="F655" i="2"/>
  <c r="G655" i="2" s="1"/>
  <c r="A655" i="2"/>
  <c r="F654" i="2"/>
  <c r="G654" i="2" s="1"/>
  <c r="A654" i="2"/>
  <c r="F653" i="2"/>
  <c r="G653" i="2" s="1"/>
  <c r="A653" i="2"/>
  <c r="F652" i="2"/>
  <c r="G652" i="2" s="1"/>
  <c r="A652" i="2"/>
  <c r="G651" i="2"/>
  <c r="F651" i="2"/>
  <c r="A651" i="2"/>
  <c r="G650" i="2"/>
  <c r="F650" i="2"/>
  <c r="A650" i="2"/>
  <c r="G649" i="2"/>
  <c r="F649" i="2"/>
  <c r="A649" i="2"/>
  <c r="G648" i="2"/>
  <c r="F648" i="2"/>
  <c r="A648" i="2"/>
  <c r="F647" i="2"/>
  <c r="G647" i="2" s="1"/>
  <c r="A647" i="2"/>
  <c r="F646" i="2"/>
  <c r="G646" i="2" s="1"/>
  <c r="A646" i="2"/>
  <c r="F645" i="2"/>
  <c r="G645" i="2" s="1"/>
  <c r="A645" i="2"/>
  <c r="F644" i="2"/>
  <c r="G644" i="2" s="1"/>
  <c r="A644" i="2"/>
  <c r="G643" i="2"/>
  <c r="F643" i="2"/>
  <c r="A643" i="2"/>
  <c r="G642" i="2"/>
  <c r="F642" i="2"/>
  <c r="A642" i="2"/>
  <c r="G641" i="2"/>
  <c r="F641" i="2"/>
  <c r="A641" i="2"/>
  <c r="G640" i="2"/>
  <c r="F640" i="2"/>
  <c r="A640" i="2"/>
  <c r="F639" i="2"/>
  <c r="G639" i="2" s="1"/>
  <c r="A639" i="2"/>
  <c r="F638" i="2"/>
  <c r="G638" i="2" s="1"/>
  <c r="A638" i="2"/>
  <c r="F637" i="2"/>
  <c r="G637" i="2" s="1"/>
  <c r="A637" i="2"/>
  <c r="F636" i="2"/>
  <c r="G636" i="2" s="1"/>
  <c r="A636" i="2"/>
  <c r="G635" i="2"/>
  <c r="F635" i="2"/>
  <c r="A635" i="2"/>
  <c r="G634" i="2"/>
  <c r="F634" i="2"/>
  <c r="A634" i="2"/>
  <c r="G633" i="2"/>
  <c r="F633" i="2"/>
  <c r="A633" i="2"/>
  <c r="G632" i="2"/>
  <c r="F632" i="2"/>
  <c r="A632" i="2"/>
  <c r="F631" i="2"/>
  <c r="G631" i="2" s="1"/>
  <c r="A631" i="2"/>
  <c r="F630" i="2"/>
  <c r="G630" i="2" s="1"/>
  <c r="A630" i="2"/>
  <c r="F629" i="2"/>
  <c r="G629" i="2" s="1"/>
  <c r="A629" i="2"/>
  <c r="F628" i="2"/>
  <c r="G628" i="2" s="1"/>
  <c r="A628" i="2"/>
  <c r="G627" i="2"/>
  <c r="F627" i="2"/>
  <c r="A627" i="2"/>
  <c r="G626" i="2"/>
  <c r="F626" i="2"/>
  <c r="A626" i="2"/>
  <c r="G625" i="2"/>
  <c r="F625" i="2"/>
  <c r="A625" i="2"/>
  <c r="G624" i="2"/>
  <c r="F624" i="2"/>
  <c r="A624" i="2"/>
  <c r="F623" i="2"/>
  <c r="G623" i="2" s="1"/>
  <c r="A623" i="2"/>
  <c r="F622" i="2"/>
  <c r="G622" i="2" s="1"/>
  <c r="A622" i="2"/>
  <c r="F621" i="2"/>
  <c r="G621" i="2" s="1"/>
  <c r="A621" i="2"/>
  <c r="F620" i="2"/>
  <c r="G620" i="2" s="1"/>
  <c r="A620" i="2"/>
  <c r="G619" i="2"/>
  <c r="F619" i="2"/>
  <c r="A619" i="2"/>
  <c r="G618" i="2"/>
  <c r="F618" i="2"/>
  <c r="A618" i="2"/>
  <c r="G617" i="2"/>
  <c r="F617" i="2"/>
  <c r="A617" i="2"/>
  <c r="G616" i="2"/>
  <c r="F616" i="2"/>
  <c r="A616" i="2"/>
  <c r="F615" i="2"/>
  <c r="G615" i="2" s="1"/>
  <c r="A615" i="2"/>
  <c r="F614" i="2"/>
  <c r="G614" i="2" s="1"/>
  <c r="A614" i="2"/>
  <c r="F613" i="2"/>
  <c r="G613" i="2" s="1"/>
  <c r="A613" i="2"/>
  <c r="F612" i="2"/>
  <c r="G612" i="2" s="1"/>
  <c r="A612" i="2"/>
  <c r="G611" i="2"/>
  <c r="F611" i="2"/>
  <c r="A611" i="2"/>
  <c r="G610" i="2"/>
  <c r="F610" i="2"/>
  <c r="A610" i="2"/>
  <c r="G609" i="2"/>
  <c r="F609" i="2"/>
  <c r="A609" i="2"/>
  <c r="G608" i="2"/>
  <c r="F608" i="2"/>
  <c r="A608" i="2"/>
  <c r="F607" i="2"/>
  <c r="G607" i="2" s="1"/>
  <c r="A607" i="2"/>
  <c r="F606" i="2"/>
  <c r="G606" i="2" s="1"/>
  <c r="A606" i="2"/>
  <c r="F605" i="2"/>
  <c r="G605" i="2" s="1"/>
  <c r="A605" i="2"/>
  <c r="F604" i="2"/>
  <c r="G604" i="2" s="1"/>
  <c r="A604" i="2"/>
  <c r="G603" i="2"/>
  <c r="F603" i="2"/>
  <c r="A603" i="2"/>
  <c r="G602" i="2"/>
  <c r="F602" i="2"/>
  <c r="A602" i="2"/>
  <c r="G601" i="2"/>
  <c r="F601" i="2"/>
  <c r="A601" i="2"/>
  <c r="G600" i="2"/>
  <c r="F600" i="2"/>
  <c r="A600" i="2"/>
  <c r="F599" i="2"/>
  <c r="G599" i="2" s="1"/>
  <c r="A599" i="2"/>
  <c r="F598" i="2"/>
  <c r="G598" i="2" s="1"/>
  <c r="A598" i="2"/>
  <c r="F597" i="2"/>
  <c r="G597" i="2" s="1"/>
  <c r="A597" i="2"/>
  <c r="F596" i="2"/>
  <c r="G596" i="2" s="1"/>
  <c r="A596" i="2"/>
  <c r="G595" i="2"/>
  <c r="F595" i="2"/>
  <c r="A595" i="2"/>
  <c r="G594" i="2"/>
  <c r="F594" i="2"/>
  <c r="A594" i="2"/>
  <c r="G593" i="2"/>
  <c r="F593" i="2"/>
  <c r="A593" i="2"/>
  <c r="G592" i="2"/>
  <c r="F592" i="2"/>
  <c r="A592" i="2"/>
  <c r="F591" i="2"/>
  <c r="G591" i="2" s="1"/>
  <c r="A591" i="2"/>
  <c r="F590" i="2"/>
  <c r="G590" i="2" s="1"/>
  <c r="A590" i="2"/>
  <c r="F589" i="2"/>
  <c r="G589" i="2" s="1"/>
  <c r="A589" i="2"/>
  <c r="F588" i="2"/>
  <c r="G588" i="2" s="1"/>
  <c r="A588" i="2"/>
  <c r="G587" i="2"/>
  <c r="F587" i="2"/>
  <c r="A587" i="2"/>
  <c r="G586" i="2"/>
  <c r="F586" i="2"/>
  <c r="A586" i="2"/>
  <c r="G585" i="2"/>
  <c r="F585" i="2"/>
  <c r="A585" i="2"/>
  <c r="G584" i="2"/>
  <c r="F584" i="2"/>
  <c r="A584" i="2"/>
  <c r="F583" i="2"/>
  <c r="G583" i="2" s="1"/>
  <c r="A583" i="2"/>
  <c r="F582" i="2"/>
  <c r="G582" i="2" s="1"/>
  <c r="A582" i="2"/>
  <c r="F581" i="2"/>
  <c r="G581" i="2" s="1"/>
  <c r="A581" i="2"/>
  <c r="F580" i="2"/>
  <c r="G580" i="2" s="1"/>
  <c r="A580" i="2"/>
  <c r="G579" i="2"/>
  <c r="F579" i="2"/>
  <c r="A579" i="2"/>
  <c r="G578" i="2"/>
  <c r="F578" i="2"/>
  <c r="A578" i="2"/>
  <c r="G577" i="2"/>
  <c r="F577" i="2"/>
  <c r="A577" i="2"/>
  <c r="G576" i="2"/>
  <c r="F576" i="2"/>
  <c r="A576" i="2"/>
  <c r="F575" i="2"/>
  <c r="G575" i="2" s="1"/>
  <c r="A575" i="2"/>
  <c r="F574" i="2"/>
  <c r="G574" i="2" s="1"/>
  <c r="A574" i="2"/>
  <c r="F573" i="2"/>
  <c r="G573" i="2" s="1"/>
  <c r="A573" i="2"/>
  <c r="F572" i="2"/>
  <c r="G572" i="2" s="1"/>
  <c r="A572" i="2"/>
  <c r="G571" i="2"/>
  <c r="F571" i="2"/>
  <c r="A571" i="2"/>
  <c r="G570" i="2"/>
  <c r="F570" i="2"/>
  <c r="A570" i="2"/>
  <c r="G569" i="2"/>
  <c r="F569" i="2"/>
  <c r="A569" i="2"/>
  <c r="G568" i="2"/>
  <c r="F568" i="2"/>
  <c r="A568" i="2"/>
  <c r="F567" i="2"/>
  <c r="G567" i="2" s="1"/>
  <c r="A567" i="2"/>
  <c r="F566" i="2"/>
  <c r="G566" i="2" s="1"/>
  <c r="A566" i="2"/>
  <c r="F565" i="2"/>
  <c r="G565" i="2" s="1"/>
  <c r="A565" i="2"/>
  <c r="F564" i="2"/>
  <c r="G564" i="2" s="1"/>
  <c r="A564" i="2"/>
  <c r="G563" i="2"/>
  <c r="F563" i="2"/>
  <c r="A563" i="2"/>
  <c r="G562" i="2"/>
  <c r="F562" i="2"/>
  <c r="A562" i="2"/>
  <c r="G561" i="2"/>
  <c r="F561" i="2"/>
  <c r="A561" i="2"/>
  <c r="G560" i="2"/>
  <c r="F560" i="2"/>
  <c r="A560" i="2"/>
  <c r="F559" i="2"/>
  <c r="G559" i="2" s="1"/>
  <c r="A559" i="2"/>
  <c r="F558" i="2"/>
  <c r="G558" i="2" s="1"/>
  <c r="A558" i="2"/>
  <c r="F557" i="2"/>
  <c r="G557" i="2" s="1"/>
  <c r="A557" i="2"/>
  <c r="F556" i="2"/>
  <c r="G556" i="2" s="1"/>
  <c r="A556" i="2"/>
  <c r="G555" i="2"/>
  <c r="F555" i="2"/>
  <c r="A555" i="2"/>
  <c r="G554" i="2"/>
  <c r="F554" i="2"/>
  <c r="A554" i="2"/>
  <c r="G553" i="2"/>
  <c r="F553" i="2"/>
  <c r="A553" i="2"/>
  <c r="G552" i="2"/>
  <c r="F552" i="2"/>
  <c r="A552" i="2"/>
  <c r="F551" i="2"/>
  <c r="G551" i="2" s="1"/>
  <c r="A551" i="2"/>
  <c r="F550" i="2"/>
  <c r="G550" i="2" s="1"/>
  <c r="A550" i="2"/>
  <c r="F549" i="2"/>
  <c r="G549" i="2" s="1"/>
  <c r="A549" i="2"/>
  <c r="F548" i="2"/>
  <c r="G548" i="2" s="1"/>
  <c r="A548" i="2"/>
  <c r="G547" i="2"/>
  <c r="F547" i="2"/>
  <c r="A547" i="2"/>
  <c r="G546" i="2"/>
  <c r="F546" i="2"/>
  <c r="A546" i="2"/>
  <c r="G545" i="2"/>
  <c r="F545" i="2"/>
  <c r="A545" i="2"/>
  <c r="G544" i="2"/>
  <c r="F544" i="2"/>
  <c r="A544" i="2"/>
  <c r="F543" i="2"/>
  <c r="G543" i="2" s="1"/>
  <c r="A543" i="2"/>
  <c r="F542" i="2"/>
  <c r="G542" i="2" s="1"/>
  <c r="A542" i="2"/>
  <c r="F541" i="2"/>
  <c r="G541" i="2" s="1"/>
  <c r="A541" i="2"/>
  <c r="F540" i="2"/>
  <c r="G540" i="2" s="1"/>
  <c r="A540" i="2"/>
  <c r="G539" i="2"/>
  <c r="F539" i="2"/>
  <c r="A539" i="2"/>
  <c r="G538" i="2"/>
  <c r="F538" i="2"/>
  <c r="A538" i="2"/>
  <c r="G537" i="2"/>
  <c r="F537" i="2"/>
  <c r="A537" i="2"/>
  <c r="G536" i="2"/>
  <c r="F536" i="2"/>
  <c r="A536" i="2"/>
  <c r="F535" i="2"/>
  <c r="G535" i="2" s="1"/>
  <c r="A535" i="2"/>
  <c r="F534" i="2"/>
  <c r="G534" i="2" s="1"/>
  <c r="A534" i="2"/>
  <c r="F533" i="2"/>
  <c r="G533" i="2" s="1"/>
  <c r="A533" i="2"/>
  <c r="F532" i="2"/>
  <c r="G532" i="2" s="1"/>
  <c r="A532" i="2"/>
  <c r="G531" i="2"/>
  <c r="F531" i="2"/>
  <c r="A531" i="2"/>
  <c r="G530" i="2"/>
  <c r="F530" i="2"/>
  <c r="A530" i="2"/>
  <c r="G529" i="2"/>
  <c r="F529" i="2"/>
  <c r="A529" i="2"/>
  <c r="G528" i="2"/>
  <c r="F528" i="2"/>
  <c r="A528" i="2"/>
  <c r="F527" i="2"/>
  <c r="G527" i="2" s="1"/>
  <c r="A527" i="2"/>
  <c r="F526" i="2"/>
  <c r="G526" i="2" s="1"/>
  <c r="A526" i="2"/>
  <c r="F525" i="2"/>
  <c r="G525" i="2" s="1"/>
  <c r="A525" i="2"/>
  <c r="F524" i="2"/>
  <c r="G524" i="2" s="1"/>
  <c r="A524" i="2"/>
  <c r="F523" i="2"/>
  <c r="G523" i="2" s="1"/>
  <c r="A523" i="2"/>
  <c r="G522" i="2"/>
  <c r="F522" i="2"/>
  <c r="A522" i="2"/>
  <c r="G521" i="2"/>
  <c r="F521" i="2"/>
  <c r="A521" i="2"/>
  <c r="G520" i="2"/>
  <c r="F520" i="2"/>
  <c r="A520" i="2"/>
  <c r="F519" i="2"/>
  <c r="G519" i="2" s="1"/>
  <c r="A519" i="2"/>
  <c r="F518" i="2"/>
  <c r="G518" i="2" s="1"/>
  <c r="A518" i="2"/>
  <c r="F517" i="2"/>
  <c r="G517" i="2" s="1"/>
  <c r="A517" i="2"/>
  <c r="F516" i="2"/>
  <c r="G516" i="2" s="1"/>
  <c r="A516" i="2"/>
  <c r="F515" i="2"/>
  <c r="G515" i="2" s="1"/>
  <c r="A515" i="2"/>
  <c r="G514" i="2"/>
  <c r="F514" i="2"/>
  <c r="A514" i="2"/>
  <c r="G513" i="2"/>
  <c r="F513" i="2"/>
  <c r="A513" i="2"/>
  <c r="G512" i="2"/>
  <c r="F512" i="2"/>
  <c r="A512" i="2"/>
  <c r="F511" i="2"/>
  <c r="G511" i="2" s="1"/>
  <c r="A511" i="2"/>
  <c r="F510" i="2"/>
  <c r="G510" i="2" s="1"/>
  <c r="A510" i="2"/>
  <c r="F509" i="2"/>
  <c r="G509" i="2" s="1"/>
  <c r="A509" i="2"/>
  <c r="F508" i="2"/>
  <c r="G508" i="2" s="1"/>
  <c r="A508" i="2"/>
  <c r="F507" i="2"/>
  <c r="G507" i="2" s="1"/>
  <c r="A507" i="2"/>
  <c r="G506" i="2"/>
  <c r="F506" i="2"/>
  <c r="A506" i="2"/>
  <c r="G505" i="2"/>
  <c r="F505" i="2"/>
  <c r="A505" i="2"/>
  <c r="G504" i="2"/>
  <c r="F504" i="2"/>
  <c r="A504" i="2"/>
  <c r="F503" i="2"/>
  <c r="G503" i="2" s="1"/>
  <c r="A503" i="2"/>
  <c r="F502" i="2"/>
  <c r="G502" i="2" s="1"/>
  <c r="A502" i="2"/>
  <c r="F501" i="2"/>
  <c r="G501" i="2" s="1"/>
  <c r="A501" i="2"/>
  <c r="F500" i="2"/>
  <c r="G500" i="2" s="1"/>
  <c r="A500" i="2"/>
  <c r="F499" i="2"/>
  <c r="G499" i="2" s="1"/>
  <c r="A499" i="2"/>
  <c r="G498" i="2"/>
  <c r="F498" i="2"/>
  <c r="A498" i="2"/>
  <c r="G497" i="2"/>
  <c r="F497" i="2"/>
  <c r="A497" i="2"/>
  <c r="G496" i="2"/>
  <c r="F496" i="2"/>
  <c r="A496" i="2"/>
  <c r="F495" i="2"/>
  <c r="G495" i="2" s="1"/>
  <c r="A495" i="2"/>
  <c r="G494" i="2"/>
  <c r="F494" i="2"/>
  <c r="A494" i="2"/>
  <c r="F493" i="2"/>
  <c r="G493" i="2" s="1"/>
  <c r="A493" i="2"/>
  <c r="F492" i="2"/>
  <c r="G492" i="2" s="1"/>
  <c r="A492" i="2"/>
  <c r="F491" i="2"/>
  <c r="G491" i="2" s="1"/>
  <c r="A491" i="2"/>
  <c r="G490" i="2"/>
  <c r="F490" i="2"/>
  <c r="A490" i="2"/>
  <c r="G489" i="2"/>
  <c r="F489" i="2"/>
  <c r="A489" i="2"/>
  <c r="G488" i="2"/>
  <c r="F488" i="2"/>
  <c r="A488" i="2"/>
  <c r="F487" i="2"/>
  <c r="G487" i="2" s="1"/>
  <c r="A487" i="2"/>
  <c r="G486" i="2"/>
  <c r="F486" i="2"/>
  <c r="A486" i="2"/>
  <c r="F485" i="2"/>
  <c r="G485" i="2" s="1"/>
  <c r="A485" i="2"/>
  <c r="F484" i="2"/>
  <c r="G484" i="2" s="1"/>
  <c r="A484" i="2"/>
  <c r="G483" i="2"/>
  <c r="F483" i="2"/>
  <c r="A483" i="2"/>
  <c r="G482" i="2"/>
  <c r="F482" i="2"/>
  <c r="A482" i="2"/>
  <c r="F481" i="2"/>
  <c r="G481" i="2" s="1"/>
  <c r="A481" i="2"/>
  <c r="G480" i="2"/>
  <c r="F480" i="2"/>
  <c r="A480" i="2"/>
  <c r="F479" i="2"/>
  <c r="G479" i="2" s="1"/>
  <c r="A479" i="2"/>
  <c r="F478" i="2"/>
  <c r="G478" i="2" s="1"/>
  <c r="A478" i="2"/>
  <c r="F477" i="2"/>
  <c r="G477" i="2" s="1"/>
  <c r="A477" i="2"/>
  <c r="F476" i="2"/>
  <c r="G476" i="2" s="1"/>
  <c r="A476" i="2"/>
  <c r="F475" i="2"/>
  <c r="G475" i="2" s="1"/>
  <c r="A475" i="2"/>
  <c r="G474" i="2"/>
  <c r="F474" i="2"/>
  <c r="A474" i="2"/>
  <c r="F473" i="2"/>
  <c r="G473" i="2" s="1"/>
  <c r="A473" i="2"/>
  <c r="G472" i="2"/>
  <c r="F472" i="2"/>
  <c r="A472" i="2"/>
  <c r="F471" i="2"/>
  <c r="G471" i="2" s="1"/>
  <c r="A471" i="2"/>
  <c r="F470" i="2"/>
  <c r="G470" i="2" s="1"/>
  <c r="A470" i="2"/>
  <c r="F469" i="2"/>
  <c r="G469" i="2" s="1"/>
  <c r="A469" i="2"/>
  <c r="F468" i="2"/>
  <c r="G468" i="2" s="1"/>
  <c r="A468" i="2"/>
  <c r="F467" i="2"/>
  <c r="G467" i="2" s="1"/>
  <c r="A467" i="2"/>
  <c r="G466" i="2"/>
  <c r="F466" i="2"/>
  <c r="A466" i="2"/>
  <c r="G465" i="2"/>
  <c r="F465" i="2"/>
  <c r="A465" i="2"/>
  <c r="G464" i="2"/>
  <c r="F464" i="2"/>
  <c r="A464" i="2"/>
  <c r="F463" i="2"/>
  <c r="G463" i="2" s="1"/>
  <c r="A463" i="2"/>
  <c r="G462" i="2"/>
  <c r="F462" i="2"/>
  <c r="A462" i="2"/>
  <c r="F461" i="2"/>
  <c r="G461" i="2" s="1"/>
  <c r="A461" i="2"/>
  <c r="G460" i="2"/>
  <c r="F460" i="2"/>
  <c r="A460" i="2"/>
  <c r="G459" i="2"/>
  <c r="F459" i="2"/>
  <c r="A459" i="2"/>
  <c r="G458" i="2"/>
  <c r="F458" i="2"/>
  <c r="A458" i="2"/>
  <c r="F457" i="2"/>
  <c r="G457" i="2" s="1"/>
  <c r="A457" i="2"/>
  <c r="F456" i="2"/>
  <c r="G456" i="2" s="1"/>
  <c r="A456" i="2"/>
  <c r="F455" i="2"/>
  <c r="G455" i="2" s="1"/>
  <c r="A455" i="2"/>
  <c r="G454" i="2"/>
  <c r="F454" i="2"/>
  <c r="A454" i="2"/>
  <c r="F453" i="2"/>
  <c r="G453" i="2" s="1"/>
  <c r="A453" i="2"/>
  <c r="F452" i="2"/>
  <c r="G452" i="2" s="1"/>
  <c r="A452" i="2"/>
  <c r="G451" i="2"/>
  <c r="F451" i="2"/>
  <c r="A451" i="2"/>
  <c r="G450" i="2"/>
  <c r="F450" i="2"/>
  <c r="A450" i="2"/>
  <c r="F449" i="2"/>
  <c r="G449" i="2" s="1"/>
  <c r="A449" i="2"/>
  <c r="F448" i="2"/>
  <c r="G448" i="2" s="1"/>
  <c r="A448" i="2"/>
  <c r="F447" i="2"/>
  <c r="G447" i="2" s="1"/>
  <c r="A447" i="2"/>
  <c r="G446" i="2"/>
  <c r="F446" i="2"/>
  <c r="A446" i="2"/>
  <c r="F445" i="2"/>
  <c r="G445" i="2" s="1"/>
  <c r="A445" i="2"/>
  <c r="G444" i="2"/>
  <c r="F444" i="2"/>
  <c r="A444" i="2"/>
  <c r="G443" i="2"/>
  <c r="F443" i="2"/>
  <c r="A443" i="2"/>
  <c r="G442" i="2"/>
  <c r="F442" i="2"/>
  <c r="A442" i="2"/>
  <c r="F441" i="2"/>
  <c r="G441" i="2" s="1"/>
  <c r="A441" i="2"/>
  <c r="F440" i="2"/>
  <c r="G440" i="2" s="1"/>
  <c r="A440" i="2"/>
  <c r="F439" i="2"/>
  <c r="G439" i="2" s="1"/>
  <c r="A439" i="2"/>
  <c r="G438" i="2"/>
  <c r="F438" i="2"/>
  <c r="A438" i="2"/>
  <c r="F437" i="2"/>
  <c r="G437" i="2" s="1"/>
  <c r="A437" i="2"/>
  <c r="F436" i="2"/>
  <c r="G436" i="2" s="1"/>
  <c r="A436" i="2"/>
  <c r="G435" i="2"/>
  <c r="F435" i="2"/>
  <c r="A435" i="2"/>
  <c r="G434" i="2"/>
  <c r="F434" i="2"/>
  <c r="A434" i="2"/>
  <c r="F433" i="2"/>
  <c r="G433" i="2" s="1"/>
  <c r="A433" i="2"/>
  <c r="F432" i="2"/>
  <c r="G432" i="2" s="1"/>
  <c r="A432" i="2"/>
  <c r="F431" i="2"/>
  <c r="G431" i="2" s="1"/>
  <c r="A431" i="2"/>
  <c r="G430" i="2"/>
  <c r="F430" i="2"/>
  <c r="A430" i="2"/>
  <c r="F429" i="2"/>
  <c r="G429" i="2" s="1"/>
  <c r="A429" i="2"/>
  <c r="G428" i="2"/>
  <c r="F428" i="2"/>
  <c r="A428" i="2"/>
  <c r="G427" i="2"/>
  <c r="F427" i="2"/>
  <c r="A427" i="2"/>
  <c r="G426" i="2"/>
  <c r="F426" i="2"/>
  <c r="A426" i="2"/>
  <c r="F425" i="2"/>
  <c r="G425" i="2" s="1"/>
  <c r="A425" i="2"/>
  <c r="F424" i="2"/>
  <c r="G424" i="2" s="1"/>
  <c r="A424" i="2"/>
  <c r="F423" i="2"/>
  <c r="G423" i="2" s="1"/>
  <c r="A423" i="2"/>
  <c r="G422" i="2"/>
  <c r="F422" i="2"/>
  <c r="A422" i="2"/>
  <c r="F421" i="2"/>
  <c r="G421" i="2" s="1"/>
  <c r="A421" i="2"/>
  <c r="F420" i="2"/>
  <c r="G420" i="2" s="1"/>
  <c r="A420" i="2"/>
  <c r="G419" i="2"/>
  <c r="F419" i="2"/>
  <c r="A419" i="2"/>
  <c r="G418" i="2"/>
  <c r="F418" i="2"/>
  <c r="A418" i="2"/>
  <c r="F417" i="2"/>
  <c r="G417" i="2" s="1"/>
  <c r="A417" i="2"/>
  <c r="F416" i="2"/>
  <c r="G416" i="2" s="1"/>
  <c r="A416" i="2"/>
  <c r="F415" i="2"/>
  <c r="G415" i="2" s="1"/>
  <c r="A415" i="2"/>
  <c r="G414" i="2"/>
  <c r="F414" i="2"/>
  <c r="A414" i="2"/>
  <c r="F413" i="2"/>
  <c r="G413" i="2" s="1"/>
  <c r="A413" i="2"/>
  <c r="F412" i="2"/>
  <c r="G412" i="2" s="1"/>
  <c r="A412" i="2"/>
  <c r="G411" i="2"/>
  <c r="F411" i="2"/>
  <c r="A411" i="2"/>
  <c r="G410" i="2"/>
  <c r="F410" i="2"/>
  <c r="A410" i="2"/>
  <c r="F409" i="2"/>
  <c r="G409" i="2" s="1"/>
  <c r="A409" i="2"/>
  <c r="F408" i="2"/>
  <c r="G408" i="2" s="1"/>
  <c r="A408" i="2"/>
  <c r="F407" i="2"/>
  <c r="G407" i="2" s="1"/>
  <c r="A407" i="2"/>
  <c r="G406" i="2"/>
  <c r="F406" i="2"/>
  <c r="A406" i="2"/>
  <c r="F405" i="2"/>
  <c r="G405" i="2" s="1"/>
  <c r="A405" i="2"/>
  <c r="G404" i="2"/>
  <c r="F404" i="2"/>
  <c r="A404" i="2"/>
  <c r="G403" i="2"/>
  <c r="F403" i="2"/>
  <c r="A403" i="2"/>
  <c r="G402" i="2"/>
  <c r="F402" i="2"/>
  <c r="A402" i="2"/>
  <c r="F401" i="2"/>
  <c r="G401" i="2" s="1"/>
  <c r="A401" i="2"/>
  <c r="F400" i="2"/>
  <c r="G400" i="2" s="1"/>
  <c r="A400" i="2"/>
  <c r="F399" i="2"/>
  <c r="G399" i="2" s="1"/>
  <c r="A399" i="2"/>
  <c r="G398" i="2"/>
  <c r="F398" i="2"/>
  <c r="A398" i="2"/>
  <c r="F397" i="2"/>
  <c r="G397" i="2" s="1"/>
  <c r="A397" i="2"/>
  <c r="G396" i="2"/>
  <c r="F396" i="2"/>
  <c r="A396" i="2"/>
  <c r="G395" i="2"/>
  <c r="F395" i="2"/>
  <c r="A395" i="2"/>
  <c r="G394" i="2"/>
  <c r="F394" i="2"/>
  <c r="A394" i="2"/>
  <c r="F393" i="2"/>
  <c r="G393" i="2" s="1"/>
  <c r="A393" i="2"/>
  <c r="F392" i="2"/>
  <c r="G392" i="2" s="1"/>
  <c r="A392" i="2"/>
  <c r="F391" i="2"/>
  <c r="G391" i="2" s="1"/>
  <c r="A391" i="2"/>
  <c r="G390" i="2"/>
  <c r="F390" i="2"/>
  <c r="A390" i="2"/>
  <c r="F389" i="2"/>
  <c r="G389" i="2" s="1"/>
  <c r="A389" i="2"/>
  <c r="G388" i="2"/>
  <c r="F388" i="2"/>
  <c r="A388" i="2"/>
  <c r="G387" i="2"/>
  <c r="F387" i="2"/>
  <c r="A387" i="2"/>
  <c r="G386" i="2"/>
  <c r="F386" i="2"/>
  <c r="A386" i="2"/>
  <c r="F385" i="2"/>
  <c r="G385" i="2" s="1"/>
  <c r="A385" i="2"/>
  <c r="F384" i="2"/>
  <c r="G384" i="2" s="1"/>
  <c r="A384" i="2"/>
  <c r="F383" i="2"/>
  <c r="G383" i="2" s="1"/>
  <c r="A383" i="2"/>
  <c r="G382" i="2"/>
  <c r="F382" i="2"/>
  <c r="A382" i="2"/>
  <c r="F381" i="2"/>
  <c r="G381" i="2" s="1"/>
  <c r="A381" i="2"/>
  <c r="F380" i="2"/>
  <c r="G380" i="2" s="1"/>
  <c r="A380" i="2"/>
  <c r="G379" i="2"/>
  <c r="F379" i="2"/>
  <c r="A379" i="2"/>
  <c r="G378" i="2"/>
  <c r="F378" i="2"/>
  <c r="A378" i="2"/>
  <c r="F377" i="2"/>
  <c r="G377" i="2" s="1"/>
  <c r="A377" i="2"/>
  <c r="F376" i="2"/>
  <c r="G376" i="2" s="1"/>
  <c r="A376" i="2"/>
  <c r="F375" i="2"/>
  <c r="G375" i="2" s="1"/>
  <c r="A375" i="2"/>
  <c r="G374" i="2"/>
  <c r="F374" i="2"/>
  <c r="A374" i="2"/>
  <c r="F373" i="2"/>
  <c r="G373" i="2" s="1"/>
  <c r="A373" i="2"/>
  <c r="F372" i="2"/>
  <c r="G372" i="2" s="1"/>
  <c r="A372" i="2"/>
  <c r="G371" i="2"/>
  <c r="F371" i="2"/>
  <c r="A371" i="2"/>
  <c r="G370" i="2"/>
  <c r="F370" i="2"/>
  <c r="A370" i="2"/>
  <c r="F369" i="2"/>
  <c r="G369" i="2" s="1"/>
  <c r="A369" i="2"/>
  <c r="F368" i="2"/>
  <c r="G368" i="2" s="1"/>
  <c r="A368" i="2"/>
  <c r="F367" i="2"/>
  <c r="G367" i="2" s="1"/>
  <c r="A367" i="2"/>
  <c r="G366" i="2"/>
  <c r="F366" i="2"/>
  <c r="A366" i="2"/>
  <c r="F365" i="2"/>
  <c r="G365" i="2" s="1"/>
  <c r="A365" i="2"/>
  <c r="F364" i="2"/>
  <c r="G364" i="2" s="1"/>
  <c r="A364" i="2"/>
  <c r="G363" i="2"/>
  <c r="F363" i="2"/>
  <c r="A363" i="2"/>
  <c r="G362" i="2"/>
  <c r="F362" i="2"/>
  <c r="A362" i="2"/>
  <c r="F361" i="2"/>
  <c r="G361" i="2" s="1"/>
  <c r="A361" i="2"/>
  <c r="F360" i="2"/>
  <c r="G360" i="2" s="1"/>
  <c r="A360" i="2"/>
  <c r="F359" i="2"/>
  <c r="G359" i="2" s="1"/>
  <c r="A359" i="2"/>
  <c r="G358" i="2"/>
  <c r="F358" i="2"/>
  <c r="A358" i="2"/>
  <c r="F357" i="2"/>
  <c r="G357" i="2" s="1"/>
  <c r="A357" i="2"/>
  <c r="F356" i="2"/>
  <c r="G356" i="2" s="1"/>
  <c r="A356" i="2"/>
  <c r="G355" i="2"/>
  <c r="F355" i="2"/>
  <c r="A355" i="2"/>
  <c r="G354" i="2"/>
  <c r="F354" i="2"/>
  <c r="A354" i="2"/>
  <c r="F353" i="2"/>
  <c r="G353" i="2" s="1"/>
  <c r="A353" i="2"/>
  <c r="F352" i="2"/>
  <c r="G352" i="2" s="1"/>
  <c r="A352" i="2"/>
  <c r="F351" i="2"/>
  <c r="G351" i="2" s="1"/>
  <c r="A351" i="2"/>
  <c r="G350" i="2"/>
  <c r="F350" i="2"/>
  <c r="A350" i="2"/>
  <c r="F349" i="2"/>
  <c r="G349" i="2" s="1"/>
  <c r="A349" i="2"/>
  <c r="F348" i="2"/>
  <c r="G348" i="2" s="1"/>
  <c r="A348" i="2"/>
  <c r="G347" i="2"/>
  <c r="F347" i="2"/>
  <c r="A347" i="2"/>
  <c r="G346" i="2"/>
  <c r="F346" i="2"/>
  <c r="A346" i="2"/>
  <c r="F345" i="2"/>
  <c r="G345" i="2" s="1"/>
  <c r="A345" i="2"/>
  <c r="F344" i="2"/>
  <c r="G344" i="2" s="1"/>
  <c r="A344" i="2"/>
  <c r="F343" i="2"/>
  <c r="G343" i="2" s="1"/>
  <c r="A343" i="2"/>
  <c r="G342" i="2"/>
  <c r="F342" i="2"/>
  <c r="A342" i="2"/>
  <c r="F341" i="2"/>
  <c r="G341" i="2" s="1"/>
  <c r="A341" i="2"/>
  <c r="F340" i="2"/>
  <c r="G340" i="2" s="1"/>
  <c r="A340" i="2"/>
  <c r="G339" i="2"/>
  <c r="F339" i="2"/>
  <c r="A339" i="2"/>
  <c r="G338" i="2"/>
  <c r="F338" i="2"/>
  <c r="A338" i="2"/>
  <c r="F337" i="2"/>
  <c r="G337" i="2" s="1"/>
  <c r="A337" i="2"/>
  <c r="F336" i="2"/>
  <c r="G336" i="2" s="1"/>
  <c r="A336" i="2"/>
  <c r="F335" i="2"/>
  <c r="G335" i="2" s="1"/>
  <c r="A335" i="2"/>
  <c r="G334" i="2"/>
  <c r="F334" i="2"/>
  <c r="A334" i="2"/>
  <c r="F333" i="2"/>
  <c r="G333" i="2" s="1"/>
  <c r="A333" i="2"/>
  <c r="F332" i="2"/>
  <c r="G332" i="2" s="1"/>
  <c r="A332" i="2"/>
  <c r="G331" i="2"/>
  <c r="F331" i="2"/>
  <c r="A331" i="2"/>
  <c r="G330" i="2"/>
  <c r="F330" i="2"/>
  <c r="A330" i="2"/>
  <c r="F329" i="2"/>
  <c r="G329" i="2" s="1"/>
  <c r="A329" i="2"/>
  <c r="F328" i="2"/>
  <c r="G328" i="2" s="1"/>
  <c r="A328" i="2"/>
  <c r="F327" i="2"/>
  <c r="G327" i="2" s="1"/>
  <c r="A327" i="2"/>
  <c r="G326" i="2"/>
  <c r="F326" i="2"/>
  <c r="A326" i="2"/>
  <c r="F325" i="2"/>
  <c r="G325" i="2" s="1"/>
  <c r="A325" i="2"/>
  <c r="F324" i="2"/>
  <c r="G324" i="2" s="1"/>
  <c r="A324" i="2"/>
  <c r="G323" i="2"/>
  <c r="F323" i="2"/>
  <c r="A323" i="2"/>
  <c r="G322" i="2"/>
  <c r="F322" i="2"/>
  <c r="A322" i="2"/>
  <c r="F321" i="2"/>
  <c r="G321" i="2" s="1"/>
  <c r="A321" i="2"/>
  <c r="F320" i="2"/>
  <c r="G320" i="2" s="1"/>
  <c r="A320" i="2"/>
  <c r="F319" i="2"/>
  <c r="G319" i="2" s="1"/>
  <c r="A319" i="2"/>
  <c r="G318" i="2"/>
  <c r="F318" i="2"/>
  <c r="A318" i="2"/>
  <c r="F317" i="2"/>
  <c r="G317" i="2" s="1"/>
  <c r="A317" i="2"/>
  <c r="F316" i="2"/>
  <c r="G316" i="2" s="1"/>
  <c r="A316" i="2"/>
  <c r="G315" i="2"/>
  <c r="F315" i="2"/>
  <c r="A315" i="2"/>
  <c r="G314" i="2"/>
  <c r="F314" i="2"/>
  <c r="A314" i="2"/>
  <c r="F313" i="2"/>
  <c r="G313" i="2" s="1"/>
  <c r="A313" i="2"/>
  <c r="F312" i="2"/>
  <c r="G312" i="2" s="1"/>
  <c r="A312" i="2"/>
  <c r="F311" i="2"/>
  <c r="G311" i="2" s="1"/>
  <c r="A311" i="2"/>
  <c r="G310" i="2"/>
  <c r="F310" i="2"/>
  <c r="A310" i="2"/>
  <c r="F309" i="2"/>
  <c r="G309" i="2" s="1"/>
  <c r="A309" i="2"/>
  <c r="F308" i="2"/>
  <c r="G308" i="2" s="1"/>
  <c r="A308" i="2"/>
  <c r="G307" i="2"/>
  <c r="F307" i="2"/>
  <c r="A307" i="2"/>
  <c r="G306" i="2"/>
  <c r="F306" i="2"/>
  <c r="A306" i="2"/>
  <c r="F305" i="2"/>
  <c r="G305" i="2" s="1"/>
  <c r="A305" i="2"/>
  <c r="F304" i="2"/>
  <c r="G304" i="2" s="1"/>
  <c r="A304" i="2"/>
  <c r="F303" i="2"/>
  <c r="G303" i="2" s="1"/>
  <c r="A303" i="2"/>
  <c r="G302" i="2"/>
  <c r="F302" i="2"/>
  <c r="A302" i="2"/>
  <c r="F301" i="2"/>
  <c r="G301" i="2" s="1"/>
  <c r="A301" i="2"/>
  <c r="F300" i="2"/>
  <c r="G300" i="2" s="1"/>
  <c r="A300" i="2"/>
  <c r="G299" i="2"/>
  <c r="F299" i="2"/>
  <c r="A299" i="2"/>
  <c r="G298" i="2"/>
  <c r="F298" i="2"/>
  <c r="A298" i="2"/>
  <c r="F297" i="2"/>
  <c r="G297" i="2" s="1"/>
  <c r="A297" i="2"/>
  <c r="F296" i="2"/>
  <c r="G296" i="2" s="1"/>
  <c r="A296" i="2"/>
  <c r="F295" i="2"/>
  <c r="G295" i="2" s="1"/>
  <c r="A295" i="2"/>
  <c r="G294" i="2"/>
  <c r="F294" i="2"/>
  <c r="A294" i="2"/>
  <c r="F293" i="2"/>
  <c r="G293" i="2" s="1"/>
  <c r="A293" i="2"/>
  <c r="F292" i="2"/>
  <c r="G292" i="2" s="1"/>
  <c r="A292" i="2"/>
  <c r="G291" i="2"/>
  <c r="F291" i="2"/>
  <c r="A291" i="2"/>
  <c r="G290" i="2"/>
  <c r="F290" i="2"/>
  <c r="A290" i="2"/>
  <c r="F289" i="2"/>
  <c r="G289" i="2" s="1"/>
  <c r="A289" i="2"/>
  <c r="F288" i="2"/>
  <c r="G288" i="2" s="1"/>
  <c r="A288" i="2"/>
  <c r="F287" i="2"/>
  <c r="G287" i="2" s="1"/>
  <c r="A287" i="2"/>
  <c r="G286" i="2"/>
  <c r="F286" i="2"/>
  <c r="A286" i="2"/>
  <c r="F285" i="2"/>
  <c r="G285" i="2" s="1"/>
  <c r="A285" i="2"/>
  <c r="F284" i="2"/>
  <c r="G284" i="2" s="1"/>
  <c r="A284" i="2"/>
  <c r="G283" i="2"/>
  <c r="F283" i="2"/>
  <c r="A283" i="2"/>
  <c r="G282" i="2"/>
  <c r="F282" i="2"/>
  <c r="A282" i="2"/>
  <c r="F281" i="2"/>
  <c r="G281" i="2" s="1"/>
  <c r="A281" i="2"/>
  <c r="F280" i="2"/>
  <c r="G280" i="2" s="1"/>
  <c r="A280" i="2"/>
  <c r="F279" i="2"/>
  <c r="G279" i="2" s="1"/>
  <c r="A279" i="2"/>
  <c r="F278" i="2"/>
  <c r="G278" i="2" s="1"/>
  <c r="A278" i="2"/>
  <c r="F277" i="2"/>
  <c r="G277" i="2" s="1"/>
  <c r="A277" i="2"/>
  <c r="G276" i="2"/>
  <c r="F276" i="2"/>
  <c r="A276" i="2"/>
  <c r="G275" i="2"/>
  <c r="F275" i="2"/>
  <c r="A275" i="2"/>
  <c r="G274" i="2"/>
  <c r="F274" i="2"/>
  <c r="A274" i="2"/>
  <c r="F273" i="2"/>
  <c r="G273" i="2" s="1"/>
  <c r="A273" i="2"/>
  <c r="F272" i="2"/>
  <c r="G272" i="2" s="1"/>
  <c r="A272" i="2"/>
  <c r="F271" i="2"/>
  <c r="G271" i="2" s="1"/>
  <c r="A271" i="2"/>
  <c r="F270" i="2"/>
  <c r="G270" i="2" s="1"/>
  <c r="A270" i="2"/>
  <c r="F269" i="2"/>
  <c r="G269" i="2" s="1"/>
  <c r="A269" i="2"/>
  <c r="G268" i="2"/>
  <c r="F268" i="2"/>
  <c r="A268" i="2"/>
  <c r="G267" i="2"/>
  <c r="F267" i="2"/>
  <c r="A267" i="2"/>
  <c r="G266" i="2"/>
  <c r="F266" i="2"/>
  <c r="A266" i="2"/>
  <c r="F265" i="2"/>
  <c r="G265" i="2" s="1"/>
  <c r="A265" i="2"/>
  <c r="F264" i="2"/>
  <c r="G264" i="2" s="1"/>
  <c r="A264" i="2"/>
  <c r="F263" i="2"/>
  <c r="G263" i="2" s="1"/>
  <c r="A263" i="2"/>
  <c r="F262" i="2"/>
  <c r="G262" i="2" s="1"/>
  <c r="A262" i="2"/>
  <c r="F261" i="2"/>
  <c r="G261" i="2" s="1"/>
  <c r="A261" i="2"/>
  <c r="G260" i="2"/>
  <c r="F260" i="2"/>
  <c r="A260" i="2"/>
  <c r="G259" i="2"/>
  <c r="F259" i="2"/>
  <c r="A259" i="2"/>
  <c r="G258" i="2"/>
  <c r="F258" i="2"/>
  <c r="A258" i="2"/>
  <c r="F257" i="2"/>
  <c r="G257" i="2" s="1"/>
  <c r="A257" i="2"/>
  <c r="F256" i="2"/>
  <c r="G256" i="2" s="1"/>
  <c r="A256" i="2"/>
  <c r="F255" i="2"/>
  <c r="G255" i="2" s="1"/>
  <c r="A255" i="2"/>
  <c r="F254" i="2"/>
  <c r="G254" i="2" s="1"/>
  <c r="A254" i="2"/>
  <c r="F253" i="2"/>
  <c r="G253" i="2" s="1"/>
  <c r="A253" i="2"/>
  <c r="G252" i="2"/>
  <c r="F252" i="2"/>
  <c r="A252" i="2"/>
  <c r="G251" i="2"/>
  <c r="F251" i="2"/>
  <c r="A251" i="2"/>
  <c r="G250" i="2"/>
  <c r="F250" i="2"/>
  <c r="A250" i="2"/>
  <c r="F249" i="2"/>
  <c r="G249" i="2" s="1"/>
  <c r="A249" i="2"/>
  <c r="F248" i="2"/>
  <c r="G248" i="2" s="1"/>
  <c r="A248" i="2"/>
  <c r="F247" i="2"/>
  <c r="G247" i="2" s="1"/>
  <c r="A247" i="2"/>
  <c r="F246" i="2"/>
  <c r="G246" i="2" s="1"/>
  <c r="A246" i="2"/>
  <c r="F245" i="2"/>
  <c r="G245" i="2" s="1"/>
  <c r="A245" i="2"/>
  <c r="G244" i="2"/>
  <c r="F244" i="2"/>
  <c r="A244" i="2"/>
  <c r="G243" i="2"/>
  <c r="F243" i="2"/>
  <c r="A243" i="2"/>
  <c r="G242" i="2"/>
  <c r="F242" i="2"/>
  <c r="A242" i="2"/>
  <c r="F241" i="2"/>
  <c r="G241" i="2" s="1"/>
  <c r="A241" i="2"/>
  <c r="F240" i="2"/>
  <c r="G240" i="2" s="1"/>
  <c r="A240" i="2"/>
  <c r="F239" i="2"/>
  <c r="G239" i="2" s="1"/>
  <c r="A239" i="2"/>
  <c r="F238" i="2"/>
  <c r="G238" i="2" s="1"/>
  <c r="A238" i="2"/>
  <c r="F237" i="2"/>
  <c r="G237" i="2" s="1"/>
  <c r="A237" i="2"/>
  <c r="G236" i="2"/>
  <c r="F236" i="2"/>
  <c r="A236" i="2"/>
  <c r="G235" i="2"/>
  <c r="F235" i="2"/>
  <c r="A235" i="2"/>
  <c r="G234" i="2"/>
  <c r="F234" i="2"/>
  <c r="A234" i="2"/>
  <c r="F233" i="2"/>
  <c r="G233" i="2" s="1"/>
  <c r="A233" i="2"/>
  <c r="F232" i="2"/>
  <c r="G232" i="2" s="1"/>
  <c r="A232" i="2"/>
  <c r="F231" i="2"/>
  <c r="G231" i="2" s="1"/>
  <c r="A231" i="2"/>
  <c r="F230" i="2"/>
  <c r="G230" i="2" s="1"/>
  <c r="A230" i="2"/>
  <c r="F229" i="2"/>
  <c r="G229" i="2" s="1"/>
  <c r="A229" i="2"/>
  <c r="G228" i="2"/>
  <c r="F228" i="2"/>
  <c r="A228" i="2"/>
  <c r="G227" i="2"/>
  <c r="F227" i="2"/>
  <c r="A227" i="2"/>
  <c r="G226" i="2"/>
  <c r="F226" i="2"/>
  <c r="A226" i="2"/>
  <c r="F225" i="2"/>
  <c r="G225" i="2" s="1"/>
  <c r="A225" i="2"/>
  <c r="F224" i="2"/>
  <c r="G224" i="2" s="1"/>
  <c r="A224" i="2"/>
  <c r="F223" i="2"/>
  <c r="G223" i="2" s="1"/>
  <c r="A223" i="2"/>
  <c r="F222" i="2"/>
  <c r="G222" i="2" s="1"/>
  <c r="A222" i="2"/>
  <c r="F221" i="2"/>
  <c r="G221" i="2" s="1"/>
  <c r="A221" i="2"/>
  <c r="G220" i="2"/>
  <c r="F220" i="2"/>
  <c r="A220" i="2"/>
  <c r="G219" i="2"/>
  <c r="F219" i="2"/>
  <c r="A219" i="2"/>
  <c r="G218" i="2"/>
  <c r="F218" i="2"/>
  <c r="A218" i="2"/>
  <c r="F217" i="2"/>
  <c r="G217" i="2" s="1"/>
  <c r="A217" i="2"/>
  <c r="F216" i="2"/>
  <c r="G216" i="2" s="1"/>
  <c r="A216" i="2"/>
  <c r="F215" i="2"/>
  <c r="G215" i="2" s="1"/>
  <c r="A215" i="2"/>
  <c r="F214" i="2"/>
  <c r="G214" i="2" s="1"/>
  <c r="A214" i="2"/>
  <c r="F213" i="2"/>
  <c r="G213" i="2" s="1"/>
  <c r="A213" i="2"/>
  <c r="G212" i="2"/>
  <c r="F212" i="2"/>
  <c r="A212" i="2"/>
  <c r="G211" i="2"/>
  <c r="F211" i="2"/>
  <c r="A211" i="2"/>
  <c r="G210" i="2"/>
  <c r="F210" i="2"/>
  <c r="A210" i="2"/>
  <c r="F209" i="2"/>
  <c r="G209" i="2" s="1"/>
  <c r="A209" i="2"/>
  <c r="F208" i="2"/>
  <c r="G208" i="2" s="1"/>
  <c r="A208" i="2"/>
  <c r="F207" i="2"/>
  <c r="G207" i="2" s="1"/>
  <c r="A207" i="2"/>
  <c r="F206" i="2"/>
  <c r="G206" i="2" s="1"/>
  <c r="A206" i="2"/>
  <c r="F205" i="2"/>
  <c r="G205" i="2" s="1"/>
  <c r="A205" i="2"/>
  <c r="G204" i="2"/>
  <c r="F204" i="2"/>
  <c r="A204" i="2"/>
  <c r="G203" i="2"/>
  <c r="F203" i="2"/>
  <c r="A203" i="2"/>
  <c r="G202" i="2"/>
  <c r="F202" i="2"/>
  <c r="A202" i="2"/>
  <c r="F201" i="2"/>
  <c r="G201" i="2" s="1"/>
  <c r="A201" i="2"/>
  <c r="F200" i="2"/>
  <c r="G200" i="2" s="1"/>
  <c r="A200" i="2"/>
  <c r="F199" i="2"/>
  <c r="G199" i="2" s="1"/>
  <c r="A199" i="2"/>
  <c r="F198" i="2"/>
  <c r="G198" i="2" s="1"/>
  <c r="A198" i="2"/>
  <c r="F197" i="2"/>
  <c r="G197" i="2" s="1"/>
  <c r="A197" i="2"/>
  <c r="G196" i="2"/>
  <c r="F196" i="2"/>
  <c r="A196" i="2"/>
  <c r="G195" i="2"/>
  <c r="F195" i="2"/>
  <c r="A195" i="2"/>
  <c r="G194" i="2"/>
  <c r="F194" i="2"/>
  <c r="A194" i="2"/>
  <c r="F193" i="2"/>
  <c r="G193" i="2" s="1"/>
  <c r="A193" i="2"/>
  <c r="F192" i="2"/>
  <c r="G192" i="2" s="1"/>
  <c r="A192" i="2"/>
  <c r="F191" i="2"/>
  <c r="G191" i="2" s="1"/>
  <c r="A191" i="2"/>
  <c r="F190" i="2"/>
  <c r="G190" i="2" s="1"/>
  <c r="A190" i="2"/>
  <c r="F189" i="2"/>
  <c r="G189" i="2" s="1"/>
  <c r="A189" i="2"/>
  <c r="G188" i="2"/>
  <c r="F188" i="2"/>
  <c r="A188" i="2"/>
  <c r="G187" i="2"/>
  <c r="F187" i="2"/>
  <c r="A187" i="2"/>
  <c r="G186" i="2"/>
  <c r="F186" i="2"/>
  <c r="A186" i="2"/>
  <c r="F185" i="2"/>
  <c r="G185" i="2" s="1"/>
  <c r="A185" i="2"/>
  <c r="F184" i="2"/>
  <c r="G184" i="2" s="1"/>
  <c r="A184" i="2"/>
  <c r="F183" i="2"/>
  <c r="G183" i="2" s="1"/>
  <c r="A183" i="2"/>
  <c r="F182" i="2"/>
  <c r="G182" i="2" s="1"/>
  <c r="A182" i="2"/>
  <c r="F181" i="2"/>
  <c r="G181" i="2" s="1"/>
  <c r="A181" i="2"/>
  <c r="G180" i="2"/>
  <c r="F180" i="2"/>
  <c r="A180" i="2"/>
  <c r="G179" i="2"/>
  <c r="F179" i="2"/>
  <c r="A179" i="2"/>
  <c r="G178" i="2"/>
  <c r="F178" i="2"/>
  <c r="A178" i="2"/>
  <c r="F177" i="2"/>
  <c r="G177" i="2" s="1"/>
  <c r="A177" i="2"/>
  <c r="F176" i="2"/>
  <c r="G176" i="2" s="1"/>
  <c r="A176" i="2"/>
  <c r="F175" i="2"/>
  <c r="G175" i="2" s="1"/>
  <c r="A175" i="2"/>
  <c r="F174" i="2"/>
  <c r="G174" i="2" s="1"/>
  <c r="A174" i="2"/>
  <c r="F173" i="2"/>
  <c r="G173" i="2" s="1"/>
  <c r="A173" i="2"/>
  <c r="G172" i="2"/>
  <c r="F172" i="2"/>
  <c r="A172" i="2"/>
  <c r="G171" i="2"/>
  <c r="F171" i="2"/>
  <c r="A171" i="2"/>
  <c r="G170" i="2"/>
  <c r="F170" i="2"/>
  <c r="A170" i="2"/>
  <c r="F169" i="2"/>
  <c r="G169" i="2" s="1"/>
  <c r="A169" i="2"/>
  <c r="F168" i="2"/>
  <c r="G168" i="2" s="1"/>
  <c r="A168" i="2"/>
  <c r="F167" i="2"/>
  <c r="G167" i="2" s="1"/>
  <c r="A167" i="2"/>
  <c r="F166" i="2"/>
  <c r="G166" i="2" s="1"/>
  <c r="A166" i="2"/>
  <c r="F165" i="2"/>
  <c r="G165" i="2" s="1"/>
  <c r="A165" i="2"/>
  <c r="F164" i="2"/>
  <c r="G164" i="2" s="1"/>
  <c r="A164" i="2"/>
  <c r="G163" i="2"/>
  <c r="F163" i="2"/>
  <c r="A163" i="2"/>
  <c r="G162" i="2"/>
  <c r="F162" i="2"/>
  <c r="A162" i="2"/>
  <c r="F161" i="2"/>
  <c r="G161" i="2" s="1"/>
  <c r="A161" i="2"/>
  <c r="F160" i="2"/>
  <c r="G160" i="2" s="1"/>
  <c r="A160" i="2"/>
  <c r="F159" i="2"/>
  <c r="G159" i="2" s="1"/>
  <c r="A159" i="2"/>
  <c r="F158" i="2"/>
  <c r="G158" i="2" s="1"/>
  <c r="A158" i="2"/>
  <c r="F157" i="2"/>
  <c r="G157" i="2" s="1"/>
  <c r="A157" i="2"/>
  <c r="F156" i="2"/>
  <c r="G156" i="2" s="1"/>
  <c r="A156" i="2"/>
  <c r="G155" i="2"/>
  <c r="F155" i="2"/>
  <c r="A155" i="2"/>
  <c r="G154" i="2"/>
  <c r="F154" i="2"/>
  <c r="A154" i="2"/>
  <c r="F153" i="2"/>
  <c r="G153" i="2" s="1"/>
  <c r="A153" i="2"/>
  <c r="F152" i="2"/>
  <c r="G152" i="2" s="1"/>
  <c r="A152" i="2"/>
  <c r="F151" i="2"/>
  <c r="G151" i="2" s="1"/>
  <c r="A151" i="2"/>
  <c r="F150" i="2"/>
  <c r="G150" i="2" s="1"/>
  <c r="A150" i="2"/>
  <c r="F149" i="2"/>
  <c r="G149" i="2" s="1"/>
  <c r="A149" i="2"/>
  <c r="F148" i="2"/>
  <c r="G148" i="2" s="1"/>
  <c r="A148" i="2"/>
  <c r="G147" i="2"/>
  <c r="F147" i="2"/>
  <c r="A147" i="2"/>
  <c r="G146" i="2"/>
  <c r="F146" i="2"/>
  <c r="A146" i="2"/>
  <c r="F145" i="2"/>
  <c r="G145" i="2" s="1"/>
  <c r="A145" i="2"/>
  <c r="F144" i="2"/>
  <c r="G144" i="2" s="1"/>
  <c r="A144" i="2"/>
  <c r="F143" i="2"/>
  <c r="G143" i="2" s="1"/>
  <c r="A143" i="2"/>
  <c r="F142" i="2"/>
  <c r="G142" i="2" s="1"/>
  <c r="A142" i="2"/>
  <c r="F141" i="2"/>
  <c r="G141" i="2" s="1"/>
  <c r="A141" i="2"/>
  <c r="F140" i="2"/>
  <c r="G140" i="2" s="1"/>
  <c r="A140" i="2"/>
  <c r="G139" i="2"/>
  <c r="F139" i="2"/>
  <c r="A139" i="2"/>
  <c r="G138" i="2"/>
  <c r="F138" i="2"/>
  <c r="A138" i="2"/>
  <c r="F137" i="2"/>
  <c r="G137" i="2" s="1"/>
  <c r="A137" i="2"/>
  <c r="F136" i="2"/>
  <c r="G136" i="2" s="1"/>
  <c r="A136" i="2"/>
  <c r="F135" i="2"/>
  <c r="G135" i="2" s="1"/>
  <c r="A135" i="2"/>
  <c r="F134" i="2"/>
  <c r="G134" i="2" s="1"/>
  <c r="A134" i="2"/>
  <c r="F133" i="2"/>
  <c r="G133" i="2" s="1"/>
  <c r="A133" i="2"/>
  <c r="F132" i="2"/>
  <c r="G132" i="2" s="1"/>
  <c r="A132" i="2"/>
  <c r="G131" i="2"/>
  <c r="F131" i="2"/>
  <c r="A131" i="2"/>
  <c r="G130" i="2"/>
  <c r="F130" i="2"/>
  <c r="A130" i="2"/>
  <c r="F129" i="2"/>
  <c r="G129" i="2" s="1"/>
  <c r="A129" i="2"/>
  <c r="F128" i="2"/>
  <c r="G128" i="2" s="1"/>
  <c r="A128" i="2"/>
  <c r="F127" i="2"/>
  <c r="G127" i="2" s="1"/>
  <c r="A127" i="2"/>
  <c r="F126" i="2"/>
  <c r="G126" i="2" s="1"/>
  <c r="A126" i="2"/>
  <c r="F125" i="2"/>
  <c r="G125" i="2" s="1"/>
  <c r="A125" i="2"/>
  <c r="F124" i="2"/>
  <c r="G124" i="2" s="1"/>
  <c r="A124" i="2"/>
  <c r="G123" i="2"/>
  <c r="F123" i="2"/>
  <c r="A123" i="2"/>
  <c r="G122" i="2"/>
  <c r="F122" i="2"/>
  <c r="A122" i="2"/>
  <c r="F121" i="2"/>
  <c r="G121" i="2" s="1"/>
  <c r="A121" i="2"/>
  <c r="F120" i="2"/>
  <c r="G120" i="2" s="1"/>
  <c r="A120" i="2"/>
  <c r="F119" i="2"/>
  <c r="G119" i="2" s="1"/>
  <c r="A119" i="2"/>
  <c r="F118" i="2"/>
  <c r="G118" i="2" s="1"/>
  <c r="A118" i="2"/>
  <c r="F117" i="2"/>
  <c r="G117" i="2" s="1"/>
  <c r="A117" i="2"/>
  <c r="F116" i="2"/>
  <c r="G116" i="2" s="1"/>
  <c r="A116" i="2"/>
  <c r="G115" i="2"/>
  <c r="F115" i="2"/>
  <c r="A115" i="2"/>
  <c r="G114" i="2"/>
  <c r="F114" i="2"/>
  <c r="A114" i="2"/>
  <c r="F113" i="2"/>
  <c r="G113" i="2" s="1"/>
  <c r="A113" i="2"/>
  <c r="F112" i="2"/>
  <c r="G112" i="2" s="1"/>
  <c r="A112" i="2"/>
  <c r="F111" i="2"/>
  <c r="G111" i="2" s="1"/>
  <c r="A111" i="2"/>
  <c r="F110" i="2"/>
  <c r="G110" i="2" s="1"/>
  <c r="A110" i="2"/>
  <c r="F109" i="2"/>
  <c r="G109" i="2" s="1"/>
  <c r="A109" i="2"/>
  <c r="F108" i="2"/>
  <c r="G108" i="2" s="1"/>
  <c r="A108" i="2"/>
  <c r="G107" i="2"/>
  <c r="F107" i="2"/>
  <c r="A107" i="2"/>
  <c r="G106" i="2"/>
  <c r="F106" i="2"/>
  <c r="A106" i="2"/>
  <c r="F105" i="2"/>
  <c r="G105" i="2" s="1"/>
  <c r="A105" i="2"/>
  <c r="F104" i="2"/>
  <c r="G104" i="2" s="1"/>
  <c r="A104" i="2"/>
  <c r="F103" i="2"/>
  <c r="G103" i="2" s="1"/>
  <c r="A103" i="2"/>
  <c r="F102" i="2"/>
  <c r="G102" i="2" s="1"/>
  <c r="A102" i="2"/>
  <c r="F101" i="2"/>
  <c r="G101" i="2" s="1"/>
  <c r="A101" i="2"/>
  <c r="F100" i="2"/>
  <c r="G100" i="2" s="1"/>
  <c r="A100" i="2"/>
  <c r="G99" i="2"/>
  <c r="F99" i="2"/>
  <c r="A99" i="2"/>
  <c r="G98" i="2"/>
  <c r="F98" i="2"/>
  <c r="A98" i="2"/>
  <c r="F97" i="2"/>
  <c r="G97" i="2" s="1"/>
  <c r="A97" i="2"/>
  <c r="F96" i="2"/>
  <c r="G96" i="2" s="1"/>
  <c r="A96" i="2"/>
  <c r="F95" i="2"/>
  <c r="G95" i="2" s="1"/>
  <c r="A95" i="2"/>
  <c r="F94" i="2"/>
  <c r="G94" i="2" s="1"/>
  <c r="A94" i="2"/>
  <c r="F93" i="2"/>
  <c r="G93" i="2" s="1"/>
  <c r="A93" i="2"/>
  <c r="F92" i="2"/>
  <c r="G92" i="2" s="1"/>
  <c r="A92" i="2"/>
  <c r="G91" i="2"/>
  <c r="F91" i="2"/>
  <c r="A91" i="2"/>
  <c r="G90" i="2"/>
  <c r="F90" i="2"/>
  <c r="A90" i="2"/>
  <c r="F89" i="2"/>
  <c r="G89" i="2" s="1"/>
  <c r="A89" i="2"/>
  <c r="F88" i="2"/>
  <c r="G88" i="2" s="1"/>
  <c r="A88" i="2"/>
  <c r="F87" i="2"/>
  <c r="G87" i="2" s="1"/>
  <c r="A87" i="2"/>
  <c r="F86" i="2"/>
  <c r="G86" i="2" s="1"/>
  <c r="A86" i="2"/>
  <c r="F85" i="2"/>
  <c r="G85" i="2" s="1"/>
  <c r="A85" i="2"/>
  <c r="F84" i="2"/>
  <c r="G84" i="2" s="1"/>
  <c r="A84" i="2"/>
  <c r="G83" i="2"/>
  <c r="F83" i="2"/>
  <c r="A83" i="2"/>
  <c r="G82" i="2"/>
  <c r="F82" i="2"/>
  <c r="A82" i="2"/>
  <c r="F81" i="2"/>
  <c r="G81" i="2" s="1"/>
  <c r="A81" i="2"/>
  <c r="F80" i="2"/>
  <c r="G80" i="2" s="1"/>
  <c r="A80" i="2"/>
  <c r="F79" i="2"/>
  <c r="G79" i="2" s="1"/>
  <c r="A79" i="2"/>
  <c r="F78" i="2"/>
  <c r="G78" i="2" s="1"/>
  <c r="A78" i="2"/>
  <c r="F77" i="2"/>
  <c r="G77" i="2" s="1"/>
  <c r="A77" i="2"/>
  <c r="F76" i="2"/>
  <c r="G76" i="2" s="1"/>
  <c r="A76" i="2"/>
  <c r="G75" i="2"/>
  <c r="F75" i="2"/>
  <c r="A75" i="2"/>
  <c r="G74" i="2"/>
  <c r="F74" i="2"/>
  <c r="A74" i="2"/>
  <c r="F73" i="2"/>
  <c r="G73" i="2" s="1"/>
  <c r="A73" i="2"/>
  <c r="F72" i="2"/>
  <c r="G72" i="2" s="1"/>
  <c r="A72" i="2"/>
  <c r="F71" i="2"/>
  <c r="G71" i="2" s="1"/>
  <c r="A71" i="2"/>
  <c r="F70" i="2"/>
  <c r="G70" i="2" s="1"/>
  <c r="A70" i="2"/>
  <c r="F69" i="2"/>
  <c r="G69" i="2" s="1"/>
  <c r="A69" i="2"/>
  <c r="F68" i="2"/>
  <c r="G68" i="2" s="1"/>
  <c r="A68" i="2"/>
  <c r="G67" i="2"/>
  <c r="F67" i="2"/>
  <c r="A67" i="2"/>
  <c r="G66" i="2"/>
  <c r="F66" i="2"/>
  <c r="A66" i="2"/>
  <c r="F65" i="2"/>
  <c r="G65" i="2" s="1"/>
  <c r="A65" i="2"/>
  <c r="F64" i="2"/>
  <c r="G64" i="2" s="1"/>
  <c r="A64" i="2"/>
  <c r="F63" i="2"/>
  <c r="G63" i="2" s="1"/>
  <c r="A63" i="2"/>
  <c r="F62" i="2"/>
  <c r="G62" i="2" s="1"/>
  <c r="A62" i="2"/>
  <c r="F61" i="2"/>
  <c r="G61" i="2" s="1"/>
  <c r="A61" i="2"/>
  <c r="F60" i="2"/>
  <c r="G60" i="2" s="1"/>
  <c r="A60" i="2"/>
  <c r="G59" i="2"/>
  <c r="F59" i="2"/>
  <c r="A59" i="2"/>
  <c r="G58" i="2"/>
  <c r="F58" i="2"/>
  <c r="A58" i="2"/>
  <c r="F57" i="2"/>
  <c r="G57" i="2" s="1"/>
  <c r="A57" i="2"/>
  <c r="F56" i="2"/>
  <c r="G56" i="2" s="1"/>
  <c r="A56" i="2"/>
  <c r="F55" i="2"/>
  <c r="G55" i="2" s="1"/>
  <c r="A55" i="2"/>
  <c r="F54" i="2"/>
  <c r="G54" i="2" s="1"/>
  <c r="A54" i="2"/>
  <c r="F53" i="2"/>
  <c r="G53" i="2" s="1"/>
  <c r="A53" i="2"/>
  <c r="F52" i="2"/>
  <c r="G52" i="2" s="1"/>
  <c r="A52" i="2"/>
  <c r="G51" i="2"/>
  <c r="F51" i="2"/>
  <c r="A51" i="2"/>
  <c r="G50" i="2"/>
  <c r="F50" i="2"/>
  <c r="A50" i="2"/>
  <c r="F49" i="2"/>
  <c r="G49" i="2" s="1"/>
  <c r="A49" i="2"/>
  <c r="F48" i="2"/>
  <c r="G48" i="2" s="1"/>
  <c r="A48" i="2"/>
  <c r="F47" i="2"/>
  <c r="G47" i="2" s="1"/>
  <c r="A47" i="2"/>
  <c r="F46" i="2"/>
  <c r="G46" i="2" s="1"/>
  <c r="A46" i="2"/>
  <c r="F45" i="2"/>
  <c r="G45" i="2" s="1"/>
  <c r="A45" i="2"/>
  <c r="F44" i="2"/>
  <c r="G44" i="2" s="1"/>
  <c r="A44" i="2"/>
  <c r="G43" i="2"/>
  <c r="F43" i="2"/>
  <c r="A43" i="2"/>
  <c r="G42" i="2"/>
  <c r="F42" i="2"/>
  <c r="A42" i="2"/>
  <c r="F41" i="2"/>
  <c r="G41" i="2" s="1"/>
  <c r="A41" i="2"/>
  <c r="F40" i="2"/>
  <c r="G40" i="2" s="1"/>
  <c r="A40" i="2"/>
  <c r="F39" i="2"/>
  <c r="G39" i="2" s="1"/>
  <c r="A39" i="2"/>
  <c r="F38" i="2"/>
  <c r="G38" i="2" s="1"/>
  <c r="A38" i="2"/>
  <c r="F37" i="2"/>
  <c r="G37" i="2" s="1"/>
  <c r="A37" i="2"/>
  <c r="F36" i="2"/>
  <c r="G36" i="2" s="1"/>
  <c r="A36" i="2"/>
  <c r="G35" i="2"/>
  <c r="F35" i="2"/>
  <c r="A35" i="2"/>
  <c r="G34" i="2"/>
  <c r="F34" i="2"/>
  <c r="A34" i="2"/>
  <c r="F33" i="2"/>
  <c r="G33" i="2" s="1"/>
  <c r="A33" i="2"/>
  <c r="F32" i="2"/>
  <c r="G32" i="2" s="1"/>
  <c r="A32" i="2"/>
  <c r="F31" i="2"/>
  <c r="G31" i="2" s="1"/>
  <c r="A31" i="2"/>
  <c r="F30" i="2"/>
  <c r="G30" i="2" s="1"/>
  <c r="A30" i="2"/>
  <c r="F29" i="2"/>
  <c r="G29" i="2" s="1"/>
  <c r="A29" i="2"/>
  <c r="F28" i="2"/>
  <c r="G28" i="2" s="1"/>
  <c r="A28" i="2"/>
  <c r="G27" i="2"/>
  <c r="F27" i="2"/>
  <c r="A27" i="2"/>
  <c r="G26" i="2"/>
  <c r="F26" i="2"/>
  <c r="A26" i="2"/>
  <c r="F25" i="2"/>
  <c r="G25" i="2" s="1"/>
  <c r="A25" i="2"/>
  <c r="F24" i="2"/>
  <c r="G24" i="2" s="1"/>
  <c r="A24" i="2"/>
  <c r="F23" i="2"/>
  <c r="G23" i="2" s="1"/>
  <c r="A23" i="2"/>
  <c r="F22" i="2"/>
  <c r="G22" i="2" s="1"/>
  <c r="A22" i="2"/>
  <c r="F21" i="2"/>
  <c r="G21" i="2" s="1"/>
  <c r="A21" i="2"/>
  <c r="F20" i="2"/>
  <c r="G20" i="2" s="1"/>
  <c r="A20" i="2"/>
  <c r="G19" i="2"/>
  <c r="F19" i="2"/>
  <c r="A19" i="2"/>
  <c r="G18" i="2"/>
  <c r="F18" i="2"/>
  <c r="A18" i="2"/>
  <c r="F17" i="2"/>
  <c r="G17" i="2" s="1"/>
  <c r="A17" i="2"/>
  <c r="F16" i="2"/>
  <c r="G16" i="2" s="1"/>
  <c r="A16" i="2"/>
  <c r="F15" i="2"/>
  <c r="G15" i="2" s="1"/>
  <c r="A15" i="2"/>
  <c r="F14" i="2"/>
  <c r="G14" i="2" s="1"/>
  <c r="A14" i="2"/>
  <c r="F13" i="2"/>
  <c r="G13" i="2" s="1"/>
  <c r="A13" i="2"/>
  <c r="F12" i="2"/>
  <c r="G12" i="2" s="1"/>
  <c r="A12" i="2"/>
  <c r="G11" i="2"/>
  <c r="F11" i="2"/>
  <c r="A11" i="2"/>
  <c r="G10" i="2"/>
  <c r="F10" i="2"/>
  <c r="A10" i="2"/>
  <c r="F9" i="2"/>
  <c r="G9" i="2" s="1"/>
  <c r="A9" i="2"/>
  <c r="F8" i="2"/>
  <c r="G8" i="2" s="1"/>
  <c r="A8" i="2"/>
  <c r="F7" i="2"/>
  <c r="G7" i="2" s="1"/>
  <c r="A7" i="2"/>
  <c r="F6" i="2"/>
  <c r="G6" i="2" s="1"/>
  <c r="A6" i="2"/>
  <c r="F5" i="2"/>
  <c r="G5" i="2" s="1"/>
  <c r="A5" i="2"/>
  <c r="F4" i="2"/>
  <c r="G4" i="2" s="1"/>
  <c r="A4" i="2"/>
  <c r="G3" i="2"/>
  <c r="F3" i="2"/>
  <c r="A3" i="2"/>
  <c r="G2" i="2"/>
  <c r="F2" i="2"/>
  <c r="A2" i="2"/>
  <c r="R613" i="3" l="1"/>
  <c r="G613" i="3"/>
  <c r="G616" i="3"/>
  <c r="R647" i="3"/>
  <c r="G647" i="3"/>
  <c r="R651" i="3"/>
  <c r="G651" i="3"/>
  <c r="R655" i="3"/>
  <c r="G655" i="3"/>
  <c r="R659" i="3"/>
  <c r="G659" i="3"/>
  <c r="R663" i="3"/>
  <c r="G663" i="3"/>
  <c r="R680" i="3"/>
  <c r="G680" i="3"/>
  <c r="R684" i="3"/>
  <c r="G684" i="3"/>
  <c r="G5" i="3"/>
  <c r="G7" i="3"/>
  <c r="G9" i="3"/>
  <c r="G11" i="3"/>
  <c r="G46" i="3"/>
  <c r="G48" i="3"/>
  <c r="G50" i="3"/>
  <c r="G52" i="3"/>
  <c r="G85" i="3"/>
  <c r="G87" i="3"/>
  <c r="G89" i="3"/>
  <c r="G91" i="3"/>
  <c r="G134" i="3"/>
  <c r="G136" i="3"/>
  <c r="G143" i="3"/>
  <c r="G145" i="3"/>
  <c r="G172" i="3"/>
  <c r="G174" i="3"/>
  <c r="G176" i="3"/>
  <c r="G178" i="3"/>
  <c r="G180" i="3"/>
  <c r="G182" i="3"/>
  <c r="G184" i="3"/>
  <c r="G186" i="3"/>
  <c r="G188" i="3"/>
  <c r="G190" i="3"/>
  <c r="G192" i="3"/>
  <c r="G194" i="3"/>
  <c r="G196" i="3"/>
  <c r="G198" i="3"/>
  <c r="G200" i="3"/>
  <c r="G202" i="3"/>
  <c r="G204" i="3"/>
  <c r="G206" i="3"/>
  <c r="G208" i="3"/>
  <c r="G210" i="3"/>
  <c r="G212" i="3"/>
  <c r="G214" i="3"/>
  <c r="G216" i="3"/>
  <c r="G218" i="3"/>
  <c r="G220" i="3"/>
  <c r="G222" i="3"/>
  <c r="G224" i="3"/>
  <c r="G226" i="3"/>
  <c r="G228" i="3"/>
  <c r="G230" i="3"/>
  <c r="G232" i="3"/>
  <c r="G234" i="3"/>
  <c r="G236" i="3"/>
  <c r="G238" i="3"/>
  <c r="G240" i="3"/>
  <c r="G251" i="3"/>
  <c r="G253" i="3"/>
  <c r="G255" i="3"/>
  <c r="G257" i="3"/>
  <c r="G259" i="3"/>
  <c r="G261" i="3"/>
  <c r="G263" i="3"/>
  <c r="G266" i="3"/>
  <c r="G268" i="3"/>
  <c r="G270" i="3"/>
  <c r="G272" i="3"/>
  <c r="G313" i="3"/>
  <c r="G315" i="3"/>
  <c r="G317" i="3"/>
  <c r="G319" i="3"/>
  <c r="G321" i="3"/>
  <c r="G323" i="3"/>
  <c r="G350" i="3"/>
  <c r="G352" i="3"/>
  <c r="G354" i="3"/>
  <c r="G356" i="3"/>
  <c r="G358" i="3"/>
  <c r="G360" i="3"/>
  <c r="G362" i="3"/>
  <c r="G364" i="3"/>
  <c r="G366" i="3"/>
  <c r="G368" i="3"/>
  <c r="G370" i="3"/>
  <c r="G372" i="3"/>
  <c r="G393" i="3"/>
  <c r="G395" i="3"/>
  <c r="G397" i="3"/>
  <c r="G399" i="3"/>
  <c r="G401" i="3"/>
  <c r="G403" i="3"/>
  <c r="G405" i="3"/>
  <c r="G407" i="3"/>
  <c r="G409" i="3"/>
  <c r="G411" i="3"/>
  <c r="G413" i="3"/>
  <c r="G415" i="3"/>
  <c r="G417" i="3"/>
  <c r="G419" i="3"/>
  <c r="G421" i="3"/>
  <c r="G423" i="3"/>
  <c r="G425" i="3"/>
  <c r="G427" i="3"/>
  <c r="G429" i="3"/>
  <c r="G431" i="3"/>
  <c r="G433" i="3"/>
  <c r="G435" i="3"/>
  <c r="G437" i="3"/>
  <c r="G439" i="3"/>
  <c r="G441" i="3"/>
  <c r="G443" i="3"/>
  <c r="G445" i="3"/>
  <c r="G447" i="3"/>
  <c r="G449" i="3"/>
  <c r="G490" i="3"/>
  <c r="G492" i="3"/>
  <c r="G494" i="3"/>
  <c r="G496" i="3"/>
  <c r="G498" i="3"/>
  <c r="G500" i="3"/>
  <c r="G502" i="3"/>
  <c r="G535" i="3"/>
  <c r="G537" i="3"/>
  <c r="G539" i="3"/>
  <c r="G541" i="3"/>
  <c r="G543" i="3"/>
  <c r="G545" i="3"/>
  <c r="G547" i="3"/>
  <c r="G549" i="3"/>
  <c r="G551" i="3"/>
  <c r="G553" i="3"/>
  <c r="G555" i="3"/>
  <c r="G557" i="3"/>
  <c r="G559" i="3"/>
  <c r="G561" i="3"/>
  <c r="G563" i="3"/>
  <c r="G565" i="3"/>
  <c r="G567" i="3"/>
  <c r="G570" i="3"/>
  <c r="G572" i="3"/>
  <c r="G574" i="3"/>
  <c r="G601" i="3"/>
  <c r="R607" i="3"/>
  <c r="G607" i="3"/>
  <c r="G610" i="3"/>
  <c r="R671" i="3"/>
  <c r="G671" i="3"/>
  <c r="R706" i="3"/>
  <c r="G706" i="3"/>
  <c r="R617" i="3"/>
  <c r="G617" i="3"/>
  <c r="R648" i="3"/>
  <c r="G648" i="3"/>
  <c r="R652" i="3"/>
  <c r="G652" i="3"/>
  <c r="R656" i="3"/>
  <c r="G656" i="3"/>
  <c r="R660" i="3"/>
  <c r="G660" i="3"/>
  <c r="R681" i="3"/>
  <c r="G681" i="3"/>
  <c r="R685" i="3"/>
  <c r="G685" i="3"/>
  <c r="R752" i="3"/>
  <c r="G752" i="3"/>
  <c r="R756" i="3"/>
  <c r="G756" i="3"/>
  <c r="R760" i="3"/>
  <c r="G760" i="3"/>
  <c r="G459" i="3"/>
  <c r="G461" i="3"/>
  <c r="G463" i="3"/>
  <c r="G465" i="3"/>
  <c r="G467" i="3"/>
  <c r="G469" i="3"/>
  <c r="G471" i="3"/>
  <c r="G473" i="3"/>
  <c r="G582" i="3"/>
  <c r="G584" i="3"/>
  <c r="G586" i="3"/>
  <c r="R611" i="3"/>
  <c r="G611" i="3"/>
  <c r="G614" i="3"/>
  <c r="R672" i="3"/>
  <c r="G672" i="3"/>
  <c r="R707" i="3"/>
  <c r="G707" i="3"/>
  <c r="R711" i="3"/>
  <c r="G711" i="3"/>
  <c r="R715" i="3"/>
  <c r="G715" i="3"/>
  <c r="G602" i="3"/>
  <c r="R605" i="3"/>
  <c r="G605" i="3"/>
  <c r="G608" i="3"/>
  <c r="R649" i="3"/>
  <c r="G649" i="3"/>
  <c r="R653" i="3"/>
  <c r="G653" i="3"/>
  <c r="R657" i="3"/>
  <c r="G657" i="3"/>
  <c r="R661" i="3"/>
  <c r="G661" i="3"/>
  <c r="R682" i="3"/>
  <c r="G682" i="3"/>
  <c r="R686" i="3"/>
  <c r="G686" i="3"/>
  <c r="G133" i="3"/>
  <c r="G135" i="3"/>
  <c r="G137" i="3"/>
  <c r="G142" i="3"/>
  <c r="G144" i="3"/>
  <c r="G173" i="3"/>
  <c r="G175" i="3"/>
  <c r="G177" i="3"/>
  <c r="G179" i="3"/>
  <c r="G181" i="3"/>
  <c r="G183" i="3"/>
  <c r="G185" i="3"/>
  <c r="G187" i="3"/>
  <c r="G189" i="3"/>
  <c r="G191" i="3"/>
  <c r="G193" i="3"/>
  <c r="G195" i="3"/>
  <c r="G197" i="3"/>
  <c r="G199" i="3"/>
  <c r="G201" i="3"/>
  <c r="G203" i="3"/>
  <c r="G205" i="3"/>
  <c r="G207" i="3"/>
  <c r="G209" i="3"/>
  <c r="G211" i="3"/>
  <c r="G213" i="3"/>
  <c r="G215" i="3"/>
  <c r="G217" i="3"/>
  <c r="G219" i="3"/>
  <c r="G221" i="3"/>
  <c r="G223" i="3"/>
  <c r="G225" i="3"/>
  <c r="G227" i="3"/>
  <c r="G229" i="3"/>
  <c r="G231" i="3"/>
  <c r="G233" i="3"/>
  <c r="G235" i="3"/>
  <c r="G237" i="3"/>
  <c r="G239" i="3"/>
  <c r="G241" i="3"/>
  <c r="G252" i="3"/>
  <c r="G254" i="3"/>
  <c r="G256" i="3"/>
  <c r="G258" i="3"/>
  <c r="G260" i="3"/>
  <c r="G262" i="3"/>
  <c r="G264" i="3"/>
  <c r="G267" i="3"/>
  <c r="G269" i="3"/>
  <c r="G271" i="3"/>
  <c r="G273" i="3"/>
  <c r="G312" i="3"/>
  <c r="G314" i="3"/>
  <c r="G316" i="3"/>
  <c r="G318" i="3"/>
  <c r="G320" i="3"/>
  <c r="G322" i="3"/>
  <c r="G351" i="3"/>
  <c r="G353" i="3"/>
  <c r="G355" i="3"/>
  <c r="G357" i="3"/>
  <c r="G359" i="3"/>
  <c r="G361" i="3"/>
  <c r="G363" i="3"/>
  <c r="G365" i="3"/>
  <c r="G367" i="3"/>
  <c r="G369" i="3"/>
  <c r="G371" i="3"/>
  <c r="G392" i="3"/>
  <c r="G394" i="3"/>
  <c r="G396" i="3"/>
  <c r="G398" i="3"/>
  <c r="G400" i="3"/>
  <c r="G402" i="3"/>
  <c r="G404" i="3"/>
  <c r="G406" i="3"/>
  <c r="G408" i="3"/>
  <c r="G410" i="3"/>
  <c r="G412" i="3"/>
  <c r="G414" i="3"/>
  <c r="G416" i="3"/>
  <c r="G418" i="3"/>
  <c r="G420" i="3"/>
  <c r="G422" i="3"/>
  <c r="G424" i="3"/>
  <c r="G426" i="3"/>
  <c r="G428" i="3"/>
  <c r="G430" i="3"/>
  <c r="G432" i="3"/>
  <c r="G434" i="3"/>
  <c r="G436" i="3"/>
  <c r="G438" i="3"/>
  <c r="G440" i="3"/>
  <c r="G442" i="3"/>
  <c r="G444" i="3"/>
  <c r="G446" i="3"/>
  <c r="G448" i="3"/>
  <c r="G450" i="3"/>
  <c r="G452" i="3"/>
  <c r="G454" i="3"/>
  <c r="G491" i="3"/>
  <c r="G493" i="3"/>
  <c r="G495" i="3"/>
  <c r="G497" i="3"/>
  <c r="G499" i="3"/>
  <c r="G501" i="3"/>
  <c r="G536" i="3"/>
  <c r="G538" i="3"/>
  <c r="G540" i="3"/>
  <c r="G542" i="3"/>
  <c r="G544" i="3"/>
  <c r="G546" i="3"/>
  <c r="G548" i="3"/>
  <c r="G550" i="3"/>
  <c r="G552" i="3"/>
  <c r="G554" i="3"/>
  <c r="G556" i="3"/>
  <c r="G558" i="3"/>
  <c r="G560" i="3"/>
  <c r="G562" i="3"/>
  <c r="G564" i="3"/>
  <c r="G566" i="3"/>
  <c r="G568" i="3"/>
  <c r="G571" i="3"/>
  <c r="G573" i="3"/>
  <c r="G575" i="3"/>
  <c r="G577" i="3"/>
  <c r="G579" i="3"/>
  <c r="G581" i="3"/>
  <c r="G588" i="3"/>
  <c r="G590" i="3"/>
  <c r="R615" i="3"/>
  <c r="G615" i="3"/>
  <c r="G618" i="3"/>
  <c r="R673" i="3"/>
  <c r="G673" i="3"/>
  <c r="R704" i="3"/>
  <c r="G704" i="3"/>
  <c r="G600" i="3"/>
  <c r="R609" i="3"/>
  <c r="G609" i="3"/>
  <c r="R650" i="3"/>
  <c r="G650" i="3"/>
  <c r="R654" i="3"/>
  <c r="G654" i="3"/>
  <c r="R658" i="3"/>
  <c r="G658" i="3"/>
  <c r="R662" i="3"/>
  <c r="G662" i="3"/>
  <c r="R683" i="3"/>
  <c r="G683" i="3"/>
  <c r="R754" i="3"/>
  <c r="G754" i="3"/>
  <c r="R758" i="3"/>
  <c r="G758" i="3"/>
  <c r="R619" i="3"/>
  <c r="G619" i="3"/>
  <c r="R674" i="3"/>
  <c r="G674" i="3"/>
  <c r="R705" i="3"/>
  <c r="G705" i="3"/>
  <c r="R709" i="3"/>
  <c r="G709" i="3"/>
  <c r="R713" i="3"/>
  <c r="G713" i="3"/>
  <c r="R717" i="3"/>
  <c r="G717" i="3"/>
  <c r="G763" i="3"/>
  <c r="G765" i="3"/>
  <c r="G767" i="3"/>
  <c r="G769" i="3"/>
  <c r="G771" i="3"/>
  <c r="G773" i="3"/>
  <c r="G775" i="3"/>
  <c r="G777" i="3"/>
  <c r="G779" i="3"/>
  <c r="G781" i="3"/>
  <c r="G783" i="3"/>
  <c r="G785" i="3"/>
  <c r="G787" i="3"/>
  <c r="G789" i="3"/>
  <c r="G791" i="3"/>
  <c r="G793" i="3"/>
  <c r="G795" i="3"/>
  <c r="G797" i="3"/>
  <c r="G799" i="3"/>
  <c r="G801" i="3"/>
  <c r="G803" i="3"/>
  <c r="G805" i="3"/>
  <c r="G807" i="3"/>
  <c r="G809" i="3"/>
  <c r="G811" i="3"/>
  <c r="G813" i="3"/>
  <c r="G815" i="3"/>
  <c r="G817" i="3"/>
  <c r="G819" i="3"/>
  <c r="G821" i="3"/>
  <c r="G823" i="3"/>
  <c r="R825" i="3"/>
  <c r="G832" i="3"/>
  <c r="R841" i="3"/>
  <c r="G848" i="3"/>
  <c r="G852" i="3"/>
  <c r="G854" i="3"/>
  <c r="G856" i="3"/>
  <c r="G858" i="3"/>
  <c r="G860" i="3"/>
  <c r="G862" i="3"/>
  <c r="G864" i="3"/>
  <c r="G866" i="3"/>
  <c r="G868" i="3"/>
  <c r="G870" i="3"/>
  <c r="G872" i="3"/>
  <c r="G874" i="3"/>
  <c r="G876" i="3"/>
  <c r="G878" i="3"/>
  <c r="R900" i="3"/>
  <c r="G900" i="3"/>
  <c r="R909" i="3"/>
  <c r="G909" i="3"/>
  <c r="R925" i="3"/>
  <c r="G925" i="3"/>
  <c r="R962" i="3"/>
  <c r="G962" i="3"/>
  <c r="R1062" i="3"/>
  <c r="G1062" i="3"/>
  <c r="G830" i="3"/>
  <c r="R839" i="3"/>
  <c r="G846" i="3"/>
  <c r="R894" i="3"/>
  <c r="G894" i="3"/>
  <c r="R897" i="3"/>
  <c r="R906" i="3"/>
  <c r="R919" i="3"/>
  <c r="G919" i="3"/>
  <c r="R922" i="3"/>
  <c r="R935" i="3"/>
  <c r="G935" i="3"/>
  <c r="R956" i="3"/>
  <c r="G956" i="3"/>
  <c r="R959" i="3"/>
  <c r="R975" i="3"/>
  <c r="G977" i="3"/>
  <c r="R1056" i="3"/>
  <c r="G1056" i="3"/>
  <c r="R1072" i="3"/>
  <c r="G1072" i="3"/>
  <c r="R913" i="3"/>
  <c r="G913" i="3"/>
  <c r="R916" i="3"/>
  <c r="R929" i="3"/>
  <c r="G929" i="3"/>
  <c r="R932" i="3"/>
  <c r="R950" i="3"/>
  <c r="G950" i="3"/>
  <c r="R966" i="3"/>
  <c r="G966" i="3"/>
  <c r="R1066" i="3"/>
  <c r="G1066" i="3"/>
  <c r="R898" i="3"/>
  <c r="G898" i="3"/>
  <c r="R907" i="3"/>
  <c r="G907" i="3"/>
  <c r="R910" i="3"/>
  <c r="R923" i="3"/>
  <c r="G923" i="3"/>
  <c r="R926" i="3"/>
  <c r="R947" i="3"/>
  <c r="R960" i="3"/>
  <c r="G960" i="3"/>
  <c r="R963" i="3"/>
  <c r="R1060" i="3"/>
  <c r="G1060" i="3"/>
  <c r="R1076" i="3"/>
  <c r="G1076" i="3"/>
  <c r="G708" i="3"/>
  <c r="G710" i="3"/>
  <c r="G712" i="3"/>
  <c r="G714" i="3"/>
  <c r="G716" i="3"/>
  <c r="G751" i="3"/>
  <c r="G753" i="3"/>
  <c r="G755" i="3"/>
  <c r="G757" i="3"/>
  <c r="G759" i="3"/>
  <c r="G764" i="3"/>
  <c r="G766" i="3"/>
  <c r="G768" i="3"/>
  <c r="G770" i="3"/>
  <c r="G772" i="3"/>
  <c r="G774" i="3"/>
  <c r="G776" i="3"/>
  <c r="G778" i="3"/>
  <c r="G780" i="3"/>
  <c r="G782" i="3"/>
  <c r="G784" i="3"/>
  <c r="G786" i="3"/>
  <c r="G788" i="3"/>
  <c r="G790" i="3"/>
  <c r="G792" i="3"/>
  <c r="G794" i="3"/>
  <c r="G796" i="3"/>
  <c r="G798" i="3"/>
  <c r="G800" i="3"/>
  <c r="G802" i="3"/>
  <c r="G804" i="3"/>
  <c r="G806" i="3"/>
  <c r="G808" i="3"/>
  <c r="G810" i="3"/>
  <c r="G812" i="3"/>
  <c r="G814" i="3"/>
  <c r="G816" i="3"/>
  <c r="G818" i="3"/>
  <c r="G820" i="3"/>
  <c r="G822" i="3"/>
  <c r="G824" i="3"/>
  <c r="R833" i="3"/>
  <c r="G840" i="3"/>
  <c r="R849" i="3"/>
  <c r="R917" i="3"/>
  <c r="G917" i="3"/>
  <c r="R933" i="3"/>
  <c r="G933" i="3"/>
  <c r="R954" i="3"/>
  <c r="G954" i="3"/>
  <c r="R1054" i="3"/>
  <c r="G1054" i="3"/>
  <c r="R1070" i="3"/>
  <c r="G1070" i="3"/>
  <c r="R831" i="3"/>
  <c r="G838" i="3"/>
  <c r="R847" i="3"/>
  <c r="G901" i="3"/>
  <c r="G903" i="3"/>
  <c r="R911" i="3"/>
  <c r="G911" i="3"/>
  <c r="R914" i="3"/>
  <c r="R927" i="3"/>
  <c r="G927" i="3"/>
  <c r="R930" i="3"/>
  <c r="G938" i="3"/>
  <c r="G940" i="3"/>
  <c r="G942" i="3"/>
  <c r="G944" i="3"/>
  <c r="G946" i="3"/>
  <c r="R948" i="3"/>
  <c r="G948" i="3"/>
  <c r="R951" i="3"/>
  <c r="R964" i="3"/>
  <c r="G964" i="3"/>
  <c r="R967" i="3"/>
  <c r="R980" i="3"/>
  <c r="R1064" i="3"/>
  <c r="G1064" i="3"/>
  <c r="R896" i="3"/>
  <c r="G896" i="3"/>
  <c r="R905" i="3"/>
  <c r="G905" i="3"/>
  <c r="R921" i="3"/>
  <c r="G921" i="3"/>
  <c r="R958" i="3"/>
  <c r="G958" i="3"/>
  <c r="R1058" i="3"/>
  <c r="G1058" i="3"/>
  <c r="R1074" i="3"/>
  <c r="G1074" i="3"/>
  <c r="R915" i="3"/>
  <c r="G915" i="3"/>
  <c r="R918" i="3"/>
  <c r="R931" i="3"/>
  <c r="G931" i="3"/>
  <c r="R934" i="3"/>
  <c r="R952" i="3"/>
  <c r="G952" i="3"/>
  <c r="R955" i="3"/>
  <c r="R971" i="3"/>
  <c r="R1068" i="3"/>
  <c r="G1068" i="3"/>
  <c r="R1473" i="3"/>
  <c r="G1473" i="3"/>
  <c r="R1481" i="3"/>
  <c r="G1481" i="3"/>
  <c r="R1573" i="3"/>
  <c r="G1573" i="3"/>
  <c r="R1577" i="3"/>
  <c r="G1577" i="3"/>
  <c r="R1581" i="3"/>
  <c r="G1581" i="3"/>
  <c r="R1585" i="3"/>
  <c r="G1585" i="3"/>
  <c r="R1589" i="3"/>
  <c r="G1589" i="3"/>
  <c r="R1593" i="3"/>
  <c r="G1593" i="3"/>
  <c r="R1597" i="3"/>
  <c r="G1597" i="3"/>
  <c r="R1601" i="3"/>
  <c r="G1601" i="3"/>
  <c r="G1641" i="3"/>
  <c r="R1641" i="3"/>
  <c r="G1657" i="3"/>
  <c r="R1657" i="3"/>
  <c r="R1740" i="3"/>
  <c r="G1740" i="3"/>
  <c r="G1769" i="3"/>
  <c r="R1769" i="3"/>
  <c r="G1795" i="3"/>
  <c r="R1795" i="3"/>
  <c r="G1345" i="3"/>
  <c r="G1350" i="3"/>
  <c r="G1358" i="3"/>
  <c r="G1393" i="3"/>
  <c r="R1415" i="3"/>
  <c r="R1423" i="3"/>
  <c r="R1431" i="3"/>
  <c r="R1439" i="3"/>
  <c r="R1447" i="3"/>
  <c r="R1455" i="3"/>
  <c r="R1611" i="3"/>
  <c r="G1611" i="3"/>
  <c r="G1635" i="3"/>
  <c r="R1635" i="3"/>
  <c r="R1722" i="3"/>
  <c r="G1722" i="3"/>
  <c r="G1751" i="3"/>
  <c r="R1751" i="3"/>
  <c r="R1353" i="3"/>
  <c r="R1388" i="3"/>
  <c r="G1418" i="3"/>
  <c r="G1426" i="3"/>
  <c r="G1434" i="3"/>
  <c r="R1479" i="3"/>
  <c r="G1479" i="3"/>
  <c r="R1605" i="3"/>
  <c r="G1605" i="3"/>
  <c r="G1648" i="3"/>
  <c r="R1648" i="3"/>
  <c r="G1664" i="3"/>
  <c r="R1664" i="3"/>
  <c r="R1708" i="3"/>
  <c r="G1708" i="3"/>
  <c r="G1737" i="3"/>
  <c r="R1737" i="3"/>
  <c r="R1770" i="3"/>
  <c r="G1770" i="3"/>
  <c r="G1786" i="3"/>
  <c r="R1786" i="3"/>
  <c r="R1494" i="3"/>
  <c r="G1494" i="3"/>
  <c r="R1636" i="3"/>
  <c r="G1636" i="3"/>
  <c r="G1719" i="3"/>
  <c r="R1719" i="3"/>
  <c r="R1756" i="3"/>
  <c r="G1756" i="3"/>
  <c r="G1078" i="3"/>
  <c r="G1080" i="3"/>
  <c r="G1082" i="3"/>
  <c r="G1084" i="3"/>
  <c r="G1086" i="3"/>
  <c r="G1088" i="3"/>
  <c r="G1090" i="3"/>
  <c r="G1092" i="3"/>
  <c r="G1094" i="3"/>
  <c r="G1096" i="3"/>
  <c r="G1098" i="3"/>
  <c r="G1100" i="3"/>
  <c r="G1102" i="3"/>
  <c r="G1104" i="3"/>
  <c r="G1106" i="3"/>
  <c r="G1108" i="3"/>
  <c r="G1110" i="3"/>
  <c r="G1133" i="3"/>
  <c r="G1135" i="3"/>
  <c r="G1137" i="3"/>
  <c r="G1139" i="3"/>
  <c r="G1141" i="3"/>
  <c r="G1143" i="3"/>
  <c r="G1145" i="3"/>
  <c r="G1147" i="3"/>
  <c r="G1149" i="3"/>
  <c r="G1151" i="3"/>
  <c r="G1153" i="3"/>
  <c r="G1158" i="3"/>
  <c r="G1165" i="3"/>
  <c r="G1167" i="3"/>
  <c r="G1169" i="3"/>
  <c r="G1171" i="3"/>
  <c r="G1173" i="3"/>
  <c r="G1175" i="3"/>
  <c r="G1177" i="3"/>
  <c r="G1179" i="3"/>
  <c r="G1181" i="3"/>
  <c r="G1183" i="3"/>
  <c r="G1185" i="3"/>
  <c r="G1187" i="3"/>
  <c r="G1189" i="3"/>
  <c r="G1194" i="3"/>
  <c r="G1196" i="3"/>
  <c r="G1198" i="3"/>
  <c r="G1247" i="3"/>
  <c r="G1249" i="3"/>
  <c r="G1251" i="3"/>
  <c r="G1253" i="3"/>
  <c r="G1255" i="3"/>
  <c r="G1257" i="3"/>
  <c r="G1259" i="3"/>
  <c r="G1261" i="3"/>
  <c r="G1263" i="3"/>
  <c r="G1265" i="3"/>
  <c r="G1267" i="3"/>
  <c r="G1269" i="3"/>
  <c r="G1271" i="3"/>
  <c r="G1294" i="3"/>
  <c r="G1296" i="3"/>
  <c r="G1298" i="3"/>
  <c r="G1300" i="3"/>
  <c r="G1302" i="3"/>
  <c r="G1304" i="3"/>
  <c r="G1306" i="3"/>
  <c r="G1308" i="3"/>
  <c r="G1310" i="3"/>
  <c r="G1312" i="3"/>
  <c r="G1314" i="3"/>
  <c r="G1316" i="3"/>
  <c r="G1318" i="3"/>
  <c r="R1351" i="3"/>
  <c r="R1359" i="3"/>
  <c r="G1416" i="3"/>
  <c r="G1424" i="3"/>
  <c r="G1432" i="3"/>
  <c r="G1440" i="3"/>
  <c r="R1477" i="3"/>
  <c r="G1477" i="3"/>
  <c r="R1571" i="3"/>
  <c r="G1571" i="3"/>
  <c r="R1575" i="3"/>
  <c r="G1575" i="3"/>
  <c r="R1579" i="3"/>
  <c r="G1579" i="3"/>
  <c r="R1583" i="3"/>
  <c r="G1583" i="3"/>
  <c r="R1587" i="3"/>
  <c r="G1587" i="3"/>
  <c r="R1591" i="3"/>
  <c r="G1591" i="3"/>
  <c r="R1595" i="3"/>
  <c r="G1595" i="3"/>
  <c r="R1599" i="3"/>
  <c r="G1599" i="3"/>
  <c r="R1609" i="3"/>
  <c r="G1609" i="3"/>
  <c r="G1619" i="3"/>
  <c r="R1619" i="3"/>
  <c r="G1649" i="3"/>
  <c r="R1649" i="3"/>
  <c r="G1665" i="3"/>
  <c r="R1665" i="3"/>
  <c r="R1738" i="3"/>
  <c r="G1738" i="3"/>
  <c r="G1767" i="3"/>
  <c r="R1767" i="3"/>
  <c r="G1793" i="3"/>
  <c r="R1793" i="3"/>
  <c r="G1346" i="3"/>
  <c r="G1354" i="3"/>
  <c r="G1361" i="3"/>
  <c r="G1363" i="3"/>
  <c r="G1365" i="3"/>
  <c r="G1367" i="3"/>
  <c r="G1369" i="3"/>
  <c r="G1371" i="3"/>
  <c r="G1373" i="3"/>
  <c r="R1419" i="3"/>
  <c r="R1427" i="3"/>
  <c r="R1435" i="3"/>
  <c r="R1443" i="3"/>
  <c r="R1451" i="3"/>
  <c r="R1492" i="3"/>
  <c r="G1492" i="3"/>
  <c r="R1603" i="3"/>
  <c r="G1603" i="3"/>
  <c r="R1724" i="3"/>
  <c r="G1724" i="3"/>
  <c r="G1753" i="3"/>
  <c r="R1753" i="3"/>
  <c r="G1897" i="3"/>
  <c r="R1897" i="3"/>
  <c r="G968" i="3"/>
  <c r="G970" i="3"/>
  <c r="G972" i="3"/>
  <c r="G974" i="3"/>
  <c r="G981" i="3"/>
  <c r="G983" i="3"/>
  <c r="G985" i="3"/>
  <c r="G987" i="3"/>
  <c r="G989" i="3"/>
  <c r="G991" i="3"/>
  <c r="G993" i="3"/>
  <c r="G995" i="3"/>
  <c r="G997" i="3"/>
  <c r="G999" i="3"/>
  <c r="G1001" i="3"/>
  <c r="G1003" i="3"/>
  <c r="G1005" i="3"/>
  <c r="G1007" i="3"/>
  <c r="G1009" i="3"/>
  <c r="G1112" i="3"/>
  <c r="G1155" i="3"/>
  <c r="G1157" i="3"/>
  <c r="G1160" i="3"/>
  <c r="G1162" i="3"/>
  <c r="G1191" i="3"/>
  <c r="G1200" i="3"/>
  <c r="G1202" i="3"/>
  <c r="G1204" i="3"/>
  <c r="G1206" i="3"/>
  <c r="G1208" i="3"/>
  <c r="G1210" i="3"/>
  <c r="G1212" i="3"/>
  <c r="G1214" i="3"/>
  <c r="G1216" i="3"/>
  <c r="G1218" i="3"/>
  <c r="G1220" i="3"/>
  <c r="G1222" i="3"/>
  <c r="G1224" i="3"/>
  <c r="G1226" i="3"/>
  <c r="G1228" i="3"/>
  <c r="G1230" i="3"/>
  <c r="G1232" i="3"/>
  <c r="G1273" i="3"/>
  <c r="G1275" i="3"/>
  <c r="G1277" i="3"/>
  <c r="G1279" i="3"/>
  <c r="G1281" i="3"/>
  <c r="G1283" i="3"/>
  <c r="G1285" i="3"/>
  <c r="G1320" i="3"/>
  <c r="G1322" i="3"/>
  <c r="G1324" i="3"/>
  <c r="G1326" i="3"/>
  <c r="G1328" i="3"/>
  <c r="G1330" i="3"/>
  <c r="G1332" i="3"/>
  <c r="G1334" i="3"/>
  <c r="G1344" i="3"/>
  <c r="R1349" i="3"/>
  <c r="R1357" i="3"/>
  <c r="R1392" i="3"/>
  <c r="G1394" i="3"/>
  <c r="G1396" i="3"/>
  <c r="G1398" i="3"/>
  <c r="G1400" i="3"/>
  <c r="G1402" i="3"/>
  <c r="G1404" i="3"/>
  <c r="G1406" i="3"/>
  <c r="G1408" i="3"/>
  <c r="G1410" i="3"/>
  <c r="G1414" i="3"/>
  <c r="G1422" i="3"/>
  <c r="G1430" i="3"/>
  <c r="G1438" i="3"/>
  <c r="R1475" i="3"/>
  <c r="G1475" i="3"/>
  <c r="R1620" i="3"/>
  <c r="G1620" i="3"/>
  <c r="G1640" i="3"/>
  <c r="R1640" i="3"/>
  <c r="G1656" i="3"/>
  <c r="R1656" i="3"/>
  <c r="G1735" i="3"/>
  <c r="R1735" i="3"/>
  <c r="R1772" i="3"/>
  <c r="G1772" i="3"/>
  <c r="G1873" i="3"/>
  <c r="R1873" i="3"/>
  <c r="R1417" i="3"/>
  <c r="R1425" i="3"/>
  <c r="R1433" i="3"/>
  <c r="R1441" i="3"/>
  <c r="R1607" i="3"/>
  <c r="G1607" i="3"/>
  <c r="R1613" i="3"/>
  <c r="G1613" i="3"/>
  <c r="R1626" i="3"/>
  <c r="G1626" i="3"/>
  <c r="G1629" i="3"/>
  <c r="R1629" i="3"/>
  <c r="G1721" i="3"/>
  <c r="R1721" i="3"/>
  <c r="R1754" i="3"/>
  <c r="G1754" i="3"/>
  <c r="R1909" i="3"/>
  <c r="G1909" i="3"/>
  <c r="R1718" i="3"/>
  <c r="G1718" i="3"/>
  <c r="R1734" i="3"/>
  <c r="G1734" i="3"/>
  <c r="R1750" i="3"/>
  <c r="G1750" i="3"/>
  <c r="R1766" i="3"/>
  <c r="G1766" i="3"/>
  <c r="G1832" i="3"/>
  <c r="R1832" i="3"/>
  <c r="R1617" i="3"/>
  <c r="R1633" i="3"/>
  <c r="R1643" i="3"/>
  <c r="R1651" i="3"/>
  <c r="R1659" i="3"/>
  <c r="R1667" i="3"/>
  <c r="R1692" i="3"/>
  <c r="R1712" i="3"/>
  <c r="G1712" i="3"/>
  <c r="R1715" i="3"/>
  <c r="R1728" i="3"/>
  <c r="G1728" i="3"/>
  <c r="R1731" i="3"/>
  <c r="R1744" i="3"/>
  <c r="G1744" i="3"/>
  <c r="R1747" i="3"/>
  <c r="R1760" i="3"/>
  <c r="G1760" i="3"/>
  <c r="R1763" i="3"/>
  <c r="R1776" i="3"/>
  <c r="G1776" i="3"/>
  <c r="R1779" i="3"/>
  <c r="R1829" i="3"/>
  <c r="G1860" i="3"/>
  <c r="R1860" i="3"/>
  <c r="G1914" i="3"/>
  <c r="R1914" i="3"/>
  <c r="R1693" i="3"/>
  <c r="G1693" i="3"/>
  <c r="R1716" i="3"/>
  <c r="G1716" i="3"/>
  <c r="R1732" i="3"/>
  <c r="G1732" i="3"/>
  <c r="R1748" i="3"/>
  <c r="G1748" i="3"/>
  <c r="R1764" i="3"/>
  <c r="G1764" i="3"/>
  <c r="R1780" i="3"/>
  <c r="G1780" i="3"/>
  <c r="G1572" i="3"/>
  <c r="G1574" i="3"/>
  <c r="G1576" i="3"/>
  <c r="G1578" i="3"/>
  <c r="G1580" i="3"/>
  <c r="G1582" i="3"/>
  <c r="G1584" i="3"/>
  <c r="G1586" i="3"/>
  <c r="G1588" i="3"/>
  <c r="G1590" i="3"/>
  <c r="G1592" i="3"/>
  <c r="G1594" i="3"/>
  <c r="G1596" i="3"/>
  <c r="G1598" i="3"/>
  <c r="G1600" i="3"/>
  <c r="R1710" i="3"/>
  <c r="G1710" i="3"/>
  <c r="R1726" i="3"/>
  <c r="G1726" i="3"/>
  <c r="R1742" i="3"/>
  <c r="G1742" i="3"/>
  <c r="R1758" i="3"/>
  <c r="G1758" i="3"/>
  <c r="R1774" i="3"/>
  <c r="G1774" i="3"/>
  <c r="G1824" i="3"/>
  <c r="R1824" i="3"/>
  <c r="G1868" i="3"/>
  <c r="R1868" i="3"/>
  <c r="R1707" i="3"/>
  <c r="R1720" i="3"/>
  <c r="G1720" i="3"/>
  <c r="R1723" i="3"/>
  <c r="R1736" i="3"/>
  <c r="G1736" i="3"/>
  <c r="R1739" i="3"/>
  <c r="R1752" i="3"/>
  <c r="G1752" i="3"/>
  <c r="R1755" i="3"/>
  <c r="R1768" i="3"/>
  <c r="G1768" i="3"/>
  <c r="R1771" i="3"/>
  <c r="R1785" i="3"/>
  <c r="R1788" i="3"/>
  <c r="G1791" i="3"/>
  <c r="R1791" i="3"/>
  <c r="R1821" i="3"/>
  <c r="R1907" i="3"/>
  <c r="G1907" i="3"/>
  <c r="R1623" i="3"/>
  <c r="R1642" i="3"/>
  <c r="R1650" i="3"/>
  <c r="R1658" i="3"/>
  <c r="R1666" i="3"/>
  <c r="R1691" i="3"/>
  <c r="G1691" i="3"/>
  <c r="R1714" i="3"/>
  <c r="G1714" i="3"/>
  <c r="R1717" i="3"/>
  <c r="R1730" i="3"/>
  <c r="G1730" i="3"/>
  <c r="R1733" i="3"/>
  <c r="R1746" i="3"/>
  <c r="G1746" i="3"/>
  <c r="R1749" i="3"/>
  <c r="R1762" i="3"/>
  <c r="G1762" i="3"/>
  <c r="R1765" i="3"/>
  <c r="R1778" i="3"/>
  <c r="G1778" i="3"/>
  <c r="R1781" i="3"/>
  <c r="G1852" i="3"/>
  <c r="R1852" i="3"/>
  <c r="G1922" i="3"/>
  <c r="R1922" i="3"/>
  <c r="G1798" i="3"/>
  <c r="G1800" i="3"/>
  <c r="G1802" i="3"/>
  <c r="G1804" i="3"/>
  <c r="G1806" i="3"/>
  <c r="G1808" i="3"/>
  <c r="G1810" i="3"/>
  <c r="G1812" i="3"/>
  <c r="G1814" i="3"/>
  <c r="G1816" i="3"/>
  <c r="G1818" i="3"/>
  <c r="G1820" i="3"/>
  <c r="R1827" i="3"/>
  <c r="G1834" i="3"/>
  <c r="G1836" i="3"/>
  <c r="G1838" i="3"/>
  <c r="G1840" i="3"/>
  <c r="G1842" i="3"/>
  <c r="G1844" i="3"/>
  <c r="G1846" i="3"/>
  <c r="G1848" i="3"/>
  <c r="R1855" i="3"/>
  <c r="R1863" i="3"/>
  <c r="R1871" i="3"/>
  <c r="R1879" i="3"/>
  <c r="R1887" i="3"/>
  <c r="R1895" i="3"/>
  <c r="R1794" i="3"/>
  <c r="R1912" i="3"/>
  <c r="R1920" i="3"/>
  <c r="R1825" i="3"/>
  <c r="R1853" i="3"/>
  <c r="R1861" i="3"/>
  <c r="R1869" i="3"/>
  <c r="R1877" i="3"/>
  <c r="R1885" i="3"/>
  <c r="R1856" i="3"/>
  <c r="R1864" i="3"/>
  <c r="R1872" i="3"/>
  <c r="G1906" i="3"/>
  <c r="R1910" i="3"/>
  <c r="R1918" i="3"/>
  <c r="R1823" i="3"/>
  <c r="R1831" i="3"/>
  <c r="R1851" i="3"/>
  <c r="R1859" i="3"/>
  <c r="R1867" i="3"/>
  <c r="R1875" i="3"/>
  <c r="R1883" i="3"/>
  <c r="R1891" i="3"/>
  <c r="R1899" i="3"/>
  <c r="R1928" i="3"/>
  <c r="G1928" i="3"/>
</calcChain>
</file>

<file path=xl/sharedStrings.xml><?xml version="1.0" encoding="utf-8"?>
<sst xmlns="http://schemas.openxmlformats.org/spreadsheetml/2006/main" count="51436" uniqueCount="22643">
  <si>
    <t>Sr. No</t>
  </si>
  <si>
    <t>NAME OF COMPANY</t>
  </si>
  <si>
    <t>for Gfinance</t>
  </si>
  <si>
    <t>SYMBOL</t>
  </si>
  <si>
    <t>AMFI 30 JUN 2023</t>
  </si>
  <si>
    <t>AMFI 31 DEC 2023</t>
  </si>
  <si>
    <t>m cap change</t>
  </si>
  <si>
    <t>Reliance Industries Limited</t>
  </si>
  <si>
    <t>NSE:RELIANCE</t>
  </si>
  <si>
    <t>RELIANCE</t>
  </si>
  <si>
    <t>Tata Consultancy Services Limited</t>
  </si>
  <si>
    <t>NSE:TCS</t>
  </si>
  <si>
    <t>TCS</t>
  </si>
  <si>
    <t>HDFC Bank Limited</t>
  </si>
  <si>
    <t>NSE:HDFCBANK</t>
  </si>
  <si>
    <t>HDFCBANK</t>
  </si>
  <si>
    <t>ICICI Bank Limited</t>
  </si>
  <si>
    <t>NSE:ICICIBANK</t>
  </si>
  <si>
    <t>ICICIBANK</t>
  </si>
  <si>
    <t>Hindustan Unilever Limited</t>
  </si>
  <si>
    <t>NSE:HINDUNILVR</t>
  </si>
  <si>
    <t>HINDUNILVR</t>
  </si>
  <si>
    <t>Infosys Limited</t>
  </si>
  <si>
    <t>NSE:INFY</t>
  </si>
  <si>
    <t>INFY</t>
  </si>
  <si>
    <t>ITC Limited</t>
  </si>
  <si>
    <t>NSE:ITC</t>
  </si>
  <si>
    <t>ITC</t>
  </si>
  <si>
    <t>Bharti Airtel Limited</t>
  </si>
  <si>
    <t>NSE:BHARTIARTL</t>
  </si>
  <si>
    <t>BHARTIARTL</t>
  </si>
  <si>
    <t>State Bank of India</t>
  </si>
  <si>
    <t>NSE:SBIN</t>
  </si>
  <si>
    <t>SBIN</t>
  </si>
  <si>
    <t>Bajaj Finance Limited</t>
  </si>
  <si>
    <t>NSE:BAJFINANCE</t>
  </si>
  <si>
    <t>BAJFINANCE</t>
  </si>
  <si>
    <t>Life Insurance Corporation Of India</t>
  </si>
  <si>
    <t>NSE:LICI</t>
  </si>
  <si>
    <t>LICI</t>
  </si>
  <si>
    <t>Larsen &amp; Toubro Limited</t>
  </si>
  <si>
    <t>NSE:LT</t>
  </si>
  <si>
    <t>LT</t>
  </si>
  <si>
    <t>Kotak Mahindra Bank Limited</t>
  </si>
  <si>
    <t>NSE:KOTAKBANK</t>
  </si>
  <si>
    <t>KOTAKBANK</t>
  </si>
  <si>
    <t>HCL Technologies Limited</t>
  </si>
  <si>
    <t>NSE:HCLTECH</t>
  </si>
  <si>
    <t>HCLTECH</t>
  </si>
  <si>
    <t>Axis Bank Limited</t>
  </si>
  <si>
    <t>NSE:AXISBANK</t>
  </si>
  <si>
    <t>AXISBANK</t>
  </si>
  <si>
    <t>Asian Paints Limited</t>
  </si>
  <si>
    <t>NSE:ASIANPAINT</t>
  </si>
  <si>
    <t>ASIANPAINT</t>
  </si>
  <si>
    <t>Maruti Suzuki India Limited</t>
  </si>
  <si>
    <t>NSE:MARUTI</t>
  </si>
  <si>
    <t>MARUTI</t>
  </si>
  <si>
    <t>Titan Company Limited</t>
  </si>
  <si>
    <t>NSE:TITAN</t>
  </si>
  <si>
    <t>TITAN</t>
  </si>
  <si>
    <t>Adani Enterprises Limited</t>
  </si>
  <si>
    <t>NSE:ADANIENT</t>
  </si>
  <si>
    <t>ADANIENT</t>
  </si>
  <si>
    <t>Sun Pharmaceutical Industries Limited</t>
  </si>
  <si>
    <t>NSE:SUNPHARMA</t>
  </si>
  <si>
    <t>SUNPHARMA</t>
  </si>
  <si>
    <t>Bajaj Finserv Limited</t>
  </si>
  <si>
    <t>NSE:BAJAJFINSV</t>
  </si>
  <si>
    <t>BAJAJFINSV</t>
  </si>
  <si>
    <t>UltraTech Cement Limited</t>
  </si>
  <si>
    <t>NSE:ULTRACEMCO</t>
  </si>
  <si>
    <t>ULTRACEMCO</t>
  </si>
  <si>
    <t>Avenue Supermarts Limited</t>
  </si>
  <si>
    <t>NSE:DMART</t>
  </si>
  <si>
    <t>DMART</t>
  </si>
  <si>
    <t>Tata Motors Limited</t>
  </si>
  <si>
    <t>NSE:TATAMOTORS</t>
  </si>
  <si>
    <t>TATAMOTORS</t>
  </si>
  <si>
    <t>NSE:TATAMTRDVR</t>
  </si>
  <si>
    <t>TATAMTRDVR</t>
  </si>
  <si>
    <t>Oil &amp; Natural Gas Corporation Limited</t>
  </si>
  <si>
    <t>NSE:ONGC</t>
  </si>
  <si>
    <t>ONGC</t>
  </si>
  <si>
    <t>NTPC Limited</t>
  </si>
  <si>
    <t>NSE:NTPC</t>
  </si>
  <si>
    <t>NTPC</t>
  </si>
  <si>
    <t>Nestle India Limited</t>
  </si>
  <si>
    <t>NSE:NESTLEIND</t>
  </si>
  <si>
    <t>NESTLEIND</t>
  </si>
  <si>
    <t>Wipro Limited</t>
  </si>
  <si>
    <t>NSE:WIPRO</t>
  </si>
  <si>
    <t>WIPRO</t>
  </si>
  <si>
    <t>Mahindra &amp; Mahindra Limited</t>
  </si>
  <si>
    <t>NSE:M&amp;M</t>
  </si>
  <si>
    <t>M&amp;M</t>
  </si>
  <si>
    <t>JSW Steel Limited</t>
  </si>
  <si>
    <t>NSE:JSWSTEEL</t>
  </si>
  <si>
    <t>JSWSTEEL</t>
  </si>
  <si>
    <t>Power Grid Corporation of India Limited</t>
  </si>
  <si>
    <t>NSE:POWERGRID</t>
  </si>
  <si>
    <t>POWERGRID</t>
  </si>
  <si>
    <t>Adani Ports and Special Economic Zone Limited</t>
  </si>
  <si>
    <t>NSE:ADANIPORTS</t>
  </si>
  <si>
    <t>ADANIPORTS</t>
  </si>
  <si>
    <t>Coal India Limited</t>
  </si>
  <si>
    <t>NSE:COALINDIA</t>
  </si>
  <si>
    <t>COALINDIA</t>
  </si>
  <si>
    <t>Adani Green Energy Limited</t>
  </si>
  <si>
    <t>NSE:ADANIGREEN</t>
  </si>
  <si>
    <t>ADANIGREEN</t>
  </si>
  <si>
    <t>LTIMindtree Limited</t>
  </si>
  <si>
    <t>NSE:LTIM</t>
  </si>
  <si>
    <t>LTIM</t>
  </si>
  <si>
    <t>Tata Steel Limited</t>
  </si>
  <si>
    <t>NSE:TATASTEEL</t>
  </si>
  <si>
    <t>TATASTEEL</t>
  </si>
  <si>
    <t>Bajaj Auto Limited</t>
  </si>
  <si>
    <t>NSE:BAJAJ-AUTO</t>
  </si>
  <si>
    <t>BAJAJ-AUTO</t>
  </si>
  <si>
    <t>Jain Irrigation Systems Limited</t>
  </si>
  <si>
    <t>NSE:JISLDVREQS</t>
  </si>
  <si>
    <t>JISLDVREQS</t>
  </si>
  <si>
    <t>Jio Financial Services Limited</t>
  </si>
  <si>
    <t>NSE:JIOFIN</t>
  </si>
  <si>
    <t>JIOFIN</t>
  </si>
  <si>
    <t>Indian Oil Corporation Limited</t>
  </si>
  <si>
    <t>NSE:IOC</t>
  </si>
  <si>
    <t>IOC</t>
  </si>
  <si>
    <t>Hindustan Aeronautics Limited</t>
  </si>
  <si>
    <t>NSE:HAL</t>
  </si>
  <si>
    <t>HAL</t>
  </si>
  <si>
    <t>Adani Power Limited</t>
  </si>
  <si>
    <t>NSE:ADANIPOWER</t>
  </si>
  <si>
    <t>ADANIPOWER</t>
  </si>
  <si>
    <t>HDFC Life Insurance Company Limited</t>
  </si>
  <si>
    <t>NSE:HDFCLIFE</t>
  </si>
  <si>
    <t>HDFCLIFE</t>
  </si>
  <si>
    <t>DLF Limited</t>
  </si>
  <si>
    <t>NSE:DLF</t>
  </si>
  <si>
    <t>DLF</t>
  </si>
  <si>
    <t>SBI Life Insurance Company Limited</t>
  </si>
  <si>
    <t>NSE:SBILIFE</t>
  </si>
  <si>
    <t>SBILIFE</t>
  </si>
  <si>
    <t>Hindustan Zinc Limited</t>
  </si>
  <si>
    <t>NSE:HINDZINC</t>
  </si>
  <si>
    <t>HINDZINC</t>
  </si>
  <si>
    <t>Siemens Limited</t>
  </si>
  <si>
    <t>NSE:SIEMENS</t>
  </si>
  <si>
    <t>SIEMENS</t>
  </si>
  <si>
    <t>Pidilite Industries Limited</t>
  </si>
  <si>
    <t>NSE:PIDILITIND</t>
  </si>
  <si>
    <t>PIDILITIND</t>
  </si>
  <si>
    <t>Grasim Industries Limited</t>
  </si>
  <si>
    <t>NSE:GRASIM</t>
  </si>
  <si>
    <t>GRASIM</t>
  </si>
  <si>
    <t>Varun Beverages Limited</t>
  </si>
  <si>
    <t>NSE:VBL</t>
  </si>
  <si>
    <t>VBL</t>
  </si>
  <si>
    <t>Tech Mahindra Limited</t>
  </si>
  <si>
    <t>NSE:TECHM</t>
  </si>
  <si>
    <t>TECHM</t>
  </si>
  <si>
    <t>Britannia Industries Limited</t>
  </si>
  <si>
    <t>NSE:BRITANNIA</t>
  </si>
  <si>
    <t>BRITANNIA</t>
  </si>
  <si>
    <t>IndusInd Bank Limited</t>
  </si>
  <si>
    <t>NSE:INDUSINDBK</t>
  </si>
  <si>
    <t>INDUSINDBK</t>
  </si>
  <si>
    <t>Hindalco Industries Limited</t>
  </si>
  <si>
    <t>NSE:HINDALCO</t>
  </si>
  <si>
    <t>HINDALCO</t>
  </si>
  <si>
    <t>Bank of Baroda</t>
  </si>
  <si>
    <t>NSE:BANKBARODA</t>
  </si>
  <si>
    <t>BANKBARODA</t>
  </si>
  <si>
    <t>Godrej Consumer Products Limited</t>
  </si>
  <si>
    <t>NSE:GODREJCP</t>
  </si>
  <si>
    <t>GODREJCP</t>
  </si>
  <si>
    <t>Bharat Electronics Limited</t>
  </si>
  <si>
    <t>NSE:BEL</t>
  </si>
  <si>
    <t>BEL</t>
  </si>
  <si>
    <t>InterGlobe Aviation Limited</t>
  </si>
  <si>
    <t>NSE:INDIGO</t>
  </si>
  <si>
    <t>INDIGO</t>
  </si>
  <si>
    <t>Dabur India Limited</t>
  </si>
  <si>
    <t>NSE:DABUR</t>
  </si>
  <si>
    <t>DABUR</t>
  </si>
  <si>
    <t>Divi's Laboratories Limited</t>
  </si>
  <si>
    <t>NSE:DIVISLAB</t>
  </si>
  <si>
    <t>DIVISLAB</t>
  </si>
  <si>
    <t>Eicher Motors Limited</t>
  </si>
  <si>
    <t>NSE:EICHERMOT</t>
  </si>
  <si>
    <t>EICHERMOT</t>
  </si>
  <si>
    <t>Cipla Limited</t>
  </si>
  <si>
    <t>NSE:CIPLA</t>
  </si>
  <si>
    <t>CIPLA</t>
  </si>
  <si>
    <t>Cholamandalam Investment and Finance Company Limited</t>
  </si>
  <si>
    <t>NSE:CHOLAFIN</t>
  </si>
  <si>
    <t>CHOLAFIN</t>
  </si>
  <si>
    <t>Adani Energy Solutions Limited</t>
  </si>
  <si>
    <t>NSE:ADANIENSOL</t>
  </si>
  <si>
    <t>ADANIENSOL</t>
  </si>
  <si>
    <t>Dr. Reddy's Laboratories Limited</t>
  </si>
  <si>
    <t>NSE:DRREDDY</t>
  </si>
  <si>
    <t>DRREDDY</t>
  </si>
  <si>
    <t>SHREE CEMENT LIMITED</t>
  </si>
  <si>
    <t>NSE:SHREECEM</t>
  </si>
  <si>
    <t>SHREECEM</t>
  </si>
  <si>
    <t>ABB India Limited</t>
  </si>
  <si>
    <t>NSE:ABB</t>
  </si>
  <si>
    <t>ABB</t>
  </si>
  <si>
    <t>Abbott India Limited</t>
  </si>
  <si>
    <t>NSE:ABBOTINDIA</t>
  </si>
  <si>
    <t>ABBOTINDIA</t>
  </si>
  <si>
    <t>Vedanta Limited</t>
  </si>
  <si>
    <t>NSE:VEDL</t>
  </si>
  <si>
    <t>VEDL</t>
  </si>
  <si>
    <t>Zomato Limited</t>
  </si>
  <si>
    <t>NSE:ZOMATO</t>
  </si>
  <si>
    <t>ZOMATO</t>
  </si>
  <si>
    <t>Ambuja Cements Limited</t>
  </si>
  <si>
    <t>NSE:AMBUJACEM</t>
  </si>
  <si>
    <t>AMBUJACEM</t>
  </si>
  <si>
    <t>Power Finance Corporation Limited</t>
  </si>
  <si>
    <t>NSE:PFC</t>
  </si>
  <si>
    <t>PFC</t>
  </si>
  <si>
    <t>Indian Railway Finance Corporation Limited</t>
  </si>
  <si>
    <t>NSE:IRFC</t>
  </si>
  <si>
    <t>IRFC</t>
  </si>
  <si>
    <t>Havells India Limited</t>
  </si>
  <si>
    <t>NSE:HAVELLS</t>
  </si>
  <si>
    <t>HAVELLS</t>
  </si>
  <si>
    <t>TATA CONSUMER PRODUCTS LIMITED</t>
  </si>
  <si>
    <t>NSE:TATACONSUM</t>
  </si>
  <si>
    <t>TATACONSUM</t>
  </si>
  <si>
    <t>Bharat Petroleum Corporation Limited</t>
  </si>
  <si>
    <t>NSE:BPCL</t>
  </si>
  <si>
    <t>BPCL</t>
  </si>
  <si>
    <t>Tata Power Company Limited</t>
  </si>
  <si>
    <t>NSE:TATAPOWER</t>
  </si>
  <si>
    <t>TATAPOWER</t>
  </si>
  <si>
    <t>GAIL (India) Limited</t>
  </si>
  <si>
    <t>NSE:GAIL</t>
  </si>
  <si>
    <t>GAIL</t>
  </si>
  <si>
    <t>Bajaj Holdings &amp; Investment Limited</t>
  </si>
  <si>
    <t>NSE:BAJAJHLDNG</t>
  </si>
  <si>
    <t>BAJAJHLDNG</t>
  </si>
  <si>
    <t>Punjab National Bank</t>
  </si>
  <si>
    <t>NSE:PNB</t>
  </si>
  <si>
    <t>PNB</t>
  </si>
  <si>
    <t>ICICI Prudential Life Insurance Company Limited</t>
  </si>
  <si>
    <t>NSE:ICICIPRULI</t>
  </si>
  <si>
    <t>ICICIPRULI</t>
  </si>
  <si>
    <t>Trent Limited</t>
  </si>
  <si>
    <t>NSE:TRENT</t>
  </si>
  <si>
    <t>TRENT</t>
  </si>
  <si>
    <t>Macrotech Developers Limited</t>
  </si>
  <si>
    <t>NSE:LODHA</t>
  </si>
  <si>
    <t>LODHA</t>
  </si>
  <si>
    <t>SBI Cards and Payment Services Limited</t>
  </si>
  <si>
    <t>NSE:SBICARD</t>
  </si>
  <si>
    <t>SBICARD</t>
  </si>
  <si>
    <t>Polycab India Limited</t>
  </si>
  <si>
    <t>NSE:POLYCAB</t>
  </si>
  <si>
    <t>POLYCAB</t>
  </si>
  <si>
    <t>Adani Total Gas Limited</t>
  </si>
  <si>
    <t>NSE:ATGL</t>
  </si>
  <si>
    <t>ATGL</t>
  </si>
  <si>
    <t>United Spirits Limited</t>
  </si>
  <si>
    <t>NSE:MCDOWELL-N</t>
  </si>
  <si>
    <t>MCDOWELL-N</t>
  </si>
  <si>
    <t>TVS Motor Company Limited</t>
  </si>
  <si>
    <t>NSE:TVSMOTOR</t>
  </si>
  <si>
    <t>TVSMOTOR</t>
  </si>
  <si>
    <t>Apollo Hospitals Enterprise Limited</t>
  </si>
  <si>
    <t>NSE:APOLLOHOSP</t>
  </si>
  <si>
    <t>APOLLOHOSP</t>
  </si>
  <si>
    <t>REC Limited</t>
  </si>
  <si>
    <t>NSE:RECLTD</t>
  </si>
  <si>
    <t>RECLTD</t>
  </si>
  <si>
    <t>Mankind Pharma Limited</t>
  </si>
  <si>
    <t>NSE:MANKIND</t>
  </si>
  <si>
    <t>MANKIND</t>
  </si>
  <si>
    <t>Shriram Finance Limited</t>
  </si>
  <si>
    <t>NSE:SHRIRAMFIN</t>
  </si>
  <si>
    <t>SHRIRAMFIN</t>
  </si>
  <si>
    <t>Union Bank of India</t>
  </si>
  <si>
    <t>NSE:UNIONBANK</t>
  </si>
  <si>
    <t>UNIONBANK</t>
  </si>
  <si>
    <t>Marico Limited</t>
  </si>
  <si>
    <t>NSE:MARICO</t>
  </si>
  <si>
    <t>MARICO</t>
  </si>
  <si>
    <t>Indian Overseas Bank</t>
  </si>
  <si>
    <t>NSE:IOB</t>
  </si>
  <si>
    <t>IOB</t>
  </si>
  <si>
    <t>IDBI Bank Limited</t>
  </si>
  <si>
    <t>NSE:IDBI</t>
  </si>
  <si>
    <t>IDBI</t>
  </si>
  <si>
    <t>SRF Limited</t>
  </si>
  <si>
    <t>NSE:SRF</t>
  </si>
  <si>
    <t>SRF</t>
  </si>
  <si>
    <t>Jindal Steel &amp; Power Limited</t>
  </si>
  <si>
    <t>NSE:JINDALSTEL</t>
  </si>
  <si>
    <t>JINDALSTEL</t>
  </si>
  <si>
    <t>Berger Paints (I) Limited</t>
  </si>
  <si>
    <t>NSE:BERGEPAINT</t>
  </si>
  <si>
    <t>BERGEPAINT</t>
  </si>
  <si>
    <t>ICICI Lombard General Insurance Company Limited</t>
  </si>
  <si>
    <t>NSE:ICICIGI</t>
  </si>
  <si>
    <t>ICICIGI</t>
  </si>
  <si>
    <t>Canara Bank</t>
  </si>
  <si>
    <t>NSE:CANBK</t>
  </si>
  <si>
    <t>CANBK</t>
  </si>
  <si>
    <t>Torrent Pharmaceuticals Limited</t>
  </si>
  <si>
    <t>NSE:TORNTPHARM</t>
  </si>
  <si>
    <t>TORNTPHARM</t>
  </si>
  <si>
    <t>Hero MotoCorp Limited</t>
  </si>
  <si>
    <t>NSE:HEROMOTOCO</t>
  </si>
  <si>
    <t>HEROMOTOCO</t>
  </si>
  <si>
    <t>Samvardhana Motherson International Limited</t>
  </si>
  <si>
    <t>NSE:MOTHERSON</t>
  </si>
  <si>
    <t>MOTHERSON</t>
  </si>
  <si>
    <t>CG Power and Industrial Solutions Limited</t>
  </si>
  <si>
    <t>NSE:CGPOWER</t>
  </si>
  <si>
    <t>CGPOWER</t>
  </si>
  <si>
    <t>Zydus Lifesciences Limited</t>
  </si>
  <si>
    <t>NSE:ZYDUSLIFE</t>
  </si>
  <si>
    <t>ZYDUSLIFE</t>
  </si>
  <si>
    <t>JSW Energy Limited</t>
  </si>
  <si>
    <t>NSE:JSWENERGY</t>
  </si>
  <si>
    <t>JSWENERGY</t>
  </si>
  <si>
    <t>Tube Investments of India Limited</t>
  </si>
  <si>
    <t>NSE:TIINDIA</t>
  </si>
  <si>
    <t>TIINDIA</t>
  </si>
  <si>
    <t>IDFC First Bank Limited</t>
  </si>
  <si>
    <t>NSE:IDFCFIRSTB</t>
  </si>
  <si>
    <t>IDFCFIRSTB</t>
  </si>
  <si>
    <t>Bosch Limited</t>
  </si>
  <si>
    <t>NSE:BOSCHLTD</t>
  </si>
  <si>
    <t>BOSCHLTD</t>
  </si>
  <si>
    <t>Max Healthcare Institute Limited</t>
  </si>
  <si>
    <t>NSE:MAXHEALTH</t>
  </si>
  <si>
    <t>MAXHEALTH</t>
  </si>
  <si>
    <t>Info Edge (India) Limited</t>
  </si>
  <si>
    <t>NSE:NAUKRI</t>
  </si>
  <si>
    <t>NAUKRI</t>
  </si>
  <si>
    <t>The Indian Hotels Company Limited</t>
  </si>
  <si>
    <t>NSE:INDHOTEL</t>
  </si>
  <si>
    <t>INDHOTEL</t>
  </si>
  <si>
    <t>HDFC Asset Management Company Limited</t>
  </si>
  <si>
    <t>NSE:HDFCAMC</t>
  </si>
  <si>
    <t>HDFCAMC</t>
  </si>
  <si>
    <t>Colgate Palmolive (India) Limited</t>
  </si>
  <si>
    <t>NSE:COLPAL</t>
  </si>
  <si>
    <t>COLPAL</t>
  </si>
  <si>
    <t>Indian Railway Catering And Tourism Corporation Limited</t>
  </si>
  <si>
    <t>NSE:IRCTC</t>
  </si>
  <si>
    <t>IRCTC</t>
  </si>
  <si>
    <t>PI Industries Limited</t>
  </si>
  <si>
    <t>NSE:PIIND</t>
  </si>
  <si>
    <t>PIIND</t>
  </si>
  <si>
    <t>Procter &amp; Gamble Hygiene and Health Care Limited</t>
  </si>
  <si>
    <t>NSE:PGHH</t>
  </si>
  <si>
    <t>PGHH</t>
  </si>
  <si>
    <t>NHPC Limited</t>
  </si>
  <si>
    <t>NSE:NHPC</t>
  </si>
  <si>
    <t>NHPC</t>
  </si>
  <si>
    <t>One 97 Communications Limited</t>
  </si>
  <si>
    <t>NSE:PAYTM</t>
  </si>
  <si>
    <t>PAYTM</t>
  </si>
  <si>
    <t>Vodafone Idea Limited</t>
  </si>
  <si>
    <t>NSE:IDEA</t>
  </si>
  <si>
    <t>IDEA</t>
  </si>
  <si>
    <t>Muthoot Finance Limited</t>
  </si>
  <si>
    <t>NSE:MUTHOOTFIN</t>
  </si>
  <si>
    <t>MUTHOOTFIN</t>
  </si>
  <si>
    <t>Supreme Industries Limited</t>
  </si>
  <si>
    <t>NSE:SUPREMEIND</t>
  </si>
  <si>
    <t>SUPREMEIND</t>
  </si>
  <si>
    <t>Aurobindo Pharma Limited</t>
  </si>
  <si>
    <t>NSE:AUROPHARMA</t>
  </si>
  <si>
    <t>AUROPHARMA</t>
  </si>
  <si>
    <t>Ashok Leyland Limited</t>
  </si>
  <si>
    <t>NSE:ASHOKLEY</t>
  </si>
  <si>
    <t>ASHOKLEY</t>
  </si>
  <si>
    <t>Yes Bank Limited</t>
  </si>
  <si>
    <t>NSE:YESBANK</t>
  </si>
  <si>
    <t>YESBANK</t>
  </si>
  <si>
    <t>Astral Limited</t>
  </si>
  <si>
    <t>NSE:ASTRAL</t>
  </si>
  <si>
    <t>ASTRAL</t>
  </si>
  <si>
    <t>Lupin Limited</t>
  </si>
  <si>
    <t>NSE:LUPIN</t>
  </si>
  <si>
    <t>LUPIN</t>
  </si>
  <si>
    <t>Cummins India Limited</t>
  </si>
  <si>
    <t>NSE:CUMMINSIND</t>
  </si>
  <si>
    <t>CUMMINSIND</t>
  </si>
  <si>
    <t>Tata Communications Limited</t>
  </si>
  <si>
    <t>NSE:TATACOMM</t>
  </si>
  <si>
    <t>TATACOMM</t>
  </si>
  <si>
    <t>Indian Bank</t>
  </si>
  <si>
    <t>NSE:INDIANB</t>
  </si>
  <si>
    <t>INDIANB</t>
  </si>
  <si>
    <t>Tata Technologies Limited</t>
  </si>
  <si>
    <t>NSE:TATATECH</t>
  </si>
  <si>
    <t>TATATECH</t>
  </si>
  <si>
    <t>AU Small Finance Bank Limited</t>
  </si>
  <si>
    <t>NSE:AUBANK</t>
  </si>
  <si>
    <t>AUBANK</t>
  </si>
  <si>
    <t>Patanjali Foods Limited</t>
  </si>
  <si>
    <t>NSE:PATANJALI</t>
  </si>
  <si>
    <t>PATANJALI</t>
  </si>
  <si>
    <t>Bharat Forge Limited</t>
  </si>
  <si>
    <t>NSE:BHARATFORG</t>
  </si>
  <si>
    <t>BHARATFORG</t>
  </si>
  <si>
    <t>Indus Towers Limited</t>
  </si>
  <si>
    <t>NSE:INDUSTOWER</t>
  </si>
  <si>
    <t>INDUSTOWER</t>
  </si>
  <si>
    <t>Balkrishna Industries Limited</t>
  </si>
  <si>
    <t>NSE:BALKRISIND</t>
  </si>
  <si>
    <t>BALKRISIND</t>
  </si>
  <si>
    <t>Linde India Limited</t>
  </si>
  <si>
    <t>NSE:LINDEINDIA</t>
  </si>
  <si>
    <t>LINDEINDIA</t>
  </si>
  <si>
    <t>Tata Elxsi Limited</t>
  </si>
  <si>
    <t>NSE:TATAELXSI</t>
  </si>
  <si>
    <t>TATAELXSI</t>
  </si>
  <si>
    <t>Schaeffler India Limited</t>
  </si>
  <si>
    <t>NSE:SCHAEFFLER</t>
  </si>
  <si>
    <t>SCHAEFFLER</t>
  </si>
  <si>
    <t>Alkem Laboratories Limited</t>
  </si>
  <si>
    <t>NSE:ALKEM</t>
  </si>
  <si>
    <t>ALKEM</t>
  </si>
  <si>
    <t>Godrej Properties Limited</t>
  </si>
  <si>
    <t>NSE:GODREJPROP</t>
  </si>
  <si>
    <t>GODREJPROP</t>
  </si>
  <si>
    <t>L&amp;T Technology Services Limited</t>
  </si>
  <si>
    <t>NSE:LTTS</t>
  </si>
  <si>
    <t>LTTS</t>
  </si>
  <si>
    <t>Adani Wilmar Limited</t>
  </si>
  <si>
    <t>NSE:AWL</t>
  </si>
  <si>
    <t>AWL</t>
  </si>
  <si>
    <t>Aditya Birla Capital Limited</t>
  </si>
  <si>
    <t>NSE:ABCAPITAL</t>
  </si>
  <si>
    <t>ABCAPITAL</t>
  </si>
  <si>
    <t>MRF Limited</t>
  </si>
  <si>
    <t>NSE:MRF</t>
  </si>
  <si>
    <t>MRF</t>
  </si>
  <si>
    <t>Solar Industries India Limited</t>
  </si>
  <si>
    <t>NSE:SOLARINDS</t>
  </si>
  <si>
    <t>SOLARINDS</t>
  </si>
  <si>
    <t>UPL Limited</t>
  </si>
  <si>
    <t>NSE:UPL</t>
  </si>
  <si>
    <t>UPL</t>
  </si>
  <si>
    <t>Bharat Heavy Electricals Limited</t>
  </si>
  <si>
    <t>NSE:BHEL</t>
  </si>
  <si>
    <t>BHEL</t>
  </si>
  <si>
    <t>Persistent Systems Limited</t>
  </si>
  <si>
    <t>NSE:PERSISTENT</t>
  </si>
  <si>
    <t>PERSISTENT</t>
  </si>
  <si>
    <t>Container Corporation of India Limited</t>
  </si>
  <si>
    <t>NSE:CONCOR</t>
  </si>
  <si>
    <t>CONCOR</t>
  </si>
  <si>
    <t>MphasiS Limited</t>
  </si>
  <si>
    <t>NSE:MPHASIS</t>
  </si>
  <si>
    <t>MPHASIS</t>
  </si>
  <si>
    <t>APL Apollo Tubes Limited</t>
  </si>
  <si>
    <t>NSE:APLAPOLLO</t>
  </si>
  <si>
    <t>APLAPOLLO</t>
  </si>
  <si>
    <t>Oberoi Realty Limited</t>
  </si>
  <si>
    <t>NSE:OBEROIRLTY</t>
  </si>
  <si>
    <t>OBEROIRLTY</t>
  </si>
  <si>
    <t>NMDC Limited</t>
  </si>
  <si>
    <t>NSE:NMDC</t>
  </si>
  <si>
    <t>NMDC</t>
  </si>
  <si>
    <t>FSN E-Commerce Ventures Limited</t>
  </si>
  <si>
    <t>NSE:NYKAA</t>
  </si>
  <si>
    <t>NYKAA</t>
  </si>
  <si>
    <t>Page Industries Limited</t>
  </si>
  <si>
    <t>NSE:PAGEIND</t>
  </si>
  <si>
    <t>PAGEIND</t>
  </si>
  <si>
    <t>UCO Bank</t>
  </si>
  <si>
    <t>NSE:UCOBANK</t>
  </si>
  <si>
    <t>UCOBANK</t>
  </si>
  <si>
    <t>United Breweries Limited</t>
  </si>
  <si>
    <t>NSE:UBL</t>
  </si>
  <si>
    <t>UBL</t>
  </si>
  <si>
    <t>JSW Infrastructure Limited</t>
  </si>
  <si>
    <t>NSE:JSWINFRA</t>
  </si>
  <si>
    <t>JSWINFRA</t>
  </si>
  <si>
    <t>Hindustan Petroleum Corporation Limited</t>
  </si>
  <si>
    <t>NSE:HINDPETRO</t>
  </si>
  <si>
    <t>HINDPETRO</t>
  </si>
  <si>
    <t>General Insurance Corporation of India</t>
  </si>
  <si>
    <t>NSE:GICRE</t>
  </si>
  <si>
    <t>GICRE</t>
  </si>
  <si>
    <t>Dalmia Bharat Limited</t>
  </si>
  <si>
    <t>NSE:DALBHARAT</t>
  </si>
  <si>
    <t>DALBHARAT</t>
  </si>
  <si>
    <t>Bank of India</t>
  </si>
  <si>
    <t>NSE:BANKINDIA</t>
  </si>
  <si>
    <t>BANKINDIA</t>
  </si>
  <si>
    <t>Mazagon Dock Shipbuilders Limited</t>
  </si>
  <si>
    <t>NSE:MAZDOCK</t>
  </si>
  <si>
    <t>MAZDOCK</t>
  </si>
  <si>
    <t>Fertilizers and Chemicals Travancore Limited</t>
  </si>
  <si>
    <t>NSE:FACT</t>
  </si>
  <si>
    <t>FACT</t>
  </si>
  <si>
    <t>Steel Authority of India Limited</t>
  </si>
  <si>
    <t>NSE:SAIL</t>
  </si>
  <si>
    <t>SAIL</t>
  </si>
  <si>
    <t>Jindal Stainless Limited</t>
  </si>
  <si>
    <t>NSE:JSL</t>
  </si>
  <si>
    <t>JSL</t>
  </si>
  <si>
    <t>Suzlon Energy Limited</t>
  </si>
  <si>
    <t>NSE:SUZLON</t>
  </si>
  <si>
    <t>SUZLON</t>
  </si>
  <si>
    <t>Bandhan Bank Limited</t>
  </si>
  <si>
    <t>NSE:BANDHANBNK</t>
  </si>
  <si>
    <t>BANDHANBNK</t>
  </si>
  <si>
    <t>ACC Limited</t>
  </si>
  <si>
    <t>NSE:ACC</t>
  </si>
  <si>
    <t>ACC</t>
  </si>
  <si>
    <t>Central Bank of India</t>
  </si>
  <si>
    <t>NSE:CENTRALBK</t>
  </si>
  <si>
    <t>CENTRALBK</t>
  </si>
  <si>
    <t>Mahindra &amp; Mahindra Financial Services Limited</t>
  </si>
  <si>
    <t>NSE:M&amp;MFIN</t>
  </si>
  <si>
    <t>M&amp;MFIN</t>
  </si>
  <si>
    <t>Torrent Power Limited</t>
  </si>
  <si>
    <t>NSE:TORNTPOWER</t>
  </si>
  <si>
    <t>TORNTPOWER</t>
  </si>
  <si>
    <t>UNO Minda Limited</t>
  </si>
  <si>
    <t>NSE:UNOMINDA</t>
  </si>
  <si>
    <t>UNOMINDA</t>
  </si>
  <si>
    <t>Oracle Financial Services Software Limited</t>
  </si>
  <si>
    <t>NSE:OFSS</t>
  </si>
  <si>
    <t>OFSS</t>
  </si>
  <si>
    <t>GMR Airports Infrastructure Limited</t>
  </si>
  <si>
    <t>NSE:GMRINFRA</t>
  </si>
  <si>
    <t>GMRINFRA</t>
  </si>
  <si>
    <t>Star Health and Allied Insurance Company Limited</t>
  </si>
  <si>
    <t>NSE:STARHEALTH</t>
  </si>
  <si>
    <t>STARHEALTH</t>
  </si>
  <si>
    <t>Honeywell Automation India Limited</t>
  </si>
  <si>
    <t>NSE:HONAUT</t>
  </si>
  <si>
    <t>HONAUT</t>
  </si>
  <si>
    <t>Jubilant Foodworks Limited</t>
  </si>
  <si>
    <t>NSE:JUBLFOOD</t>
  </si>
  <si>
    <t>JUBLFOOD</t>
  </si>
  <si>
    <t>Escorts Kubota Limited</t>
  </si>
  <si>
    <t>NSE:ESCORTS</t>
  </si>
  <si>
    <t>ESCORTS</t>
  </si>
  <si>
    <t>The Phoenix Mills Limited</t>
  </si>
  <si>
    <t>NSE:PHOENIXLTD</t>
  </si>
  <si>
    <t>PHOENIXLTD</t>
  </si>
  <si>
    <t>3M India Limited</t>
  </si>
  <si>
    <t>NSE:3MINDIA</t>
  </si>
  <si>
    <t>3MINDIA</t>
  </si>
  <si>
    <t>PB Fintech Limited</t>
  </si>
  <si>
    <t>NSE:POLICYBZR</t>
  </si>
  <si>
    <t>POLICYBZR</t>
  </si>
  <si>
    <t>KPIT Technologies Limited</t>
  </si>
  <si>
    <t>NSE:KPITTECH</t>
  </si>
  <si>
    <t>KPITTECH</t>
  </si>
  <si>
    <t>L&amp;T Finance Holdings Limited</t>
  </si>
  <si>
    <t>NSE:L&amp;TFH</t>
  </si>
  <si>
    <t>L&amp;TFH</t>
  </si>
  <si>
    <t>The Federal Bank Limited</t>
  </si>
  <si>
    <t>NSE:FEDERALBNK</t>
  </si>
  <si>
    <t>FEDERALBNK</t>
  </si>
  <si>
    <t>AIA Engineering Limited</t>
  </si>
  <si>
    <t>NSE:AIAENG</t>
  </si>
  <si>
    <t>AIAENG</t>
  </si>
  <si>
    <t>Sona BLW Precision Forgings Limited</t>
  </si>
  <si>
    <t>NSE:SONACOMS</t>
  </si>
  <si>
    <t>SONACOMS</t>
  </si>
  <si>
    <t>Sundaram Finance Limited</t>
  </si>
  <si>
    <t>NSE:SUNDARMFIN</t>
  </si>
  <si>
    <t>SUNDARMFIN</t>
  </si>
  <si>
    <t>Petronet LNG Limited</t>
  </si>
  <si>
    <t>NSE:PETRONET</t>
  </si>
  <si>
    <t>PETRONET</t>
  </si>
  <si>
    <t>Thermax Limited</t>
  </si>
  <si>
    <t>NSE:THERMAX</t>
  </si>
  <si>
    <t>THERMAX</t>
  </si>
  <si>
    <t>Coromandel International Limited</t>
  </si>
  <si>
    <t>NSE:COROMANDEL</t>
  </si>
  <si>
    <t>COROMANDEL</t>
  </si>
  <si>
    <t>Coforge Limited</t>
  </si>
  <si>
    <t>NSE:COFORGE</t>
  </si>
  <si>
    <t>COFORGE</t>
  </si>
  <si>
    <t>Gujarat Fluorochemicals Limited</t>
  </si>
  <si>
    <t>NSE:FLUOROCHEM</t>
  </si>
  <si>
    <t>FLUOROCHEM</t>
  </si>
  <si>
    <t>Oil India Limited</t>
  </si>
  <si>
    <t>NSE:OIL</t>
  </si>
  <si>
    <t>OIL</t>
  </si>
  <si>
    <t>Rail Vikas Nigam Limited</t>
  </si>
  <si>
    <t>NSE:RVNL</t>
  </si>
  <si>
    <t>RVNL</t>
  </si>
  <si>
    <t>Metro Brands Limited</t>
  </si>
  <si>
    <t>NSE:METROBRAND</t>
  </si>
  <si>
    <t>METROBRAND</t>
  </si>
  <si>
    <t>Vedant Fashions Limited</t>
  </si>
  <si>
    <t>NSE:MANYAVAR</t>
  </si>
  <si>
    <t>MANYAVAR</t>
  </si>
  <si>
    <t>Max Financial Services Limited</t>
  </si>
  <si>
    <t>NSE:MFSL</t>
  </si>
  <si>
    <t>MFSL</t>
  </si>
  <si>
    <t>Indraprastha Gas Limited</t>
  </si>
  <si>
    <t>NSE:IGL</t>
  </si>
  <si>
    <t>IGL</t>
  </si>
  <si>
    <t>Dixon Technologies (India) Limited</t>
  </si>
  <si>
    <t>NSE:DIXON</t>
  </si>
  <si>
    <t>DIXON</t>
  </si>
  <si>
    <t>Syngene International Limited</t>
  </si>
  <si>
    <t>NSE:SYNGENE</t>
  </si>
  <si>
    <t>SYNGENE</t>
  </si>
  <si>
    <t>Gujarat Gas Limited</t>
  </si>
  <si>
    <t>NSE:GUJGASLTD</t>
  </si>
  <si>
    <t>GUJGASLTD</t>
  </si>
  <si>
    <t>Biocon Limited</t>
  </si>
  <si>
    <t>NSE:BIOCON</t>
  </si>
  <si>
    <t>BIOCON</t>
  </si>
  <si>
    <t>Poonawalla Fincorp Limited</t>
  </si>
  <si>
    <t>NSE:POONAWALLA</t>
  </si>
  <si>
    <t>POONAWALLA</t>
  </si>
  <si>
    <t>Delhivery Limited</t>
  </si>
  <si>
    <t>NSE:DELHIVERY</t>
  </si>
  <si>
    <t>DELHIVERY</t>
  </si>
  <si>
    <t>Prestige Estates Projects Limited</t>
  </si>
  <si>
    <t>NSE:PRESTIGE</t>
  </si>
  <si>
    <t>PRESTIGE</t>
  </si>
  <si>
    <t>Bank of Maharashtra</t>
  </si>
  <si>
    <t>NSE:MAHABANK</t>
  </si>
  <si>
    <t>MAHABANK</t>
  </si>
  <si>
    <t>CRISIL Limited</t>
  </si>
  <si>
    <t>NSE:CRISIL</t>
  </si>
  <si>
    <t>CRISIL</t>
  </si>
  <si>
    <t>Deepak Nitrite Limited</t>
  </si>
  <si>
    <t>NSE:DEEPAKNTR</t>
  </si>
  <si>
    <t>DEEPAKNTR</t>
  </si>
  <si>
    <t>Lloyds Metals And Energy Limited</t>
  </si>
  <si>
    <t>NSE:LLOYDSME</t>
  </si>
  <si>
    <t>LLOYDSME</t>
  </si>
  <si>
    <t>ZF Commercial Vehicle Control Systems India Limited</t>
  </si>
  <si>
    <t>NSE:ZFCVINDIA</t>
  </si>
  <si>
    <t>ZFCVINDIA</t>
  </si>
  <si>
    <t>Voltas Limited</t>
  </si>
  <si>
    <t>NSE:VOLTAS</t>
  </si>
  <si>
    <t>VOLTAS</t>
  </si>
  <si>
    <t>SJVN Limited</t>
  </si>
  <si>
    <t>NSE:SJVN</t>
  </si>
  <si>
    <t>SJVN</t>
  </si>
  <si>
    <t>Motherson Sumi Wiring India Limited</t>
  </si>
  <si>
    <t>NSE:MSUMI</t>
  </si>
  <si>
    <t>MSUMI</t>
  </si>
  <si>
    <t>Punjab &amp; Sind Bank</t>
  </si>
  <si>
    <t>NSE:PSB</t>
  </si>
  <si>
    <t>PSB</t>
  </si>
  <si>
    <t>Kalyan Jewellers India Limited</t>
  </si>
  <si>
    <t>NSE:KALYANKJIL</t>
  </si>
  <si>
    <t>KALYANKJIL</t>
  </si>
  <si>
    <t>Sundram Fasteners Limited</t>
  </si>
  <si>
    <t>NSE:SUNDRMFAST</t>
  </si>
  <si>
    <t>SUNDRMFAST</t>
  </si>
  <si>
    <t>Kansai Nerolac Paints Limited</t>
  </si>
  <si>
    <t>NSE:KANSAINER</t>
  </si>
  <si>
    <t>KANSAINER</t>
  </si>
  <si>
    <t>Fortis Healthcare Limited</t>
  </si>
  <si>
    <t>NSE:FORTIS</t>
  </si>
  <si>
    <t>FORTIS</t>
  </si>
  <si>
    <t>JK Cement Limited</t>
  </si>
  <si>
    <t>NSE:JKCEMENT</t>
  </si>
  <si>
    <t>JKCEMENT</t>
  </si>
  <si>
    <t>Gland Pharma Limited</t>
  </si>
  <si>
    <t>NSE:GLAND</t>
  </si>
  <si>
    <t>GLAND</t>
  </si>
  <si>
    <t>Apollo Tyres Limited</t>
  </si>
  <si>
    <t>NSE:APOLLOTYRE</t>
  </si>
  <si>
    <t>APOLLOTYRE</t>
  </si>
  <si>
    <t>Tata Chemicals Limited</t>
  </si>
  <si>
    <t>NSE:TATACHEM</t>
  </si>
  <si>
    <t>TATACHEM</t>
  </si>
  <si>
    <t>GlaxoSmithKline Pharmaceuticals Limited</t>
  </si>
  <si>
    <t>NSE:GLAXO</t>
  </si>
  <si>
    <t>GLAXO</t>
  </si>
  <si>
    <t>K.P.R. Mill Limited</t>
  </si>
  <si>
    <t>NSE:KPRMILL</t>
  </si>
  <si>
    <t>KPRMILL</t>
  </si>
  <si>
    <t>The New India Assurance Company Limited</t>
  </si>
  <si>
    <t>NSE:NIACL</t>
  </si>
  <si>
    <t>NIACL</t>
  </si>
  <si>
    <t>LIC Housing Finance Limited</t>
  </si>
  <si>
    <t>NSE:LICHSGFIN</t>
  </si>
  <si>
    <t>LICHSGFIN</t>
  </si>
  <si>
    <t>SKF India Limited</t>
  </si>
  <si>
    <t>NSE:SKFINDIA</t>
  </si>
  <si>
    <t>SKFINDIA</t>
  </si>
  <si>
    <t>Hatsun Agro Product Limited</t>
  </si>
  <si>
    <t>NSE:HATSUN</t>
  </si>
  <si>
    <t>HATSUN</t>
  </si>
  <si>
    <t>Zee Entertainment Enterprises Limited</t>
  </si>
  <si>
    <t>NSE:ZEEL</t>
  </si>
  <si>
    <t>ZEEL</t>
  </si>
  <si>
    <t>Indian Renewable Energy Development Agency Limited</t>
  </si>
  <si>
    <t>NSE:IREDA</t>
  </si>
  <si>
    <t>IREDA</t>
  </si>
  <si>
    <t>IPCA Laboratories Limited</t>
  </si>
  <si>
    <t>NSE:IPCALAB</t>
  </si>
  <si>
    <t>IPCALAB</t>
  </si>
  <si>
    <t>Grindwell Norton Limited</t>
  </si>
  <si>
    <t>NSE:GRINDWELL</t>
  </si>
  <si>
    <t>GRINDWELL</t>
  </si>
  <si>
    <t>Sun TV Network Limited</t>
  </si>
  <si>
    <t>NSE:SUNTV</t>
  </si>
  <si>
    <t>SUNTV</t>
  </si>
  <si>
    <t>Timken India Limited</t>
  </si>
  <si>
    <t>NSE:TIMKEN</t>
  </si>
  <si>
    <t>TIMKEN</t>
  </si>
  <si>
    <t>KEI Industries Limited</t>
  </si>
  <si>
    <t>NSE:KEI</t>
  </si>
  <si>
    <t>KEI</t>
  </si>
  <si>
    <t>Piramal Enterprises Limited</t>
  </si>
  <si>
    <t>NSE:PEL</t>
  </si>
  <si>
    <t>PEL</t>
  </si>
  <si>
    <t>CREDITACCESS GRAMEEN LIMITED</t>
  </si>
  <si>
    <t>NSE:CREDITACC</t>
  </si>
  <si>
    <t>CREDITACC</t>
  </si>
  <si>
    <t>Devyani International Limited</t>
  </si>
  <si>
    <t>NSE:DEVYANI</t>
  </si>
  <si>
    <t>DEVYANI</t>
  </si>
  <si>
    <t>Endurance Technologies Limited</t>
  </si>
  <si>
    <t>NSE:ENDURANCE</t>
  </si>
  <si>
    <t>ENDURANCE</t>
  </si>
  <si>
    <t>Relaxo Footwears Limited</t>
  </si>
  <si>
    <t>NSE:RELAXO</t>
  </si>
  <si>
    <t>RELAXO</t>
  </si>
  <si>
    <t>IIFL Finance Limited</t>
  </si>
  <si>
    <t>NSE:IIFL</t>
  </si>
  <si>
    <t>IIFL</t>
  </si>
  <si>
    <t>Exide Industries Limited</t>
  </si>
  <si>
    <t>NSE:EXIDEIND</t>
  </si>
  <si>
    <t>EXIDEIND</t>
  </si>
  <si>
    <t>Nippon Life India Asset Management Limited</t>
  </si>
  <si>
    <t>NSE:NAM-INDIA</t>
  </si>
  <si>
    <t>NAM-INDIA</t>
  </si>
  <si>
    <t>Ajanta Pharma Limited</t>
  </si>
  <si>
    <t>NSE:AJANTPHARM</t>
  </si>
  <si>
    <t>AJANTPHARM</t>
  </si>
  <si>
    <t>The Ramco Cements Limited</t>
  </si>
  <si>
    <t>NSE:RAMCOCEM</t>
  </si>
  <si>
    <t>RAMCOCEM</t>
  </si>
  <si>
    <t>Narayana Hrudayalaya Ltd.</t>
  </si>
  <si>
    <t>NSE:NH</t>
  </si>
  <si>
    <t>NH</t>
  </si>
  <si>
    <t>Glenmark Pharmaceuticals Limited</t>
  </si>
  <si>
    <t>NSE:GLENMARK</t>
  </si>
  <si>
    <t>GLENMARK</t>
  </si>
  <si>
    <t>Emami Limited</t>
  </si>
  <si>
    <t>NSE:EMAMILTD</t>
  </si>
  <si>
    <t>EMAMILTD</t>
  </si>
  <si>
    <t>Carborundum Universal Limited</t>
  </si>
  <si>
    <t>NSE:CARBORUNIV</t>
  </si>
  <si>
    <t>CARBORUNIV</t>
  </si>
  <si>
    <t>JB Chemicals &amp; Pharmaceuticals Limited</t>
  </si>
  <si>
    <t>NSE:JBCHEPHARM</t>
  </si>
  <si>
    <t>JBCHEPHARM</t>
  </si>
  <si>
    <t>Kajaria Ceramics Limited</t>
  </si>
  <si>
    <t>NSE:KAJARIACER</t>
  </si>
  <si>
    <t>KAJARIACER</t>
  </si>
  <si>
    <t>Five-Star Business Finance Limited</t>
  </si>
  <si>
    <t>NSE:FIVESTAR</t>
  </si>
  <si>
    <t>FIVESTAR</t>
  </si>
  <si>
    <t>Bata India Limited</t>
  </si>
  <si>
    <t>NSE:BATAINDIA</t>
  </si>
  <si>
    <t>BATAINDIA</t>
  </si>
  <si>
    <t>Bayer Cropscience Limited</t>
  </si>
  <si>
    <t>NSE:BAYERCROP</t>
  </si>
  <si>
    <t>BAYERCROP</t>
  </si>
  <si>
    <t>Bharat Dynamics Limited</t>
  </si>
  <si>
    <t>NSE:BDL</t>
  </si>
  <si>
    <t>BDL</t>
  </si>
  <si>
    <t>ICICI Securities Limited</t>
  </si>
  <si>
    <t>NSE:ISEC</t>
  </si>
  <si>
    <t>ISEC</t>
  </si>
  <si>
    <t>Global Health Limited</t>
  </si>
  <si>
    <t>NSE:MEDANTA</t>
  </si>
  <si>
    <t>MEDANTA</t>
  </si>
  <si>
    <t>Aditya Birla Fashion and Retail Limited</t>
  </si>
  <si>
    <t>NSE:ABFRL</t>
  </si>
  <si>
    <t>ABFRL</t>
  </si>
  <si>
    <t>Laurus Labs Limited</t>
  </si>
  <si>
    <t>NSE:LAURUSLABS</t>
  </si>
  <si>
    <t>LAURUSLABS</t>
  </si>
  <si>
    <t>Sumitomo Chemical India Limited</t>
  </si>
  <si>
    <t>NSE:SUMICHEM</t>
  </si>
  <si>
    <t>SUMICHEM</t>
  </si>
  <si>
    <t>Dr. Lal Path Labs Ltd.</t>
  </si>
  <si>
    <t>NSE:LALPATHLAB</t>
  </si>
  <si>
    <t>LALPATHLAB</t>
  </si>
  <si>
    <t>Navin Fluorine International Limited</t>
  </si>
  <si>
    <t>NSE:NAVINFLUOR</t>
  </si>
  <si>
    <t>NAVINFLUOR</t>
  </si>
  <si>
    <t>Atul Limited</t>
  </si>
  <si>
    <t>NSE:ATUL</t>
  </si>
  <si>
    <t>ATUL</t>
  </si>
  <si>
    <t>Ratnamani Metals &amp; Tubes Limited</t>
  </si>
  <si>
    <t>NSE:RATNAMANI</t>
  </si>
  <si>
    <t>RATNAMANI</t>
  </si>
  <si>
    <t>NLC India Limited</t>
  </si>
  <si>
    <t>NSE:NLCINDIA</t>
  </si>
  <si>
    <t>NLCINDIA</t>
  </si>
  <si>
    <t>BSE Limited</t>
  </si>
  <si>
    <t>NSE:BSE</t>
  </si>
  <si>
    <t>BSE</t>
  </si>
  <si>
    <t>Godrej Industries Limited</t>
  </si>
  <si>
    <t>NSE:GODREJIND</t>
  </si>
  <si>
    <t>GODREJIND</t>
  </si>
  <si>
    <t>Whirlpool of India Limited</t>
  </si>
  <si>
    <t>NSE:WHIRLPOOL</t>
  </si>
  <si>
    <t>WHIRLPOOL</t>
  </si>
  <si>
    <t>Cholamandalam Financial Holdings Limited</t>
  </si>
  <si>
    <t>NSE:CHOLAHLDNG</t>
  </si>
  <si>
    <t>CHOLAHLDNG</t>
  </si>
  <si>
    <t>Gillette India Limited</t>
  </si>
  <si>
    <t>NSE:GILLETTE</t>
  </si>
  <si>
    <t>GILLETTE</t>
  </si>
  <si>
    <t>IRB Infrastructure Developers Limited</t>
  </si>
  <si>
    <t>NSE:IRB</t>
  </si>
  <si>
    <t>IRB</t>
  </si>
  <si>
    <t>360 ONE WAM LIMITED</t>
  </si>
  <si>
    <t>NSE:360ONE</t>
  </si>
  <si>
    <t>360ONE</t>
  </si>
  <si>
    <t>IDFC Limited</t>
  </si>
  <si>
    <t>NSE:IDFC</t>
  </si>
  <si>
    <t>IDFC</t>
  </si>
  <si>
    <t>ITI Limited</t>
  </si>
  <si>
    <t>NSE:ITI</t>
  </si>
  <si>
    <t>ITI</t>
  </si>
  <si>
    <t>Cyient Limited</t>
  </si>
  <si>
    <t>NSE:CYIENT</t>
  </si>
  <si>
    <t>CYIENT</t>
  </si>
  <si>
    <t>Crompton Greaves Consumer Electricals Limited</t>
  </si>
  <si>
    <t>NSE:CROMPTON</t>
  </si>
  <si>
    <t>CROMPTON</t>
  </si>
  <si>
    <t>Hitachi Energy India Limited</t>
  </si>
  <si>
    <t>NSE:POWERINDIA</t>
  </si>
  <si>
    <t>POWERINDIA</t>
  </si>
  <si>
    <t>Apar Industries Limited</t>
  </si>
  <si>
    <t>NSE:APARINDS</t>
  </si>
  <si>
    <t>APARINDS</t>
  </si>
  <si>
    <t>Angel One Limited</t>
  </si>
  <si>
    <t>NSE:ANGELONE</t>
  </si>
  <si>
    <t>ANGELONE</t>
  </si>
  <si>
    <t>CIE Automotive India Limited</t>
  </si>
  <si>
    <t>NSE:CIEINDIA</t>
  </si>
  <si>
    <t>CIEINDIA</t>
  </si>
  <si>
    <t>Vinati Organics Limited</t>
  </si>
  <si>
    <t>NSE:VINATIORGA</t>
  </si>
  <si>
    <t>VINATIORGA</t>
  </si>
  <si>
    <t>Trident Limited</t>
  </si>
  <si>
    <t>NSE:TRIDENT</t>
  </si>
  <si>
    <t>TRIDENT</t>
  </si>
  <si>
    <t>PNB Housing Finance Limited</t>
  </si>
  <si>
    <t>NSE:PNBHOUSING</t>
  </si>
  <si>
    <t>PNBHOUSING</t>
  </si>
  <si>
    <t>Aarti Industries Limited</t>
  </si>
  <si>
    <t>NSE:AARTIIND</t>
  </si>
  <si>
    <t>AARTIIND</t>
  </si>
  <si>
    <t>Radico Khaitan Limited</t>
  </si>
  <si>
    <t>NSE:RADICO</t>
  </si>
  <si>
    <t>RADICO</t>
  </si>
  <si>
    <t>Pfizer Limited</t>
  </si>
  <si>
    <t>NSE:PFIZER</t>
  </si>
  <si>
    <t>PFIZER</t>
  </si>
  <si>
    <t>Mangalore Refinery and Petrochemicals Limited</t>
  </si>
  <si>
    <t>NSE:MRPL</t>
  </si>
  <si>
    <t>MRPL</t>
  </si>
  <si>
    <t>National Aluminium Company Limited</t>
  </si>
  <si>
    <t>NSE:NATIONALUM</t>
  </si>
  <si>
    <t>NATIONALUM</t>
  </si>
  <si>
    <t>Indiamart Intermesh Limited</t>
  </si>
  <si>
    <t>NSE:INDIAMART</t>
  </si>
  <si>
    <t>INDIAMART</t>
  </si>
  <si>
    <t>KIOCL Limited</t>
  </si>
  <si>
    <t>NSE:KIOCL</t>
  </si>
  <si>
    <t>KIOCL</t>
  </si>
  <si>
    <t>Tata Teleservices (Maharashtra) Limited</t>
  </si>
  <si>
    <t>NSE:TTML</t>
  </si>
  <si>
    <t>TTML</t>
  </si>
  <si>
    <t>Blue Star Limited</t>
  </si>
  <si>
    <t>NSE:BLUESTARCO</t>
  </si>
  <si>
    <t>BLUESTARCO</t>
  </si>
  <si>
    <t>R R Kabel Limited</t>
  </si>
  <si>
    <t>NSE:RRKABEL</t>
  </si>
  <si>
    <t>RRKABEL</t>
  </si>
  <si>
    <t>Sanofi India Limited</t>
  </si>
  <si>
    <t>NSE:SANOFI</t>
  </si>
  <si>
    <t>SANOFI</t>
  </si>
  <si>
    <t>Aster DM Healthcare Limited</t>
  </si>
  <si>
    <t>NSE:ASTERDM</t>
  </si>
  <si>
    <t>ASTERDM</t>
  </si>
  <si>
    <t>Cello World Limited</t>
  </si>
  <si>
    <t>NSE:CELLO</t>
  </si>
  <si>
    <t>CELLO</t>
  </si>
  <si>
    <t>Elgi Equipments Limited</t>
  </si>
  <si>
    <t>NSE:ELGIEQUIP</t>
  </si>
  <si>
    <t>ELGIEQUIP</t>
  </si>
  <si>
    <t>Sonata Software Limited</t>
  </si>
  <si>
    <t>NSE:SONATSOFTW</t>
  </si>
  <si>
    <t>SONATSOFTW</t>
  </si>
  <si>
    <t>PVR INOX Limited</t>
  </si>
  <si>
    <t>NSE:PVRINOX</t>
  </si>
  <si>
    <t>PVRINOX</t>
  </si>
  <si>
    <t>Blue Dart Express Limited</t>
  </si>
  <si>
    <t>NSE:BLUEDART</t>
  </si>
  <si>
    <t>BLUEDART</t>
  </si>
  <si>
    <t>KEC International Limited</t>
  </si>
  <si>
    <t>NSE:KEC</t>
  </si>
  <si>
    <t>KEC</t>
  </si>
  <si>
    <t>Gujarat State Petronet Limited</t>
  </si>
  <si>
    <t>NSE:GSPL</t>
  </si>
  <si>
    <t>GSPL</t>
  </si>
  <si>
    <t>JBM Auto Limited</t>
  </si>
  <si>
    <t>NSE:JBMA</t>
  </si>
  <si>
    <t>JBMA</t>
  </si>
  <si>
    <t>Capri Global Capital Limited</t>
  </si>
  <si>
    <t>NSE:CGCL</t>
  </si>
  <si>
    <t>CGCL</t>
  </si>
  <si>
    <t>Housing &amp; Urban Development Corporation Limited</t>
  </si>
  <si>
    <t>NSE:HUDCO</t>
  </si>
  <si>
    <t>HUDCO</t>
  </si>
  <si>
    <t>Tata Investment Corporation Limited</t>
  </si>
  <si>
    <t>NSE:TATAINVEST</t>
  </si>
  <si>
    <t>TATAINVEST</t>
  </si>
  <si>
    <t>Finolex Cables Limited</t>
  </si>
  <si>
    <t>NSE:FINCABLES</t>
  </si>
  <si>
    <t>FINCABLES</t>
  </si>
  <si>
    <t>Krishna Institute of Medical Sciences Limited</t>
  </si>
  <si>
    <t>NSE:KIMS</t>
  </si>
  <si>
    <t>KIMS</t>
  </si>
  <si>
    <t>Brigade Enterprises Limited</t>
  </si>
  <si>
    <t>NSE:BRIGADE</t>
  </si>
  <si>
    <t>BRIGADE</t>
  </si>
  <si>
    <t>Hindustan Copper Limited</t>
  </si>
  <si>
    <t>NSE:HINDCOPPER</t>
  </si>
  <si>
    <t>HINDCOPPER</t>
  </si>
  <si>
    <t>Central Depository Services (India) Limited</t>
  </si>
  <si>
    <t>NSE:CDSL</t>
  </si>
  <si>
    <t>CDSL</t>
  </si>
  <si>
    <t>DCM Shriram Limited</t>
  </si>
  <si>
    <t>NSE:DCMSHRIRAM</t>
  </si>
  <si>
    <t>DCMSHRIRAM</t>
  </si>
  <si>
    <t>Century Plyboards (India) Limited</t>
  </si>
  <si>
    <t>NSE:CENTURYPLY</t>
  </si>
  <si>
    <t>CENTURYPLY</t>
  </si>
  <si>
    <t>Clean Science and Technology Limited</t>
  </si>
  <si>
    <t>NSE:CLEAN</t>
  </si>
  <si>
    <t>CLEAN</t>
  </si>
  <si>
    <t>Alembic Pharmaceuticals Limited</t>
  </si>
  <si>
    <t>NSE:APLLTD</t>
  </si>
  <si>
    <t>APLLTD</t>
  </si>
  <si>
    <t>Lakshmi Machine Works Limited</t>
  </si>
  <si>
    <t>NSE:LAXMIMACH</t>
  </si>
  <si>
    <t>LAXMIMACH</t>
  </si>
  <si>
    <t>Affle (India) Limited</t>
  </si>
  <si>
    <t>NSE:AFFLE</t>
  </si>
  <si>
    <t>AFFLE</t>
  </si>
  <si>
    <t>Natco Pharma Limited</t>
  </si>
  <si>
    <t>NSE:NATCOPHARM</t>
  </si>
  <si>
    <t>NATCOPHARM</t>
  </si>
  <si>
    <t>RHI MAGNESITA INDIA LIMITED</t>
  </si>
  <si>
    <t>NSE:RHIM</t>
  </si>
  <si>
    <t>RHIM</t>
  </si>
  <si>
    <t>BIRLASOFT LIMITED</t>
  </si>
  <si>
    <t>NSE:BSOFT</t>
  </si>
  <si>
    <t>BSOFT</t>
  </si>
  <si>
    <t>EIH Limited</t>
  </si>
  <si>
    <t>NSE:EIHOTEL</t>
  </si>
  <si>
    <t>EIHOTEL</t>
  </si>
  <si>
    <t>Motilal Oswal Financial Services Limited</t>
  </si>
  <si>
    <t>NSE:MOTILALOFS</t>
  </si>
  <si>
    <t>MOTILALOFS</t>
  </si>
  <si>
    <t>Suven Pharmaceuticals Limited</t>
  </si>
  <si>
    <t>NSE:SUVENPHAR</t>
  </si>
  <si>
    <t>SUVENPHAR</t>
  </si>
  <si>
    <t>Fine Organic Industries Limited</t>
  </si>
  <si>
    <t>NSE:FINEORG</t>
  </si>
  <si>
    <t>FINEORG</t>
  </si>
  <si>
    <t>Aptus Value Housing Finance India Limited</t>
  </si>
  <si>
    <t>NSE:APTUS</t>
  </si>
  <si>
    <t>APTUS</t>
  </si>
  <si>
    <t>Tejas Networks Limited</t>
  </si>
  <si>
    <t>NSE:TEJASNET</t>
  </si>
  <si>
    <t>TEJASNET</t>
  </si>
  <si>
    <t>RBL Bank Limited</t>
  </si>
  <si>
    <t>NSE:RBLBANK</t>
  </si>
  <si>
    <t>RBLBANK</t>
  </si>
  <si>
    <t>Castrol India Limited</t>
  </si>
  <si>
    <t>NSE:CASTROLIND</t>
  </si>
  <si>
    <t>CASTROLIND</t>
  </si>
  <si>
    <t>NMDC Steel Limited</t>
  </si>
  <si>
    <t>NSE:NSLNISP</t>
  </si>
  <si>
    <t>NSLNISP</t>
  </si>
  <si>
    <t>WESTLIFE FOODWORLD LIMITED</t>
  </si>
  <si>
    <t>NSE:WESTLIFE</t>
  </si>
  <si>
    <t>WESTLIFE</t>
  </si>
  <si>
    <t>Piramal Pharma Limited</t>
  </si>
  <si>
    <t>NSE:PPLPHARMA</t>
  </si>
  <si>
    <t>PPLPHARMA</t>
  </si>
  <si>
    <t>Tanla Platforms Limited</t>
  </si>
  <si>
    <t>NSE:TANLA</t>
  </si>
  <si>
    <t>TANLA</t>
  </si>
  <si>
    <t>Asahi India Glass Limited</t>
  </si>
  <si>
    <t>NSE:ASAHIINDIA</t>
  </si>
  <si>
    <t>ASAHIINDIA</t>
  </si>
  <si>
    <t>Rajesh Exports Limited</t>
  </si>
  <si>
    <t>NSE:RAJESHEXPO</t>
  </si>
  <si>
    <t>RAJESHEXPO</t>
  </si>
  <si>
    <t>Happiest Minds Technologies Limited</t>
  </si>
  <si>
    <t>NSE:HAPPSTMNDS</t>
  </si>
  <si>
    <t>HAPPSTMNDS</t>
  </si>
  <si>
    <t>Jyothy Labs Limited</t>
  </si>
  <si>
    <t>NSE:JYOTHYLAB</t>
  </si>
  <si>
    <t>JYOTHYLAB</t>
  </si>
  <si>
    <t>Poly Medicure Limited</t>
  </si>
  <si>
    <t>NSE:POLYMED</t>
  </si>
  <si>
    <t>POLYMED</t>
  </si>
  <si>
    <t>Finolex Industries Limited</t>
  </si>
  <si>
    <t>NSE:FINPIPE</t>
  </si>
  <si>
    <t>FINPIPE</t>
  </si>
  <si>
    <t>V-Guard Industries Limited</t>
  </si>
  <si>
    <t>NSE:VGUARD</t>
  </si>
  <si>
    <t>VGUARD</t>
  </si>
  <si>
    <t>Nuvoco Vistas Corporation Limited</t>
  </si>
  <si>
    <t>NSE:NUVOCO</t>
  </si>
  <si>
    <t>NUVOCO</t>
  </si>
  <si>
    <t>Redington Limited</t>
  </si>
  <si>
    <t>NSE:REDINGTON</t>
  </si>
  <si>
    <t>REDINGTON</t>
  </si>
  <si>
    <t>Kaynes Technology India Limited</t>
  </si>
  <si>
    <t>NSE:KAYNES</t>
  </si>
  <si>
    <t>KAYNES</t>
  </si>
  <si>
    <t>Aether Industries Limited</t>
  </si>
  <si>
    <t>NSE:AETHER</t>
  </si>
  <si>
    <t>AETHER</t>
  </si>
  <si>
    <t>Cochin Shipyard Limited</t>
  </si>
  <si>
    <t>NSE:COCHINSHIP</t>
  </si>
  <si>
    <t>COCHINSHIP</t>
  </si>
  <si>
    <t>Triveni Turbine Limited</t>
  </si>
  <si>
    <t>NSE:TRITURBINE</t>
  </si>
  <si>
    <t>TRITURBINE</t>
  </si>
  <si>
    <t>Ircon International Limited</t>
  </si>
  <si>
    <t>NSE:IRCON</t>
  </si>
  <si>
    <t>IRCON</t>
  </si>
  <si>
    <t>Honasa Consumer Limited</t>
  </si>
  <si>
    <t>NSE:HONASA</t>
  </si>
  <si>
    <t>HONASA</t>
  </si>
  <si>
    <t>Aavas Financiers Limited</t>
  </si>
  <si>
    <t>NSE:AAVAS</t>
  </si>
  <si>
    <t>AAVAS</t>
  </si>
  <si>
    <t>Bajaj Electricals Limited</t>
  </si>
  <si>
    <t>NSE:BAJAJELEC</t>
  </si>
  <si>
    <t>BAJAJELEC</t>
  </si>
  <si>
    <t>Manappuram Finance Limited</t>
  </si>
  <si>
    <t>NSE:MANAPPURAM</t>
  </si>
  <si>
    <t>MANAPPURAM</t>
  </si>
  <si>
    <t>Bikaji Foods International Limited</t>
  </si>
  <si>
    <t>NSE:BIKAJI</t>
  </si>
  <si>
    <t>BIKAJI</t>
  </si>
  <si>
    <t>Century Textiles &amp; Industries Limited</t>
  </si>
  <si>
    <t>NSE:CENTURYTEX</t>
  </si>
  <si>
    <t>CENTURYTEX</t>
  </si>
  <si>
    <t>Aditya Birla Sun Life AMC Limited</t>
  </si>
  <si>
    <t>NSE:ABSLAMC</t>
  </si>
  <si>
    <t>ABSLAMC</t>
  </si>
  <si>
    <t>Concord Biotech Limited</t>
  </si>
  <si>
    <t>NSE:CONCORDBIO</t>
  </si>
  <si>
    <t>CONCORDBIO</t>
  </si>
  <si>
    <t>Computer Age Management Services Limited</t>
  </si>
  <si>
    <t>NSE:CAMS</t>
  </si>
  <si>
    <t>CAMS</t>
  </si>
  <si>
    <t>Chambal Fertilizers &amp; Chemicals Limited</t>
  </si>
  <si>
    <t>NSE:CHAMBLFERT</t>
  </si>
  <si>
    <t>CHAMBLFERT</t>
  </si>
  <si>
    <t>Jindal Saw Limited</t>
  </si>
  <si>
    <t>NSE:JINDALSAW</t>
  </si>
  <si>
    <t>JINDALSAW</t>
  </si>
  <si>
    <t>Raymond Limited</t>
  </si>
  <si>
    <t>NSE:RAYMOND</t>
  </si>
  <si>
    <t>RAYMOND</t>
  </si>
  <si>
    <t>Aegis Logistics Limited</t>
  </si>
  <si>
    <t>NSE:AEGISCHEM</t>
  </si>
  <si>
    <t>AEGISCHEM</t>
  </si>
  <si>
    <t>CESC Limited</t>
  </si>
  <si>
    <t>NSE:CESC</t>
  </si>
  <si>
    <t>CESC</t>
  </si>
  <si>
    <t>Indian Energy Exchange Limited</t>
  </si>
  <si>
    <t>NSE:IEX</t>
  </si>
  <si>
    <t>IEX</t>
  </si>
  <si>
    <t>Alkyl Amines Chemicals Limited</t>
  </si>
  <si>
    <t>NSE:ALKYLAMINE</t>
  </si>
  <si>
    <t>ALKYLAMINE</t>
  </si>
  <si>
    <t>The Great Eastern Shipping Company Limited</t>
  </si>
  <si>
    <t>NSE:GESHIP</t>
  </si>
  <si>
    <t>GESHIP</t>
  </si>
  <si>
    <t>Akzo Nobel India Limited</t>
  </si>
  <si>
    <t>NSE:AKZOINDIA</t>
  </si>
  <si>
    <t>AKZOINDIA</t>
  </si>
  <si>
    <t>G R Infraprojects Limited</t>
  </si>
  <si>
    <t>NSE:GRINFRA</t>
  </si>
  <si>
    <t>GRINFRA</t>
  </si>
  <si>
    <t>Jupiter Wagons Limited</t>
  </si>
  <si>
    <t>NSE:JWL</t>
  </si>
  <si>
    <t>JWL</t>
  </si>
  <si>
    <t>Sheela Foam Limited</t>
  </si>
  <si>
    <t>NSE:SFL</t>
  </si>
  <si>
    <t>SFL</t>
  </si>
  <si>
    <t>BASF India Limited</t>
  </si>
  <si>
    <t>NSE:BASF</t>
  </si>
  <si>
    <t>BASF</t>
  </si>
  <si>
    <t>TVS Holdings Limited</t>
  </si>
  <si>
    <t>NSE:TVSHLTD</t>
  </si>
  <si>
    <t>TVSHLTD</t>
  </si>
  <si>
    <t>Zensar Technologies Limited</t>
  </si>
  <si>
    <t>NSE:ZENSARTECH</t>
  </si>
  <si>
    <t>ZENSARTECH</t>
  </si>
  <si>
    <t>Shyam Metalics and Energy Limited</t>
  </si>
  <si>
    <t>NSE:SHYAMMETL</t>
  </si>
  <si>
    <t>SHYAMMETL</t>
  </si>
  <si>
    <t>Data Patterns (India) Limited</t>
  </si>
  <si>
    <t>NSE:DATAPATTNS</t>
  </si>
  <si>
    <t>DATAPATTNS</t>
  </si>
  <si>
    <t>Eris Lifesciences Limited</t>
  </si>
  <si>
    <t>NSE:ERIS</t>
  </si>
  <si>
    <t>ERIS</t>
  </si>
  <si>
    <t>Amara Raja Energy &amp; Mobility Limited</t>
  </si>
  <si>
    <t>NSE:ARE&amp;M</t>
  </si>
  <si>
    <t>ARE&amp;M</t>
  </si>
  <si>
    <t>RITES Limited</t>
  </si>
  <si>
    <t>NSE:RITES</t>
  </si>
  <si>
    <t>RITES</t>
  </si>
  <si>
    <t>Chalet Hotels Limited</t>
  </si>
  <si>
    <t>NSE:CHALET</t>
  </si>
  <si>
    <t>CHALET</t>
  </si>
  <si>
    <t>Karur Vysya Bank Limited</t>
  </si>
  <si>
    <t>NSE:KARURVYSYA</t>
  </si>
  <si>
    <t>KARURVYSYA</t>
  </si>
  <si>
    <t>Firstsource Solutions Limited</t>
  </si>
  <si>
    <t>NSE:FSL</t>
  </si>
  <si>
    <t>FSL</t>
  </si>
  <si>
    <t>AstraZeneca Pharma India Limited</t>
  </si>
  <si>
    <t>NSE:ASTRAZEN</t>
  </si>
  <si>
    <t>ASTRAZEN</t>
  </si>
  <si>
    <t>Vardhman Textiles Limited</t>
  </si>
  <si>
    <t>NSE:VTL</t>
  </si>
  <si>
    <t>VTL</t>
  </si>
  <si>
    <t>Cera Sanitaryware Limited</t>
  </si>
  <si>
    <t>NSE:CERA</t>
  </si>
  <si>
    <t>CERA</t>
  </si>
  <si>
    <t>Rainbow Childrens Medicare Limited</t>
  </si>
  <si>
    <t>NSE:RAINBOW</t>
  </si>
  <si>
    <t>RAINBOW</t>
  </si>
  <si>
    <t>TTK Prestige Limited</t>
  </si>
  <si>
    <t>NSE:TTKPRESTIG</t>
  </si>
  <si>
    <t>TTKPRESTIG</t>
  </si>
  <si>
    <t>BLS International Services Limited</t>
  </si>
  <si>
    <t>NSE:BLS</t>
  </si>
  <si>
    <t>BLS</t>
  </si>
  <si>
    <t>NBCC (India) Limited</t>
  </si>
  <si>
    <t>NSE:NBCC</t>
  </si>
  <si>
    <t>NBCC</t>
  </si>
  <si>
    <t>Welspun Corp Limited</t>
  </si>
  <si>
    <t>NSE:WELCORP</t>
  </si>
  <si>
    <t>WELCORP</t>
  </si>
  <si>
    <t>Radha Madhav Corporation Limited</t>
  </si>
  <si>
    <t>NSE:RMCL</t>
  </si>
  <si>
    <t>RMCL</t>
  </si>
  <si>
    <t>Ramkrishna Forgings Limited</t>
  </si>
  <si>
    <t>NSE:RKFORGE</t>
  </si>
  <si>
    <t>RKFORGE</t>
  </si>
  <si>
    <t>Godfrey Phillips India Limited</t>
  </si>
  <si>
    <t>NSE:GODFRYPHLP</t>
  </si>
  <si>
    <t>GODFRYPHLP</t>
  </si>
  <si>
    <t>Mahanagar Gas Limited</t>
  </si>
  <si>
    <t>NSE:MGL</t>
  </si>
  <si>
    <t>MGL</t>
  </si>
  <si>
    <t>Equitas Small Finance Bank Limited</t>
  </si>
  <si>
    <t>NSE:EQUITASBNK</t>
  </si>
  <si>
    <t>EQUITASBNK</t>
  </si>
  <si>
    <t>Shree Renuka Sugars Limited</t>
  </si>
  <si>
    <t>NSE:RENUKA</t>
  </si>
  <si>
    <t>RENUKA</t>
  </si>
  <si>
    <t>Kalpataru Projects International Limited</t>
  </si>
  <si>
    <t>NSE:KPIL</t>
  </si>
  <si>
    <t>KPIL</t>
  </si>
  <si>
    <t>Anupam Rasayan India Limited</t>
  </si>
  <si>
    <t>NSE:ANURAS</t>
  </si>
  <si>
    <t>ANURAS</t>
  </si>
  <si>
    <t>Nuvama Wealth Management Limited</t>
  </si>
  <si>
    <t>NSE:NUVAMA</t>
  </si>
  <si>
    <t>NUVAMA</t>
  </si>
  <si>
    <t>Can Fin Homes Limited</t>
  </si>
  <si>
    <t>NSE:CANFINHOME</t>
  </si>
  <si>
    <t>CANFINHOME</t>
  </si>
  <si>
    <t>Ujjivan Small Finance Bank Limited</t>
  </si>
  <si>
    <t>NSE:UJJIVANSFB</t>
  </si>
  <si>
    <t>UJJIVANSFB</t>
  </si>
  <si>
    <t>Craftsman Automation Limited</t>
  </si>
  <si>
    <t>NSE:CRAFTSMAN</t>
  </si>
  <si>
    <t>CRAFTSMAN</t>
  </si>
  <si>
    <t>City Union Bank Limited</t>
  </si>
  <si>
    <t>NSE:CUB</t>
  </si>
  <si>
    <t>CUB</t>
  </si>
  <si>
    <t>UTI Asset Management Company Limited</t>
  </si>
  <si>
    <t>NSE:UTIAMC</t>
  </si>
  <si>
    <t>UTIAMC</t>
  </si>
  <si>
    <t>Ksb Limited</t>
  </si>
  <si>
    <t>NSE:KSB</t>
  </si>
  <si>
    <t>KSB</t>
  </si>
  <si>
    <t>Gujarat Narmada Valley Fertilizers and Chemicals Limited</t>
  </si>
  <si>
    <t>NSE:GNFC</t>
  </si>
  <si>
    <t>GNFC</t>
  </si>
  <si>
    <t>C.E. Info Systems Limited</t>
  </si>
  <si>
    <t>NSE:MAPMYINDIA</t>
  </si>
  <si>
    <t>MAPMYINDIA</t>
  </si>
  <si>
    <t>TITAGARH RAIL SYSTEMS LIMITED</t>
  </si>
  <si>
    <t>NSE:TITAGARH</t>
  </si>
  <si>
    <t>TITAGARH</t>
  </si>
  <si>
    <t>HFCL Limited</t>
  </si>
  <si>
    <t>NSE:HFCL</t>
  </si>
  <si>
    <t>HFCL</t>
  </si>
  <si>
    <t>Zydus Wellness Limited</t>
  </si>
  <si>
    <t>NSE:ZYDUSWELL</t>
  </si>
  <si>
    <t>ZYDUSWELL</t>
  </si>
  <si>
    <t>Olectra Greentech Limited</t>
  </si>
  <si>
    <t>NSE:OLECTRA</t>
  </si>
  <si>
    <t>OLECTRA</t>
  </si>
  <si>
    <t>Usha Martin Limited</t>
  </si>
  <si>
    <t>NSE:USHAMART</t>
  </si>
  <si>
    <t>USHAMART</t>
  </si>
  <si>
    <t>Himadri Speciality Chemical Limited</t>
  </si>
  <si>
    <t>NSE:HSCL</t>
  </si>
  <si>
    <t>HSCL</t>
  </si>
  <si>
    <t>eClerx Services Limited</t>
  </si>
  <si>
    <t>NSE:ECLERX</t>
  </si>
  <si>
    <t>ECLERX</t>
  </si>
  <si>
    <t>Medplus Health Services Limited</t>
  </si>
  <si>
    <t>NSE:MEDPLUS</t>
  </si>
  <si>
    <t>MEDPLUS</t>
  </si>
  <si>
    <t>Syrma SGS Technology Limited</t>
  </si>
  <si>
    <t>NSE:SYRMA</t>
  </si>
  <si>
    <t>SYRMA</t>
  </si>
  <si>
    <t>ROUTE MOBILE LIMITED</t>
  </si>
  <si>
    <t>NSE:ROUTE</t>
  </si>
  <si>
    <t>ROUTE</t>
  </si>
  <si>
    <t>NCC Limited</t>
  </si>
  <si>
    <t>NSE:NCC</t>
  </si>
  <si>
    <t>NCC</t>
  </si>
  <si>
    <t>Birla Corporation Limited</t>
  </si>
  <si>
    <t>NSE:BIRLACORPN</t>
  </si>
  <si>
    <t>BIRLACORPN</t>
  </si>
  <si>
    <t>The Jammu &amp; Kashmir Bank Limited</t>
  </si>
  <si>
    <t>NSE:J&amp;KBANK</t>
  </si>
  <si>
    <t>J&amp;KBANK</t>
  </si>
  <si>
    <t>Praj Industries Limited</t>
  </si>
  <si>
    <t>NSE:PRAJIND</t>
  </si>
  <si>
    <t>PRAJIND</t>
  </si>
  <si>
    <t>Amber Enterprises India Limited</t>
  </si>
  <si>
    <t>NSE:AMBER</t>
  </si>
  <si>
    <t>AMBER</t>
  </si>
  <si>
    <t>Galaxy Surfactants Limited</t>
  </si>
  <si>
    <t>NSE:GALAXYSURF</t>
  </si>
  <si>
    <t>GALAXYSURF</t>
  </si>
  <si>
    <t>Supreme Petrochem Limited</t>
  </si>
  <si>
    <t>NSE:SPLPETRO</t>
  </si>
  <si>
    <t>SPLPETRO</t>
  </si>
  <si>
    <t>Gujarat Mineral Development Corporation Limited</t>
  </si>
  <si>
    <t>NSE:GMDCLTD</t>
  </si>
  <si>
    <t>GMDCLTD</t>
  </si>
  <si>
    <t>Intellect Design Arena Limited</t>
  </si>
  <si>
    <t>NSE:INTELLECT</t>
  </si>
  <si>
    <t>INTELLECT</t>
  </si>
  <si>
    <t>Godrej Agrovet Limited</t>
  </si>
  <si>
    <t>NSE:GODREJAGRO</t>
  </si>
  <si>
    <t>GODREJAGRO</t>
  </si>
  <si>
    <t>Ingersoll Rand (India) Limited</t>
  </si>
  <si>
    <t>NSE:INGERRAND</t>
  </si>
  <si>
    <t>INGERRAND</t>
  </si>
  <si>
    <t>Signatureglobal (India) Limited</t>
  </si>
  <si>
    <t>NSE:SIGNATURE</t>
  </si>
  <si>
    <t>SIGNATURE</t>
  </si>
  <si>
    <t>Elecon Engineering Company Limited</t>
  </si>
  <si>
    <t>NSE:ELECON</t>
  </si>
  <si>
    <t>ELECON</t>
  </si>
  <si>
    <t>SBFC Finance Limited</t>
  </si>
  <si>
    <t>NSE:SBFC</t>
  </si>
  <si>
    <t>SBFC</t>
  </si>
  <si>
    <t>TVS Supply Chain Solutions Limited</t>
  </si>
  <si>
    <t>NSE:TVSSCS</t>
  </si>
  <si>
    <t>TVSSCS</t>
  </si>
  <si>
    <t>Alok Industries Limited</t>
  </si>
  <si>
    <t>NSE:ALOKINDS</t>
  </si>
  <si>
    <t>ALOKINDS</t>
  </si>
  <si>
    <t>GE T&amp;D India Limited</t>
  </si>
  <si>
    <t>NSE:GET&amp;D</t>
  </si>
  <si>
    <t>GET&amp;D</t>
  </si>
  <si>
    <t>Graphite India Limited</t>
  </si>
  <si>
    <t>NSE:GRAPHITE</t>
  </si>
  <si>
    <t>GRAPHITE</t>
  </si>
  <si>
    <t>BEML Limited</t>
  </si>
  <si>
    <t>NSE:BEML</t>
  </si>
  <si>
    <t>BEML</t>
  </si>
  <si>
    <t>CEAT Limited</t>
  </si>
  <si>
    <t>NSE:CEATLTD</t>
  </si>
  <si>
    <t>CEATLTD</t>
  </si>
  <si>
    <t>Safari Industries (India) Limited</t>
  </si>
  <si>
    <t>NSE:SAFARI</t>
  </si>
  <si>
    <t>SAFARI</t>
  </si>
  <si>
    <t>VIP Industries Limited</t>
  </si>
  <si>
    <t>NSE:VIPIND</t>
  </si>
  <si>
    <t>VIPIND</t>
  </si>
  <si>
    <t>Maharashtra Seamless Limited</t>
  </si>
  <si>
    <t>NSE:MAHSEAMLES</t>
  </si>
  <si>
    <t>MAHSEAMLES</t>
  </si>
  <si>
    <t>KRBL Limited</t>
  </si>
  <si>
    <t>NSE:KRBL</t>
  </si>
  <si>
    <t>KRBL</t>
  </si>
  <si>
    <t>EID Parry India Limited</t>
  </si>
  <si>
    <t>NSE:EIDPARRY</t>
  </si>
  <si>
    <t>EIDPARRY</t>
  </si>
  <si>
    <t>Sapphire Foods India Limited</t>
  </si>
  <si>
    <t>NSE:SAPPHIRE</t>
  </si>
  <si>
    <t>SAPPHIRE</t>
  </si>
  <si>
    <t>Action Construction Equipment Limited</t>
  </si>
  <si>
    <t>NSE:ACE</t>
  </si>
  <si>
    <t>ACE</t>
  </si>
  <si>
    <t>PNC Infratech Limited</t>
  </si>
  <si>
    <t>NSE:PNCINFRA</t>
  </si>
  <si>
    <t>PNCINFRA</t>
  </si>
  <si>
    <t>Campus Activewear Limited</t>
  </si>
  <si>
    <t>NSE:CAMPUS</t>
  </si>
  <si>
    <t>CAMPUS</t>
  </si>
  <si>
    <t>Swan Energy Limited</t>
  </si>
  <si>
    <t>NSE:SWANENERGY</t>
  </si>
  <si>
    <t>SWANENERGY</t>
  </si>
  <si>
    <t>Garden Reach Shipbuilders &amp; Engineers Limited</t>
  </si>
  <si>
    <t>NSE:GRSE</t>
  </si>
  <si>
    <t>GRSE</t>
  </si>
  <si>
    <t>Lemon Tree Hotels Limited</t>
  </si>
  <si>
    <t>NSE:LEMONTREE</t>
  </si>
  <si>
    <t>LEMONTREE</t>
  </si>
  <si>
    <t>Latent View Analytics Limited</t>
  </si>
  <si>
    <t>NSE:LATENTVIEW</t>
  </si>
  <si>
    <t>LATENTVIEW</t>
  </si>
  <si>
    <t>Bombay Burmah Trading Corporation Limited</t>
  </si>
  <si>
    <t>NSE:BBTC</t>
  </si>
  <si>
    <t>BBTC</t>
  </si>
  <si>
    <t>Godawari Power And Ispat limited</t>
  </si>
  <si>
    <t>NSE:GPIL</t>
  </si>
  <si>
    <t>GPIL</t>
  </si>
  <si>
    <t>CCL Products (India) Limited</t>
  </si>
  <si>
    <t>NSE:CCL</t>
  </si>
  <si>
    <t>CCL</t>
  </si>
  <si>
    <t>Procter &amp; Gamble Health Limited</t>
  </si>
  <si>
    <t>NSE:PGHL</t>
  </si>
  <si>
    <t>PGHL</t>
  </si>
  <si>
    <t>JK Lakshmi Cement Limited</t>
  </si>
  <si>
    <t>NSE:JKLAKSHMI</t>
  </si>
  <si>
    <t>JKLAKSHMI</t>
  </si>
  <si>
    <t>Balrampur Chini Mills Limited</t>
  </si>
  <si>
    <t>NSE:BALRAMCHIN</t>
  </si>
  <si>
    <t>BALRAMCHIN</t>
  </si>
  <si>
    <t>Indiabulls Housing Finance Limited</t>
  </si>
  <si>
    <t>NSE:IBULHSGFIN</t>
  </si>
  <si>
    <t>IBULHSGFIN</t>
  </si>
  <si>
    <t>Granules India Limited</t>
  </si>
  <si>
    <t>NSE:GRANULES</t>
  </si>
  <si>
    <t>GRANULES</t>
  </si>
  <si>
    <t>Esab India Limited</t>
  </si>
  <si>
    <t>NSE:ESABINDIA</t>
  </si>
  <si>
    <t>ESABINDIA</t>
  </si>
  <si>
    <t>Engineers India Limited</t>
  </si>
  <si>
    <t>NSE:ENGINERSIN</t>
  </si>
  <si>
    <t>ENGINERSIN</t>
  </si>
  <si>
    <t>Tamilnad Mercantile Bank Limited</t>
  </si>
  <si>
    <t>NSE:TMB</t>
  </si>
  <si>
    <t>TMB</t>
  </si>
  <si>
    <t>Maharashtra Scooters Limited</t>
  </si>
  <si>
    <t>NSE:MAHSCOOTER</t>
  </si>
  <si>
    <t>MAHSCOOTER</t>
  </si>
  <si>
    <t>Caplin Point Laboratories Limited</t>
  </si>
  <si>
    <t>NSE:CAPLIPOINT</t>
  </si>
  <si>
    <t>CAPLIPOINT</t>
  </si>
  <si>
    <t>Mahindra Lifespace Developers Limited</t>
  </si>
  <si>
    <t>NSE:MAHLIFE</t>
  </si>
  <si>
    <t>MAHLIFE</t>
  </si>
  <si>
    <t>RattanIndia Enterprises Limited</t>
  </si>
  <si>
    <t>NSE:RTNINDIA</t>
  </si>
  <si>
    <t>RTNINDIA</t>
  </si>
  <si>
    <t>Schneider Electric Infrastructure Limited</t>
  </si>
  <si>
    <t>NSE:SCHNEIDER</t>
  </si>
  <si>
    <t>SCHNEIDER</t>
  </si>
  <si>
    <t>Minda Corporation Limited</t>
  </si>
  <si>
    <t>NSE:MINDACORP</t>
  </si>
  <si>
    <t>MINDACORP</t>
  </si>
  <si>
    <t>JM Financial Limited</t>
  </si>
  <si>
    <t>NSE:JMFINANCIL</t>
  </si>
  <si>
    <t>JMFINANCIL</t>
  </si>
  <si>
    <t>ION Exchange (India) Limited</t>
  </si>
  <si>
    <t>NSE:IONEXCHANG</t>
  </si>
  <si>
    <t>IONEXCHANG</t>
  </si>
  <si>
    <t>Shoppers Stop Limited</t>
  </si>
  <si>
    <t>NSE:SHOPERSTOP</t>
  </si>
  <si>
    <t>SHOPERSTOP</t>
  </si>
  <si>
    <t>Inox Wind Limited</t>
  </si>
  <si>
    <t>NSE:INOXWIND</t>
  </si>
  <si>
    <t>INOXWIND</t>
  </si>
  <si>
    <t>HBL Power Systems Limited</t>
  </si>
  <si>
    <t>NSE:HBLPOWER</t>
  </si>
  <si>
    <t>HBLPOWER</t>
  </si>
  <si>
    <t>Sun Pharma Advanced Research Company Limited</t>
  </si>
  <si>
    <t>NSE:SPARC</t>
  </si>
  <si>
    <t>SPARC</t>
  </si>
  <si>
    <t>Deepak Fertilizers and Petrochemicals Corporation Limited</t>
  </si>
  <si>
    <t>NSE:DEEPAKFERT</t>
  </si>
  <si>
    <t>DEEPAKFERT</t>
  </si>
  <si>
    <t>Home First Finance Company India Limited</t>
  </si>
  <si>
    <t>NSE:HOMEFIRST</t>
  </si>
  <si>
    <t>HOMEFIRST</t>
  </si>
  <si>
    <t>Chennai Petroleum Corporation Limited</t>
  </si>
  <si>
    <t>NSE:CHENNPETRO</t>
  </si>
  <si>
    <t>CHENNPETRO</t>
  </si>
  <si>
    <t>Mahindra Holidays &amp; Resorts India Limited</t>
  </si>
  <si>
    <t>NSE:MHRIL</t>
  </si>
  <si>
    <t>MHRIL</t>
  </si>
  <si>
    <t>Glenmark Life Sciences Limited</t>
  </si>
  <si>
    <t>NSE:GLS</t>
  </si>
  <si>
    <t>GLS</t>
  </si>
  <si>
    <t>TV18 Broadcast Limited</t>
  </si>
  <si>
    <t>NSE:TV18BRDCST</t>
  </si>
  <si>
    <t>TV18BRDCST</t>
  </si>
  <si>
    <t>Kfin Technologies Limited</t>
  </si>
  <si>
    <t>NSE:KFINTECH</t>
  </si>
  <si>
    <t>KFINTECH</t>
  </si>
  <si>
    <t>Metropolis Healthcare Limited</t>
  </si>
  <si>
    <t>NSE:METROPOLIS</t>
  </si>
  <si>
    <t>METROPOLIS</t>
  </si>
  <si>
    <t>MMTC Limited</t>
  </si>
  <si>
    <t>NSE:MMTC</t>
  </si>
  <si>
    <t>MMTC</t>
  </si>
  <si>
    <t>Prince Pipes And Fittings Limited</t>
  </si>
  <si>
    <t>NSE:PRINCEPIPE</t>
  </si>
  <si>
    <t>PRINCEPIPE</t>
  </si>
  <si>
    <t>Sarda Energy &amp; Minerals Limited</t>
  </si>
  <si>
    <t>NSE:SARDAEN</t>
  </si>
  <si>
    <t>SARDAEN</t>
  </si>
  <si>
    <t>Network18 Media &amp; Investments Limited</t>
  </si>
  <si>
    <t>NSE:NETWORK18</t>
  </si>
  <si>
    <t>NETWORK18</t>
  </si>
  <si>
    <t>Responsive Industries Limited</t>
  </si>
  <si>
    <t>NSE:RESPONIND</t>
  </si>
  <si>
    <t>RESPONIND</t>
  </si>
  <si>
    <t>KNR Constructions Limited</t>
  </si>
  <si>
    <t>NSE:KNRCON</t>
  </si>
  <si>
    <t>KNRCON</t>
  </si>
  <si>
    <t>Kirloskar Oil Engines Limited</t>
  </si>
  <si>
    <t>NSE:KIRLOSENG</t>
  </si>
  <si>
    <t>KIRLOSENG</t>
  </si>
  <si>
    <t>Triveni Engineering &amp; Industries Limited</t>
  </si>
  <si>
    <t>NSE:TRIVENI</t>
  </si>
  <si>
    <t>TRIVENI</t>
  </si>
  <si>
    <t>Anant Raj Limited</t>
  </si>
  <si>
    <t>NSE:ANANTRAJ</t>
  </si>
  <si>
    <t>ANANTRAJ</t>
  </si>
  <si>
    <t>Chemplast Sanmar Limited</t>
  </si>
  <si>
    <t>NSE:CHEMPLASTS</t>
  </si>
  <si>
    <t>CHEMPLASTS</t>
  </si>
  <si>
    <t>JK Tyre &amp; Industries Limited</t>
  </si>
  <si>
    <t>NSE:JKTYRE</t>
  </si>
  <si>
    <t>JKTYRE</t>
  </si>
  <si>
    <t>Laxmi Organic Industries Limited</t>
  </si>
  <si>
    <t>NSE:LXCHEM</t>
  </si>
  <si>
    <t>LXCHEM</t>
  </si>
  <si>
    <t>PCBL LIMITED</t>
  </si>
  <si>
    <t>NSE:PCBL</t>
  </si>
  <si>
    <t>PCBL</t>
  </si>
  <si>
    <t>Gujarat State Fertilizers &amp; Chemicals Limited</t>
  </si>
  <si>
    <t>NSE:GSFC</t>
  </si>
  <si>
    <t>GSFC</t>
  </si>
  <si>
    <t>GMM Pfaudler Limited</t>
  </si>
  <si>
    <t>NSE:GMMPFAUDLR</t>
  </si>
  <si>
    <t>GMMPFAUDLR</t>
  </si>
  <si>
    <t>Anand Rathi Wealth Limited</t>
  </si>
  <si>
    <t>NSE:ANANDRATHI</t>
  </si>
  <si>
    <t>ANANDRATHI</t>
  </si>
  <si>
    <t>Saregama India Limited</t>
  </si>
  <si>
    <t>NSE:SAREGAMA</t>
  </si>
  <si>
    <t>SAREGAMA</t>
  </si>
  <si>
    <t>The Karnataka Bank Limited</t>
  </si>
  <si>
    <t>NSE:KTKBANK</t>
  </si>
  <si>
    <t>KTKBANK</t>
  </si>
  <si>
    <t>Prism Johnson Limited</t>
  </si>
  <si>
    <t>NSE:PRSMJOHNSN</t>
  </si>
  <si>
    <t>PRSMJOHNSN</t>
  </si>
  <si>
    <t>Jubilant Ingrevia Limited</t>
  </si>
  <si>
    <t>NSE:JUBLINGREA</t>
  </si>
  <si>
    <t>JUBLINGREA</t>
  </si>
  <si>
    <t>Reliance Power Limited</t>
  </si>
  <si>
    <t>NSE:RPOWER</t>
  </si>
  <si>
    <t>RPOWER</t>
  </si>
  <si>
    <t>Mtar Technologies Limited</t>
  </si>
  <si>
    <t>NSE:MTARTECH</t>
  </si>
  <si>
    <t>MTARTECH</t>
  </si>
  <si>
    <t>Newgen Software Technologies Limited</t>
  </si>
  <si>
    <t>NSE:NEWGEN</t>
  </si>
  <si>
    <t>NEWGEN</t>
  </si>
  <si>
    <t>Mishra Dhatu Nigam Limited</t>
  </si>
  <si>
    <t>NSE:MIDHANI</t>
  </si>
  <si>
    <t>MIDHANI</t>
  </si>
  <si>
    <t>The India Cements Limited</t>
  </si>
  <si>
    <t>NSE:INDIACEM</t>
  </si>
  <si>
    <t>INDIACEM</t>
  </si>
  <si>
    <t>Archean Chemical Industries Limited</t>
  </si>
  <si>
    <t>NSE:ACI</t>
  </si>
  <si>
    <t>ACI</t>
  </si>
  <si>
    <t>Gujarat Ambuja Exports Limited</t>
  </si>
  <si>
    <t>NSE:GAEL</t>
  </si>
  <si>
    <t>GAEL</t>
  </si>
  <si>
    <t>Indigo Paints Limited</t>
  </si>
  <si>
    <t>NSE:INDIGOPNTS</t>
  </si>
  <si>
    <t>INDIGOPNTS</t>
  </si>
  <si>
    <t>Balaji Amines Limited</t>
  </si>
  <si>
    <t>NSE:BALAMINES</t>
  </si>
  <si>
    <t>BALAMINES</t>
  </si>
  <si>
    <t>Religare Enterprises Limited</t>
  </si>
  <si>
    <t>NSE:RELIGARE</t>
  </si>
  <si>
    <t>RELIGARE</t>
  </si>
  <si>
    <t>PTC Industries Limited</t>
  </si>
  <si>
    <t>NSE:PTCIL</t>
  </si>
  <si>
    <t>PTCIL</t>
  </si>
  <si>
    <t>Easy Trip Planners Limited</t>
  </si>
  <si>
    <t>NSE:EASEMYTRIP</t>
  </si>
  <si>
    <t>EASEMYTRIP</t>
  </si>
  <si>
    <t>Railtel Corporation Of India Limited</t>
  </si>
  <si>
    <t>NSE:RAILTEL</t>
  </si>
  <si>
    <t>RAILTEL</t>
  </si>
  <si>
    <t>Mastek Limited</t>
  </si>
  <si>
    <t>NSE:MASTEK</t>
  </si>
  <si>
    <t>MASTEK</t>
  </si>
  <si>
    <t>Jupiter Life Line Hospitals Limited</t>
  </si>
  <si>
    <t>NSE:JLHL</t>
  </si>
  <si>
    <t>JLHL</t>
  </si>
  <si>
    <t>Rashtriya Chemicals and Fertilizers Limited</t>
  </si>
  <si>
    <t>NSE:RCF</t>
  </si>
  <si>
    <t>RCF</t>
  </si>
  <si>
    <t>Jindal Worldwide Limited</t>
  </si>
  <si>
    <t>NSE:JINDWORLD</t>
  </si>
  <si>
    <t>JINDWORLD</t>
  </si>
  <si>
    <t>Sobha Limited</t>
  </si>
  <si>
    <t>NSE:SOBHA</t>
  </si>
  <si>
    <t>SOBHA</t>
  </si>
  <si>
    <t>Varroc Engineering Limited</t>
  </si>
  <si>
    <t>NSE:VARROC</t>
  </si>
  <si>
    <t>VARROC</t>
  </si>
  <si>
    <t>Allcargo Logistics Limited</t>
  </si>
  <si>
    <t>NSE:ALLCARGO</t>
  </si>
  <si>
    <t>ALLCARGO</t>
  </si>
  <si>
    <t>Go Fashion (India) Limited</t>
  </si>
  <si>
    <t>NSE:GOCOLORS</t>
  </si>
  <si>
    <t>GOCOLORS</t>
  </si>
  <si>
    <t>Jubilant Pharmova Limited</t>
  </si>
  <si>
    <t>NSE:JUBLPHARMA</t>
  </si>
  <si>
    <t>JUBLPHARMA</t>
  </si>
  <si>
    <t>Jaiprakash Power Ventures Limited</t>
  </si>
  <si>
    <t>NSE:JPPOWER</t>
  </si>
  <si>
    <t>JPPOWER</t>
  </si>
  <si>
    <t>Kirloskar Brothers Limited</t>
  </si>
  <si>
    <t>NSE:KIRLOSBROS</t>
  </si>
  <si>
    <t>KIRLOSBROS</t>
  </si>
  <si>
    <t>Vesuvius India Limited</t>
  </si>
  <si>
    <t>NSE:VESUVIUS</t>
  </si>
  <si>
    <t>VESUVIUS</t>
  </si>
  <si>
    <t>Reliance Infrastructure Limited</t>
  </si>
  <si>
    <t>NSE:RELINFRA</t>
  </si>
  <si>
    <t>RELINFRA</t>
  </si>
  <si>
    <t>Sterling and Wilson Renewable Energy Limited</t>
  </si>
  <si>
    <t>NSE:SWSOLAR</t>
  </si>
  <si>
    <t>SWSOLAR</t>
  </si>
  <si>
    <t>Quess Corp Limited</t>
  </si>
  <si>
    <t>NSE:QUESS</t>
  </si>
  <si>
    <t>QUESS</t>
  </si>
  <si>
    <t>Vaibhav Global Limited</t>
  </si>
  <si>
    <t>NSE:VAIBHAVGBL</t>
  </si>
  <si>
    <t>VAIBHAVGBL</t>
  </si>
  <si>
    <t>Keystone Realtors Limited</t>
  </si>
  <si>
    <t>NSE:RUSTOMJEE</t>
  </si>
  <si>
    <t>RUSTOMJEE</t>
  </si>
  <si>
    <t>Redtape Limited</t>
  </si>
  <si>
    <t>NSE:REDTAPE</t>
  </si>
  <si>
    <t>REDTAPE</t>
  </si>
  <si>
    <t>Garware Technical Fibres Limited</t>
  </si>
  <si>
    <t>NSE:GARFIBRES</t>
  </si>
  <si>
    <t>GARFIBRES</t>
  </si>
  <si>
    <t>HEG Limited</t>
  </si>
  <si>
    <t>NSE:HEG</t>
  </si>
  <si>
    <t>HEG</t>
  </si>
  <si>
    <t>Tega Industries Limited</t>
  </si>
  <si>
    <t>NSE:TEGA</t>
  </si>
  <si>
    <t>TEGA</t>
  </si>
  <si>
    <t>Star Cement Limited</t>
  </si>
  <si>
    <t>NSE:STARCEMENT</t>
  </si>
  <si>
    <t>STARCEMENT</t>
  </si>
  <si>
    <t>Rategain Travel Technologies Limited</t>
  </si>
  <si>
    <t>NSE:RATEGAIN</t>
  </si>
  <si>
    <t>RATEGAIN</t>
  </si>
  <si>
    <t>SIS LIMITED</t>
  </si>
  <si>
    <t>NSE:SIS</t>
  </si>
  <si>
    <t>SIS</t>
  </si>
  <si>
    <t>Jai Balaji Industries Limited</t>
  </si>
  <si>
    <t>NSE:JAIBALAJI</t>
  </si>
  <si>
    <t>JAIBALAJI</t>
  </si>
  <si>
    <t>Blue Jet Healthcare Limited</t>
  </si>
  <si>
    <t>NSE:BLUEJET</t>
  </si>
  <si>
    <t>BLUEJET</t>
  </si>
  <si>
    <t>EPL Limited</t>
  </si>
  <si>
    <t>NSE:EPL</t>
  </si>
  <si>
    <t>EPL</t>
  </si>
  <si>
    <t>Just Dial Limited</t>
  </si>
  <si>
    <t>NSE:JUSTDIAL</t>
  </si>
  <si>
    <t>JUSTDIAL</t>
  </si>
  <si>
    <t>Ujjivan Financial Services Limited</t>
  </si>
  <si>
    <t>NSE:UJJIVAN</t>
  </si>
  <si>
    <t>UJJIVAN</t>
  </si>
  <si>
    <t>Gujarat Pipavav Port Limited</t>
  </si>
  <si>
    <t>NSE:GPPL</t>
  </si>
  <si>
    <t>GPPL</t>
  </si>
  <si>
    <t>JK Paper Limited</t>
  </si>
  <si>
    <t>NSE:JKPAPER</t>
  </si>
  <si>
    <t>JKPAPER</t>
  </si>
  <si>
    <t>FDC Limited</t>
  </si>
  <si>
    <t>NSE:FDC</t>
  </si>
  <si>
    <t>FDC</t>
  </si>
  <si>
    <t>Transport Corporation of India Limited</t>
  </si>
  <si>
    <t>NSE:TCI</t>
  </si>
  <si>
    <t>TCI</t>
  </si>
  <si>
    <t>Mrs. Bectors Food Specialities Limited</t>
  </si>
  <si>
    <t>NSE:BECTORFOOD</t>
  </si>
  <si>
    <t>BECTORFOOD</t>
  </si>
  <si>
    <t>Hindustan Foods Limited</t>
  </si>
  <si>
    <t>NSE:HNDFDS</t>
  </si>
  <si>
    <t>HNDFDS</t>
  </si>
  <si>
    <t>VRL Logistics Limited</t>
  </si>
  <si>
    <t>NSE:VRLLOG</t>
  </si>
  <si>
    <t>VRLLOG</t>
  </si>
  <si>
    <t>LT Foods Limited</t>
  </si>
  <si>
    <t>NSE:LTFOODS</t>
  </si>
  <si>
    <t>LTFOODS</t>
  </si>
  <si>
    <t>Shipping Corporation Of India Limited</t>
  </si>
  <si>
    <t>NSE:SCI</t>
  </si>
  <si>
    <t>SCI</t>
  </si>
  <si>
    <t>Greenlam Industries Limited</t>
  </si>
  <si>
    <t>NSE:GREENLAM</t>
  </si>
  <si>
    <t>GREENLAM</t>
  </si>
  <si>
    <t>Rolex Rings Limited</t>
  </si>
  <si>
    <t>NSE:ROLEXRINGS</t>
  </si>
  <si>
    <t>ROLEXRINGS</t>
  </si>
  <si>
    <t>Power Mech Projects Limited</t>
  </si>
  <si>
    <t>NSE:POWERMECH</t>
  </si>
  <si>
    <t>POWERMECH</t>
  </si>
  <si>
    <t>Spandana Sphoorty Financial Limited</t>
  </si>
  <si>
    <t>NSE:SPANDANA</t>
  </si>
  <si>
    <t>SPANDANA</t>
  </si>
  <si>
    <t>PDS Limited</t>
  </si>
  <si>
    <t>NSE:PDSL</t>
  </si>
  <si>
    <t>PDSL</t>
  </si>
  <si>
    <t>Sunteck Realty Limited</t>
  </si>
  <si>
    <t>NSE:SUNTECK</t>
  </si>
  <si>
    <t>SUNTECK</t>
  </si>
  <si>
    <t>Symphony Limited</t>
  </si>
  <si>
    <t>NSE:SYMPHONY</t>
  </si>
  <si>
    <t>SYMPHONY</t>
  </si>
  <si>
    <t>Gravita India Limited</t>
  </si>
  <si>
    <t>NSE:GRAVITA</t>
  </si>
  <si>
    <t>GRAVITA</t>
  </si>
  <si>
    <t>Sterlite Technologies Limited</t>
  </si>
  <si>
    <t>NSE:STLTECH</t>
  </si>
  <si>
    <t>STLTECH</t>
  </si>
  <si>
    <t>Fusion Micro Finance Limited</t>
  </si>
  <si>
    <t>NSE:FUSION</t>
  </si>
  <si>
    <t>FUSION</t>
  </si>
  <si>
    <t>Zen Technologies Limited</t>
  </si>
  <si>
    <t>NSE:ZENTEC</t>
  </si>
  <si>
    <t>ZENTEC</t>
  </si>
  <si>
    <t>NAVA LIMITED</t>
  </si>
  <si>
    <t>NSE:NAVA</t>
  </si>
  <si>
    <t>NAVA</t>
  </si>
  <si>
    <t>Techno Electric &amp; Engineering Company Limited</t>
  </si>
  <si>
    <t>NSE:TECHNOE</t>
  </si>
  <si>
    <t>TECHNOE</t>
  </si>
  <si>
    <t>Electronics Mart India Limited</t>
  </si>
  <si>
    <t>NSE:EMIL</t>
  </si>
  <si>
    <t>EMIL</t>
  </si>
  <si>
    <t>Genus Power Infrastructures Limited</t>
  </si>
  <si>
    <t>NSE:GENUSPOWER</t>
  </si>
  <si>
    <t>GENUSPOWER</t>
  </si>
  <si>
    <t>H.G. Infra Engineering Limited</t>
  </si>
  <si>
    <t>NSE:HGINFRA</t>
  </si>
  <si>
    <t>HGINFRA</t>
  </si>
  <si>
    <t>CSB Bank Limited</t>
  </si>
  <si>
    <t>NSE:CSBBANK</t>
  </si>
  <si>
    <t>CSBBANK</t>
  </si>
  <si>
    <t>CMS Info Systems Limited</t>
  </si>
  <si>
    <t>NSE:CMSINFO</t>
  </si>
  <si>
    <t>CMSINFO</t>
  </si>
  <si>
    <t>BOROSIL RENEWABLES LIMITED</t>
  </si>
  <si>
    <t>NSE:BORORENEW</t>
  </si>
  <si>
    <t>BORORENEW</t>
  </si>
  <si>
    <t>R Systems International Limited</t>
  </si>
  <si>
    <t>NSE:RSYSTEMS</t>
  </si>
  <si>
    <t>RSYSTEMS</t>
  </si>
  <si>
    <t>Restaurant Brands Asia Limited</t>
  </si>
  <si>
    <t>NSE:RBA</t>
  </si>
  <si>
    <t>RBA</t>
  </si>
  <si>
    <t>ASK Automotive Limited</t>
  </si>
  <si>
    <t>NSE:ASKAUTOLTD</t>
  </si>
  <si>
    <t>ASKAUTOLTD</t>
  </si>
  <si>
    <t>Man Infraconstruction Limited</t>
  </si>
  <si>
    <t>NSE:MANINFRA</t>
  </si>
  <si>
    <t>MANINFRA</t>
  </si>
  <si>
    <t>Thomas Cook (India) Limited</t>
  </si>
  <si>
    <t>NSE:THOMASCOOK</t>
  </si>
  <si>
    <t>THOMASCOOK</t>
  </si>
  <si>
    <t>Edelweiss Financial Services Limited</t>
  </si>
  <si>
    <t>NSE:EDELWEISS</t>
  </si>
  <si>
    <t>EDELWEISS</t>
  </si>
  <si>
    <t>D B Realty Limited</t>
  </si>
  <si>
    <t>NSE:DBREALTY</t>
  </si>
  <si>
    <t>DBREALTY</t>
  </si>
  <si>
    <t>Isgec Heavy Engineering Limited</t>
  </si>
  <si>
    <t>NSE:ISGEC</t>
  </si>
  <si>
    <t>ISGEC</t>
  </si>
  <si>
    <t>Avanti Feeds Limited</t>
  </si>
  <si>
    <t>NSE:AVANTIFEED</t>
  </si>
  <si>
    <t>AVANTIFEED</t>
  </si>
  <si>
    <t>Utkarsh Small Finance Bank Limited</t>
  </si>
  <si>
    <t>NSE:UTKARSHBNK</t>
  </si>
  <si>
    <t>UTKARSHBNK</t>
  </si>
  <si>
    <t>TCI Express Limited</t>
  </si>
  <si>
    <t>NSE:TCIEXP</t>
  </si>
  <si>
    <t>TCIEXP</t>
  </si>
  <si>
    <t>Suprajit Engineering Limited</t>
  </si>
  <si>
    <t>NSE:SUPRAJIT</t>
  </si>
  <si>
    <t>SUPRAJIT</t>
  </si>
  <si>
    <t>Marksans Pharma Limited</t>
  </si>
  <si>
    <t>NSE:MARKSANS</t>
  </si>
  <si>
    <t>MARKSANS</t>
  </si>
  <si>
    <t>Vijaya Diagnostic Centre Limited</t>
  </si>
  <si>
    <t>NSE:VIJAYA</t>
  </si>
  <si>
    <t>VIJAYA</t>
  </si>
  <si>
    <t>Paradeep Phosphates Limited</t>
  </si>
  <si>
    <t>NSE:PARADEEP</t>
  </si>
  <si>
    <t>PARADEEP</t>
  </si>
  <si>
    <t>GHCL Limited</t>
  </si>
  <si>
    <t>NSE:GHCL</t>
  </si>
  <si>
    <t>GHCL</t>
  </si>
  <si>
    <t>ICRA Limited</t>
  </si>
  <si>
    <t>NSE:ICRA</t>
  </si>
  <si>
    <t>ICRA</t>
  </si>
  <si>
    <t>NIIT Learning Systems Limited</t>
  </si>
  <si>
    <t>NSE:NIITMTS</t>
  </si>
  <si>
    <t>NIITMTS</t>
  </si>
  <si>
    <t>Rain Industries Limited</t>
  </si>
  <si>
    <t>NSE:RAIN</t>
  </si>
  <si>
    <t>RAIN</t>
  </si>
  <si>
    <t>VST Industries Limited</t>
  </si>
  <si>
    <t>NSE:VSTIND</t>
  </si>
  <si>
    <t>VSTIND</t>
  </si>
  <si>
    <t>Neuland Laboratories Limited</t>
  </si>
  <si>
    <t>NSE:NEULANDLAB</t>
  </si>
  <si>
    <t>NEULANDLAB</t>
  </si>
  <si>
    <t>Nazara Technologies Limited</t>
  </si>
  <si>
    <t>NSE:NAZARA</t>
  </si>
  <si>
    <t>NAZARA</t>
  </si>
  <si>
    <t>Surya Roshni Limited</t>
  </si>
  <si>
    <t>NSE:SURYAROSNI</t>
  </si>
  <si>
    <t>SURYAROSNI</t>
  </si>
  <si>
    <t>JSW Holdings Limited</t>
  </si>
  <si>
    <t>NSE:JSWHL</t>
  </si>
  <si>
    <t>JSWHL</t>
  </si>
  <si>
    <t>AGI Greenpac Limited</t>
  </si>
  <si>
    <t>NSE:AGI</t>
  </si>
  <si>
    <t>AGI</t>
  </si>
  <si>
    <t>Fedbank Financial Services Limited</t>
  </si>
  <si>
    <t>NSE:FEDFINA</t>
  </si>
  <si>
    <t>FEDFINA</t>
  </si>
  <si>
    <t>Gujarat Alkalies and Chemicals Limited</t>
  </si>
  <si>
    <t>NSE:GUJALKALI</t>
  </si>
  <si>
    <t>GUJALKALI</t>
  </si>
  <si>
    <t>Voltamp Transformers Limited</t>
  </si>
  <si>
    <t>NSE:VOLTAMP</t>
  </si>
  <si>
    <t>VOLTAMP</t>
  </si>
  <si>
    <t>Nesco Limited</t>
  </si>
  <si>
    <t>NSE:NESCO</t>
  </si>
  <si>
    <t>NESCO</t>
  </si>
  <si>
    <t>IFCI Limited</t>
  </si>
  <si>
    <t>NSE:IFCI</t>
  </si>
  <si>
    <t>IFCI</t>
  </si>
  <si>
    <t>The South Indian Bank Limited</t>
  </si>
  <si>
    <t>NSE:SOUTHBANK</t>
  </si>
  <si>
    <t>SOUTHBANK</t>
  </si>
  <si>
    <t>Indo Count Industries Limited</t>
  </si>
  <si>
    <t>NSE:ICIL</t>
  </si>
  <si>
    <t>ICIL</t>
  </si>
  <si>
    <t>Netweb Technologies India Limited</t>
  </si>
  <si>
    <t>NSE:NETWEB</t>
  </si>
  <si>
    <t>NETWEB</t>
  </si>
  <si>
    <t>Shriram Pistons &amp; Rings Limited</t>
  </si>
  <si>
    <t>NSE:SHRIPISTON</t>
  </si>
  <si>
    <t>SHRIPISTON</t>
  </si>
  <si>
    <t>Healthcare Global Enterprises Limited</t>
  </si>
  <si>
    <t>NSE:HCG</t>
  </si>
  <si>
    <t>HCG</t>
  </si>
  <si>
    <t>Ahluwalia Contracts (India) Limited</t>
  </si>
  <si>
    <t>NSE:AHLUCONT</t>
  </si>
  <si>
    <t>AHLUCONT</t>
  </si>
  <si>
    <t>Prudent Corporate Advisory Services Limited</t>
  </si>
  <si>
    <t>NSE:PRUDENT</t>
  </si>
  <si>
    <t>PRUDENT</t>
  </si>
  <si>
    <t>Sansera Engineering Limited</t>
  </si>
  <si>
    <t>NSE:SANSERA</t>
  </si>
  <si>
    <t>SANSERA</t>
  </si>
  <si>
    <t>Tata Coffee Limited</t>
  </si>
  <si>
    <t>NSE:TATACOFFEE</t>
  </si>
  <si>
    <t>TATACOFFEE</t>
  </si>
  <si>
    <t>Cyient DLM Limited</t>
  </si>
  <si>
    <t>NSE:CYIENTDLM</t>
  </si>
  <si>
    <t>CYIENTDLM</t>
  </si>
  <si>
    <t>Orient Electric Limited</t>
  </si>
  <si>
    <t>NSE:ORIENTELEC</t>
  </si>
  <si>
    <t>ORIENTELEC</t>
  </si>
  <si>
    <t>Infibeam Avenues Limited</t>
  </si>
  <si>
    <t>NSE:INFIBEAM</t>
  </si>
  <si>
    <t>INFIBEAM</t>
  </si>
  <si>
    <t>MOIL Limited</t>
  </si>
  <si>
    <t>NSE:MOIL</t>
  </si>
  <si>
    <t>MOIL</t>
  </si>
  <si>
    <t>Aarti Drugs Limited</t>
  </si>
  <si>
    <t>NSE:AARTIDRUGS</t>
  </si>
  <si>
    <t>AARTIDRUGS</t>
  </si>
  <si>
    <t>Dilip Buildcon Limited</t>
  </si>
  <si>
    <t>NSE:DBL</t>
  </si>
  <si>
    <t>DBL</t>
  </si>
  <si>
    <t>Electrosteel Castings Limited</t>
  </si>
  <si>
    <t>NSE:ELECTCAST</t>
  </si>
  <si>
    <t>ELECTCAST</t>
  </si>
  <si>
    <t>Arvind Limited</t>
  </si>
  <si>
    <t>NSE:ARVIND</t>
  </si>
  <si>
    <t>ARVIND</t>
  </si>
  <si>
    <t>Share India Securities Limited</t>
  </si>
  <si>
    <t>NSE:SHAREINDIA</t>
  </si>
  <si>
    <t>SHAREINDIA</t>
  </si>
  <si>
    <t>Arvind Fashions Limited</t>
  </si>
  <si>
    <t>NSE:ARVINDFASN</t>
  </si>
  <si>
    <t>ARVINDFASN</t>
  </si>
  <si>
    <t>PG Electroplast Limited</t>
  </si>
  <si>
    <t>NSE:PGEL</t>
  </si>
  <si>
    <t>PGEL</t>
  </si>
  <si>
    <t>Hinduja Global Solutions Limited</t>
  </si>
  <si>
    <t>NSE:HGS</t>
  </si>
  <si>
    <t>HGS</t>
  </si>
  <si>
    <t>La Opala RG Limited</t>
  </si>
  <si>
    <t>NSE:LAOPALA</t>
  </si>
  <si>
    <t>LAOPALA</t>
  </si>
  <si>
    <t>Technocraft Industries (India) Limited</t>
  </si>
  <si>
    <t>NSE:TIIL</t>
  </si>
  <si>
    <t>TIIL</t>
  </si>
  <si>
    <t>LLOYDS ENGINEERING WORKS LIMITED</t>
  </si>
  <si>
    <t>NSE:LLOYDSENGG</t>
  </si>
  <si>
    <t>LLOYDSENGG</t>
  </si>
  <si>
    <t>MAS Financial Services Limited</t>
  </si>
  <si>
    <t>NSE:MASFIN</t>
  </si>
  <si>
    <t>MASFIN</t>
  </si>
  <si>
    <t>Privi Speciality Chemicals Limited</t>
  </si>
  <si>
    <t>NSE:PRIVISCL</t>
  </si>
  <si>
    <t>PRIVISCL</t>
  </si>
  <si>
    <t>Gabriel India Limited</t>
  </si>
  <si>
    <t>NSE:GABRIEL</t>
  </si>
  <si>
    <t>GABRIEL</t>
  </si>
  <si>
    <t>Jai Corp Limited</t>
  </si>
  <si>
    <t>NSE:JAICORPLTD</t>
  </si>
  <si>
    <t>JAICORPLTD</t>
  </si>
  <si>
    <t>Gokaldas Exports Limited</t>
  </si>
  <si>
    <t>NSE:GOKEX</t>
  </si>
  <si>
    <t>GOKEX</t>
  </si>
  <si>
    <t>Jamna Auto Industries Limited</t>
  </si>
  <si>
    <t>NSE:JAMNAAUTO</t>
  </si>
  <si>
    <t>JAMNAAUTO</t>
  </si>
  <si>
    <t>Rossari Biotech Limited</t>
  </si>
  <si>
    <t>NSE:ROSSARI</t>
  </si>
  <si>
    <t>ROSSARI</t>
  </si>
  <si>
    <t>Sandur Manganese &amp; Iron Ores Limited</t>
  </si>
  <si>
    <t>NSE:SANDUMA</t>
  </si>
  <si>
    <t>SANDUMA</t>
  </si>
  <si>
    <t>D.B.Corp Limited</t>
  </si>
  <si>
    <t>NSE:DBCORP</t>
  </si>
  <si>
    <t>DBCORP</t>
  </si>
  <si>
    <t>Kewal Kiran Clothing Limited</t>
  </si>
  <si>
    <t>NSE:KKCL</t>
  </si>
  <si>
    <t>KKCL</t>
  </si>
  <si>
    <t>Gateway Distriparks Limited</t>
  </si>
  <si>
    <t>NSE:GATEWAY</t>
  </si>
  <si>
    <t>GATEWAY</t>
  </si>
  <si>
    <t>Senco Gold Limited</t>
  </si>
  <si>
    <t>NSE:SENCO</t>
  </si>
  <si>
    <t>SENCO</t>
  </si>
  <si>
    <t>Strides Pharma Science Limited</t>
  </si>
  <si>
    <t>NSE:STAR</t>
  </si>
  <si>
    <t>STAR</t>
  </si>
  <si>
    <t>Max Estates Limited</t>
  </si>
  <si>
    <t>NSE:MAXESTATES</t>
  </si>
  <si>
    <t>MAXESTATES</t>
  </si>
  <si>
    <t>Delta Corp Limited</t>
  </si>
  <si>
    <t>NSE:DELTACORP</t>
  </si>
  <si>
    <t>DELTACORP</t>
  </si>
  <si>
    <t>Greenpanel Industries Limited</t>
  </si>
  <si>
    <t>NSE:GREENPANEL</t>
  </si>
  <si>
    <t>GREENPANEL</t>
  </si>
  <si>
    <t>Ami Organics Limited</t>
  </si>
  <si>
    <t>NSE:AMIORG</t>
  </si>
  <si>
    <t>AMIORG</t>
  </si>
  <si>
    <t>Dodla Dairy Limited</t>
  </si>
  <si>
    <t>NSE:DODLA</t>
  </si>
  <si>
    <t>DODLA</t>
  </si>
  <si>
    <t>Dolat Algotech Limited</t>
  </si>
  <si>
    <t>NSE:DOLATALGO</t>
  </si>
  <si>
    <t>DOLATALGO</t>
  </si>
  <si>
    <t>Rallis India Limited</t>
  </si>
  <si>
    <t>NSE:RALLIS</t>
  </si>
  <si>
    <t>RALLIS</t>
  </si>
  <si>
    <t>Lux Industries Limited</t>
  </si>
  <si>
    <t>NSE:LUXIND</t>
  </si>
  <si>
    <t>LUXIND</t>
  </si>
  <si>
    <t>HeidelbergCement India Limited</t>
  </si>
  <si>
    <t>NSE:HEIDELBERG</t>
  </si>
  <si>
    <t>HEIDELBERG</t>
  </si>
  <si>
    <t>Astra Microwave Products Limited</t>
  </si>
  <si>
    <t>NSE:ASTRAMICRO</t>
  </si>
  <si>
    <t>ASTRAMICRO</t>
  </si>
  <si>
    <t>Borosil Limited</t>
  </si>
  <si>
    <t>NSE:BOROLTD</t>
  </si>
  <si>
    <t>BOROLTD</t>
  </si>
  <si>
    <t>Texmaco Rail &amp; Engineering Limited</t>
  </si>
  <si>
    <t>NSE:TEXRAIL</t>
  </si>
  <si>
    <t>TEXRAIL</t>
  </si>
  <si>
    <t>Teamlease Services Limited</t>
  </si>
  <si>
    <t>NSE:TEAMLEASE</t>
  </si>
  <si>
    <t>TEAMLEASE</t>
  </si>
  <si>
    <t>West Coast Paper Mills Limited</t>
  </si>
  <si>
    <t>NSE:WSTCSTPAPR</t>
  </si>
  <si>
    <t>WSTCSTPAPR</t>
  </si>
  <si>
    <t>Wonderla Holidays Limited</t>
  </si>
  <si>
    <t>NSE:WONDERLA</t>
  </si>
  <si>
    <t>WONDERLA</t>
  </si>
  <si>
    <t>TIPS Industries Limited</t>
  </si>
  <si>
    <t>NSE:TIPSINDLTD</t>
  </si>
  <si>
    <t>TIPSINDLTD</t>
  </si>
  <si>
    <t>PTC India Limited</t>
  </si>
  <si>
    <t>NSE:PTC</t>
  </si>
  <si>
    <t>PTC</t>
  </si>
  <si>
    <t>Indiabulls Real Estate Limited</t>
  </si>
  <si>
    <t>NSE:IBREALEST</t>
  </si>
  <si>
    <t>IBREALEST</t>
  </si>
  <si>
    <t>Sindhu Trade Links Limited</t>
  </si>
  <si>
    <t>NSE:SINDHUTRAD</t>
  </si>
  <si>
    <t>SINDHUTRAD</t>
  </si>
  <si>
    <t>Ramky Infrastructure Limited</t>
  </si>
  <si>
    <t>NSE:RAMKY</t>
  </si>
  <si>
    <t>RAMKY</t>
  </si>
  <si>
    <t>Tilaknagar Industries Limited</t>
  </si>
  <si>
    <t>NSE:TI</t>
  </si>
  <si>
    <t>TI</t>
  </si>
  <si>
    <t>Brightcom Group Limited</t>
  </si>
  <si>
    <t>NSE:BCG</t>
  </si>
  <si>
    <t>BCG</t>
  </si>
  <si>
    <t>Sai Silks (Kalamandir) Limited</t>
  </si>
  <si>
    <t>NSE:KALAMANDIR</t>
  </si>
  <si>
    <t>KALAMANDIR</t>
  </si>
  <si>
    <t>The Tinplate Company of India Limited</t>
  </si>
  <si>
    <t>NSE:TINPLATE</t>
  </si>
  <si>
    <t>TINPLATE</t>
  </si>
  <si>
    <t>Steel Strips Wheels Limited</t>
  </si>
  <si>
    <t>NSE:SSWL</t>
  </si>
  <si>
    <t>SSWL</t>
  </si>
  <si>
    <t>Neogen Chemicals Limited</t>
  </si>
  <si>
    <t>NSE:NEOGEN</t>
  </si>
  <si>
    <t>NEOGEN</t>
  </si>
  <si>
    <t>TD Power Systems Limited</t>
  </si>
  <si>
    <t>NSE:TDPOWERSYS</t>
  </si>
  <si>
    <t>TDPOWERSYS</t>
  </si>
  <si>
    <t>Sula Vineyards Limited</t>
  </si>
  <si>
    <t>NSE:SULA</t>
  </si>
  <si>
    <t>SULA</t>
  </si>
  <si>
    <t>Ethos Limited</t>
  </si>
  <si>
    <t>NSE:ETHOSLTD</t>
  </si>
  <si>
    <t>ETHOSLTD</t>
  </si>
  <si>
    <t>Sharda Cropchem Limited</t>
  </si>
  <si>
    <t>NSE:SHARDACROP</t>
  </si>
  <si>
    <t>SHARDACROP</t>
  </si>
  <si>
    <t>Kirloskar Pneumatic Company Limited</t>
  </si>
  <si>
    <t>NSE:KIRLPNU</t>
  </si>
  <si>
    <t>KIRLPNU</t>
  </si>
  <si>
    <t>Hindustan Construction Company Limited</t>
  </si>
  <si>
    <t>NSE:HCC</t>
  </si>
  <si>
    <t>HCC</t>
  </si>
  <si>
    <t>Choice International Limited</t>
  </si>
  <si>
    <t>NSE:CHOICEIN</t>
  </si>
  <si>
    <t>CHOICEIN</t>
  </si>
  <si>
    <t>Tasty Bite Eatables Limited</t>
  </si>
  <si>
    <t>NSE:TASTYBITE</t>
  </si>
  <si>
    <t>TASTYBITE</t>
  </si>
  <si>
    <t>V-Mart Retail Limited</t>
  </si>
  <si>
    <t>NSE:VMART</t>
  </si>
  <si>
    <t>VMART</t>
  </si>
  <si>
    <t>Flair Writing Industries Limited</t>
  </si>
  <si>
    <t>NSE:FLAIR</t>
  </si>
  <si>
    <t>FLAIR</t>
  </si>
  <si>
    <t>Epigral Limited</t>
  </si>
  <si>
    <t>NSE:EPIGRAL</t>
  </si>
  <si>
    <t>EPIGRAL</t>
  </si>
  <si>
    <t>Orient Cement Limited</t>
  </si>
  <si>
    <t>NSE:ORIENTCEM</t>
  </si>
  <si>
    <t>ORIENTCEM</t>
  </si>
  <si>
    <t>Patel Engineering Limited</t>
  </si>
  <si>
    <t>NSE:PATELENG</t>
  </si>
  <si>
    <t>PATELENG</t>
  </si>
  <si>
    <t>Welspun Enterprises Limited</t>
  </si>
  <si>
    <t>NSE:WELENT</t>
  </si>
  <si>
    <t>WELENT</t>
  </si>
  <si>
    <t>Wockhardt Limited</t>
  </si>
  <si>
    <t>NSE:WOCKPHARMA</t>
  </si>
  <si>
    <t>WOCKPHARMA</t>
  </si>
  <si>
    <t>Hindware Home Innovation Limited</t>
  </si>
  <si>
    <t>NSE:HINDWAREAP</t>
  </si>
  <si>
    <t>HINDWAREAP</t>
  </si>
  <si>
    <t>Dhanuka Agritech Limited</t>
  </si>
  <si>
    <t>NSE:DHANUKA</t>
  </si>
  <si>
    <t>DHANUKA</t>
  </si>
  <si>
    <t>HLE Glascoat Limited</t>
  </si>
  <si>
    <t>NSE:HLEGLAS</t>
  </si>
  <si>
    <t>HLEGLAS</t>
  </si>
  <si>
    <t>Ideaforge Technology Limited</t>
  </si>
  <si>
    <t>NSE:IDEAFORGE</t>
  </si>
  <si>
    <t>IDEAFORGE</t>
  </si>
  <si>
    <t>Pricol Limited</t>
  </si>
  <si>
    <t>NSE:PRICOLLTD</t>
  </si>
  <si>
    <t>PRICOLLTD</t>
  </si>
  <si>
    <t>Rajratan Global Wire Limited</t>
  </si>
  <si>
    <t>NSE:RAJRATAN</t>
  </si>
  <si>
    <t>RAJRATAN</t>
  </si>
  <si>
    <t>NOCIL Limited</t>
  </si>
  <si>
    <t>NSE:NOCIL</t>
  </si>
  <si>
    <t>NOCIL</t>
  </si>
  <si>
    <t>Bharat Rasayan Limited</t>
  </si>
  <si>
    <t>NSE:BHARATRAS</t>
  </si>
  <si>
    <t>BHARATRAS</t>
  </si>
  <si>
    <t>ITD Cementation India Limited</t>
  </si>
  <si>
    <t>NSE:ITDCEM</t>
  </si>
  <si>
    <t>ITDCEM</t>
  </si>
  <si>
    <t>Harsha Engineers International Limited</t>
  </si>
  <si>
    <t>NSE:HARSHA</t>
  </si>
  <si>
    <t>HARSHA</t>
  </si>
  <si>
    <t>NSE:JISLJALEQS</t>
  </si>
  <si>
    <t>JISLJALEQS</t>
  </si>
  <si>
    <t>DCB Bank Limited</t>
  </si>
  <si>
    <t>NSE:DCBBANK</t>
  </si>
  <si>
    <t>DCBBANK</t>
  </si>
  <si>
    <t>RattanIndia Power Limited</t>
  </si>
  <si>
    <t>NSE:RTNPOWER</t>
  </si>
  <si>
    <t>RTNPOWER</t>
  </si>
  <si>
    <t>Tatva Chintan Pharma Chem Limited</t>
  </si>
  <si>
    <t>NSE:TATVA</t>
  </si>
  <si>
    <t>TATVA</t>
  </si>
  <si>
    <t>Black Box Limited</t>
  </si>
  <si>
    <t>NSE:BBOX</t>
  </si>
  <si>
    <t>BBOX</t>
  </si>
  <si>
    <t>Aarti Pharmalabs Limited</t>
  </si>
  <si>
    <t>NSE:AARTIPHARM</t>
  </si>
  <si>
    <t>AARTIPHARM</t>
  </si>
  <si>
    <t>IFB Industries Limited</t>
  </si>
  <si>
    <t>NSE:IFBIND</t>
  </si>
  <si>
    <t>IFBIND</t>
  </si>
  <si>
    <t>Advanced Enzyme Technologies Limited</t>
  </si>
  <si>
    <t>NSE:ADVENZYMES</t>
  </si>
  <si>
    <t>ADVENZYMES</t>
  </si>
  <si>
    <t>Sunflag Iron And Steel Company Limited</t>
  </si>
  <si>
    <t>NSE:SUNFLAG</t>
  </si>
  <si>
    <t>SUNFLAG</t>
  </si>
  <si>
    <t>eMudhra Limited</t>
  </si>
  <si>
    <t>NSE:EMUDHRA</t>
  </si>
  <si>
    <t>EMUDHRA</t>
  </si>
  <si>
    <t>Shanthi Gears Limited</t>
  </si>
  <si>
    <t>NSE:SHANTIGEAR</t>
  </si>
  <si>
    <t>SHANTIGEAR</t>
  </si>
  <si>
    <t>Polyplex Corporation Limited</t>
  </si>
  <si>
    <t>NSE:POLYPLEX</t>
  </si>
  <si>
    <t>POLYPLEX</t>
  </si>
  <si>
    <t>Hikal Limited</t>
  </si>
  <si>
    <t>NSE:HIKAL</t>
  </si>
  <si>
    <t>HIKAL</t>
  </si>
  <si>
    <t>Datamatics Global Services Limited</t>
  </si>
  <si>
    <t>NSE:DATAMATICS</t>
  </si>
  <si>
    <t>DATAMATICS</t>
  </si>
  <si>
    <t>Avalon Technologies Limited</t>
  </si>
  <si>
    <t>NSE:AVALON</t>
  </si>
  <si>
    <t>AVALON</t>
  </si>
  <si>
    <t>ESAF Small Finance Bank Limited</t>
  </si>
  <si>
    <t>NSE:ESAFSFB</t>
  </si>
  <si>
    <t>ESAFSFB</t>
  </si>
  <si>
    <t>National Fertilizers Limited</t>
  </si>
  <si>
    <t>NSE:NFL</t>
  </si>
  <si>
    <t>NFL</t>
  </si>
  <si>
    <t>Hemisphere Properties India Limited</t>
  </si>
  <si>
    <t>NSE:HEMIPROP</t>
  </si>
  <si>
    <t>HEMIPROP</t>
  </si>
  <si>
    <t>JTL INDUSTRIES LIMITED</t>
  </si>
  <si>
    <t>NSE:JTLIND</t>
  </si>
  <si>
    <t>JTLIND</t>
  </si>
  <si>
    <t>Inox Wind Energy Limited</t>
  </si>
  <si>
    <t>NSE:IWEL</t>
  </si>
  <si>
    <t>IWEL</t>
  </si>
  <si>
    <t>Jayaswal Neco Industries Limited</t>
  </si>
  <si>
    <t>NSE:JAYNECOIND</t>
  </si>
  <si>
    <t>JAYNECOIND</t>
  </si>
  <si>
    <t>Nilkamal Limited</t>
  </si>
  <si>
    <t>NSE:NILKAMAL</t>
  </si>
  <si>
    <t>NILKAMAL</t>
  </si>
  <si>
    <t>Kolte - Patil Developers Limited</t>
  </si>
  <si>
    <t>NSE:KOLTEPATIL</t>
  </si>
  <si>
    <t>KOLTEPATIL</t>
  </si>
  <si>
    <t>Fineotex Chemical Limited</t>
  </si>
  <si>
    <t>NSE:FCL</t>
  </si>
  <si>
    <t>FCL</t>
  </si>
  <si>
    <t>Samhi Hotels Limited</t>
  </si>
  <si>
    <t>NSE:SAMHI</t>
  </si>
  <si>
    <t>SAMHI</t>
  </si>
  <si>
    <t>Time Technoplast Limited</t>
  </si>
  <si>
    <t>NSE:TIMETECHNO</t>
  </si>
  <si>
    <t>TIMETECHNO</t>
  </si>
  <si>
    <t>LG Balakrishnan &amp; Bros Limited</t>
  </si>
  <si>
    <t>NSE:LGBBROSLTD</t>
  </si>
  <si>
    <t>LGBBROSLTD</t>
  </si>
  <si>
    <t>Ganesh Housing Corporation Limited</t>
  </si>
  <si>
    <t>NSE:GANESHHOUC</t>
  </si>
  <si>
    <t>GANESHHOUC</t>
  </si>
  <si>
    <t>Jtekt India Limited</t>
  </si>
  <si>
    <t>NSE:JTEKTINDIA</t>
  </si>
  <si>
    <t>JTEKTINDIA</t>
  </si>
  <si>
    <t>KPI Green Energy Limited</t>
  </si>
  <si>
    <t>NSE:KPIGREEN</t>
  </si>
  <si>
    <t>KPIGREEN</t>
  </si>
  <si>
    <t>Thangamayil Jewellery Limited</t>
  </si>
  <si>
    <t>NSE:THANGAMAYL</t>
  </si>
  <si>
    <t>THANGAMAYL</t>
  </si>
  <si>
    <t>Saksoft Limited</t>
  </si>
  <si>
    <t>NSE:SAKSOFT</t>
  </si>
  <si>
    <t>SAKSOFT</t>
  </si>
  <si>
    <t>Dish TV India Limited</t>
  </si>
  <si>
    <t>NSE:DISHTV</t>
  </si>
  <si>
    <t>DISHTV</t>
  </si>
  <si>
    <t>HMA Agro Industries Limited</t>
  </si>
  <si>
    <t>NSE:HMAAGRO</t>
  </si>
  <si>
    <t>HMAAGRO</t>
  </si>
  <si>
    <t>Banco Products (I) Limited</t>
  </si>
  <si>
    <t>NSE:BANCOINDIA</t>
  </si>
  <si>
    <t>BANCOINDIA</t>
  </si>
  <si>
    <t>Sudarshan Chemical Industries Limited</t>
  </si>
  <si>
    <t>NSE:SUDARSCHEM</t>
  </si>
  <si>
    <t>SUDARSCHEM</t>
  </si>
  <si>
    <t>India Tourism Development Corporation Limited</t>
  </si>
  <si>
    <t>NSE:ITDC</t>
  </si>
  <si>
    <t>ITDC</t>
  </si>
  <si>
    <t>Aurionpro Solutions Limited</t>
  </si>
  <si>
    <t>NSE:AURIONPRO</t>
  </si>
  <si>
    <t>AURIONPRO</t>
  </si>
  <si>
    <t>Automotive Axles Limited</t>
  </si>
  <si>
    <t>NSE:AUTOAXLES</t>
  </si>
  <si>
    <t>AUTOAXLES</t>
  </si>
  <si>
    <t>Navneet Education Limited</t>
  </si>
  <si>
    <t>NSE:NAVNETEDUL</t>
  </si>
  <si>
    <t>NAVNETEDUL</t>
  </si>
  <si>
    <t>Dalmia Bharat Sugar and Industries Limited</t>
  </si>
  <si>
    <t>NSE:DALMIASUG</t>
  </si>
  <si>
    <t>DALMIASUG</t>
  </si>
  <si>
    <t>Bannari Amman Sugars Limited</t>
  </si>
  <si>
    <t>NSE:BANARISUG</t>
  </si>
  <si>
    <t>BANARISUG</t>
  </si>
  <si>
    <t>The Orissa Minerals Development Company Limited</t>
  </si>
  <si>
    <t>NSE:ORISSAMINE</t>
  </si>
  <si>
    <t>ORISSAMINE</t>
  </si>
  <si>
    <t>Ashoka Buildcon Limited</t>
  </si>
  <si>
    <t>NSE:ASHOKA</t>
  </si>
  <si>
    <t>ASHOKA</t>
  </si>
  <si>
    <t>Kaveri Seed Company Limited</t>
  </si>
  <si>
    <t>NSE:KSCL</t>
  </si>
  <si>
    <t>KSCL</t>
  </si>
  <si>
    <t>Kirloskar Industries Limited</t>
  </si>
  <si>
    <t>NSE:KIRLOSIND</t>
  </si>
  <si>
    <t>KIRLOSIND</t>
  </si>
  <si>
    <t>Nucleus Software Exports Limited</t>
  </si>
  <si>
    <t>NSE:NUCLEUS</t>
  </si>
  <si>
    <t>NUCLEUS</t>
  </si>
  <si>
    <t>Shivalik Bimetal Controls Limited</t>
  </si>
  <si>
    <t>NSE:SBCL</t>
  </si>
  <si>
    <t>SBCL</t>
  </si>
  <si>
    <t>Bajaj Consumer Care Limited</t>
  </si>
  <si>
    <t>NSE:BAJAJCON</t>
  </si>
  <si>
    <t>BAJAJCON</t>
  </si>
  <si>
    <t>Jaiprakash Associates Limited</t>
  </si>
  <si>
    <t>NSE:JPASSOCIAT</t>
  </si>
  <si>
    <t>JPASSOCIAT</t>
  </si>
  <si>
    <t>Hathway Cable &amp; Datacom Limited</t>
  </si>
  <si>
    <t>NSE:HATHWAY</t>
  </si>
  <si>
    <t>HATHWAY</t>
  </si>
  <si>
    <t>VA Tech Wabag Limited</t>
  </si>
  <si>
    <t>NSE:WABAG</t>
  </si>
  <si>
    <t>WABAG</t>
  </si>
  <si>
    <t>Yatharth Hospital &amp; Trauma Care Services Limited</t>
  </si>
  <si>
    <t>NSE:YATHARTH</t>
  </si>
  <si>
    <t>YATHARTH</t>
  </si>
  <si>
    <t>Bajaj Hindusthan Sugar Limited</t>
  </si>
  <si>
    <t>NSE:BAJAJHIND</t>
  </si>
  <si>
    <t>BAJAJHIND</t>
  </si>
  <si>
    <t>India Pesticides Limited</t>
  </si>
  <si>
    <t>NSE:IPL</t>
  </si>
  <si>
    <t>IPL</t>
  </si>
  <si>
    <t>UFLEX Limited</t>
  </si>
  <si>
    <t>NSE:UFLEX</t>
  </si>
  <si>
    <t>UFLEX</t>
  </si>
  <si>
    <t>Greaves Cotton Limited</t>
  </si>
  <si>
    <t>NSE:GREAVESCOT</t>
  </si>
  <si>
    <t>GREAVESCOT</t>
  </si>
  <si>
    <t>Paisalo Digital Limited</t>
  </si>
  <si>
    <t>NSE:PAISALO</t>
  </si>
  <si>
    <t>PAISALO</t>
  </si>
  <si>
    <t>Indoco Remedies Limited</t>
  </si>
  <si>
    <t>NSE:INDOCO</t>
  </si>
  <si>
    <t>INDOCO</t>
  </si>
  <si>
    <t>Maithan Alloys Limited</t>
  </si>
  <si>
    <t>NSE:MAITHANALL</t>
  </si>
  <si>
    <t>MAITHANALL</t>
  </si>
  <si>
    <t>Johnson Controls - Hitachi Air Conditioning India Limited</t>
  </si>
  <si>
    <t>NSE:JCHAC</t>
  </si>
  <si>
    <t>JCHAC</t>
  </si>
  <si>
    <t>Sagar Cements Limited</t>
  </si>
  <si>
    <t>NSE:SAGCEM</t>
  </si>
  <si>
    <t>SAGCEM</t>
  </si>
  <si>
    <t>Kesoram Industries Limited</t>
  </si>
  <si>
    <t>NSE:KESORAMIND</t>
  </si>
  <si>
    <t>KESORAMIND</t>
  </si>
  <si>
    <t>Mold-Tek Packaging Limited</t>
  </si>
  <si>
    <t>NSE:MOLDTKPAC</t>
  </si>
  <si>
    <t>MOLDTKPAC</t>
  </si>
  <si>
    <t>J.Kumar Infraprojects Limited</t>
  </si>
  <si>
    <t>NSE:JKIL</t>
  </si>
  <si>
    <t>JKIL</t>
  </si>
  <si>
    <t>Puravankara Limited</t>
  </si>
  <si>
    <t>NSE:PURVA</t>
  </si>
  <si>
    <t>PURVA</t>
  </si>
  <si>
    <t>Mstc Limited</t>
  </si>
  <si>
    <t>NSE:MSTCLTD</t>
  </si>
  <si>
    <t>MSTCLTD</t>
  </si>
  <si>
    <t>V.S.T Tillers Tractors Limited</t>
  </si>
  <si>
    <t>NSE:VSTTILLERS</t>
  </si>
  <si>
    <t>VSTTILLERS</t>
  </si>
  <si>
    <t>Shilpa Medicare Limited</t>
  </si>
  <si>
    <t>NSE:SHILPAMED</t>
  </si>
  <si>
    <t>SHILPAMED</t>
  </si>
  <si>
    <t>Prime Focus Limited</t>
  </si>
  <si>
    <t>NSE:PFOCUS</t>
  </si>
  <si>
    <t>PFOCUS</t>
  </si>
  <si>
    <t>Landmark Cars Limited</t>
  </si>
  <si>
    <t>NSE:LANDMARK</t>
  </si>
  <si>
    <t>LANDMARK</t>
  </si>
  <si>
    <t>Sanghvi Movers Limited</t>
  </si>
  <si>
    <t>NSE:SANGHVIMOV</t>
  </si>
  <si>
    <t>SANGHVIMOV</t>
  </si>
  <si>
    <t>Divgi Torqtransfer Systems Limited</t>
  </si>
  <si>
    <t>NSE:DIVGIITTS</t>
  </si>
  <si>
    <t>DIVGIITTS</t>
  </si>
  <si>
    <t>Sharda Motor Industries Limited</t>
  </si>
  <si>
    <t>NSE:SHARDAMOTR</t>
  </si>
  <si>
    <t>SHARDAMOTR</t>
  </si>
  <si>
    <t>Thyrocare Technologies Limited</t>
  </si>
  <si>
    <t>NSE:THYROCARE</t>
  </si>
  <si>
    <t>THYROCARE</t>
  </si>
  <si>
    <t>Somany Ceramics Limited</t>
  </si>
  <si>
    <t>NSE:SOMANYCERA</t>
  </si>
  <si>
    <t>SOMANYCERA</t>
  </si>
  <si>
    <t>Dreamfolks Services Limited</t>
  </si>
  <si>
    <t>NSE:DREAMFOLKS</t>
  </si>
  <si>
    <t>DREAMFOLKS</t>
  </si>
  <si>
    <t>DCX Systems Limited</t>
  </si>
  <si>
    <t>NSE:DCXINDIA</t>
  </si>
  <si>
    <t>DCXINDIA</t>
  </si>
  <si>
    <t>Tata Metaliks Limited</t>
  </si>
  <si>
    <t>NSE:TATAMETALI</t>
  </si>
  <si>
    <t>TATAMETALI</t>
  </si>
  <si>
    <t>Cartrade Tech Limited</t>
  </si>
  <si>
    <t>NSE:CARTRADE</t>
  </si>
  <si>
    <t>CARTRADE</t>
  </si>
  <si>
    <t>Bombay Dyeing &amp; Mfg Company Limited</t>
  </si>
  <si>
    <t>NSE:BOMDYEING</t>
  </si>
  <si>
    <t>BOMDYEING</t>
  </si>
  <si>
    <t>Garware Hi-Tech Films Limited</t>
  </si>
  <si>
    <t>NSE:GRWRHITECH</t>
  </si>
  <si>
    <t>GRWRHITECH</t>
  </si>
  <si>
    <t>Unichem Laboratories Limited</t>
  </si>
  <si>
    <t>NSE:UNICHEMLAB</t>
  </si>
  <si>
    <t>UNICHEMLAB</t>
  </si>
  <si>
    <t>Stylam Industries Limited</t>
  </si>
  <si>
    <t>NSE:STYLAMIND</t>
  </si>
  <si>
    <t>STYLAMIND</t>
  </si>
  <si>
    <t>Sanghi Industries Limited</t>
  </si>
  <si>
    <t>NSE:SANGHIIND</t>
  </si>
  <si>
    <t>SANGHIIND</t>
  </si>
  <si>
    <t>Sundaram Finance Holdings Limited</t>
  </si>
  <si>
    <t>NSE:SUNDARMHLD</t>
  </si>
  <si>
    <t>SUNDARMHLD</t>
  </si>
  <si>
    <t>Gulf Oil Lubricants India Limited</t>
  </si>
  <si>
    <t>NSE:GULFOILLUB</t>
  </si>
  <si>
    <t>GULFOILLUB</t>
  </si>
  <si>
    <t>Jindal Poly Films Limited</t>
  </si>
  <si>
    <t>NSE:JINDALPOLY</t>
  </si>
  <si>
    <t>JINDALPOLY</t>
  </si>
  <si>
    <t>IKIO Lighting Limited</t>
  </si>
  <si>
    <t>NSE:IKIO</t>
  </si>
  <si>
    <t>IKIO</t>
  </si>
  <si>
    <t>Tarsons Products Limited</t>
  </si>
  <si>
    <t>NSE:TARSONS</t>
  </si>
  <si>
    <t>TARSONS</t>
  </si>
  <si>
    <t>Dynamatic Technologies Limited</t>
  </si>
  <si>
    <t>NSE:DYNAMATECH</t>
  </si>
  <si>
    <t>DYNAMATECH</t>
  </si>
  <si>
    <t>IIFL Securities Limited</t>
  </si>
  <si>
    <t>NSE:IIFLSEC</t>
  </si>
  <si>
    <t>IIFLSEC</t>
  </si>
  <si>
    <t>Orchid Pharma Limited</t>
  </si>
  <si>
    <t>NSE:ORCHPHARMA</t>
  </si>
  <si>
    <t>ORCHPHARMA</t>
  </si>
  <si>
    <t>TARC Limited</t>
  </si>
  <si>
    <t>NSE:TARC</t>
  </si>
  <si>
    <t>TARC</t>
  </si>
  <si>
    <t>TVS Srichakra Limited</t>
  </si>
  <si>
    <t>NSE:TVSSRICHAK</t>
  </si>
  <si>
    <t>TVSSRICHAK</t>
  </si>
  <si>
    <t>Gandhar Oil Refinery (India) Limited</t>
  </si>
  <si>
    <t>NSE:GANDHAR</t>
  </si>
  <si>
    <t>GANDHAR</t>
  </si>
  <si>
    <t>PSP Projects Limited</t>
  </si>
  <si>
    <t>NSE:PSPPROJECT</t>
  </si>
  <si>
    <t>PSPPROJECT</t>
  </si>
  <si>
    <t>Paras Defence and Space Technologies Limited</t>
  </si>
  <si>
    <t>NSE:PARAS</t>
  </si>
  <si>
    <t>PARAS</t>
  </si>
  <si>
    <t>Subros Limited</t>
  </si>
  <si>
    <t>NSE:SUBROS</t>
  </si>
  <si>
    <t>SUBROS</t>
  </si>
  <si>
    <t>Venky's (India) Limited</t>
  </si>
  <si>
    <t>NSE:VENKEYS</t>
  </si>
  <si>
    <t>VENKEYS</t>
  </si>
  <si>
    <t>Venus Pipes &amp; Tubes Limited</t>
  </si>
  <si>
    <t>NSE:VENUSPIPES</t>
  </si>
  <si>
    <t>VENUSPIPES</t>
  </si>
  <si>
    <t>Zaggle Prepaid Ocean Services Limited</t>
  </si>
  <si>
    <t>NSE:ZAGGLE</t>
  </si>
  <si>
    <t>ZAGGLE</t>
  </si>
  <si>
    <t>Gufic Biosciences Limited</t>
  </si>
  <si>
    <t>NSE:GUFICBIO</t>
  </si>
  <si>
    <t>GUFICBIO</t>
  </si>
  <si>
    <t>Apollo Pipes Limited</t>
  </si>
  <si>
    <t>NSE:APOLLOPIPE</t>
  </si>
  <si>
    <t>APOLLOPIPE</t>
  </si>
  <si>
    <t>Mahindra Logistics Limited</t>
  </si>
  <si>
    <t>NSE:MAHLOG</t>
  </si>
  <si>
    <t>MAHLOG</t>
  </si>
  <si>
    <t>Kingfa Science &amp; Technology (India) Limited</t>
  </si>
  <si>
    <t>NSE:KINGFA</t>
  </si>
  <si>
    <t>KINGFA</t>
  </si>
  <si>
    <t>KDDL Limited</t>
  </si>
  <si>
    <t>NSE:KDDL</t>
  </si>
  <si>
    <t>KDDL</t>
  </si>
  <si>
    <t>Globus Spirits Limited</t>
  </si>
  <si>
    <t>NSE:GLOBUSSPR</t>
  </si>
  <si>
    <t>GLOBUSSPR</t>
  </si>
  <si>
    <t>Apcotex Industries Limited</t>
  </si>
  <si>
    <t>NSE:APCOTEXIND</t>
  </si>
  <si>
    <t>APCOTEXIND</t>
  </si>
  <si>
    <t>Shalby Limited</t>
  </si>
  <si>
    <t>NSE:SHALBY</t>
  </si>
  <si>
    <t>SHALBY</t>
  </si>
  <si>
    <t>Bombay Super Hybrid Seeds Limited</t>
  </si>
  <si>
    <t>NSE:BSHSL</t>
  </si>
  <si>
    <t>BSHSL</t>
  </si>
  <si>
    <t>Balmer Lawrie &amp; Company Limited</t>
  </si>
  <si>
    <t>NSE:BALMLAWRIE</t>
  </si>
  <si>
    <t>BALMLAWRIE</t>
  </si>
  <si>
    <t>Wendt (India) Limited</t>
  </si>
  <si>
    <t>NSE:WENDT</t>
  </si>
  <si>
    <t>WENDT</t>
  </si>
  <si>
    <t>Barbeque Nation Hospitality Limited</t>
  </si>
  <si>
    <t>NSE:BARBEQUE</t>
  </si>
  <si>
    <t>BARBEQUE</t>
  </si>
  <si>
    <t>Eveready Industries India Limited</t>
  </si>
  <si>
    <t>NSE:EVEREADY</t>
  </si>
  <si>
    <t>EVEREADY</t>
  </si>
  <si>
    <t>Uniparts India Limited</t>
  </si>
  <si>
    <t>NSE:UNIPARTS</t>
  </si>
  <si>
    <t>UNIPARTS</t>
  </si>
  <si>
    <t>Vindhya Telelinks Limited</t>
  </si>
  <si>
    <t>NSE:VINDHYATEL</t>
  </si>
  <si>
    <t>VINDHYATEL</t>
  </si>
  <si>
    <t>Madhya Bharat Agro Products Limited</t>
  </si>
  <si>
    <t>NSE:MBAPL</t>
  </si>
  <si>
    <t>MBAPL</t>
  </si>
  <si>
    <t>MPS Limited</t>
  </si>
  <si>
    <t>NSE:MPSLTD</t>
  </si>
  <si>
    <t>MPSLTD</t>
  </si>
  <si>
    <t>Pilani Investment and Industries Corporation Limited</t>
  </si>
  <si>
    <t>NSE:PILANIINVS</t>
  </si>
  <si>
    <t>PILANIINVS</t>
  </si>
  <si>
    <t>Ashapura Minechem Limited</t>
  </si>
  <si>
    <t>NSE:ASHAPURMIN</t>
  </si>
  <si>
    <t>ASHAPURMIN</t>
  </si>
  <si>
    <t>Honda India Power Products Limited</t>
  </si>
  <si>
    <t>NSE:HONDAPOWER</t>
  </si>
  <si>
    <t>HONDAPOWER</t>
  </si>
  <si>
    <t>Siyaram Silk Mills Limited</t>
  </si>
  <si>
    <t>NSE:SIYSIL</t>
  </si>
  <si>
    <t>SIYSIL</t>
  </si>
  <si>
    <t>Imagicaaworld Entertainment Limited</t>
  </si>
  <si>
    <t>NSE:IMAGICAA</t>
  </si>
  <si>
    <t>IMAGICAA</t>
  </si>
  <si>
    <t>Ugro Capital Limited</t>
  </si>
  <si>
    <t>NSE:UGROCAP</t>
  </si>
  <si>
    <t>UGROCAP</t>
  </si>
  <si>
    <t>Lumax Auto Technologies Limited</t>
  </si>
  <si>
    <t>NSE:LUMAXTECH</t>
  </si>
  <si>
    <t>LUMAXTECH</t>
  </si>
  <si>
    <t>Swaraj Engines Limited</t>
  </si>
  <si>
    <t>NSE:SWARAJENG</t>
  </si>
  <si>
    <t>SWARAJENG</t>
  </si>
  <si>
    <t>Fino Payments Bank Limited</t>
  </si>
  <si>
    <t>NSE:FINOPB</t>
  </si>
  <si>
    <t>FINOPB</t>
  </si>
  <si>
    <t>NRB Bearing Limited</t>
  </si>
  <si>
    <t>NSE:NRBBEARING</t>
  </si>
  <si>
    <t>NRBBEARING</t>
  </si>
  <si>
    <t>Camlin Fine Sciences Limited</t>
  </si>
  <si>
    <t>NSE:CAMLINFINE</t>
  </si>
  <si>
    <t>CAMLINFINE</t>
  </si>
  <si>
    <t>IOL Chemicals and Pharmaceuticals Limited</t>
  </si>
  <si>
    <t>NSE:IOLCP</t>
  </si>
  <si>
    <t>IOLCP</t>
  </si>
  <si>
    <t>Astec LifeSciences Limited</t>
  </si>
  <si>
    <t>NSE:ASTEC</t>
  </si>
  <si>
    <t>ASTEC</t>
  </si>
  <si>
    <t>CARE Ratings Limited</t>
  </si>
  <si>
    <t>NSE:CARERATING</t>
  </si>
  <si>
    <t>CARERATING</t>
  </si>
  <si>
    <t>ISMT Limited</t>
  </si>
  <si>
    <t>NSE:ISMTLTD</t>
  </si>
  <si>
    <t>ISMTLTD</t>
  </si>
  <si>
    <t>Cigniti Technologies Limited</t>
  </si>
  <si>
    <t>NSE:CIGNITITEC</t>
  </si>
  <si>
    <t>CIGNITITEC</t>
  </si>
  <si>
    <t>Gensol Engineering Limited</t>
  </si>
  <si>
    <t>NSE:GENSOL</t>
  </si>
  <si>
    <t>GENSOL</t>
  </si>
  <si>
    <t>Optiemus Infracom Limited</t>
  </si>
  <si>
    <t>NSE:OPTIEMUS</t>
  </si>
  <si>
    <t>OPTIEMUS</t>
  </si>
  <si>
    <t>Fiem Industries Limited</t>
  </si>
  <si>
    <t>NSE:FIEMIND</t>
  </si>
  <si>
    <t>FIEMIND</t>
  </si>
  <si>
    <t>Sequent Scientific Limited</t>
  </si>
  <si>
    <t>NSE:SEQUENT</t>
  </si>
  <si>
    <t>SEQUENT</t>
  </si>
  <si>
    <t>Dhani Services Limited</t>
  </si>
  <si>
    <t>NSE:DHANI</t>
  </si>
  <si>
    <t>DHANI</t>
  </si>
  <si>
    <t>Sandhar Technologies Limited</t>
  </si>
  <si>
    <t>NSE:SANDHAR</t>
  </si>
  <si>
    <t>SANDHAR</t>
  </si>
  <si>
    <t>TCNS Clothing Co. Limited</t>
  </si>
  <si>
    <t>NSE:TCNSBRANDS</t>
  </si>
  <si>
    <t>TCNSBRANDS</t>
  </si>
  <si>
    <t>Dishman Carbogen Amcis Limited</t>
  </si>
  <si>
    <t>NSE:DCAL</t>
  </si>
  <si>
    <t>DCAL</t>
  </si>
  <si>
    <t>Som Distilleries &amp; Breweries Limited</t>
  </si>
  <si>
    <t>NSE:SDBL</t>
  </si>
  <si>
    <t>SDBL</t>
  </si>
  <si>
    <t>Vishnu Prakash R Punglia Limited</t>
  </si>
  <si>
    <t>NSE:VPRPL</t>
  </si>
  <si>
    <t>VPRPL</t>
  </si>
  <si>
    <t>Confidence Petroleum India Limited</t>
  </si>
  <si>
    <t>NSE:CONFIPET</t>
  </si>
  <si>
    <t>CONFIPET</t>
  </si>
  <si>
    <t>Hindustan Oil Exploration Company Limited</t>
  </si>
  <si>
    <t>NSE:HINDOILEXP</t>
  </si>
  <si>
    <t>HINDOILEXP</t>
  </si>
  <si>
    <t>Dollar Industries Limited</t>
  </si>
  <si>
    <t>NSE:DOLLAR</t>
  </si>
  <si>
    <t>DOLLAR</t>
  </si>
  <si>
    <t>ADF Foods Limited</t>
  </si>
  <si>
    <t>NSE:ADFFOODS</t>
  </si>
  <si>
    <t>ADFFOODS</t>
  </si>
  <si>
    <t>Prakash Industries Limited</t>
  </si>
  <si>
    <t>NSE:PRAKASH</t>
  </si>
  <si>
    <t>PRAKASH</t>
  </si>
  <si>
    <t>Repco Home Finance Limited</t>
  </si>
  <si>
    <t>NSE:REPCOHOME</t>
  </si>
  <si>
    <t>REPCOHOME</t>
  </si>
  <si>
    <t>Mukand Limited</t>
  </si>
  <si>
    <t>NSE:MUKANDLTD</t>
  </si>
  <si>
    <t>MUKANDLTD</t>
  </si>
  <si>
    <t>Precision Camshafts Limited</t>
  </si>
  <si>
    <t>NSE:PRECAM</t>
  </si>
  <si>
    <t>PRECAM</t>
  </si>
  <si>
    <t>GOCL Corporation Limited</t>
  </si>
  <si>
    <t>NSE:GOCLCORP</t>
  </si>
  <si>
    <t>GOCLCORP</t>
  </si>
  <si>
    <t>Mayur Uniquoters Ltd</t>
  </si>
  <si>
    <t>NSE:MAYURUNIQ</t>
  </si>
  <si>
    <t>MAYURUNIQ</t>
  </si>
  <si>
    <t>Parag Milk Foods Limited</t>
  </si>
  <si>
    <t>NSE:PARAGMILK</t>
  </si>
  <si>
    <t>PARAGMILK</t>
  </si>
  <si>
    <t>Manorama Industries Limited</t>
  </si>
  <si>
    <t>NSE:MANORAMA</t>
  </si>
  <si>
    <t>MANORAMA</t>
  </si>
  <si>
    <t>Bhansali Engineering Polymers Limited</t>
  </si>
  <si>
    <t>NSE:BEPL</t>
  </si>
  <si>
    <t>BEPL</t>
  </si>
  <si>
    <t>SEPC Limited</t>
  </si>
  <si>
    <t>NSE:SEPC</t>
  </si>
  <si>
    <t>SEPC</t>
  </si>
  <si>
    <t>Den Networks Limited</t>
  </si>
  <si>
    <t>NSE:DEN</t>
  </si>
  <si>
    <t>DEN</t>
  </si>
  <si>
    <t>Ashiana Housing Limited</t>
  </si>
  <si>
    <t>NSE:ASHIANA</t>
  </si>
  <si>
    <t>ASHIANA</t>
  </si>
  <si>
    <t>Indian Metals &amp; Ferro Alloys Limited</t>
  </si>
  <si>
    <t>NSE:IMFA</t>
  </si>
  <si>
    <t>IMFA</t>
  </si>
  <si>
    <t>Gallantt Ispat Limited</t>
  </si>
  <si>
    <t>NSE:GALLANTT</t>
  </si>
  <si>
    <t>GALLANTT</t>
  </si>
  <si>
    <t>Heritage Foods Limited</t>
  </si>
  <si>
    <t>NSE:HERITGFOOD</t>
  </si>
  <si>
    <t>HERITGFOOD</t>
  </si>
  <si>
    <t>Savita Oil Technologies Limited</t>
  </si>
  <si>
    <t>NSE:SOTL</t>
  </si>
  <si>
    <t>SOTL</t>
  </si>
  <si>
    <t>The Anup Engineering Limited</t>
  </si>
  <si>
    <t>NSE:ANUP</t>
  </si>
  <si>
    <t>ANUP</t>
  </si>
  <si>
    <t>MM Forgings Limited</t>
  </si>
  <si>
    <t>NSE:MMFL</t>
  </si>
  <si>
    <t>MMFL</t>
  </si>
  <si>
    <t>Sadhana Nitrochem Limited</t>
  </si>
  <si>
    <t>NSE:SADHNANIQ</t>
  </si>
  <si>
    <t>SADHNANIQ</t>
  </si>
  <si>
    <t>Greenply Industries Limited</t>
  </si>
  <si>
    <t>NSE:GREENPLY</t>
  </si>
  <si>
    <t>GREENPLY</t>
  </si>
  <si>
    <t>Skipper Limited</t>
  </si>
  <si>
    <t>NSE:SKIPPER</t>
  </si>
  <si>
    <t>SKIPPER</t>
  </si>
  <si>
    <t>HIL Limited</t>
  </si>
  <si>
    <t>NSE:HIL</t>
  </si>
  <si>
    <t>HIL</t>
  </si>
  <si>
    <t>Styrenix Performance Materials Limited</t>
  </si>
  <si>
    <t>NSE:STYRENIX</t>
  </si>
  <si>
    <t>STYRENIX</t>
  </si>
  <si>
    <t>Satin Creditcare Network Limited</t>
  </si>
  <si>
    <t>NSE:SATIN</t>
  </si>
  <si>
    <t>SATIN</t>
  </si>
  <si>
    <t>Raj Rayon Industries Limited</t>
  </si>
  <si>
    <t>NSE:RAJRILTD</t>
  </si>
  <si>
    <t>RAJRILTD</t>
  </si>
  <si>
    <t>BF Utilities Limited</t>
  </si>
  <si>
    <t>NSE:BFUTILITIE</t>
  </si>
  <si>
    <t>BFUTILITIE</t>
  </si>
  <si>
    <t>Accelya Solutions India Limited</t>
  </si>
  <si>
    <t>NSE:ACCELYA</t>
  </si>
  <si>
    <t>ACCELYA</t>
  </si>
  <si>
    <t>Jagran Prakashan Limited</t>
  </si>
  <si>
    <t>NSE:JAGRAN</t>
  </si>
  <si>
    <t>JAGRAN</t>
  </si>
  <si>
    <t>Pearl Global Industries Limited</t>
  </si>
  <si>
    <t>NSE:PGIL</t>
  </si>
  <si>
    <t>PGIL</t>
  </si>
  <si>
    <t>Lumax Industries Limited</t>
  </si>
  <si>
    <t>NSE:LUMAXIND</t>
  </si>
  <si>
    <t>LUMAXIND</t>
  </si>
  <si>
    <t>Ganesha Ecosphere Limited</t>
  </si>
  <si>
    <t>NSE:GANECOS</t>
  </si>
  <si>
    <t>GANECOS</t>
  </si>
  <si>
    <t>Foseco India Limited</t>
  </si>
  <si>
    <t>NSE:FOSECOIND</t>
  </si>
  <si>
    <t>FOSECOIND</t>
  </si>
  <si>
    <t>India Glycols Limited</t>
  </si>
  <si>
    <t>NSE:INDIAGLYCO</t>
  </si>
  <si>
    <t>INDIAGLYCO</t>
  </si>
  <si>
    <t>Bharat Bijlee Limited</t>
  </si>
  <si>
    <t>NSE:BBL</t>
  </si>
  <si>
    <t>BBL</t>
  </si>
  <si>
    <t>Supriya Lifescience Limited</t>
  </si>
  <si>
    <t>NSE:SUPRIYA</t>
  </si>
  <si>
    <t>SUPRIYA</t>
  </si>
  <si>
    <t>Vishnu Chemicals Limited</t>
  </si>
  <si>
    <t>NSE:VISHNU</t>
  </si>
  <si>
    <t>VISHNU</t>
  </si>
  <si>
    <t>Rupa &amp; Company Limited</t>
  </si>
  <si>
    <t>NSE:RUPA</t>
  </si>
  <si>
    <t>RUPA</t>
  </si>
  <si>
    <t>Prataap Snacks Limited</t>
  </si>
  <si>
    <t>NSE:DIAMONDYD</t>
  </si>
  <si>
    <t>DIAMONDYD</t>
  </si>
  <si>
    <t>Gujarat Industries Power Company Limited</t>
  </si>
  <si>
    <t>NSE:GIPCL</t>
  </si>
  <si>
    <t>GIPCL</t>
  </si>
  <si>
    <t>Yatra Online Limited</t>
  </si>
  <si>
    <t>NSE:YATRA</t>
  </si>
  <si>
    <t>YATRA</t>
  </si>
  <si>
    <t>Thirumalai Chemicals Limited</t>
  </si>
  <si>
    <t>NSE:TIRUMALCHM</t>
  </si>
  <si>
    <t>TIRUMALCHM</t>
  </si>
  <si>
    <t>IndoStar Capital Finance Limited</t>
  </si>
  <si>
    <t>NSE:INDOSTAR</t>
  </si>
  <si>
    <t>INDOSTAR</t>
  </si>
  <si>
    <t>Sirca Paints India Limited</t>
  </si>
  <si>
    <t>NSE:SIRCA</t>
  </si>
  <si>
    <t>SIRCA</t>
  </si>
  <si>
    <t>Expleo Solutions Limited</t>
  </si>
  <si>
    <t>NSE:EXPLEOSOL</t>
  </si>
  <si>
    <t>EXPLEOSOL</t>
  </si>
  <si>
    <t>Alembic Limited</t>
  </si>
  <si>
    <t>NSE:ALEMBICLTD</t>
  </si>
  <si>
    <t>ALEMBICLTD</t>
  </si>
  <si>
    <t>Seshasayee Paper and Boards Limited</t>
  </si>
  <si>
    <t>NSE:SESHAPAPER</t>
  </si>
  <si>
    <t>SESHAPAPER</t>
  </si>
  <si>
    <t>Tide Water Oil Company (India) Limited</t>
  </si>
  <si>
    <t>NSE:TIDEWATER</t>
  </si>
  <si>
    <t>TIDEWATER</t>
  </si>
  <si>
    <t>Vidhi Specialty Food Ingredients Limited</t>
  </si>
  <si>
    <t>NSE:VIDHIING</t>
  </si>
  <si>
    <t>VIDHIING</t>
  </si>
  <si>
    <t>ANDHRA PAPER LIMITED</t>
  </si>
  <si>
    <t>NSE:ANDHRAPAP</t>
  </si>
  <si>
    <t>ANDHRAPAP</t>
  </si>
  <si>
    <t>Huhtamaki India Limited</t>
  </si>
  <si>
    <t>NSE:HUHTAMAKI</t>
  </si>
  <si>
    <t>HUHTAMAKI</t>
  </si>
  <si>
    <t>RPG Life Sciences Limited</t>
  </si>
  <si>
    <t>NSE:RPGLIFE</t>
  </si>
  <si>
    <t>RPGLIFE</t>
  </si>
  <si>
    <t>Inox Green Energy Services Limited</t>
  </si>
  <si>
    <t>NSE:INOXGREEN</t>
  </si>
  <si>
    <t>INOXGREEN</t>
  </si>
  <si>
    <t>Butterfly Gandhimathi Appliances Limited</t>
  </si>
  <si>
    <t>NSE:BUTTERFLY</t>
  </si>
  <si>
    <t>BUTTERFLY</t>
  </si>
  <si>
    <t>AXISCADES Technologies Limited</t>
  </si>
  <si>
    <t>NSE:AXISCADES</t>
  </si>
  <si>
    <t>AXISCADES</t>
  </si>
  <si>
    <t>Federal-Mogul Goetze (India) Limited.</t>
  </si>
  <si>
    <t>NSE:FMGOETZE</t>
  </si>
  <si>
    <t>FMGOETZE</t>
  </si>
  <si>
    <t>Agro Tech Foods Limited</t>
  </si>
  <si>
    <t>NSE:ATFL</t>
  </si>
  <si>
    <t>ATFL</t>
  </si>
  <si>
    <t>Thejo Engineering Limited</t>
  </si>
  <si>
    <t>NSE:THEJO</t>
  </si>
  <si>
    <t>THEJO</t>
  </si>
  <si>
    <t>EMS Limited</t>
  </si>
  <si>
    <t>NSE:EMSLIMITED</t>
  </si>
  <si>
    <t>EMSLIMITED</t>
  </si>
  <si>
    <t>Filatex India Limited</t>
  </si>
  <si>
    <t>NSE:FILATEX</t>
  </si>
  <si>
    <t>FILATEX</t>
  </si>
  <si>
    <t>Meghmani Organics Limited</t>
  </si>
  <si>
    <t>NSE:MOL</t>
  </si>
  <si>
    <t>MOL</t>
  </si>
  <si>
    <t>Kalyani Steels Limited</t>
  </si>
  <si>
    <t>NSE:KSL</t>
  </si>
  <si>
    <t>KSL</t>
  </si>
  <si>
    <t>IFGL Refractories Limited</t>
  </si>
  <si>
    <t>NSE:IFGLEXPOR</t>
  </si>
  <si>
    <t>IFGLEXPOR</t>
  </si>
  <si>
    <t>S H Kelkar and Company Limited</t>
  </si>
  <si>
    <t>NSE:SHK</t>
  </si>
  <si>
    <t>SHK</t>
  </si>
  <si>
    <t>GMR Power and Urban Infra Limited</t>
  </si>
  <si>
    <t>NSE:GMRP&amp;UI</t>
  </si>
  <si>
    <t>GMRP&amp;UI</t>
  </si>
  <si>
    <t>Aeroflex Industries Limited</t>
  </si>
  <si>
    <t>NSE:AEROFLEX</t>
  </si>
  <si>
    <t>AEROFLEX</t>
  </si>
  <si>
    <t>HMT Limited</t>
  </si>
  <si>
    <t>NSE:HMT</t>
  </si>
  <si>
    <t>HMT</t>
  </si>
  <si>
    <t>Transformers And Rectifiers (India) Limited</t>
  </si>
  <si>
    <t>NSE:TRIL</t>
  </si>
  <si>
    <t>TRIL</t>
  </si>
  <si>
    <t>S.J.S. Enterprises Limited</t>
  </si>
  <si>
    <t>NSE:SJS</t>
  </si>
  <si>
    <t>SJS</t>
  </si>
  <si>
    <t>Artemis Medicare Services Limited</t>
  </si>
  <si>
    <t>NSE:ARTEMISMED</t>
  </si>
  <si>
    <t>ARTEMISMED</t>
  </si>
  <si>
    <t>GNA Axles Limited</t>
  </si>
  <si>
    <t>NSE:GNA</t>
  </si>
  <si>
    <t>GNA</t>
  </si>
  <si>
    <t>Krsnaa Diagnostics Limited</t>
  </si>
  <si>
    <t>NSE:KRSNAA</t>
  </si>
  <si>
    <t>KRSNAA</t>
  </si>
  <si>
    <t>Precision Wires India Limited</t>
  </si>
  <si>
    <t>NSE:PRECWIRE</t>
  </si>
  <si>
    <t>PRECWIRE</t>
  </si>
  <si>
    <t>Arman Financial Services Limited</t>
  </si>
  <si>
    <t>NSE:ARMANFIN</t>
  </si>
  <si>
    <t>ARMANFIN</t>
  </si>
  <si>
    <t>Yasho Industries Limited</t>
  </si>
  <si>
    <t>NSE:YASHO</t>
  </si>
  <si>
    <t>YASHO</t>
  </si>
  <si>
    <t>IRM Energy Limited</t>
  </si>
  <si>
    <t>NSE:IRMENERGY</t>
  </si>
  <si>
    <t>IRMENERGY</t>
  </si>
  <si>
    <t>CARYSIL LIMITED</t>
  </si>
  <si>
    <t>NSE:CARYSIL</t>
  </si>
  <si>
    <t>CARYSIL</t>
  </si>
  <si>
    <t>Pitti Engineering Limited</t>
  </si>
  <si>
    <t>NSE:PITTIENG</t>
  </si>
  <si>
    <t>PITTIENG</t>
  </si>
  <si>
    <t>Rishabh Instruments Limited</t>
  </si>
  <si>
    <t>NSE:RISHABH</t>
  </si>
  <si>
    <t>RISHABH</t>
  </si>
  <si>
    <t>Morepen Laboratories Limited</t>
  </si>
  <si>
    <t>NSE:MOREPENLAB</t>
  </si>
  <si>
    <t>MOREPENLAB</t>
  </si>
  <si>
    <t>Seamec Limited</t>
  </si>
  <si>
    <t>NSE:SEAMECLTD</t>
  </si>
  <si>
    <t>SEAMECLTD</t>
  </si>
  <si>
    <t>Marathon Nextgen Realty Limited</t>
  </si>
  <si>
    <t>NSE:MARATHON</t>
  </si>
  <si>
    <t>MARATHON</t>
  </si>
  <si>
    <t>Updater Services Limited</t>
  </si>
  <si>
    <t>NSE:UDS</t>
  </si>
  <si>
    <t>UDS</t>
  </si>
  <si>
    <t>Apollo Micro Systems Limited</t>
  </si>
  <si>
    <t>NSE:APOLLO</t>
  </si>
  <si>
    <t>APOLLO</t>
  </si>
  <si>
    <t>Panama Petrochem Limited</t>
  </si>
  <si>
    <t>NSE:PANAMAPET</t>
  </si>
  <si>
    <t>PANAMAPET</t>
  </si>
  <si>
    <t>Goodluck India Limited</t>
  </si>
  <si>
    <t>NSE:GOODLUCK</t>
  </si>
  <si>
    <t>GOODLUCK</t>
  </si>
  <si>
    <t>Allcargo Gati Limited</t>
  </si>
  <si>
    <t>NSE:ACLGATI</t>
  </si>
  <si>
    <t>ACLGATI</t>
  </si>
  <si>
    <t>Vadilal Industries Limited</t>
  </si>
  <si>
    <t>NSE:VADILALIND</t>
  </si>
  <si>
    <t>VADILALIND</t>
  </si>
  <si>
    <t>PTC India Financial Services Limited</t>
  </si>
  <si>
    <t>NSE:PFS</t>
  </si>
  <si>
    <t>PFS</t>
  </si>
  <si>
    <t>Centum Electronics Limited</t>
  </si>
  <si>
    <t>NSE:CENTUM</t>
  </si>
  <si>
    <t>CENTUM</t>
  </si>
  <si>
    <t>Vakrangee Limited</t>
  </si>
  <si>
    <t>NSE:VAKRANGEE</t>
  </si>
  <si>
    <t>VAKRANGEE</t>
  </si>
  <si>
    <t>Subex Limited</t>
  </si>
  <si>
    <t>NSE:SUBEXLTD</t>
  </si>
  <si>
    <t>SUBEXLTD</t>
  </si>
  <si>
    <t>SML Isuzu Limited</t>
  </si>
  <si>
    <t>NSE:SMLISUZU</t>
  </si>
  <si>
    <t>SMLISUZU</t>
  </si>
  <si>
    <t>Amrutanjan Health Care Limited</t>
  </si>
  <si>
    <t>NSE:AMRUTANJAN</t>
  </si>
  <si>
    <t>AMRUTANJAN</t>
  </si>
  <si>
    <t>Xpro India Limited</t>
  </si>
  <si>
    <t>NSE:XPROINDIA</t>
  </si>
  <si>
    <t>XPROINDIA</t>
  </si>
  <si>
    <t>GTPL Hathway Limited</t>
  </si>
  <si>
    <t>NSE:GTPL</t>
  </si>
  <si>
    <t>GTPL</t>
  </si>
  <si>
    <t>Rama Steel Tubes Limited</t>
  </si>
  <si>
    <t>NSE:RAMASTEEL</t>
  </si>
  <si>
    <t>RAMASTEEL</t>
  </si>
  <si>
    <t>Dhampur Sugar Mills Limited</t>
  </si>
  <si>
    <t>NSE:DHAMPURSUG</t>
  </si>
  <si>
    <t>DHAMPURSUG</t>
  </si>
  <si>
    <t>TCPL Packaging Limited</t>
  </si>
  <si>
    <t>NSE:TCPLPACK</t>
  </si>
  <si>
    <t>TCPLPACK</t>
  </si>
  <si>
    <t>BF Investment Limited</t>
  </si>
  <si>
    <t>NSE:BFINVEST</t>
  </si>
  <si>
    <t>BFINVEST</t>
  </si>
  <si>
    <t>Tamil Nadu Newsprint &amp; Papers Limited</t>
  </si>
  <si>
    <t>NSE:TNPL</t>
  </si>
  <si>
    <t>TNPL</t>
  </si>
  <si>
    <t>NELCO Limited</t>
  </si>
  <si>
    <t>NSE:NELCO</t>
  </si>
  <si>
    <t>NELCO</t>
  </si>
  <si>
    <t>Suryoday Small Finance Bank Limited</t>
  </si>
  <si>
    <t>NSE:SURYODAY</t>
  </si>
  <si>
    <t>SURYODAY</t>
  </si>
  <si>
    <t>Cantabil Retail India Limited</t>
  </si>
  <si>
    <t>NSE:CANTABIL</t>
  </si>
  <si>
    <t>CANTABIL</t>
  </si>
  <si>
    <t>RPSG VENTURES LIMITED</t>
  </si>
  <si>
    <t>NSE:RPSGVENT</t>
  </si>
  <si>
    <t>RPSGVENT</t>
  </si>
  <si>
    <t>TTK Healthcare Limited</t>
  </si>
  <si>
    <t>NSE:TTKHLTCARE</t>
  </si>
  <si>
    <t>TTKHLTCARE</t>
  </si>
  <si>
    <t>Wheels India Limited</t>
  </si>
  <si>
    <t>NSE:WHEELS</t>
  </si>
  <si>
    <t>WHEELS</t>
  </si>
  <si>
    <t>Everest Industries Limited</t>
  </si>
  <si>
    <t>NSE:EVERESTIND</t>
  </si>
  <si>
    <t>EVERESTIND</t>
  </si>
  <si>
    <t>Igarashi Motors India Limited</t>
  </si>
  <si>
    <t>NSE:IGARASHI</t>
  </si>
  <si>
    <t>IGARASHI</t>
  </si>
  <si>
    <t>Dwarikesh Sugar Industries Limited</t>
  </si>
  <si>
    <t>NSE:DWARKESH</t>
  </si>
  <si>
    <t>DWARKESH</t>
  </si>
  <si>
    <t>Oriental Hotels Limited</t>
  </si>
  <si>
    <t>NSE:ORIENTHOT</t>
  </si>
  <si>
    <t>ORIENTHOT</t>
  </si>
  <si>
    <t>Rossell India Limited</t>
  </si>
  <si>
    <t>NSE:ROSSELLIND</t>
  </si>
  <si>
    <t>ROSSELLIND</t>
  </si>
  <si>
    <t>Bharat Wire Ropes Limited</t>
  </si>
  <si>
    <t>NSE:BHARATWIRE</t>
  </si>
  <si>
    <t>BHARATWIRE</t>
  </si>
  <si>
    <t>Ador Welding Limited</t>
  </si>
  <si>
    <t>NSE:ADORWELD</t>
  </si>
  <si>
    <t>ADORWELD</t>
  </si>
  <si>
    <t>Jindal Drilling And Industries Limited</t>
  </si>
  <si>
    <t>NSE:JINDRILL</t>
  </si>
  <si>
    <t>JINDRILL</t>
  </si>
  <si>
    <t>Hariom Pipe Industries Limited</t>
  </si>
  <si>
    <t>NSE:HARIOMPIPE</t>
  </si>
  <si>
    <t>HARIOMPIPE</t>
  </si>
  <si>
    <t>Shankara Building Products Limited</t>
  </si>
  <si>
    <t>NSE:SHANKARA</t>
  </si>
  <si>
    <t>SHANKARA</t>
  </si>
  <si>
    <t>COSMO FIRST LIMITED</t>
  </si>
  <si>
    <t>NSE:COSMOFIRST</t>
  </si>
  <si>
    <t>COSMOFIRST</t>
  </si>
  <si>
    <t>Aptech Limited</t>
  </si>
  <si>
    <t>NSE:APTECHT</t>
  </si>
  <si>
    <t>APTECHT</t>
  </si>
  <si>
    <t>Servotech Power Systems Limited</t>
  </si>
  <si>
    <t>NSE:SERVOTECH</t>
  </si>
  <si>
    <t>SERVOTECH</t>
  </si>
  <si>
    <t>Gokul Agro Resources Limited</t>
  </si>
  <si>
    <t>NSE:GOKULAGRO</t>
  </si>
  <si>
    <t>GOKULAGRO</t>
  </si>
  <si>
    <t>Vardhman Special Steels Limited</t>
  </si>
  <si>
    <t>NSE:VSSL</t>
  </si>
  <si>
    <t>VSSL</t>
  </si>
  <si>
    <t>Ramco Industries Limited</t>
  </si>
  <si>
    <t>NSE:RAMCOIND</t>
  </si>
  <si>
    <t>RAMCOIND</t>
  </si>
  <si>
    <t>Pix Transmissions Limited</t>
  </si>
  <si>
    <t>NSE:PIXTRANS</t>
  </si>
  <si>
    <t>PIXTRANS</t>
  </si>
  <si>
    <t>Sasken Technologies Limited</t>
  </si>
  <si>
    <t>NSE:SASKEN</t>
  </si>
  <si>
    <t>SASKEN</t>
  </si>
  <si>
    <t>Stove Kraft Limited</t>
  </si>
  <si>
    <t>NSE:STOVEKRAFT</t>
  </si>
  <si>
    <t>STOVEKRAFT</t>
  </si>
  <si>
    <t>Sangam (India) Limited</t>
  </si>
  <si>
    <t>NSE:SANGAMIND</t>
  </si>
  <si>
    <t>SANGAMIND</t>
  </si>
  <si>
    <t>KCP Limited</t>
  </si>
  <si>
    <t>NSE:KCP</t>
  </si>
  <si>
    <t>KCP</t>
  </si>
  <si>
    <t>Jash Engineering Limited</t>
  </si>
  <si>
    <t>NSE:JASH</t>
  </si>
  <si>
    <t>JASH</t>
  </si>
  <si>
    <t>Mahanagar Telephone Nigam Limited</t>
  </si>
  <si>
    <t>NSE:MTNL</t>
  </si>
  <si>
    <t>MTNL</t>
  </si>
  <si>
    <t>Nitin Spinners Limited</t>
  </si>
  <si>
    <t>NSE:NITINSPIN</t>
  </si>
  <si>
    <t>NITINSPIN</t>
  </si>
  <si>
    <t>Arvind SmartSpaces Limited</t>
  </si>
  <si>
    <t>NSE:ARVSMART</t>
  </si>
  <si>
    <t>ARVSMART</t>
  </si>
  <si>
    <t>Capacit'e Infraprojects Limited</t>
  </si>
  <si>
    <t>NSE:CAPACITE</t>
  </si>
  <si>
    <t>CAPACITE</t>
  </si>
  <si>
    <t>Salasar Techno Engineering Limited</t>
  </si>
  <si>
    <t>NSE:SALASAR</t>
  </si>
  <si>
    <t>SALASAR</t>
  </si>
  <si>
    <t>Mufin Green Finance Limited</t>
  </si>
  <si>
    <t>NSE:MUFIN</t>
  </si>
  <si>
    <t>MUFIN</t>
  </si>
  <si>
    <t>Rane Holdings Limited</t>
  </si>
  <si>
    <t>NSE:RANEHOLDIN</t>
  </si>
  <si>
    <t>RANEHOLDIN</t>
  </si>
  <si>
    <t>Kuantum Papers Limited</t>
  </si>
  <si>
    <t>NSE:KUANTUM</t>
  </si>
  <si>
    <t>KUANTUM</t>
  </si>
  <si>
    <t>DPSC Limited</t>
  </si>
  <si>
    <t>NSE:DPSCLTD</t>
  </si>
  <si>
    <t>DPSCLTD</t>
  </si>
  <si>
    <t>Deep Industries Limited</t>
  </si>
  <si>
    <t>NSE:DEEPINDS</t>
  </si>
  <si>
    <t>DEEPINDS</t>
  </si>
  <si>
    <t>Shakti Pumps (India) Limited</t>
  </si>
  <si>
    <t>NSE:SHAKTIPUMP</t>
  </si>
  <si>
    <t>SHAKTIPUMP</t>
  </si>
  <si>
    <t>Monte Carlo Fashions Limited</t>
  </si>
  <si>
    <t>NSE:MONTECARLO</t>
  </si>
  <si>
    <t>MONTECARLO</t>
  </si>
  <si>
    <t>Universal Cables Limited</t>
  </si>
  <si>
    <t>NSE:UNIVCABLES</t>
  </si>
  <si>
    <t>UNIVCABLES</t>
  </si>
  <si>
    <t>NACL Industries Limited</t>
  </si>
  <si>
    <t>NSE:NACLIND</t>
  </si>
  <si>
    <t>NACLIND</t>
  </si>
  <si>
    <t>Suven Life Sciences Limited</t>
  </si>
  <si>
    <t>NSE:SUVEN</t>
  </si>
  <si>
    <t>SUVEN</t>
  </si>
  <si>
    <t>Reliance Industrial Infrastructure Limited</t>
  </si>
  <si>
    <t>NSE:RIIL</t>
  </si>
  <si>
    <t>RIIL</t>
  </si>
  <si>
    <t>Shriram Properties Limited</t>
  </si>
  <si>
    <t>NSE:SHRIRAMPPS</t>
  </si>
  <si>
    <t>SHRIRAMPPS</t>
  </si>
  <si>
    <t>Abans Holdings Limited</t>
  </si>
  <si>
    <t>NSE:AHL</t>
  </si>
  <si>
    <t>AHL</t>
  </si>
  <si>
    <t>DCW Limited</t>
  </si>
  <si>
    <t>NSE:DCW</t>
  </si>
  <si>
    <t>DCW</t>
  </si>
  <si>
    <t>Uttam Sugar Mills Limited</t>
  </si>
  <si>
    <t>NSE:UTTAMSUGAR</t>
  </si>
  <si>
    <t>UTTAMSUGAR</t>
  </si>
  <si>
    <t>Insecticides (India) Limited</t>
  </si>
  <si>
    <t>NSE:INSECTICID</t>
  </si>
  <si>
    <t>INSECTICID</t>
  </si>
  <si>
    <t>Shaily Engineering Plastics Limited</t>
  </si>
  <si>
    <t>NSE:SHAILY</t>
  </si>
  <si>
    <t>SHAILY</t>
  </si>
  <si>
    <t>The Andhra Sugars Limited</t>
  </si>
  <si>
    <t>NSE:ANDHRSUGAR</t>
  </si>
  <si>
    <t>ANDHRSUGAR</t>
  </si>
  <si>
    <t>Themis Medicare Limited</t>
  </si>
  <si>
    <t>NSE:THEMISMED</t>
  </si>
  <si>
    <t>THEMISMED</t>
  </si>
  <si>
    <t>63 moons technologies limited</t>
  </si>
  <si>
    <t>NSE:63MOONS</t>
  </si>
  <si>
    <t>63MOONS</t>
  </si>
  <si>
    <t>Kabra Extrusion Technik Limited</t>
  </si>
  <si>
    <t>NSE:KABRAEXTRU</t>
  </si>
  <si>
    <t>KABRAEXTRU</t>
  </si>
  <si>
    <t>Indraprastha Medical Corporation Limited</t>
  </si>
  <si>
    <t>NSE:INDRAMEDCO</t>
  </si>
  <si>
    <t>INDRAMEDCO</t>
  </si>
  <si>
    <t>Goldiam International Limited</t>
  </si>
  <si>
    <t>NSE:GOLDIAM</t>
  </si>
  <si>
    <t>GOLDIAM</t>
  </si>
  <si>
    <t>Fairchem Organics Limited</t>
  </si>
  <si>
    <t>NSE:FAIRCHEMOR</t>
  </si>
  <si>
    <t>FAIRCHEMOR</t>
  </si>
  <si>
    <t>Pokarna Limited</t>
  </si>
  <si>
    <t>NSE:POKARNA</t>
  </si>
  <si>
    <t>POKARNA</t>
  </si>
  <si>
    <t>Taj GVK Hotels &amp; Resorts Limited</t>
  </si>
  <si>
    <t>NSE:TAJGVK</t>
  </si>
  <si>
    <t>TAJGVK</t>
  </si>
  <si>
    <t>Manoj Vaibhav Gems N Jewellers Limited</t>
  </si>
  <si>
    <t>NSE:MVGJL</t>
  </si>
  <si>
    <t>MVGJL</t>
  </si>
  <si>
    <t>Orient Green Power Company Limited</t>
  </si>
  <si>
    <t>NSE:GREENPOWER</t>
  </si>
  <si>
    <t>GREENPOWER</t>
  </si>
  <si>
    <t>Kiri Industries Limited</t>
  </si>
  <si>
    <t>NSE:KIRIINDUS</t>
  </si>
  <si>
    <t>KIRIINDUS</t>
  </si>
  <si>
    <t>IG Petrochemicals Limited</t>
  </si>
  <si>
    <t>NSE:IGPL</t>
  </si>
  <si>
    <t>IGPL</t>
  </si>
  <si>
    <t>Bhagiradha Chemicals &amp; Industries Limited</t>
  </si>
  <si>
    <t>NSE:BHAGCHEM</t>
  </si>
  <si>
    <t>BHAGCHEM</t>
  </si>
  <si>
    <t>Heranba Industries Limited</t>
  </si>
  <si>
    <t>NSE:HERANBA</t>
  </si>
  <si>
    <t>HERANBA</t>
  </si>
  <si>
    <t>Pennar Industries Limited</t>
  </si>
  <si>
    <t>NSE:PENIND</t>
  </si>
  <si>
    <t>PENIND</t>
  </si>
  <si>
    <t>Himatsingka Seide Limited</t>
  </si>
  <si>
    <t>NSE:HIMATSEIDE</t>
  </si>
  <si>
    <t>HIMATSEIDE</t>
  </si>
  <si>
    <t>EIH Associated Hotels Limited</t>
  </si>
  <si>
    <t>NSE:EIHAHOTELS</t>
  </si>
  <si>
    <t>EIHAHOTELS</t>
  </si>
  <si>
    <t>New Delhi Television Limited</t>
  </si>
  <si>
    <t>NSE:NDTV</t>
  </si>
  <si>
    <t>NDTV</t>
  </si>
  <si>
    <t>Southern Petrochemicals Industries Corporation Limited</t>
  </si>
  <si>
    <t>NSE:SPIC</t>
  </si>
  <si>
    <t>SPIC</t>
  </si>
  <si>
    <t>Kokuyo Camlin Limited</t>
  </si>
  <si>
    <t>NSE:KOKUYOCMLN</t>
  </si>
  <si>
    <t>KOKUYOCMLN</t>
  </si>
  <si>
    <t>Veranda Learning Solutions Limited</t>
  </si>
  <si>
    <t>NSE:VERANDA</t>
  </si>
  <si>
    <t>VERANDA</t>
  </si>
  <si>
    <t>PNB Gilts Limited</t>
  </si>
  <si>
    <t>NSE:PNBGILTS</t>
  </si>
  <si>
    <t>PNBGILTS</t>
  </si>
  <si>
    <t>Quick Heal Technologies Limited</t>
  </si>
  <si>
    <t>NSE:QUICKHEAL</t>
  </si>
  <si>
    <t>QUICKHEAL</t>
  </si>
  <si>
    <t>Refex Industries Limited</t>
  </si>
  <si>
    <t>NSE:REFEX</t>
  </si>
  <si>
    <t>REFEX</t>
  </si>
  <si>
    <t>PC Jeweller Limited</t>
  </si>
  <si>
    <t>NSE:PCJEWELLER</t>
  </si>
  <si>
    <t>PCJEWELLER</t>
  </si>
  <si>
    <t>NIIT Limited</t>
  </si>
  <si>
    <t>NSE:NIITLTD</t>
  </si>
  <si>
    <t>NIITLTD</t>
  </si>
  <si>
    <t>Hester Biosciences Limited</t>
  </si>
  <si>
    <t>NSE:HESTERBIO</t>
  </si>
  <si>
    <t>HESTERBIO</t>
  </si>
  <si>
    <t>Ajmera Realty &amp; Infra India Limited</t>
  </si>
  <si>
    <t>NSE:AJMERA</t>
  </si>
  <si>
    <t>AJMERA</t>
  </si>
  <si>
    <t>5Paisa Capital Limited</t>
  </si>
  <si>
    <t>NSE:5PAISA</t>
  </si>
  <si>
    <t>5PAISA</t>
  </si>
  <si>
    <t>Hardwyn India Limited</t>
  </si>
  <si>
    <t>NSE:HARDWYN</t>
  </si>
  <si>
    <t>HARDWYN</t>
  </si>
  <si>
    <t>Nalwa Sons Investments Limited</t>
  </si>
  <si>
    <t>NSE:NSIL</t>
  </si>
  <si>
    <t>NSIL</t>
  </si>
  <si>
    <t>Everest Kanto Cylinder Limited</t>
  </si>
  <si>
    <t>NSE:EKC</t>
  </si>
  <si>
    <t>EKC</t>
  </si>
  <si>
    <t>Krishana Phoschem Limited</t>
  </si>
  <si>
    <t>NSE:KRISHANA</t>
  </si>
  <si>
    <t>KRISHANA</t>
  </si>
  <si>
    <t>Talbros Automotive Components Limited</t>
  </si>
  <si>
    <t>NSE:TALBROAUTO</t>
  </si>
  <si>
    <t>TALBROAUTO</t>
  </si>
  <si>
    <t>Atul Auto Limited</t>
  </si>
  <si>
    <t>NSE:ATULAUTO</t>
  </si>
  <si>
    <t>ATULAUTO</t>
  </si>
  <si>
    <t>Vascon Engineers Limited</t>
  </si>
  <si>
    <t>NSE:VASCONEQ</t>
  </si>
  <si>
    <t>VASCONEQ</t>
  </si>
  <si>
    <t>Geojit Financial Services Limited</t>
  </si>
  <si>
    <t>NSE:GEOJITFSL</t>
  </si>
  <si>
    <t>GEOJITFSL</t>
  </si>
  <si>
    <t>Alicon Castalloy Limited</t>
  </si>
  <si>
    <t>NSE:ALICON</t>
  </si>
  <si>
    <t>ALICON</t>
  </si>
  <si>
    <t>Paramount Communications Limited</t>
  </si>
  <si>
    <t>NSE:PARACABLES</t>
  </si>
  <si>
    <t>PARACABLES</t>
  </si>
  <si>
    <t>S. P. Apparels Limited</t>
  </si>
  <si>
    <t>NSE:SPAL</t>
  </si>
  <si>
    <t>SPAL</t>
  </si>
  <si>
    <t>Gulshan Polyols Limited</t>
  </si>
  <si>
    <t>NSE:GULPOLY</t>
  </si>
  <si>
    <t>GULPOLY</t>
  </si>
  <si>
    <t>Punjab Chemicals &amp; Crop Protection Limited</t>
  </si>
  <si>
    <t>NSE:PUNJABCHEM</t>
  </si>
  <si>
    <t>PUNJABCHEM</t>
  </si>
  <si>
    <t>HPL Electric &amp; Power Limited</t>
  </si>
  <si>
    <t>NSE:HPL</t>
  </si>
  <si>
    <t>HPL</t>
  </si>
  <si>
    <t>Kitex Garments Limited</t>
  </si>
  <si>
    <t>NSE:KITEX</t>
  </si>
  <si>
    <t>KITEX</t>
  </si>
  <si>
    <t>JITF Infralogistics Limited</t>
  </si>
  <si>
    <t>NSE:JITFINFRA</t>
  </si>
  <si>
    <t>JITFINFRA</t>
  </si>
  <si>
    <t>Matrimony.Com Limited</t>
  </si>
  <si>
    <t>NSE:MATRIMONY</t>
  </si>
  <si>
    <t>MATRIMONY</t>
  </si>
  <si>
    <t>Indian Hume Pipe Company Limited</t>
  </si>
  <si>
    <t>NSE:INDIANHUME</t>
  </si>
  <si>
    <t>INDIANHUME</t>
  </si>
  <si>
    <t>Agarwal Industrial Corporation Limited</t>
  </si>
  <si>
    <t>NSE:AGARIND</t>
  </si>
  <si>
    <t>AGARIND</t>
  </si>
  <si>
    <t>Madras Fertilizers Limited</t>
  </si>
  <si>
    <t>NSE:MADRASFERT</t>
  </si>
  <si>
    <t>MADRASFERT</t>
  </si>
  <si>
    <t>Dredging Corporation of India Limited</t>
  </si>
  <si>
    <t>NSE:DREDGECORP</t>
  </si>
  <si>
    <t>DREDGECORP</t>
  </si>
  <si>
    <t>Valiant Organics Limited</t>
  </si>
  <si>
    <t>NSE:VALIANTORG</t>
  </si>
  <si>
    <t>VALIANTORG</t>
  </si>
  <si>
    <t>AVT Natural Products Limited</t>
  </si>
  <si>
    <t>NSE:AVTNPL</t>
  </si>
  <si>
    <t>AVTNPL</t>
  </si>
  <si>
    <t>Mangalore Chemicals &amp; Fertilizers Limited</t>
  </si>
  <si>
    <t>NSE:MANGCHEFER</t>
  </si>
  <si>
    <t>MANGCHEFER</t>
  </si>
  <si>
    <t>Indo Rama Synthetics (India) Limited</t>
  </si>
  <si>
    <t>NSE:INDORAMA</t>
  </si>
  <si>
    <t>INDORAMA</t>
  </si>
  <si>
    <t>Ksolves India Limited</t>
  </si>
  <si>
    <t>NSE:KSOLVES</t>
  </si>
  <si>
    <t>KSOLVES</t>
  </si>
  <si>
    <t>Shree Digvijay Cement Co.Ltd</t>
  </si>
  <si>
    <t>NSE:SHREDIGCEM</t>
  </si>
  <si>
    <t>SHREDIGCEM</t>
  </si>
  <si>
    <t>Avadh Sugar &amp; Energy Limited</t>
  </si>
  <si>
    <t>NSE:AVADHSUGAR</t>
  </si>
  <si>
    <t>AVADHSUGAR</t>
  </si>
  <si>
    <t>HLV LIMITED</t>
  </si>
  <si>
    <t>NSE:HLVLTD</t>
  </si>
  <si>
    <t>HLVLTD</t>
  </si>
  <si>
    <t>Bcl Industries Limited</t>
  </si>
  <si>
    <t>NSE:BCLIND</t>
  </si>
  <si>
    <t>BCLIND</t>
  </si>
  <si>
    <t>Genesys International Corporation Limited</t>
  </si>
  <si>
    <t>NSE:GENESYS</t>
  </si>
  <si>
    <t>GENESYS</t>
  </si>
  <si>
    <t>Control Print Limited</t>
  </si>
  <si>
    <t>NSE:CONTROLPR</t>
  </si>
  <si>
    <t>CONTROLPR</t>
  </si>
  <si>
    <t>B. L. Kashyap and Sons Limited</t>
  </si>
  <si>
    <t>NSE:BLKASHYAP</t>
  </si>
  <si>
    <t>BLKASHYAP</t>
  </si>
  <si>
    <t>Solara Active Pharma Sciences Limited</t>
  </si>
  <si>
    <t>NSE:SOLARA</t>
  </si>
  <si>
    <t>SOLARA</t>
  </si>
  <si>
    <t>Sterling Tools Limited</t>
  </si>
  <si>
    <t>NSE:STERTOOLS</t>
  </si>
  <si>
    <t>STERTOOLS</t>
  </si>
  <si>
    <t>Monarch Networth Capital Limited</t>
  </si>
  <si>
    <t>NSE:MONARCH</t>
  </si>
  <si>
    <t>MONARCH</t>
  </si>
  <si>
    <t>Onward Technologies Limited</t>
  </si>
  <si>
    <t>NSE:ONWARDTEC</t>
  </si>
  <si>
    <t>ONWARDTEC</t>
  </si>
  <si>
    <t>TV Today Network Limited</t>
  </si>
  <si>
    <t>NSE:TVTODAY</t>
  </si>
  <si>
    <t>TVTODAY</t>
  </si>
  <si>
    <t>GTL Infrastructure Limited</t>
  </si>
  <si>
    <t>NSE:GTLINFRA</t>
  </si>
  <si>
    <t>GTLINFRA</t>
  </si>
  <si>
    <t>Satia Industries Limited</t>
  </si>
  <si>
    <t>NSE:SATIA</t>
  </si>
  <si>
    <t>SATIA</t>
  </si>
  <si>
    <t>Ram Ratna Wires Limited</t>
  </si>
  <si>
    <t>NSE:RAMRAT</t>
  </si>
  <si>
    <t>RAMRAT</t>
  </si>
  <si>
    <t>Nelcast Limited</t>
  </si>
  <si>
    <t>NSE:NELCAST</t>
  </si>
  <si>
    <t>NELCAST</t>
  </si>
  <si>
    <t>Sigachi Industries Limited</t>
  </si>
  <si>
    <t>NSE:SIGACHI</t>
  </si>
  <si>
    <t>SIGACHI</t>
  </si>
  <si>
    <t>Rane (Madras) Limited</t>
  </si>
  <si>
    <t>NSE:RML</t>
  </si>
  <si>
    <t>RML</t>
  </si>
  <si>
    <t>Spacenet Enterprises India Limited</t>
  </si>
  <si>
    <t>NSE:SPCENET</t>
  </si>
  <si>
    <t>SPCENET</t>
  </si>
  <si>
    <t>Steelcast Limited</t>
  </si>
  <si>
    <t>NSE:STEELCAS</t>
  </si>
  <si>
    <t>STEELCAS</t>
  </si>
  <si>
    <t>Oriental Aromatics Limited</t>
  </si>
  <si>
    <t>NSE:OAL</t>
  </si>
  <si>
    <t>OAL</t>
  </si>
  <si>
    <t>Premier Explosives Limited</t>
  </si>
  <si>
    <t>NSE:PREMEXPLN</t>
  </si>
  <si>
    <t>PREMEXPLN</t>
  </si>
  <si>
    <t>GE Power India Limited</t>
  </si>
  <si>
    <t>NSE:GEPIL</t>
  </si>
  <si>
    <t>GEPIL</t>
  </si>
  <si>
    <t>Rico Auto Industries Limited</t>
  </si>
  <si>
    <t>NSE:RICOAUTO</t>
  </si>
  <si>
    <t>RICOAUTO</t>
  </si>
  <si>
    <t>NGL Fine-Chem Limited</t>
  </si>
  <si>
    <t>NSE:NGLFINE</t>
  </si>
  <si>
    <t>NGLFINE</t>
  </si>
  <si>
    <t>Jay Bharat Maruti Limited</t>
  </si>
  <si>
    <t>NSE:JAYBARMARU</t>
  </si>
  <si>
    <t>JAYBARMARU</t>
  </si>
  <si>
    <t>Sat Industries Limited</t>
  </si>
  <si>
    <t>NSE:SATINDLTD</t>
  </si>
  <si>
    <t>SATINDLTD</t>
  </si>
  <si>
    <t>Shalimar Paints Limited</t>
  </si>
  <si>
    <t>NSE:SHALPAINTS</t>
  </si>
  <si>
    <t>SHALPAINTS</t>
  </si>
  <si>
    <t>Hi-Tech Pipes Limited</t>
  </si>
  <si>
    <t>NSE:HITECH</t>
  </si>
  <si>
    <t>HITECH</t>
  </si>
  <si>
    <t>Man Industries (India) Limited</t>
  </si>
  <si>
    <t>NSE:MANINDS</t>
  </si>
  <si>
    <t>MANINDS</t>
  </si>
  <si>
    <t>The Ugar Sugar Works Limited</t>
  </si>
  <si>
    <t>NSE:UGARSUGAR</t>
  </si>
  <si>
    <t>UGARSUGAR</t>
  </si>
  <si>
    <t>GM Breweries Limited</t>
  </si>
  <si>
    <t>NSE:GMBREW</t>
  </si>
  <si>
    <t>GMBREW</t>
  </si>
  <si>
    <t>Likhitha Infrastructure Limited</t>
  </si>
  <si>
    <t>NSE:LIKHITHA</t>
  </si>
  <si>
    <t>LIKHITHA</t>
  </si>
  <si>
    <t>Omaxe Limited</t>
  </si>
  <si>
    <t>NSE:OMAXE</t>
  </si>
  <si>
    <t>OMAXE</t>
  </si>
  <si>
    <t>Roto Pumps Limited</t>
  </si>
  <si>
    <t>NSE:ROTO</t>
  </si>
  <si>
    <t>ROTO</t>
  </si>
  <si>
    <t>Manali Petrochemicals Limited</t>
  </si>
  <si>
    <t>NSE:MANALIPETC</t>
  </si>
  <si>
    <t>MANALIPETC</t>
  </si>
  <si>
    <t>DCM Shriram Industries Limited</t>
  </si>
  <si>
    <t>NSE:DCMSRIND</t>
  </si>
  <si>
    <t>DCMSRIND</t>
  </si>
  <si>
    <t>GVK Power &amp; Infrastructure Limited</t>
  </si>
  <si>
    <t>NSE:GVKPIL</t>
  </si>
  <si>
    <t>GVKPIL</t>
  </si>
  <si>
    <t>Kalyani Investment Company Limited</t>
  </si>
  <si>
    <t>NSE:KICL</t>
  </si>
  <si>
    <t>KICL</t>
  </si>
  <si>
    <t>GRM Overseas Limited</t>
  </si>
  <si>
    <t>NSE:GRMOVER</t>
  </si>
  <si>
    <t>GRMOVER</t>
  </si>
  <si>
    <t>Summit Securities Limited</t>
  </si>
  <si>
    <t>NSE:SUMMITSEC</t>
  </si>
  <si>
    <t>SUMMITSEC</t>
  </si>
  <si>
    <t>Excel Industries Limited</t>
  </si>
  <si>
    <t>NSE:EXCELINDUS</t>
  </si>
  <si>
    <t>EXCELINDUS</t>
  </si>
  <si>
    <t>Uniphos Enterprises Limited</t>
  </si>
  <si>
    <t>NSE:UNIENTER</t>
  </si>
  <si>
    <t>UNIENTER</t>
  </si>
  <si>
    <t>Bigbloc Construction Limited</t>
  </si>
  <si>
    <t>NSE:BIGBLOC</t>
  </si>
  <si>
    <t>BIGBLOC</t>
  </si>
  <si>
    <t>D-Link (India) Limited</t>
  </si>
  <si>
    <t>NSE:DLINKINDIA</t>
  </si>
  <si>
    <t>DLINKINDIA</t>
  </si>
  <si>
    <t>India Nippon Electricals Limited</t>
  </si>
  <si>
    <t>NSE:INDNIPPON</t>
  </si>
  <si>
    <t>INDNIPPON</t>
  </si>
  <si>
    <t>D. P. Abhushan Limited</t>
  </si>
  <si>
    <t>NSE:DPABHUSHAN</t>
  </si>
  <si>
    <t>DPABHUSHAN</t>
  </si>
  <si>
    <t>InfoBeans Technologies Limited</t>
  </si>
  <si>
    <t>NSE:INFOBEAN</t>
  </si>
  <si>
    <t>INFOBEAN</t>
  </si>
  <si>
    <t>Mangalam Cement Limited</t>
  </si>
  <si>
    <t>NSE:MANGLMCEM</t>
  </si>
  <si>
    <t>MANGLMCEM</t>
  </si>
  <si>
    <t>OnMobile Global Limited</t>
  </si>
  <si>
    <t>NSE:ONMOBILE</t>
  </si>
  <si>
    <t>ONMOBILE</t>
  </si>
  <si>
    <t>Xchanging Solutions Limited</t>
  </si>
  <si>
    <t>NSE:XCHANGING</t>
  </si>
  <si>
    <t>XCHANGING</t>
  </si>
  <si>
    <t>Chaman Lal Setia Exports Limited</t>
  </si>
  <si>
    <t>NSE:CLSEL</t>
  </si>
  <si>
    <t>CLSEL</t>
  </si>
  <si>
    <t>Zota Health Care LImited</t>
  </si>
  <si>
    <t>NSE:ZOTA</t>
  </si>
  <si>
    <t>ZOTA</t>
  </si>
  <si>
    <t>Dhampur Bio Organics Limited</t>
  </si>
  <si>
    <t>NSE:DBOL</t>
  </si>
  <si>
    <t>DBOL</t>
  </si>
  <si>
    <t>Peninsula Land Limited</t>
  </si>
  <si>
    <t>NSE:PENINLAND</t>
  </si>
  <si>
    <t>PENINLAND</t>
  </si>
  <si>
    <t>Antony Waste Handling Cell Limited</t>
  </si>
  <si>
    <t>NSE:AWHCL</t>
  </si>
  <si>
    <t>AWHCL</t>
  </si>
  <si>
    <t>Shivalik Rasayan Limited</t>
  </si>
  <si>
    <t>NSE:SHIVALIK</t>
  </si>
  <si>
    <t>SHIVALIK</t>
  </si>
  <si>
    <t>Heubach Colorants India Limited</t>
  </si>
  <si>
    <t>NSE:HEUBACHIND</t>
  </si>
  <si>
    <t>HEUBACHIND</t>
  </si>
  <si>
    <t>Jagsonpal Pharmaceuticals Limited</t>
  </si>
  <si>
    <t>NSE:JAGSNPHARM</t>
  </si>
  <si>
    <t>JAGSNPHARM</t>
  </si>
  <si>
    <t>Bliss GVS Pharma Limited</t>
  </si>
  <si>
    <t>NSE:BLISSGVS</t>
  </si>
  <si>
    <t>BLISSGVS</t>
  </si>
  <si>
    <t>Texmaco Infrastructure &amp; Holdings Limited</t>
  </si>
  <si>
    <t>NSE:TEXINFRA</t>
  </si>
  <si>
    <t>TEXINFRA</t>
  </si>
  <si>
    <t>Focus Lighting and Fixtures Limited</t>
  </si>
  <si>
    <t>NSE:FOCUS</t>
  </si>
  <si>
    <t>FOCUS</t>
  </si>
  <si>
    <t>Repro India Limited</t>
  </si>
  <si>
    <t>NSE:REPRO</t>
  </si>
  <si>
    <t>REPRO</t>
  </si>
  <si>
    <t>Vimta Labs Limited</t>
  </si>
  <si>
    <t>NSE:VIMTALABS</t>
  </si>
  <si>
    <t>VIMTALABS</t>
  </si>
  <si>
    <t>Sree Rayalaseema Hi-Strength Hypo Limited</t>
  </si>
  <si>
    <t>NSE:SRHHYPOLTD</t>
  </si>
  <si>
    <t>SRHHYPOLTD</t>
  </si>
  <si>
    <t>GIC Housing Finance Limited</t>
  </si>
  <si>
    <t>NSE:GICHSGFIN</t>
  </si>
  <si>
    <t>GICHSGFIN</t>
  </si>
  <si>
    <t>Bajaj Healthcare Limited</t>
  </si>
  <si>
    <t>NSE:BAJAJHCARE</t>
  </si>
  <si>
    <t>BAJAJHCARE</t>
  </si>
  <si>
    <t>Kopran Limited</t>
  </si>
  <si>
    <t>NSE:KOPRAN</t>
  </si>
  <si>
    <t>KOPRAN</t>
  </si>
  <si>
    <t>Centrum Capital Limited</t>
  </si>
  <si>
    <t>NSE:CENTRUM</t>
  </si>
  <si>
    <t>CENTRUM</t>
  </si>
  <si>
    <t>Sastasundar Ventures Limited</t>
  </si>
  <si>
    <t>NSE:SASTASUNDR</t>
  </si>
  <si>
    <t>SASTASUNDR</t>
  </si>
  <si>
    <t>India Motor Parts and Accessories Limited</t>
  </si>
  <si>
    <t>NSE:IMPAL</t>
  </si>
  <si>
    <t>IMPAL</t>
  </si>
  <si>
    <t>Sportking India Limited</t>
  </si>
  <si>
    <t>NSE:SPORTKING</t>
  </si>
  <si>
    <t>SPORTKING</t>
  </si>
  <si>
    <t>Linc Limited</t>
  </si>
  <si>
    <t>NSE:LINC</t>
  </si>
  <si>
    <t>LINC</t>
  </si>
  <si>
    <t>Allcargo Terminals Limited</t>
  </si>
  <si>
    <t>NSE:ATL</t>
  </si>
  <si>
    <t>ATL</t>
  </si>
  <si>
    <t>Atlanta Limited</t>
  </si>
  <si>
    <t>NSE:ATLANTA</t>
  </si>
  <si>
    <t>ATLANTA</t>
  </si>
  <si>
    <t>Lincoln Pharmaceuticals Limited</t>
  </si>
  <si>
    <t>NSE:LINCOLN</t>
  </si>
  <si>
    <t>LINCOLN</t>
  </si>
  <si>
    <t>Ganesh Benzoplast Limited</t>
  </si>
  <si>
    <t>NSE:GANESHBE</t>
  </si>
  <si>
    <t>GANESHBE</t>
  </si>
  <si>
    <t>Kamdhenu Ventures Limited</t>
  </si>
  <si>
    <t>NSE:KAMOPAINTS</t>
  </si>
  <si>
    <t>KAMOPAINTS</t>
  </si>
  <si>
    <t>Hercules Hoists Limited</t>
  </si>
  <si>
    <t>NSE:HERCULES</t>
  </si>
  <si>
    <t>HERCULES</t>
  </si>
  <si>
    <t>Transindia Real Estate Limited</t>
  </si>
  <si>
    <t>NSE:TREL</t>
  </si>
  <si>
    <t>TREL</t>
  </si>
  <si>
    <t>STEEL EXCHANGE INDIA LIMITED</t>
  </si>
  <si>
    <t>NSE:STEELXIND</t>
  </si>
  <si>
    <t>STEELXIND</t>
  </si>
  <si>
    <t>M K Proteins Limited</t>
  </si>
  <si>
    <t>NSE:MKPL</t>
  </si>
  <si>
    <t>MKPL</t>
  </si>
  <si>
    <t>Dhunseri Ventures Limited</t>
  </si>
  <si>
    <t>NSE:DVL</t>
  </si>
  <si>
    <t>DVL</t>
  </si>
  <si>
    <t>Radiant Cash Management Services Limited</t>
  </si>
  <si>
    <t>NSE:RADIANTCMS</t>
  </si>
  <si>
    <t>RADIANTCMS</t>
  </si>
  <si>
    <t>SMS Pharmaceuticals Limited</t>
  </si>
  <si>
    <t>NSE:SMSPHARMA</t>
  </si>
  <si>
    <t>SMSPHARMA</t>
  </si>
  <si>
    <t>Navkar Corporation Limited</t>
  </si>
  <si>
    <t>NSE:NAVKARCORP</t>
  </si>
  <si>
    <t>NAVKARCORP</t>
  </si>
  <si>
    <t>Chemcon Speciality Chemicals Limited</t>
  </si>
  <si>
    <t>NSE:CHEMCON</t>
  </si>
  <si>
    <t>CHEMCON</t>
  </si>
  <si>
    <t>Faze Three Limited</t>
  </si>
  <si>
    <t>NSE:FAZE3Q</t>
  </si>
  <si>
    <t>FAZE3Q</t>
  </si>
  <si>
    <t>Ramco Systems Limited</t>
  </si>
  <si>
    <t>NSE:RAMCOSYS</t>
  </si>
  <si>
    <t>RAMCOSYS</t>
  </si>
  <si>
    <t>Renaissance Global Limited</t>
  </si>
  <si>
    <t>NSE:RGL</t>
  </si>
  <si>
    <t>RGL</t>
  </si>
  <si>
    <t>Coffee Day Enterprises Limited</t>
  </si>
  <si>
    <t>NSE:COFFEEDAY</t>
  </si>
  <si>
    <t>COFFEEDAY</t>
  </si>
  <si>
    <t>SKM Egg Products Export (India) Limited</t>
  </si>
  <si>
    <t>NSE:SKMEGGPROD</t>
  </si>
  <si>
    <t>SKMEGGPROD</t>
  </si>
  <si>
    <t>Nahar Spinning Mills Limited</t>
  </si>
  <si>
    <t>NSE:NAHARSPING</t>
  </si>
  <si>
    <t>NAHARSPING</t>
  </si>
  <si>
    <t>NCL Industries Limited</t>
  </si>
  <si>
    <t>NSE:NCLIND</t>
  </si>
  <si>
    <t>NCLIND</t>
  </si>
  <si>
    <t>Dynamic Cables Limited</t>
  </si>
  <si>
    <t>NSE:DYCL</t>
  </si>
  <si>
    <t>DYCL</t>
  </si>
  <si>
    <t>Orient Paper &amp; Industries Limited</t>
  </si>
  <si>
    <t>NSE:ORIENTPPR</t>
  </si>
  <si>
    <t>ORIENTPPR</t>
  </si>
  <si>
    <t>Bodal Chemicals Limited</t>
  </si>
  <si>
    <t>NSE:BODALCHEM</t>
  </si>
  <si>
    <t>BODALCHEM</t>
  </si>
  <si>
    <t>Foods &amp; Inns Limited</t>
  </si>
  <si>
    <t>NSE:FOODSIN</t>
  </si>
  <si>
    <t>FOODSIN</t>
  </si>
  <si>
    <t>Speciality Restaurants Limited</t>
  </si>
  <si>
    <t>NSE:SPECIALITY</t>
  </si>
  <si>
    <t>SPECIALITY</t>
  </si>
  <si>
    <t>Century Enka Limited</t>
  </si>
  <si>
    <t>NSE:CENTENKA</t>
  </si>
  <si>
    <t>CENTENKA</t>
  </si>
  <si>
    <t>Vardhman Holdings Limited</t>
  </si>
  <si>
    <t>NSE:VHL</t>
  </si>
  <si>
    <t>VHL</t>
  </si>
  <si>
    <t>Allsec Technologies Limited</t>
  </si>
  <si>
    <t>NSE:ALLSEC</t>
  </si>
  <si>
    <t>ALLSEC</t>
  </si>
  <si>
    <t>SMC Global Securities Limited</t>
  </si>
  <si>
    <t>NSE:SMCGLOBAL</t>
  </si>
  <si>
    <t>SMCGLOBAL</t>
  </si>
  <si>
    <t>Tourism Finance Corporation of India Limited</t>
  </si>
  <si>
    <t>NSE:TFCILTD</t>
  </si>
  <si>
    <t>TFCILTD</t>
  </si>
  <si>
    <t>GFL Limited</t>
  </si>
  <si>
    <t>NSE:GFLLIMITED</t>
  </si>
  <si>
    <t>GFLLIMITED</t>
  </si>
  <si>
    <t>Marine Electricals (India) Limited</t>
  </si>
  <si>
    <t>NSE:MARINE</t>
  </si>
  <si>
    <t>MARINE</t>
  </si>
  <si>
    <t>Jubilant Industries Limited</t>
  </si>
  <si>
    <t>NSE:JUBLINDS</t>
  </si>
  <si>
    <t>JUBLINDS</t>
  </si>
  <si>
    <t>RSWM Limited</t>
  </si>
  <si>
    <t>NSE:RSWM</t>
  </si>
  <si>
    <t>RSWM</t>
  </si>
  <si>
    <t>Ambika Cotton Mills Limited</t>
  </si>
  <si>
    <t>NSE:AMBIKCO</t>
  </si>
  <si>
    <t>AMBIKCO</t>
  </si>
  <si>
    <t>Panacea Biotec Limited</t>
  </si>
  <si>
    <t>NSE:PANACEABIO</t>
  </si>
  <si>
    <t>PANACEABIO</t>
  </si>
  <si>
    <t>Andhra Cements Limited</t>
  </si>
  <si>
    <t>NSE:ACL</t>
  </si>
  <si>
    <t>ACL</t>
  </si>
  <si>
    <t>Manaksia Limited</t>
  </si>
  <si>
    <t>NSE:MANAKSIA</t>
  </si>
  <si>
    <t>MANAKSIA</t>
  </si>
  <si>
    <t>De Nora India Limited</t>
  </si>
  <si>
    <t>NSE:DENORA</t>
  </si>
  <si>
    <t>DENORA</t>
  </si>
  <si>
    <t>Sutlej Textiles and Industries Limited</t>
  </si>
  <si>
    <t>NSE:SUTLEJTEX</t>
  </si>
  <si>
    <t>SUTLEJTEX</t>
  </si>
  <si>
    <t>D P Wires Limited</t>
  </si>
  <si>
    <t>NSE:DPWIRES</t>
  </si>
  <si>
    <t>DPWIRES</t>
  </si>
  <si>
    <t>HP Adhesives Limited</t>
  </si>
  <si>
    <t>NSE:HPAL</t>
  </si>
  <si>
    <t>HPAL</t>
  </si>
  <si>
    <t>Snowman Logistics Limited</t>
  </si>
  <si>
    <t>NSE:SNOWMAN</t>
  </si>
  <si>
    <t>SNOWMAN</t>
  </si>
  <si>
    <t>Syncom Formulations (India) Limited</t>
  </si>
  <si>
    <t>NSE:SYNCOMF</t>
  </si>
  <si>
    <t>SYNCOMF</t>
  </si>
  <si>
    <t>Ice Make Refrigeration Limited</t>
  </si>
  <si>
    <t>NSE:ICEMAKE</t>
  </si>
  <si>
    <t>ICEMAKE</t>
  </si>
  <si>
    <t>Rushil Decor Limited</t>
  </si>
  <si>
    <t>NSE:RUSHIL</t>
  </si>
  <si>
    <t>RUSHIL</t>
  </si>
  <si>
    <t>Magadh Sugar &amp; Energy Limited</t>
  </si>
  <si>
    <t>NSE:MAGADSUGAR</t>
  </si>
  <si>
    <t>MAGADSUGAR</t>
  </si>
  <si>
    <t>Yuken India Limited</t>
  </si>
  <si>
    <t>NSE:YUKEN</t>
  </si>
  <si>
    <t>YUKEN</t>
  </si>
  <si>
    <t>S Chand And Company Limited</t>
  </si>
  <si>
    <t>NSE:SCHAND</t>
  </si>
  <si>
    <t>SCHAND</t>
  </si>
  <si>
    <t>Medicamen Biotech Limited</t>
  </si>
  <si>
    <t>NSE:MEDICAMEQ</t>
  </si>
  <si>
    <t>MEDICAMEQ</t>
  </si>
  <si>
    <t>Mold-Tek Technologies Limited</t>
  </si>
  <si>
    <t>NSE:MOLDTECH</t>
  </si>
  <si>
    <t>MOLDTECH</t>
  </si>
  <si>
    <t>Royal Orchid Hotels Limited</t>
  </si>
  <si>
    <t>NSE:ROHLTD</t>
  </si>
  <si>
    <t>ROHLTD</t>
  </si>
  <si>
    <t>Jyoti Structures Limited</t>
  </si>
  <si>
    <t>NSE:JYOTISTRUC</t>
  </si>
  <si>
    <t>JYOTISTRUC</t>
  </si>
  <si>
    <t>Gandhi Special Tubes Limited</t>
  </si>
  <si>
    <t>NSE:GANDHITUBE</t>
  </si>
  <si>
    <t>GANDHITUBE</t>
  </si>
  <si>
    <t>Tracxn Technologies Limited</t>
  </si>
  <si>
    <t>NSE:TRACXN</t>
  </si>
  <si>
    <t>TRACXN</t>
  </si>
  <si>
    <t>Unitech Limited</t>
  </si>
  <si>
    <t>NSE:UNITECH</t>
  </si>
  <si>
    <t>UNITECH</t>
  </si>
  <si>
    <t>Swelect Energy Systems Limited</t>
  </si>
  <si>
    <t>NSE:SWELECTES</t>
  </si>
  <si>
    <t>SWELECTES</t>
  </si>
  <si>
    <t>AGS Transact Technologies Limited</t>
  </si>
  <si>
    <t>NSE:AGSTRA</t>
  </si>
  <si>
    <t>AGSTRA</t>
  </si>
  <si>
    <t>Vinyl Chemicals (India) Limited</t>
  </si>
  <si>
    <t>NSE:VINYLINDIA</t>
  </si>
  <si>
    <t>VINYLINDIA</t>
  </si>
  <si>
    <t>Arihant Superstructures Limited</t>
  </si>
  <si>
    <t>NSE:ARIHANTSUP</t>
  </si>
  <si>
    <t>ARIHANTSUP</t>
  </si>
  <si>
    <t>Asian Granito India Limited</t>
  </si>
  <si>
    <t>NSE:ASIANTILES</t>
  </si>
  <si>
    <t>ASIANTILES</t>
  </si>
  <si>
    <t>Birla Cable Limited</t>
  </si>
  <si>
    <t>NSE:BIRLACABLE</t>
  </si>
  <si>
    <t>BIRLACABLE</t>
  </si>
  <si>
    <t>Zee Media Corporation Limited</t>
  </si>
  <si>
    <t>NSE:ZEEMEDIA</t>
  </si>
  <si>
    <t>ZEEMEDIA</t>
  </si>
  <si>
    <t>Global Surfaces Limited</t>
  </si>
  <si>
    <t>NSE:GSLSU</t>
  </si>
  <si>
    <t>GSLSU</t>
  </si>
  <si>
    <t>Associated Alcohols &amp; Breweries Ltd.</t>
  </si>
  <si>
    <t>NSE:ASALCBR</t>
  </si>
  <si>
    <t>ASALCBR</t>
  </si>
  <si>
    <t>Kellton Tech Solutions Limited</t>
  </si>
  <si>
    <t>NSE:KELLTONTEC</t>
  </si>
  <si>
    <t>KELLTONTEC</t>
  </si>
  <si>
    <t>Indo Amines Limited</t>
  </si>
  <si>
    <t>NSE:INDOAMIN</t>
  </si>
  <si>
    <t>INDOAMIN</t>
  </si>
  <si>
    <t>OM INFRA LIMITED</t>
  </si>
  <si>
    <t>NSE:OMINFRAL</t>
  </si>
  <si>
    <t>OMINFRAL</t>
  </si>
  <si>
    <t>Hexa Tradex Limited</t>
  </si>
  <si>
    <t>NSE:HEXATRADEX</t>
  </si>
  <si>
    <t>HEXATRADEX</t>
  </si>
  <si>
    <t>Dynacons Systems &amp; Solutions Limited</t>
  </si>
  <si>
    <t>NSE:DSSL</t>
  </si>
  <si>
    <t>DSSL</t>
  </si>
  <si>
    <t>Kamdhenu Limited</t>
  </si>
  <si>
    <t>NSE:KAMDHENU</t>
  </si>
  <si>
    <t>KAMDHENU</t>
  </si>
  <si>
    <t>Creative Newtech Limited</t>
  </si>
  <si>
    <t>NSE:CREATIVE</t>
  </si>
  <si>
    <t>CREATIVE</t>
  </si>
  <si>
    <t>Oriental Carbon &amp; Chemicals Limited</t>
  </si>
  <si>
    <t>NSE:OCCL</t>
  </si>
  <si>
    <t>OCCL</t>
  </si>
  <si>
    <t>Amines &amp; Plasticizers Limited</t>
  </si>
  <si>
    <t>NSE:AMNPLST</t>
  </si>
  <si>
    <t>AMNPLST</t>
  </si>
  <si>
    <t>Elin Electronics Limited</t>
  </si>
  <si>
    <t>NSE:ELIN</t>
  </si>
  <si>
    <t>ELIN</t>
  </si>
  <si>
    <t>Tamilnadu PetroProducts Limited</t>
  </si>
  <si>
    <t>NSE:TNPETRO</t>
  </si>
  <si>
    <t>TNPETRO</t>
  </si>
  <si>
    <t>Ester Industries Limited</t>
  </si>
  <si>
    <t>NSE:ESTER</t>
  </si>
  <si>
    <t>ESTER</t>
  </si>
  <si>
    <t>PAKKA LIMITED</t>
  </si>
  <si>
    <t>NSE:PAKKA</t>
  </si>
  <si>
    <t>PAKKA</t>
  </si>
  <si>
    <t>Entertainment Network (India) Limited</t>
  </si>
  <si>
    <t>NSE:ENIL</t>
  </si>
  <si>
    <t>ENIL</t>
  </si>
  <si>
    <t>Windlas Biotech Limited</t>
  </si>
  <si>
    <t>NSE:WINDLAS</t>
  </si>
  <si>
    <t>WINDLAS</t>
  </si>
  <si>
    <t>CSL Finance Limited</t>
  </si>
  <si>
    <t>NSE:CSLFINANCE</t>
  </si>
  <si>
    <t>CSLFINANCE</t>
  </si>
  <si>
    <t>Menon Bearings Limited</t>
  </si>
  <si>
    <t>NSE:MENONBE</t>
  </si>
  <si>
    <t>MENONBE</t>
  </si>
  <si>
    <t>Valiant Laboratories Limited</t>
  </si>
  <si>
    <t>NSE:VALIANTLAB</t>
  </si>
  <si>
    <t>VALIANTLAB</t>
  </si>
  <si>
    <t>Emami Paper Mills Limited</t>
  </si>
  <si>
    <t>NSE:EMAMIPAP</t>
  </si>
  <si>
    <t>EMAMIPAP</t>
  </si>
  <si>
    <t>Kirloskar Electric Company Limited</t>
  </si>
  <si>
    <t>NSE:KECL</t>
  </si>
  <si>
    <t>KECL</t>
  </si>
  <si>
    <t>DMCC SPECIALITY CHEMICALS LIMITED</t>
  </si>
  <si>
    <t>NSE:DMCC</t>
  </si>
  <si>
    <t>DMCC</t>
  </si>
  <si>
    <t>The Sandesh Limited</t>
  </si>
  <si>
    <t>NSE:SANDESH</t>
  </si>
  <si>
    <t>SANDESH</t>
  </si>
  <si>
    <t>The Hi-Tech Gears Limited</t>
  </si>
  <si>
    <t>NSE:HITECHGEAR</t>
  </si>
  <si>
    <t>HITECHGEAR</t>
  </si>
  <si>
    <t>The Ruby Mills Limited</t>
  </si>
  <si>
    <t>NSE:RUBYMILLS</t>
  </si>
  <si>
    <t>RUBYMILLS</t>
  </si>
  <si>
    <t>Dharmaj Crop Guard Limited</t>
  </si>
  <si>
    <t>NSE:DHARMAJ</t>
  </si>
  <si>
    <t>DHARMAJ</t>
  </si>
  <si>
    <t>Tribhovandas Bhimji Zaveri Limited</t>
  </si>
  <si>
    <t>NSE:TBZ</t>
  </si>
  <si>
    <t>TBZ</t>
  </si>
  <si>
    <t>Kernex Microsystems (India) Limited</t>
  </si>
  <si>
    <t>NSE:KERNEX</t>
  </si>
  <si>
    <t>KERNEX</t>
  </si>
  <si>
    <t>Visaka Industries Limited</t>
  </si>
  <si>
    <t>NSE:VISAKAIND</t>
  </si>
  <si>
    <t>VISAKAIND</t>
  </si>
  <si>
    <t>Cheviot Company Limited</t>
  </si>
  <si>
    <t>NSE:CHEVIOT</t>
  </si>
  <si>
    <t>CHEVIOT</t>
  </si>
  <si>
    <t>Kothari Petrochemicals Limited</t>
  </si>
  <si>
    <t>NSE:KOTHARIPET</t>
  </si>
  <si>
    <t>KOTHARIPET</t>
  </si>
  <si>
    <t>TruCap Finance Limited</t>
  </si>
  <si>
    <t>NSE:TRU</t>
  </si>
  <si>
    <t>TRU</t>
  </si>
  <si>
    <t>GKW Limited</t>
  </si>
  <si>
    <t>NSE:GKWLIMITED</t>
  </si>
  <si>
    <t>GKWLIMITED</t>
  </si>
  <si>
    <t>Hind Rectifiers Limited</t>
  </si>
  <si>
    <t>NSE:HIRECT</t>
  </si>
  <si>
    <t>HIRECT</t>
  </si>
  <si>
    <t>Prakash Pipes Limited</t>
  </si>
  <si>
    <t>NSE:PPL</t>
  </si>
  <si>
    <t>PPL</t>
  </si>
  <si>
    <t>Deccan Cements Limited</t>
  </si>
  <si>
    <t>NSE:DECCANCE</t>
  </si>
  <si>
    <t>DECCANCE</t>
  </si>
  <si>
    <t>Shreyas Shipping &amp; Logistics Limited</t>
  </si>
  <si>
    <t>NSE:SHREYAS</t>
  </si>
  <si>
    <t>SHREYAS</t>
  </si>
  <si>
    <t>Crest Ventures Limited</t>
  </si>
  <si>
    <t>NSE:CREST</t>
  </si>
  <si>
    <t>CREST</t>
  </si>
  <si>
    <t>NINtec Systems Limited</t>
  </si>
  <si>
    <t>NSE:NINSYS</t>
  </si>
  <si>
    <t>NINSYS</t>
  </si>
  <si>
    <t>GHCL Textiles Limited</t>
  </si>
  <si>
    <t>NSE:GHCLTEXTIL</t>
  </si>
  <si>
    <t>GHCLTEXTIL</t>
  </si>
  <si>
    <t>Eldeco Housing And Industries Limited</t>
  </si>
  <si>
    <t>NSE:ELDEHSG</t>
  </si>
  <si>
    <t>ELDEHSG</t>
  </si>
  <si>
    <t>VLS Finance Limited</t>
  </si>
  <si>
    <t>NSE:VLSFINANCE</t>
  </si>
  <si>
    <t>VLSFINANCE</t>
  </si>
  <si>
    <t>Cupid Limited</t>
  </si>
  <si>
    <t>NSE:CUPID</t>
  </si>
  <si>
    <t>CUPID</t>
  </si>
  <si>
    <t>Pyramid Technoplast Limited</t>
  </si>
  <si>
    <t>NSE:PYRAMID</t>
  </si>
  <si>
    <t>PYRAMID</t>
  </si>
  <si>
    <t>Allied Digital Services Limited</t>
  </si>
  <si>
    <t>NSE:ADSL</t>
  </si>
  <si>
    <t>ADSL</t>
  </si>
  <si>
    <t>Ndr Auto Components Limited</t>
  </si>
  <si>
    <t>NSE:NDRAUTO</t>
  </si>
  <si>
    <t>NDRAUTO</t>
  </si>
  <si>
    <t>MIC Electronics Limited</t>
  </si>
  <si>
    <t>NSE:MICEL</t>
  </si>
  <si>
    <t>MICEL</t>
  </si>
  <si>
    <t>DiGiSPICE Technologies Limited</t>
  </si>
  <si>
    <t>NSE:DIGISPICE</t>
  </si>
  <si>
    <t>DIGISPICE</t>
  </si>
  <si>
    <t>BEML Land Assets Limited</t>
  </si>
  <si>
    <t>NSE:BLAL</t>
  </si>
  <si>
    <t>BLAL</t>
  </si>
  <si>
    <t>Apex Frozen Foods Limited</t>
  </si>
  <si>
    <t>NSE:APEX</t>
  </si>
  <si>
    <t>APEX</t>
  </si>
  <si>
    <t>Bhageria Industries Limited</t>
  </si>
  <si>
    <t>NSE:BHAGERIA</t>
  </si>
  <si>
    <t>BHAGERIA</t>
  </si>
  <si>
    <t>Silver Touch Technologies Limited</t>
  </si>
  <si>
    <t>NSE:SILVERTUC</t>
  </si>
  <si>
    <t>SILVERTUC</t>
  </si>
  <si>
    <t>One Point One Solutions Limited</t>
  </si>
  <si>
    <t>NSE:ONEPOINT</t>
  </si>
  <si>
    <t>ONEPOINT</t>
  </si>
  <si>
    <t>Zuari Agro Chemicals Limited</t>
  </si>
  <si>
    <t>NSE:ZUARI</t>
  </si>
  <si>
    <t>ZUARI</t>
  </si>
  <si>
    <t>The State Trading Corporation of India Limited</t>
  </si>
  <si>
    <t>NSE:STCINDIA</t>
  </si>
  <si>
    <t>STCINDIA</t>
  </si>
  <si>
    <t>TVS Electronics Limited</t>
  </si>
  <si>
    <t>NSE:TVSELECT</t>
  </si>
  <si>
    <t>TVSELECT</t>
  </si>
  <si>
    <t>Asian Energy Services Limited</t>
  </si>
  <si>
    <t>NSE:ASIANENE</t>
  </si>
  <si>
    <t>ASIANENE</t>
  </si>
  <si>
    <t>Iris Clothings Limited</t>
  </si>
  <si>
    <t>NSE:IRISDOREME</t>
  </si>
  <si>
    <t>IRISDOREME</t>
  </si>
  <si>
    <t>Sakar Healthcare Limited</t>
  </si>
  <si>
    <t>NSE:SAKAR</t>
  </si>
  <si>
    <t>SAKAR</t>
  </si>
  <si>
    <t>Sukhjit Starch &amp; Chemicals Limited</t>
  </si>
  <si>
    <t>NSE:SUKHJITS</t>
  </si>
  <si>
    <t>SUKHJITS</t>
  </si>
  <si>
    <t>Dhanlaxmi Bank Limited</t>
  </si>
  <si>
    <t>NSE:DHANBANK</t>
  </si>
  <si>
    <t>DHANBANK</t>
  </si>
  <si>
    <t>Mallcom (India) Limited</t>
  </si>
  <si>
    <t>NSE:MALLCOM</t>
  </si>
  <si>
    <t>MALLCOM</t>
  </si>
  <si>
    <t>Orient Bell Limited</t>
  </si>
  <si>
    <t>NSE:ORIENTBELL</t>
  </si>
  <si>
    <t>ORIENTBELL</t>
  </si>
  <si>
    <t>Jayant Agro Organics Limited</t>
  </si>
  <si>
    <t>NSE:JAYAGROGN</t>
  </si>
  <si>
    <t>JAYAGROGN</t>
  </si>
  <si>
    <t>Vikas Lifecare Limited</t>
  </si>
  <si>
    <t>NSE:VIKASLIFE</t>
  </si>
  <si>
    <t>VIKASLIFE</t>
  </si>
  <si>
    <t>Plastiblends India Limited</t>
  </si>
  <si>
    <t>NSE:PLASTIBLEN</t>
  </si>
  <si>
    <t>PLASTIBLEN</t>
  </si>
  <si>
    <t>Eimco Elecon (India) Limited</t>
  </si>
  <si>
    <t>NSE:EIMCOELECO</t>
  </si>
  <si>
    <t>EIMCOELECO</t>
  </si>
  <si>
    <t>Muthoot Capital Services Limited</t>
  </si>
  <si>
    <t>NSE:MUTHOOTCAP</t>
  </si>
  <si>
    <t>MUTHOOTCAP</t>
  </si>
  <si>
    <t>Spencer's Retail Limited</t>
  </si>
  <si>
    <t>NSE:SPENCERS</t>
  </si>
  <si>
    <t>SPENCERS</t>
  </si>
  <si>
    <t>Arihant Capital Markets Limited</t>
  </si>
  <si>
    <t>NSE:ARIHANTCAP</t>
  </si>
  <si>
    <t>ARIHANTCAP</t>
  </si>
  <si>
    <t>Jet Airways (India) Limited</t>
  </si>
  <si>
    <t>NSE:JETAIRWAYS</t>
  </si>
  <si>
    <t>JETAIRWAYS</t>
  </si>
  <si>
    <t>Balaji Telefilms Limited</t>
  </si>
  <si>
    <t>NSE:BALAJITELE</t>
  </si>
  <si>
    <t>BALAJITELE</t>
  </si>
  <si>
    <t>Oswal Greentech Limited</t>
  </si>
  <si>
    <t>NSE:OSWALGREEN</t>
  </si>
  <si>
    <t>OSWALGREEN</t>
  </si>
  <si>
    <t>Automotive Stampings and Assemblies Limited</t>
  </si>
  <si>
    <t>NSE:ASAL</t>
  </si>
  <si>
    <t>ASAL</t>
  </si>
  <si>
    <t>Mirza International Limited</t>
  </si>
  <si>
    <t>NSE:MIRZAINT</t>
  </si>
  <si>
    <t>MIRZAINT</t>
  </si>
  <si>
    <t>Max India Limited</t>
  </si>
  <si>
    <t>NSE:MAXIND</t>
  </si>
  <si>
    <t>MAXIND</t>
  </si>
  <si>
    <t>3i Infotech Limited</t>
  </si>
  <si>
    <t>NSE:3IINFOLTD</t>
  </si>
  <si>
    <t>3IINFOLTD</t>
  </si>
  <si>
    <t>Walchandnagar Industries Limited</t>
  </si>
  <si>
    <t>NSE:WALCHANNAG</t>
  </si>
  <si>
    <t>WALCHANNAG</t>
  </si>
  <si>
    <t>Medico Remedies Limited</t>
  </si>
  <si>
    <t>NSE:MEDICO</t>
  </si>
  <si>
    <t>MEDICO</t>
  </si>
  <si>
    <t>Khaitan Chemicals &amp; Fertilizers Limited</t>
  </si>
  <si>
    <t>NSE:KHAICHEM</t>
  </si>
  <si>
    <t>KHAICHEM</t>
  </si>
  <si>
    <t>Suratwwala Business Group Limited</t>
  </si>
  <si>
    <t>NSE:SBGLP</t>
  </si>
  <si>
    <t>SBGLP</t>
  </si>
  <si>
    <t>Shree Pushkar Chemicals &amp; Fertilisers Limited</t>
  </si>
  <si>
    <t>NSE:SHREEPUSHK</t>
  </si>
  <si>
    <t>SHREEPUSHK</t>
  </si>
  <si>
    <t>Rane Brake Lining Limited</t>
  </si>
  <si>
    <t>NSE:RBL</t>
  </si>
  <si>
    <t>RBL</t>
  </si>
  <si>
    <t>Munjal Auto Industries Limited</t>
  </si>
  <si>
    <t>NSE:MUNJALAU</t>
  </si>
  <si>
    <t>MUNJALAU</t>
  </si>
  <si>
    <t>E2E Networks Limited</t>
  </si>
  <si>
    <t>NSE:E2E</t>
  </si>
  <si>
    <t>E2E</t>
  </si>
  <si>
    <t>Selan Exploration Technology Limited</t>
  </si>
  <si>
    <t>NSE:SELAN</t>
  </si>
  <si>
    <t>SELAN</t>
  </si>
  <si>
    <t>Salzer Electronics Limited</t>
  </si>
  <si>
    <t>NSE:SALZERELEC</t>
  </si>
  <si>
    <t>SALZERELEC</t>
  </si>
  <si>
    <t>V2 Retail Limited</t>
  </si>
  <si>
    <t>NSE:V2RETAIL</t>
  </si>
  <si>
    <t>V2RETAIL</t>
  </si>
  <si>
    <t>MSP Steel &amp; Power Limited</t>
  </si>
  <si>
    <t>NSE:MSPL</t>
  </si>
  <si>
    <t>MSPL</t>
  </si>
  <si>
    <t>Jindal Poly Investment and Finance Company Limited</t>
  </si>
  <si>
    <t>NSE:JPOLYINVST</t>
  </si>
  <si>
    <t>JPOLYINVST</t>
  </si>
  <si>
    <t>Hindustan Composites Limited</t>
  </si>
  <si>
    <t>NSE:HINDCOMPOS</t>
  </si>
  <si>
    <t>HINDCOMPOS</t>
  </si>
  <si>
    <t>Websol Energy System Limited</t>
  </si>
  <si>
    <t>NSE:WEBELSOLAR</t>
  </si>
  <si>
    <t>WEBELSOLAR</t>
  </si>
  <si>
    <t>GPT Infraprojects Limited</t>
  </si>
  <si>
    <t>NSE:GPTINFRA</t>
  </si>
  <si>
    <t>GPTINFRA</t>
  </si>
  <si>
    <t>SEMAC CONSULTANTS LIMITED</t>
  </si>
  <si>
    <t>NSE:SEMAC</t>
  </si>
  <si>
    <t>SEMAC</t>
  </si>
  <si>
    <t>Ritco Logistics Limited</t>
  </si>
  <si>
    <t>NSE:RITCO</t>
  </si>
  <si>
    <t>RITCO</t>
  </si>
  <si>
    <t>Sky Gold Limited</t>
  </si>
  <si>
    <t>NSE:SKYGOLD</t>
  </si>
  <si>
    <t>SKYGOLD</t>
  </si>
  <si>
    <t>Sreeleathers Limited</t>
  </si>
  <si>
    <t>NSE:SREEL</t>
  </si>
  <si>
    <t>SREEL</t>
  </si>
  <si>
    <t>N R Agarwal Industries Limited</t>
  </si>
  <si>
    <t>NSE:NRAIL</t>
  </si>
  <si>
    <t>NRAIL</t>
  </si>
  <si>
    <t>Zim Laboratories Limited</t>
  </si>
  <si>
    <t>NSE:ZIMLAB</t>
  </si>
  <si>
    <t>ZIMLAB</t>
  </si>
  <si>
    <t>Anjani Portland Cement Limited</t>
  </si>
  <si>
    <t>NSE:APCL</t>
  </si>
  <si>
    <t>APCL</t>
  </si>
  <si>
    <t>Nahar Poly Films Limited</t>
  </si>
  <si>
    <t>NSE:NAHARPOLY</t>
  </si>
  <si>
    <t>NAHARPOLY</t>
  </si>
  <si>
    <t>Ratnaveer Precision Engineering Limited</t>
  </si>
  <si>
    <t>NSE:RATNAVEER</t>
  </si>
  <si>
    <t>RATNAVEER</t>
  </si>
  <si>
    <t>Nectar Lifesciences Limited</t>
  </si>
  <si>
    <t>NSE:NECLIFE</t>
  </si>
  <si>
    <t>NECLIFE</t>
  </si>
  <si>
    <t>Arrow Greentech Limited</t>
  </si>
  <si>
    <t>NSE:ARROWGREEN</t>
  </si>
  <si>
    <t>ARROWGREEN</t>
  </si>
  <si>
    <t>Consolidated Finvest &amp; Holdings Limited</t>
  </si>
  <si>
    <t>NSE:CONSOFINVT</t>
  </si>
  <si>
    <t>CONSOFINVT</t>
  </si>
  <si>
    <t>Chembond Chemicals Ltd</t>
  </si>
  <si>
    <t>NSE:CHEMBOND</t>
  </si>
  <si>
    <t>CHEMBOND</t>
  </si>
  <si>
    <t>Urja Global Limited</t>
  </si>
  <si>
    <t>NSE:URJA</t>
  </si>
  <si>
    <t>URJA</t>
  </si>
  <si>
    <t>Munjal Showa Limited</t>
  </si>
  <si>
    <t>NSE:MUNJALSHOW</t>
  </si>
  <si>
    <t>MUNJALSHOW</t>
  </si>
  <si>
    <t>HT Media Limited</t>
  </si>
  <si>
    <t>NSE:HTMEDIA</t>
  </si>
  <si>
    <t>HTMEDIA</t>
  </si>
  <si>
    <t>Nahar Industrial Enterprises Limited</t>
  </si>
  <si>
    <t>NSE:NAHARINDUS</t>
  </si>
  <si>
    <t>NAHARINDUS</t>
  </si>
  <si>
    <t>HCL Infosystems Limited</t>
  </si>
  <si>
    <t>NSE:HCL-INSYS</t>
  </si>
  <si>
    <t>HCL-INSYS</t>
  </si>
  <si>
    <t>Khadim India Limited</t>
  </si>
  <si>
    <t>NSE:KHADIM</t>
  </si>
  <si>
    <t>KHADIM</t>
  </si>
  <si>
    <t>Exxaro Tiles Limited</t>
  </si>
  <si>
    <t>NSE:EXXARO</t>
  </si>
  <si>
    <t>EXXARO</t>
  </si>
  <si>
    <t>Maan Aluminium Limited</t>
  </si>
  <si>
    <t>NSE:MAANALU</t>
  </si>
  <si>
    <t>MAANALU</t>
  </si>
  <si>
    <t>Axita Cotton Limited</t>
  </si>
  <si>
    <t>NSE:AXITA</t>
  </si>
  <si>
    <t>AXITA</t>
  </si>
  <si>
    <t>Kanoria Chemicals &amp; Industries Limited</t>
  </si>
  <si>
    <t>NSE:KANORICHEM</t>
  </si>
  <si>
    <t>KANORICHEM</t>
  </si>
  <si>
    <t>Hindustan Media Ventures Limited</t>
  </si>
  <si>
    <t>NSE:HMVL</t>
  </si>
  <si>
    <t>HMVL</t>
  </si>
  <si>
    <t>Nagarjuna Fertilizers and Chemicals Limited</t>
  </si>
  <si>
    <t>NSE:NAGAFERT</t>
  </si>
  <si>
    <t>NAGAFERT</t>
  </si>
  <si>
    <t>Ind-Swift Laboratories Limited</t>
  </si>
  <si>
    <t>NSE:INDSWFTLAB</t>
  </si>
  <si>
    <t>INDSWFTLAB</t>
  </si>
  <si>
    <t>MMP Industries Limited</t>
  </si>
  <si>
    <t>NSE:MMP</t>
  </si>
  <si>
    <t>MMP</t>
  </si>
  <si>
    <t>International Conveyors Limited</t>
  </si>
  <si>
    <t>NSE:INTLCONV</t>
  </si>
  <si>
    <t>INTLCONV</t>
  </si>
  <si>
    <t>Kamat Hotels (I) Limited</t>
  </si>
  <si>
    <t>NSE:KAMATHOTEL</t>
  </si>
  <si>
    <t>KAMATHOTEL</t>
  </si>
  <si>
    <t>GRP Limited</t>
  </si>
  <si>
    <t>NSE:GRPLTD</t>
  </si>
  <si>
    <t>GRPLTD</t>
  </si>
  <si>
    <t>Brand Concepts Limited</t>
  </si>
  <si>
    <t>NSE:BCONCEPTS</t>
  </si>
  <si>
    <t>BCONCEPTS</t>
  </si>
  <si>
    <t>Dhunseri Investments Limited</t>
  </si>
  <si>
    <t>NSE:DHUNINV</t>
  </si>
  <si>
    <t>DHUNINV</t>
  </si>
  <si>
    <t>Kriti Industries (India) Limited</t>
  </si>
  <si>
    <t>NSE:KRITI</t>
  </si>
  <si>
    <t>KRITI</t>
  </si>
  <si>
    <t>BGR Energy Systems Limited</t>
  </si>
  <si>
    <t>NSE:BGRENERGY</t>
  </si>
  <si>
    <t>BGRENERGY</t>
  </si>
  <si>
    <t>Jindal Photo Limited</t>
  </si>
  <si>
    <t>NSE:JINDALPHOT</t>
  </si>
  <si>
    <t>JINDALPHOT</t>
  </si>
  <si>
    <t>Indo Borax &amp; Chemicals Limited</t>
  </si>
  <si>
    <t>NSE:INDOBORAX</t>
  </si>
  <si>
    <t>INDOBORAX</t>
  </si>
  <si>
    <t>SBC Exports Limited</t>
  </si>
  <si>
    <t>NSE:SBC</t>
  </si>
  <si>
    <t>SBC</t>
  </si>
  <si>
    <t>Indo Tech Transformers Limited</t>
  </si>
  <si>
    <t>NSE:INDOTECH</t>
  </si>
  <si>
    <t>INDOTECH</t>
  </si>
  <si>
    <t>Donear Industries Limited</t>
  </si>
  <si>
    <t>NSE:DONEAR</t>
  </si>
  <si>
    <t>DONEAR</t>
  </si>
  <si>
    <t>Banswara Syntex Limited</t>
  </si>
  <si>
    <t>NSE:BANSWRAS</t>
  </si>
  <si>
    <t>BANSWRAS</t>
  </si>
  <si>
    <t>Aurum PropTech Limited</t>
  </si>
  <si>
    <t>NSE:AURUM</t>
  </si>
  <si>
    <t>AURUM</t>
  </si>
  <si>
    <t>Pondy Oxides &amp; Chemicals Limited</t>
  </si>
  <si>
    <t>NSE:POCL</t>
  </si>
  <si>
    <t>POCL</t>
  </si>
  <si>
    <t>PTL Enterprises Limited</t>
  </si>
  <si>
    <t>NSE:PTL</t>
  </si>
  <si>
    <t>PTL</t>
  </si>
  <si>
    <t>Osia Hyper Retail Limited</t>
  </si>
  <si>
    <t>NSE:OSIAHYPER</t>
  </si>
  <si>
    <t>OSIAHYPER</t>
  </si>
  <si>
    <t>Chemfab Alkalis Limited</t>
  </si>
  <si>
    <t>NSE:CHEMFAB</t>
  </si>
  <si>
    <t>CHEMFAB</t>
  </si>
  <si>
    <t>B&amp;B Triplewall Containers Limited</t>
  </si>
  <si>
    <t>NSE:BBTCL</t>
  </si>
  <si>
    <t>BBTCL</t>
  </si>
  <si>
    <t>Diamines &amp; Chemicals Limited</t>
  </si>
  <si>
    <t>NSE:DIAMINESQ</t>
  </si>
  <si>
    <t>DIAMINESQ</t>
  </si>
  <si>
    <t>ORIENT CERATECH LIMITED</t>
  </si>
  <si>
    <t>NSE:ORIENTCER</t>
  </si>
  <si>
    <t>ORIENTCER</t>
  </si>
  <si>
    <t>Music Broadcast Limited</t>
  </si>
  <si>
    <t>NSE:RADIOCITY</t>
  </si>
  <si>
    <t>RADIOCITY</t>
  </si>
  <si>
    <t>Aarti Surfactants Limited</t>
  </si>
  <si>
    <t>NSE:AARTISURF</t>
  </si>
  <si>
    <t>AARTISURF</t>
  </si>
  <si>
    <t>Prime Securities Limited</t>
  </si>
  <si>
    <t>NSE:PRIMESECU</t>
  </si>
  <si>
    <t>PRIMESECU</t>
  </si>
  <si>
    <t>ShreeOswal Seeds And Chemicals Limited</t>
  </si>
  <si>
    <t>NSE:OSWALSEEDS</t>
  </si>
  <si>
    <t>OSWALSEEDS</t>
  </si>
  <si>
    <t>Nahar Capital and Financial Services Limited</t>
  </si>
  <si>
    <t>NSE:NAHARCAP</t>
  </si>
  <si>
    <t>NAHARCAP</t>
  </si>
  <si>
    <t>Goa Carbon Limited</t>
  </si>
  <si>
    <t>NSE:GOACARBON</t>
  </si>
  <si>
    <t>GOACARBON</t>
  </si>
  <si>
    <t>W S Industries (I) Limited</t>
  </si>
  <si>
    <t>NSE:WSI</t>
  </si>
  <si>
    <t>WSI</t>
  </si>
  <si>
    <t>Genus Paper &amp; Boards Limited</t>
  </si>
  <si>
    <t>NSE:GENUSPAPER</t>
  </si>
  <si>
    <t>GENUSPAPER</t>
  </si>
  <si>
    <t>Plaza Wires Limited</t>
  </si>
  <si>
    <t>NSE:PLAZACABLE</t>
  </si>
  <si>
    <t>PLAZACABLE</t>
  </si>
  <si>
    <t>Orbit Exports Limited</t>
  </si>
  <si>
    <t>NSE:ORBTEXP</t>
  </si>
  <si>
    <t>ORBTEXP</t>
  </si>
  <si>
    <t>20 Microns Limited</t>
  </si>
  <si>
    <t>NSE:20MICRONS</t>
  </si>
  <si>
    <t>20MICRONS</t>
  </si>
  <si>
    <t>FCS Software Solutions Limited</t>
  </si>
  <si>
    <t>NSE:FCSSOFT</t>
  </si>
  <si>
    <t>FCSSOFT</t>
  </si>
  <si>
    <t>IFB Agro Industries Limited</t>
  </si>
  <si>
    <t>NSE:IFBAGRO</t>
  </si>
  <si>
    <t>IFBAGRO</t>
  </si>
  <si>
    <t>DEEP ENERGY RESOURCES LIMITED</t>
  </si>
  <si>
    <t>NSE:DEEPENR</t>
  </si>
  <si>
    <t>DEEPENR</t>
  </si>
  <si>
    <t>Aditya Birla Money Limited</t>
  </si>
  <si>
    <t>NSE:BIRLAMONEY</t>
  </si>
  <si>
    <t>BIRLAMONEY</t>
  </si>
  <si>
    <t>United Drilling Tools Limited</t>
  </si>
  <si>
    <t>NSE:UNIDT</t>
  </si>
  <si>
    <t>UNIDT</t>
  </si>
  <si>
    <t>Albert David Limited</t>
  </si>
  <si>
    <t>NSE:ALBERTDAVD</t>
  </si>
  <si>
    <t>ALBERTDAVD</t>
  </si>
  <si>
    <t>Race Eco Chain Limited</t>
  </si>
  <si>
    <t>NSE:RACE</t>
  </si>
  <si>
    <t>RACE</t>
  </si>
  <si>
    <t>Windsor Machines Limited</t>
  </si>
  <si>
    <t>NSE:WINDMACHIN</t>
  </si>
  <si>
    <t>WINDMACHIN</t>
  </si>
  <si>
    <t>Prozone Realty Limited</t>
  </si>
  <si>
    <t>NSE:PROZONER</t>
  </si>
  <si>
    <t>PROZONER</t>
  </si>
  <si>
    <t>Radhika Jeweltech Limited</t>
  </si>
  <si>
    <t>NSE:RADHIKAJWE</t>
  </si>
  <si>
    <t>RADHIKAJWE</t>
  </si>
  <si>
    <t>NDL Ventures Limited</t>
  </si>
  <si>
    <t>NSE:NDLVENTURE</t>
  </si>
  <si>
    <t>NDLVENTURE</t>
  </si>
  <si>
    <t>BALAXI PHARMACEUTICALS LIMITED</t>
  </si>
  <si>
    <t>NSE:BALAXI</t>
  </si>
  <si>
    <t>BALAXI</t>
  </si>
  <si>
    <t>ZUARI INDUSTRIES LIMITED</t>
  </si>
  <si>
    <t>NSE:ZUARIIND</t>
  </si>
  <si>
    <t>ZUARIIND</t>
  </si>
  <si>
    <t>Pavna Industries Limited</t>
  </si>
  <si>
    <t>NSE:PAVNAIND</t>
  </si>
  <si>
    <t>PAVNAIND</t>
  </si>
  <si>
    <t>The Investment Trust Of India Limited</t>
  </si>
  <si>
    <t>NSE:THEINVEST</t>
  </si>
  <si>
    <t>THEINVEST</t>
  </si>
  <si>
    <t>Hubtown Limited</t>
  </si>
  <si>
    <t>NSE:HUBTOWN</t>
  </si>
  <si>
    <t>HUBTOWN</t>
  </si>
  <si>
    <t>Sigma Solve Limited</t>
  </si>
  <si>
    <t>NSE:SIGMA</t>
  </si>
  <si>
    <t>SIGMA</t>
  </si>
  <si>
    <t>Liberty Shoes Limited</t>
  </si>
  <si>
    <t>NSE:LIBERTSHOE</t>
  </si>
  <si>
    <t>LIBERTSHOE</t>
  </si>
  <si>
    <t>Kaya Limited</t>
  </si>
  <si>
    <t>NSE:KAYA</t>
  </si>
  <si>
    <t>KAYA</t>
  </si>
  <si>
    <t>Reliance Communications Limited</t>
  </si>
  <si>
    <t>NSE:RCOM</t>
  </si>
  <si>
    <t>RCOM</t>
  </si>
  <si>
    <t>MIRC Electronics Limited</t>
  </si>
  <si>
    <t>NSE:MIRCELECTR</t>
  </si>
  <si>
    <t>MIRCELECTR</t>
  </si>
  <si>
    <t>Pudumjee Paper Products Limited</t>
  </si>
  <si>
    <t>NSE:PDMJEPAPER</t>
  </si>
  <si>
    <t>PDMJEPAPER</t>
  </si>
  <si>
    <t>Advani Hotels &amp; Resorts (India) Limited</t>
  </si>
  <si>
    <t>NSE:ADVANIHOTR</t>
  </si>
  <si>
    <t>ADVANIHOTR</t>
  </si>
  <si>
    <t>Sahyadri Industries Limited</t>
  </si>
  <si>
    <t>NSE:SAHYADRI</t>
  </si>
  <si>
    <t>SAHYADRI</t>
  </si>
  <si>
    <t>Universus Photo Imagings Limited</t>
  </si>
  <si>
    <t>NSE:UNIVPHOTO</t>
  </si>
  <si>
    <t>UNIVPHOTO</t>
  </si>
  <si>
    <t>Mazda Limited</t>
  </si>
  <si>
    <t>NSE:MAZDA</t>
  </si>
  <si>
    <t>MAZDA</t>
  </si>
  <si>
    <t>Nupur Recyclers Limited</t>
  </si>
  <si>
    <t>NSE:NRL</t>
  </si>
  <si>
    <t>NRL</t>
  </si>
  <si>
    <t>Vardhman Acrylics Limited</t>
  </si>
  <si>
    <t>NSE:VARDHACRLC</t>
  </si>
  <si>
    <t>VARDHACRLC</t>
  </si>
  <si>
    <t>South West Pinnacle Exploration Limited</t>
  </si>
  <si>
    <t>NSE:SOUTHWEST</t>
  </si>
  <si>
    <t>SOUTHWEST</t>
  </si>
  <si>
    <t>Mindteck (India) Limited</t>
  </si>
  <si>
    <t>NSE:MINDTECK</t>
  </si>
  <si>
    <t>MINDTECK</t>
  </si>
  <si>
    <t>Shyam Century Ferrous Limited</t>
  </si>
  <si>
    <t>NSE:SHYAMCENT</t>
  </si>
  <si>
    <t>SHYAMCENT</t>
  </si>
  <si>
    <t>Global Education Limited</t>
  </si>
  <si>
    <t>NSE:GLOBAL</t>
  </si>
  <si>
    <t>GLOBAL</t>
  </si>
  <si>
    <t>Oricon Enterprises Limited</t>
  </si>
  <si>
    <t>NSE:ORICONENT</t>
  </si>
  <si>
    <t>ORICONENT</t>
  </si>
  <si>
    <t>CL Educate Limited</t>
  </si>
  <si>
    <t>NSE:CLEDUCATE</t>
  </si>
  <si>
    <t>CLEDUCATE</t>
  </si>
  <si>
    <t>Hitech Corporation Limited</t>
  </si>
  <si>
    <t>NSE:HITECHCORP</t>
  </si>
  <si>
    <t>HITECHCORP</t>
  </si>
  <si>
    <t>Kothari Sugars And Chemicals Limited</t>
  </si>
  <si>
    <t>NSE:KOTARISUG</t>
  </si>
  <si>
    <t>KOTARISUG</t>
  </si>
  <si>
    <t>Oswal Agro Mills Limited</t>
  </si>
  <si>
    <t>NSE:OSWALAGRO</t>
  </si>
  <si>
    <t>OSWALAGRO</t>
  </si>
  <si>
    <t>N. B. I. Industrial Finance Company Limited</t>
  </si>
  <si>
    <t>NSE:NBIFIN</t>
  </si>
  <si>
    <t>NBIFIN</t>
  </si>
  <si>
    <t>Parsvnath Developers Limited</t>
  </si>
  <si>
    <t>NSE:PARSVNATH</t>
  </si>
  <si>
    <t>PARSVNATH</t>
  </si>
  <si>
    <t>Bartronics India Limited</t>
  </si>
  <si>
    <t>NSE:ASMS</t>
  </si>
  <si>
    <t>ASMS</t>
  </si>
  <si>
    <t>Sarveshwar Foods Limited</t>
  </si>
  <si>
    <t>NSE:SARVESHWAR</t>
  </si>
  <si>
    <t>SARVESHWAR</t>
  </si>
  <si>
    <t>Stel Holdings Limited</t>
  </si>
  <si>
    <t>NSE:STEL</t>
  </si>
  <si>
    <t>STEL</t>
  </si>
  <si>
    <t>Lokesh Machines Limited</t>
  </si>
  <si>
    <t>NSE:LOKESHMACH</t>
  </si>
  <si>
    <t>LOKESHMACH</t>
  </si>
  <si>
    <t>DIC India Limited</t>
  </si>
  <si>
    <t>NSE:DICIND</t>
  </si>
  <si>
    <t>DICIND</t>
  </si>
  <si>
    <t>Sheetal Cool Products Limited</t>
  </si>
  <si>
    <t>NSE:SCPL</t>
  </si>
  <si>
    <t>SCPL</t>
  </si>
  <si>
    <t>Sarla Performance Fibers Limited</t>
  </si>
  <si>
    <t>NSE:SARLAPOLY</t>
  </si>
  <si>
    <t>SARLAPOLY</t>
  </si>
  <si>
    <t>Vikas EcoTech Limited</t>
  </si>
  <si>
    <t>NSE:VIKASECO</t>
  </si>
  <si>
    <t>VIKASECO</t>
  </si>
  <si>
    <t>Cybertech Systems And Software Limited</t>
  </si>
  <si>
    <t>NSE:CYBERTECH</t>
  </si>
  <si>
    <t>CYBERTECH</t>
  </si>
  <si>
    <t>DELPHI WORLD MONEY LIMITED</t>
  </si>
  <si>
    <t>NSE:DELPHIFX</t>
  </si>
  <si>
    <t>DELPHIFX</t>
  </si>
  <si>
    <t>Rama Phosphates Limited</t>
  </si>
  <si>
    <t>NSE:RAMAPHO</t>
  </si>
  <si>
    <t>RAMAPHO</t>
  </si>
  <si>
    <t>GeeCee Ventures Limited</t>
  </si>
  <si>
    <t>NSE:GEECEE</t>
  </si>
  <si>
    <t>GEECEE</t>
  </si>
  <si>
    <t>Indo-National Limited</t>
  </si>
  <si>
    <t>NSE:NIPPOBATRY</t>
  </si>
  <si>
    <t>NIPPOBATRY</t>
  </si>
  <si>
    <t>Kilitch Drugs (India) Limited</t>
  </si>
  <si>
    <t>NSE:KILITCH</t>
  </si>
  <si>
    <t>KILITCH</t>
  </si>
  <si>
    <t>Macpower CNC Machines Limited</t>
  </si>
  <si>
    <t>NSE:MACPOWER</t>
  </si>
  <si>
    <t>MACPOWER</t>
  </si>
  <si>
    <t>Apollo Sindoori Hotels Limited</t>
  </si>
  <si>
    <t>NSE:APOLSINHOT</t>
  </si>
  <si>
    <t>APOLSINHOT</t>
  </si>
  <si>
    <t>Lords Chloro Alkali Limited</t>
  </si>
  <si>
    <t>NSE:LORDSCHLO</t>
  </si>
  <si>
    <t>LORDSCHLO</t>
  </si>
  <si>
    <t>UFO Moviez India Limited</t>
  </si>
  <si>
    <t>NSE:UFO</t>
  </si>
  <si>
    <t>UFO</t>
  </si>
  <si>
    <t>Shemaroo Entertainment Limited</t>
  </si>
  <si>
    <t>NSE:SHEMAROO</t>
  </si>
  <si>
    <t>SHEMAROO</t>
  </si>
  <si>
    <t>Mawana Sugars Limited</t>
  </si>
  <si>
    <t>NSE:MAWANASUG</t>
  </si>
  <si>
    <t>MAWANASUG</t>
  </si>
  <si>
    <t>Nath Bio-Genes (India) Limited</t>
  </si>
  <si>
    <t>NSE:NATHBIOGEN</t>
  </si>
  <si>
    <t>NATHBIOGEN</t>
  </si>
  <si>
    <t>Ruchira Papers Limited</t>
  </si>
  <si>
    <t>NSE:RUCHIRA</t>
  </si>
  <si>
    <t>RUCHIRA</t>
  </si>
  <si>
    <t>VIP Clothing Limited</t>
  </si>
  <si>
    <t>NSE:VIPCLOTHNG</t>
  </si>
  <si>
    <t>VIPCLOTHNG</t>
  </si>
  <si>
    <t>Vertoz Advertising Limited</t>
  </si>
  <si>
    <t>NSE:VERTOZ</t>
  </si>
  <si>
    <t>VERTOZ</t>
  </si>
  <si>
    <t>Rana Sugars Limited</t>
  </si>
  <si>
    <t>NSE:RANASUG</t>
  </si>
  <si>
    <t>RANASUG</t>
  </si>
  <si>
    <t>Shivam Autotech Limited</t>
  </si>
  <si>
    <t>NSE:SHIVAMAUTO</t>
  </si>
  <si>
    <t>SHIVAMAUTO</t>
  </si>
  <si>
    <t>Venus Remedies Limited</t>
  </si>
  <si>
    <t>NSE:VENUSREM</t>
  </si>
  <si>
    <t>VENUSREM</t>
  </si>
  <si>
    <t>KCP Sugar and Industries Corporation Limited</t>
  </si>
  <si>
    <t>NSE:KCPSUGIND</t>
  </si>
  <si>
    <t>KCPSUGIND</t>
  </si>
  <si>
    <t>Trigyn Technologies Limited</t>
  </si>
  <si>
    <t>NSE:TRIGYN</t>
  </si>
  <si>
    <t>TRIGYN</t>
  </si>
  <si>
    <t>Autoline Industries Limited</t>
  </si>
  <si>
    <t>NSE:AUTOIND</t>
  </si>
  <si>
    <t>AUTOIND</t>
  </si>
  <si>
    <t>Sakuma Exports Limited</t>
  </si>
  <si>
    <t>NSE:SAKUMA</t>
  </si>
  <si>
    <t>SAKUMA</t>
  </si>
  <si>
    <t>Wealth First Portfolio Managers Limited</t>
  </si>
  <si>
    <t>NSE:WEALTH</t>
  </si>
  <si>
    <t>WEALTH</t>
  </si>
  <si>
    <t>Kriti Nutrients Limited</t>
  </si>
  <si>
    <t>NSE:KRITINUT</t>
  </si>
  <si>
    <t>KRITINUT</t>
  </si>
  <si>
    <t>BPL Limited</t>
  </si>
  <si>
    <t>NSE:BPL</t>
  </si>
  <si>
    <t>BPL</t>
  </si>
  <si>
    <t>Lyka Labs Limited</t>
  </si>
  <si>
    <t>NSE:LYKALABS</t>
  </si>
  <si>
    <t>LYKALABS</t>
  </si>
  <si>
    <t>Dynemic Products Limited</t>
  </si>
  <si>
    <t>NSE:DYNPRO</t>
  </si>
  <si>
    <t>DYNPRO</t>
  </si>
  <si>
    <t>Career Point Limited</t>
  </si>
  <si>
    <t>NSE:CAREERP</t>
  </si>
  <si>
    <t>CAREERP</t>
  </si>
  <si>
    <t>SIL Investments Limited</t>
  </si>
  <si>
    <t>NSE:SILINV</t>
  </si>
  <si>
    <t>SILINV</t>
  </si>
  <si>
    <t>Poddar Pigments Limited</t>
  </si>
  <si>
    <t>NSE:PODDARMENT</t>
  </si>
  <si>
    <t>PODDARMENT</t>
  </si>
  <si>
    <t>Wonder Electricals Limited</t>
  </si>
  <si>
    <t>NSE:WEL</t>
  </si>
  <si>
    <t>WEL</t>
  </si>
  <si>
    <t>TPL Plastech Limited</t>
  </si>
  <si>
    <t>NSE:TPLPLASTEH</t>
  </si>
  <si>
    <t>TPLPLASTEH</t>
  </si>
  <si>
    <t>Baid Finserv Limited</t>
  </si>
  <si>
    <t>NSE:BAIDFIN</t>
  </si>
  <si>
    <t>BAIDFIN</t>
  </si>
  <si>
    <t>Gokul Refoils and Solvent Limited</t>
  </si>
  <si>
    <t>NSE:GOKUL</t>
  </si>
  <si>
    <t>GOKUL</t>
  </si>
  <si>
    <t>VL E-Governance &amp; IT Solutions Limited</t>
  </si>
  <si>
    <t>NSE:VLEGOV</t>
  </si>
  <si>
    <t>VLEGOV</t>
  </si>
  <si>
    <t>Euro India Fresh Foods Limited</t>
  </si>
  <si>
    <t>NSE:EIFFL</t>
  </si>
  <si>
    <t>EIFFL</t>
  </si>
  <si>
    <t>Kothari Products Limited</t>
  </si>
  <si>
    <t>NSE:KOTHARIPRO</t>
  </si>
  <si>
    <t>KOTHARIPRO</t>
  </si>
  <si>
    <t>Bedmutha Industries Limited</t>
  </si>
  <si>
    <t>NSE:BEDMUTHA</t>
  </si>
  <si>
    <t>BEDMUTHA</t>
  </si>
  <si>
    <t>SEL Manufacturing Company Limited</t>
  </si>
  <si>
    <t>NSE:SELMC</t>
  </si>
  <si>
    <t>SELMC</t>
  </si>
  <si>
    <t>Nureca Limited</t>
  </si>
  <si>
    <t>NSE:NURECA</t>
  </si>
  <si>
    <t>NURECA</t>
  </si>
  <si>
    <t>Cineline India Limited</t>
  </si>
  <si>
    <t>NSE:CINELINE</t>
  </si>
  <si>
    <t>CINELINE</t>
  </si>
  <si>
    <t>Ponni Sugars (Erode) Limited</t>
  </si>
  <si>
    <t>NSE:PONNIERODE</t>
  </si>
  <si>
    <t>PONNIERODE</t>
  </si>
  <si>
    <t>Goldstone Technologies Limited</t>
  </si>
  <si>
    <t>NSE:GOLDTECH</t>
  </si>
  <si>
    <t>GOLDTECH</t>
  </si>
  <si>
    <t>Geekay Wires Limited</t>
  </si>
  <si>
    <t>NSE:GEEKAYWIRE</t>
  </si>
  <si>
    <t>GEEKAYWIRE</t>
  </si>
  <si>
    <t>AYM Syntex Limited</t>
  </si>
  <si>
    <t>NSE:AYMSYNTEX</t>
  </si>
  <si>
    <t>AYMSYNTEX</t>
  </si>
  <si>
    <t>Sintercom India Limited</t>
  </si>
  <si>
    <t>NSE:SINTERCOM</t>
  </si>
  <si>
    <t>SINTERCOM</t>
  </si>
  <si>
    <t>Essar Shipping Limited</t>
  </si>
  <si>
    <t>NSE:ESSARSHPNG</t>
  </si>
  <si>
    <t>ESSARSHPNG</t>
  </si>
  <si>
    <t>Sakthi Sugars Limited</t>
  </si>
  <si>
    <t>NSE:SAKHTISUG</t>
  </si>
  <si>
    <t>SAKHTISUG</t>
  </si>
  <si>
    <t>Rudrabhishek Enterprises Limited</t>
  </si>
  <si>
    <t>NSE:REPL</t>
  </si>
  <si>
    <t>REPL</t>
  </si>
  <si>
    <t>Megasoft Limited</t>
  </si>
  <si>
    <t>NSE:MEGASOFT</t>
  </si>
  <si>
    <t>MEGASOFT</t>
  </si>
  <si>
    <t>Mangalam Organics Limited</t>
  </si>
  <si>
    <t>NSE:MANORG</t>
  </si>
  <si>
    <t>MANORG</t>
  </si>
  <si>
    <t>Shreyans Industries Limited</t>
  </si>
  <si>
    <t>NSE:SHREYANIND</t>
  </si>
  <si>
    <t>SHREYANIND</t>
  </si>
  <si>
    <t>Synergy Green Industries Limited</t>
  </si>
  <si>
    <t>NSE:SGIL</t>
  </si>
  <si>
    <t>SGIL</t>
  </si>
  <si>
    <t>Asian Hotels (North) Limited</t>
  </si>
  <si>
    <t>NSE:ASIANHOTNR</t>
  </si>
  <si>
    <t>ASIANHOTNR</t>
  </si>
  <si>
    <t>AVG Logistics Limited</t>
  </si>
  <si>
    <t>NSE:AVG</t>
  </si>
  <si>
    <t>AVG</t>
  </si>
  <si>
    <t>SRG Housing Finance Limited</t>
  </si>
  <si>
    <t>NSE:SRGHFL</t>
  </si>
  <si>
    <t>SRGHFL</t>
  </si>
  <si>
    <t>Simplex Infrastructures Limited</t>
  </si>
  <si>
    <t>NSE:SIMPLEXINF</t>
  </si>
  <si>
    <t>SIMPLEXINF</t>
  </si>
  <si>
    <t>Nandan Denim Limited</t>
  </si>
  <si>
    <t>NSE:NDL</t>
  </si>
  <si>
    <t>NDL</t>
  </si>
  <si>
    <t>Sarthak Metals Limited</t>
  </si>
  <si>
    <t>NSE:SMLT</t>
  </si>
  <si>
    <t>SMLT</t>
  </si>
  <si>
    <t>MBL Infrastructure Limited</t>
  </si>
  <si>
    <t>NSE:MBLINFRA</t>
  </si>
  <si>
    <t>MBLINFRA</t>
  </si>
  <si>
    <t>Praxis Home Retail Limited</t>
  </si>
  <si>
    <t>NSE:PRAXIS</t>
  </si>
  <si>
    <t>PRAXIS</t>
  </si>
  <si>
    <t>Mahindra EPC Irrigation Limited</t>
  </si>
  <si>
    <t>NSE:MAHEPC</t>
  </si>
  <si>
    <t>MAHEPC</t>
  </si>
  <si>
    <t>Emami Realty Limited</t>
  </si>
  <si>
    <t>NSE:EMAMIREAL</t>
  </si>
  <si>
    <t>EMAMIREAL</t>
  </si>
  <si>
    <t>Hindustan Motors Limited</t>
  </si>
  <si>
    <t>NSE:HINDMOTORS</t>
  </si>
  <si>
    <t>HINDMOTORS</t>
  </si>
  <si>
    <t>GSS Infotech Limited</t>
  </si>
  <si>
    <t>NSE:GSS</t>
  </si>
  <si>
    <t>GSS</t>
  </si>
  <si>
    <t>Bharat Road Network Limited</t>
  </si>
  <si>
    <t>NSE:BRNL</t>
  </si>
  <si>
    <t>BRNL</t>
  </si>
  <si>
    <t>Coastal Corporation Limited</t>
  </si>
  <si>
    <t>NSE:COASTCORP</t>
  </si>
  <si>
    <t>COASTCORP</t>
  </si>
  <si>
    <t>PPAP Automotive Limited</t>
  </si>
  <si>
    <t>NSE:PPAP</t>
  </si>
  <si>
    <t>PPAP</t>
  </si>
  <si>
    <t>Star Paper Mills Limited</t>
  </si>
  <si>
    <t>NSE:STARPAPER</t>
  </si>
  <si>
    <t>STARPAPER</t>
  </si>
  <si>
    <t>Laxmi Goldorna House Limited</t>
  </si>
  <si>
    <t>NSE:LGHL</t>
  </si>
  <si>
    <t>LGHL</t>
  </si>
  <si>
    <t>Vishwaraj Sugar Industries Limited</t>
  </si>
  <si>
    <t>NSE:VISHWARAJ</t>
  </si>
  <si>
    <t>VISHWARAJ</t>
  </si>
  <si>
    <t>Shree Rama Multi-Tech Limited</t>
  </si>
  <si>
    <t>NSE:SHREERAMA</t>
  </si>
  <si>
    <t>SHREERAMA</t>
  </si>
  <si>
    <t>Zodiac Clothing Company Limited</t>
  </si>
  <si>
    <t>NSE:ZODIACLOTH</t>
  </si>
  <si>
    <t>ZODIACLOTH</t>
  </si>
  <si>
    <t>Pasupati Acrylon Limited</t>
  </si>
  <si>
    <t>NSE:PASUPTAC</t>
  </si>
  <si>
    <t>PASUPTAC</t>
  </si>
  <si>
    <t>Hilton Metal Forging Limited</t>
  </si>
  <si>
    <t>NSE:HILTON</t>
  </si>
  <si>
    <t>HILTON</t>
  </si>
  <si>
    <t>DCM Nouvelle Limited</t>
  </si>
  <si>
    <t>NSE:DCMNVL</t>
  </si>
  <si>
    <t>DCMNVL</t>
  </si>
  <si>
    <t>Megastar Foods Limited</t>
  </si>
  <si>
    <t>NSE:MEGASTAR</t>
  </si>
  <si>
    <t>MEGASTAR</t>
  </si>
  <si>
    <t>Loyal Textile Mills Limited</t>
  </si>
  <si>
    <t>NSE:LOYALTEX</t>
  </si>
  <si>
    <t>LOYALTEX</t>
  </si>
  <si>
    <t>Bannari Amman Spinning Mills Limited</t>
  </si>
  <si>
    <t>NSE:BASML</t>
  </si>
  <si>
    <t>BASML</t>
  </si>
  <si>
    <t>UCAL LIMITED</t>
  </si>
  <si>
    <t>NSE:UCAL</t>
  </si>
  <si>
    <t>UCAL</t>
  </si>
  <si>
    <t>PVP Ventures Limited</t>
  </si>
  <si>
    <t>NSE:PVP</t>
  </si>
  <si>
    <t>PVP</t>
  </si>
  <si>
    <t>Take Solutions Limited</t>
  </si>
  <si>
    <t>NSE:TAKE</t>
  </si>
  <si>
    <t>TAKE</t>
  </si>
  <si>
    <t>Virinchi Limited</t>
  </si>
  <si>
    <t>NSE:VIRINCHI</t>
  </si>
  <si>
    <t>VIRINCHI</t>
  </si>
  <si>
    <t>Asahi Songwon Colors Limited</t>
  </si>
  <si>
    <t>NSE:ASAHISONG</t>
  </si>
  <si>
    <t>ASAHISONG</t>
  </si>
  <si>
    <t>Uravi T and Wedge Lamps Limited</t>
  </si>
  <si>
    <t>NSE:URAVI</t>
  </si>
  <si>
    <t>URAVI</t>
  </si>
  <si>
    <t>Manaksia Steels Limited</t>
  </si>
  <si>
    <t>NSE:MANAKSTEEL</t>
  </si>
  <si>
    <t>MANAKSTEEL</t>
  </si>
  <si>
    <t>MODISON LIMITED</t>
  </si>
  <si>
    <t>NSE:MODISONLTD</t>
  </si>
  <si>
    <t>MODISONLTD</t>
  </si>
  <si>
    <t>Dev Information Technology Limited</t>
  </si>
  <si>
    <t>NSE:DEVIT</t>
  </si>
  <si>
    <t>DEVIT</t>
  </si>
  <si>
    <t>Industrial Investment Trust Limited</t>
  </si>
  <si>
    <t>NSE:IITL</t>
  </si>
  <si>
    <t>IITL</t>
  </si>
  <si>
    <t>TIL Limited</t>
  </si>
  <si>
    <t>NSE:TIL</t>
  </si>
  <si>
    <t>TIL</t>
  </si>
  <si>
    <t>Inspirisys Solutions Limited</t>
  </si>
  <si>
    <t>NSE:INSPIRISYS</t>
  </si>
  <si>
    <t>INSPIRISYS</t>
  </si>
  <si>
    <t>Anmol India Limited</t>
  </si>
  <si>
    <t>NSE:ANMOL</t>
  </si>
  <si>
    <t>ANMOL</t>
  </si>
  <si>
    <t>Bhartiya International Limited</t>
  </si>
  <si>
    <t>NSE:BIL</t>
  </si>
  <si>
    <t>BIL</t>
  </si>
  <si>
    <t>Equippp Social Impact Technologies Limited</t>
  </si>
  <si>
    <t>NSE:EQUIPPP</t>
  </si>
  <si>
    <t>EQUIPPP</t>
  </si>
  <si>
    <t>K.M.Sugar Mills Limited</t>
  </si>
  <si>
    <t>NSE:KMSUGAR</t>
  </si>
  <si>
    <t>KMSUGAR</t>
  </si>
  <si>
    <t>R.P.P. Infra Projects Limited</t>
  </si>
  <si>
    <t>NSE:RPPINFRA</t>
  </si>
  <si>
    <t>RPPINFRA</t>
  </si>
  <si>
    <t>Murudeshwar Ceramics Limited</t>
  </si>
  <si>
    <t>NSE:MURUDCERA</t>
  </si>
  <si>
    <t>MURUDCERA</t>
  </si>
  <si>
    <t>Integra Essentia Limited</t>
  </si>
  <si>
    <t>NSE:ESSENTIA</t>
  </si>
  <si>
    <t>ESSENTIA</t>
  </si>
  <si>
    <t>Jayshree Tea &amp; Industries Limited</t>
  </si>
  <si>
    <t>NSE:JAYSREETEA</t>
  </si>
  <si>
    <t>JAYSREETEA</t>
  </si>
  <si>
    <t>Ashima Limited</t>
  </si>
  <si>
    <t>NSE:ASHIMASYN</t>
  </si>
  <si>
    <t>ASHIMASYN</t>
  </si>
  <si>
    <t>Airan Limited</t>
  </si>
  <si>
    <t>NSE:AIRAN</t>
  </si>
  <si>
    <t>AIRAN</t>
  </si>
  <si>
    <t>IL&amp;FS Investment Managers Limited</t>
  </si>
  <si>
    <t>NSE:IVC</t>
  </si>
  <si>
    <t>IVC</t>
  </si>
  <si>
    <t>IZMO Limited</t>
  </si>
  <si>
    <t>NSE:IZMO</t>
  </si>
  <si>
    <t>IZMO</t>
  </si>
  <si>
    <t>Brooks Laboratories Limited</t>
  </si>
  <si>
    <t>NSE:BROOKS</t>
  </si>
  <si>
    <t>BROOKS</t>
  </si>
  <si>
    <t>Aban Offshore Limited</t>
  </si>
  <si>
    <t>NSE:ABAN</t>
  </si>
  <si>
    <t>ABAN</t>
  </si>
  <si>
    <t>Harrisons Malayalam Limited</t>
  </si>
  <si>
    <t>NSE:HARRMALAYA</t>
  </si>
  <si>
    <t>HARRMALAYA</t>
  </si>
  <si>
    <t>Maral Overseas Limited</t>
  </si>
  <si>
    <t>NSE:MARALOVER</t>
  </si>
  <si>
    <t>MARALOVER</t>
  </si>
  <si>
    <t>Premier Polyfilm Limited</t>
  </si>
  <si>
    <t>NSE:PREMIERPOL</t>
  </si>
  <si>
    <t>PREMIERPOL</t>
  </si>
  <si>
    <t>SPML Infra Limited</t>
  </si>
  <si>
    <t>NSE:SPMLINFRA</t>
  </si>
  <si>
    <t>SPMLINFRA</t>
  </si>
  <si>
    <t>Alankit Limited</t>
  </si>
  <si>
    <t>NSE:ALANKIT</t>
  </si>
  <si>
    <t>ALANKIT</t>
  </si>
  <si>
    <t>Sah Polymers Limited</t>
  </si>
  <si>
    <t>NSE:SAH</t>
  </si>
  <si>
    <t>SAH</t>
  </si>
  <si>
    <t>Sadbhav Engineering Limited</t>
  </si>
  <si>
    <t>NSE:SADBHAV</t>
  </si>
  <si>
    <t>SADBHAV</t>
  </si>
  <si>
    <t>Tembo Global Industries Limited</t>
  </si>
  <si>
    <t>NSE:TEMBO</t>
  </si>
  <si>
    <t>TEMBO</t>
  </si>
  <si>
    <t>Gujarat Apollo Industries Limited</t>
  </si>
  <si>
    <t>NSE:GUJAPOLLO</t>
  </si>
  <si>
    <t>GUJAPOLLO</t>
  </si>
  <si>
    <t>Aaron Industries Limited</t>
  </si>
  <si>
    <t>NSE:AARON</t>
  </si>
  <si>
    <t>AARON</t>
  </si>
  <si>
    <t>IL&amp;FS Engineering and Construction Company Limited</t>
  </si>
  <si>
    <t>NSE:IL&amp;FSENGG</t>
  </si>
  <si>
    <t>IL&amp;FSENGG</t>
  </si>
  <si>
    <t>Indian Terrain Fashions Limited</t>
  </si>
  <si>
    <t>NSE:INDTERRAIN</t>
  </si>
  <si>
    <t>INDTERRAIN</t>
  </si>
  <si>
    <t>Rajnandini Metal Limited</t>
  </si>
  <si>
    <t>NSE:RAJMET</t>
  </si>
  <si>
    <t>RAJMET</t>
  </si>
  <si>
    <t>Raj Television Network Limited</t>
  </si>
  <si>
    <t>NSE:RAJTV</t>
  </si>
  <si>
    <t>RAJTV</t>
  </si>
  <si>
    <t>Elgi Rubber Company Limited</t>
  </si>
  <si>
    <t>NSE:ELGIRUBCO</t>
  </si>
  <si>
    <t>ELGIRUBCO</t>
  </si>
  <si>
    <t>Precot Limited</t>
  </si>
  <si>
    <t>NSE:PRECOT</t>
  </si>
  <si>
    <t>PRECOT</t>
  </si>
  <si>
    <t>Remsons Industries Limited</t>
  </si>
  <si>
    <t>NSE:REMSONSIND</t>
  </si>
  <si>
    <t>REMSONSIND</t>
  </si>
  <si>
    <t>Kanpur Plastipack Limited</t>
  </si>
  <si>
    <t>NSE:KANPRPLA</t>
  </si>
  <si>
    <t>KANPRPLA</t>
  </si>
  <si>
    <t>TRF Limited</t>
  </si>
  <si>
    <t>NSE:TRF</t>
  </si>
  <si>
    <t>TRF</t>
  </si>
  <si>
    <t>Nila Infrastructures Limited</t>
  </si>
  <si>
    <t>NSE:NILAINFRA</t>
  </si>
  <si>
    <t>NILAINFRA</t>
  </si>
  <si>
    <t>Wanbury Limited</t>
  </si>
  <si>
    <t>NSE:WANBURY</t>
  </si>
  <si>
    <t>WANBURY</t>
  </si>
  <si>
    <t>Tips Films Limited</t>
  </si>
  <si>
    <t>NSE:TIPSFILMS</t>
  </si>
  <si>
    <t>TIPSFILMS</t>
  </si>
  <si>
    <t>Par Drugs And Chemicals Limited</t>
  </si>
  <si>
    <t>NSE:PAR</t>
  </si>
  <si>
    <t>PAR</t>
  </si>
  <si>
    <t>GP Petroleums Limited</t>
  </si>
  <si>
    <t>NSE:GULFPETRO</t>
  </si>
  <si>
    <t>GULFPETRO</t>
  </si>
  <si>
    <t>Ruchi Infrastructure Limited</t>
  </si>
  <si>
    <t>NSE:RUCHINFRA</t>
  </si>
  <si>
    <t>RUCHINFRA</t>
  </si>
  <si>
    <t>Superhouse Limited</t>
  </si>
  <si>
    <t>NSE:SUPERHOUSE</t>
  </si>
  <si>
    <t>SUPERHOUSE</t>
  </si>
  <si>
    <t>Sejal Glass Limited</t>
  </si>
  <si>
    <t>NSE:SEJALLTD</t>
  </si>
  <si>
    <t>SEJALLTD</t>
  </si>
  <si>
    <t>Mangalam Global Enterprise Limited</t>
  </si>
  <si>
    <t>NSE:MGEL</t>
  </si>
  <si>
    <t>MGEL</t>
  </si>
  <si>
    <t>Manomay Tex India Limited</t>
  </si>
  <si>
    <t>NSE:MANOMAY</t>
  </si>
  <si>
    <t>MANOMAY</t>
  </si>
  <si>
    <t>LGB Forge Limited</t>
  </si>
  <si>
    <t>NSE:LGBFORGE</t>
  </si>
  <si>
    <t>LGBFORGE</t>
  </si>
  <si>
    <t>Aries Agro Limited</t>
  </si>
  <si>
    <t>NSE:ARIES</t>
  </si>
  <si>
    <t>ARIES</t>
  </si>
  <si>
    <t>Lorenzini Apparels Limited</t>
  </si>
  <si>
    <t>NSE:LAL</t>
  </si>
  <si>
    <t>LAL</t>
  </si>
  <si>
    <t>Generic Engineering Construction and Projects Limited</t>
  </si>
  <si>
    <t>NSE:GENCON</t>
  </si>
  <si>
    <t>GENCON</t>
  </si>
  <si>
    <t>PIL ITALICA LIFESTYLE LIMITED</t>
  </si>
  <si>
    <t>NSE:PILITA</t>
  </si>
  <si>
    <t>PILITA</t>
  </si>
  <si>
    <t>Emkay Global Financial Services Limited</t>
  </si>
  <si>
    <t>NSE:EMKAY</t>
  </si>
  <si>
    <t>EMKAY</t>
  </si>
  <si>
    <t>Asian Hotels (East) Limited</t>
  </si>
  <si>
    <t>NSE:AHLEAST</t>
  </si>
  <si>
    <t>AHLEAST</t>
  </si>
  <si>
    <t>Priti International Limited</t>
  </si>
  <si>
    <t>NSE:PRITI</t>
  </si>
  <si>
    <t>PRITI</t>
  </si>
  <si>
    <t>Almondz Global Securities Limited</t>
  </si>
  <si>
    <t>NSE:ALMONDZ</t>
  </si>
  <si>
    <t>ALMONDZ</t>
  </si>
  <si>
    <t>MEP Infrastructure Developers Limited</t>
  </si>
  <si>
    <t>NSE:MEP</t>
  </si>
  <si>
    <t>MEP</t>
  </si>
  <si>
    <t>Veto Switchgears And Cables Limited</t>
  </si>
  <si>
    <t>NSE:VETO</t>
  </si>
  <si>
    <t>VETO</t>
  </si>
  <si>
    <t>Indo Thai Securities Limited</t>
  </si>
  <si>
    <t>NSE:INDOTHAI</t>
  </si>
  <si>
    <t>INDOTHAI</t>
  </si>
  <si>
    <t>Maheshwari Logistics Limited</t>
  </si>
  <si>
    <t>NSE:MAHESHWARI</t>
  </si>
  <si>
    <t>MAHESHWARI</t>
  </si>
  <si>
    <t>Dhunseri Tea &amp; Industries Limited</t>
  </si>
  <si>
    <t>NSE:DTIL</t>
  </si>
  <si>
    <t>DTIL</t>
  </si>
  <si>
    <t>Rane Engine Valve Limited</t>
  </si>
  <si>
    <t>NSE:RANEENGINE</t>
  </si>
  <si>
    <t>RANEENGINE</t>
  </si>
  <si>
    <t>Bafna Pharmaceuticals Limited</t>
  </si>
  <si>
    <t>NSE:BAFNAPH</t>
  </si>
  <si>
    <t>BAFNAPH</t>
  </si>
  <si>
    <t>Bhagyanagar India Limited</t>
  </si>
  <si>
    <t>NSE:BHAGYANGR</t>
  </si>
  <si>
    <t>BHAGYANGR</t>
  </si>
  <si>
    <t>Mcleod Russel India Limited</t>
  </si>
  <si>
    <t>NSE:MCLEODRUSS</t>
  </si>
  <si>
    <t>MCLEODRUSS</t>
  </si>
  <si>
    <t>Multi Commodity Exchange of India Limited</t>
  </si>
  <si>
    <t>NSE:MCX</t>
  </si>
  <si>
    <t>MCX</t>
  </si>
  <si>
    <t>Ginni Filaments Limited</t>
  </si>
  <si>
    <t>NSE:GINNIFILA</t>
  </si>
  <si>
    <t>GINNIFILA</t>
  </si>
  <si>
    <t>GVP Infotech Limited</t>
  </si>
  <si>
    <t>NSE:GVPTECH</t>
  </si>
  <si>
    <t>GVPTECH</t>
  </si>
  <si>
    <t>Shree Rama Newsprint Limited</t>
  </si>
  <si>
    <t>NSE:RAMANEWS</t>
  </si>
  <si>
    <t>RAMANEWS</t>
  </si>
  <si>
    <t>Rajshree Polypack Limited</t>
  </si>
  <si>
    <t>NSE:RPPL</t>
  </si>
  <si>
    <t>RPPL</t>
  </si>
  <si>
    <t>Sundaram Brake Linings Limited</t>
  </si>
  <si>
    <t>NSE:SUNDRMBRAK</t>
  </si>
  <si>
    <t>SUNDRMBRAK</t>
  </si>
  <si>
    <t>Latteys Industries Limited</t>
  </si>
  <si>
    <t>NSE:LATTEYS</t>
  </si>
  <si>
    <t>LATTEYS</t>
  </si>
  <si>
    <t>Iris Business Services Limited</t>
  </si>
  <si>
    <t>NSE:IRIS</t>
  </si>
  <si>
    <t>IRIS</t>
  </si>
  <si>
    <t>Indiabulls Enterprises Limited</t>
  </si>
  <si>
    <t>NSE:IEL</t>
  </si>
  <si>
    <t>IEL</t>
  </si>
  <si>
    <t>AksharChem India Limited</t>
  </si>
  <si>
    <t>NSE:AKSHARCHEM</t>
  </si>
  <si>
    <t>AKSHARCHEM</t>
  </si>
  <si>
    <t>Mahalaxmi Rubtech Limited</t>
  </si>
  <si>
    <t>NSE:MHLXMIRU</t>
  </si>
  <si>
    <t>MHLXMIRU</t>
  </si>
  <si>
    <t>Total Transport Systems Limited</t>
  </si>
  <si>
    <t>NSE:TOTAL</t>
  </si>
  <si>
    <t>TOTAL</t>
  </si>
  <si>
    <t>North Eastern Carrying Corporation Limited</t>
  </si>
  <si>
    <t>NSE:NECCLTD</t>
  </si>
  <si>
    <t>NECCLTD</t>
  </si>
  <si>
    <t>Ravinder Heights Limited</t>
  </si>
  <si>
    <t>NSE:RVHL</t>
  </si>
  <si>
    <t>RVHL</t>
  </si>
  <si>
    <t>Intense Technologies Limited</t>
  </si>
  <si>
    <t>NSE:INTENTECH</t>
  </si>
  <si>
    <t>INTENTECH</t>
  </si>
  <si>
    <t>Zodiac Energy Limited</t>
  </si>
  <si>
    <t>NSE:ZODIAC</t>
  </si>
  <si>
    <t>ZODIAC</t>
  </si>
  <si>
    <t>Maha Rashtra Apex Corporation Limited</t>
  </si>
  <si>
    <t>NSE:MAHAPEXLTD</t>
  </si>
  <si>
    <t>MAHAPEXLTD</t>
  </si>
  <si>
    <t>United Polyfab Gujarat Limited</t>
  </si>
  <si>
    <t>NSE:UNITEDPOLY</t>
  </si>
  <si>
    <t>UNITEDPOLY</t>
  </si>
  <si>
    <t>Texmo Pipes and Products Limited</t>
  </si>
  <si>
    <t>NSE:TEXMOPIPES</t>
  </si>
  <si>
    <t>TEXMOPIPES</t>
  </si>
  <si>
    <t>Pritika Auto Industries Limited</t>
  </si>
  <si>
    <t>NSE:PRITIKAUTO</t>
  </si>
  <si>
    <t>PRITIKAUTO</t>
  </si>
  <si>
    <t>Dc Infotech And Communication Limited</t>
  </si>
  <si>
    <t>NSE:DCI</t>
  </si>
  <si>
    <t>DCI</t>
  </si>
  <si>
    <t>Lovable Lingerie Limited</t>
  </si>
  <si>
    <t>NSE:LOVABLE</t>
  </si>
  <si>
    <t>LOVABLE</t>
  </si>
  <si>
    <t>Magnum Ventures Limited</t>
  </si>
  <si>
    <t>NSE:MAGNUM</t>
  </si>
  <si>
    <t>MAGNUM</t>
  </si>
  <si>
    <t>Atam Valves Limited</t>
  </si>
  <si>
    <t>NSE:ATAM</t>
  </si>
  <si>
    <t>ATAM</t>
  </si>
  <si>
    <t>Shree Vasu Logistics Limited</t>
  </si>
  <si>
    <t>NSE:SVLL</t>
  </si>
  <si>
    <t>SVLL</t>
  </si>
  <si>
    <t>Modi Rubber Limited</t>
  </si>
  <si>
    <t>NSE:MODIRUBBER</t>
  </si>
  <si>
    <t>MODIRUBBER</t>
  </si>
  <si>
    <t>Aarvi Encon Limited</t>
  </si>
  <si>
    <t>NSE:AARVI</t>
  </si>
  <si>
    <t>AARVI</t>
  </si>
  <si>
    <t>T T Limited</t>
  </si>
  <si>
    <t>NSE:TTL</t>
  </si>
  <si>
    <t>TTL</t>
  </si>
  <si>
    <t>Softtech Engineers Limited</t>
  </si>
  <si>
    <t>NSE:SOFTTECH</t>
  </si>
  <si>
    <t>SOFTTECH</t>
  </si>
  <si>
    <t>Ducon Infratechnologies Limited</t>
  </si>
  <si>
    <t>NSE:DUCON</t>
  </si>
  <si>
    <t>DUCON</t>
  </si>
  <si>
    <t>Vipul Limited</t>
  </si>
  <si>
    <t>NSE:VIPULLTD</t>
  </si>
  <si>
    <t>VIPULLTD</t>
  </si>
  <si>
    <t>Udayshivakumar Infra Limited</t>
  </si>
  <si>
    <t>NSE:USK</t>
  </si>
  <si>
    <t>USK</t>
  </si>
  <si>
    <t>Robust Hotels Limited</t>
  </si>
  <si>
    <t>NSE:RHL</t>
  </si>
  <si>
    <t>RHL</t>
  </si>
  <si>
    <t>SPL Industries Limited</t>
  </si>
  <si>
    <t>NSE:SPLIL</t>
  </si>
  <si>
    <t>SPLIL</t>
  </si>
  <si>
    <t>Palred Technologies Limited</t>
  </si>
  <si>
    <t>NSE:PALREDTEC</t>
  </si>
  <si>
    <t>PALREDTEC</t>
  </si>
  <si>
    <t>KBC Global Limited</t>
  </si>
  <si>
    <t>NSE:KBCGLOBAL</t>
  </si>
  <si>
    <t>KBCGLOBAL</t>
  </si>
  <si>
    <t>Naga Dhunseri Group Limited</t>
  </si>
  <si>
    <t>NSE:NDGL</t>
  </si>
  <si>
    <t>NDGL</t>
  </si>
  <si>
    <t>Intrasoft Technologies Limited</t>
  </si>
  <si>
    <t>NSE:ISFT</t>
  </si>
  <si>
    <t>ISFT</t>
  </si>
  <si>
    <t>Welspun India Limited</t>
  </si>
  <si>
    <t>NSE:WELSPUNIND</t>
  </si>
  <si>
    <t>WELSPUNIND</t>
  </si>
  <si>
    <t>Welspun Investments and Commercials Limited</t>
  </si>
  <si>
    <t>NSE:WELINV</t>
  </si>
  <si>
    <t>WELINV</t>
  </si>
  <si>
    <t>Aspinwall and Company Limited</t>
  </si>
  <si>
    <t>NSE:ASPINWALL</t>
  </si>
  <si>
    <t>ASPINWALL</t>
  </si>
  <si>
    <t>Eros International Media Limited</t>
  </si>
  <si>
    <t>NSE:EROSMEDIA</t>
  </si>
  <si>
    <t>EROSMEDIA</t>
  </si>
  <si>
    <t>Compucom Software Limited</t>
  </si>
  <si>
    <t>NSE:COMPUSOFT</t>
  </si>
  <si>
    <t>COMPUSOFT</t>
  </si>
  <si>
    <t>Kapston Services Limited</t>
  </si>
  <si>
    <t>NSE:KAPSTON</t>
  </si>
  <si>
    <t>KAPSTON</t>
  </si>
  <si>
    <t>Bodhi Tree Multimedia Limited</t>
  </si>
  <si>
    <t>NSE:BTML</t>
  </si>
  <si>
    <t>BTML</t>
  </si>
  <si>
    <t>Gillanders Arbuthnot &amp; Company Limited</t>
  </si>
  <si>
    <t>NSE:GILLANDERS</t>
  </si>
  <si>
    <t>GILLANDERS</t>
  </si>
  <si>
    <t>Kritika Wires Limited</t>
  </si>
  <si>
    <t>NSE:KRITIKA</t>
  </si>
  <si>
    <t>KRITIKA</t>
  </si>
  <si>
    <t>Bharat Gears Limited</t>
  </si>
  <si>
    <t>NSE:BHARATGEAR</t>
  </si>
  <si>
    <t>BHARATGEAR</t>
  </si>
  <si>
    <t>IVP Limited</t>
  </si>
  <si>
    <t>NSE:IVP</t>
  </si>
  <si>
    <t>IVP</t>
  </si>
  <si>
    <t>BSL Limited</t>
  </si>
  <si>
    <t>NSE:BSL</t>
  </si>
  <si>
    <t>BSL</t>
  </si>
  <si>
    <t>Inventure Growth &amp; Securities Limited</t>
  </si>
  <si>
    <t>NSE:INVENTURE</t>
  </si>
  <si>
    <t>INVENTURE</t>
  </si>
  <si>
    <t>DRC Systems India Limited</t>
  </si>
  <si>
    <t>NSE:DRCSYSTEMS</t>
  </si>
  <si>
    <t>DRCSYSTEMS</t>
  </si>
  <si>
    <t>Avonmore Capital &amp; Management Services Limited</t>
  </si>
  <si>
    <t>NSE:AVONMORE</t>
  </si>
  <si>
    <t>AVONMORE</t>
  </si>
  <si>
    <t>Alphageo (India) Limited</t>
  </si>
  <si>
    <t>NSE:ALPHAGEO</t>
  </si>
  <si>
    <t>ALPHAGEO</t>
  </si>
  <si>
    <t>The Byke Hospitality Ltd</t>
  </si>
  <si>
    <t>NSE:BYKE</t>
  </si>
  <si>
    <t>BYKE</t>
  </si>
  <si>
    <t>Starteck Finance Limited</t>
  </si>
  <si>
    <t>NSE:STARTECK</t>
  </si>
  <si>
    <t>STARTECK</t>
  </si>
  <si>
    <t>Electrotherm (India) Limited</t>
  </si>
  <si>
    <t>NSE:ELECTHERM</t>
  </si>
  <si>
    <t>ELECTHERM</t>
  </si>
  <si>
    <t>Lotus Eye Hospital and Institute Limited</t>
  </si>
  <si>
    <t>NSE:LOTUSEYE</t>
  </si>
  <si>
    <t>LOTUSEYE</t>
  </si>
  <si>
    <t>Dangee Dums Limited</t>
  </si>
  <si>
    <t>NSE:DANGEE</t>
  </si>
  <si>
    <t>DANGEE</t>
  </si>
  <si>
    <t>Shiva Texyarn Limited</t>
  </si>
  <si>
    <t>NSE:SHIVATEX</t>
  </si>
  <si>
    <t>SHIVATEX</t>
  </si>
  <si>
    <t>Jocil Limited</t>
  </si>
  <si>
    <t>NSE:JOCIL</t>
  </si>
  <si>
    <t>JOCIL</t>
  </si>
  <si>
    <t>Emmbi Industries Limited</t>
  </si>
  <si>
    <t>NSE:EMMBI</t>
  </si>
  <si>
    <t>EMMBI</t>
  </si>
  <si>
    <t>Touchwood Entertainment Limited</t>
  </si>
  <si>
    <t>NSE:TOUCHWOOD</t>
  </si>
  <si>
    <t>TOUCHWOOD</t>
  </si>
  <si>
    <t>Jullundur Motor Agency (Delhi) Limited</t>
  </si>
  <si>
    <t>NSE:JMA</t>
  </si>
  <si>
    <t>JMA</t>
  </si>
  <si>
    <t>Akshar Spintex Limited</t>
  </si>
  <si>
    <t>NSE:AKSHAR</t>
  </si>
  <si>
    <t>AKSHAR</t>
  </si>
  <si>
    <t>Smartlink Holdings Limited</t>
  </si>
  <si>
    <t>NSE:SMARTLINK</t>
  </si>
  <si>
    <t>SMARTLINK</t>
  </si>
  <si>
    <t>Future Retail Limited</t>
  </si>
  <si>
    <t>NSE:FRETAIL</t>
  </si>
  <si>
    <t>FRETAIL</t>
  </si>
  <si>
    <t>Kakatiya Cement Sugar &amp; Industries Limited</t>
  </si>
  <si>
    <t>NSE:KAKATCEM</t>
  </si>
  <si>
    <t>KAKATCEM</t>
  </si>
  <si>
    <t>Rajshree Sugars &amp; Chemicals Limited</t>
  </si>
  <si>
    <t>NSE:RAJSREESUG</t>
  </si>
  <si>
    <t>RAJSREESUG</t>
  </si>
  <si>
    <t>Aksh Optifibre Limited</t>
  </si>
  <si>
    <t>NSE:AKSHOPTFBR</t>
  </si>
  <si>
    <t>AKSHOPTFBR</t>
  </si>
  <si>
    <t>Coral India Finance &amp; Housing Limited</t>
  </si>
  <si>
    <t>NSE:CORALFINAC</t>
  </si>
  <si>
    <t>CORALFINAC</t>
  </si>
  <si>
    <t>Weizmann Limited</t>
  </si>
  <si>
    <t>NSE:WEIZMANIND</t>
  </si>
  <si>
    <t>WEIZMANIND</t>
  </si>
  <si>
    <t>Zee Learn Limited</t>
  </si>
  <si>
    <t>NSE:ZEELEARN</t>
  </si>
  <si>
    <t>ZEELEARN</t>
  </si>
  <si>
    <t>Airo Lam limited</t>
  </si>
  <si>
    <t>NSE:AIROLAM</t>
  </si>
  <si>
    <t>AIROLAM</t>
  </si>
  <si>
    <t>Reliance Chemotex Industries Limited</t>
  </si>
  <si>
    <t>NSE:RELCHEMQ</t>
  </si>
  <si>
    <t>RELCHEMQ</t>
  </si>
  <si>
    <t>Uma Exports Limited</t>
  </si>
  <si>
    <t>NSE:UMAEXPORTS</t>
  </si>
  <si>
    <t>UMAEXPORTS</t>
  </si>
  <si>
    <t>Worth Peripherals Limited</t>
  </si>
  <si>
    <t>NSE:WORTH</t>
  </si>
  <si>
    <t>WORTH</t>
  </si>
  <si>
    <t>Alpa Laboratories Limited</t>
  </si>
  <si>
    <t>NSE:ALPA</t>
  </si>
  <si>
    <t>ALPA</t>
  </si>
  <si>
    <t>Visesh Infotecnics Limited</t>
  </si>
  <si>
    <t>NSE:VISESHINFO</t>
  </si>
  <si>
    <t>VISESHINFO</t>
  </si>
  <si>
    <t>Vishal Fabrics Limited</t>
  </si>
  <si>
    <t>NSE:VISHAL</t>
  </si>
  <si>
    <t>VISHAL</t>
  </si>
  <si>
    <t>Future Consumer Limited</t>
  </si>
  <si>
    <t>NSE:FCONSUMER</t>
  </si>
  <si>
    <t>FCONSUMER</t>
  </si>
  <si>
    <t>Manaksia Aluminium Company Limited</t>
  </si>
  <si>
    <t>NSE:MANAKALUCO</t>
  </si>
  <si>
    <t>MANAKALUCO</t>
  </si>
  <si>
    <t>Indowind Energy Limited</t>
  </si>
  <si>
    <t>NSE:INDOWIND</t>
  </si>
  <si>
    <t>INDOWIND</t>
  </si>
  <si>
    <t>DJ Mediaprint &amp; Logistics Limited</t>
  </si>
  <si>
    <t>NSE:DJML</t>
  </si>
  <si>
    <t>DJML</t>
  </si>
  <si>
    <t>Signet Industries Limited</t>
  </si>
  <si>
    <t>NSE:SIGIND</t>
  </si>
  <si>
    <t>SIGIND</t>
  </si>
  <si>
    <t>RKEC Projects Limited</t>
  </si>
  <si>
    <t>NSE:RKEC</t>
  </si>
  <si>
    <t>RKEC</t>
  </si>
  <si>
    <t>A2Z Infra Engineering Limited</t>
  </si>
  <si>
    <t>NSE:A2ZINFRA</t>
  </si>
  <si>
    <t>A2ZINFRA</t>
  </si>
  <si>
    <t>Noida Toll Bridge Company Limited</t>
  </si>
  <si>
    <t>NSE:NOIDATOLL</t>
  </si>
  <si>
    <t>NOIDATOLL</t>
  </si>
  <si>
    <t>Mangalam Drugs And Organics Limited</t>
  </si>
  <si>
    <t>NSE:MANGALAM</t>
  </si>
  <si>
    <t>MANGALAM</t>
  </si>
  <si>
    <t>Tarmat Limited</t>
  </si>
  <si>
    <t>NSE:TARMAT</t>
  </si>
  <si>
    <t>TARMAT</t>
  </si>
  <si>
    <t>Nitco Limited</t>
  </si>
  <si>
    <t>NSE:NITCO</t>
  </si>
  <si>
    <t>NITCO</t>
  </si>
  <si>
    <t>Pansari Developers Limited</t>
  </si>
  <si>
    <t>NSE:PANSARI</t>
  </si>
  <si>
    <t>PANSARI</t>
  </si>
  <si>
    <t>Capital Trust Limited</t>
  </si>
  <si>
    <t>NSE:CAPTRUST</t>
  </si>
  <si>
    <t>CAPTRUST</t>
  </si>
  <si>
    <t>Dolphin Offshore Enterprises (India) Limited</t>
  </si>
  <si>
    <t>NSE:DOLPHIN</t>
  </si>
  <si>
    <t>DOLPHIN</t>
  </si>
  <si>
    <t>Krebs Biochemicals and Industries Limited</t>
  </si>
  <si>
    <t>NSE:KREBSBIO</t>
  </si>
  <si>
    <t>KREBSBIO</t>
  </si>
  <si>
    <t>SMS Lifesciences India Limited</t>
  </si>
  <si>
    <t>NSE:SMSLIFE</t>
  </si>
  <si>
    <t>SMSLIFE</t>
  </si>
  <si>
    <t>JHS Svendgaard Laboratories Limited</t>
  </si>
  <si>
    <t>NSE:JHS</t>
  </si>
  <si>
    <t>JHS</t>
  </si>
  <si>
    <t>The United Nilgiri Tea Estates Company Limited</t>
  </si>
  <si>
    <t>NSE:UNITEDTEA</t>
  </si>
  <si>
    <t>UNITEDTEA</t>
  </si>
  <si>
    <t>Country Club Hospitality &amp; Holidays Limited</t>
  </si>
  <si>
    <t>NSE:CCHHL</t>
  </si>
  <si>
    <t>CCHHL</t>
  </si>
  <si>
    <t>Aartech Solonics Limited</t>
  </si>
  <si>
    <t>NSE:AARTECH</t>
  </si>
  <si>
    <t>AARTECH</t>
  </si>
  <si>
    <t>Manaksia Coated Metals &amp; Industries Limited</t>
  </si>
  <si>
    <t>NSE:MANAKCOAT</t>
  </si>
  <si>
    <t>MANAKCOAT</t>
  </si>
  <si>
    <t>Umang Dairies Limited</t>
  </si>
  <si>
    <t>NSE:UMANGDAIRY</t>
  </si>
  <si>
    <t>UMANGDAIRY</t>
  </si>
  <si>
    <t>Sical Logistics Limited</t>
  </si>
  <si>
    <t>NSE:SICALLOG</t>
  </si>
  <si>
    <t>SICALLOG</t>
  </si>
  <si>
    <t>Surana Telecom and Power Limited</t>
  </si>
  <si>
    <t>NSE:SURANAT&amp;P</t>
  </si>
  <si>
    <t>SURANAT&amp;P</t>
  </si>
  <si>
    <t>Archidply Industries Limited</t>
  </si>
  <si>
    <t>NSE:ARCHIDPLY</t>
  </si>
  <si>
    <t>ARCHIDPLY</t>
  </si>
  <si>
    <t>Bal Pharma Limited</t>
  </si>
  <si>
    <t>NSE:BALPHARMA</t>
  </si>
  <si>
    <t>BALPHARMA</t>
  </si>
  <si>
    <t>Niraj Cement Structurals Limited</t>
  </si>
  <si>
    <t>NSE:NIRAJ</t>
  </si>
  <si>
    <t>NIRAJ</t>
  </si>
  <si>
    <t>Sadbhav Infrastructure Project Limited</t>
  </si>
  <si>
    <t>NSE:SADBHIN</t>
  </si>
  <si>
    <t>SADBHIN</t>
  </si>
  <si>
    <t>Lambodhara Textiles Limited</t>
  </si>
  <si>
    <t>NSE:LAMBODHARA</t>
  </si>
  <si>
    <t>LAMBODHARA</t>
  </si>
  <si>
    <t>Beardsell Limited</t>
  </si>
  <si>
    <t>NSE:BEARDSELL</t>
  </si>
  <si>
    <t>BEARDSELL</t>
  </si>
  <si>
    <t>Mukta Arts Limited</t>
  </si>
  <si>
    <t>NSE:MUKTAARTS</t>
  </si>
  <si>
    <t>MUKTAARTS</t>
  </si>
  <si>
    <t>Standard Industries Limited</t>
  </si>
  <si>
    <t>NSE:SIL</t>
  </si>
  <si>
    <t>SIL</t>
  </si>
  <si>
    <t>Salona Cotspin Limited</t>
  </si>
  <si>
    <t>NSE:SALONA</t>
  </si>
  <si>
    <t>SALONA</t>
  </si>
  <si>
    <t>S.A.L. Steel Limited</t>
  </si>
  <si>
    <t>NSE:SALSTEEL</t>
  </si>
  <si>
    <t>SALSTEEL</t>
  </si>
  <si>
    <t>Hindcon Chemicals Limited</t>
  </si>
  <si>
    <t>NSE:HINDCON</t>
  </si>
  <si>
    <t>HINDCON</t>
  </si>
  <si>
    <t>TREJHARA SOLUTIONS LIMITED</t>
  </si>
  <si>
    <t>NSE:TREJHARA</t>
  </si>
  <si>
    <t>TREJHARA</t>
  </si>
  <si>
    <t>Vaishali Pharma Limited</t>
  </si>
  <si>
    <t>NSE:VAISHALI</t>
  </si>
  <si>
    <t>VAISHALI</t>
  </si>
  <si>
    <t>Ahlada Engineers Limited</t>
  </si>
  <si>
    <t>NSE:AHLADA</t>
  </si>
  <si>
    <t>AHLADA</t>
  </si>
  <si>
    <t>Indbank Merchant Banking Services Limited</t>
  </si>
  <si>
    <t>NSE:INDBANK</t>
  </si>
  <si>
    <t>INDBANK</t>
  </si>
  <si>
    <t>INCREDIBLE INDUSTRIES LIMITED</t>
  </si>
  <si>
    <t>NSE:INCREDIBLE</t>
  </si>
  <si>
    <t>INCREDIBLE</t>
  </si>
  <si>
    <t>Indian Card Clothing Company Limited</t>
  </si>
  <si>
    <t>NSE:INDIANCARD</t>
  </si>
  <si>
    <t>INDIANCARD</t>
  </si>
  <si>
    <t>DCM Limited</t>
  </si>
  <si>
    <t>NSE:DCM</t>
  </si>
  <si>
    <t>DCM</t>
  </si>
  <si>
    <t>Kohinoor Foods Limited</t>
  </si>
  <si>
    <t>NSE:KOHINOOR</t>
  </si>
  <si>
    <t>KOHINOOR</t>
  </si>
  <si>
    <t>Kalyani Forge Limited</t>
  </si>
  <si>
    <t>NSE:KALYANIFRG</t>
  </si>
  <si>
    <t>KALYANIFRG</t>
  </si>
  <si>
    <t>Vardhman Polytex Limited</t>
  </si>
  <si>
    <t>NSE:VARDMNPOLY</t>
  </si>
  <si>
    <t>VARDMNPOLY</t>
  </si>
  <si>
    <t>Astron Paper &amp; Board Mill Limited</t>
  </si>
  <si>
    <t>NSE:ASTRON</t>
  </si>
  <si>
    <t>ASTRON</t>
  </si>
  <si>
    <t>Nila Spaces Limited</t>
  </si>
  <si>
    <t>NSE:NILASPACES</t>
  </si>
  <si>
    <t>NILASPACES</t>
  </si>
  <si>
    <t>Accuracy Shipping Limited</t>
  </si>
  <si>
    <t>NSE:ACCURACY</t>
  </si>
  <si>
    <t>ACCURACY</t>
  </si>
  <si>
    <t>Atal Realtech Limited</t>
  </si>
  <si>
    <t>NSE:ATALREAL</t>
  </si>
  <si>
    <t>ATALREAL</t>
  </si>
  <si>
    <t>Goyal Aluminiums Limited</t>
  </si>
  <si>
    <t>NSE:GOYALALUM</t>
  </si>
  <si>
    <t>GOYALALUM</t>
  </si>
  <si>
    <t>SECUREKLOUD TECHNOLOGIES LIMITED</t>
  </si>
  <si>
    <t>NSE:SECURKLOUD</t>
  </si>
  <si>
    <t>SECURKLOUD</t>
  </si>
  <si>
    <t>Arvee Laboratories (India) Limited</t>
  </si>
  <si>
    <t>NSE:ARVEE</t>
  </si>
  <si>
    <t>ARVEE</t>
  </si>
  <si>
    <t>Amj Land Holdings Limited</t>
  </si>
  <si>
    <t>NSE:AMJLAND</t>
  </si>
  <si>
    <t>AMJLAND</t>
  </si>
  <si>
    <t>R. S. Software (India) Limited</t>
  </si>
  <si>
    <t>NSE:RSSOFTWARE</t>
  </si>
  <si>
    <t>RSSOFTWARE</t>
  </si>
  <si>
    <t>Cords Cable Industries Limited</t>
  </si>
  <si>
    <t>NSE:CORDSCABLE</t>
  </si>
  <si>
    <t>CORDSCABLE</t>
  </si>
  <si>
    <t>The Motor &amp; General Finance Limited</t>
  </si>
  <si>
    <t>NSE:MOTOGENFIN</t>
  </si>
  <si>
    <t>MOTOGENFIN</t>
  </si>
  <si>
    <t>Pioneer Embroideries Limited</t>
  </si>
  <si>
    <t>NSE:PIONEEREMB</t>
  </si>
  <si>
    <t>PIONEEREMB</t>
  </si>
  <si>
    <t>Xelpmoc Design And Tech Limited</t>
  </si>
  <si>
    <t>NSE:XELPMOC</t>
  </si>
  <si>
    <t>XELPMOC</t>
  </si>
  <si>
    <t>IL&amp;FS Transportation Networks Limited</t>
  </si>
  <si>
    <t>NSE:IL&amp;FSTRANS</t>
  </si>
  <si>
    <t>IL&amp;FSTRANS</t>
  </si>
  <si>
    <t>Lasa Supergenerics Limited</t>
  </si>
  <si>
    <t>NSE:LASA</t>
  </si>
  <si>
    <t>LASA</t>
  </si>
  <si>
    <t>SONAM LIMITED</t>
  </si>
  <si>
    <t>NSE:SONAMLTD</t>
  </si>
  <si>
    <t>SONAMLTD</t>
  </si>
  <si>
    <t>Sundaram Multi Pap Limited</t>
  </si>
  <si>
    <t>NSE:SUNDARAM</t>
  </si>
  <si>
    <t>SUNDARAM</t>
  </si>
  <si>
    <t>Art Nirman Limited</t>
  </si>
  <si>
    <t>NSE:ARTNIRMAN</t>
  </si>
  <si>
    <t>ARTNIRMAN</t>
  </si>
  <si>
    <t>AMD Industries Limited</t>
  </si>
  <si>
    <t>NSE:AMDIND</t>
  </si>
  <si>
    <t>AMDIND</t>
  </si>
  <si>
    <t>AKI India Limited</t>
  </si>
  <si>
    <t>NSE:AKI</t>
  </si>
  <si>
    <t>AKI</t>
  </si>
  <si>
    <t>Gayatri Projects Limited</t>
  </si>
  <si>
    <t>NSE:GAYAPROJ</t>
  </si>
  <si>
    <t>GAYAPROJ</t>
  </si>
  <si>
    <t>Cambridge Technology Enterprises Limited</t>
  </si>
  <si>
    <t>NSE:CTE</t>
  </si>
  <si>
    <t>CTE</t>
  </si>
  <si>
    <t>Surana Solar Limited</t>
  </si>
  <si>
    <t>NSE:SURANASOL</t>
  </si>
  <si>
    <t>SURANASOL</t>
  </si>
  <si>
    <t>Lagnam Spintex Limited</t>
  </si>
  <si>
    <t>NSE:LAGNAM</t>
  </si>
  <si>
    <t>LAGNAM</t>
  </si>
  <si>
    <t>Arshiya Limited</t>
  </si>
  <si>
    <t>NSE:ARSHIYA</t>
  </si>
  <si>
    <t>ARSHIYA</t>
  </si>
  <si>
    <t>GTL Limited</t>
  </si>
  <si>
    <t>NSE:GTL</t>
  </si>
  <si>
    <t>GTL</t>
  </si>
  <si>
    <t>Omax Autos Limited</t>
  </si>
  <si>
    <t>NSE:OMAXAUTO</t>
  </si>
  <si>
    <t>OMAXAUTO</t>
  </si>
  <si>
    <t>Mahamaya Steel Industries Limited</t>
  </si>
  <si>
    <t>NSE:MAHASTEEL</t>
  </si>
  <si>
    <t>MAHASTEEL</t>
  </si>
  <si>
    <t>Tainwala Chemical and Plastic (I) Limited</t>
  </si>
  <si>
    <t>NSE:TAINWALCHM</t>
  </si>
  <si>
    <t>TAINWALCHM</t>
  </si>
  <si>
    <t>Global Vectra Helicorp Limited</t>
  </si>
  <si>
    <t>NSE:GLOBALVECT</t>
  </si>
  <si>
    <t>GLOBALVECT</t>
  </si>
  <si>
    <t>Suryalakshmi Cotton Mills Limited</t>
  </si>
  <si>
    <t>NSE:SURYALAXMI</t>
  </si>
  <si>
    <t>SURYALAXMI</t>
  </si>
  <si>
    <t>Alkali Metals Limited</t>
  </si>
  <si>
    <t>NSE:ALKALI</t>
  </si>
  <si>
    <t>ALKALI</t>
  </si>
  <si>
    <t>Ganges Securities Limited</t>
  </si>
  <si>
    <t>NSE:GANGESSECU</t>
  </si>
  <si>
    <t>GANGESSECU</t>
  </si>
  <si>
    <t>Hindprakash Industries Limited</t>
  </si>
  <si>
    <t>NSE:HPIL</t>
  </si>
  <si>
    <t>HPIL</t>
  </si>
  <si>
    <t>Century Extrusions Limited</t>
  </si>
  <si>
    <t>NSE:CENTEXT</t>
  </si>
  <si>
    <t>CENTEXT</t>
  </si>
  <si>
    <t>Debock Industries Limited</t>
  </si>
  <si>
    <t>NSE:DIL</t>
  </si>
  <si>
    <t>DIL</t>
  </si>
  <si>
    <t>Univastu India Limited</t>
  </si>
  <si>
    <t>NSE:UNIVASTU</t>
  </si>
  <si>
    <t>UNIVASTU</t>
  </si>
  <si>
    <t>Reliance Home Finance Limited</t>
  </si>
  <si>
    <t>NSE:RHFL</t>
  </si>
  <si>
    <t>RHFL</t>
  </si>
  <si>
    <t>B.A.G Films and Media Limited</t>
  </si>
  <si>
    <t>NSE:BAGFILMS</t>
  </si>
  <si>
    <t>BAGFILMS</t>
  </si>
  <si>
    <t>Shah Metacorp Limited</t>
  </si>
  <si>
    <t>NSE:SHAH</t>
  </si>
  <si>
    <t>SHAH</t>
  </si>
  <si>
    <t>Simbhaoli Sugars Limited</t>
  </si>
  <si>
    <t>NSE:SIMBHALS</t>
  </si>
  <si>
    <t>SIMBHALS</t>
  </si>
  <si>
    <t>Orissa Bengal Carrier Limited</t>
  </si>
  <si>
    <t>NSE:OBCL</t>
  </si>
  <si>
    <t>OBCL</t>
  </si>
  <si>
    <t>The Western India Plywoods Limited</t>
  </si>
  <si>
    <t>NSE:WIPL</t>
  </si>
  <si>
    <t>WIPL</t>
  </si>
  <si>
    <t>Anik Industries Limited</t>
  </si>
  <si>
    <t>NSE:ANIKINDS</t>
  </si>
  <si>
    <t>ANIKINDS</t>
  </si>
  <si>
    <t>Damodar Industries Limited</t>
  </si>
  <si>
    <t>NSE:DAMODARIND</t>
  </si>
  <si>
    <t>DAMODARIND</t>
  </si>
  <si>
    <t>AVRO INDIA LIMITED</t>
  </si>
  <si>
    <t>NSE:AVROIND</t>
  </si>
  <si>
    <t>AVROIND</t>
  </si>
  <si>
    <t>SVP GLOBAL TEXTILES LIMITED</t>
  </si>
  <si>
    <t>NSE:SVPGLOB</t>
  </si>
  <si>
    <t>SVPGLOB</t>
  </si>
  <si>
    <t>Palash Securities Limited</t>
  </si>
  <si>
    <t>NSE:PALASHSECU</t>
  </si>
  <si>
    <t>PALASHSECU</t>
  </si>
  <si>
    <t>BLB Limited</t>
  </si>
  <si>
    <t>NSE:BLBLIMITED</t>
  </si>
  <si>
    <t>BLBLIMITED</t>
  </si>
  <si>
    <t>Aarey Drugs &amp; Pharmaceuticals Limited</t>
  </si>
  <si>
    <t>NSE:AAREYDRUGS</t>
  </si>
  <si>
    <t>AAREYDRUGS</t>
  </si>
  <si>
    <t>Nitiraj Engineers Limited</t>
  </si>
  <si>
    <t>NSE:NITIRAJ</t>
  </si>
  <si>
    <t>NITIRAJ</t>
  </si>
  <si>
    <t>MITCON Consultancy &amp; Engineering Services Limited</t>
  </si>
  <si>
    <t>NSE:MITCON</t>
  </si>
  <si>
    <t>MITCON</t>
  </si>
  <si>
    <t>Yaari Digital Integrated Services Limited</t>
  </si>
  <si>
    <t>NSE:YAARI</t>
  </si>
  <si>
    <t>YAARI</t>
  </si>
  <si>
    <t>MRO-TEK Realty Limited</t>
  </si>
  <si>
    <t>NSE:MRO-TEK</t>
  </si>
  <si>
    <t>MRO-TEK</t>
  </si>
  <si>
    <t>DB (International) Stock Brokers Limited</t>
  </si>
  <si>
    <t>NSE:DBSTOCKBRO</t>
  </si>
  <si>
    <t>DBSTOCKBRO</t>
  </si>
  <si>
    <t>Digicontent Limited</t>
  </si>
  <si>
    <t>NSE:DGCONTENT</t>
  </si>
  <si>
    <t>DGCONTENT</t>
  </si>
  <si>
    <t>Shah Alloys Limited</t>
  </si>
  <si>
    <t>NSE:SHAHALLOYS</t>
  </si>
  <si>
    <t>SHAHALLOYS</t>
  </si>
  <si>
    <t>Marshall Machines Limited</t>
  </si>
  <si>
    <t>NSE:MARSHALL</t>
  </si>
  <si>
    <t>MARSHALL</t>
  </si>
  <si>
    <t>Prajay Engineers Syndicate Limited</t>
  </si>
  <si>
    <t>NSE:PRAENG</t>
  </si>
  <si>
    <t>PRAENG</t>
  </si>
  <si>
    <t>Flexituff Ventures International Limited</t>
  </si>
  <si>
    <t>NSE:FLEXITUFF</t>
  </si>
  <si>
    <t>FLEXITUFF</t>
  </si>
  <si>
    <t>Sikko Industries Limited</t>
  </si>
  <si>
    <t>NSE:SIKKO</t>
  </si>
  <si>
    <t>SIKKO</t>
  </si>
  <si>
    <t>Sumit Woods Limited</t>
  </si>
  <si>
    <t>NSE:SUMIT</t>
  </si>
  <si>
    <t>SUMIT</t>
  </si>
  <si>
    <t>Patel Integrated Logistics Limited</t>
  </si>
  <si>
    <t>NSE:PATINTLOG</t>
  </si>
  <si>
    <t>PATINTLOG</t>
  </si>
  <si>
    <t>Agri-Tech (India) Limited</t>
  </si>
  <si>
    <t>NSE:AGRITECH</t>
  </si>
  <si>
    <t>AGRITECH</t>
  </si>
  <si>
    <t>Suvidhaa Infoserve Limited</t>
  </si>
  <si>
    <t>NSE:SUVIDHAA</t>
  </si>
  <si>
    <t>SUVIDHAA</t>
  </si>
  <si>
    <t>The Grob Tea Company Limited</t>
  </si>
  <si>
    <t>NSE:GROBTEA</t>
  </si>
  <si>
    <t>GROBTEA</t>
  </si>
  <si>
    <t>Raj Oil Mills Limited</t>
  </si>
  <si>
    <t>NSE:ROML</t>
  </si>
  <si>
    <t>ROML</t>
  </si>
  <si>
    <t>Shradha Infraprojects Limited</t>
  </si>
  <si>
    <t>NSE:SHRADHA</t>
  </si>
  <si>
    <t>SHRADHA</t>
  </si>
  <si>
    <t>Tirupati Forge Limited</t>
  </si>
  <si>
    <t>NSE:TIRUPATIFL</t>
  </si>
  <si>
    <t>TIRUPATIFL</t>
  </si>
  <si>
    <t>Prakash Steelage Limited</t>
  </si>
  <si>
    <t>NSE:PRAKASHSTL</t>
  </si>
  <si>
    <t>PRAKASHSTL</t>
  </si>
  <si>
    <t>Oil Country Tubular Limited</t>
  </si>
  <si>
    <t>NSE:OILCOUNTUB</t>
  </si>
  <si>
    <t>OILCOUNTUB</t>
  </si>
  <si>
    <t>Tokyo Plast International Limited</t>
  </si>
  <si>
    <t>NSE:TOKYOPLAST</t>
  </si>
  <si>
    <t>TOKYOPLAST</t>
  </si>
  <si>
    <t>Compuage Infocom Limited</t>
  </si>
  <si>
    <t>NSE:COMPINFO</t>
  </si>
  <si>
    <t>COMPINFO</t>
  </si>
  <si>
    <t>Steel City Securities Limited</t>
  </si>
  <si>
    <t>NSE:STEELCITY</t>
  </si>
  <si>
    <t>STEELCITY</t>
  </si>
  <si>
    <t>Ausom Enterprise Limited</t>
  </si>
  <si>
    <t>NSE:AUSOMENT</t>
  </si>
  <si>
    <t>AUSOMENT</t>
  </si>
  <si>
    <t>Hisar Metal Industries Limited</t>
  </si>
  <si>
    <t>NSE:HISARMETAL</t>
  </si>
  <si>
    <t>HISARMETAL</t>
  </si>
  <si>
    <t>Teamo Productions HQ Limited</t>
  </si>
  <si>
    <t>NSE:TPHQ</t>
  </si>
  <si>
    <t>TPHQ</t>
  </si>
  <si>
    <t>Delta Manufacturing Limited</t>
  </si>
  <si>
    <t>NSE:DELTAMAGNT</t>
  </si>
  <si>
    <t>DELTAMAGNT</t>
  </si>
  <si>
    <t>Setco Automotive Limited</t>
  </si>
  <si>
    <t>NSE:SETCO</t>
  </si>
  <si>
    <t>SETCO</t>
  </si>
  <si>
    <t>Landmark Property Development Company Limited</t>
  </si>
  <si>
    <t>NSE:LPDC</t>
  </si>
  <si>
    <t>LPDC</t>
  </si>
  <si>
    <t>GACM Technologies Limited</t>
  </si>
  <si>
    <t>NSE:GATECH</t>
  </si>
  <si>
    <t>GATECH</t>
  </si>
  <si>
    <t>NSE:GATECHDVR</t>
  </si>
  <si>
    <t>GATECHDVR</t>
  </si>
  <si>
    <t>Nandani Creation Limited</t>
  </si>
  <si>
    <t>NSE:JAIPURKURT</t>
  </si>
  <si>
    <t>JAIPURKURT</t>
  </si>
  <si>
    <t>Panache Digilife Limited</t>
  </si>
  <si>
    <t>NSE:PANACHE</t>
  </si>
  <si>
    <t>PANACHE</t>
  </si>
  <si>
    <t>Energy Development Company Limited</t>
  </si>
  <si>
    <t>NSE:ENERGYDEV</t>
  </si>
  <si>
    <t>ENERGYDEV</t>
  </si>
  <si>
    <t>Digjam Limited</t>
  </si>
  <si>
    <t>NSE:DIGJAMLMTD</t>
  </si>
  <si>
    <t>DIGJAMLMTD</t>
  </si>
  <si>
    <t>Bhandari Hosiery Exports Limited</t>
  </si>
  <si>
    <t>NSE:BHANDARI</t>
  </si>
  <si>
    <t>BHANDARI</t>
  </si>
  <si>
    <t>Cinevista Limited</t>
  </si>
  <si>
    <t>NSE:CINEVISTA</t>
  </si>
  <si>
    <t>CINEVISTA</t>
  </si>
  <si>
    <t>SecMark Consultancy Limited</t>
  </si>
  <si>
    <t>NSE:SECMARK</t>
  </si>
  <si>
    <t>SECMARK</t>
  </si>
  <si>
    <t>Celebrity Fashions Limited</t>
  </si>
  <si>
    <t>NSE:CELEBRITY</t>
  </si>
  <si>
    <t>CELEBRITY</t>
  </si>
  <si>
    <t>Fiberweb (India) Limited</t>
  </si>
  <si>
    <t>NSE:FIBERWEB</t>
  </si>
  <si>
    <t>FIBERWEB</t>
  </si>
  <si>
    <t>Barak Valley Cements Limited</t>
  </si>
  <si>
    <t>NSE:BVCL</t>
  </si>
  <si>
    <t>BVCL</t>
  </si>
  <si>
    <t>Regency Ceramics Limited</t>
  </si>
  <si>
    <t>NSE:REGENCERAM</t>
  </si>
  <si>
    <t>REGENCERAM</t>
  </si>
  <si>
    <t>Ind-Swift Limited</t>
  </si>
  <si>
    <t>NSE:INDSWFTLTD</t>
  </si>
  <si>
    <t>INDSWFTLTD</t>
  </si>
  <si>
    <t>Archies Limited</t>
  </si>
  <si>
    <t>NSE:ARCHIES</t>
  </si>
  <si>
    <t>ARCHIES</t>
  </si>
  <si>
    <t>Golden Tobacco Limited</t>
  </si>
  <si>
    <t>NSE:GOLDENTOBC</t>
  </si>
  <si>
    <t>GOLDENTOBC</t>
  </si>
  <si>
    <t>The Peria Karamalai Tea &amp; Produce Company Limited</t>
  </si>
  <si>
    <t>NSE:PKTEA</t>
  </si>
  <si>
    <t>PKTEA</t>
  </si>
  <si>
    <t>G-TEC JAINX EDUCATION LIMITED</t>
  </si>
  <si>
    <t>NSE:GTECJAINX</t>
  </si>
  <si>
    <t>GTECJAINX</t>
  </si>
  <si>
    <t>Somi Conveyor Beltings Limited</t>
  </si>
  <si>
    <t>NSE:SOMICONVEY</t>
  </si>
  <si>
    <t>SOMICONVEY</t>
  </si>
  <si>
    <t>Dhruv Consultancy Services Limited</t>
  </si>
  <si>
    <t>NSE:DHRUV</t>
  </si>
  <si>
    <t>DHRUV</t>
  </si>
  <si>
    <t>Thomas Scott (India) Limited</t>
  </si>
  <si>
    <t>NSE:THOMASCOTT</t>
  </si>
  <si>
    <t>THOMASCOTT</t>
  </si>
  <si>
    <t>Akg Exim Limited</t>
  </si>
  <si>
    <t>NSE:AKG</t>
  </si>
  <si>
    <t>AKG</t>
  </si>
  <si>
    <t>Madhav Copper Limited</t>
  </si>
  <si>
    <t>NSE:MCL</t>
  </si>
  <si>
    <t>MCL</t>
  </si>
  <si>
    <t>Vinny Overseas Limited</t>
  </si>
  <si>
    <t>NSE:VINNY</t>
  </si>
  <si>
    <t>VINNY</t>
  </si>
  <si>
    <t>AAA Technologies Limited</t>
  </si>
  <si>
    <t>NSE:AAATECH</t>
  </si>
  <si>
    <t>AAATECH</t>
  </si>
  <si>
    <t>Biofil Chemicals &amp; Pharmaceuticals Limited</t>
  </si>
  <si>
    <t>NSE:BIOFILCHEM</t>
  </si>
  <si>
    <t>BIOFILCHEM</t>
  </si>
  <si>
    <t>Future Lifestyle Fashions Limited</t>
  </si>
  <si>
    <t>NSE:FLFL</t>
  </si>
  <si>
    <t>FLFL</t>
  </si>
  <si>
    <t>Keynote Financial Services Limited</t>
  </si>
  <si>
    <t>NSE:KEYFINSERV</t>
  </si>
  <si>
    <t>KEYFINSERV</t>
  </si>
  <si>
    <t>SecUR Credentials Limited</t>
  </si>
  <si>
    <t>NSE:SECURCRED</t>
  </si>
  <si>
    <t>SECURCRED</t>
  </si>
  <si>
    <t>Morarjee Textiles Limited</t>
  </si>
  <si>
    <t>NSE:MORARJEE</t>
  </si>
  <si>
    <t>MORARJEE</t>
  </si>
  <si>
    <t>Lexus Granito (India) Limited</t>
  </si>
  <si>
    <t>NSE:LEXUS</t>
  </si>
  <si>
    <t>LEXUS</t>
  </si>
  <si>
    <t>Tree House Education &amp; Accessories Limited</t>
  </si>
  <si>
    <t>NSE:TREEHOUSE</t>
  </si>
  <si>
    <t>TREEHOUSE</t>
  </si>
  <si>
    <t>Banka BioLoo Limited</t>
  </si>
  <si>
    <t>NSE:BANKA</t>
  </si>
  <si>
    <t>BANKA</t>
  </si>
  <si>
    <t>Aro Granite Industries Limited</t>
  </si>
  <si>
    <t>NSE:AROGRANITE</t>
  </si>
  <si>
    <t>AROGRANITE</t>
  </si>
  <si>
    <t>Kanani Industries Limited</t>
  </si>
  <si>
    <t>NSE:KANANIIND</t>
  </si>
  <si>
    <t>KANANIIND</t>
  </si>
  <si>
    <t>Moksh Ornaments Limited</t>
  </si>
  <si>
    <t>NSE:MOKSH</t>
  </si>
  <si>
    <t>MOKSH</t>
  </si>
  <si>
    <t>WE WIN LIMITED</t>
  </si>
  <si>
    <t>NSE:WEWIN</t>
  </si>
  <si>
    <t>WEWIN</t>
  </si>
  <si>
    <t>Agro Phos India Limited</t>
  </si>
  <si>
    <t>NSE:AGROPHOS</t>
  </si>
  <si>
    <t>AGROPHOS</t>
  </si>
  <si>
    <t>Supreme Infrastructure India Limited</t>
  </si>
  <si>
    <t>NSE:SUPREMEINF</t>
  </si>
  <si>
    <t>SUPREMEINF</t>
  </si>
  <si>
    <t>Cerebra Integrated Technologies Limited</t>
  </si>
  <si>
    <t>NSE:CEREBRAINT</t>
  </si>
  <si>
    <t>CEREBRAINT</t>
  </si>
  <si>
    <t>Vaswani Industries Limited</t>
  </si>
  <si>
    <t>NSE:VASWANI</t>
  </si>
  <si>
    <t>VASWANI</t>
  </si>
  <si>
    <t>Orient Press Limited</t>
  </si>
  <si>
    <t>NSE:ORIENTLTD</t>
  </si>
  <si>
    <t>ORIENTLTD</t>
  </si>
  <si>
    <t>Sampann Utpadan India Limited</t>
  </si>
  <si>
    <t>NSE:SAMPANN</t>
  </si>
  <si>
    <t>SAMPANN</t>
  </si>
  <si>
    <t>NRB Industrial Bearings Limited</t>
  </si>
  <si>
    <t>NSE:NIBL</t>
  </si>
  <si>
    <t>NIBL</t>
  </si>
  <si>
    <t>Ganga Forging Limited</t>
  </si>
  <si>
    <t>NSE:GANGAFORGE</t>
  </si>
  <si>
    <t>GANGAFORGE</t>
  </si>
  <si>
    <t>Poddar Housing and Development Limited</t>
  </si>
  <si>
    <t>NSE:PODDARHOUS</t>
  </si>
  <si>
    <t>PODDARHOUS</t>
  </si>
  <si>
    <t>Zenith Steel Pipes &amp; Industries Limited</t>
  </si>
  <si>
    <t>NSE:ZENITHSTL</t>
  </si>
  <si>
    <t>ZENITHSTL</t>
  </si>
  <si>
    <t>Soma Textiles &amp; Industries Limited</t>
  </si>
  <si>
    <t>NSE:SOMATEX</t>
  </si>
  <si>
    <t>SOMATEX</t>
  </si>
  <si>
    <t>Shree Ram Proteins Limited</t>
  </si>
  <si>
    <t>NSE:SRPL</t>
  </si>
  <si>
    <t>SRPL</t>
  </si>
  <si>
    <t>Siti Networks Limited</t>
  </si>
  <si>
    <t>NSE:SITINET</t>
  </si>
  <si>
    <t>SITINET</t>
  </si>
  <si>
    <t>Aakash Exploration Services Limited</t>
  </si>
  <si>
    <t>NSE:AAKASH</t>
  </si>
  <si>
    <t>AAKASH</t>
  </si>
  <si>
    <t>Cubex Tubings Limited</t>
  </si>
  <si>
    <t>NSE:CUBEXTUB</t>
  </si>
  <si>
    <t>CUBEXTUB</t>
  </si>
  <si>
    <t>HOV Services Limited</t>
  </si>
  <si>
    <t>NSE:HOVS</t>
  </si>
  <si>
    <t>HOVS</t>
  </si>
  <si>
    <t>Bohra Industries Limited</t>
  </si>
  <si>
    <t>NSE:BOHRAIND</t>
  </si>
  <si>
    <t>BOHRAIND</t>
  </si>
  <si>
    <t>Crown Lifters Limited</t>
  </si>
  <si>
    <t>NSE:CROWN</t>
  </si>
  <si>
    <t>CROWN</t>
  </si>
  <si>
    <t>Shiva Mills Limited</t>
  </si>
  <si>
    <t>NSE:SHIVAMILLS</t>
  </si>
  <si>
    <t>SHIVAMILLS</t>
  </si>
  <si>
    <t>Bang Overseas Limited</t>
  </si>
  <si>
    <t>NSE:BANG</t>
  </si>
  <si>
    <t>BANG</t>
  </si>
  <si>
    <t>Manugraph India Limited</t>
  </si>
  <si>
    <t>NSE:MANUGRAPH</t>
  </si>
  <si>
    <t>MANUGRAPH</t>
  </si>
  <si>
    <t>Zenith Exports Limited</t>
  </si>
  <si>
    <t>NSE:ZENITHEXPO</t>
  </si>
  <si>
    <t>ZENITHEXPO</t>
  </si>
  <si>
    <t>Nagreeka Exports Limited</t>
  </si>
  <si>
    <t>NSE:NAGREEKEXP</t>
  </si>
  <si>
    <t>NAGREEKEXP</t>
  </si>
  <si>
    <t>Sambhaav Media Limited</t>
  </si>
  <si>
    <t>NSE:SAMBHAAV</t>
  </si>
  <si>
    <t>SAMBHAAV</t>
  </si>
  <si>
    <t>Times Guaranty Limited</t>
  </si>
  <si>
    <t>NSE:TIMESGTY</t>
  </si>
  <si>
    <t>TIMESGTY</t>
  </si>
  <si>
    <t>Malu Paper Mills Limited</t>
  </si>
  <si>
    <t>NSE:MALUPAPER</t>
  </si>
  <si>
    <t>MALUPAPER</t>
  </si>
  <si>
    <t>Shrenik Limited</t>
  </si>
  <si>
    <t>NSE:SHRENIK</t>
  </si>
  <si>
    <t>SHRENIK</t>
  </si>
  <si>
    <t>Seya Industries Limited</t>
  </si>
  <si>
    <t>NSE:SEYAIND</t>
  </si>
  <si>
    <t>SEYAIND</t>
  </si>
  <si>
    <t>Nakoda Group of Industries Limited</t>
  </si>
  <si>
    <t>NSE:NGIL</t>
  </si>
  <si>
    <t>NGIL</t>
  </si>
  <si>
    <t>S&amp;S Power Switchgears Limited</t>
  </si>
  <si>
    <t>NSE:S&amp;SPOWER</t>
  </si>
  <si>
    <t>S&amp;SPOWER</t>
  </si>
  <si>
    <t>Karma Energy Limited</t>
  </si>
  <si>
    <t>NSE:KARMAENG</t>
  </si>
  <si>
    <t>KARMAENG</t>
  </si>
  <si>
    <t>Banaras Beads Limited</t>
  </si>
  <si>
    <t>NSE:BANARBEADS</t>
  </si>
  <si>
    <t>BANARBEADS</t>
  </si>
  <si>
    <t>Ambica Agarbathies &amp; Aroma industries Limited</t>
  </si>
  <si>
    <t>NSE:AMBICAAGAR</t>
  </si>
  <si>
    <t>AMBICAAGAR</t>
  </si>
  <si>
    <t>Pritish Nandy Communications Limited</t>
  </si>
  <si>
    <t>NSE:PNC</t>
  </si>
  <si>
    <t>PNC</t>
  </si>
  <si>
    <t>Tera Software Limited</t>
  </si>
  <si>
    <t>NSE:TERASOFT</t>
  </si>
  <si>
    <t>TERASOFT</t>
  </si>
  <si>
    <t>Aarvee Denims &amp; Exports Limited</t>
  </si>
  <si>
    <t>NSE:AARVEEDEN</t>
  </si>
  <si>
    <t>AARVEEDEN</t>
  </si>
  <si>
    <t>Godha Cabcon &amp; Insulation Limited</t>
  </si>
  <si>
    <t>NSE:GODHA</t>
  </si>
  <si>
    <t>GODHA</t>
  </si>
  <si>
    <t>Globe Textiles (India) Limited</t>
  </si>
  <si>
    <t>NSE:GLOBE</t>
  </si>
  <si>
    <t>GLOBE</t>
  </si>
  <si>
    <t>Ankit Metal &amp; Power Limited</t>
  </si>
  <si>
    <t>NSE:ANKITMETAL</t>
  </si>
  <si>
    <t>ANKITMETAL</t>
  </si>
  <si>
    <t>Paras Petrofils Limited</t>
  </si>
  <si>
    <t>NSE:PARASPETRO</t>
  </si>
  <si>
    <t>PARASPETRO</t>
  </si>
  <si>
    <t>Transwarranty Finance Limited</t>
  </si>
  <si>
    <t>NSE:TFL</t>
  </si>
  <si>
    <t>TFL</t>
  </si>
  <si>
    <t>Excel Realty N Infra Limited</t>
  </si>
  <si>
    <t>NSE:EXCEL</t>
  </si>
  <si>
    <t>EXCEL</t>
  </si>
  <si>
    <t>Vineet Laboratories Limited</t>
  </si>
  <si>
    <t>NSE:VINEETLAB</t>
  </si>
  <si>
    <t>VINEETLAB</t>
  </si>
  <si>
    <t>Power &amp; Instrumentation (Gujarat) Limited</t>
  </si>
  <si>
    <t>NSE:PIGL</t>
  </si>
  <si>
    <t>PIGL</t>
  </si>
  <si>
    <t>Ashoka Metcast Limited</t>
  </si>
  <si>
    <t>NSE:ASHOKAMET</t>
  </si>
  <si>
    <t>ASHOKAMET</t>
  </si>
  <si>
    <t>Jet Freight Logistics Limited</t>
  </si>
  <si>
    <t>NSE:JETFREIGHT</t>
  </si>
  <si>
    <t>JETFREIGHT</t>
  </si>
  <si>
    <t>HEC Infra Projects Limited</t>
  </si>
  <si>
    <t>NSE:HECPROJECT</t>
  </si>
  <si>
    <t>HECPROJECT</t>
  </si>
  <si>
    <t>Akash Infra-Projects Limited</t>
  </si>
  <si>
    <t>NSE:AKASH</t>
  </si>
  <si>
    <t>AKASH</t>
  </si>
  <si>
    <t>Suumaya Industries Limited</t>
  </si>
  <si>
    <t>NSE:SUULD</t>
  </si>
  <si>
    <t>SUULD</t>
  </si>
  <si>
    <t>Binani Industries Limited</t>
  </si>
  <si>
    <t>NSE:BINANIIND</t>
  </si>
  <si>
    <t>BINANIIND</t>
  </si>
  <si>
    <t>Burnpur Cement Limited</t>
  </si>
  <si>
    <t>NSE:BURNPUR</t>
  </si>
  <si>
    <t>BURNPUR</t>
  </si>
  <si>
    <t>Future Supply Chain Solutions Limited</t>
  </si>
  <si>
    <t>NSE:FSC</t>
  </si>
  <si>
    <t>FSC</t>
  </si>
  <si>
    <t>Diligent Media Corporation Limited</t>
  </si>
  <si>
    <t>NSE:DNAMEDIA</t>
  </si>
  <si>
    <t>DNAMEDIA</t>
  </si>
  <si>
    <t>Madhucon Projects Limited</t>
  </si>
  <si>
    <t>NSE:MADHUCON</t>
  </si>
  <si>
    <t>MADHUCON</t>
  </si>
  <si>
    <t>Ravi Kumar Distilleries Limited</t>
  </si>
  <si>
    <t>NSE:RKDL</t>
  </si>
  <si>
    <t>RKDL</t>
  </si>
  <si>
    <t>Archidply Decor Limited</t>
  </si>
  <si>
    <t>NSE:ADL</t>
  </si>
  <si>
    <t>ADL</t>
  </si>
  <si>
    <t>Super Spinning Mills Limited</t>
  </si>
  <si>
    <t>NSE:SUPERSPIN</t>
  </si>
  <si>
    <t>SUPERSPIN</t>
  </si>
  <si>
    <t>Pearl Polymers Limited</t>
  </si>
  <si>
    <t>NSE:PEARLPOLY</t>
  </si>
  <si>
    <t>PEARLPOLY</t>
  </si>
  <si>
    <t>Madhav Marbles and Granites Limited</t>
  </si>
  <si>
    <t>NSE:MADHAV</t>
  </si>
  <si>
    <t>MADHAV</t>
  </si>
  <si>
    <t>Lakshmi Finance &amp; Industrial Corporation Limited</t>
  </si>
  <si>
    <t>NSE:LFIC</t>
  </si>
  <si>
    <t>LFIC</t>
  </si>
  <si>
    <t>3P Land Holdings Limited</t>
  </si>
  <si>
    <t>NSE:3PLAND</t>
  </si>
  <si>
    <t>3PLAND</t>
  </si>
  <si>
    <t>HB Stockholdings Limited</t>
  </si>
  <si>
    <t>NSE:HBSL</t>
  </si>
  <si>
    <t>HBSL</t>
  </si>
  <si>
    <t>Tantia Constructions Limited</t>
  </si>
  <si>
    <t>NSE:TCLCONS</t>
  </si>
  <si>
    <t>TCLCONS</t>
  </si>
  <si>
    <t>Adroit Infotech Limited</t>
  </si>
  <si>
    <t>NSE:ADROITINFO</t>
  </si>
  <si>
    <t>ADROITINFO</t>
  </si>
  <si>
    <t>Sagardeep Alloys Limited</t>
  </si>
  <si>
    <t>NSE:SAGARDEEP</t>
  </si>
  <si>
    <t>SAGARDEEP</t>
  </si>
  <si>
    <t>ABM International Limited</t>
  </si>
  <si>
    <t>NSE:ABMINTLLTD</t>
  </si>
  <si>
    <t>ABMINTLLTD</t>
  </si>
  <si>
    <t>Ajooni Biotech Limited</t>
  </si>
  <si>
    <t>NSE:AJOONI</t>
  </si>
  <si>
    <t>AJOONI</t>
  </si>
  <si>
    <t>STL Global Limited</t>
  </si>
  <si>
    <t>NSE:SGL</t>
  </si>
  <si>
    <t>SGL</t>
  </si>
  <si>
    <t>Next Mediaworks Limited</t>
  </si>
  <si>
    <t>NSE:NEXTMEDIA</t>
  </si>
  <si>
    <t>NEXTMEDIA</t>
  </si>
  <si>
    <t>ICDS Limited</t>
  </si>
  <si>
    <t>NSE:ICDSLTD</t>
  </si>
  <si>
    <t>ICDSLTD</t>
  </si>
  <si>
    <t>Khandwala Securities Limited</t>
  </si>
  <si>
    <t>NSE:KHANDSE</t>
  </si>
  <si>
    <t>KHANDSE</t>
  </si>
  <si>
    <t>Sanginita Chemicals Limited</t>
  </si>
  <si>
    <t>NSE:SANGINITA</t>
  </si>
  <si>
    <t>SANGINITA</t>
  </si>
  <si>
    <t>Libas Consumer Products Limited</t>
  </si>
  <si>
    <t>NSE:LIBAS</t>
  </si>
  <si>
    <t>LIBAS</t>
  </si>
  <si>
    <t>Laxmi Cotspin Limited</t>
  </si>
  <si>
    <t>NSE:LAXMICOT</t>
  </si>
  <si>
    <t>LAXMICOT</t>
  </si>
  <si>
    <t>Ace Integrated Solutions Limited</t>
  </si>
  <si>
    <t>NSE:ACEINTEG</t>
  </si>
  <si>
    <t>ACEINTEG</t>
  </si>
  <si>
    <t>TECIL Chemicals and Hydro Power Limited</t>
  </si>
  <si>
    <t>NSE:TECILCHEM</t>
  </si>
  <si>
    <t>TECILCHEM</t>
  </si>
  <si>
    <t>Winsome Yarns Limited</t>
  </si>
  <si>
    <t>NSE:WINSOME</t>
  </si>
  <si>
    <t>WINSOME</t>
  </si>
  <si>
    <t>Country Condo's Limited</t>
  </si>
  <si>
    <t>NSE:COUNCODOS</t>
  </si>
  <si>
    <t>COUNCODOS</t>
  </si>
  <si>
    <t>Tamilnadu Telecommunication Limited</t>
  </si>
  <si>
    <t>NSE:TNTELE</t>
  </si>
  <si>
    <t>TNTELE</t>
  </si>
  <si>
    <t>TGB Banquets And Hotels Limited</t>
  </si>
  <si>
    <t>NSE:TGBHOTELS</t>
  </si>
  <si>
    <t>TGBHOTELS</t>
  </si>
  <si>
    <t>DSJ Keep Learning Limited</t>
  </si>
  <si>
    <t>NSE:KEEPLEARN</t>
  </si>
  <si>
    <t>KEEPLEARN</t>
  </si>
  <si>
    <t>Vaxtex Cotfab Limited</t>
  </si>
  <si>
    <t>NSE:VCL</t>
  </si>
  <si>
    <t>VCL</t>
  </si>
  <si>
    <t>Sumeet Industries Limited</t>
  </si>
  <si>
    <t>NSE:SUMEETINDS</t>
  </si>
  <si>
    <t>SUMEETINDS</t>
  </si>
  <si>
    <t>Future Market Networks Limited</t>
  </si>
  <si>
    <t>NSE:FMNL</t>
  </si>
  <si>
    <t>FMNL</t>
  </si>
  <si>
    <t>Kshitij Polyline Limited</t>
  </si>
  <si>
    <t>NSE:KSHITIJPOL</t>
  </si>
  <si>
    <t>KSHITIJPOL</t>
  </si>
  <si>
    <t>Balkrishna Paper Mills Limited</t>
  </si>
  <si>
    <t>NSE:BALKRISHNA</t>
  </si>
  <si>
    <t>BALKRISHNA</t>
  </si>
  <si>
    <t>NK Industries Limited</t>
  </si>
  <si>
    <t>NSE:NKIND</t>
  </si>
  <si>
    <t>NKIND</t>
  </si>
  <si>
    <t>Educomp Solutions Limited</t>
  </si>
  <si>
    <t>NSE:EDUCOMP</t>
  </si>
  <si>
    <t>EDUCOMP</t>
  </si>
  <si>
    <t>MT Educare Limited</t>
  </si>
  <si>
    <t>NSE:MTEDUCARE</t>
  </si>
  <si>
    <t>MTEDUCARE</t>
  </si>
  <si>
    <t>Rollatainers Limited</t>
  </si>
  <si>
    <t>NSE:ROLLT</t>
  </si>
  <si>
    <t>ROLLT</t>
  </si>
  <si>
    <t>Cyber Media (India) Limited</t>
  </si>
  <si>
    <t>NSE:CYBERMEDIA</t>
  </si>
  <si>
    <t>CYBERMEDIA</t>
  </si>
  <si>
    <t>Sri Havisha Hospitality and Infrastructure Limited</t>
  </si>
  <si>
    <t>NSE:HAVISHA</t>
  </si>
  <si>
    <t>HAVISHA</t>
  </si>
  <si>
    <t>Diamond Power Infrastructure Limited</t>
  </si>
  <si>
    <t>NSE:DIACABS</t>
  </si>
  <si>
    <t>DIACABS</t>
  </si>
  <si>
    <t>Williamson Magor &amp; Company Limited</t>
  </si>
  <si>
    <t>NSE:WILLAMAGOR</t>
  </si>
  <si>
    <t>WILLAMAGOR</t>
  </si>
  <si>
    <t>Uniinfo Telecom Services Limited</t>
  </si>
  <si>
    <t>NSE:UNIINFO</t>
  </si>
  <si>
    <t>UNIINFO</t>
  </si>
  <si>
    <t>Visagar Polytex Limited</t>
  </si>
  <si>
    <t>NSE:VIVIDHA</t>
  </si>
  <si>
    <t>VIVIDHA</t>
  </si>
  <si>
    <t>Heads UP Ventures Limited</t>
  </si>
  <si>
    <t>NSE:HEADSUP</t>
  </si>
  <si>
    <t>HEADSUP</t>
  </si>
  <si>
    <t>Impex Ferro Tech Limited</t>
  </si>
  <si>
    <t>NSE:IMPEXFERRO</t>
  </si>
  <si>
    <t>IMPEXFERRO</t>
  </si>
  <si>
    <t>Narmada Agrobase Limited</t>
  </si>
  <si>
    <t>NSE:NARMADA</t>
  </si>
  <si>
    <t>NARMADA</t>
  </si>
  <si>
    <t>Khaitan (India) Limited</t>
  </si>
  <si>
    <t>NSE:KHAITANLTD</t>
  </si>
  <si>
    <t>KHAITANLTD</t>
  </si>
  <si>
    <t>Infomedia Press Limited</t>
  </si>
  <si>
    <t>NSE:INFOMEDIA</t>
  </si>
  <si>
    <t>INFOMEDIA</t>
  </si>
  <si>
    <t>Silgo Retail Limited</t>
  </si>
  <si>
    <t>NSE:SILGO</t>
  </si>
  <si>
    <t>SILGO</t>
  </si>
  <si>
    <t>Mittal Life Style Limited</t>
  </si>
  <si>
    <t>NSE:MITTAL</t>
  </si>
  <si>
    <t>MITTAL</t>
  </si>
  <si>
    <t>Hybrid Financial Services Limited</t>
  </si>
  <si>
    <t>NSE:HYBRIDFIN</t>
  </si>
  <si>
    <t>HYBRIDFIN</t>
  </si>
  <si>
    <t>Mohit Industries Limited</t>
  </si>
  <si>
    <t>NSE:MOHITIND</t>
  </si>
  <si>
    <t>MOHITIND</t>
  </si>
  <si>
    <t>Kridhan Infra Limited</t>
  </si>
  <si>
    <t>NSE:KRIDHANINF</t>
  </si>
  <si>
    <t>KRIDHANINF</t>
  </si>
  <si>
    <t>Kaushalya Infrastructure Development Corporation Limited</t>
  </si>
  <si>
    <t>NSE:KAUSHALYA</t>
  </si>
  <si>
    <t>KAUSHALYA</t>
  </si>
  <si>
    <t>California Software Company Limited</t>
  </si>
  <si>
    <t>NSE:CALSOFT</t>
  </si>
  <si>
    <t>CALSOFT</t>
  </si>
  <si>
    <t>Shekhawati Poly-Yarn Limited</t>
  </si>
  <si>
    <t>NSE:SPYL</t>
  </si>
  <si>
    <t>SPYL</t>
  </si>
  <si>
    <t>Nagreeka Capital &amp; Infrastructure Limited</t>
  </si>
  <si>
    <t>NSE:NAGREEKCAP</t>
  </si>
  <si>
    <t>NAGREEKCAP</t>
  </si>
  <si>
    <t>21st Century Management Services Limited</t>
  </si>
  <si>
    <t>NSE:21STCENMGM</t>
  </si>
  <si>
    <t>21STCENMGM</t>
  </si>
  <si>
    <t>LCC Infotech Limited</t>
  </si>
  <si>
    <t>NSE:LCCINFOTEC</t>
  </si>
  <si>
    <t>LCCINFOTEC</t>
  </si>
  <si>
    <t>Spentex Industries Limited</t>
  </si>
  <si>
    <t>NSE:SPENTEX</t>
  </si>
  <si>
    <t>SPENTEX</t>
  </si>
  <si>
    <t>Oriental Trimex Limited</t>
  </si>
  <si>
    <t>NSE:ORIENTALTL</t>
  </si>
  <si>
    <t>ORIENTALTL</t>
  </si>
  <si>
    <t>Kavveri Telecom Products Limited</t>
  </si>
  <si>
    <t>NSE:KAVVERITEL</t>
  </si>
  <si>
    <t>KAVVERITEL</t>
  </si>
  <si>
    <t>Onelife Capital Advisors Limited</t>
  </si>
  <si>
    <t>NSE:ONELIFECAP</t>
  </si>
  <si>
    <t>ONELIFECAP</t>
  </si>
  <si>
    <t>Supreme Engineering Limited</t>
  </si>
  <si>
    <t>NSE:SUPREMEENG</t>
  </si>
  <si>
    <t>SUPREMEENG</t>
  </si>
  <si>
    <t>Omkar Speciality Chemicals Limited</t>
  </si>
  <si>
    <t>NSE:OMKARCHEM</t>
  </si>
  <si>
    <t>OMKARCHEM</t>
  </si>
  <si>
    <t>Shanti Overseas (India) Limited</t>
  </si>
  <si>
    <t>NSE:SHANTI</t>
  </si>
  <si>
    <t>SHANTI</t>
  </si>
  <si>
    <t>Gujarat Raffia Industries Limited</t>
  </si>
  <si>
    <t>NSE:GUJRAFFIA</t>
  </si>
  <si>
    <t>GUJRAFFIA</t>
  </si>
  <si>
    <t>Techindia Nirman Limited</t>
  </si>
  <si>
    <t>NSE:TECHIN</t>
  </si>
  <si>
    <t>TECHIN</t>
  </si>
  <si>
    <t>Mask Investments Limited</t>
  </si>
  <si>
    <t>NSE:MASKINVEST</t>
  </si>
  <si>
    <t>MASKINVEST</t>
  </si>
  <si>
    <t>Silly Monks Entertainment Limited</t>
  </si>
  <si>
    <t>NSE:SILLYMONKS</t>
  </si>
  <si>
    <t>SILLYMONKS</t>
  </si>
  <si>
    <t>Tijaria Polypipes Limited</t>
  </si>
  <si>
    <t>NSE:TIJARIA</t>
  </si>
  <si>
    <t>TIJARIA</t>
  </si>
  <si>
    <t>Eastern Silk Industries Limited</t>
  </si>
  <si>
    <t>NSE:EASTSILK</t>
  </si>
  <si>
    <t>EASTSILK</t>
  </si>
  <si>
    <t>Ortin Laboratories Limited</t>
  </si>
  <si>
    <t>NSE:ORTINLAB</t>
  </si>
  <si>
    <t>ORTINLAB</t>
  </si>
  <si>
    <t>Lypsa Gems &amp; Jewellery Limited</t>
  </si>
  <si>
    <t>NSE:LYPSAGEMS</t>
  </si>
  <si>
    <t>LYPSAGEMS</t>
  </si>
  <si>
    <t>Viji Finance Limited</t>
  </si>
  <si>
    <t>NSE:VIJIFIN</t>
  </si>
  <si>
    <t>VIJIFIN</t>
  </si>
  <si>
    <t>Antarctica Limited</t>
  </si>
  <si>
    <t>NSE:ANTGRAPHIC</t>
  </si>
  <si>
    <t>ANTGRAPHIC</t>
  </si>
  <si>
    <t>Usha Martin Education &amp; Solutions Limited</t>
  </si>
  <si>
    <t>NSE:UMESLTD</t>
  </si>
  <si>
    <t>UMESLTD</t>
  </si>
  <si>
    <t>TV Vision Limited</t>
  </si>
  <si>
    <t>NSE:TVVISION</t>
  </si>
  <si>
    <t>TVVISION</t>
  </si>
  <si>
    <t>Norben Tea &amp; Exports Limited</t>
  </si>
  <si>
    <t>NSE:NORBTEAEXP</t>
  </si>
  <si>
    <t>NORBTEAEXP</t>
  </si>
  <si>
    <t>Kalyani Commercials Limited</t>
  </si>
  <si>
    <t>NSE:KALYANI</t>
  </si>
  <si>
    <t>KALYANI</t>
  </si>
  <si>
    <t>Rajdarshan Industries Limited</t>
  </si>
  <si>
    <t>NSE:ARENTERP</t>
  </si>
  <si>
    <t>ARENTERP</t>
  </si>
  <si>
    <t>Eurotex Industries and Exports Limited</t>
  </si>
  <si>
    <t>NSE:EUROTEXIND</t>
  </si>
  <si>
    <t>EUROTEXIND</t>
  </si>
  <si>
    <t>Gujarat Lease Financing Limited</t>
  </si>
  <si>
    <t>NSE:GLFL</t>
  </si>
  <si>
    <t>GLFL</t>
  </si>
  <si>
    <t>Tarapur Transformers Limited</t>
  </si>
  <si>
    <t>NSE:TARAPUR</t>
  </si>
  <si>
    <t>TARAPUR</t>
  </si>
  <si>
    <t>Premier Limited</t>
  </si>
  <si>
    <t>NSE:PREMIER</t>
  </si>
  <si>
    <t>PREMIER</t>
  </si>
  <si>
    <t>Sanco Industries Limited</t>
  </si>
  <si>
    <t>NSE:SANCO</t>
  </si>
  <si>
    <t>SANCO</t>
  </si>
  <si>
    <t>DCM Financial Services Limited</t>
  </si>
  <si>
    <t>NSE:DCMFINSERV</t>
  </si>
  <si>
    <t>DCMFINSERV</t>
  </si>
  <si>
    <t>Shyam Telecom Limited</t>
  </si>
  <si>
    <t>NSE:SHYAMTEL</t>
  </si>
  <si>
    <t>SHYAMTEL</t>
  </si>
  <si>
    <t>Radaan Mediaworks India Limited</t>
  </si>
  <si>
    <t>NSE:RADAAN</t>
  </si>
  <si>
    <t>RADAAN</t>
  </si>
  <si>
    <t>Alps Industries Limited</t>
  </si>
  <si>
    <t>NSE:ALPSINDUS</t>
  </si>
  <si>
    <t>ALPSINDUS</t>
  </si>
  <si>
    <t>Creative Eye Limited</t>
  </si>
  <si>
    <t>NSE:CREATIVEYE</t>
  </si>
  <si>
    <t>CREATIVEYE</t>
  </si>
  <si>
    <t>Univa Foods Limited</t>
  </si>
  <si>
    <t>NSE:UNIVAFOODS</t>
  </si>
  <si>
    <t>UNIVAFOODS</t>
  </si>
  <si>
    <t>Niraj Ispat Industries Limited</t>
  </si>
  <si>
    <t>NSE:NIRAJISPAT</t>
  </si>
  <si>
    <t>NIRAJISPAT</t>
  </si>
  <si>
    <t>Blue Chip India Limited</t>
  </si>
  <si>
    <t>NSE:BLUECHIP</t>
  </si>
  <si>
    <t>BLUECHIP</t>
  </si>
  <si>
    <t>Bkm Industries Limited</t>
  </si>
  <si>
    <t>NSE:BKMINDST</t>
  </si>
  <si>
    <t>BKMINDST</t>
  </si>
  <si>
    <t>Lakshmi Precision Screws Limited</t>
  </si>
  <si>
    <t>NSE:LAKPRE</t>
  </si>
  <si>
    <t>LAKPRE</t>
  </si>
  <si>
    <t>Sab Events &amp; Governance Now Media Limited</t>
  </si>
  <si>
    <t>NSE:SABEVENTS</t>
  </si>
  <si>
    <t>SABEVENTS</t>
  </si>
  <si>
    <t>Melstar Information Technologies Limited</t>
  </si>
  <si>
    <t>NSE:MELSTAR</t>
  </si>
  <si>
    <t>MELSTAR</t>
  </si>
  <si>
    <t>wcp 0501</t>
  </si>
  <si>
    <t>LTP</t>
  </si>
  <si>
    <t>Rs.</t>
  </si>
  <si>
    <t>% CHANGE</t>
  </si>
  <si>
    <t>windlas</t>
  </si>
  <si>
    <t>Average Market Capitalization of listed companies during the six months ended 30 June 2023</t>
  </si>
  <si>
    <t>Company name</t>
  </si>
  <si>
    <t>NSE Symbol</t>
  </si>
  <si>
    <t>Sr. No.</t>
  </si>
  <si>
    <t>Average of All Exchanges (Rs. Cr.)</t>
  </si>
  <si>
    <t>Categorization as per SEBI Circular dated Oct 6, 2017</t>
  </si>
  <si>
    <t>Small Cap</t>
  </si>
  <si>
    <t>Twentyfirst Century Management Serv</t>
  </si>
  <si>
    <t>3i Infotech limited</t>
  </si>
  <si>
    <t>3M India Ltd.</t>
  </si>
  <si>
    <t>Mid Cap</t>
  </si>
  <si>
    <t>3P LAND HOLDINGS LTD.</t>
  </si>
  <si>
    <t>Fourth Dimension Solutions Ltd.</t>
  </si>
  <si>
    <t>4THDIM</t>
  </si>
  <si>
    <t>5paisa Capital Limited</t>
  </si>
  <si>
    <t>63 Moons Technologies Limited</t>
  </si>
  <si>
    <t>AAA TECHNOLOGIES LIMITED</t>
  </si>
  <si>
    <t>Aakash Exploration Services Ltd.</t>
  </si>
  <si>
    <t>Aarey Drugs &amp; Pharmaceuticals Ltd</t>
  </si>
  <si>
    <t>Aaron Industries Ltd.</t>
  </si>
  <si>
    <t>Aarti Industries Ltd</t>
  </si>
  <si>
    <t>Aarvee Denims &amp; Exports Ltd.,</t>
  </si>
  <si>
    <t>Aarvi Encon Ltd.</t>
  </si>
  <si>
    <t>AAVAS Financiers Limited</t>
  </si>
  <si>
    <t>Aban Offshore Ltd.,</t>
  </si>
  <si>
    <t>Large Cap</t>
  </si>
  <si>
    <t>Aditya Birla Capital Ltd</t>
  </si>
  <si>
    <t>ABM International Ltd.</t>
  </si>
  <si>
    <t>ACC Ltd</t>
  </si>
  <si>
    <t>ACCELYA SOLUTIONS INDIA LIMITED</t>
  </si>
  <si>
    <t>Accuracy Shipping Ltd.</t>
  </si>
  <si>
    <t>Action Construction Equipments Ltd.</t>
  </si>
  <si>
    <t>Ace Integrated Solutions Ltd.</t>
  </si>
  <si>
    <t>Andhra Cement Ltd.,</t>
  </si>
  <si>
    <t>Adani Enterprises Ltd.</t>
  </si>
  <si>
    <t>Adani Ports and Special Economic Zone Ltd</t>
  </si>
  <si>
    <t>Adani Transmission Limited</t>
  </si>
  <si>
    <t>ADANITRANS</t>
  </si>
  <si>
    <t>ADF Foods Limited.</t>
  </si>
  <si>
    <t>Ador Welding Ltd.</t>
  </si>
  <si>
    <t>Advani Hotels &amp; Resorts (India) Ltd.</t>
  </si>
  <si>
    <t>Aegis Logistics Ltd.</t>
  </si>
  <si>
    <t>AGI GREENPAC LIMITED</t>
  </si>
  <si>
    <t>Agri-Tech India Ltd.</t>
  </si>
  <si>
    <t>Agro Phos India Ltd.</t>
  </si>
  <si>
    <t>AGS TRANSACT TECHNOLOGIES LIMITED</t>
  </si>
  <si>
    <t>Ahlada Engineers Ltd.</t>
  </si>
  <si>
    <t>Ahluwalia Contracts (India) Ltd</t>
  </si>
  <si>
    <t>AIA Engineering Ltd.</t>
  </si>
  <si>
    <t>AIRAN LIMITED</t>
  </si>
  <si>
    <t>Airo Lam Ltd.</t>
  </si>
  <si>
    <t>Ajanta Pharma Ltd.</t>
  </si>
  <si>
    <t>Ajooni Biotech Ltd.</t>
  </si>
  <si>
    <t>AJR INFRA AND TOLLING LIMITED</t>
  </si>
  <si>
    <t>AJRINFRA</t>
  </si>
  <si>
    <t>Akash infra projects ltd.</t>
  </si>
  <si>
    <t>AKG Exim Ltd.</t>
  </si>
  <si>
    <t>AksharChem (India) Ltd.</t>
  </si>
  <si>
    <t>Aksh Optifibre Ltd.</t>
  </si>
  <si>
    <t>Albert David Ltd.,</t>
  </si>
  <si>
    <t>Alembic Ltd</t>
  </si>
  <si>
    <t>Alkyl Amines Chemicals Ltd.,</t>
  </si>
  <si>
    <t>Allcargo Logistics Ltd</t>
  </si>
  <si>
    <t>Allsec Technologies Ltd.</t>
  </si>
  <si>
    <t>Alok Industries Ltd.</t>
  </si>
  <si>
    <t>Alphageo (India)Ltd.</t>
  </si>
  <si>
    <t>Alps Industries Ltd.</t>
  </si>
  <si>
    <t>Amara Raja Batteries Ltd</t>
  </si>
  <si>
    <t>AMARAJABAT</t>
  </si>
  <si>
    <t>Ambica Agarbathies &amp; Aroma Ind. Ltd.</t>
  </si>
  <si>
    <t>Ambika Cotton Mills Ltd.</t>
  </si>
  <si>
    <t>Ambuja Cements Ltd.</t>
  </si>
  <si>
    <t>AMD Industries Ltd</t>
  </si>
  <si>
    <t>AMJ LAND HOLDINGS LIMITED</t>
  </si>
  <si>
    <t>The Andhra Sugars Ltd.</t>
  </si>
  <si>
    <t>ANGEL ONE LIMITED</t>
  </si>
  <si>
    <t>Ansal Properties &amp; Infrastructure Ltd.</t>
  </si>
  <si>
    <t>ANSALAPI</t>
  </si>
  <si>
    <t>Antarctica Ltd.</t>
  </si>
  <si>
    <t>The Anup Engineering Ltd</t>
  </si>
  <si>
    <t>Apar Industries Ltd</t>
  </si>
  <si>
    <t>Anjani Portland Cement Ltd.</t>
  </si>
  <si>
    <t>ALEMBIC PHARMACEUTICALS LIMITED</t>
  </si>
  <si>
    <t>Apollo Hospitals Enterprises Ltd.,</t>
  </si>
  <si>
    <t>APOLLO PIPES LIMITED</t>
  </si>
  <si>
    <t>Apollo Tyres Ltd</t>
  </si>
  <si>
    <t>Apollo Sindoori Hotels Ltd.</t>
  </si>
  <si>
    <t>Aptech Ltd.</t>
  </si>
  <si>
    <t>Archies Ltd.</t>
  </si>
  <si>
    <t>Rajdarshan Industries Ltd.,</t>
  </si>
  <si>
    <t>Aries Agro Limited,</t>
  </si>
  <si>
    <t>Arihant Capital Markets Ltd.</t>
  </si>
  <si>
    <t>Aro Granite Industries Ltd.</t>
  </si>
  <si>
    <t>ARSS Infrastructure Projects Limited</t>
  </si>
  <si>
    <t>ARSSINFRA</t>
  </si>
  <si>
    <t>Art Nirman Ltd.</t>
  </si>
  <si>
    <t>Arvee Laboratories (India) Ltd.</t>
  </si>
  <si>
    <t>Arvind Ltd.,</t>
  </si>
  <si>
    <t>Asahi India Glass Ltd.</t>
  </si>
  <si>
    <t>Asahi Songwon Colors Ltd.</t>
  </si>
  <si>
    <t>Automotive Stampings and Assemblies Ltd.</t>
  </si>
  <si>
    <t>Associated Alcohols &amp; Breweries Ltd</t>
  </si>
  <si>
    <t>Ashapura Minechem Ltd</t>
  </si>
  <si>
    <t>Ashima Ltd</t>
  </si>
  <si>
    <t>Ashok Leyland Ltd.,</t>
  </si>
  <si>
    <t>ASIAN ENERGY SERVICES LTD</t>
  </si>
  <si>
    <t>Asian Paints Ltd.</t>
  </si>
  <si>
    <t>ASIAN GRANITO INDIA LIMITED</t>
  </si>
  <si>
    <t>Bartronics India Ltd.</t>
  </si>
  <si>
    <t>Aspinwall and Company Ltd.</t>
  </si>
  <si>
    <t>ASTEC LIFESCIENCES LIMITED</t>
  </si>
  <si>
    <t>ASTRAL LIMITED</t>
  </si>
  <si>
    <t>Astra Microwave Products Ltd.</t>
  </si>
  <si>
    <t>AstraZeneca Pharma India Ltd.</t>
  </si>
  <si>
    <t>Agro Tech Foods Ltd</t>
  </si>
  <si>
    <t>ADANI TOTAL GAS LIMITED</t>
  </si>
  <si>
    <t>Atul Limited.,</t>
  </si>
  <si>
    <t>Aurionpro Solutions Ltd.</t>
  </si>
  <si>
    <t>Aurobindo Pharma Ltd.</t>
  </si>
  <si>
    <t>AuSom Enterprise Limited</t>
  </si>
  <si>
    <t>Automotive Axles Ltd.,</t>
  </si>
  <si>
    <t>AUTOLINE INDUSTRIES LTD.</t>
  </si>
  <si>
    <t>AVADH SUGAR &amp; ENERGY LIMITED</t>
  </si>
  <si>
    <t>Avanti Feeds ltd.</t>
  </si>
  <si>
    <t>Avro India Limited</t>
  </si>
  <si>
    <t>AVT Natural Products Ltd.</t>
  </si>
  <si>
    <t>AXIS Bank Ltd.</t>
  </si>
  <si>
    <t>AXISCADES TECHNOLOGIES LIMITED</t>
  </si>
  <si>
    <t>B.A.G. Films &amp; Media Ltd</t>
  </si>
  <si>
    <t>BAID FINSERV LIMITED</t>
  </si>
  <si>
    <t>BAJAJ CONSUMER CARE LIMITED</t>
  </si>
  <si>
    <t>Bajaj Electricals Ltd.,</t>
  </si>
  <si>
    <t>Balaji Telefilms Ltd.</t>
  </si>
  <si>
    <t>Balaji Amines Ltd.</t>
  </si>
  <si>
    <t>BALAXI PHARMACEUTICALS LTD.</t>
  </si>
  <si>
    <t>Balkrishna Paper Mills Ltd</t>
  </si>
  <si>
    <t>Balkrishna Industries Ltd.,</t>
  </si>
  <si>
    <t>Balmer Lawrie &amp; Co. Ltd.,</t>
  </si>
  <si>
    <t>Bal Pharma Ltd.</t>
  </si>
  <si>
    <t>Balrampur Chini Mills Ltd.</t>
  </si>
  <si>
    <t>Banaras Beads Ltd.</t>
  </si>
  <si>
    <t>Bannari Amman Sugars Ltd.,</t>
  </si>
  <si>
    <t>Banco Products (India) Ltd.,</t>
  </si>
  <si>
    <t>Bang Overseas Ltd</t>
  </si>
  <si>
    <t>Banka Bioloo Ltd.</t>
  </si>
  <si>
    <t>Bank Of Baroda</t>
  </si>
  <si>
    <t>Banswara Syntex Ltd.,</t>
  </si>
  <si>
    <t>BARBEQUE-NATION HOSPITALITY LIMITED</t>
  </si>
  <si>
    <t>BASF India Ltd</t>
  </si>
  <si>
    <t>Bannari Amman Spinning Mills Ltd</t>
  </si>
  <si>
    <t>Bharat Bijlee Ltd.,</t>
  </si>
  <si>
    <t>BLACK BOX LIMITED</t>
  </si>
  <si>
    <t>Bombay Burmah Trading Corpn. Ltd.,</t>
  </si>
  <si>
    <t>BRIGHTCOM GROUP LIMITED</t>
  </si>
  <si>
    <t>BCL INDUSTRIES LIMITED</t>
  </si>
  <si>
    <t>BEARDSELL LIMITED</t>
  </si>
  <si>
    <t>Bharat Electronics Ltd.,</t>
  </si>
  <si>
    <t>BEML Ltd</t>
  </si>
  <si>
    <t>Bhansali Engineering Polymers Ltd.,</t>
  </si>
  <si>
    <t>Berger Paints India Ltd</t>
  </si>
  <si>
    <t>BF Utilities Ltd.</t>
  </si>
  <si>
    <t>Bharatiya Global Infomedia Limited</t>
  </si>
  <si>
    <t>BGLOBAL</t>
  </si>
  <si>
    <t>BGR ENERGY SYSTEMS LIMITED</t>
  </si>
  <si>
    <t>Bhagiradha Chemicals and Industries</t>
  </si>
  <si>
    <t>Bhandari Hosiery Exports Ltd.</t>
  </si>
  <si>
    <t>Bharat Forge Ltd</t>
  </si>
  <si>
    <t>Bharat Gears Ltd.,</t>
  </si>
  <si>
    <t>Bharti Airtel Ltd.</t>
  </si>
  <si>
    <t>Bharat Heavy Electricals Ltd.,</t>
  </si>
  <si>
    <t>Bhartiya International Ltd.</t>
  </si>
  <si>
    <t>Biocon Ltd.</t>
  </si>
  <si>
    <t>Biofil Chemicals &amp; Pharmaceuticals</t>
  </si>
  <si>
    <t>Birla Corporation Ltd.</t>
  </si>
  <si>
    <t>Aditya Birla Money Ltd</t>
  </si>
  <si>
    <t>Birla Tyres Limited</t>
  </si>
  <si>
    <t>BIRLATYRE</t>
  </si>
  <si>
    <t>BKM INDUSTRIES LIMITED</t>
  </si>
  <si>
    <t>B L Kashyap and Sons Ltd</t>
  </si>
  <si>
    <t>BLS International Services Ltd</t>
  </si>
  <si>
    <t>Blue Chip India Ltd</t>
  </si>
  <si>
    <t>Blue Coast Hotels Ltd</t>
  </si>
  <si>
    <t>BLUECOAST</t>
  </si>
  <si>
    <t>Blue Dart Express Ltd.</t>
  </si>
  <si>
    <t>Blue Star Ltd</t>
  </si>
  <si>
    <t>Bodal Chemicals Ltd</t>
  </si>
  <si>
    <t>Bohra Industries Ltd.</t>
  </si>
  <si>
    <t>Bombay Dyeing &amp; Mfg. Co. Ltd.,</t>
  </si>
  <si>
    <t>Bosch Ltd</t>
  </si>
  <si>
    <t>Bharat Petroleum Corpn. Ltd.,</t>
  </si>
  <si>
    <t>BPL Ltd.,</t>
  </si>
  <si>
    <t>Britannia Industries Ltd.,</t>
  </si>
  <si>
    <t>BROOKS LABORATORIES LIMITED</t>
  </si>
  <si>
    <t>BSE Ltd.</t>
  </si>
  <si>
    <t>Bombay Super Hybrid Seeds Ltd.</t>
  </si>
  <si>
    <t>BSL Ltd.,</t>
  </si>
  <si>
    <t>BODHI TREE MULTIMEDIA LIMITED</t>
  </si>
  <si>
    <t>BARAK VALLEY CEMENTS LIMITED</t>
  </si>
  <si>
    <t>California Software Co. Ltd.</t>
  </si>
  <si>
    <t>Camlin Fine Sciences Ltd</t>
  </si>
  <si>
    <t>Can Fin Homes Ltd.,</t>
  </si>
  <si>
    <t>CANTABIL RETAIL INDIA LIMITED</t>
  </si>
  <si>
    <t>Caplin Point Laboratories Ltd.</t>
  </si>
  <si>
    <t>Capital Trust Ltd.</t>
  </si>
  <si>
    <t>Carborundum Universal Ltd.,</t>
  </si>
  <si>
    <t>CarTrade Tech Limited</t>
  </si>
  <si>
    <t>Castrol India Ltd</t>
  </si>
  <si>
    <t>Country Club Hospitality &amp; Holidays Ltd</t>
  </si>
  <si>
    <t>CCL Products (India) Ltd.</t>
  </si>
  <si>
    <t>Central Depository Services (India) Ltd.</t>
  </si>
  <si>
    <t>Ceat Ltd.,</t>
  </si>
  <si>
    <t>Celebrity Fashions Ltd.</t>
  </si>
  <si>
    <t>Century Enka Ltd.,</t>
  </si>
  <si>
    <t>Century Extrusions Ltd.,</t>
  </si>
  <si>
    <t>Centum Electronics Ltd</t>
  </si>
  <si>
    <t>Century Plyboards (India) Ltd.</t>
  </si>
  <si>
    <t>Century Textiles &amp; Industries Ltd.,</t>
  </si>
  <si>
    <t>Cera Sanitaryware Ltd.</t>
  </si>
  <si>
    <t>Cerebra Integrated Technologies Ltd.</t>
  </si>
  <si>
    <t>CESC Limited,</t>
  </si>
  <si>
    <t>Chambal Fertilisers &amp; Chemicals Ltd</t>
  </si>
  <si>
    <t>Chembond Chemicals Ltd.</t>
  </si>
  <si>
    <t>Chemfab Alkalis Ltd</t>
  </si>
  <si>
    <t>Chennai Petroleum Corporation Ltd.</t>
  </si>
  <si>
    <t>Cheviot Co.Ltd.</t>
  </si>
  <si>
    <t>Choice International Ltd</t>
  </si>
  <si>
    <t>Cholamandalam Investment and Finance Company Ltd</t>
  </si>
  <si>
    <t>CHOLAMANDALAM FINANCIAL HOLDINGS LIMITED</t>
  </si>
  <si>
    <t>Cigniti Technologies Ltd</t>
  </si>
  <si>
    <t>Cipla Ltd.,</t>
  </si>
  <si>
    <t>Chaman Lal Setia Exports Ltd.</t>
  </si>
  <si>
    <t>CMI Limited</t>
  </si>
  <si>
    <t>CMICABLES</t>
  </si>
  <si>
    <t>COFORGE LIMITED</t>
  </si>
  <si>
    <t>Colgate-Palmolive (India) Ltd.,</t>
  </si>
  <si>
    <t>Compuage Infocom Ltd</t>
  </si>
  <si>
    <t>Compucom Software Lt.</t>
  </si>
  <si>
    <t>Container Corporation Of India Ltd.</t>
  </si>
  <si>
    <t>Consolidated Finvest &amp; Holdings Ltd.</t>
  </si>
  <si>
    <t>Control Print (India) Ltd.</t>
  </si>
  <si>
    <t>Coral India Finance And Housing Ltd</t>
  </si>
  <si>
    <t>Cosmo First Limited</t>
  </si>
  <si>
    <t>Country Condo's Ltd</t>
  </si>
  <si>
    <t>Creative Newtech Ltd.</t>
  </si>
  <si>
    <t>Creative Eye Ltd.</t>
  </si>
  <si>
    <t>CreditAccess Grameen Ltd.</t>
  </si>
  <si>
    <t>CREST VENTURES LIMITED</t>
  </si>
  <si>
    <t>CRISIL Ltd.</t>
  </si>
  <si>
    <t>Crown Lifters Ltd.</t>
  </si>
  <si>
    <t>Cambridge Technology Enterprises Ltd.</t>
  </si>
  <si>
    <t>City Union Bank Ltd</t>
  </si>
  <si>
    <t>Cubex Tubings Ltd</t>
  </si>
  <si>
    <t>Cummins India Ltd.,</t>
  </si>
  <si>
    <t>Cyber Media (India) Ltd.</t>
  </si>
  <si>
    <t>Cybertech Systems and Software Ltd.</t>
  </si>
  <si>
    <t>DAAWAT</t>
  </si>
  <si>
    <t>Dabur India Ltd.</t>
  </si>
  <si>
    <t>DALMIA BHARAT LIMITED</t>
  </si>
  <si>
    <t>Dalmia Bharat Sugar and Industries Ltd</t>
  </si>
  <si>
    <t>Dangee Dums Ltd.</t>
  </si>
  <si>
    <t>D B REALTY LIMITED</t>
  </si>
  <si>
    <t>DB(INTERNATIONAL)Stock Brokers Ltd</t>
  </si>
  <si>
    <t>Dc Infotech and Communication Limited</t>
  </si>
  <si>
    <t>DCM Ltd.,</t>
  </si>
  <si>
    <t>DCM Financial Services Ltd.</t>
  </si>
  <si>
    <t>DCM NOUVELLE LIMITED</t>
  </si>
  <si>
    <t>DCM Shriram Industries Ltd.,</t>
  </si>
  <si>
    <t>DCW Ltd.,</t>
  </si>
  <si>
    <t>Deccan Cements Ltd.,</t>
  </si>
  <si>
    <t>Deepak Fertilizers &amp;Petrochemicals</t>
  </si>
  <si>
    <t>DELTA MANUFACTURING LIMITED</t>
  </si>
  <si>
    <t>DEN Networks Limited</t>
  </si>
  <si>
    <t>DEV INFORMATION TECHNOLOGY LIMITED</t>
  </si>
  <si>
    <t>Dhampur Sugar Mills Ltd.,</t>
  </si>
  <si>
    <t>Dhanuka Agritech Ltd.</t>
  </si>
  <si>
    <t>Dharani Sugars &amp; Chemicals Ltd</t>
  </si>
  <si>
    <t>DHARSUGAR</t>
  </si>
  <si>
    <t>Dhunseri Investments Ltd</t>
  </si>
  <si>
    <t>DIC India Ltd</t>
  </si>
  <si>
    <t>DIGISPICE TECHNOLOGIES LIMITED</t>
  </si>
  <si>
    <t>DIGJAM LIMITED</t>
  </si>
  <si>
    <t>Debock Industries Ltd.</t>
  </si>
  <si>
    <t>DIVGI TORQTRANSFER SYSTEMS LIMITED</t>
  </si>
  <si>
    <t>Divi's Laboratories Ltd.</t>
  </si>
  <si>
    <t>DLF LIMITED</t>
  </si>
  <si>
    <t>D-Link (India) Ltd</t>
  </si>
  <si>
    <t>Donear Industries Ltd</t>
  </si>
  <si>
    <t>D. P. Abhushan Ltd.</t>
  </si>
  <si>
    <t>DPSC Ltd.</t>
  </si>
  <si>
    <t>D P Wires Ltd.</t>
  </si>
  <si>
    <t>DREAMFOLKS SERVICES LIMITED</t>
  </si>
  <si>
    <t>Dredging Corporation of India Ltd.,</t>
  </si>
  <si>
    <t>Dr. Reddy's Laboratories Ltd.,</t>
  </si>
  <si>
    <t>Dynacons Systems &amp; Solutions Ltd.</t>
  </si>
  <si>
    <t>Dhunseri Tea &amp; Industries Ltd</t>
  </si>
  <si>
    <t>Dwarikesh Sugar Industries Ltd.</t>
  </si>
  <si>
    <t>Dynamatic Technologies Ltd.,</t>
  </si>
  <si>
    <t>Dynemic Products Ltd.</t>
  </si>
  <si>
    <t>E2E Networks Ltd.</t>
  </si>
  <si>
    <t>Edelweiss Financial Services Ltd.</t>
  </si>
  <si>
    <t>Educomp Solutions Ltd</t>
  </si>
  <si>
    <t>Eicher Motors Ltd.</t>
  </si>
  <si>
    <t>E.I.D. Parry (India) Ltd.,</t>
  </si>
  <si>
    <t>Euro India Fresh Foods Ltd.</t>
  </si>
  <si>
    <t>EIH Associated Hotels Ltd.,</t>
  </si>
  <si>
    <t>EIH Ltd</t>
  </si>
  <si>
    <t>EIMCO Elecon India Ltd.,</t>
  </si>
  <si>
    <t>Everest Kanto Cylinders Ltd.</t>
  </si>
  <si>
    <t>Eldeco Housing &amp; Ind. Ltd.,</t>
  </si>
  <si>
    <t>Elecon Engineering Co.Ltd.,</t>
  </si>
  <si>
    <t>Electrosteel Castings Ltd.,</t>
  </si>
  <si>
    <t>Electrotherm (India) Ltd</t>
  </si>
  <si>
    <t>Elgi Equipments Ltd.,</t>
  </si>
  <si>
    <t>Elgi Rubber Company Ltd.</t>
  </si>
  <si>
    <t>Emami Ltd</t>
  </si>
  <si>
    <t>Emami Paper Mills Ltd.</t>
  </si>
  <si>
    <t>EMAMI REALTY LIMITED</t>
  </si>
  <si>
    <t>Emkay Global Financial Services Ltd</t>
  </si>
  <si>
    <t>Energy Development Company Ltd.</t>
  </si>
  <si>
    <t>Engineers India Ltd.</t>
  </si>
  <si>
    <t>Entertainment Network (India) Ltd</t>
  </si>
  <si>
    <t>EPL LIMITED</t>
  </si>
  <si>
    <t>EQUIPPP SOCIAL IMPACT TECHNOLOGIES LIMITED</t>
  </si>
  <si>
    <t>Esab India Ltd.</t>
  </si>
  <si>
    <t>Essar Shipping Ltd</t>
  </si>
  <si>
    <t>Ester Industries Ltd.,</t>
  </si>
  <si>
    <t>ETHOS LIMITED</t>
  </si>
  <si>
    <t>Eurotex Industries &amp; Exports Ltd.</t>
  </si>
  <si>
    <t>Eveready Industries India Ltd.</t>
  </si>
  <si>
    <t>Everest Industries Ltd.</t>
  </si>
  <si>
    <t>Excell Industries Ltd.,</t>
  </si>
  <si>
    <t>Exide Industries Ltd.,</t>
  </si>
  <si>
    <t>EXPLEO SOLUTIONS LIMITED</t>
  </si>
  <si>
    <t>Faze Three Ltd.</t>
  </si>
  <si>
    <t>FCS Software Solutions Ltd.</t>
  </si>
  <si>
    <t>FDC Ltd.</t>
  </si>
  <si>
    <t>Federal Bank Ltd.</t>
  </si>
  <si>
    <t>Future Enterprises Limited</t>
  </si>
  <si>
    <t>FEL</t>
  </si>
  <si>
    <t>FIBERWEB (INDIA) LTD.</t>
  </si>
  <si>
    <t>FIEM INDUSTRIES LIMITED</t>
  </si>
  <si>
    <t>Filatex India Ltd.</t>
  </si>
  <si>
    <t>Finolex Cables Ltd.,</t>
  </si>
  <si>
    <t>Finolex Industries Ltd.</t>
  </si>
  <si>
    <t>Five-Star Business Finance Ltd.</t>
  </si>
  <si>
    <t>FLEXITUFF VENTURES INTERNATIONAL LIMITED</t>
  </si>
  <si>
    <t>Federal-Mogul Goetze (India) Ltd</t>
  </si>
  <si>
    <t>Focus Lighting and Fixtures Ltd.</t>
  </si>
  <si>
    <t>Foods &amp; Inns Ltd.</t>
  </si>
  <si>
    <t>Fortis Healthcare Ltd</t>
  </si>
  <si>
    <t>Foseco India Ltd</t>
  </si>
  <si>
    <t>Future Retail Ltd.</t>
  </si>
  <si>
    <t>Firstsource Solutions Ltd.</t>
  </si>
  <si>
    <t>Gabriel India Ltd.</t>
  </si>
  <si>
    <t>Gujarat Ambuja Exports Ltd.</t>
  </si>
  <si>
    <t>Gail (India) Ltd.</t>
  </si>
  <si>
    <t>GYSCOAL ALLOYS LIMITED</t>
  </si>
  <si>
    <t>GAL</t>
  </si>
  <si>
    <t>GALLANTT ISPAT LIMITED</t>
  </si>
  <si>
    <t>Gandhi Special Tubes Ltd.,</t>
  </si>
  <si>
    <t>Ganesh Benzoplast Ltd.,</t>
  </si>
  <si>
    <t>Ganesh Housing Corporation Ltd.</t>
  </si>
  <si>
    <t>Ganga Forging Ltd.</t>
  </si>
  <si>
    <t>Ganges Securities Ltd.</t>
  </si>
  <si>
    <t>Gangotri Textiles Ltd.</t>
  </si>
  <si>
    <t>GANGOTRI</t>
  </si>
  <si>
    <t>GARWARE TECHNICAL FIBRES LIMITED</t>
  </si>
  <si>
    <t>Gati Limited</t>
  </si>
  <si>
    <t>GATI</t>
  </si>
  <si>
    <t>GAYATRI HIGHWAYS LTD</t>
  </si>
  <si>
    <t>GAYAHWS</t>
  </si>
  <si>
    <t>Geekay Wires Ltd.</t>
  </si>
  <si>
    <t>Genesys International Corporation Ltd.</t>
  </si>
  <si>
    <t>GENUS PAPER &amp; BOARDS LIMITED</t>
  </si>
  <si>
    <t>Genus Power Infrastructures Ltd</t>
  </si>
  <si>
    <t>Great Eastern Shipping Co. Ltd.,</t>
  </si>
  <si>
    <t>GFL LIMITED</t>
  </si>
  <si>
    <t>Grand Foundry Ltd.,</t>
  </si>
  <si>
    <t>GFSTEELS</t>
  </si>
  <si>
    <t>GHCL Ltd.</t>
  </si>
  <si>
    <t>GIC Housing Finance Ltd.</t>
  </si>
  <si>
    <t>Gillanders Arbuthnot &amp; Co. Ltd.</t>
  </si>
  <si>
    <t>Gillette India Ltd.</t>
  </si>
  <si>
    <t>Ginni Filaments Ltd.</t>
  </si>
  <si>
    <t>Gujarat Industries Power Co. Ltd</t>
  </si>
  <si>
    <t>GI ENGINEERING SOLUTIONS LIMITED</t>
  </si>
  <si>
    <t>GISOLUTION</t>
  </si>
  <si>
    <t>GKW Ltd.</t>
  </si>
  <si>
    <t>GlaxoSmithkline Pharmaceuticals Ltd.</t>
  </si>
  <si>
    <t>Glenmark Pharmaceuticals ltd</t>
  </si>
  <si>
    <t>Gujarat Lease Financing Limited,</t>
  </si>
  <si>
    <t>Global Education Ltd.</t>
  </si>
  <si>
    <t>Global Vectra Helicorp Ltd.</t>
  </si>
  <si>
    <t>Globe Textiles (India) Ltd.</t>
  </si>
  <si>
    <t>G.M. Breweries Ltd.</t>
  </si>
  <si>
    <t>Gujarat Mineral Development Corpora</t>
  </si>
  <si>
    <t>GMM Pfaudler Ltd.</t>
  </si>
  <si>
    <t>GMR AIRPORTS INFRASTRUCTURE LIMITED</t>
  </si>
  <si>
    <t>G N A Axles Limited</t>
  </si>
  <si>
    <t>Gujarat Narmada Valley Fert.Co.Ltd</t>
  </si>
  <si>
    <t>Goa Carbon Ltd.,</t>
  </si>
  <si>
    <t>Godfrey Phillips India Ltd.,</t>
  </si>
  <si>
    <t>Godha Cabcon &amp; Insulation Ltd.</t>
  </si>
  <si>
    <t>Godrej Consumer Products Ltd.</t>
  </si>
  <si>
    <t>Godrej Industries Ltd.</t>
  </si>
  <si>
    <t>Goenka Diamond &amp; Jewels Ltd</t>
  </si>
  <si>
    <t>GOENKA</t>
  </si>
  <si>
    <t>Gokaldas Exports Ltd</t>
  </si>
  <si>
    <t>Gokul Agro Resources Ltd</t>
  </si>
  <si>
    <t>Golden Tobacco Ltd.</t>
  </si>
  <si>
    <t>Goldiam International Ltd.</t>
  </si>
  <si>
    <t>Goldstone Technologies Ltd.</t>
  </si>
  <si>
    <t>GOYAL ALUMINIUMS LIMITED</t>
  </si>
  <si>
    <t>GODAWARI POWER AND ISPAT LTD.</t>
  </si>
  <si>
    <t>GPT Infraprojects limited</t>
  </si>
  <si>
    <t>Granules India Ltd.</t>
  </si>
  <si>
    <t>Graphite India Ltd.</t>
  </si>
  <si>
    <t>Grasim Industries Ltd.,</t>
  </si>
  <si>
    <t>GRAVITA INDIA LIMITED</t>
  </si>
  <si>
    <t>Greaves Cotton Ltd.</t>
  </si>
  <si>
    <t>Greenlam Industries Ltd</t>
  </si>
  <si>
    <t>Greenply Industries Ltd</t>
  </si>
  <si>
    <t>Grindwell Norton Ltd.</t>
  </si>
  <si>
    <t>GRM Overseas Ltd.</t>
  </si>
  <si>
    <t>The Grob Tea Company Ltd.</t>
  </si>
  <si>
    <t>GARWARE HI-TECH FILMS LIMITED</t>
  </si>
  <si>
    <t>Gujarat State Fertilizers &amp; Chem.Ltd</t>
  </si>
  <si>
    <t>Gujarat State Petronet Ltd.</t>
  </si>
  <si>
    <t>GSS Infotech Ltd</t>
  </si>
  <si>
    <t>GTL Ltd</t>
  </si>
  <si>
    <t>Gufic BioSciences Ltd.</t>
  </si>
  <si>
    <t>Gujarat Alkalis &amp; Chemicals Ltd.,</t>
  </si>
  <si>
    <t>Gujarat Apollo Industries Ltd.</t>
  </si>
  <si>
    <t>Gujarat Raffia Ind. Ltd.,</t>
  </si>
  <si>
    <t>Gulshan Polyols Ltd.</t>
  </si>
  <si>
    <t>GVK Power &amp; Infrastructure Ltd</t>
  </si>
  <si>
    <t>HARDWYN INDIA LIMITED</t>
  </si>
  <si>
    <t>Harrisons Malayalam Ltd.,</t>
  </si>
  <si>
    <t>Hatsun Agro Products Ltd.</t>
  </si>
  <si>
    <t>SRI HAVISHA HOSPITALITY AND INFRASTRUCTURE LIMITED</t>
  </si>
  <si>
    <t>HBL Power Systems Ltd.</t>
  </si>
  <si>
    <t>HB Stockholdings Ltd.</t>
  </si>
  <si>
    <t>Hindustan Construction Co. Ltd.,</t>
  </si>
  <si>
    <t>HealthCare Global Enterprises Limited</t>
  </si>
  <si>
    <t>HCL Infosystems Ltd</t>
  </si>
  <si>
    <t>HCL Technologies Ltd</t>
  </si>
  <si>
    <t>Housing Development Finance Corp.Lt</t>
  </si>
  <si>
    <t>HDFC</t>
  </si>
  <si>
    <t>HDFC Bank Ltd.</t>
  </si>
  <si>
    <t>HDFC LIFE INSURANCE COMPANY LIMITED</t>
  </si>
  <si>
    <t>Housing Development &amp; Infrastructure Ltd</t>
  </si>
  <si>
    <t>HDIL</t>
  </si>
  <si>
    <t>HEC Infra Projects Ltd.</t>
  </si>
  <si>
    <t>HEG Ltd.</t>
  </si>
  <si>
    <t>Hercules Hoists Ltd.,</t>
  </si>
  <si>
    <t>Hester Biosciences Ltd</t>
  </si>
  <si>
    <t>HFCL LIMITED</t>
  </si>
  <si>
    <t>Hikal Ltd.</t>
  </si>
  <si>
    <t>HILTON METAL FORGING LIMITED</t>
  </si>
  <si>
    <t>Himatsingka Seide Ltd.,</t>
  </si>
  <si>
    <t>Hindalco Industries Ltd.</t>
  </si>
  <si>
    <t>Hindustan Composites Ltd</t>
  </si>
  <si>
    <t>Hindcon Chemicals Ltd.</t>
  </si>
  <si>
    <t>Hindustan Copper Ltd.</t>
  </si>
  <si>
    <t>Hindustan Motors Ltd.,</t>
  </si>
  <si>
    <t>Hindusthan National Glass &amp; Industr</t>
  </si>
  <si>
    <t>HINDNATGLS</t>
  </si>
  <si>
    <t>Hindustan Oil Exploration Co. Ltd.</t>
  </si>
  <si>
    <t>Hindustan Petroleum Corporation Ltd</t>
  </si>
  <si>
    <t>Hindustan Unilever Ltd.,</t>
  </si>
  <si>
    <t>Hindustan Zinc Ltd.,</t>
  </si>
  <si>
    <t>Hind Rectifiers Ltd.,</t>
  </si>
  <si>
    <t>Hisar Metal Industries Ltd.</t>
  </si>
  <si>
    <t>HI-TECH PIPES LIMITED</t>
  </si>
  <si>
    <t>HLE GLASCOAT LIMITED</t>
  </si>
  <si>
    <t>Hindustan Foods Ltd.,</t>
  </si>
  <si>
    <t>Honeywell Automation India Ltd.</t>
  </si>
  <si>
    <t>HONDA INDIA POWER PRODUCTS LIMITED</t>
  </si>
  <si>
    <t>HINDPRAKASH INDUSTRIES LIMITED</t>
  </si>
  <si>
    <t>Himadri Speciality Chemical Ltd.</t>
  </si>
  <si>
    <t>HT Media Ltd</t>
  </si>
  <si>
    <t>Housing &amp;Urban Development Corporation Ltd.</t>
  </si>
  <si>
    <t>HUHTAMAKI INDIA LIMITED</t>
  </si>
  <si>
    <t>HYBRID FINANCIAL SERVICES LIMITED</t>
  </si>
  <si>
    <t>INDIABULLS HOUSING FINANCE LIMITED</t>
  </si>
  <si>
    <t>ICDS Ltd.,</t>
  </si>
  <si>
    <t>Ice Make Refrigeration Ltd.</t>
  </si>
  <si>
    <t>ICICI Bank Ltd.</t>
  </si>
  <si>
    <t>Indo Count Industries Ltd</t>
  </si>
  <si>
    <t>IDBI Bank Ltd</t>
  </si>
  <si>
    <t>VODAFONE IDEA LIMITED</t>
  </si>
  <si>
    <t>IDFC LIMITED</t>
  </si>
  <si>
    <t>IDFC FIRST BANK LIMITED</t>
  </si>
  <si>
    <t>IFB Agro Industries Ltd</t>
  </si>
  <si>
    <t>IFCI Ltd.</t>
  </si>
  <si>
    <t>Igarashi Motors India Ltd.</t>
  </si>
  <si>
    <t>Indraprashtha Gas Ltd.</t>
  </si>
  <si>
    <t>IG Petrochemicals Ltd</t>
  </si>
  <si>
    <t>IIFL FINANCE LIMITED</t>
  </si>
  <si>
    <t>Industrial Investment Trust Ltd.,</t>
  </si>
  <si>
    <t>IL&amp;FS Engineering and Construction Company Ltd</t>
  </si>
  <si>
    <t>IMAGICAAWORLD ENTERTAINMENT LIMITED</t>
  </si>
  <si>
    <t>INDIA MOTOR PARTS &amp; ACCESSORIES LTD</t>
  </si>
  <si>
    <t>Impex Ferro tech Ltd.</t>
  </si>
  <si>
    <t>Indbank Merchant Banking Services L</t>
  </si>
  <si>
    <t>Indian Hotels Co. Ltd</t>
  </si>
  <si>
    <t>India Cements Ltd.,</t>
  </si>
  <si>
    <t>India Glycols Ltd</t>
  </si>
  <si>
    <t>IndiaMART InterMESH Limited</t>
  </si>
  <si>
    <t>Indian Card Clothing Ltd</t>
  </si>
  <si>
    <t>Indian Hume Pipe Co. Ltd.,</t>
  </si>
  <si>
    <t>IMP Power Ltd.</t>
  </si>
  <si>
    <t>INDLMETER</t>
  </si>
  <si>
    <t>India Nippon Electricals Ltd</t>
  </si>
  <si>
    <t>Indo Amines Ltd.</t>
  </si>
  <si>
    <t>Indo Borax &amp; Chemicals Ltd.,</t>
  </si>
  <si>
    <t>Indoco Remedies Ltd.</t>
  </si>
  <si>
    <t>Indo Rama Synthetics (India) Ltd.,</t>
  </si>
  <si>
    <t>Indowind Energy Ltd.</t>
  </si>
  <si>
    <t>Indraprastha Medical Corporation Lt</t>
  </si>
  <si>
    <t>Ind-Swift Laboratories Ltd.</t>
  </si>
  <si>
    <t>Ind-Swift Ltd.</t>
  </si>
  <si>
    <t>IndusInd Bank Ltd.</t>
  </si>
  <si>
    <t>INDUS TOWERS LIMITED</t>
  </si>
  <si>
    <t>INFIBEAM AVENUES LIMITED</t>
  </si>
  <si>
    <t>Infosys Ltd</t>
  </si>
  <si>
    <t>Ingersoll-Rand (India) Ltd.</t>
  </si>
  <si>
    <t>INOX GREEN ENERGY SERVICES LIMITED</t>
  </si>
  <si>
    <t>Insecticides India Ltd.</t>
  </si>
  <si>
    <t>INTELLECT DESIGN ARENA LIMITED</t>
  </si>
  <si>
    <t>Intense Technologies</t>
  </si>
  <si>
    <t>International Conveyors Ltd.,</t>
  </si>
  <si>
    <t>INVENTURE GROWTH &amp; SECURITIES LIMITED</t>
  </si>
  <si>
    <t>Indian Oil Corporation Ltd.</t>
  </si>
  <si>
    <t>IOL Chemicals &amp; Pharmaceuticals Ltd</t>
  </si>
  <si>
    <t>Ion Exchange (India) Ltd</t>
  </si>
  <si>
    <t>Ipca Laboratories Ltd.</t>
  </si>
  <si>
    <t>IRCON International Ltd</t>
  </si>
  <si>
    <t>Indian Railway Catering &amp; Tourism Corporation Ltd</t>
  </si>
  <si>
    <t>Indian Railway Finance Corporation</t>
  </si>
  <si>
    <t>IRIS Business Services Limited</t>
  </si>
  <si>
    <t>Iris Clothings Ltd.</t>
  </si>
  <si>
    <t>ISGEC Heavy Engineering Limited</t>
  </si>
  <si>
    <t>ITC Ltd</t>
  </si>
  <si>
    <t>India Tourism Development Corporati</t>
  </si>
  <si>
    <t>ITD Cementation India Ltd</t>
  </si>
  <si>
    <t>ITI Limited (Indian Teleph.Ind.Ltd)</t>
  </si>
  <si>
    <t>IL &amp; FS Investment Managers Ltd.</t>
  </si>
  <si>
    <t>IVP Ltd.,</t>
  </si>
  <si>
    <t>Jammu and Kashmir Bank Ltd.</t>
  </si>
  <si>
    <t>Jagsonpal Pharmaceuticals Limited,</t>
  </si>
  <si>
    <t>Nandani Creation Ltd.</t>
  </si>
  <si>
    <t>Jamna Auto Industries Ltd.,</t>
  </si>
  <si>
    <t>Jash Engineering Ltd.</t>
  </si>
  <si>
    <t>Jayant Agro-Organics Limited.</t>
  </si>
  <si>
    <t>Jay Bharat Maruti Ltd.,</t>
  </si>
  <si>
    <t>Jayaswal Neco Industries Ltd</t>
  </si>
  <si>
    <t>Jay Shree Tea &amp; Industries Ltd.,</t>
  </si>
  <si>
    <t>J.B. Chemicals &amp; Pharmaceuticals Lt</t>
  </si>
  <si>
    <t>JBF Industries Ltd.,</t>
  </si>
  <si>
    <t>JBFIND</t>
  </si>
  <si>
    <t>Johnson Controls-Hitachi Air Conditioning India Ltd.</t>
  </si>
  <si>
    <t>Jet Airways (India) Ltd</t>
  </si>
  <si>
    <t>JHS Svendgaard Laboratories Ltd.</t>
  </si>
  <si>
    <t>Jindal Poly Films Ltd.</t>
  </si>
  <si>
    <t>Jindal Saw Ltd.</t>
  </si>
  <si>
    <t>Jindal Steel &amp; Power Ltd</t>
  </si>
  <si>
    <t>Jindal Drilling &amp; Industries Ltd.,</t>
  </si>
  <si>
    <t>Jindal Worldwide Ltd.</t>
  </si>
  <si>
    <t>Jain Irrigation Systems Ltd.,</t>
  </si>
  <si>
    <t>JITF INFRALOGISTICS LIMITED</t>
  </si>
  <si>
    <t>J.K. CEMENT LTD</t>
  </si>
  <si>
    <t>J. Kumar Infraprojects Limited</t>
  </si>
  <si>
    <t>JK Paper Ltd.</t>
  </si>
  <si>
    <t>JK Tyre &amp; Industries Ltd.</t>
  </si>
  <si>
    <t>Jullundur Motor Agency (Delhi) Ltd.</t>
  </si>
  <si>
    <t>Jocil Ltd.</t>
  </si>
  <si>
    <t>JINDAL POLY INVESTMENT AND FINANCE COMPANY LIMITED</t>
  </si>
  <si>
    <t>JSW ISPAT SPECIAL PRODUCTS LIMITED</t>
  </si>
  <si>
    <t>JSWISPL</t>
  </si>
  <si>
    <t>JTEKT India Limited</t>
  </si>
  <si>
    <t>JUBILANT PHARMOVA LIMITED</t>
  </si>
  <si>
    <t>JUPITER WAGONS LIMITED</t>
  </si>
  <si>
    <t>JYOTHY LABS LIMITED</t>
  </si>
  <si>
    <t>Jyoti Structures Ltd.,</t>
  </si>
  <si>
    <t>Kabra Extrusion Technik Ltd</t>
  </si>
  <si>
    <t>Kajaria Ceramics Ltd</t>
  </si>
  <si>
    <t>Kakatiya Cement Sugar &amp; Industries Ltd.</t>
  </si>
  <si>
    <t>Kalyani Commercials Ltd.</t>
  </si>
  <si>
    <t>Kalyani Forge Ltd.</t>
  </si>
  <si>
    <t>Kamat Hotels (India) ltd.</t>
  </si>
  <si>
    <t>Kanani Industries Ltd</t>
  </si>
  <si>
    <t>Kanoria Chemicals &amp; Industries Ltd.</t>
  </si>
  <si>
    <t>Kansai Nerolac Paints</t>
  </si>
  <si>
    <t>Kapston Services Ltd.</t>
  </si>
  <si>
    <t>Karur Vysya Bank Ltd.</t>
  </si>
  <si>
    <t>Kaushalya Infrastructure Development Corporation Ltd</t>
  </si>
  <si>
    <t>KAVERI TELECOM PRODUCTS LTD.</t>
  </si>
  <si>
    <t>KAYNES TECHNOLOGY INDIA LIMITED</t>
  </si>
  <si>
    <t>KBC GLOBAL LIMITED</t>
  </si>
  <si>
    <t>K.C.P. LTD</t>
  </si>
  <si>
    <t>K C P SUGAR AND INDUSTRIES CORPORATION LTD.</t>
  </si>
  <si>
    <t>KDDL Ltd</t>
  </si>
  <si>
    <t>KEC International Ltd.</t>
  </si>
  <si>
    <t>KIRLOSKAR ELECTRIC COMPANY LTD.</t>
  </si>
  <si>
    <t>DSJ KEEP LEARNING LIMITED</t>
  </si>
  <si>
    <t>Keerti Knowledge and Skills Ltd.</t>
  </si>
  <si>
    <t>KEERTI</t>
  </si>
  <si>
    <t>KEI Industries Ltd.</t>
  </si>
  <si>
    <t>Kellton Tech Solutions Ltd.</t>
  </si>
  <si>
    <t>Kernex Microsystems (India) Ltd.</t>
  </si>
  <si>
    <t>Kesoram Industries Ltd</t>
  </si>
  <si>
    <t>KEYNOTE FINANCIAL SERVICES LIMITED</t>
  </si>
  <si>
    <t>KFin Technologies Limited</t>
  </si>
  <si>
    <t>Khaitan Chemicals &amp; Fertilizers Ltd</t>
  </si>
  <si>
    <t>Khaitan (India) Ltd.</t>
  </si>
  <si>
    <t>Khandwala Securities Ltd.</t>
  </si>
  <si>
    <t>Kilitch Drugs (I) Ltd.</t>
  </si>
  <si>
    <t>Kingfa Science &amp; Technology (India) Ltd</t>
  </si>
  <si>
    <t>KIRI INDUSTRIES LIMITED</t>
  </si>
  <si>
    <t>Kirloskar Brothers Ltd.,</t>
  </si>
  <si>
    <t>Kirloskar Industries Ltd</t>
  </si>
  <si>
    <t>Kirloskar Pneumatic Co.Ltd.</t>
  </si>
  <si>
    <t>Kitex Garmenets Ltd.</t>
  </si>
  <si>
    <t>Kewal Kiran Clothing Ltd.</t>
  </si>
  <si>
    <t>K. M. Sugar Mills Ltd.</t>
  </si>
  <si>
    <t>Kohinoor Foods Ltd</t>
  </si>
  <si>
    <t>Kokuyo Camlin Ltd</t>
  </si>
  <si>
    <t>Kolte-Patil Developers Ltd</t>
  </si>
  <si>
    <t>Kopran Ltd.,</t>
  </si>
  <si>
    <t>Kotak Mahindra Bank Ltd.</t>
  </si>
  <si>
    <t>Kothari Sugars &amp; Chemicals Ltd.</t>
  </si>
  <si>
    <t>Kothari Petrochem Ltd.</t>
  </si>
  <si>
    <t>Kothari Products Ltd.</t>
  </si>
  <si>
    <t>KALPATARU PROJECTS INTERNATIONAL LIMITED</t>
  </si>
  <si>
    <t>KPIT Technologies Ltd</t>
  </si>
  <si>
    <t>K.P.R. Mill Ltd.</t>
  </si>
  <si>
    <t>KRBL Ltd.</t>
  </si>
  <si>
    <t>Krebs Biochemicals &amp; Industries Ltd.</t>
  </si>
  <si>
    <t>Krishana Phoschem Ltd.</t>
  </si>
  <si>
    <t>Kriti Industries (India) Ltd.</t>
  </si>
  <si>
    <t>Kritika Wires Ltd.</t>
  </si>
  <si>
    <t>Kriti Nutrients Ltd</t>
  </si>
  <si>
    <t>KSB LIMITED</t>
  </si>
  <si>
    <t>Kaveri Seed Company Ltd</t>
  </si>
  <si>
    <t>Kshitij Polyline Ltd.</t>
  </si>
  <si>
    <t>Kalyani Steels Ltd</t>
  </si>
  <si>
    <t>Karnataka Bank Ltd.</t>
  </si>
  <si>
    <t>L&amp;T FINANCE HOLDINGS LIMITED</t>
  </si>
  <si>
    <t>Lagnam Spintex Ltd.</t>
  </si>
  <si>
    <t>Lakshmi Precision Screws Ltd.,</t>
  </si>
  <si>
    <t>LORENZINI APPARELS LIMITED</t>
  </si>
  <si>
    <t>Dr. Lal Pathlabs Limited</t>
  </si>
  <si>
    <t>Lambodhara Textiles Ltd.</t>
  </si>
  <si>
    <t>LANDMARK CARS LIMITED</t>
  </si>
  <si>
    <t>La Opala RG Ltd.</t>
  </si>
  <si>
    <t>Latteys Industries Ltd.</t>
  </si>
  <si>
    <t>Laxmi cotspin ltd.</t>
  </si>
  <si>
    <t>Lakshmi Machine Works Ltd.,</t>
  </si>
  <si>
    <t>LCC Infotech Ltd.</t>
  </si>
  <si>
    <t>Lexus Granito (India) Ltd.</t>
  </si>
  <si>
    <t>Lakshmi Finance &amp; Industrial Corporation Ltd.</t>
  </si>
  <si>
    <t>L.g.Balkrishnan &amp; Bros. Ltd.</t>
  </si>
  <si>
    <t>Libas Consumer Products Ltd.</t>
  </si>
  <si>
    <t>Liberty Shoes Ltd.</t>
  </si>
  <si>
    <t>Lic Housing Finance Ltd.</t>
  </si>
  <si>
    <t>LIFE INSURANCE CORPORATION OF INDIA</t>
  </si>
  <si>
    <t>LINC LIMITED</t>
  </si>
  <si>
    <t>Lincoln Pharmaceuticals ltd.</t>
  </si>
  <si>
    <t>Lotus Eye Hospital And Institute Limited</t>
  </si>
  <si>
    <t>Loyal Textiles Mills Ltd</t>
  </si>
  <si>
    <t>Landmark Property Development Company Ltd.</t>
  </si>
  <si>
    <t>LLOYDS STEELS INDUSTRIES LIMITED</t>
  </si>
  <si>
    <t>LSIL</t>
  </si>
  <si>
    <t>Lumax Industries Ltd.,</t>
  </si>
  <si>
    <t>Lumax Auto Technologies Ltd.</t>
  </si>
  <si>
    <t>Lupin Ltd</t>
  </si>
  <si>
    <t>LUX Industries Limited</t>
  </si>
  <si>
    <t>Lyka Labs Ltd.,</t>
  </si>
  <si>
    <t>Mahindra &amp; Mahindra Ltd.</t>
  </si>
  <si>
    <t>MAAN ALUMINIUM LIMITED</t>
  </si>
  <si>
    <t>Macpower CNC Machines Ltd.</t>
  </si>
  <si>
    <t>Madhav Marbles &amp; Granites Ltd.,</t>
  </si>
  <si>
    <t>Madhucon Projects Ltd.</t>
  </si>
  <si>
    <t>Madras Fertilizers Ltd</t>
  </si>
  <si>
    <t>MAGNUM VENTURES LIMITED</t>
  </si>
  <si>
    <t>Bank of maharashtra</t>
  </si>
  <si>
    <t>Maha Rashtra Apex Corporation Ltd</t>
  </si>
  <si>
    <t>MAHINDRA EPC IRRIGATION LIMITED</t>
  </si>
  <si>
    <t>Maheshwari Logistics Ltd.</t>
  </si>
  <si>
    <t>Mahindra Lifespace Developers Ltd.</t>
  </si>
  <si>
    <t>Maharashtra Scooters Ltd.,</t>
  </si>
  <si>
    <t>Maharashtra Seamless Ltd.</t>
  </si>
  <si>
    <t>MALLCOM (INDIA) LTD.</t>
  </si>
  <si>
    <t>Manaksia Aluminium Company Ltd</t>
  </si>
  <si>
    <t>Manaksia Coated Metals &amp; Industries Ltd</t>
  </si>
  <si>
    <t>MANAKSIA LIMITED</t>
  </si>
  <si>
    <t>Manali Petrochemicals Ltd.,</t>
  </si>
  <si>
    <t>Mangalam Drugs and Organics Ltd.</t>
  </si>
  <si>
    <t>Mangalore Chemicals &amp; Fertilisers L</t>
  </si>
  <si>
    <t>Mangalam Cement Ltd.,</t>
  </si>
  <si>
    <t>Man Industries (India) Ltd</t>
  </si>
  <si>
    <t>MAN INFRACONSTRUCTION LIMITED</t>
  </si>
  <si>
    <t>Manugraph India Ltd</t>
  </si>
  <si>
    <t>Maral Overseas Ltd.</t>
  </si>
  <si>
    <t>Marathon Nextgen Realty Ltd</t>
  </si>
  <si>
    <t>Marine Electricals (India) Ltd.</t>
  </si>
  <si>
    <t>Marksans Pharma Ltd.</t>
  </si>
  <si>
    <t>Marshall Machines Ltd.</t>
  </si>
  <si>
    <t>Maruti Suzuki India Ltd.</t>
  </si>
  <si>
    <t>Mask Investments Ltd.</t>
  </si>
  <si>
    <t>Matrimony.com Limited</t>
  </si>
  <si>
    <t>Mawana Sugars Ltd</t>
  </si>
  <si>
    <t>Max Ventures and Industries Limited</t>
  </si>
  <si>
    <t>MAXVIL</t>
  </si>
  <si>
    <t>Mayur Uniquoters ltd.</t>
  </si>
  <si>
    <t>Mazda Ltd.</t>
  </si>
  <si>
    <t>Madhya Bharat Agro Products Ltd.</t>
  </si>
  <si>
    <t>McNally Bharat Engineering Company Limited</t>
  </si>
  <si>
    <t>MBECL</t>
  </si>
  <si>
    <t>MBL Infrastructure Ltd</t>
  </si>
  <si>
    <t>Madhav Copper Ltd.</t>
  </si>
  <si>
    <t>McLeod Russel India Limited</t>
  </si>
  <si>
    <t>Medicamen Biotech Ltd.</t>
  </si>
  <si>
    <t>MEDICO REMEDIES LIMITED</t>
  </si>
  <si>
    <t>Megasoft Ltd.</t>
  </si>
  <si>
    <t>Melstar Information Technologies Ltd.</t>
  </si>
  <si>
    <t>Menon Bearings Ltd</t>
  </si>
  <si>
    <t>Metalyst Forgings Limited</t>
  </si>
  <si>
    <t>METALFORGE</t>
  </si>
  <si>
    <t>Meghmani Finechem Limited</t>
  </si>
  <si>
    <t>MFL</t>
  </si>
  <si>
    <t>Mangalam Global Enterprise Ltd.</t>
  </si>
  <si>
    <t>Mahalaxmi Rubtech Ltd.</t>
  </si>
  <si>
    <t>Mindteck (India) Ltd</t>
  </si>
  <si>
    <t>Mirc Electronics Ltd</t>
  </si>
  <si>
    <t>Mitcon Consultancy &amp; Engineering Services Ltd.</t>
  </si>
  <si>
    <t>Mittal Life Style Ltd.</t>
  </si>
  <si>
    <t>M.K.Proteins Limited</t>
  </si>
  <si>
    <t>M.M.Forgings Ltd.</t>
  </si>
  <si>
    <t>MMP Industries Ltd.</t>
  </si>
  <si>
    <t>MMTC Ltd.,</t>
  </si>
  <si>
    <t>Modi Rubber Ltd.,</t>
  </si>
  <si>
    <t>Moksh Ornaments Ltd.</t>
  </si>
  <si>
    <t>Mold-Tek Technologies Ltd</t>
  </si>
  <si>
    <t>Morepen Laboratories Ltd.</t>
  </si>
  <si>
    <t>Motor &amp; General Finance (M.G.F.) Lt</t>
  </si>
  <si>
    <t>Mphasis Limited</t>
  </si>
  <si>
    <t>M.R.F. Ltd.,</t>
  </si>
  <si>
    <t>Mangalore Refinery &amp; Petrochemicals</t>
  </si>
  <si>
    <t>MSP STEEL &amp; POWER LTD.</t>
  </si>
  <si>
    <t>MSTC Limited</t>
  </si>
  <si>
    <t>MTAR Technologies Limited</t>
  </si>
  <si>
    <t>MT EDUCARE LIMITED</t>
  </si>
  <si>
    <t>Mahanagar Telephone Nigam Ltd.</t>
  </si>
  <si>
    <t>Mukand Ltd.,</t>
  </si>
  <si>
    <t>Mukta Arts Ltd.</t>
  </si>
  <si>
    <t>Munjal Auto Industries Ltd.</t>
  </si>
  <si>
    <t>Munjal Showa Ltd.,</t>
  </si>
  <si>
    <t>Murudeshwar Ceramics Ltd.,</t>
  </si>
  <si>
    <t>Muthoot Capital Services Ltd.</t>
  </si>
  <si>
    <t>MUTHOOT FINANCE LIMITED</t>
  </si>
  <si>
    <t>NAGARJUNA FERTILIZERS AND CHEMICALS LTD.</t>
  </si>
  <si>
    <t>Nagreeka Exports Ltd.</t>
  </si>
  <si>
    <t>Nahar Capital &amp; Financial Services Ltd.</t>
  </si>
  <si>
    <t>Nahar Industrial Enterprises Ltd</t>
  </si>
  <si>
    <t>Nahar Polyfilms Ltd.</t>
  </si>
  <si>
    <t>Nahar Spinning Mills Ltd.,</t>
  </si>
  <si>
    <t>NIPPON LIFE INDIA ASSET MANAGEMENT LIMITED</t>
  </si>
  <si>
    <t>Natco Pharma Ltd.</t>
  </si>
  <si>
    <t>Nath Biogene India Ltd.</t>
  </si>
  <si>
    <t>National Aluminium Co. Ltd.,</t>
  </si>
  <si>
    <t>Info Edge(India) Ltd.</t>
  </si>
  <si>
    <t>N. B. I. Industrial Finance Company Ltd.</t>
  </si>
  <si>
    <t>NCL Industries Limited,</t>
  </si>
  <si>
    <t>Naga Dhunseri Group Ltd.</t>
  </si>
  <si>
    <t>NDR Auto Components Limited</t>
  </si>
  <si>
    <t>Nelco Ltd</t>
  </si>
  <si>
    <t>Nesco Ltd</t>
  </si>
  <si>
    <t>Network 18 Media &amp; Investments Limited</t>
  </si>
  <si>
    <t>Neuland Laboratories Limited.</t>
  </si>
  <si>
    <t>Next Mediaworks Ltd</t>
  </si>
  <si>
    <t>National Fertilizers Ltd.,</t>
  </si>
  <si>
    <t>NAKODA GROUP OF INDUSTRIES LIMITED</t>
  </si>
  <si>
    <t>NGL Fine Chem Ltd.</t>
  </si>
  <si>
    <t>Narayana Hrudayalaya Limited</t>
  </si>
  <si>
    <t>NRB INDUSTRIAL BEARINGS LIMITED</t>
  </si>
  <si>
    <t>NIIT Ltd.,</t>
  </si>
  <si>
    <t>Nila Infrastructures Ltd</t>
  </si>
  <si>
    <t>Nila Spaces Ltd</t>
  </si>
  <si>
    <t>Indo National Limited</t>
  </si>
  <si>
    <t>Niraj Ispat Industries Ltd.</t>
  </si>
  <si>
    <t>Nitco Ltd.</t>
  </si>
  <si>
    <t>Nitin Spinners Ltd.</t>
  </si>
  <si>
    <t>Nitiraj Engineers Ltd.</t>
  </si>
  <si>
    <t>N.K.Industries Ltd.</t>
  </si>
  <si>
    <t>NMDC Ltd</t>
  </si>
  <si>
    <t>NOCIL Ltd</t>
  </si>
  <si>
    <t>Noida Toll Bridge Company Ltd</t>
  </si>
  <si>
    <t>Norben Tea &amp; Exports Ltd</t>
  </si>
  <si>
    <t>N.R.Agarwal Industries Ltd.</t>
  </si>
  <si>
    <t>NRB Bearings Ltd.</t>
  </si>
  <si>
    <t>Nupur Recyclers Ltd.</t>
  </si>
  <si>
    <t>Nalwa Sons Investment Ltd</t>
  </si>
  <si>
    <t>Nucleus Software Exports Ltd</t>
  </si>
  <si>
    <t>ORIENTAL AROMATICS LIMITED</t>
  </si>
  <si>
    <t>OBEROI REALTY LIMITED</t>
  </si>
  <si>
    <t>Oriental Carbon &amp; Chemicals Ltd.,</t>
  </si>
  <si>
    <t>Oil Country Tubular Ltd.</t>
  </si>
  <si>
    <t>OLECTRA GREENTECH LIMITED</t>
  </si>
  <si>
    <t>Omax Autos Ltd.,</t>
  </si>
  <si>
    <t>OMAXE LIMITED</t>
  </si>
  <si>
    <t>OMKAR SPECIALITY CHEMICALS LIMITED</t>
  </si>
  <si>
    <t>Onelife Capital Advisors Ltd</t>
  </si>
  <si>
    <t>One Point One Solutions Ltd.</t>
  </si>
  <si>
    <t>Oil And Natural Gas Corporation Ltd</t>
  </si>
  <si>
    <t>OnMobile Global Ltd.</t>
  </si>
  <si>
    <t>Onward Technologies Ltd.</t>
  </si>
  <si>
    <t>Orbit Exports Ltd.</t>
  </si>
  <si>
    <t>Oricon Enterprises Ltd.</t>
  </si>
  <si>
    <t>Orient Abrasives Ltd.</t>
  </si>
  <si>
    <t>ORIENTABRA</t>
  </si>
  <si>
    <t>ORIENT CEMENT LIMITED</t>
  </si>
  <si>
    <t>Oriental Hotels Ltd.,</t>
  </si>
  <si>
    <t>Orient Press ltd.</t>
  </si>
  <si>
    <t>Orient Paper &amp; Industries Ltd.</t>
  </si>
  <si>
    <t>Orissa Minerals Development Company Limited</t>
  </si>
  <si>
    <t>Ortel Communications Limited</t>
  </si>
  <si>
    <t>ORTEL</t>
  </si>
  <si>
    <t>Osia Hyper Retail Ltd.</t>
  </si>
  <si>
    <t>Oswal Agro Mills Ltd.,</t>
  </si>
  <si>
    <t>ShreeOswal Seeds And Chemicals Ltd.</t>
  </si>
  <si>
    <t>Page Industries Ltd.</t>
  </si>
  <si>
    <t>PAISALO DIGITAL LIMITED</t>
  </si>
  <si>
    <t>Panacea Biotec Ltd.</t>
  </si>
  <si>
    <t>Panache Digilife Ltd.</t>
  </si>
  <si>
    <t>Panama Petrochem Ltd.</t>
  </si>
  <si>
    <t>Pansari Developers Ltd.</t>
  </si>
  <si>
    <t>Par Drugs and Chemicals Ltd.</t>
  </si>
  <si>
    <t>Paramount Communications Ltd.</t>
  </si>
  <si>
    <t>Paras Petrofils Ltd.</t>
  </si>
  <si>
    <t>Parsvnath Developers Ltd.</t>
  </si>
  <si>
    <t>Pasupati Acrylon Ltd.</t>
  </si>
  <si>
    <t>Patel Engineering Ltd</t>
  </si>
  <si>
    <t>Patel Integrated Logistics Ltd</t>
  </si>
  <si>
    <t>PC JEWELLER LIMITED</t>
  </si>
  <si>
    <t>Parenteral Drug (India) Ltd.</t>
  </si>
  <si>
    <t>PDPL</t>
  </si>
  <si>
    <t>PDS LIMITED</t>
  </si>
  <si>
    <t>Pearl Polymers Ltd.</t>
  </si>
  <si>
    <t>Pennar Industries Ltd.,</t>
  </si>
  <si>
    <t>PETRONET LNG LTD.</t>
  </si>
  <si>
    <t>Power Finance Corporation Ltd</t>
  </si>
  <si>
    <t>Pfizer Ltd.,</t>
  </si>
  <si>
    <t>Procter &amp; Gamble Hygiene &amp; Health Care Ltd.</t>
  </si>
  <si>
    <t>PROCTER &amp; GAMBLE HEALTH LIMITED</t>
  </si>
  <si>
    <t>The Phoenix Mills Ltd.,</t>
  </si>
  <si>
    <t>Pidilite Industries Ltd.</t>
  </si>
  <si>
    <t>Pilani Investment And Industries Corporation Limited</t>
  </si>
  <si>
    <t>Pil Italica Lifestyle Limited</t>
  </si>
  <si>
    <t>Pioneer Embroideries Ltd.</t>
  </si>
  <si>
    <t>PITTI ENGINEERING LIMITED</t>
  </si>
  <si>
    <t>Pix Transmissions Ltd.,</t>
  </si>
  <si>
    <t>The Peria Karamalai Tea &amp; Produce Company Ltd.</t>
  </si>
  <si>
    <t>Plastiblends India Ltd.</t>
  </si>
  <si>
    <t>PNB Gilts Ltd</t>
  </si>
  <si>
    <t>Pritish Nandy Communications Ltd</t>
  </si>
  <si>
    <t>Poddar Pigments Ltd.</t>
  </si>
  <si>
    <t>Pokarna Ltd.</t>
  </si>
  <si>
    <t>Poly Medicure Ltd</t>
  </si>
  <si>
    <t>Polyplex Corporation Ltd.,</t>
  </si>
  <si>
    <t>Ponni Sugars (Erode) Ltd.</t>
  </si>
  <si>
    <t>POONAWALLA FINCORP LIMITED</t>
  </si>
  <si>
    <t>POWER GRID CORPORATION OF INDIA LIMITED</t>
  </si>
  <si>
    <t>HITACHI ENERGY INDIA LIMITED</t>
  </si>
  <si>
    <t>PIRAMAL PHARMA LIMITED</t>
  </si>
  <si>
    <t>Prajay Engineers Syndicate Ltd.</t>
  </si>
  <si>
    <t>Praj Industries Ltd.</t>
  </si>
  <si>
    <t>Prakash Industries Ltd.,</t>
  </si>
  <si>
    <t>Precot Ltd.</t>
  </si>
  <si>
    <t>Precision Wires India ltd.,</t>
  </si>
  <si>
    <t>Premier Explosives Ltd.</t>
  </si>
  <si>
    <t>Premier Polyfilm Ltd.</t>
  </si>
  <si>
    <t>Pressman Advertising Limited</t>
  </si>
  <si>
    <t>PRESSMN</t>
  </si>
  <si>
    <t>Prime Securities Ltd.</t>
  </si>
  <si>
    <t>Prince Pipes and Fittings Limited</t>
  </si>
  <si>
    <t>Priti International Ltd.</t>
  </si>
  <si>
    <t>PRIVI SPECIALITY CHEMICALS LIMITED</t>
  </si>
  <si>
    <t>Prozone Intu Properties Limited</t>
  </si>
  <si>
    <t>PROZONINTU</t>
  </si>
  <si>
    <t>PRISM JOHNSON LIMITED.</t>
  </si>
  <si>
    <t>PUNJAB &amp; SIND BANK</t>
  </si>
  <si>
    <t>PTC India Ltd</t>
  </si>
  <si>
    <t>PTC Industries Ltd.</t>
  </si>
  <si>
    <t>PTL Enterprises Ltd</t>
  </si>
  <si>
    <t>Punjab Chemicals and Crop Protection Ltd.</t>
  </si>
  <si>
    <t>PVP Ventures Ltd</t>
  </si>
  <si>
    <t>PVR INOX LIMITED</t>
  </si>
  <si>
    <t>Quintegra Solutions Limited</t>
  </si>
  <si>
    <t>QUINTEGRA</t>
  </si>
  <si>
    <t>RACE ECO CHAIN LIMITED</t>
  </si>
  <si>
    <t>RADAAN MEDIAWORKS (I) LIMITED</t>
  </si>
  <si>
    <t>Radico Khaitan Ltd.</t>
  </si>
  <si>
    <t>RailTel Corporation of India Limited</t>
  </si>
  <si>
    <t>Rainbow Children's Medicare Limited</t>
  </si>
  <si>
    <t>Rajesh Exports Ltd.</t>
  </si>
  <si>
    <t>Rajnandini Metal Ltd.</t>
  </si>
  <si>
    <t>Rajratan Global Wire Ltd</t>
  </si>
  <si>
    <t>Rajshree Sugars &amp; Chemicals Ltd.,</t>
  </si>
  <si>
    <t>Raj Television Network Ltd</t>
  </si>
  <si>
    <t>Rajvir Industries Limited</t>
  </si>
  <si>
    <t>RAJVIR</t>
  </si>
  <si>
    <t>Rallis India Ltd</t>
  </si>
  <si>
    <t>Rama Phosphates Ltd.</t>
  </si>
  <si>
    <t>Ramco Industries Ltd</t>
  </si>
  <si>
    <t>Ramco Systems Ltd</t>
  </si>
  <si>
    <t>Ram Ratna Wires Ltd.</t>
  </si>
  <si>
    <t>Rana Sugars Ltd.</t>
  </si>
  <si>
    <t>Rane Holdings Ltd.</t>
  </si>
  <si>
    <t>RateGain Travel Technologies Limited</t>
  </si>
  <si>
    <t>Ratnamani Metals &amp; Tubes Ltd</t>
  </si>
  <si>
    <t>Rashtriya Chemicals &amp; Fertilizers Limited</t>
  </si>
  <si>
    <t>REC LIMITED</t>
  </si>
  <si>
    <t>Regency Ceramics Ltd</t>
  </si>
  <si>
    <t>Relaxo Footwears Ltd.</t>
  </si>
  <si>
    <t>Reliance Capital Limited</t>
  </si>
  <si>
    <t>RELCAPITAL</t>
  </si>
  <si>
    <t>Reliance Chemotex Industries Ltd.,</t>
  </si>
  <si>
    <t>Reliance Industries Ltd</t>
  </si>
  <si>
    <t>Religare Enterprises Ltd</t>
  </si>
  <si>
    <t>Reliance Infrastructure Ltd</t>
  </si>
  <si>
    <t>Remsons Industries Ltd.</t>
  </si>
  <si>
    <t>Shree Renuka Sugars Ltd.</t>
  </si>
  <si>
    <t>Rudrabhishek Enterprises Ltd.</t>
  </si>
  <si>
    <t>Repro India Ltd.</t>
  </si>
  <si>
    <t>Responsive Industries Ltd</t>
  </si>
  <si>
    <t>Revathi Equipment Ltd.</t>
  </si>
  <si>
    <t>REVATHI</t>
  </si>
  <si>
    <t>RENAISSANCE GLOBAL LIMITED</t>
  </si>
  <si>
    <t>ROBUST HOTELS LIMITED</t>
  </si>
  <si>
    <t>RICO Auto Industries Ltd.</t>
  </si>
  <si>
    <t>Reliance Industrial Infrastructure</t>
  </si>
  <si>
    <t>RKEC Projects Ltd.</t>
  </si>
  <si>
    <t>ramkrishna forgings Ltd.</t>
  </si>
  <si>
    <t>Radha Madhav Corporation Ltd.</t>
  </si>
  <si>
    <t>Rane (Madras) Ltd.</t>
  </si>
  <si>
    <t>Reliance Naval and Engineering Limited</t>
  </si>
  <si>
    <t>RNAVAL</t>
  </si>
  <si>
    <t>Royal Orchid Hotels Ltd</t>
  </si>
  <si>
    <t>Rollatainters Ltd.,</t>
  </si>
  <si>
    <t>Rolta India Ltd.,</t>
  </si>
  <si>
    <t>ROLTA</t>
  </si>
  <si>
    <t>RAJ OIL MILLS LIMITED</t>
  </si>
  <si>
    <t>ROSSARI BIOTECH LIMITED</t>
  </si>
  <si>
    <t>Roto Pumps Ltd.</t>
  </si>
  <si>
    <t>Route Mobile Limited</t>
  </si>
  <si>
    <t>RPP INFRA PROJECTS LIMITED</t>
  </si>
  <si>
    <t>Rajshree PolyPack Ltd.</t>
  </si>
  <si>
    <t>R S Software India Ltd.</t>
  </si>
  <si>
    <t>RATTANINDIA ENTERPRISES LIMITED</t>
  </si>
  <si>
    <t>Ruby Mills Ltd.,</t>
  </si>
  <si>
    <t>Ruchi Infrastructure Ltd</t>
  </si>
  <si>
    <t>Ruchira Papers Ltd</t>
  </si>
  <si>
    <t>RUPA &amp; COMPANY LIMITED</t>
  </si>
  <si>
    <t>S &amp; S Power Switchgears Ltd.,</t>
  </si>
  <si>
    <t>Sri Adhikari Brothers Television Ne</t>
  </si>
  <si>
    <t>SABTN</t>
  </si>
  <si>
    <t>Sadbhav Engineering Ltd.</t>
  </si>
  <si>
    <t>Sadhana Nitrochem Ltd.,</t>
  </si>
  <si>
    <t>Safari Industries (India) Ltd.,</t>
  </si>
  <si>
    <t>Sagardeep Alloys Ltd.</t>
  </si>
  <si>
    <t>Sagar Cements Ltd</t>
  </si>
  <si>
    <t>SAHYADRI INDUSTRIES LTD.</t>
  </si>
  <si>
    <t>Steel Authority of India Ltd.,</t>
  </si>
  <si>
    <t>Sakar Healthcare Ltd.</t>
  </si>
  <si>
    <t>Sakthi Sugars Ltd.</t>
  </si>
  <si>
    <t>Sakuma Exports Ltd.</t>
  </si>
  <si>
    <t>Salona Cotspin Ltd.</t>
  </si>
  <si>
    <t>S.A.L. Steel Ltd.</t>
  </si>
  <si>
    <t>Salzer Electronics Ltd.,</t>
  </si>
  <si>
    <t>Sambhaav Media Ltd.</t>
  </si>
  <si>
    <t>Sanco Industries Ltd.</t>
  </si>
  <si>
    <t>Sandesh Ltd.</t>
  </si>
  <si>
    <t>Sangam (India) Ltd</t>
  </si>
  <si>
    <t>Sanghi Industries Ltd.</t>
  </si>
  <si>
    <t>Sanghvi Movers Ltd.</t>
  </si>
  <si>
    <t>Sanginita Chemicals Ltd.</t>
  </si>
  <si>
    <t>Sanofi India Ltd</t>
  </si>
  <si>
    <t>SANWARIA CONSUMER LIMITED</t>
  </si>
  <si>
    <t>SANWARIA</t>
  </si>
  <si>
    <t>Sarda Energy &amp; Minerals Ltd</t>
  </si>
  <si>
    <t>Saregama India Ltd.</t>
  </si>
  <si>
    <t>Sarla Performance Fibers Ltd</t>
  </si>
  <si>
    <t>SATIA INDUSTRIES LIMITED</t>
  </si>
  <si>
    <t>SATIN CREDITCARE NETWORK LIMITED</t>
  </si>
  <si>
    <t>Sat Industries Ltd</t>
  </si>
  <si>
    <t>SBC EXPORTS LIMITED</t>
  </si>
  <si>
    <t>Shivalik Bimetal Controls Ltd.,</t>
  </si>
  <si>
    <t>SURATWWALA BUSINESS GROUP LIMITED</t>
  </si>
  <si>
    <t>SBI CARDS AND PAYMENT SERVICES LIMITED</t>
  </si>
  <si>
    <t>State Bank Of India,</t>
  </si>
  <si>
    <t>SCHNEIDER ELECTRIC INFRASTRUCTURE LIMITED</t>
  </si>
  <si>
    <t>Shipping Corporation Of India Ltd</t>
  </si>
  <si>
    <t>SHEETAL COOL PRODUCTS LIMITED</t>
  </si>
  <si>
    <t>Som Distilleries &amp; Breweries Ltd.</t>
  </si>
  <si>
    <t>Seamec Ltd</t>
  </si>
  <si>
    <t>SEJAL GLASS LIMITED</t>
  </si>
  <si>
    <t>Selan Exploration Technology Ltd.</t>
  </si>
  <si>
    <t>SEPC LIMITED</t>
  </si>
  <si>
    <t>S.E. POWER LIMITED</t>
  </si>
  <si>
    <t>SEPOWER</t>
  </si>
  <si>
    <t>Servotech Power Systems Ltd.</t>
  </si>
  <si>
    <t>Seshasayee Paper &amp; Boards Ltd.,</t>
  </si>
  <si>
    <t>SETUBANDHAN INFRASTRUCTURE LIMITED</t>
  </si>
  <si>
    <t>SETUINFRA</t>
  </si>
  <si>
    <t>Seya Industries Ltd</t>
  </si>
  <si>
    <t>STL Global Ltd</t>
  </si>
  <si>
    <t>Shaily Engineering Plastics Ltd.</t>
  </si>
  <si>
    <t>Shakti Pumps (India) Ltd.</t>
  </si>
  <si>
    <t>Shalimar Paints Ltd.</t>
  </si>
  <si>
    <t>Shanti Overseas (India) Ltd.</t>
  </si>
  <si>
    <t>Shanthi Gears Ltd.,</t>
  </si>
  <si>
    <t>Sharda Motor Industries Ltd</t>
  </si>
  <si>
    <t>SHEMAROO ENTERTAINMENT LIMITED</t>
  </si>
  <si>
    <t>Shilpa Medicare Ltd.</t>
  </si>
  <si>
    <t>Shivalik Rasayan Ltd.</t>
  </si>
  <si>
    <t>SHIVAM AUTOTECH LIMITED</t>
  </si>
  <si>
    <t>Shiva Texyarn Ltd.</t>
  </si>
  <si>
    <t>Shoppers Stop Ltd</t>
  </si>
  <si>
    <t>Shradha Infraprojects Ltd.</t>
  </si>
  <si>
    <t>Shree Digvijay Cement Co. Ltd.,</t>
  </si>
  <si>
    <t>Shree Cements Ltd.,</t>
  </si>
  <si>
    <t>Shree Rama Multi-tech Ltd.</t>
  </si>
  <si>
    <t>Shrenik Ltd.</t>
  </si>
  <si>
    <t>Shreyans Industries Limited.,</t>
  </si>
  <si>
    <t>Shreyas Shipping And Logistics Limited</t>
  </si>
  <si>
    <t>Shriram Pistons &amp; Rings Ltd.</t>
  </si>
  <si>
    <t>Shyam Telecom Ltd.</t>
  </si>
  <si>
    <t>Siemens Ltd.,</t>
  </si>
  <si>
    <t>SIGMA SOLVE LIMITED</t>
  </si>
  <si>
    <t>Sikko Industries Ltd.</t>
  </si>
  <si>
    <t>Standard Industries Ltd.</t>
  </si>
  <si>
    <t>Silgo Retail Ltd.</t>
  </si>
  <si>
    <t>SIL Investments Ltd</t>
  </si>
  <si>
    <t>Silly Monks Entertainment Ltd.</t>
  </si>
  <si>
    <t>Simbhaoli Sugars Ltd</t>
  </si>
  <si>
    <t>Sintercom India Ltd.</t>
  </si>
  <si>
    <t>Siyaram Silk Mills Ltd.,</t>
  </si>
  <si>
    <t>SJVN LIMITED</t>
  </si>
  <si>
    <t>SKF India Ltd.</t>
  </si>
  <si>
    <t>SKIL Infrastructure Limited</t>
  </si>
  <si>
    <t>SKIL</t>
  </si>
  <si>
    <t>SKM Egg Products Exports (India) Lt</t>
  </si>
  <si>
    <t>SKY GOLD LIMITED</t>
  </si>
  <si>
    <t>SML ISUZU LIMITED</t>
  </si>
  <si>
    <t>SMS Lifesciences India Ltd</t>
  </si>
  <si>
    <t>SMS Pharmaceuticals Ltd</t>
  </si>
  <si>
    <t>SNOWMAN LOGISTICS LIMITED</t>
  </si>
  <si>
    <t>SoftTech Engineers Limited</t>
  </si>
  <si>
    <t>SOLARA ACTIVE PHARMA SCIENCES LIMITED</t>
  </si>
  <si>
    <t>Soma Textile &amp; Industries Ltd</t>
  </si>
  <si>
    <t>SOMI CONVEYOR BELTINGS LIMITED</t>
  </si>
  <si>
    <t>Sonam Clock Ltd.</t>
  </si>
  <si>
    <t>SONAMCLOCK</t>
  </si>
  <si>
    <t>Sonata Software Ltd.</t>
  </si>
  <si>
    <t>South Indian Bank Ltd.</t>
  </si>
  <si>
    <t>South West Pinnacle Exploration Ltd.</t>
  </si>
  <si>
    <t>S.P. Apparels Limited</t>
  </si>
  <si>
    <t>Sun Pharma Advanced Research Company Ltd.</t>
  </si>
  <si>
    <t>Spacenet Enterprises India Ltd.</t>
  </si>
  <si>
    <t>Spentex Industries Ltd.</t>
  </si>
  <si>
    <t>Southern Petrochemical Industries Corporation Limited</t>
  </si>
  <si>
    <t>SPL INDUSTRIES LIMITED</t>
  </si>
  <si>
    <t>Supreme Petrochem Ltd.</t>
  </si>
  <si>
    <t>Sportking India Ltd.</t>
  </si>
  <si>
    <t>Sintex Plastics Technology Ltd.</t>
  </si>
  <si>
    <t>SPTL</t>
  </si>
  <si>
    <t>SREI Infrastructure Finance limited</t>
  </si>
  <si>
    <t>SREINFRA</t>
  </si>
  <si>
    <t>SRF Ltd.,</t>
  </si>
  <si>
    <t>Shree Ram Proteins Ltd.</t>
  </si>
  <si>
    <t>Steel Strips &amp; Wheels Ltd</t>
  </si>
  <si>
    <t>Stampede Capital Limited</t>
  </si>
  <si>
    <t>STAMPEDE</t>
  </si>
  <si>
    <t>STRIDES PHARMA SCIENCE LIMITED</t>
  </si>
  <si>
    <t>Star Paper Mills Ltd.</t>
  </si>
  <si>
    <t>STARTECK FINANCE LIMITED</t>
  </si>
  <si>
    <t>State Trading Corporation of India</t>
  </si>
  <si>
    <t>Steelcast Ltd.</t>
  </si>
  <si>
    <t>Steel City Securities Ltd.</t>
  </si>
  <si>
    <t>Steel Exchange India Ltd.</t>
  </si>
  <si>
    <t>STEL Holdings Limited</t>
  </si>
  <si>
    <t>Sterling Tools Ltd.</t>
  </si>
  <si>
    <t>Sterlite Technologies Limited.</t>
  </si>
  <si>
    <t>STOVE KRAFT LIMITED</t>
  </si>
  <si>
    <t>Subex Ltd</t>
  </si>
  <si>
    <t>Subros Ltd.,</t>
  </si>
  <si>
    <t>Sudarshan Chemical Indus. Ltd.,</t>
  </si>
  <si>
    <t>Sukhjit Starch &amp; Chemicals Ltd.</t>
  </si>
  <si>
    <t>Sumeet Industries Ltd</t>
  </si>
  <si>
    <t>SUMITOMO CHEMICAL INDIA LIMITED</t>
  </si>
  <si>
    <t>Sumit Woods Ltd.</t>
  </si>
  <si>
    <t>SUMMIT SECURITIES LTD.</t>
  </si>
  <si>
    <t>Sundaram Clayton Ltd.</t>
  </si>
  <si>
    <t>SUNCLAYLTD</t>
  </si>
  <si>
    <t>Sundaram Multi Pap Ltd.</t>
  </si>
  <si>
    <t>SUNDARAM FINANCE LTD</t>
  </si>
  <si>
    <t>Sundaram Finance Holdings Ltd.</t>
  </si>
  <si>
    <t>SUNDARAM BRAKE LININGS LTD</t>
  </si>
  <si>
    <t>Sundram Fasteners Ltd.,</t>
  </si>
  <si>
    <t>Sunflag Iron &amp; Steel Co. Ltd.,</t>
  </si>
  <si>
    <t>Sun Pharmaceutical Industries Ltd.</t>
  </si>
  <si>
    <t>Sunteck Realty Ltd</t>
  </si>
  <si>
    <t>SUN TV NETWORK LIMITED</t>
  </si>
  <si>
    <t>Superhouse limited</t>
  </si>
  <si>
    <t>Super Spinning Mills Ltd.</t>
  </si>
  <si>
    <t>Suprajit Engineering Ltd.</t>
  </si>
  <si>
    <t>Supreme Engineering Ltd.</t>
  </si>
  <si>
    <t>Supreme Industries Ltd.,</t>
  </si>
  <si>
    <t>Surana Telecom And Power Limited</t>
  </si>
  <si>
    <t>Suryalakshmi Cotton Mills Ltd.</t>
  </si>
  <si>
    <t>Surya Roshni Ltd.,</t>
  </si>
  <si>
    <t>SUTLEJ TEXTILES &amp; INDUSTRIES LIMITED</t>
  </si>
  <si>
    <t>Suumaya Industries Ltd.</t>
  </si>
  <si>
    <t>Suven Life Sciences Ltd.</t>
  </si>
  <si>
    <t>SUVEN PHARMACEUTICALS LIMITED</t>
  </si>
  <si>
    <t>SUZLON ENERGY LTD.</t>
  </si>
  <si>
    <t>Shree Vasu Logistics Ltd.</t>
  </si>
  <si>
    <t>Swan Energy Ltd.</t>
  </si>
  <si>
    <t>Swaraj Engines Ltd.</t>
  </si>
  <si>
    <t>STERLING AND WILSON RENEWABLE ENERGY LIMITED</t>
  </si>
  <si>
    <t>Syncom Formulations (India) Ltd.</t>
  </si>
  <si>
    <t>Tainwala Chemicals &amp; Plastics Ltd</t>
  </si>
  <si>
    <t>Taj GVK Hotels &amp; Resorts Ltd.</t>
  </si>
  <si>
    <t>Take Solutions Ltd</t>
  </si>
  <si>
    <t>Talbros Automotive Components Ltd.,</t>
  </si>
  <si>
    <t>TANLA PLATFORMS LIMITED</t>
  </si>
  <si>
    <t>TANTIACONS</t>
  </si>
  <si>
    <t>TARAPUR TRANSFORMERS LIMITED</t>
  </si>
  <si>
    <t>TARC LIMITED</t>
  </si>
  <si>
    <t>Tasty Bite Eatables Ltd.,</t>
  </si>
  <si>
    <t>Tata Chemicals Ltd</t>
  </si>
  <si>
    <t>Tata Coffee Ltd</t>
  </si>
  <si>
    <t>Tata Elxsi Ltd</t>
  </si>
  <si>
    <t>Tata Investment Corporation Ltd.,</t>
  </si>
  <si>
    <t>Tata Metaliks Ltd</t>
  </si>
  <si>
    <t>Tata Motors Ltd.</t>
  </si>
  <si>
    <t>Tata Power Co. Ltd</t>
  </si>
  <si>
    <t>TATA STEEL LIMITED</t>
  </si>
  <si>
    <t>TATA STEEL LONG PRODUCTS LIMITED</t>
  </si>
  <si>
    <t>TATASTLLP</t>
  </si>
  <si>
    <t>Transport Corporation of India Ltd</t>
  </si>
  <si>
    <t>TCI Finance Limited</t>
  </si>
  <si>
    <t>TCIFINANCE</t>
  </si>
  <si>
    <t>Tata Consultancy Services Ltd.</t>
  </si>
  <si>
    <t>TD Power Systems Ltd</t>
  </si>
  <si>
    <t>TeamLease Services Limited</t>
  </si>
  <si>
    <t>TECHINDIA NIRMAN LIMITED</t>
  </si>
  <si>
    <t>Tecil Chemicals &amp; Hydro Power Limit</t>
  </si>
  <si>
    <t>Tembo Global Industries Ltd.</t>
  </si>
  <si>
    <t>Tera Software Ltd.</t>
  </si>
  <si>
    <t>Texmaco Infrastructure &amp; Holdings Ltd</t>
  </si>
  <si>
    <t>Tourism Finance Corpn. Of India Ltd</t>
  </si>
  <si>
    <t>TGB Banquets and Hotels Limited</t>
  </si>
  <si>
    <t>THE INVESTMENT TRUST OF INDIA LIMITED</t>
  </si>
  <si>
    <t>Themis Medicare Ltd.</t>
  </si>
  <si>
    <t>Thermax Ltd.</t>
  </si>
  <si>
    <t>Thomas Cook (India) Ltd.,</t>
  </si>
  <si>
    <t>THOMAS SCOTT (INDIA) LIMITED</t>
  </si>
  <si>
    <t>Tilaknagar Industries Ltd</t>
  </si>
  <si>
    <t>Tide Water Oil (India) Ltd.</t>
  </si>
  <si>
    <t>Technocraft Industries (India) Ltd.</t>
  </si>
  <si>
    <t>Tube Investments of India Ltd</t>
  </si>
  <si>
    <t>TIJARIA POLYPIPES LIMITED</t>
  </si>
  <si>
    <t>TIL Ltd.,</t>
  </si>
  <si>
    <t>Times Guaranty Ltd.</t>
  </si>
  <si>
    <t>Timken India Ltd</t>
  </si>
  <si>
    <t>Tinplate Company of India Ltd.,</t>
  </si>
  <si>
    <t>Tips Industries Limited</t>
  </si>
  <si>
    <t>Thirumalai Chemicals Ltd.,</t>
  </si>
  <si>
    <t>Tirupati Forge Ltd.</t>
  </si>
  <si>
    <t>Tamilnadu Petroproducts Ltd</t>
  </si>
  <si>
    <t>Tamil Nadu Newsprint And Papers Ltd</t>
  </si>
  <si>
    <t>Tamilnadu Telecommunications Ltd.,</t>
  </si>
  <si>
    <t>Tokyo Plast International Ltd.</t>
  </si>
  <si>
    <t>Torrent Pharmaceuticals Ltd.</t>
  </si>
  <si>
    <t>TORRENT POWER LIMITED</t>
  </si>
  <si>
    <t>Total Transport Systems Ltd.</t>
  </si>
  <si>
    <t>Touchwood Entertainment Ltd.</t>
  </si>
  <si>
    <t>Trejhara Solutions Limited</t>
  </si>
  <si>
    <t>Trent Ltd [Lakme Ltd]</t>
  </si>
  <si>
    <t>TRF Ltd</t>
  </si>
  <si>
    <t>Trident Ltd</t>
  </si>
  <si>
    <t>Trigyn Technologies Ltd.</t>
  </si>
  <si>
    <t>Transformers and Rectifiers (India) Limited</t>
  </si>
  <si>
    <t>Triveni Engineering &amp; Industries Ltd</t>
  </si>
  <si>
    <t>TTK Healthcare Ltd.,</t>
  </si>
  <si>
    <t>TTK Prestige Ltd.</t>
  </si>
  <si>
    <t>T T Ltd</t>
  </si>
  <si>
    <t>Tata Teleservices (Maharashtra) Ltd.</t>
  </si>
  <si>
    <t>TV18 Broadcast Ltd.</t>
  </si>
  <si>
    <t>TVS Electronics Ltd.</t>
  </si>
  <si>
    <t>TVS Motor Company Ltd.</t>
  </si>
  <si>
    <t>TVS Srichakra Ltd.,</t>
  </si>
  <si>
    <t>T.V.Today Network Limited</t>
  </si>
  <si>
    <t>TV VISION LIMITED</t>
  </si>
  <si>
    <t>United Breweries Ltd.</t>
  </si>
  <si>
    <t>Ucal Fuel Systems Ltd.,</t>
  </si>
  <si>
    <t>UCALFUEL</t>
  </si>
  <si>
    <t>Uflex Limited</t>
  </si>
  <si>
    <t>Ugar Sugar Works Ltd.</t>
  </si>
  <si>
    <t>UGRO CAPITAL LIMITED</t>
  </si>
  <si>
    <t>Ujaas Energy Limited</t>
  </si>
  <si>
    <t>UJAAS</t>
  </si>
  <si>
    <t>UltraTech Cement Ltd</t>
  </si>
  <si>
    <t>Unichem Laboratories Ltd.,</t>
  </si>
  <si>
    <t>United Drilling Tools Ltd.,</t>
  </si>
  <si>
    <t>Uniphos Enterprises Limited.</t>
  </si>
  <si>
    <t>Uniinfo Telecom Services Ltd.</t>
  </si>
  <si>
    <t>Unitech Ltd.,</t>
  </si>
  <si>
    <t>United Polyfab Gujarat Ltd.</t>
  </si>
  <si>
    <t>The United Nilgiri Tea Estates Company Ltd.</t>
  </si>
  <si>
    <t>Univastu India Ltd.</t>
  </si>
  <si>
    <t>Universal Cables Ltd.,</t>
  </si>
  <si>
    <t>UNIVERSUS PHOTO IMAGINGS LIMITED</t>
  </si>
  <si>
    <t>Usha Martin Ltd.</t>
  </si>
  <si>
    <t>Udayshivakumar infra Limited</t>
  </si>
  <si>
    <t>Uttam Sugar Mills Ltd</t>
  </si>
  <si>
    <t>Vadilal Industries Ltd.,</t>
  </si>
  <si>
    <t>Vaibhav Global Ltd</t>
  </si>
  <si>
    <t>Vaishali Pharma Ltd.</t>
  </si>
  <si>
    <t>Vardhaman Acrylics Ltd.</t>
  </si>
  <si>
    <t>Vardhman Polytex Ltd.,</t>
  </si>
  <si>
    <t>Vaxtex Cotfab Ltd.</t>
  </si>
  <si>
    <t>Venky's (India) ltd.</t>
  </si>
  <si>
    <t>Venus Remedies Ltd.</t>
  </si>
  <si>
    <t>Vertoz Advertising Ltd.</t>
  </si>
  <si>
    <t>Vesuvius India Ltd.</t>
  </si>
  <si>
    <t>VETO SWITCHGEARS AND CABLES LIMITED</t>
  </si>
  <si>
    <t>V-Guard Industries Ltd.</t>
  </si>
  <si>
    <t>Viceroy Hotels Ltd.</t>
  </si>
  <si>
    <t>VICEROY</t>
  </si>
  <si>
    <t>VIJI FINANCE LIMITED</t>
  </si>
  <si>
    <t>VIKAS LIFECARE LIMITED</t>
  </si>
  <si>
    <t>Vimta Labs Ltd.</t>
  </si>
  <si>
    <t>Vinati Organics Ltd.,</t>
  </si>
  <si>
    <t>Vindhya Telelinks Ltd.,</t>
  </si>
  <si>
    <t>VINNY OVERSEAS LIMITED</t>
  </si>
  <si>
    <t>Vinyl Chemicals (India) Ltd.,</t>
  </si>
  <si>
    <t>V.I.P. Industries Ltd.,</t>
  </si>
  <si>
    <t>Visaka Industries Ltd.,</t>
  </si>
  <si>
    <t>Visa Steel Limited</t>
  </si>
  <si>
    <t>VISASTEEL</t>
  </si>
  <si>
    <t>Visesh Infotecnics Ltd.</t>
  </si>
  <si>
    <t>Visagar Polytex Ltd</t>
  </si>
  <si>
    <t>Vivimed Labs Ltd.</t>
  </si>
  <si>
    <t>VIVIMEDLAB</t>
  </si>
  <si>
    <t>VOLTAMP TRANSFORMERS LIMITED</t>
  </si>
  <si>
    <t>Voltas Ltd.,</t>
  </si>
  <si>
    <t>Vardhman Special Steels Ltd</t>
  </si>
  <si>
    <t>VST Industries Ltd.,</t>
  </si>
  <si>
    <t>V.S.T.Tillers Tractors Ltd.</t>
  </si>
  <si>
    <t>Vardhman Textiles Limted</t>
  </si>
  <si>
    <t>Walchandnagar Industries Ltd</t>
  </si>
  <si>
    <t>Wealth First Portfolio Managers Ltd.</t>
  </si>
  <si>
    <t>Weizmann Limited.,</t>
  </si>
  <si>
    <t>WONDER ELECTRICALS LIMITED</t>
  </si>
  <si>
    <t>Welspun Investments and Commercials Ltd.</t>
  </si>
  <si>
    <t>Welspun India Ltd</t>
  </si>
  <si>
    <t>Wendt (India) Ltd.,</t>
  </si>
  <si>
    <t>We Win Limited</t>
  </si>
  <si>
    <t>WHEELS INDIA LTD</t>
  </si>
  <si>
    <t>Whirlpool of India Ltd</t>
  </si>
  <si>
    <t>William Magor &amp; Company Limited</t>
  </si>
  <si>
    <t>The Western India Plywoods Ltd.</t>
  </si>
  <si>
    <t>Wipro Ltd.,</t>
  </si>
  <si>
    <t>Wockhardt Ltd</t>
  </si>
  <si>
    <t>Worth Peripherals Ltd.</t>
  </si>
  <si>
    <t>W.S. Industries (India) Ltd.,</t>
  </si>
  <si>
    <t>Xelpmoc Design and Tech Limited</t>
  </si>
  <si>
    <t>Xpro India Ltd.</t>
  </si>
  <si>
    <t>Yaari Digital Integrated Services Ltd</t>
  </si>
  <si>
    <t>Yes Bank Ltd.</t>
  </si>
  <si>
    <t>Yuken India Ltd.,</t>
  </si>
  <si>
    <t>Zee Entertainment Enterprises Ltd.</t>
  </si>
  <si>
    <t>ZEE LEARN LIMITED</t>
  </si>
  <si>
    <t>Zenith Exports Ltd.</t>
  </si>
  <si>
    <t>ZENITH STEEL PIPES AND INDUSTRIES LIMITED</t>
  </si>
  <si>
    <t>Zensar Technologies Ltd.</t>
  </si>
  <si>
    <t>Zen Technologies Ltd.</t>
  </si>
  <si>
    <t>ZIM Laboratories Limited</t>
  </si>
  <si>
    <t>Zodiac Clothing Co. Ltd.</t>
  </si>
  <si>
    <t>Zota Health Care Ltd.</t>
  </si>
  <si>
    <t>ZUARI AGRO CHEMICALS LIMITED</t>
  </si>
  <si>
    <t>Zuari Industries Limited</t>
  </si>
  <si>
    <t>Nestle India Ltd.</t>
  </si>
  <si>
    <t>Abbott India Ltd.</t>
  </si>
  <si>
    <t>Bayer CropScience Limited.</t>
  </si>
  <si>
    <t>Lloyds Metals and Energy Limited</t>
  </si>
  <si>
    <t>National Standard (India) Limited</t>
  </si>
  <si>
    <t>Eureka Forbes Limited</t>
  </si>
  <si>
    <t>Kama Holdings Limited</t>
  </si>
  <si>
    <t>Multi Commodity Exchange of India Ltd</t>
  </si>
  <si>
    <t>Kirloskar Ferrous Industries Ltd.</t>
  </si>
  <si>
    <t>Kennametal India Limtied</t>
  </si>
  <si>
    <t>Sital Leasing And Finance Limited</t>
  </si>
  <si>
    <t>Bengal &amp; Assam Company Limited</t>
  </si>
  <si>
    <t>Elantas Beck India Ltd</t>
  </si>
  <si>
    <t>Authum Investment &amp; Infrastructure Limited</t>
  </si>
  <si>
    <t>Nirlon Limited,</t>
  </si>
  <si>
    <t>Hawkins Cooker Ltd.</t>
  </si>
  <si>
    <t>Sandur Manganese &amp; Iron Ores Ltd.,</t>
  </si>
  <si>
    <t>BEST AGROLIFE LIMITED</t>
  </si>
  <si>
    <t>Goodyear India Ltd.,</t>
  </si>
  <si>
    <t>Grauer &amp; Weil (India) Ltd.,</t>
  </si>
  <si>
    <t>PAUSHAK LIMITED (formerly known as Darshak Limited)</t>
  </si>
  <si>
    <t>WPIL Ltd</t>
  </si>
  <si>
    <t>SG FINSERVE LIMITED</t>
  </si>
  <si>
    <t>Surabhi Chemicals &amp; Investments Ltd</t>
  </si>
  <si>
    <t>Kovai Medical Center &amp; Hospital Ltd</t>
  </si>
  <si>
    <t>Citurgia Biochemicals Ltd.,</t>
  </si>
  <si>
    <t>Force Motors Limited</t>
  </si>
  <si>
    <t>SpiceJet Limited</t>
  </si>
  <si>
    <t>Emrald Commercial Limited</t>
  </si>
  <si>
    <t>MAGELLANIC CLOUD LIMITED</t>
  </si>
  <si>
    <t>EKI Energy Services Limited</t>
  </si>
  <si>
    <t>Aditya Vision Limited</t>
  </si>
  <si>
    <t>YASHO INDUSTRIES LIMITED</t>
  </si>
  <si>
    <t>Primo Chemicals Limited</t>
  </si>
  <si>
    <t>MKVENTURES CAPITAL LIMITED</t>
  </si>
  <si>
    <t>Novartis India Limited.</t>
  </si>
  <si>
    <t>WAAREE RENEWABLE TECHNOLOGIES LIMITED</t>
  </si>
  <si>
    <t>Jyoti Resins &amp; Adhesives Ltd,</t>
  </si>
  <si>
    <t>Polo Queen Industrial and Fintech Limited</t>
  </si>
  <si>
    <t>Timex Group India Ltd</t>
  </si>
  <si>
    <t>WARDWIZARD INNOVATIONS AND MOBILITY LIMITED</t>
  </si>
  <si>
    <t>Media Matrix Worldwide Ltd.</t>
  </si>
  <si>
    <t>TANFAC Industries Ltd.,</t>
  </si>
  <si>
    <t>Rhetan TMT Limited</t>
  </si>
  <si>
    <t>LS Industries Limited</t>
  </si>
  <si>
    <t>Rajnish Wellness Limited</t>
  </si>
  <si>
    <t>Sanmit Infra Limited</t>
  </si>
  <si>
    <t>Disa India Ltd.</t>
  </si>
  <si>
    <t>Kelvin Fincap Ltd</t>
  </si>
  <si>
    <t>TGV SRAAC LIMITED</t>
  </si>
  <si>
    <t>Knowledge Marine &amp; Engineering Works Limited</t>
  </si>
  <si>
    <t>Shanti Educational Initiatives Limited</t>
  </si>
  <si>
    <t>Shree Global Tradefin L t d..</t>
  </si>
  <si>
    <t>Asian Star Co. Ltd.</t>
  </si>
  <si>
    <t>Andrew Yule &amp; Company Ltd</t>
  </si>
  <si>
    <t>Ritesh Properties &amp; Industries Ltd</t>
  </si>
  <si>
    <t>MOSCHIP TECHNOLOGIES LIMITED</t>
  </si>
  <si>
    <t>Elpro International Ltd.,</t>
  </si>
  <si>
    <t>Cressanda Solutions Ltd.</t>
  </si>
  <si>
    <t>Gujarat Themis Biosyn Ltd.</t>
  </si>
  <si>
    <t>DDEV PLASTIKS INDUSTRIES LIMITED</t>
  </si>
  <si>
    <t>Finkurve Financial Services Limited</t>
  </si>
  <si>
    <t>RAGHAV PRODUCTIVITY ENHANCERS LIMITED</t>
  </si>
  <si>
    <t>Jaybharat Textiles And Real Estate Limited</t>
  </si>
  <si>
    <t>WELSPUN SPECIALTY SOLUTIONS LIMITED</t>
  </si>
  <si>
    <t>KMC Speciality Hospitals India Limited</t>
  </si>
  <si>
    <t>Lancer Container Lines Limited</t>
  </si>
  <si>
    <t>Shiva Cement Ltd.</t>
  </si>
  <si>
    <t>Transpek Industry Ltd.,</t>
  </si>
  <si>
    <t>Ultramarine &amp; Pigments Ltd.,</t>
  </si>
  <si>
    <t>Udaipur Cement Works Limited</t>
  </si>
  <si>
    <t>RACL Geartech Limited</t>
  </si>
  <si>
    <t>PRAVEG LIMITED</t>
  </si>
  <si>
    <t>DOLAT ALGOTECH LIMITED</t>
  </si>
  <si>
    <t>Enkei wheels (India) Limited</t>
  </si>
  <si>
    <t>Exdon Trading Co. Ltd.,</t>
  </si>
  <si>
    <t>JOHN COCKERILL INDIA LIMITED</t>
  </si>
  <si>
    <t>Mishtann Foods Limited</t>
  </si>
  <si>
    <t>Saint-Gobain Sekurit India Ltd.</t>
  </si>
  <si>
    <t>Balmer Lawrie Investments Ltd.</t>
  </si>
  <si>
    <t>Shankar Lal Rampal Dye-Chem Limited</t>
  </si>
  <si>
    <t>BALU FORGE INDUSTRIES LIMITED</t>
  </si>
  <si>
    <t>National Peroxide Ltd.</t>
  </si>
  <si>
    <t>Beekay Steel Industries Ltd.</t>
  </si>
  <si>
    <t>Forbes &amp; Company Ltd</t>
  </si>
  <si>
    <t>Permanent Magnets Ltd.</t>
  </si>
  <si>
    <t>Avantel Limited</t>
  </si>
  <si>
    <t>Gloster Ltd</t>
  </si>
  <si>
    <t>Black Rose Industries Ltd</t>
  </si>
  <si>
    <t>BMW INDUSTRIES LIMITED</t>
  </si>
  <si>
    <t>Pine Animation Limited</t>
  </si>
  <si>
    <t>TUTICORIN ALKALI CHEMICALS AND FERTILIZERS LIMITED</t>
  </si>
  <si>
    <t>Nitta Gelatin India Ltd</t>
  </si>
  <si>
    <t>CAPITAL INDIA FINANCE LIMITED</t>
  </si>
  <si>
    <t>Wardwizard Foods and Beverages Limited</t>
  </si>
  <si>
    <t>Davangere Sugar Company Limited</t>
  </si>
  <si>
    <t>RAVINDRA ENERGY LIMITED</t>
  </si>
  <si>
    <t>Binny Ltd.,</t>
  </si>
  <si>
    <t>Orissa Sponge Iron And Steel Limited</t>
  </si>
  <si>
    <t>Effingo Textile &amp; Trading Limited</t>
  </si>
  <si>
    <t>MUFIN GREEN FINANCE LIMITED</t>
  </si>
  <si>
    <t>AGI Infra Limited</t>
  </si>
  <si>
    <t>QUINT DIGITAL MEDIA LIMITED</t>
  </si>
  <si>
    <t>Hindustan Photo Films Mfg. Co. Ltd.</t>
  </si>
  <si>
    <t>Rajapalayam Mills Limited</t>
  </si>
  <si>
    <t>Bharat Agri Fert and Realty Ltd</t>
  </si>
  <si>
    <t>Shilchar Technologies Ltd.</t>
  </si>
  <si>
    <t>Sayaji Hotel Ltd</t>
  </si>
  <si>
    <t>TOYAM SPORTS LIMITED</t>
  </si>
  <si>
    <t>CWD Limited</t>
  </si>
  <si>
    <t>Bajaj Steel Industries Ltd.,</t>
  </si>
  <si>
    <t>Nikhil Adhesives Ltd.</t>
  </si>
  <si>
    <t>IST Limited</t>
  </si>
  <si>
    <t>Dr.Agarwals Eye Hospital Ltd.</t>
  </si>
  <si>
    <t>Maa Jagdambe Tradelinks Limited</t>
  </si>
  <si>
    <t>KSE Ltd.</t>
  </si>
  <si>
    <t>TAAL Enterprises Limited</t>
  </si>
  <si>
    <t>Shri Jagdamba Polymers Ltd</t>
  </si>
  <si>
    <t>Nicco Parks And Resorts Ltd.</t>
  </si>
  <si>
    <t>EFC (I) LIMITED</t>
  </si>
  <si>
    <t>Andhra Petrochemicals Ltd.,</t>
  </si>
  <si>
    <t>Mac Charles (India) Ltd.,</t>
  </si>
  <si>
    <t>Wim Plast Ltd.</t>
  </si>
  <si>
    <t>Morganite Crucible (India) Limited</t>
  </si>
  <si>
    <t>K&amp;R RAIL ENGINEERING LIMITED</t>
  </si>
  <si>
    <t>Alba Polymers Limited</t>
  </si>
  <si>
    <t>Automobile Corpn. of Goa Ltd.,</t>
  </si>
  <si>
    <t>Voith Paper Fabrics India Ltd</t>
  </si>
  <si>
    <t>Baroda Rayon Corpn. Ltd.,</t>
  </si>
  <si>
    <t>Chemcrux Enterprises Limited</t>
  </si>
  <si>
    <t>Lifeline Drugs &amp; Pharma Ltd</t>
  </si>
  <si>
    <t>Veritas (India) Limited</t>
  </si>
  <si>
    <t>Diamines &amp; Chemicals Ltd.,</t>
  </si>
  <si>
    <t>Deccan Gold Mines Ltd.</t>
  </si>
  <si>
    <t>Raghuvir Synthetics Ltd.</t>
  </si>
  <si>
    <t>Supershakti Metaliks Limited</t>
  </si>
  <si>
    <t>Integra Engineering India Ltd.</t>
  </si>
  <si>
    <t>Amines &amp; Plasticizers Ltd</t>
  </si>
  <si>
    <t>STARLINEPS ENTERPRISES LIMITED</t>
  </si>
  <si>
    <t>ASM Technologies Ltd.</t>
  </si>
  <si>
    <t>Piccadily Agro Industries ltd.</t>
  </si>
  <si>
    <t>Z.F. Steering Gear (India) Limited</t>
  </si>
  <si>
    <t>Benares Hotels Ltd</t>
  </si>
  <si>
    <t>Haryana Financial Corporation ltd.</t>
  </si>
  <si>
    <t>Anuh Pharma Ltd.,</t>
  </si>
  <si>
    <t>Stovec Industries Ltd.</t>
  </si>
  <si>
    <t>Lords Chloro Alkali Ltd</t>
  </si>
  <si>
    <t>REMEDIUM LIFECARE LIMITED</t>
  </si>
  <si>
    <t>K.P. Energy Limited</t>
  </si>
  <si>
    <t>Jagatjit Industries Ltd.,</t>
  </si>
  <si>
    <t>ALGOQUANT FINTECH LIMITED</t>
  </si>
  <si>
    <t>Prevest Denpro Limited</t>
  </si>
  <si>
    <t>NIBE LIMITED</t>
  </si>
  <si>
    <t>FERMENTA BIOTECH LIMITED</t>
  </si>
  <si>
    <t>Singer India Limited</t>
  </si>
  <si>
    <t>Sar Auto Products Limited</t>
  </si>
  <si>
    <t>Saurashtra Cement Limited</t>
  </si>
  <si>
    <t>Sunshield Chemicals Ltd.</t>
  </si>
  <si>
    <t>HPC Biosciences Limited</t>
  </si>
  <si>
    <t>Fredun Pharmaceuticals Limited</t>
  </si>
  <si>
    <t>Tiger Logistics (India) Limited</t>
  </si>
  <si>
    <t>Axtel Industries Ltd.</t>
  </si>
  <si>
    <t>Empire Industries Ltd.,</t>
  </si>
  <si>
    <t>Goodricke Group Ltd.,</t>
  </si>
  <si>
    <t>XTGLOBAL INFOTECH LIMITED</t>
  </si>
  <si>
    <t>Virtuoso Optoelectronics Limited</t>
  </si>
  <si>
    <t>YASH PAKKA LIMITED</t>
  </si>
  <si>
    <t>Natural Capsules Ltd.</t>
  </si>
  <si>
    <t>A-1 Acid Limited</t>
  </si>
  <si>
    <t>Kiran Vyapar Limited</t>
  </si>
  <si>
    <t>Rubfila International Ltd.</t>
  </si>
  <si>
    <t>Suyog Telematics Limited</t>
  </si>
  <si>
    <t>MONEYBOXX FINANCE LIMITED</t>
  </si>
  <si>
    <t>Arfin India Limited</t>
  </si>
  <si>
    <t>Mafatlal Industries Ltd.,</t>
  </si>
  <si>
    <t>Tinna Rubber and Infrastructure Limited</t>
  </si>
  <si>
    <t>Haldyn Glass Limited</t>
  </si>
  <si>
    <t>CONFIDENCE FUTURISTIC ENERGETECH LIMITED</t>
  </si>
  <si>
    <t>Northern Spirits Limited</t>
  </si>
  <si>
    <t>STAR HOUSING FINANCE LIMITED</t>
  </si>
  <si>
    <t>Kilburn Engineering Ltd</t>
  </si>
  <si>
    <t>Droneacharya Aerial Innovations Limited</t>
  </si>
  <si>
    <t>Shree Ganesh Remedies Limited</t>
  </si>
  <si>
    <t>The Yamuna Syndicate Ltd</t>
  </si>
  <si>
    <t>Galaxy Bearings Ltd.</t>
  </si>
  <si>
    <t>Commercial Syn Bags Limited</t>
  </si>
  <si>
    <t>Shreeji Translogistics Limited</t>
  </si>
  <si>
    <t>Niyogin Fintech Limited</t>
  </si>
  <si>
    <t>CFF FLUID CONTROL LIMITED</t>
  </si>
  <si>
    <t>Affordable Robotic &amp; Automation Limited</t>
  </si>
  <si>
    <t>Alliance Integrated Metaliks Limited</t>
  </si>
  <si>
    <t>Adhbhut Infrastructure Ltd.</t>
  </si>
  <si>
    <t>Raghuvansh Agrofarms Limited</t>
  </si>
  <si>
    <t>Supreme Holdings &amp; Hospitality (India) Ltd</t>
  </si>
  <si>
    <t>Riddhi Corporate Services Limited</t>
  </si>
  <si>
    <t>Inflame Appliances Limited</t>
  </si>
  <si>
    <t>Kwality Pharmaceuticals Limited</t>
  </si>
  <si>
    <t>Master Trust Ltd.</t>
  </si>
  <si>
    <t>Mapro Industries Ltd</t>
  </si>
  <si>
    <t>High Energy Batteries (India) Ltd.,</t>
  </si>
  <si>
    <t>Suryalata Spinning Mills Ltd.,</t>
  </si>
  <si>
    <t>Zenotech Laboratories Limited</t>
  </si>
  <si>
    <t>Riddhi Siddhi Gluco Biols Ltd</t>
  </si>
  <si>
    <t>Industrial &amp; Prudential Inv. Co. Lt</t>
  </si>
  <si>
    <t>Captain Pipes Limited</t>
  </si>
  <si>
    <t>Midland Polymers Ltd.</t>
  </si>
  <si>
    <t>Ador Fontech Ltd</t>
  </si>
  <si>
    <t>VARIMAN GLOBAL ENTERPRISES LIMITED</t>
  </si>
  <si>
    <t>Artemis Electricals and Projects Limited</t>
  </si>
  <si>
    <t>Taneja Aerospace &amp; Aviation Ltd.</t>
  </si>
  <si>
    <t>U.P. Hotels Ltd.,</t>
  </si>
  <si>
    <t>Kilpest India Ltd.</t>
  </si>
  <si>
    <t>Tierra Agrotech Limited</t>
  </si>
  <si>
    <t>Advait Infratech Limited</t>
  </si>
  <si>
    <t>MERCURY EV-TECH LIMITED</t>
  </si>
  <si>
    <t>Jenburkt Pharmaceuticals Ltd.</t>
  </si>
  <si>
    <t>Bheema Cements Limited</t>
  </si>
  <si>
    <t>A.K.Capital Services Ltd.</t>
  </si>
  <si>
    <t>Vadilal Enterprises Ltd.,</t>
  </si>
  <si>
    <t>U. Y. FINCORP LIMITED</t>
  </si>
  <si>
    <t>Bharat Seats Ltd</t>
  </si>
  <si>
    <t>Gujarat Sidhee Cement Limited.,</t>
  </si>
  <si>
    <t>Radhe Developers (India) ltd.</t>
  </si>
  <si>
    <t>Milkfood Ltd.,</t>
  </si>
  <si>
    <t>Shri Dinesh Mills Ltd.,</t>
  </si>
  <si>
    <t>Sinclairs Hotels Ltd</t>
  </si>
  <si>
    <t>ADC India Communications Limited</t>
  </si>
  <si>
    <t>Vaarad Ventures Ltd</t>
  </si>
  <si>
    <t>Pradeep Metals Ltd.</t>
  </si>
  <si>
    <t>Newtime Infrastructure Limited</t>
  </si>
  <si>
    <t>Waterbase Limited</t>
  </si>
  <si>
    <t>IFL ENTERPRISES LIMITED</t>
  </si>
  <si>
    <t>Lotus Chocolate Co. Ltd.,</t>
  </si>
  <si>
    <t>Indag Rubber Ltd.,</t>
  </si>
  <si>
    <t>HCP PLASTENE BULKPACK LIMITED</t>
  </si>
  <si>
    <t>Dai-Ichi Karkaria Ltd.</t>
  </si>
  <si>
    <t>Shish Industries Limited</t>
  </si>
  <si>
    <t>Veljan Denison Limited</t>
  </si>
  <si>
    <t>Amal Ltd</t>
  </si>
  <si>
    <t>Systematix Corporate Services Ltd.</t>
  </si>
  <si>
    <t>SWISS MILITARY CONSUMER GOODS LIMITED</t>
  </si>
  <si>
    <t>HINDUSTHAN URBAN INFRASTRUCTURE LIMITED</t>
  </si>
  <si>
    <t>DHP India Ltd.</t>
  </si>
  <si>
    <t>Channel Nine Entertainment Limited</t>
  </si>
  <si>
    <t>Modi Naturals Limited</t>
  </si>
  <si>
    <t>MODI’S NAVNIRMAN LIMITED</t>
  </si>
  <si>
    <t>PRIME FRESH LIMITED</t>
  </si>
  <si>
    <t>Saraswati Commercial (India) Ltd.,</t>
  </si>
  <si>
    <t>INSOLATION ENERGY LIMITED</t>
  </si>
  <si>
    <t>Indokem Ltd</t>
  </si>
  <si>
    <t>Mangalam Industrial Finance Limited</t>
  </si>
  <si>
    <t>Vijay Solvex Ltd.</t>
  </si>
  <si>
    <t>WAAREE TECHNOLOGIES LIMITED</t>
  </si>
  <si>
    <t>Artson Engineering Ltd</t>
  </si>
  <si>
    <t>Kappac Pharma Ltd.,</t>
  </si>
  <si>
    <t>Sealmatic India Limited</t>
  </si>
  <si>
    <t>ORIENTAL RAIL INFRASTRUCTURE LIMITED</t>
  </si>
  <si>
    <t>PRABHAT TECHNOLOGIES (INDIA) LIMITED</t>
  </si>
  <si>
    <t>Partani Appliances Limited</t>
  </si>
  <si>
    <t>TALBROS ENGINEERING LIMITED</t>
  </si>
  <si>
    <t>Eco Friendly Food Processing Park Limited</t>
  </si>
  <si>
    <t>Lakshmi Mills Company ltd</t>
  </si>
  <si>
    <t>Sika Interplant Systems Ltd.,</t>
  </si>
  <si>
    <t>SERA INVESTMENTS &amp; FINANCE INDIA LIMITED</t>
  </si>
  <si>
    <t>Bambino Agro Industries Ltd</t>
  </si>
  <si>
    <t>Panchmahal Steel Ltd.</t>
  </si>
  <si>
    <t>Blue Cloud Softech Solutions Limited</t>
  </si>
  <si>
    <t>Jaykay Enterprises Limited</t>
  </si>
  <si>
    <t>THINKINK PICTUREZ LIMITED</t>
  </si>
  <si>
    <t>Garg Acrylics Limited</t>
  </si>
  <si>
    <t>RIR POWER ELECTRONICS LIMITED</t>
  </si>
  <si>
    <t>Alufluoride Ltd.</t>
  </si>
  <si>
    <t>Multibase India Ltd</t>
  </si>
  <si>
    <t>Markolines Pavement Technologies Limited</t>
  </si>
  <si>
    <t>Deep Polymers Limited</t>
  </si>
  <si>
    <t>Vishvjyoti Trading Ltd.,</t>
  </si>
  <si>
    <t>Jay Ushin Ltd.</t>
  </si>
  <si>
    <t>Menon Pistons Ltd.</t>
  </si>
  <si>
    <t>Ajanta Soya Limited</t>
  </si>
  <si>
    <t>Bhatia Communications &amp; Retail (India) Limited</t>
  </si>
  <si>
    <t>Uday Jewellery Industries Limited.</t>
  </si>
  <si>
    <t>Panchsheel Organic Ltd.</t>
  </si>
  <si>
    <t>Cosmo Ferrites Ltd.,</t>
  </si>
  <si>
    <t>Super Sales India Ltd.</t>
  </si>
  <si>
    <t>ABans Enterprises Limited</t>
  </si>
  <si>
    <t>Kings Infra Ventures Limited</t>
  </si>
  <si>
    <t>Videocon Industries Ltd.</t>
  </si>
  <si>
    <t>Simplex Trading &amp; Agencies Ltd.,</t>
  </si>
  <si>
    <t>Birla Precision Technologies Ltd</t>
  </si>
  <si>
    <t>Eco Recycling Limited</t>
  </si>
  <si>
    <t>SoftSol India Limited.</t>
  </si>
  <si>
    <t>CEINSYS TECH LIMITED</t>
  </si>
  <si>
    <t>Indian Toners &amp; Developers Ltd.,</t>
  </si>
  <si>
    <t>VINTAGE COFFEE AND BEVERAGES LIMITED</t>
  </si>
  <si>
    <t>Bright Outdoor Media Limited</t>
  </si>
  <si>
    <t>Lakshmi Electrical Control Systems</t>
  </si>
  <si>
    <t>Indrayani Biotech Ltd.</t>
  </si>
  <si>
    <t>Cochin Minerals &amp; Rutile Ltd.,</t>
  </si>
  <si>
    <t>Diksat Transworld Limited</t>
  </si>
  <si>
    <t>Mitsu Chem Plast Limited</t>
  </si>
  <si>
    <t>Kaira Can Co. Ltd.,</t>
  </si>
  <si>
    <t>M. K. Exim (India) Ltd.</t>
  </si>
  <si>
    <t>QUEST CAPITAL MARKETS LIMITED</t>
  </si>
  <si>
    <t>Vikram Thermo (India) Ltd.</t>
  </si>
  <si>
    <t>B-RIGHT REALESTATE LIMITED</t>
  </si>
  <si>
    <t>Dee Kartavya Finance Ltd.</t>
  </si>
  <si>
    <t>Nettlinx Ltd.</t>
  </si>
  <si>
    <t>Neelamalai Agro Industries Ltd.,</t>
  </si>
  <si>
    <t>Modern Insulators Ltd.,</t>
  </si>
  <si>
    <t>Mangal Credit and Fincorp Limited</t>
  </si>
  <si>
    <t>Ovobel Foods Ltd.</t>
  </si>
  <si>
    <t>Indo US Bio-Tech Limited</t>
  </si>
  <si>
    <t>Sri Sarvaraya Sugars Limited</t>
  </si>
  <si>
    <t>Taylormade Renewables Limited</t>
  </si>
  <si>
    <t>Macfos Limited</t>
  </si>
  <si>
    <t>Mangalam Seeds Limited</t>
  </si>
  <si>
    <t>India Nivesh Limited</t>
  </si>
  <si>
    <t>SPEL Semiconductor Ltd.</t>
  </si>
  <si>
    <t>JCT Ltd</t>
  </si>
  <si>
    <t>P.G.Foils Ltd.</t>
  </si>
  <si>
    <t>Kinetic Engineering Ltd.,</t>
  </si>
  <si>
    <t>RUDRA GLOBAL INFRA PRODUCTS LIMITED</t>
  </si>
  <si>
    <t>Kaiser Corporation Limited</t>
  </si>
  <si>
    <t>Titan Bio-Tech Ltd.</t>
  </si>
  <si>
    <t>JK Agri Genetics Limited</t>
  </si>
  <si>
    <t>VTM Ltd</t>
  </si>
  <si>
    <t>International Travel House Ltd</t>
  </si>
  <si>
    <t>Batliboi Ltd</t>
  </si>
  <si>
    <t>Alpine Housing Development Corporat</t>
  </si>
  <si>
    <t>Sakthi Finance Ltd.,</t>
  </si>
  <si>
    <t>Maximus International Limited</t>
  </si>
  <si>
    <t>Bharat Parenterals Limited</t>
  </si>
  <si>
    <t>Mercantile Ventures Limited</t>
  </si>
  <si>
    <t>R&amp;B Denims Limited</t>
  </si>
  <si>
    <t>Kanchi Karpooram Ltd.</t>
  </si>
  <si>
    <t>RRIL LIMITED</t>
  </si>
  <si>
    <t>Ashapuri Gold Ornament Limited</t>
  </si>
  <si>
    <t>Hemant Surgical Industries Limited</t>
  </si>
  <si>
    <t>Rajoo Engineers Ltd.</t>
  </si>
  <si>
    <t>Calcom Vision Ltd.,</t>
  </si>
  <si>
    <t>Shri Venkatesh Refineries Limited</t>
  </si>
  <si>
    <t>Ultracab (India) Limited</t>
  </si>
  <si>
    <t>NAVKAR URBANSTRUCTURE LIMITED</t>
  </si>
  <si>
    <t>India Gelatine &amp; Chemicals Ltd.</t>
  </si>
  <si>
    <t>South India Paper Mills Ltd.</t>
  </si>
  <si>
    <t>White Organic Retail Limited</t>
  </si>
  <si>
    <t>SBEC Sugar Ltd.</t>
  </si>
  <si>
    <t>RMC SWITCHGEARS LIMITED</t>
  </si>
  <si>
    <t>PANORAMA STUDIOS INTERNATIONAL LIMITED</t>
  </si>
  <si>
    <t>GEE Ltd.</t>
  </si>
  <si>
    <t>Jaypee Infratech Limited</t>
  </si>
  <si>
    <t>Narmada Gelatines Ltd.</t>
  </si>
  <si>
    <t>Refex Renewables &amp; Infrastructure Limited</t>
  </si>
  <si>
    <t>Apollo Finvest (India) Ltd.,</t>
  </si>
  <si>
    <t>G M Polyplast Limited</t>
  </si>
  <si>
    <t>Graviss Hospitality Ltd</t>
  </si>
  <si>
    <t>Uni-Abex Alloy Products Ltd.,</t>
  </si>
  <si>
    <t>Ambalal Sarabhai Enterprise Ltd.,</t>
  </si>
  <si>
    <t>Hindustan Organic Chemicals Ltd.,</t>
  </si>
  <si>
    <t>Jasch Industries Ltd.</t>
  </si>
  <si>
    <t>Surat Textile Mills Ltd</t>
  </si>
  <si>
    <t>Panasonic Energy India Co. Ltd.</t>
  </si>
  <si>
    <t>Scan Steels Limited</t>
  </si>
  <si>
    <t>Nile Ltd.</t>
  </si>
  <si>
    <t>Cg-Vak Software &amp; Exports Ltd.</t>
  </si>
  <si>
    <t>Innovators Facade Systems Limited</t>
  </si>
  <si>
    <t>Parshva Enterprises Limited</t>
  </si>
  <si>
    <t>Ashnisha Industries Limited</t>
  </si>
  <si>
    <t>Panasonic Carbon India Co.Ltd</t>
  </si>
  <si>
    <t>ABM Knowledgeware Ltd.</t>
  </si>
  <si>
    <t>KANORIA ENERGY AND INFRASTRUCTURE LIMITED</t>
  </si>
  <si>
    <t>Ambar Protein Industries Limited</t>
  </si>
  <si>
    <t>Aveer Foods Limited</t>
  </si>
  <si>
    <t>KIMIA BIOSCIENCES LIMITED</t>
  </si>
  <si>
    <t>First Financial Services Ltd</t>
  </si>
  <si>
    <t>Investment &amp; Precision Castings Ltd</t>
  </si>
  <si>
    <t>Gretex Corporate Services Limited</t>
  </si>
  <si>
    <t>Mahavir Advanced Remedies Limited</t>
  </si>
  <si>
    <t>Deepak Spinners Ltd.,</t>
  </si>
  <si>
    <t>Shardul Securities Ltd.</t>
  </si>
  <si>
    <t>Shri Keshav Cements and Infra Limited</t>
  </si>
  <si>
    <t>OK Play India Ltd.</t>
  </si>
  <si>
    <t>Basant Agro-Tech (India) Ltd.,</t>
  </si>
  <si>
    <t>Exhicon Events Media Solutions Limited</t>
  </si>
  <si>
    <t>Danlaw Technologies India Ltd.</t>
  </si>
  <si>
    <t>BOMBAY OXYGEN INVESTMENTS LIMITED</t>
  </si>
  <si>
    <t>Smruthi Organics Limited</t>
  </si>
  <si>
    <t>Cosmic CRF Limited</t>
  </si>
  <si>
    <t>Som Datt Finance Corporation Ltd.</t>
  </si>
  <si>
    <t>Trident Lifeline Limited</t>
  </si>
  <si>
    <t>Asian Hotels (West) Ltd</t>
  </si>
  <si>
    <t>Frontier Springs Ltd.</t>
  </si>
  <si>
    <t>Suraj Ltd.</t>
  </si>
  <si>
    <t>Samrat Pharmachem Ltd.</t>
  </si>
  <si>
    <t>Golden Legand Leasing &amp; Finance Ltd</t>
  </si>
  <si>
    <t>Triton Valves Ltd.,</t>
  </si>
  <si>
    <t>Globus Constructors &amp; Developers Limited</t>
  </si>
  <si>
    <t>Bimetal Bearings Ltd</t>
  </si>
  <si>
    <t>Nitin Castings Limited</t>
  </si>
  <si>
    <t>Hazoor Multi Projects Limited</t>
  </si>
  <si>
    <t>Caprihans India Ltd.,</t>
  </si>
  <si>
    <t>Tyche Industries Ltd.</t>
  </si>
  <si>
    <t>SUDARSHAN PHARMA INDUSTRIES LIMITED</t>
  </si>
  <si>
    <t>Ratnabhumi Developers Limited</t>
  </si>
  <si>
    <t>Suraj Products Ltd.</t>
  </si>
  <si>
    <t>The Indian Wood Products Co. Ltd.</t>
  </si>
  <si>
    <t>Indian Acrylics Ltd</t>
  </si>
  <si>
    <t>SILICON RENTAL SOLUTIONS LIMITED</t>
  </si>
  <si>
    <t>RDB Rasayans Limited</t>
  </si>
  <si>
    <t>IM+ Capitals Limited</t>
  </si>
  <si>
    <t>Capital Trade Links Limited</t>
  </si>
  <si>
    <t>GROWINGTON VENTURES INDIA LIMITED</t>
  </si>
  <si>
    <t>S &amp; T Corporation Limited</t>
  </si>
  <si>
    <t>Manas Properties Limited</t>
  </si>
  <si>
    <t>AARNAV FASHIONS LIMITED</t>
  </si>
  <si>
    <t>Dhabriya Polywood Limited</t>
  </si>
  <si>
    <t>Indian Infotech And Software Ltd.,</t>
  </si>
  <si>
    <t>Shree Ram Urban Infrastructure Ltd</t>
  </si>
  <si>
    <t>Syschem (India) Ltd.</t>
  </si>
  <si>
    <t>Available Finance Ltd.</t>
  </si>
  <si>
    <t>Sharp India Ltd</t>
  </si>
  <si>
    <t>Universal Autofoundry Limited</t>
  </si>
  <si>
    <t>SHRI BAJRANG ALLIANCE LIMITED</t>
  </si>
  <si>
    <t>Swadeshi Polytex Ltd.,</t>
  </si>
  <si>
    <t>LAST MILE ENTERPRISES LIMITED</t>
  </si>
  <si>
    <t>Duncan Engineering Limited</t>
  </si>
  <si>
    <t>FACOR Alloys Limited</t>
  </si>
  <si>
    <t>Majestic Auto Ltd.,</t>
  </si>
  <si>
    <t>Galactico Corporate Services Limited</t>
  </si>
  <si>
    <t>Dhanleela Investments &amp; Trading Company Ltd</t>
  </si>
  <si>
    <t>Sicagen India Limited</t>
  </si>
  <si>
    <t>KIC Metaliks Ltd.</t>
  </si>
  <si>
    <t>Varun Shipping Co. Ltd.,</t>
  </si>
  <si>
    <t>STEELMAN TELECOM LIMITED</t>
  </si>
  <si>
    <t>Lykis Limited</t>
  </si>
  <si>
    <t>Vipul Organics Limited</t>
  </si>
  <si>
    <t>Bella Casa Fashion &amp; Retail Limited</t>
  </si>
  <si>
    <t>Competent Automobiles Co. Ltd.</t>
  </si>
  <si>
    <t>Polson Ltd.,</t>
  </si>
  <si>
    <t>Shree Ajit Pulp And Paper Ltd.</t>
  </si>
  <si>
    <t>Filatex Fashions Ltd</t>
  </si>
  <si>
    <t>LEHAR FOOTWEARS LIMITED</t>
  </si>
  <si>
    <t>Archit Organosys Limited</t>
  </si>
  <si>
    <t>Aryaman Financial Services Ltd.</t>
  </si>
  <si>
    <t>Suraj Industries Limited.,</t>
  </si>
  <si>
    <t>Samkrg Pistons and Rings Ltd.</t>
  </si>
  <si>
    <t>Magna Electro Castings Ltd.</t>
  </si>
  <si>
    <t>Concord Control Systems Limited</t>
  </si>
  <si>
    <t>Shreekrishna Biotech Ltd.</t>
  </si>
  <si>
    <t>CRB Share Custodian Services Ltd</t>
  </si>
  <si>
    <t>EVEXIA LIFECARE LIMITED</t>
  </si>
  <si>
    <t>Shri Gang Industries &amp; Allied Products Limited</t>
  </si>
  <si>
    <t>HIMALAYA FOOD INTERNATIONAL LIMITED</t>
  </si>
  <si>
    <t>Paul Merchants Ltd.</t>
  </si>
  <si>
    <t>INNOKAIZ INDIA LIMITED</t>
  </si>
  <si>
    <t>LIKHAMI CONSULTING LIMITED</t>
  </si>
  <si>
    <t>SCOOBEE DAY GARMENTS (INDIA) LIMITED</t>
  </si>
  <si>
    <t>Alstone Textiles (India) Limited</t>
  </si>
  <si>
    <t>Alphalogic Techsys Limited</t>
  </si>
  <si>
    <t>Lancor Holdings Ltd.</t>
  </si>
  <si>
    <t>Veer Global Infraconstruction Limited</t>
  </si>
  <si>
    <t>MIDEAST INTEGRATED STEELS LIMITED</t>
  </si>
  <si>
    <t>TechNVision Ventures Limited</t>
  </si>
  <si>
    <t>Sam Leaseco Ltd.,</t>
  </si>
  <si>
    <t>Rexnord Electronics &amp; Controls Ltd.</t>
  </si>
  <si>
    <t>Sanco Trans Ltd.,</t>
  </si>
  <si>
    <t>Munoth Capital Market Ltd</t>
  </si>
  <si>
    <t>Maxheights Infrastructure Limited</t>
  </si>
  <si>
    <t>Pressure Sensitive Systems (India)</t>
  </si>
  <si>
    <t>Partap Industries Limited</t>
  </si>
  <si>
    <t>Prima Plastics Ltd.</t>
  </si>
  <si>
    <t>Dolfin Rubbers Limited</t>
  </si>
  <si>
    <t>Dhyana Finstock Limited</t>
  </si>
  <si>
    <t>Patels Airtemp (I) Ltd.</t>
  </si>
  <si>
    <t>Josts Engineering Co. Ltd.,</t>
  </si>
  <si>
    <t>Khoday India Ltd.,</t>
  </si>
  <si>
    <t>PNGS GARGI FASHION JEWELLERY LIMITED</t>
  </si>
  <si>
    <t>Thakker's Developers Ltd.</t>
  </si>
  <si>
    <t>Scooters India Ltd.,</t>
  </si>
  <si>
    <t>Madhav Infra Projects Limited</t>
  </si>
  <si>
    <t>Bizotic Commercial Limited</t>
  </si>
  <si>
    <t>Naysaa Securities Limited</t>
  </si>
  <si>
    <t>Bemco Hydraulics Ltd.,</t>
  </si>
  <si>
    <t>Maruti Interior Products Limited</t>
  </si>
  <si>
    <t>Aashka Hospitals Limited</t>
  </si>
  <si>
    <t>Winsome Textile Industries Ltd</t>
  </si>
  <si>
    <t>KIFS Financial Services Ltd</t>
  </si>
  <si>
    <t>IP Rings Ltd.,</t>
  </si>
  <si>
    <t>Suchak Trading Ltd.</t>
  </si>
  <si>
    <t>Aimco Pesticides Ltd.,</t>
  </si>
  <si>
    <t>Freshtrop Fruits Ltd.</t>
  </si>
  <si>
    <t>CIAN Agro Industries &amp; Infrastructure Limited</t>
  </si>
  <si>
    <t>Sharat Industries Ltd.</t>
  </si>
  <si>
    <t>Sonal Mercantile Limited</t>
  </si>
  <si>
    <t>Add-Shop E-Retail Limited</t>
  </si>
  <si>
    <t>Maruti Infrastructure Ltd.</t>
  </si>
  <si>
    <t>Amarjothi Spinning Mills Ltd</t>
  </si>
  <si>
    <t>RTS Power Corporation Ltd.</t>
  </si>
  <si>
    <t>DUROPLY INDUSTRIES LIMITED</t>
  </si>
  <si>
    <t>Atlas Jewellery India Limited</t>
  </si>
  <si>
    <t>Karnavati Finance Limited</t>
  </si>
  <si>
    <t>Kkalpana Industries (India) Ltd</t>
  </si>
  <si>
    <t>Fluidomat Ltd.,</t>
  </si>
  <si>
    <t>Vishal Bearings Limited</t>
  </si>
  <si>
    <t>INDOSOLAR LIMITED</t>
  </si>
  <si>
    <t>SAB INDUSTRIES LIMITED</t>
  </si>
  <si>
    <t>Vibrant Global Capital Limited</t>
  </si>
  <si>
    <t>Shahlon Silk Industries Limited</t>
  </si>
  <si>
    <t>Coromandel Engineering Company Limited</t>
  </si>
  <si>
    <t>Garnet International Limited</t>
  </si>
  <si>
    <t>Bilcare Ltd.</t>
  </si>
  <si>
    <t>SEACOAST SHIPPING SERVICES LIMITED</t>
  </si>
  <si>
    <t>Gujarat Natural Resources Limited</t>
  </si>
  <si>
    <t>Krishna Ventures Limited</t>
  </si>
  <si>
    <t>Suyog Gurbaxani Funicular Ropeways Limited</t>
  </si>
  <si>
    <t>Diligent Industries Limited</t>
  </si>
  <si>
    <t>ASI INDUSTRIES LIMITED</t>
  </si>
  <si>
    <t>Tamboli Capital Limited</t>
  </si>
  <si>
    <t>Sunrise Efficient Marketing Limited</t>
  </si>
  <si>
    <t>Premco Global Ltd.</t>
  </si>
  <si>
    <t>Flex Foods Ltd.,</t>
  </si>
  <si>
    <t>Hindustan Adhesives Ltd.</t>
  </si>
  <si>
    <t>VJTF Eduservices Limited</t>
  </si>
  <si>
    <t>Narbada Gems and Jewellery Limited</t>
  </si>
  <si>
    <t>Keerthi Industries Ltd</t>
  </si>
  <si>
    <t>ANG Lifesciences India Limited</t>
  </si>
  <si>
    <t>Ishan Dyes &amp; Chemicals Ltd.</t>
  </si>
  <si>
    <t>APM Industries Ltd.,</t>
  </si>
  <si>
    <t>Standard Capital Markets Ltd.</t>
  </si>
  <si>
    <t>CHL Limited</t>
  </si>
  <si>
    <t>Comfort Intech Ltd</t>
  </si>
  <si>
    <t>Virat Industries Ltd.</t>
  </si>
  <si>
    <t>PMC Fincorp Limited</t>
  </si>
  <si>
    <t>Denis Chem Lab Limited</t>
  </si>
  <si>
    <t>Radix Industries (India) Limited</t>
  </si>
  <si>
    <t>Indsil Hydro Power and Manganese Limited</t>
  </si>
  <si>
    <t>RSD Finance Limited</t>
  </si>
  <si>
    <t>Valiant Communications Ltd.</t>
  </si>
  <si>
    <t>James Warren Tea Limited</t>
  </si>
  <si>
    <t>Kerala Ayurveda Limited</t>
  </si>
  <si>
    <t>NATH INDUSTRIES LIMITED</t>
  </si>
  <si>
    <t>Lohia Securities Limited</t>
  </si>
  <si>
    <t>Sayaji Industries Limited</t>
  </si>
  <si>
    <t>Bharat Immunologicals &amp; Biologicals</t>
  </si>
  <si>
    <t>Keltech Energies Ltd.</t>
  </si>
  <si>
    <t>Resonance Specialties Limited</t>
  </si>
  <si>
    <t>KG Petrochem Ltd.</t>
  </si>
  <si>
    <t>Gennex Laboratories Ltd</t>
  </si>
  <si>
    <t>Indian Sucrose Ltd.</t>
  </si>
  <si>
    <t>TCI Industries Ltd.,</t>
  </si>
  <si>
    <t>Ekansh Concepts Limited</t>
  </si>
  <si>
    <t>Ballarpur Industries Ltd.,</t>
  </si>
  <si>
    <t>WEST LEISURE RESORTS LIMITED</t>
  </si>
  <si>
    <t>Metroglobal Limited</t>
  </si>
  <si>
    <t>Shervani Industrial syndicate Ltd</t>
  </si>
  <si>
    <t>VEDAVAAG Systems Limited</t>
  </si>
  <si>
    <t>Vistar Amar Limited</t>
  </si>
  <si>
    <t>International Combustion (India) Lt</t>
  </si>
  <si>
    <t>Pacific Industries ltd.</t>
  </si>
  <si>
    <t>Patdiam Jewellery Limited</t>
  </si>
  <si>
    <t>KPT INDUSTRIES LIMITED</t>
  </si>
  <si>
    <t>Hindustan Tin Works Ltd.</t>
  </si>
  <si>
    <t>LKP Finance Limited</t>
  </si>
  <si>
    <t>Zodiac Ventures Limited</t>
  </si>
  <si>
    <t>Shukra Pharmaceuticals Limited</t>
  </si>
  <si>
    <t>S V Global Mill Limited</t>
  </si>
  <si>
    <t>Transcorp International Ltd.</t>
  </si>
  <si>
    <t>Maiden Forgings Limited</t>
  </si>
  <si>
    <t>Aashrit Capital Limited</t>
  </si>
  <si>
    <t>SNL Bearings Ltd.</t>
  </si>
  <si>
    <t>Vippy Spinpro Ltd.</t>
  </si>
  <si>
    <t>RESGEN LIMITED</t>
  </si>
  <si>
    <t>GENPHARMASEC LIMITED</t>
  </si>
  <si>
    <t>Odyssey Technologies Ltd.</t>
  </si>
  <si>
    <t>BLS Infotech Limited</t>
  </si>
  <si>
    <t>PS IT Infrastructure &amp; Services Limited</t>
  </si>
  <si>
    <t>LKP Securities Limited</t>
  </si>
  <si>
    <t>Fortis Malar Hospitals Limited</t>
  </si>
  <si>
    <t>PRISMX GLOBAL VENTURES LIMITED</t>
  </si>
  <si>
    <t>Captain Technocast Limited</t>
  </si>
  <si>
    <t>Gujarat Containers Ltd.</t>
  </si>
  <si>
    <t>McDowell Holdings Limited</t>
  </si>
  <si>
    <t>CAPTAIN POLYPLAST LIMITED</t>
  </si>
  <si>
    <t>Rungta Irrigation Ltd.</t>
  </si>
  <si>
    <t>Dhatre Udyog Limited</t>
  </si>
  <si>
    <t>Khemani Distributors &amp; Marketing Limited</t>
  </si>
  <si>
    <t>JAYANT INFRATECH LIMITED</t>
  </si>
  <si>
    <t>Nagpur Power &amp; Industries Ltd</t>
  </si>
  <si>
    <t>KBS INDIA LIMITED</t>
  </si>
  <si>
    <t>Coral Laboratories Ltd.</t>
  </si>
  <si>
    <t>Mishka Exim Limited</t>
  </si>
  <si>
    <t>NTC INDUSTRIES LIMITED</t>
  </si>
  <si>
    <t>Mefcom Capital Markets Ltd.</t>
  </si>
  <si>
    <t>Kenvi Jewels Limited</t>
  </si>
  <si>
    <t>Parvati Sweetners and Power Ltd.</t>
  </si>
  <si>
    <t>Global Offshore Services Ltd</t>
  </si>
  <si>
    <t>Shree Securities Ltd.</t>
  </si>
  <si>
    <t>Shriram Asset Management Co.Ltd.</t>
  </si>
  <si>
    <t>Zeal Aqua Limited</t>
  </si>
  <si>
    <t>Atlanta Infrastructure and Finance Ltd.</t>
  </si>
  <si>
    <t>Edvenswa Enterprises Limited</t>
  </si>
  <si>
    <t>Cenlub Industries Ltd.</t>
  </si>
  <si>
    <t>Sagarsoft (India) Limited</t>
  </si>
  <si>
    <t>Cravatex Ltd.</t>
  </si>
  <si>
    <t>Rishiroop Limited</t>
  </si>
  <si>
    <t>Samrat Forgings Limited</t>
  </si>
  <si>
    <t>Secmark Consultancy Limited</t>
  </si>
  <si>
    <t>Ludlow Jute &amp; Specialities Ltd</t>
  </si>
  <si>
    <t>BRAHMAPUTRA INFRASTRUCTURE LIMITED</t>
  </si>
  <si>
    <t>Gorani Industries Ltd.</t>
  </si>
  <si>
    <t>Raja Bahadur International Ltd</t>
  </si>
  <si>
    <t>Kalyan Capitals Limited</t>
  </si>
  <si>
    <t>Shiva Global Agro Industries Limited</t>
  </si>
  <si>
    <t>Shalibhadra Finance Ltd.</t>
  </si>
  <si>
    <t>GOBLIN INDIA LIMITED</t>
  </si>
  <si>
    <t>Tejnaksh Healthcare Limited</t>
  </si>
  <si>
    <t>Rajlaxmi Industries Ltd.,</t>
  </si>
  <si>
    <t>GTV Engineering Limited</t>
  </si>
  <si>
    <t>Halder Venture Limited</t>
  </si>
  <si>
    <t>Bhilwara Technical Textiles Limited</t>
  </si>
  <si>
    <t>La Tim Metal &amp; Industries Limited</t>
  </si>
  <si>
    <t>TRESCON LIMITED</t>
  </si>
  <si>
    <t>Mysore Paper Mills Limited</t>
  </si>
  <si>
    <t>Chandra Bhagat Pharma Limited</t>
  </si>
  <si>
    <t>Bright Brothers Ltd.,</t>
  </si>
  <si>
    <t>Bansal Roofing Products Limited</t>
  </si>
  <si>
    <t>REGIS INDUSTRIES LIMITED</t>
  </si>
  <si>
    <t>AI CHAMPDANY INDUSTRIES LIMITED</t>
  </si>
  <si>
    <t>Pooja Entertainment and Films Ltd.</t>
  </si>
  <si>
    <t>Kranti Industries Limited</t>
  </si>
  <si>
    <t>SPS Finquest Limited</t>
  </si>
  <si>
    <t>Mercury Laboratories Limited</t>
  </si>
  <si>
    <t>Bihar Sponge Iron Ltd</t>
  </si>
  <si>
    <t>Sunshine Capital Ltd.</t>
  </si>
  <si>
    <t>Bhagwati Autocast Limited</t>
  </si>
  <si>
    <t>B &amp; A Ltd.</t>
  </si>
  <si>
    <t>Everest Organics Ltd.</t>
  </si>
  <si>
    <t>Kemp &amp; Company Limited</t>
  </si>
  <si>
    <t>Tilak Ventures Limited</t>
  </si>
  <si>
    <t>Cals Refineries Ltd</t>
  </si>
  <si>
    <t>CREDENT GLOBAL FINANCE LIMITED</t>
  </si>
  <si>
    <t>FAZE THREE AUTOFAB LIMITED</t>
  </si>
  <si>
    <t>Lahoti Overseas Ltd.</t>
  </si>
  <si>
    <t>ADITYA CONSUMER MARKETING LIMITED</t>
  </si>
  <si>
    <t>Akar Auto Industries Limited</t>
  </si>
  <si>
    <t>Jolly Plastic Industries Ltd.,</t>
  </si>
  <si>
    <t>Ganga Papers India Ltd</t>
  </si>
  <si>
    <t>ACCEL LIMITED</t>
  </si>
  <si>
    <t>VEERAM SECURITIES LIMITED</t>
  </si>
  <si>
    <t>Jeevan Scientific Technology Limited</t>
  </si>
  <si>
    <t>Loyal Equipments Limited</t>
  </si>
  <si>
    <t>Kintech Renewables Limited</t>
  </si>
  <si>
    <t>Savera Industries Ltd.</t>
  </si>
  <si>
    <t>Best Eastern Hotels Limited</t>
  </si>
  <si>
    <t>Emerald Leasing Finance &amp; Investment Company Limited</t>
  </si>
  <si>
    <t>POCL ENTERPRISES LTD</t>
  </si>
  <si>
    <t>Medico Intercontinental Limited</t>
  </si>
  <si>
    <t>PHOENIX TOWNSHIP LIMITED</t>
  </si>
  <si>
    <t>Rajeshwari Cans Limited</t>
  </si>
  <si>
    <t>BDH Industries Ltd.</t>
  </si>
  <si>
    <t>Super Tannery Limited</t>
  </si>
  <si>
    <t>Yash Chemex Limited</t>
  </si>
  <si>
    <t>Dutron Polymers Ltd.</t>
  </si>
  <si>
    <t>India Finsec Limited</t>
  </si>
  <si>
    <t>Kanishk Steel Industries Ltd</t>
  </si>
  <si>
    <t>Nilachal Refractories Ltd.</t>
  </si>
  <si>
    <t>Sprayking Agro Equipment Limited</t>
  </si>
  <si>
    <t>Gautam Gems Limited</t>
  </si>
  <si>
    <t>Golkunda Diamonds &amp; Jewellery Ltd.</t>
  </si>
  <si>
    <t>DIVYASHAKTI LIMITED</t>
  </si>
  <si>
    <t>Sunayana Investment Company Limited</t>
  </si>
  <si>
    <t>Mysore Petro Chemicals Ltd.,</t>
  </si>
  <si>
    <t>Superior Industrial Enterprises Limited</t>
  </si>
  <si>
    <t>Parnax Lab Limited</t>
  </si>
  <si>
    <t>Baba Arts Ltd</t>
  </si>
  <si>
    <t>WEP Solutions Ltd</t>
  </si>
  <si>
    <t>CASPIAN CORPORATE SERVICES LIMITED</t>
  </si>
  <si>
    <t>Dunlop India Ltd.,</t>
  </si>
  <si>
    <t>Punj LLoyd Ltd</t>
  </si>
  <si>
    <t>BCPL Railway Infrastructure Limited</t>
  </si>
  <si>
    <t>Sir Shadi Lal Enterprises Ltd</t>
  </si>
  <si>
    <t>Tirupati Fincorp Limited</t>
  </si>
  <si>
    <t>Athena Global Technologies Limited</t>
  </si>
  <si>
    <t>Kothari Fermanatation &amp; Biochem Ltd</t>
  </si>
  <si>
    <t>RDB Realty &amp; Infrastructure Limited</t>
  </si>
  <si>
    <t>COLORCHIPS NEW MEDIA LIMITED</t>
  </si>
  <si>
    <t>Gujarat Toolroom Ltd.</t>
  </si>
  <si>
    <t>Veerkrupa Jewellers Limited</t>
  </si>
  <si>
    <t>FLOMIC GLOBAL LOGISTICS LIMITED</t>
  </si>
  <si>
    <t>Hemang Resources Limited</t>
  </si>
  <si>
    <t>Elnet Technologies Ltd.</t>
  </si>
  <si>
    <t>Comrade Appliances Limited</t>
  </si>
  <si>
    <t>Source Natural Foods &amp; Herbal Suppl Ltd</t>
  </si>
  <si>
    <t>Kesar Enterprises Ltd.,</t>
  </si>
  <si>
    <t>Amba Enterprises Ltd.</t>
  </si>
  <si>
    <t>The Ramaraju Surgical Cotton Mills Limited</t>
  </si>
  <si>
    <t>Machino Plastics Ltd</t>
  </si>
  <si>
    <t>K.G.Denim Ltd</t>
  </si>
  <si>
    <t>UR SUGAR INDUSTRIES LIMITED</t>
  </si>
  <si>
    <t>Arnold Holdings Ltd</t>
  </si>
  <si>
    <t>Advik Capital Limited</t>
  </si>
  <si>
    <t>Cosco (India) ltd.</t>
  </si>
  <si>
    <t>SAL AUTOMOTIVE LIMITED</t>
  </si>
  <si>
    <t>BONLON INDUSTRIES LIMITED</t>
  </si>
  <si>
    <t>HIM TEKNOFORGE LIMITED</t>
  </si>
  <si>
    <t>COMFORT FINCAP LIMITED</t>
  </si>
  <si>
    <t>Warren Tea Ltd.</t>
  </si>
  <si>
    <t>RAMINFO LIMITED</t>
  </si>
  <si>
    <t>Angel Fibers Limited</t>
  </si>
  <si>
    <t>Saboo Sodium Chloro Ltd.</t>
  </si>
  <si>
    <t>Trident Texofab Limited</t>
  </si>
  <si>
    <t>Manpasand Beverages Limited</t>
  </si>
  <si>
    <t>KOVILPATTI LAKSHMI ROLLER FLOUR MILLS LTD</t>
  </si>
  <si>
    <t>KCL Limited</t>
  </si>
  <si>
    <t>National Plastic Technologies Ltd</t>
  </si>
  <si>
    <t>T &amp; I Global Ltd.</t>
  </si>
  <si>
    <t>Tayo Rolls Ltd.</t>
  </si>
  <si>
    <t>Anjani Foods Limited</t>
  </si>
  <si>
    <t>Eastern Logica Infoway Limited</t>
  </si>
  <si>
    <t>Banas Finance Limited</t>
  </si>
  <si>
    <t>Canopy Finance Limited</t>
  </si>
  <si>
    <t>Relicab Cable Manufacturing Limited</t>
  </si>
  <si>
    <t>National Fittings Limited</t>
  </si>
  <si>
    <t>Cian Healthcare Limited</t>
  </si>
  <si>
    <t>Sampre Nutritions Ltd.</t>
  </si>
  <si>
    <t>W.H. Brady &amp; Co. Ltd.,</t>
  </si>
  <si>
    <t>CANDOUR TECHTEX LIMITED</t>
  </si>
  <si>
    <t>Bengal Tea &amp; fabrics Ltd.</t>
  </si>
  <si>
    <t>MARSONS LIMITED</t>
  </si>
  <si>
    <t>India Steel Works Ltd</t>
  </si>
  <si>
    <t>Mishka Finance and Trading Limited</t>
  </si>
  <si>
    <t>JMT Auto Ltd</t>
  </si>
  <si>
    <t>Inditrade Capital Limited</t>
  </si>
  <si>
    <t>Global Capital Markets Ltd.</t>
  </si>
  <si>
    <t>Katare Spinning Mills Ltd.,</t>
  </si>
  <si>
    <t>Shreyas Intermediates Ltd.</t>
  </si>
  <si>
    <t>MAURIA UDYOG LIMITED</t>
  </si>
  <si>
    <t>Metal Coatings (India) Ltd.</t>
  </si>
  <si>
    <t>Alka India Ltd.</t>
  </si>
  <si>
    <t>M.M. Rubber Company Ltd.,</t>
  </si>
  <si>
    <t>REAL ECO-ENERGY LIMITED</t>
  </si>
  <si>
    <t>Tarini Enterprises Limited</t>
  </si>
  <si>
    <t>Anand Rayons Limited</t>
  </si>
  <si>
    <t>Sunil Healthcare Limited</t>
  </si>
  <si>
    <t>Olympia Industries Ltd.</t>
  </si>
  <si>
    <t>Shri Krishna Devcon Limited</t>
  </si>
  <si>
    <t>Vivanza Biosciences Limited</t>
  </si>
  <si>
    <t>Virat Crane Industries Ltd</t>
  </si>
  <si>
    <t>Mohindra Fasteners Limited</t>
  </si>
  <si>
    <t>Landmarc Leisure Corporation Ltd.</t>
  </si>
  <si>
    <t>Sagar Diamonds Limited</t>
  </si>
  <si>
    <t>Creative Castings Limited</t>
  </si>
  <si>
    <t>Uniply Industries Ltd.</t>
  </si>
  <si>
    <t>Active Clothing Co Limited</t>
  </si>
  <si>
    <t>Unistar Multimedia Ltd</t>
  </si>
  <si>
    <t>CLARA INDUSTRIES LIMITED</t>
  </si>
  <si>
    <t>Quadrant Televentures Limited</t>
  </si>
  <si>
    <t>SVP Housing Limited</t>
  </si>
  <si>
    <t>Asit C Mehta Financial Services Limited</t>
  </si>
  <si>
    <t>P.B.M. Polytex Ltd.,</t>
  </si>
  <si>
    <t>Tulsyan NEC Ltd</t>
  </si>
  <si>
    <t>Scanpoint Geomatics Limited</t>
  </si>
  <si>
    <t>Earthstahl &amp; Alloys Limited</t>
  </si>
  <si>
    <t>Makers Laboratories Ltd.</t>
  </si>
  <si>
    <t>QUEST SOFTECH (INDIA) LIMITED</t>
  </si>
  <si>
    <t>Aryaman Capital Markets Limited</t>
  </si>
  <si>
    <t>Godavari Drugs Ltd.</t>
  </si>
  <si>
    <t>ISL Consulting Ltd</t>
  </si>
  <si>
    <t>Delton Cables Ltd.,</t>
  </si>
  <si>
    <t>Era Buildsys Limited</t>
  </si>
  <si>
    <t>ITL Industries Ltd.</t>
  </si>
  <si>
    <t>SHRI VASUPRADA PLANTATIONS LIMITED</t>
  </si>
  <si>
    <t>Amrapali Industries Ltd</t>
  </si>
  <si>
    <t>Sumuka Agro Industries Limited</t>
  </si>
  <si>
    <t>GTN Industries Limited</t>
  </si>
  <si>
    <t>Prerna Infrabuild Limited</t>
  </si>
  <si>
    <t>GALAXY CLOUD KITCHENS LIMITED</t>
  </si>
  <si>
    <t>Abhinav Capital Services Limited</t>
  </si>
  <si>
    <t>Genesis Finance Company Limited</t>
  </si>
  <si>
    <t>United Van Der Horst Ltd.,</t>
  </si>
  <si>
    <t>COLAB CLOUD PLATFORMS LIMITED</t>
  </si>
  <si>
    <t>EAST WEST HOLDINGS LIMITED</t>
  </si>
  <si>
    <t>EIKO LIFESCIENCES LIMITED</t>
  </si>
  <si>
    <t>Adcon Capital Services Limited</t>
  </si>
  <si>
    <t>GKB Ophthalmics Ltd.</t>
  </si>
  <si>
    <t>Sambandam Spinning Mills Ltd.</t>
  </si>
  <si>
    <t>Sam Industries Ltd.</t>
  </si>
  <si>
    <t>Prime Industries Ltd.</t>
  </si>
  <si>
    <t>KESAR INDIA LIMITED</t>
  </si>
  <si>
    <t>Acrow (India) Ltd.,</t>
  </si>
  <si>
    <t>SM Auto Stamping Limited</t>
  </si>
  <si>
    <t>Mukesh Babu Financial Services Ltd.</t>
  </si>
  <si>
    <t>Visagar Financial Services Ltd</t>
  </si>
  <si>
    <t>Samor Reality Limited</t>
  </si>
  <si>
    <t>Lactose (India) Ltd.,</t>
  </si>
  <si>
    <t>Shilp Gravures Ltd.</t>
  </si>
  <si>
    <t>SADHNA BROADCAST LTD</t>
  </si>
  <si>
    <t>Gujarat State Financial corporation</t>
  </si>
  <si>
    <t>Tirupati Starch &amp; Chemicals Ltd.</t>
  </si>
  <si>
    <t>Upsurge Investment And Finance Ltd.</t>
  </si>
  <si>
    <t>Saptarishi Agro Industries Ltd</t>
  </si>
  <si>
    <t>Consolidated Construction Consortium Ltd</t>
  </si>
  <si>
    <t>Intellivate Capital Ventures Limited</t>
  </si>
  <si>
    <t>Suryaamba Spinning Mills Limited</t>
  </si>
  <si>
    <t>Escorp Asset Management Limited</t>
  </si>
  <si>
    <t>Kesar Petroproducts Ltd</t>
  </si>
  <si>
    <t>Dynavision Limited</t>
  </si>
  <si>
    <t>Shetron Ltd.</t>
  </si>
  <si>
    <t>Bombay Rayon Fashions Ltd.</t>
  </si>
  <si>
    <t>Waa Solar Limited</t>
  </si>
  <si>
    <t>National General Industries Ltd.</t>
  </si>
  <si>
    <t>HB Estate Developers Ltd.</t>
  </si>
  <si>
    <t>Tirupati Tyres Ltd.</t>
  </si>
  <si>
    <t>Saumya Consultants Ltd.</t>
  </si>
  <si>
    <t>Mystic Electronics Limited</t>
  </si>
  <si>
    <t>Shalimar Wires Industries Ltd.</t>
  </si>
  <si>
    <t>POLYSPIN EXPORTS LIMITED</t>
  </si>
  <si>
    <t>LUCENT INDUSTRIES LIMITED</t>
  </si>
  <si>
    <t>Jaysynth Dyestuff (India) Ltd.,</t>
  </si>
  <si>
    <t>Brady &amp; Morris Engineering Co. Ltd.</t>
  </si>
  <si>
    <t>BALASORE ALLOYS LTD</t>
  </si>
  <si>
    <t>CIL Nova Petrochemicals Limited</t>
  </si>
  <si>
    <t>Binayak Tex Processors Ltd.,</t>
  </si>
  <si>
    <t>Presha Metallurgical Ltd</t>
  </si>
  <si>
    <t>Ansal Buildwell Ltd.,</t>
  </si>
  <si>
    <t>KUSHAL LIMITED</t>
  </si>
  <si>
    <t>Sandu Pharmaceuticals Ltd.</t>
  </si>
  <si>
    <t>Bhatia Colour Chem Limited</t>
  </si>
  <si>
    <t>Retina Paints Limited</t>
  </si>
  <si>
    <t>Royale Manor Hotels &amp; Industries Lt</t>
  </si>
  <si>
    <t>Gayatri BioOrganics Ltd</t>
  </si>
  <si>
    <t>Goel Food Products Limited</t>
  </si>
  <si>
    <t>HG INDUSTRIES LIMITED</t>
  </si>
  <si>
    <t>Alfred Herbert (India) Ltd.,</t>
  </si>
  <si>
    <t>Eighty Jewellers Limited</t>
  </si>
  <si>
    <t>Sky Industries Ltd</t>
  </si>
  <si>
    <t>Aruna Hotels Ltd.</t>
  </si>
  <si>
    <t>Gujarat Hotels Ltd.</t>
  </si>
  <si>
    <t>CHENNAI FERROUS INDUSTRIES LIMITED</t>
  </si>
  <si>
    <t>Deccan Health Care Limited</t>
  </si>
  <si>
    <t>FAMILY CARE HOSPITALS LIMITED</t>
  </si>
  <si>
    <t>Universal Starch-Chem Allied Ltd.</t>
  </si>
  <si>
    <t>Gujarat Intrux Limited</t>
  </si>
  <si>
    <t>Opto Circuits (India) Ltd.</t>
  </si>
  <si>
    <t>Gammon India Ltd.,</t>
  </si>
  <si>
    <t>Sylph Technologies Ltd</t>
  </si>
  <si>
    <t>NITIN FIRE PROTECTION INDUSTRIES LIMITED</t>
  </si>
  <si>
    <t>STAR DELTA TRANSFORMERS LIMITED</t>
  </si>
  <si>
    <t>CROISSANCE LIMITED</t>
  </si>
  <si>
    <t>BSEL Infrastructure Realty Ltd.</t>
  </si>
  <si>
    <t>Kaycee Industries Ltd.,</t>
  </si>
  <si>
    <t>Modern Dairies Ltd.</t>
  </si>
  <si>
    <t>Rainbow Foundations Ltd</t>
  </si>
  <si>
    <t>Prithvi Exchange (India) Limited</t>
  </si>
  <si>
    <t>Simmonds-Marshall Ltd</t>
  </si>
  <si>
    <t>Insilco Ltd</t>
  </si>
  <si>
    <t>D &amp; H India Limited</t>
  </si>
  <si>
    <t>Vijay Textiles Ltd.</t>
  </si>
  <si>
    <t>Svarnim Trade Udyog Limited</t>
  </si>
  <si>
    <t>Naturite Agro Products Limited</t>
  </si>
  <si>
    <t>JMD Ventures Limited</t>
  </si>
  <si>
    <t>KALLAM TEXTILES LTD</t>
  </si>
  <si>
    <t>SHRISTI INFRASTRUCTURE DEVELOPMENT CORPORATION LTD.</t>
  </si>
  <si>
    <t>Austin Engineering Co. Ltd.,</t>
  </si>
  <si>
    <t>Suditi Industries Ltd.</t>
  </si>
  <si>
    <t>Lakshmi Automatic Loom Works Ltd.,</t>
  </si>
  <si>
    <t>Cargosol Logistics Limited</t>
  </si>
  <si>
    <t>Innovassynth Investments Limited</t>
  </si>
  <si>
    <t>MSR India Limited</t>
  </si>
  <si>
    <t>Punctual Trading Ltd.,</t>
  </si>
  <si>
    <t>Technopack Polymers Limited</t>
  </si>
  <si>
    <t>MODULEX CONSTRUCTION TECHNOLOGIES LIMITED</t>
  </si>
  <si>
    <t>MRC AGROTECH LIMITED</t>
  </si>
  <si>
    <t>Swasti Vinayaka Synthetics Ltd.,</t>
  </si>
  <si>
    <t>Fervent Synergies Limited</t>
  </si>
  <si>
    <t>Apoorva Leasing Finance &amp; Investment Company Limited</t>
  </si>
  <si>
    <t>Shree Shaleen Textiles Limited</t>
  </si>
  <si>
    <t>Morarka Finance Ltd.</t>
  </si>
  <si>
    <t>Precision Electronics Ltd.,</t>
  </si>
  <si>
    <t>N. E. Electronics Limited</t>
  </si>
  <si>
    <t>Swastika Investmart Ltd</t>
  </si>
  <si>
    <t>Shreeshay Engineers Limited</t>
  </si>
  <si>
    <t>Dev Labtech Venture Limited</t>
  </si>
  <si>
    <t>India Home Loan Limited</t>
  </si>
  <si>
    <t>PACE E-COMMERCE VENTURES LIMITED</t>
  </si>
  <si>
    <t>Acme Resources Limited</t>
  </si>
  <si>
    <t>The Phosphate Company Limited</t>
  </si>
  <si>
    <t>Chowgule Steamships Ltd.,</t>
  </si>
  <si>
    <t>Sangam Finserv Limited</t>
  </si>
  <si>
    <t>Mehta Housing Finance Ltd.</t>
  </si>
  <si>
    <t>Optimus Finance Limited</t>
  </si>
  <si>
    <t>Medi-Caps Ltd.,</t>
  </si>
  <si>
    <t>SKP Securities Ltd.</t>
  </si>
  <si>
    <t>Parsoli Corporation Ltd.</t>
  </si>
  <si>
    <t>Diamond Infosystems Ltd</t>
  </si>
  <si>
    <t>Shalimar Productions Ltd.</t>
  </si>
  <si>
    <t>Kreon Finnancial Services Limited</t>
  </si>
  <si>
    <t>Terai Tea Co. Ltd.</t>
  </si>
  <si>
    <t>Gogia Capital Services Limited</t>
  </si>
  <si>
    <t>GARMENT MANTRA LIFESTYLE LIMITED</t>
  </si>
  <si>
    <t>Lesha Industries Limited</t>
  </si>
  <si>
    <t>Raw Edge Industrial Solutions Limited</t>
  </si>
  <si>
    <t>Pharmaids Pharmaceuticals Ltd.</t>
  </si>
  <si>
    <t>Sumedha Fiscal Services Ltd.</t>
  </si>
  <si>
    <t>Salem Erode Investments Ltd.</t>
  </si>
  <si>
    <t>Vasundhara Rasayans Ltd.</t>
  </si>
  <si>
    <t>Global Longlife Hospital and Research Limited</t>
  </si>
  <si>
    <t>Chandra Prabhu International Ltd.</t>
  </si>
  <si>
    <t>KRISHANVEER FORGE LIMITED</t>
  </si>
  <si>
    <t>Wallfort Financial Services Ltd.</t>
  </si>
  <si>
    <t>G.V. Films Ltd.,</t>
  </si>
  <si>
    <t>Achyut Healthcare Limited</t>
  </si>
  <si>
    <t>Starcom Information Technology Ltd</t>
  </si>
  <si>
    <t>National Oxygen Ltd.,</t>
  </si>
  <si>
    <t>Sunil Agro Foods ltd.</t>
  </si>
  <si>
    <t>Beekay Niryat Limited</t>
  </si>
  <si>
    <t>Mediaone Global Entertainment Limited</t>
  </si>
  <si>
    <t>Polylink Polymers (india) Ltd.</t>
  </si>
  <si>
    <t>Sonal Adhesives Ltd.</t>
  </si>
  <si>
    <t>JSL Industries Ltd.,</t>
  </si>
  <si>
    <t>Shree Ganesh Biotech (India) Limited</t>
  </si>
  <si>
    <t>Lakhani India Ltd.</t>
  </si>
  <si>
    <t>BIOGEN PHARMACHEM INDUSTRIES LIMITED</t>
  </si>
  <si>
    <t>Sanjivani Paranteral Ltd.</t>
  </si>
  <si>
    <t>Duropack Ltd</t>
  </si>
  <si>
    <t>Simran Farms Ltd.</t>
  </si>
  <si>
    <t>ATV Projects India Ltd</t>
  </si>
  <si>
    <t>Gala Global Products Limited</t>
  </si>
  <si>
    <t>BN HOLDINGS LIMITED</t>
  </si>
  <si>
    <t>Elegant Marbles &amp; Grani Industries</t>
  </si>
  <si>
    <t>DHARNI CAPITAL SERVICES LIMITED</t>
  </si>
  <si>
    <t>Welcast Steels Ltd.,</t>
  </si>
  <si>
    <t>Ashnoor Textiles Mills Ltd.</t>
  </si>
  <si>
    <t>Acknit Industries Ltd</t>
  </si>
  <si>
    <t>NCL Research And Financial Services</t>
  </si>
  <si>
    <t>Maharashtra Corporation Ltd.</t>
  </si>
  <si>
    <t>CONTAINE TECHNOLOGIES LIMITED</t>
  </si>
  <si>
    <t>Rasandik Engg. Industries India Ltd</t>
  </si>
  <si>
    <t>NHC FOODS LIMITED</t>
  </si>
  <si>
    <t>Real Touch Finance Limited</t>
  </si>
  <si>
    <t>GCM Securities Limited</t>
  </si>
  <si>
    <t>SWARNSARITA JEWELS INDIA LIMITED</t>
  </si>
  <si>
    <t>Vidli Restaurants Limited</t>
  </si>
  <si>
    <t>Tanvi Foods (India) Limited</t>
  </si>
  <si>
    <t>Remi Edelstahl Tubulars Limited</t>
  </si>
  <si>
    <t>Rasi Electrodes Ltd.</t>
  </si>
  <si>
    <t>Perfectpac Limited</t>
  </si>
  <si>
    <t>Shree Pacetronix Ltd</t>
  </si>
  <si>
    <t>Meera Industries Limited</t>
  </si>
  <si>
    <t>DANUBE INDUSTRIES LIMITED</t>
  </si>
  <si>
    <t>ETT Limited</t>
  </si>
  <si>
    <t>Auro Laboratories Ltd.</t>
  </si>
  <si>
    <t>Assam Entrade Limited</t>
  </si>
  <si>
    <t>OXYGENTA PHARMACEUTICAL LIMITED</t>
  </si>
  <si>
    <t>Dhoot Industrial Finance Ltd.</t>
  </si>
  <si>
    <t>Wires &amp; Fabriks (SA) Ltd.,</t>
  </si>
  <si>
    <t>Skyline Millars Ltd</t>
  </si>
  <si>
    <t>Chartered Logistics Ltd</t>
  </si>
  <si>
    <t>SVC INDUSTRIES LIMITED</t>
  </si>
  <si>
    <t>Rama Vision Ltd</t>
  </si>
  <si>
    <t>Munoth Financial Services Ltd.</t>
  </si>
  <si>
    <t>Joindre Capital Services Ltd.</t>
  </si>
  <si>
    <t>Ritesh International Ltd</t>
  </si>
  <si>
    <t>Himachal Fibres Ltd.,</t>
  </si>
  <si>
    <t>Matra Kaushal Enterprise Limited</t>
  </si>
  <si>
    <t>Ushdev International Ltd</t>
  </si>
  <si>
    <t>Titan Securities Ltd.</t>
  </si>
  <si>
    <t>Mohite Industries Limited</t>
  </si>
  <si>
    <t>A.K. Spintex Ltd.</t>
  </si>
  <si>
    <t>Standard Surfactants Ltd.</t>
  </si>
  <si>
    <t>Cospower Engineering Limited</t>
  </si>
  <si>
    <t>ALKOSIGN LIMITED</t>
  </si>
  <si>
    <t>Pearl Green Clubs and Resorts Limited</t>
  </si>
  <si>
    <t>Visco Trade Associates Ltd</t>
  </si>
  <si>
    <t>Valecha Engineering Ltd.</t>
  </si>
  <si>
    <t>Balgopal Commercial limited</t>
  </si>
  <si>
    <t>Central Provinces Railways Co. Ltd.</t>
  </si>
  <si>
    <t>Arex Industries Ltd.</t>
  </si>
  <si>
    <t>Saven Technologies Ltd.</t>
  </si>
  <si>
    <t>GlobalSpace Technologies Limited</t>
  </si>
  <si>
    <t>Nimbus Projects Limited</t>
  </si>
  <si>
    <t>B&amp;A Packaging India Limited</t>
  </si>
  <si>
    <t>HB Portfolio Ltd.</t>
  </si>
  <si>
    <t>Gem Spinners India Ltd</t>
  </si>
  <si>
    <t>Morgan Ventures Ltd.</t>
  </si>
  <si>
    <t>Hariyana Ship Breakers Ltd.</t>
  </si>
  <si>
    <t>Vivanta Industries Limited</t>
  </si>
  <si>
    <t>Yug Decor Limited</t>
  </si>
  <si>
    <t>Shradha Industries Limited</t>
  </si>
  <si>
    <t>Kesar Terminals &amp; Infrastructure Limited</t>
  </si>
  <si>
    <t>Chartered Capital &amp; Investment Ltd.</t>
  </si>
  <si>
    <t>Ecoboard Industries Ltd</t>
  </si>
  <si>
    <t>IEL LIMITED</t>
  </si>
  <si>
    <t>ABC India Ltd.</t>
  </si>
  <si>
    <t>Kemistar Corporation Limited</t>
  </si>
  <si>
    <t>Vintron Informatics Ltd.</t>
  </si>
  <si>
    <t>Lee &amp; Nee Softwares (Exports) Ltd.</t>
  </si>
  <si>
    <t>Anjani Synthetics Limited</t>
  </si>
  <si>
    <t>EMERGENT INDUSTRIAL SOLUTIONS LIMITED</t>
  </si>
  <si>
    <t>Ceejay Finance Limited</t>
  </si>
  <si>
    <t>Futuristic Solutions Ltd.</t>
  </si>
  <si>
    <t>Auto Pins (India) Ltd.</t>
  </si>
  <si>
    <t>VIRTUAL GLOBAL EDUCATION LTD.</t>
  </si>
  <si>
    <t>Kamadgiri Fashion Limited</t>
  </si>
  <si>
    <t>ORCHASP LIMITED</t>
  </si>
  <si>
    <t>Pioneer Investcorp Ltd</t>
  </si>
  <si>
    <t>Deep Diamond India Limited</t>
  </si>
  <si>
    <t>Piccadily Sugar &amp; Allied Ltd.</t>
  </si>
  <si>
    <t>G G Engineering Limited</t>
  </si>
  <si>
    <t>Modipon Ltd.,</t>
  </si>
  <si>
    <t>Thacker &amp; Co. Ltd.,</t>
  </si>
  <si>
    <t>CRP Risk Management Limited</t>
  </si>
  <si>
    <t>Manjeera Constructions Limited</t>
  </si>
  <si>
    <t>U. H. ZAVERI LIMITED</t>
  </si>
  <si>
    <t>Jagan Lamps Ltd.</t>
  </si>
  <si>
    <t>National Plastic Industries Ltd.</t>
  </si>
  <si>
    <t>Ashika Credit Capital Ltd.</t>
  </si>
  <si>
    <t>Ashok Alco-Chem Ltd.</t>
  </si>
  <si>
    <t>HINDUSTAN HARDY LIMITED</t>
  </si>
  <si>
    <t>KANCO TEA &amp; INDUSTRIES LIMITED</t>
  </si>
  <si>
    <t>WSFX Global Pay Limited</t>
  </si>
  <si>
    <t>Sulabh Engineers &amp; Services Limited</t>
  </si>
  <si>
    <t>Alfavision Overseas (India) Ltd.</t>
  </si>
  <si>
    <t>Phoenix International Ltd.</t>
  </si>
  <si>
    <t>BCC Fuba India Ltd.,</t>
  </si>
  <si>
    <t>VIRYA RESOURCES LIMITED</t>
  </si>
  <si>
    <t>Emerald Leisures Limited</t>
  </si>
  <si>
    <t>Polychem Ltd</t>
  </si>
  <si>
    <t>KSS Limited</t>
  </si>
  <si>
    <t>Inani Marbles &amp; Industries Ltd.</t>
  </si>
  <si>
    <t>J.A. Finance Limited</t>
  </si>
  <si>
    <t>Riba Textiles Ltd.</t>
  </si>
  <si>
    <t>Dynamic Protfolio Management &amp; Serv</t>
  </si>
  <si>
    <t>Radford Global Limited</t>
  </si>
  <si>
    <t>Vivo Bio tech Ltd.</t>
  </si>
  <si>
    <t>Innovative Tech Pack Ltd</t>
  </si>
  <si>
    <t>Vitan Agro Industries Limited</t>
  </si>
  <si>
    <t>Sungold Media and Entertainment Limited</t>
  </si>
  <si>
    <t>Tulive Developers Limited</t>
  </si>
  <si>
    <t>Earum Pharmaceuticals Limited</t>
  </si>
  <si>
    <t>PRABHHANS INDUSTRIES LIMITED</t>
  </si>
  <si>
    <t>PlatinumOne Business Services Limited</t>
  </si>
  <si>
    <t>Gujarat Craft Industries Ltd.</t>
  </si>
  <si>
    <t>SATCHMO HOLDINGS LIMITED</t>
  </si>
  <si>
    <t>Cargotrans Maritime Limited</t>
  </si>
  <si>
    <t>Sarthak Industries Ltd.</t>
  </si>
  <si>
    <t>RATHI BARS LIMITED</t>
  </si>
  <si>
    <t>Smiths &amp; Founders (India) Limited</t>
  </si>
  <si>
    <t>Diana Tea Co.Ltd.</t>
  </si>
  <si>
    <t>Sri KPR Industries Ltd</t>
  </si>
  <si>
    <t>Axel Polymers Ltd.</t>
  </si>
  <si>
    <t>Roopa Industries Ltd.</t>
  </si>
  <si>
    <t>AD-Manum Finance Ltd</t>
  </si>
  <si>
    <t>North Eastern Publishing And Advertising Co Ltd</t>
  </si>
  <si>
    <t>Baroda Extrusion Ltd.</t>
  </si>
  <si>
    <t>Kailash Auto Finance Ltd</t>
  </si>
  <si>
    <t>Yamini Investments Company Limited</t>
  </si>
  <si>
    <t>Anuroop Packaging Limited</t>
  </si>
  <si>
    <t>Hindoostan Mills Ltd.</t>
  </si>
  <si>
    <t>Texel Industries Ltd.</t>
  </si>
  <si>
    <t>Vanta Bioscience Limited</t>
  </si>
  <si>
    <t>GITA RENEWABLE ENERGY LIMITED</t>
  </si>
  <si>
    <t>ARC Finance Limited</t>
  </si>
  <si>
    <t>Nirmitee Robotics India Limited</t>
  </si>
  <si>
    <t>H.P. Cotton Textile Mills Ltd.,</t>
  </si>
  <si>
    <t>KCD INDUSTRIES INDIA LIMITED</t>
  </si>
  <si>
    <t>Dhampure Speciality Sugars Ltd.</t>
  </si>
  <si>
    <t>V R FILMS &amp; STUDIOS LIMITED</t>
  </si>
  <si>
    <t>Bhaskar Agrochemicals Ltd.</t>
  </si>
  <si>
    <t>Unison Metals Ltd</t>
  </si>
  <si>
    <t>Punjab Communications Limited</t>
  </si>
  <si>
    <t>Maris Spinners Ltd.</t>
  </si>
  <si>
    <t>Patspin India Ltd.</t>
  </si>
  <si>
    <t>Dhanlaxmi Fabrics Ltd.</t>
  </si>
  <si>
    <t>Raaj Medisafe India Limited</t>
  </si>
  <si>
    <t>Ravileela Granites Limited</t>
  </si>
  <si>
    <t>Riddhi Steel and Tube Limited</t>
  </si>
  <si>
    <t>Addi Industries Ltd.,</t>
  </si>
  <si>
    <t>PORWAL AUTO COMPONENTS LIMITED</t>
  </si>
  <si>
    <t>Vista Pharmaceuticals Ltd.</t>
  </si>
  <si>
    <t>HCKK Ventures Limited</t>
  </si>
  <si>
    <t>Jhaveri Credits &amp; Capital Ltd.</t>
  </si>
  <si>
    <t>Vantage Knowledge Academy Limited</t>
  </si>
  <si>
    <t>Promax Power Limited</t>
  </si>
  <si>
    <t>Aspira Pathlab &amp; Diagnostics Limited</t>
  </si>
  <si>
    <t>Jyoti Ltd.,</t>
  </si>
  <si>
    <t>EVANS ELECTRIC LIMITED</t>
  </si>
  <si>
    <t>CCL International Ltd</t>
  </si>
  <si>
    <t>Polymechplast Machines Ltd.,</t>
  </si>
  <si>
    <t>Artefact Projects Ltd</t>
  </si>
  <si>
    <t>Shashijit Infraprojects Limited</t>
  </si>
  <si>
    <t>Cranes Software International Ltd.</t>
  </si>
  <si>
    <t>D.S.Kulkarni Developers Ltd</t>
  </si>
  <si>
    <t>Sacheta Metals Ltd.</t>
  </si>
  <si>
    <t>Gothi Plascon (India) Ltd.</t>
  </si>
  <si>
    <t>Zenlabs Ethica Limited</t>
  </si>
  <si>
    <t>Birla Cotsyn (India) Limited</t>
  </si>
  <si>
    <t>RO Jewels Limited</t>
  </si>
  <si>
    <t>Poojawestern Metaliks Limited</t>
  </si>
  <si>
    <t>Filtra Consultants and Engineers Limited</t>
  </si>
  <si>
    <t>Dhanlaxmi Cotex Ltd.,</t>
  </si>
  <si>
    <t>Atishay Limited</t>
  </si>
  <si>
    <t>GCCL Infrastructure &amp; Projects Ltd.</t>
  </si>
  <si>
    <t>Advance Petrochemicals Ltd.,</t>
  </si>
  <si>
    <t>Greencrest Financial Services Limited</t>
  </si>
  <si>
    <t>Purbanchal Prestressed Limited</t>
  </si>
  <si>
    <t>Binny Mills Limited</t>
  </si>
  <si>
    <t>Restile Ceramics Ltd.</t>
  </si>
  <si>
    <t>Gujarat Poly Electronics Limited</t>
  </si>
  <si>
    <t>Walchand Peoplefirst Limited</t>
  </si>
  <si>
    <t>Sharda Ispat Ltd.</t>
  </si>
  <si>
    <t>Asahi Industries Limited</t>
  </si>
  <si>
    <t>Garbi Finvest Limited</t>
  </si>
  <si>
    <t>Intec Capital Limited</t>
  </si>
  <si>
    <t>Luharuka Media &amp; Infra Limited</t>
  </si>
  <si>
    <t>SHARON BIO-MEDICINE LTD.</t>
  </si>
  <si>
    <t>SAMSRITA LABS LIMITED</t>
  </si>
  <si>
    <t>Arihant Foundations &amp; Housing Ltd.</t>
  </si>
  <si>
    <t>LEADING LEASING FINANCE AND INVESTMENT CO. LIMITED</t>
  </si>
  <si>
    <t>YASH INNOVENTURES LIMITED</t>
  </si>
  <si>
    <t>Megri Soft Limited</t>
  </si>
  <si>
    <t>Adeshwar Meditex Limited</t>
  </si>
  <si>
    <t>Sahara One Media And Entertainment Limited</t>
  </si>
  <si>
    <t>EP BIOCOMPOSITES LIMITED</t>
  </si>
  <si>
    <t>Grovy India Limited</t>
  </si>
  <si>
    <t>Aditya Spinners Ltd.</t>
  </si>
  <si>
    <t>Dhanashree Electronics Limited</t>
  </si>
  <si>
    <t>Pee Cee Cosma Sope Ltd.,</t>
  </si>
  <si>
    <t>Sai Capital Ltd.</t>
  </si>
  <si>
    <t>Tirupati Sarjan Ltd.</t>
  </si>
  <si>
    <t>Chordia Food Products Ltd</t>
  </si>
  <si>
    <t>ERP Soft Systems Ltd.</t>
  </si>
  <si>
    <t>ECO HOTELS AND RESORTS LIMITED</t>
  </si>
  <si>
    <t>ICL Organic Dairy Products Limited</t>
  </si>
  <si>
    <t>AIKYAM INTELLECTUAL PROPERTY CONSULTANCY LIMITED</t>
  </si>
  <si>
    <t>Tyroon Tea Co. Ltd.</t>
  </si>
  <si>
    <t>Vinyoflex Ltd.</t>
  </si>
  <si>
    <t>Sahara HousingFina Corporation Ltd.</t>
  </si>
  <si>
    <t>Bombay Potteries &amp; Tiles Ltd.,</t>
  </si>
  <si>
    <t>VIVID MERCANTILE LIMITED</t>
  </si>
  <si>
    <t>Synthiko Foils Ltd.,</t>
  </si>
  <si>
    <t>KCL Infra Projects Limited</t>
  </si>
  <si>
    <t>TTI Enterprise Limited</t>
  </si>
  <si>
    <t>Picturehouse Media Limited</t>
  </si>
  <si>
    <t>Arunjyoti Bio Ventures Limited</t>
  </si>
  <si>
    <t>TIRUPATI FOAM LIMITED</t>
  </si>
  <si>
    <t>White Organic Agro Limited</t>
  </si>
  <si>
    <t>NIVAKA FASHIONS LIMITED</t>
  </si>
  <si>
    <t>Pincon Spirit Limited</t>
  </si>
  <si>
    <t>Nova Iron &amp; Steel Ltd.</t>
  </si>
  <si>
    <t>Shree Krishna Infrastructure Limited</t>
  </si>
  <si>
    <t>Envair Electrodyne Ltd.</t>
  </si>
  <si>
    <t>Sanrhea Technical Textiles Ltd.</t>
  </si>
  <si>
    <t>Spenta International Ltd.</t>
  </si>
  <si>
    <t>Negotium International Trade Limited</t>
  </si>
  <si>
    <t>Laffans Petrochemicals Ltd.</t>
  </si>
  <si>
    <t>PCS Technology Ltd.</t>
  </si>
  <si>
    <t>TCFC Finance Ltd</t>
  </si>
  <si>
    <t>Kisan Mouldings Ltd.</t>
  </si>
  <si>
    <t>Harig Crankshafts Ltd.,</t>
  </si>
  <si>
    <t>SPARC ELECTREX LIMITED</t>
  </si>
  <si>
    <t>B.N.Rathi Securities Ltd.</t>
  </si>
  <si>
    <t>Key Corp Ltd</t>
  </si>
  <si>
    <t>Srestha Finvest Limited</t>
  </si>
  <si>
    <t>G. K. P. Printing &amp; Packaging Limited</t>
  </si>
  <si>
    <t>Stanrose Mafatlal Investments &amp; Fin</t>
  </si>
  <si>
    <t>VSF Projects Limited</t>
  </si>
  <si>
    <t>Avance Technologies Ltd.</t>
  </si>
  <si>
    <t>ADVANCE METERING TECHNOLOGY LIMITED</t>
  </si>
  <si>
    <t>Winro Commercial (India) Ltd.,</t>
  </si>
  <si>
    <t>SJ Corporation Limited</t>
  </si>
  <si>
    <t>UNIPLY DECOR LIMITED</t>
  </si>
  <si>
    <t>Haryana Capfin Ltd.</t>
  </si>
  <si>
    <t>ACCEDERE LIMITED</t>
  </si>
  <si>
    <t>IVRCL LTD</t>
  </si>
  <si>
    <t>Bampsl Securities Ltd.</t>
  </si>
  <si>
    <t>Caprolactam Chemicals ltd.</t>
  </si>
  <si>
    <t>Ceeta Industries Ltd.</t>
  </si>
  <si>
    <t>Integrated Technologies Ltd.</t>
  </si>
  <si>
    <t>Rex Sealing and Packing Industries Limited</t>
  </si>
  <si>
    <t>Salora International Limited</t>
  </si>
  <si>
    <t>G.G.Automotive Gears Ltd.</t>
  </si>
  <si>
    <t>7SEAS ENTERTAINMENT LIMITED</t>
  </si>
  <si>
    <t>Krypton Industries Ltd</t>
  </si>
  <si>
    <t>Oceanic Foods Limited</t>
  </si>
  <si>
    <t>Poona Dal And Oil Industries Ltd.</t>
  </si>
  <si>
    <t>Aanchal Ispat Limited</t>
  </si>
  <si>
    <t>QGO FINANCE LIMITED</t>
  </si>
  <si>
    <t>Apis India Ltd</t>
  </si>
  <si>
    <t>Mudunuru Limited</t>
  </si>
  <si>
    <t>JOHNSON PHARMACARE LIMITED</t>
  </si>
  <si>
    <t>Linkson International Limited</t>
  </si>
  <si>
    <t>INDONG TEA COMPANY LIMITED</t>
  </si>
  <si>
    <t>LAKHOTIA POLYESTERS (INDIA) LIMITED</t>
  </si>
  <si>
    <t>Dhanalaxmi Roto Spinners Ltd.</t>
  </si>
  <si>
    <t>Sainik Finance and Industries Ltd</t>
  </si>
  <si>
    <t>B.C. Power Controls Limited</t>
  </si>
  <si>
    <t>E-Land Apparel Limited</t>
  </si>
  <si>
    <t>EYANTRA VENTURES LIMITED</t>
  </si>
  <si>
    <t>Jagadishwar Pharmaceuticals Works Limited</t>
  </si>
  <si>
    <t>OSIAJEE TEXFAB LIMITED</t>
  </si>
  <si>
    <t>MRP Agro Limited</t>
  </si>
  <si>
    <t>MAESTROS ELECTRONICS &amp; TELECOMMUNICATIONS SYSTEMS LTD</t>
  </si>
  <si>
    <t>SHARP INVESTMENTS LTD</t>
  </si>
  <si>
    <t>Aplab Ltd.</t>
  </si>
  <si>
    <t>SUUMAYA CORPORATION LIMITED</t>
  </si>
  <si>
    <t>Response Informatics Limited</t>
  </si>
  <si>
    <t>BOMBAY TALKIES LIMITED</t>
  </si>
  <si>
    <t>Choksi Laboratories Ltd.</t>
  </si>
  <si>
    <t>WinPro Industries Limited</t>
  </si>
  <si>
    <t>Hawa Engineers ltd.</t>
  </si>
  <si>
    <t>CHEMTECH INDUSTRIAL VALVES LIMITED</t>
  </si>
  <si>
    <t>Kratos Energy &amp; Infrastructure Limited</t>
  </si>
  <si>
    <t>VIKAS PROPPANT &amp; GRANITE LTD.</t>
  </si>
  <si>
    <t>Winsome Breweries Ltd.</t>
  </si>
  <si>
    <t>Empower India Limited</t>
  </si>
  <si>
    <t>RR METALMAKERS INDIA LIMITED</t>
  </si>
  <si>
    <t>INFRONICS SYSTEMS LIMITED</t>
  </si>
  <si>
    <t>B2B Software Technologies Ltd.</t>
  </si>
  <si>
    <t>UTIQUE ENTERPRISES LIMITED</t>
  </si>
  <si>
    <t>Jindal Hotels Ltd.,</t>
  </si>
  <si>
    <t>Roni Households Limited</t>
  </si>
  <si>
    <t>Starlog Enterprises Limited</t>
  </si>
  <si>
    <t>SOFCOM SYSTEMS LIMITED</t>
  </si>
  <si>
    <t>Gold Line International Finvest Limited</t>
  </si>
  <si>
    <t>Bombay Cycle &amp; Motor Agency Ltd.,</t>
  </si>
  <si>
    <t>SIZEMASTERS TECHNOLOGY LIMITED</t>
  </si>
  <si>
    <t>Vikas WSP Ltd.</t>
  </si>
  <si>
    <t>AMBO AGRITEC LIMITED</t>
  </si>
  <si>
    <t>Adventz Securities Enterprises Limited</t>
  </si>
  <si>
    <t>Shubham Polyspin Limited</t>
  </si>
  <si>
    <t>Prospect Commodities Limited</t>
  </si>
  <si>
    <t>Ashirwad Steels &amp; Industries Ltd.</t>
  </si>
  <si>
    <t>Nam Securities Ltd.</t>
  </si>
  <si>
    <t>Adtech Systems Limited</t>
  </si>
  <si>
    <t>SMC Credits ltd.</t>
  </si>
  <si>
    <t>Ashiana Ispat Limited</t>
  </si>
  <si>
    <t>Camex Ltd.</t>
  </si>
  <si>
    <t>Grandma Trading &amp; Agencies Ltd.,</t>
  </si>
  <si>
    <t>Transchem Limited.</t>
  </si>
  <si>
    <t>Ind Bank Housing Ltd</t>
  </si>
  <si>
    <t>Vama Industries Limited</t>
  </si>
  <si>
    <t>G.G. Dandekar Machine Works Ltd.,</t>
  </si>
  <si>
    <t>Palco Metals Limited</t>
  </si>
  <si>
    <t>LERTHAI FINANCE LIMITED</t>
  </si>
  <si>
    <t>Yash Management &amp; Satellite Ltd.</t>
  </si>
  <si>
    <t>City Pulse Multiplex Limited</t>
  </si>
  <si>
    <t>Zenith Fibres Limited</t>
  </si>
  <si>
    <t>N.G.Industries Ltd.</t>
  </si>
  <si>
    <t>Hardcastle &amp; Waud Mfg. Co. Ltd.,</t>
  </si>
  <si>
    <t>Mercator Limited</t>
  </si>
  <si>
    <t>Orient Beverages Ltd.,</t>
  </si>
  <si>
    <t>Bhilwara Spinners Ltd</t>
  </si>
  <si>
    <t>Rapicut Carbides Ltd.,</t>
  </si>
  <si>
    <t>SHARIKA ENTERPRISES LIMITED</t>
  </si>
  <si>
    <t>VCK Capital Markets Services Ltd.</t>
  </si>
  <si>
    <t>KSL AND INDUSTRIES LTD</t>
  </si>
  <si>
    <t>Easun Capital Markets Limited</t>
  </si>
  <si>
    <t>Sanathnagar Enterprises Limited</t>
  </si>
  <si>
    <t>SBEC Systems (Ind) Ltd.</t>
  </si>
  <si>
    <t>TCM Ltd.</t>
  </si>
  <si>
    <t>Odyssey Corporation Ltd.</t>
  </si>
  <si>
    <t>Triveni Glass Ltd.,</t>
  </si>
  <si>
    <t>JAMSHRI REALTY LIMITED</t>
  </si>
  <si>
    <t>APEX CAPITAL AND FINANCE LIMITED</t>
  </si>
  <si>
    <t>CNI Research Ltd</t>
  </si>
  <si>
    <t>MFL India Ltd</t>
  </si>
  <si>
    <t>Shree Krishna Paper Mills &amp; Industr</t>
  </si>
  <si>
    <t>Ecoplast Ltd.</t>
  </si>
  <si>
    <t>Sancode Technologies Limited</t>
  </si>
  <si>
    <t>Mohit Paper Mills Ltd.</t>
  </si>
  <si>
    <t>Tasty Dairy Specialities Limited</t>
  </si>
  <si>
    <t>RITA FINANCE AND LEASING LIMITED</t>
  </si>
  <si>
    <t>Onesource Ideas Venture Limited</t>
  </si>
  <si>
    <t>Ador Multiproducts Ltd</t>
  </si>
  <si>
    <t>Patron Exim Limited</t>
  </si>
  <si>
    <t>Logic Infotech Limited</t>
  </si>
  <si>
    <t>Rolcon Engineering Co. Ltd.,</t>
  </si>
  <si>
    <t>Rishi Laser Ltd.</t>
  </si>
  <si>
    <t>REETECH INTERNATIONAL CARGO AND COURIER LIMITED</t>
  </si>
  <si>
    <t>Simplex Castings Ltd.</t>
  </si>
  <si>
    <t>Blue Chip Tex Industries Ltd.,</t>
  </si>
  <si>
    <t>Bhanderi Infracon Limited</t>
  </si>
  <si>
    <t>Pan India Corporation Ltd</t>
  </si>
  <si>
    <t>Refnol Resins &amp; Chemicals Ltd.</t>
  </si>
  <si>
    <t>DRA CONSULTANTS LIMITED</t>
  </si>
  <si>
    <t>OCL Iron and Steel Limited</t>
  </si>
  <si>
    <t>Concord Drugs Limited</t>
  </si>
  <si>
    <t>Sanghvi Brands Limited</t>
  </si>
  <si>
    <t>Sarvottam Finvest Limited</t>
  </si>
  <si>
    <t>Tai Industries Ltd.</t>
  </si>
  <si>
    <t>ANSAL HOUSING LIMITED</t>
  </si>
  <si>
    <t>Deco-Mica Ltd.</t>
  </si>
  <si>
    <t>KMS Medisurgi Limited</t>
  </si>
  <si>
    <t>Indus Finance Limited</t>
  </si>
  <si>
    <t>Golden Crest Education &amp; Services Limited</t>
  </si>
  <si>
    <t>Dhruv Wellness Limited</t>
  </si>
  <si>
    <t>Venlon Enterprises Ltd.</t>
  </si>
  <si>
    <t>Ladderup Finance Ltd.</t>
  </si>
  <si>
    <t>The Delhi Safe Deposit Company Limited</t>
  </si>
  <si>
    <t>Arman Holdings Limited</t>
  </si>
  <si>
    <t>Alacrity Securities Limited</t>
  </si>
  <si>
    <t>Pro Fin Capital Services Ltd</t>
  </si>
  <si>
    <t>Ravalgaon Sugar Farm Ltd.,</t>
  </si>
  <si>
    <t>Crestchem Ltd.</t>
  </si>
  <si>
    <t>Amco India Ltd.</t>
  </si>
  <si>
    <t>Garg Furnace Ltd.</t>
  </si>
  <si>
    <t>Asian Tea &amp; Exports Ltd.</t>
  </si>
  <si>
    <t>Elixir Capital Limited</t>
  </si>
  <si>
    <t>Dr. Fresh Assets Limited</t>
  </si>
  <si>
    <t>Aerpace Industries Limited</t>
  </si>
  <si>
    <t>Victoria Mills Ltd.,</t>
  </si>
  <si>
    <t>Omkar Pharmachem Ltd.</t>
  </si>
  <si>
    <t>Arcotech Limited (Formerly SKS Ltd)</t>
  </si>
  <si>
    <t>Mihika Industries Ltd.</t>
  </si>
  <si>
    <t>Escorts Finance Ltd.</t>
  </si>
  <si>
    <t>Prakash Woollen &amp; Synthetic Mills Ltd</t>
  </si>
  <si>
    <t>Karuturi Global Limited</t>
  </si>
  <si>
    <t>Contil India Limited</t>
  </si>
  <si>
    <t>Command Polymers Limited</t>
  </si>
  <si>
    <t>MIL INDUSTRIES &amp; AEROSPACE LIMITED</t>
  </si>
  <si>
    <t>KSK Energy Ventures Limited</t>
  </si>
  <si>
    <t>VMS INDUSTRIES LIMITED</t>
  </si>
  <si>
    <t>Benara Bearings and Pistons Limited</t>
  </si>
  <si>
    <t>Spectrum Foods Limited</t>
  </si>
  <si>
    <t>Super Crop Safe Ltd.</t>
  </si>
  <si>
    <t>Anubhav Infrastructure Limited</t>
  </si>
  <si>
    <t>Jetking Infotrain Ltd.</t>
  </si>
  <si>
    <t>ONE GLOBAL SERVICE PROVIDER LIMITED</t>
  </si>
  <si>
    <t>Unique Organics Ltd.</t>
  </si>
  <si>
    <t>Cityman Limited</t>
  </si>
  <si>
    <t>Swasti Vinayaka Art And Heritage Corporation Ltd</t>
  </si>
  <si>
    <t>Expo Gas Containers Ltd.</t>
  </si>
  <si>
    <t>Medinova Diagnostic Services Ltd.</t>
  </si>
  <si>
    <t>Simplex Realty Limited</t>
  </si>
  <si>
    <t>Intertec Technologies Limited</t>
  </si>
  <si>
    <t>K-Lifestyle &amp; Industries Limited</t>
  </si>
  <si>
    <t>Worth Investment &amp; Trading Co Limited</t>
  </si>
  <si>
    <t>Padmanabh Alloys &amp; Polymers Ltd.</t>
  </si>
  <si>
    <t>HIND ALUMINIUM INDUSTRIES LTD.</t>
  </si>
  <si>
    <t>Pentokey Organy (India) Ltd.</t>
  </si>
  <si>
    <t>Polo Hotels Ltd.</t>
  </si>
  <si>
    <t>Unick Fix-A- Form and Printers Limited</t>
  </si>
  <si>
    <t>Tuni Textile Mills Ltd.</t>
  </si>
  <si>
    <t>Gautam Exim Limited</t>
  </si>
  <si>
    <t>Fine-line Circuits Ltd.</t>
  </si>
  <si>
    <t>Prime Property Development Corporation Ltd.</t>
  </si>
  <si>
    <t>Gian Life Care Limited</t>
  </si>
  <si>
    <t>Tinna Trade Limited</t>
  </si>
  <si>
    <t>Aagam Capital Limited</t>
  </si>
  <si>
    <t>Zenith Health Care Ltd.</t>
  </si>
  <si>
    <t>Raj Packaging Industries Ltd.</t>
  </si>
  <si>
    <t>SUPRA PACIFIC MANAGEMENT CONSULTANCY LIMITED</t>
  </si>
  <si>
    <t>Panjon Ltd.</t>
  </si>
  <si>
    <t>G.S. Auto International Ltd.,</t>
  </si>
  <si>
    <t>Sunil Industries Ltd.,</t>
  </si>
  <si>
    <t>TRANS INDIA HOUSE IMPEX LIMITED</t>
  </si>
  <si>
    <t>Continental Petroleums Ltd.,</t>
  </si>
  <si>
    <t>SBI Home Finance Ltd</t>
  </si>
  <si>
    <t>Gini Silk Mills Ltd.</t>
  </si>
  <si>
    <t>Enbee Trade &amp; Finance Ltd.,</t>
  </si>
  <si>
    <t>Hipolin Ltd.</t>
  </si>
  <si>
    <t>Yashraj Containeurs Ltd.</t>
  </si>
  <si>
    <t>IRONWOOD EDUCATION LIMITED</t>
  </si>
  <si>
    <t>Nalin Lease Finance Ltd.</t>
  </si>
  <si>
    <t>SMIFS Capital Markets Ltd.,</t>
  </si>
  <si>
    <t>BANDARAM PHARMA PACKTECH LIMITED</t>
  </si>
  <si>
    <t>Balurghat Technologies Ltd.</t>
  </si>
  <si>
    <t>Globe Commercials Limited</t>
  </si>
  <si>
    <t>Centenial Surgical Suture Ltd.</t>
  </si>
  <si>
    <t>ITCONS E-Solutions Limited</t>
  </si>
  <si>
    <t>Money Masters Leasing &amp; Finance Limited</t>
  </si>
  <si>
    <t>LN Industries India Limited</t>
  </si>
  <si>
    <t>Chitrakut Holdings Limited</t>
  </si>
  <si>
    <t>Ace Stone Craft Limited</t>
  </si>
  <si>
    <t>S.V.J.ENTERPRISES LIMITED</t>
  </si>
  <si>
    <t>ESPIRE HOSPITALITY LIMITED</t>
  </si>
  <si>
    <t>MIL Industries Limited</t>
  </si>
  <si>
    <t>AMIN TANNERY LIMITED</t>
  </si>
  <si>
    <t>Franklin Leasing and Finance Limited</t>
  </si>
  <si>
    <t>Southern Magnesium And Chemicals Lt</t>
  </si>
  <si>
    <t>TITAN INTECH LIMITED</t>
  </si>
  <si>
    <t>UNIFINZ CAPITAL INDIA LIMITED</t>
  </si>
  <si>
    <t>Alfa Transformers ltd.</t>
  </si>
  <si>
    <t>India Cements Capital Limited</t>
  </si>
  <si>
    <t>Fortune International Ltd.</t>
  </si>
  <si>
    <t>Roselabs Finance Ltd.</t>
  </si>
  <si>
    <t>Indo Euro Indchem Limited</t>
  </si>
  <si>
    <t>Sree chem Resins Ltd</t>
  </si>
  <si>
    <t>Solitaire Machine Tools Ltd</t>
  </si>
  <si>
    <t>Ashirwad Capital Ltd.,</t>
  </si>
  <si>
    <t>Kakatiya Textiles Ltd.,</t>
  </si>
  <si>
    <t>Smart Finsec Limited</t>
  </si>
  <si>
    <t>Rama Paper Mills Limited,</t>
  </si>
  <si>
    <t>SRU Steels Limited</t>
  </si>
  <si>
    <t>DALMIA INDUSTRIAL DEVELOPMENT LIMITED</t>
  </si>
  <si>
    <t>SPML India Limited</t>
  </si>
  <si>
    <t>Apt Packaging Ltd</t>
  </si>
  <si>
    <t>Jigar Cables Limited</t>
  </si>
  <si>
    <t>ACE MEN ENGG WORKS LIMITED</t>
  </si>
  <si>
    <t>JMJ Fintech Limited</t>
  </si>
  <si>
    <t>Bervin Investments And Leasing Ltd.</t>
  </si>
  <si>
    <t>Futura Polyesters Ltd.</t>
  </si>
  <si>
    <t>PHF Leasing Limited</t>
  </si>
  <si>
    <t>DECIPHER LABS LIMITED</t>
  </si>
  <si>
    <t>P.H. Capital Ltd.</t>
  </si>
  <si>
    <t>Haryana Leather Chemicals Ltd.,</t>
  </si>
  <si>
    <t>Unno Industries Ltd</t>
  </si>
  <si>
    <t>SVS VENTURES LIMITED</t>
  </si>
  <si>
    <t>Vivid Global Industries Limited</t>
  </si>
  <si>
    <t>Olatech Solutions Limited</t>
  </si>
  <si>
    <t>Jaipan Industries Ltd</t>
  </si>
  <si>
    <t>Vandana Knitwear Limited</t>
  </si>
  <si>
    <t>Sangal Papers Ltd.</t>
  </si>
  <si>
    <t>Thakral Services (India) Limited</t>
  </si>
  <si>
    <t>LAXMIPATI ENGINEERING WORKS LIMITED</t>
  </si>
  <si>
    <t>Garnet Construction Ltd.,</t>
  </si>
  <si>
    <t>Advance Lifestyles Ltd.</t>
  </si>
  <si>
    <t>Akash Agro Industries Limited</t>
  </si>
  <si>
    <t>Cybele Industries Limited</t>
  </si>
  <si>
    <t>Shree Hari Chemicals Export Ltd.,</t>
  </si>
  <si>
    <t>Gujarat Hy-Spin Limited</t>
  </si>
  <si>
    <t>Jai Mata Glass Ltd.,</t>
  </si>
  <si>
    <t>DIPNA PHARMACHEM LIMITED</t>
  </si>
  <si>
    <t>EVERLON FINANCIALS LIMITED</t>
  </si>
  <si>
    <t>Velan Hotels Ltd.</t>
  </si>
  <si>
    <t>Martin Burn Ltd</t>
  </si>
  <si>
    <t>Modern Steels Limited</t>
  </si>
  <si>
    <t>Transgene Biotek Ltd.</t>
  </si>
  <si>
    <t>Bagalkot Udyog Limited</t>
  </si>
  <si>
    <t>Vaksons Automobiles Limited</t>
  </si>
  <si>
    <t>ISF LIMITED</t>
  </si>
  <si>
    <t>Monotype India Ltd.,</t>
  </si>
  <si>
    <t>7NR Retail Limited</t>
  </si>
  <si>
    <t>A.F. Enterprises Limited</t>
  </si>
  <si>
    <t>ANUPAM FINSERV LIMITED</t>
  </si>
  <si>
    <t>SSPDL Limited</t>
  </si>
  <si>
    <t>Pasupati Spg. &amp; Wvg. Mills Ltd.,</t>
  </si>
  <si>
    <t>Gujarat Petrosynthese Ltd.</t>
  </si>
  <si>
    <t>TRANSVOY LOGISTICS INDIA LIMITED</t>
  </si>
  <si>
    <t>V.B.C. Ferro Alloys Ltd.</t>
  </si>
  <si>
    <t>KDJ Holidayscapes and Resorts Limited</t>
  </si>
  <si>
    <t>Rishabh Special Yarns Ltd</t>
  </si>
  <si>
    <t>Veerhealth Care Limited</t>
  </si>
  <si>
    <t>Hisar Spinning Mills Ltd</t>
  </si>
  <si>
    <t>Link Pharma Chem Ltd.</t>
  </si>
  <si>
    <t>Mehai Technology Limited</t>
  </si>
  <si>
    <t>Hotahoti Wood Products Limited</t>
  </si>
  <si>
    <t>JAINEX AAMCOL LTD.</t>
  </si>
  <si>
    <t>LABELKRAFT TECHNOLOGIES LIMITED</t>
  </si>
  <si>
    <t>Hindustan Flurocarbons Ltd.,</t>
  </si>
  <si>
    <t>Salguti Industries Ltd.</t>
  </si>
  <si>
    <t>Comfort Commotrade Limited</t>
  </si>
  <si>
    <t>Mewar Hi-Tech Engineering Limited</t>
  </si>
  <si>
    <t>Dynamic Industries Ltd.</t>
  </si>
  <si>
    <t>MENA MANI INDUSTRIES LIMITED</t>
  </si>
  <si>
    <t>Duncans Industries Ltd.</t>
  </si>
  <si>
    <t>Ajcon Global Services Ltd.</t>
  </si>
  <si>
    <t>Rithwik Facility Management Services Limited</t>
  </si>
  <si>
    <t>Khoobsurat Ltd.</t>
  </si>
  <si>
    <t>Phyto Chem (India) Ltd.</t>
  </si>
  <si>
    <t>Natraj Proteins Ltd.</t>
  </si>
  <si>
    <t>AKM CREATIONS LIMITED</t>
  </si>
  <si>
    <t>Tatia Global Vennture Limited</t>
  </si>
  <si>
    <t>Lex Nimble Solutions Limited</t>
  </si>
  <si>
    <t>Informed Technologies India Ltd.</t>
  </si>
  <si>
    <t>El Forge Ltd.</t>
  </si>
  <si>
    <t>Steel Strips Infrastructures Limited</t>
  </si>
  <si>
    <t>Evoq Remedies Limited</t>
  </si>
  <si>
    <t>East Coast Steel Ltd</t>
  </si>
  <si>
    <t>Lakshmi Overseas Industries Ltd.</t>
  </si>
  <si>
    <t>Mega Corporation Ltd</t>
  </si>
  <si>
    <t>DHYAANI TILE AND MARBLEZ LIMITED</t>
  </si>
  <si>
    <t>Atlas Cycles (Haryana) Ltd.</t>
  </si>
  <si>
    <t>Neueon Towers Limited</t>
  </si>
  <si>
    <t>Jayshree Chemicals Ltd.,</t>
  </si>
  <si>
    <t>Anglo-French Drugs &amp; Industries Limited</t>
  </si>
  <si>
    <t>Omnitex Industries (India) Ltd.</t>
  </si>
  <si>
    <t>Prima Industries Ltd.</t>
  </si>
  <si>
    <t>COSYN Limited</t>
  </si>
  <si>
    <t>Prism Medico and Pharmacy Ltd.</t>
  </si>
  <si>
    <t>Veejay Lakshmi Engineering Works Lt</t>
  </si>
  <si>
    <t>Jupiter Infomedia Limited</t>
  </si>
  <si>
    <t>Rajkamal Synthetics Ltd.</t>
  </si>
  <si>
    <t>Sangrahalaya Timber &amp; Crafts Limited</t>
  </si>
  <si>
    <t>Gilada Finance &amp; Investments Ltd.</t>
  </si>
  <si>
    <t>CELLA SPACE LIMITED</t>
  </si>
  <si>
    <t>Swarna Securities Ltd.</t>
  </si>
  <si>
    <t>Marg Ltd</t>
  </si>
  <si>
    <t>Adarsh Plant Project Ltd.</t>
  </si>
  <si>
    <t>Zodiac-JRD-MKJ Ltd.</t>
  </si>
  <si>
    <t>Jumbo Bag ltd.</t>
  </si>
  <si>
    <t>Choksi Imaging Ltd.</t>
  </si>
  <si>
    <t>Gayatri Sugars Ltd.</t>
  </si>
  <si>
    <t>Nirav Commercials Ltd.,</t>
  </si>
  <si>
    <t>Raghunath Tobacco Co. Ltd.</t>
  </si>
  <si>
    <t>H.S.India Ltd.</t>
  </si>
  <si>
    <t>Shree Metalloys Limited</t>
  </si>
  <si>
    <t>Diggi Multitrade Limited</t>
  </si>
  <si>
    <t>Vapi Paper Mills Ltd.,</t>
  </si>
  <si>
    <t>Orosil Smiths India Limited</t>
  </si>
  <si>
    <t>Getalong Enterprise Limited</t>
  </si>
  <si>
    <t>Vertex Securities Ltd.</t>
  </si>
  <si>
    <t>Solid Stone Company Ltd.</t>
  </si>
  <si>
    <t>Kabsons Industries Ltd.</t>
  </si>
  <si>
    <t>Roopshri Resorts Limited</t>
  </si>
  <si>
    <t>Inland Printers Ltd.</t>
  </si>
  <si>
    <t>BWL Limited</t>
  </si>
  <si>
    <t>Kumar Autocast Limited</t>
  </si>
  <si>
    <t>Jaihind Synthetics Ltd.</t>
  </si>
  <si>
    <t>Paramount Cosmetics (India) Ltd</t>
  </si>
  <si>
    <t>Tulip Star Hotels Ltd.</t>
  </si>
  <si>
    <t>Creative Merchants Limited</t>
  </si>
  <si>
    <t>Adinath Textiles Ltd.,</t>
  </si>
  <si>
    <t>Indo Cotspin Limited</t>
  </si>
  <si>
    <t>Quality RO Industries Limited</t>
  </si>
  <si>
    <t>Continental Securities Limited</t>
  </si>
  <si>
    <t>United Leasing &amp; Industries Ltd</t>
  </si>
  <si>
    <t>Ekennis Software Service Limited</t>
  </si>
  <si>
    <t>NEERAJ PAPER MARKETING LIMITED</t>
  </si>
  <si>
    <t>MPDL LIMITED</t>
  </si>
  <si>
    <t>Trinity League India Limited</t>
  </si>
  <si>
    <t>Alfa Ica (India) Ltd</t>
  </si>
  <si>
    <t>Phaarmasia Limited.</t>
  </si>
  <si>
    <t>Bihariji Ispat Udyog Limited</t>
  </si>
  <si>
    <t>Incap Ltd</t>
  </si>
  <si>
    <t>Continental Chemicals Ltd.,</t>
  </si>
  <si>
    <t>Indo Asian Finance Limited</t>
  </si>
  <si>
    <t>Kunststoffe Industries Ltd.,</t>
  </si>
  <si>
    <t>Bodhtree Consulting Limited</t>
  </si>
  <si>
    <t>Surya Industrial Corporation Ltd.</t>
  </si>
  <si>
    <t>Rishi Techtex Limited</t>
  </si>
  <si>
    <t>Pratibha Industries Ltd.</t>
  </si>
  <si>
    <t>Prime Urban Development India Ltd</t>
  </si>
  <si>
    <t>Asian Petroproducts &amp; Exports Ltd.</t>
  </si>
  <si>
    <t>Siddharth Education Services Limited</t>
  </si>
  <si>
    <t>GENUS PRIME INFRA LIMITED</t>
  </si>
  <si>
    <t>Premier Capital Services Ltd.,</t>
  </si>
  <si>
    <t>Pulsar International Limited</t>
  </si>
  <si>
    <t>Samtex Fashions Ltd.</t>
  </si>
  <si>
    <t>Madhuveer Com 18 Network Limited</t>
  </si>
  <si>
    <t>Bloom Industries Ltd</t>
  </si>
  <si>
    <t>Autolite (India) Ltd.,</t>
  </si>
  <si>
    <t>Jindal Capital Ltd.</t>
  </si>
  <si>
    <t>Eastern Treads Ltd.</t>
  </si>
  <si>
    <t>Interworld Digital Ltd.</t>
  </si>
  <si>
    <t>Scarnose International Limited</t>
  </si>
  <si>
    <t>GOKAK TEXTILES LTD.</t>
  </si>
  <si>
    <t>Prag Bosimi Synthetics Ltd.</t>
  </si>
  <si>
    <t>Ranjeet Mechatronics Limited</t>
  </si>
  <si>
    <t>Netlink Solutions (India) Ltd.</t>
  </si>
  <si>
    <t>MARBLE CITY INDIA LIMITED</t>
  </si>
  <si>
    <t>Gradiente Infotainment Ltd.</t>
  </si>
  <si>
    <t>KJMC Financial Services Ltd.</t>
  </si>
  <si>
    <t>Veer Energy &amp; Infrastructure Limited</t>
  </si>
  <si>
    <t>Alexander Stamps And Coin Limited</t>
  </si>
  <si>
    <t>USG Tech Solutions Ltd</t>
  </si>
  <si>
    <t>ObjectOne Information Systems Ltd</t>
  </si>
  <si>
    <t>MPL Plastics Limited</t>
  </si>
  <si>
    <t>Valson Industries Ltd.</t>
  </si>
  <si>
    <t>Citadel Realty And Developers Limited</t>
  </si>
  <si>
    <t>STEPHANOTIS FINANCE LIMITED</t>
  </si>
  <si>
    <t>S. M. Gold Limited</t>
  </si>
  <si>
    <t>Humming Bird Education Limited</t>
  </si>
  <si>
    <t>Sangam Health Care Products Ltd.</t>
  </si>
  <si>
    <t>KMG Milk Food Limited</t>
  </si>
  <si>
    <t>Darshan Orna Limited</t>
  </si>
  <si>
    <t>Amrapali Fincap Limited</t>
  </si>
  <si>
    <t>Chennai Meenakshi Multispeciality Hospital Ltd.</t>
  </si>
  <si>
    <t>Virat Leasing Limited</t>
  </si>
  <si>
    <t>Willard India Ltd.,</t>
  </si>
  <si>
    <t>Inter Globe Finance Ltd.</t>
  </si>
  <si>
    <t>BFL Asset Finvest Limited</t>
  </si>
  <si>
    <t>Silver Oak (India) Ltd.</t>
  </si>
  <si>
    <t>Ishita Drugs &amp; Industries Ltd.</t>
  </si>
  <si>
    <t>LE LAVOIR LIMITED</t>
  </si>
  <si>
    <t>Nuway Organic Naturals (India) Ltd.</t>
  </si>
  <si>
    <t>Polymac Thermoformers Limited</t>
  </si>
  <si>
    <t>Thambbi Modern Spinning Mills Ltd.,</t>
  </si>
  <si>
    <t>Cranex Ltd.,</t>
  </si>
  <si>
    <t>Silverpoint Infratech Limited</t>
  </si>
  <si>
    <t>Rodium Realty Limited</t>
  </si>
  <si>
    <t>Titaanium Ten Enterprise Limited</t>
  </si>
  <si>
    <t>Fedders Electric and Engineering Limited</t>
  </si>
  <si>
    <t>Athena Constructions Limited</t>
  </si>
  <si>
    <t>Econo Trade (India) Limited</t>
  </si>
  <si>
    <t>Mid India Industries Limited</t>
  </si>
  <si>
    <t>EASY FINCORP LIMITED</t>
  </si>
  <si>
    <t>DAPS ADVERTISING LIMITED</t>
  </si>
  <si>
    <t>Sri Ramakrishna Mills (Coimbatore) Ltd.</t>
  </si>
  <si>
    <t>Daikaffil Chemicals India Ltd.</t>
  </si>
  <si>
    <t>Naapbooks Limited</t>
  </si>
  <si>
    <t>Neil Industries Ltd.</t>
  </si>
  <si>
    <t>Pyxis Finvest Limited</t>
  </si>
  <si>
    <t>PANTH INFINITY LIMITED</t>
  </si>
  <si>
    <t>Bhakti Gems And Jewellery Limited</t>
  </si>
  <si>
    <t>Octaware Technologies Limited</t>
  </si>
  <si>
    <t>Telesys Software Ltd.</t>
  </si>
  <si>
    <t>Kartik Investments Trust Ltd.,</t>
  </si>
  <si>
    <t>Gujarat Terce Laboratories Ltd</t>
  </si>
  <si>
    <t>BCL Enterprises Limited</t>
  </si>
  <si>
    <t>Laffan Software Limited</t>
  </si>
  <si>
    <t>Oasis Securities Limited</t>
  </si>
  <si>
    <t>Cindrella Hotels Ltd.</t>
  </si>
  <si>
    <t>ECS Biztech Limited</t>
  </si>
  <si>
    <t>Satra Properties(India) Ltd</t>
  </si>
  <si>
    <t>Sai Industries Ltd.</t>
  </si>
  <si>
    <t>Dhruva Capital Services Ltd.</t>
  </si>
  <si>
    <t>Decillion Finance Ltd.</t>
  </si>
  <si>
    <t>SAILANI TOURS N TRAVELS LIMITED</t>
  </si>
  <si>
    <t>Sri Nachammai Cotton Mills Ltd.</t>
  </si>
  <si>
    <t>Ventura Textiles Ltd.</t>
  </si>
  <si>
    <t>Hari Govind International Ltd.</t>
  </si>
  <si>
    <t>Trishakti Electronics &amp; industries</t>
  </si>
  <si>
    <t>Standard Batteries Ltd.,</t>
  </si>
  <si>
    <t>Citizen Infoline Ltd.</t>
  </si>
  <si>
    <t>Rap Media Ltd.</t>
  </si>
  <si>
    <t>Shirpur Gold Refinery Ltd.</t>
  </si>
  <si>
    <t>Fruition Venture Limited</t>
  </si>
  <si>
    <t>Paragon Finance Ltd.</t>
  </si>
  <si>
    <t>My Money Securities Ltd.</t>
  </si>
  <si>
    <t>Triveni Enterprises Limited</t>
  </si>
  <si>
    <t>SUPER FINE KNITTERS LIMITED</t>
  </si>
  <si>
    <t>SHANTIDOOT INFRA SERVICES LIMITED</t>
  </si>
  <si>
    <t>VISHVPRABHA VENTURES LIMITED</t>
  </si>
  <si>
    <t>PRADHIN LIMITED</t>
  </si>
  <si>
    <t>DISHA RESOURCES LIMITED</t>
  </si>
  <si>
    <t>Trade Wings Ltd.,</t>
  </si>
  <si>
    <t>HEALTHY LIFE AGRITEC LIMITED</t>
  </si>
  <si>
    <t>National Plywood Industries Ltd.</t>
  </si>
  <si>
    <t>Aroma Enterprises (India) Ltd.</t>
  </si>
  <si>
    <t>Shree Bhavya Fabrics Limited</t>
  </si>
  <si>
    <t>Jay Mahesh Infraventures Ltd.</t>
  </si>
  <si>
    <t>Hathway Bhawani Cabletel &amp; Datacom</t>
  </si>
  <si>
    <t>Eastern Gases Limited</t>
  </si>
  <si>
    <t>Lime Chemicals Ltd.</t>
  </si>
  <si>
    <t>Manraj Housing Finance Ltd.</t>
  </si>
  <si>
    <t>International Housing Finance Corpo</t>
  </si>
  <si>
    <t>GENESIS IBRC INDIA LIMITED</t>
  </si>
  <si>
    <t>BKV Industries Ltd.</t>
  </si>
  <si>
    <t>Anka India Ltd.</t>
  </si>
  <si>
    <t>Octavius Plantations Limited</t>
  </si>
  <si>
    <t>Midas Infra Trade Limited</t>
  </si>
  <si>
    <t>Abirami Financial Services (India)</t>
  </si>
  <si>
    <t>Symbiox Investment &amp; Trading Co. Ltd.</t>
  </si>
  <si>
    <t>MPIL CORPORATION LIMITED</t>
  </si>
  <si>
    <t>GTN Textiles Ltd. (formerly known as GTN Industries Ltd.)</t>
  </si>
  <si>
    <t>J.Taparia Projects Ltd</t>
  </si>
  <si>
    <t>Margo Finance Limited</t>
  </si>
  <si>
    <t>Narendra Properties Ltd.</t>
  </si>
  <si>
    <t>South Asian Enteprises Ltd.</t>
  </si>
  <si>
    <t>Bil Energy Systems Limited</t>
  </si>
  <si>
    <t>Elegant Floriculture &amp; Agrotech (In</t>
  </si>
  <si>
    <t>Royal Cushion Vinyl Products Ltd.</t>
  </si>
  <si>
    <t>Sterling Green Woods Limited</t>
  </si>
  <si>
    <t>Cochin Malabar Estates &amp; Indus. Ltd</t>
  </si>
  <si>
    <t>York Exports Ltd.</t>
  </si>
  <si>
    <t>Safal Herbs Limited</t>
  </si>
  <si>
    <t>YUVRAAJ HYGIENE PRODUCTS LTD</t>
  </si>
  <si>
    <t>Nyssa Corporation Limited</t>
  </si>
  <si>
    <t>Sibar Auto Parts Ltd.</t>
  </si>
  <si>
    <t>Sovereign Diamonds Ltd</t>
  </si>
  <si>
    <t>Pratiksha Chemicals Ltd.</t>
  </si>
  <si>
    <t>Square Four Projects India Limited</t>
  </si>
  <si>
    <t>Yarn Syndicate Ltd.</t>
  </si>
  <si>
    <t>Shree Karthik Papers Ltd.</t>
  </si>
  <si>
    <t>Integra Telecommunication &amp; Software Limited</t>
  </si>
  <si>
    <t>Mansi Finance (Chennai) Ltd</t>
  </si>
  <si>
    <t>Trivikrama Industries Ltd.</t>
  </si>
  <si>
    <t>Agarwal Duplex Board Mills Limited</t>
  </si>
  <si>
    <t>Dhanada Corporatin Limited</t>
  </si>
  <si>
    <t>Suncare Traders Limited</t>
  </si>
  <si>
    <t>Photon Capital Advisors Ltd</t>
  </si>
  <si>
    <t>Trans-Freight Containers Ltd.,</t>
  </si>
  <si>
    <t>Tarang Projects and Consultant Limited.</t>
  </si>
  <si>
    <t>Vani Commercials Limited</t>
  </si>
  <si>
    <t>Orient Tradelink Ltd.</t>
  </si>
  <si>
    <t>VEDANT ASSET LIMITED</t>
  </si>
  <si>
    <t>Sanblue Corporation Limited</t>
  </si>
  <si>
    <t>Classic Filaments Limited</t>
  </si>
  <si>
    <t>Ras Resorts &amp; Apart Hotels Ltd.,</t>
  </si>
  <si>
    <t>VELOX INDUSTRIES LIMITED</t>
  </si>
  <si>
    <t>Prism Finance Ltd.</t>
  </si>
  <si>
    <t>Frontline Corporation Limited</t>
  </si>
  <si>
    <t>Cil Securities Ltd.</t>
  </si>
  <si>
    <t>Bombay Wire Ropes Ltd.,</t>
  </si>
  <si>
    <t>Silverline Technologies Ltd.</t>
  </si>
  <si>
    <t>Jetmall Spices and Masala Limited</t>
  </si>
  <si>
    <t>Golechha Global Finance Ltd.</t>
  </si>
  <si>
    <t>Iykot Hitech Toolroom Ltd</t>
  </si>
  <si>
    <t>SELLWIN TRADERS LIMITED</t>
  </si>
  <si>
    <t>Nouveau Global Ventures Limited</t>
  </si>
  <si>
    <t>Safa Systems &amp; Technologies Limited</t>
  </si>
  <si>
    <t>Supertex Industries Ltd</t>
  </si>
  <si>
    <t>Valencia Nutrition Limited</t>
  </si>
  <si>
    <t>Southern Latex Ltd.</t>
  </si>
  <si>
    <t>Siel Financial Services Ltd.</t>
  </si>
  <si>
    <t>Sun Granite Export Limited</t>
  </si>
  <si>
    <t>Trinity Tradelink Limited</t>
  </si>
  <si>
    <t>AISHWARYA TECHNOLOGIES AND TELECOM LIMITED</t>
  </si>
  <si>
    <t>Amrapali Capital and Finance Services Limited</t>
  </si>
  <si>
    <t>Samyak International Limited</t>
  </si>
  <si>
    <t>Modern Malleables Limited</t>
  </si>
  <si>
    <t>Conart Engineers Ltd.</t>
  </si>
  <si>
    <t>Surya India Limited</t>
  </si>
  <si>
    <t>Inter State Oil Carrier Ltd</t>
  </si>
  <si>
    <t>Rajsanket Realty Limited</t>
  </si>
  <si>
    <t>Encash Entertainment Limited</t>
  </si>
  <si>
    <t>VXL Instruments Ltd.</t>
  </si>
  <si>
    <t>Colinz Laboratories ltd.</t>
  </si>
  <si>
    <t>Kamanwala Housing Construction Ltd</t>
  </si>
  <si>
    <t>Madhusudan Industries Ltd.,</t>
  </si>
  <si>
    <t>Rajasthan Cylinders &amp; Containers Limited</t>
  </si>
  <si>
    <t>Shalimar Agencies Limited</t>
  </si>
  <si>
    <t>DMR Hydroengineering &amp; Infrastructures Limited</t>
  </si>
  <si>
    <t>Helpage Finlease Ltd.</t>
  </si>
  <si>
    <t>Meyer Apparel Limited</t>
  </si>
  <si>
    <t>Gitanjali Gems Ltd.</t>
  </si>
  <si>
    <t>S.V. Trading &amp; Agencies Ltd.,</t>
  </si>
  <si>
    <t>Inducto Steels ltd.</t>
  </si>
  <si>
    <t>Bharat Ekansh Limited</t>
  </si>
  <si>
    <t>PECOS Hotels And Pubs Limited</t>
  </si>
  <si>
    <t>PBA INFRASTRUCTURE LTD.</t>
  </si>
  <si>
    <t>Prima Agro Ltd.</t>
  </si>
  <si>
    <t>Emmessar Biotech &amp; Nutrition Ltd.</t>
  </si>
  <si>
    <t>International Securities Limited</t>
  </si>
  <si>
    <t>Tulasee Bio-Ethanol Ltd.</t>
  </si>
  <si>
    <t>Integrated Capital Services Ltd</t>
  </si>
  <si>
    <t>Brandbucket Media &amp; Technology Limited</t>
  </si>
  <si>
    <t>NATURO INDIABULL LIMITED</t>
  </si>
  <si>
    <t>Purshottam Investofin Limited</t>
  </si>
  <si>
    <t>Shine Fashions (India) Limited</t>
  </si>
  <si>
    <t>Norris Medicines Ltd.</t>
  </si>
  <si>
    <t>KJMC Corporate Advisors (India) Ltd.</t>
  </si>
  <si>
    <t>Parmax Pharma Limited</t>
  </si>
  <si>
    <t>O. P. Chains Limited</t>
  </si>
  <si>
    <t>Aastamangalam Finance Limited</t>
  </si>
  <si>
    <t>Palm Jewels Limited</t>
  </si>
  <si>
    <t>C.J. Gelatine Products Ltd.,</t>
  </si>
  <si>
    <t>Vaxfab Enterprises Limited</t>
  </si>
  <si>
    <t>S.I.Capital And Financial Services</t>
  </si>
  <si>
    <t>Devrup Trading Limited</t>
  </si>
  <si>
    <t>Rapid Investments Ltd.,</t>
  </si>
  <si>
    <t>HARIYANA VENTURES LIMITED</t>
  </si>
  <si>
    <t>Nidhi Granites Limited</t>
  </si>
  <si>
    <t>Glance Finance Ltd.</t>
  </si>
  <si>
    <t>Pan Electronics India Ltd.</t>
  </si>
  <si>
    <t>Reliable Ventures India Ltd</t>
  </si>
  <si>
    <t>Sathavahana Ispat Ltd.</t>
  </si>
  <si>
    <t>Regent Enterprises Limited</t>
  </si>
  <si>
    <t>DR LALCHANDANI LABS LIMITED</t>
  </si>
  <si>
    <t>Ganon Products Limited</t>
  </si>
  <si>
    <t>MVL Limited</t>
  </si>
  <si>
    <t>Coastal Roadways Ltd.</t>
  </si>
  <si>
    <t>Swojas Energy Foods Ltd.</t>
  </si>
  <si>
    <t>Harish Textile Engineers Limited</t>
  </si>
  <si>
    <t>Macro International Limited</t>
  </si>
  <si>
    <t>Shiva Granito Export Limited</t>
  </si>
  <si>
    <t>BNR Udyog Ltd.</t>
  </si>
  <si>
    <t>Central Cables Limited</t>
  </si>
  <si>
    <t>Suryavanshi Spinning Mills Ltd.,</t>
  </si>
  <si>
    <t>Misquita Engineering Limited</t>
  </si>
  <si>
    <t>YOGI LIMITED</t>
  </si>
  <si>
    <t>Eon Electric Ltd</t>
  </si>
  <si>
    <t>Inani Securities Ltd.</t>
  </si>
  <si>
    <t>Kachchh Minerals Ltd.</t>
  </si>
  <si>
    <t>Boston Bio Systems Ltd.</t>
  </si>
  <si>
    <t>Runeecha Textiles Limited</t>
  </si>
  <si>
    <t>MUZALI ARTS LIMITED</t>
  </si>
  <si>
    <t>Kriptol Industries Limited</t>
  </si>
  <si>
    <t>Jindal Cotex Limited</t>
  </si>
  <si>
    <t>Minal Industries Limited</t>
  </si>
  <si>
    <t>Betex India Ltd.,</t>
  </si>
  <si>
    <t>Uniroyal Industries Ltd</t>
  </si>
  <si>
    <t>TRADEWELL HOLDINGS LIMITED</t>
  </si>
  <si>
    <t>Golkonda Aluminium Extrusions Ltd</t>
  </si>
  <si>
    <t>Esaar (India) Ltd.</t>
  </si>
  <si>
    <t>Jash Dealmark Limited</t>
  </si>
  <si>
    <t>Net Pix Shorts Digital Media Limited</t>
  </si>
  <si>
    <t>Ascensive Educare Limited</t>
  </si>
  <si>
    <t>Abhishek Finlease limited</t>
  </si>
  <si>
    <t>Sri Lakshmi Saraswathi Textiles (Ar</t>
  </si>
  <si>
    <t>RGF Capital Markets Limited</t>
  </si>
  <si>
    <t>Sterling International Enterprises Limited</t>
  </si>
  <si>
    <t>Autopal Industries Ltd.,</t>
  </si>
  <si>
    <t>R.J. Shah &amp; Co. Ltd.,</t>
  </si>
  <si>
    <t>Suvidha Infraestate Corporation Limited</t>
  </si>
  <si>
    <t>Taaza International Limited</t>
  </si>
  <si>
    <t>UFM Industries Ltd</t>
  </si>
  <si>
    <t>Maitri Enterprises Limited</t>
  </si>
  <si>
    <t>Kumar Wire Cloth Manufacturing Co.</t>
  </si>
  <si>
    <t>Ajwa Fun World &amp; Resorts Ltd</t>
  </si>
  <si>
    <t>J.K.Pharmachem Ltd.</t>
  </si>
  <si>
    <t>Sankhya Infotech Ltd.</t>
  </si>
  <si>
    <t>R.R.Financial Consultants Ltd.</t>
  </si>
  <si>
    <t>IB Infotech Enterprises Ltd</t>
  </si>
  <si>
    <t>Marmagoa Steels Ltd.,</t>
  </si>
  <si>
    <t>Saianand Commercial Limited</t>
  </si>
  <si>
    <t>Leel Electricals Limited</t>
  </si>
  <si>
    <t>Sumeru Industries Ltd.</t>
  </si>
  <si>
    <t>Mitshi India Limited</t>
  </si>
  <si>
    <t>Impala Industrial Enterprises Limited</t>
  </si>
  <si>
    <t>Kirti Investments Limited</t>
  </si>
  <si>
    <t>Robert Resources Limited</t>
  </si>
  <si>
    <t>Consecutive Investments &amp; Trading Company Limited</t>
  </si>
  <si>
    <t>Libord Finance Limited</t>
  </si>
  <si>
    <t>Jiya Eco-Products Limited</t>
  </si>
  <si>
    <t>Sagar Productions Limited</t>
  </si>
  <si>
    <t>Ellora Paper Mills Ltd.,</t>
  </si>
  <si>
    <t>Teesta Agro Industries Ltd</t>
  </si>
  <si>
    <t>N.D.Metal Industries Ltd</t>
  </si>
  <si>
    <t>Mac Hotels Limited</t>
  </si>
  <si>
    <t>Navigant Corporate Advisors Limited</t>
  </si>
  <si>
    <t>Virgo Global Limited</t>
  </si>
  <si>
    <t>Cubical Financial Services Ltd.</t>
  </si>
  <si>
    <t>Focus Business Solution Limited</t>
  </si>
  <si>
    <t>Octal Credit Capital Ltd.</t>
  </si>
  <si>
    <t>Muller &amp; Phipps (India) Ltd.,</t>
  </si>
  <si>
    <t>Steadfast Corporation Limited</t>
  </si>
  <si>
    <t>Times Green Energy (India) Limited</t>
  </si>
  <si>
    <t>Daulat Securities Ltd.</t>
  </si>
  <si>
    <t>Goyal Associates Ltd.</t>
  </si>
  <si>
    <t>Gujarat Narmada Flyash Co. Ltd.</t>
  </si>
  <si>
    <t>Midwest Gold Ltd</t>
  </si>
  <si>
    <t>Alan Scott Industries Ltd.</t>
  </si>
  <si>
    <t>Visisth Chay Vyapar Limited</t>
  </si>
  <si>
    <t>Jointeca Education Solutions Limited</t>
  </si>
  <si>
    <t>Kapil Raj Finance Ltd.</t>
  </si>
  <si>
    <t>Sawaca Business Machines Ltd.</t>
  </si>
  <si>
    <t>VCU Data Management Limited</t>
  </si>
  <si>
    <t>Kiduja India Ltd</t>
  </si>
  <si>
    <t>Sigachi Laboratories Limited</t>
  </si>
  <si>
    <t>Deepjyoti Textiles Limited</t>
  </si>
  <si>
    <t>Blazon Marbles Limited</t>
  </si>
  <si>
    <t>R.T.Exports Ltd.</t>
  </si>
  <si>
    <t>JINDAL LEASEFIN LIMITED</t>
  </si>
  <si>
    <t>Gujchem Distillers India Ltd.,</t>
  </si>
  <si>
    <t>Shree Vatsaa Finance &amp; Leasing Ltd.</t>
  </si>
  <si>
    <t>Rishabh Digha Steel And Allied Prod</t>
  </si>
  <si>
    <t>Shree Steel Wire Ropes Ltd.</t>
  </si>
  <si>
    <t>Lippi Systems Ltd.</t>
  </si>
  <si>
    <t>Basant India Limited</t>
  </si>
  <si>
    <t>Ramasigns Industries Limited</t>
  </si>
  <si>
    <t>Tarai Foods Ltd.</t>
  </si>
  <si>
    <t>Bhagwati Oxygen Ltd.,</t>
  </si>
  <si>
    <t>Indo-Global Enterprises Limited</t>
  </si>
  <si>
    <t>Vamshi Rubber Ltd.</t>
  </si>
  <si>
    <t>Sigrun Holdings Limited</t>
  </si>
  <si>
    <t>Tranway Technologies Limited</t>
  </si>
  <si>
    <t>PARLE INDUSTRIES LIMITED</t>
  </si>
  <si>
    <t>Rotographics (India) Limited</t>
  </si>
  <si>
    <t>Bharati Defence and Infrastructure Ltd</t>
  </si>
  <si>
    <t>Integra Capital Management Ltd.</t>
  </si>
  <si>
    <t>PVV Infra Limited</t>
  </si>
  <si>
    <t>Bindal Exports Limited</t>
  </si>
  <si>
    <t>Saboo Brothers Ltd.</t>
  </si>
  <si>
    <t>Soni Medicare Limited</t>
  </si>
  <si>
    <t>Samyak Corporation Limited</t>
  </si>
  <si>
    <t>SPS International Ltd</t>
  </si>
  <si>
    <t>MOUNT HOUSING AND INFRASTRUCTURE LIMITED</t>
  </si>
  <si>
    <t>Camson Bio Technologies Ltd</t>
  </si>
  <si>
    <t>S.P.Capital Financing Ltd.</t>
  </si>
  <si>
    <t>VSD Confin ltd.</t>
  </si>
  <si>
    <t>Trident Tools Limited</t>
  </si>
  <si>
    <t>Fone4 Communications (India) Limited</t>
  </si>
  <si>
    <t>Peeti Securities Ltd.</t>
  </si>
  <si>
    <t>Mahaan Foods Ltd.</t>
  </si>
  <si>
    <t>Sujala Trading &amp; Holdings Ltd.</t>
  </si>
  <si>
    <t>Asian Food Products Ltd.,</t>
  </si>
  <si>
    <t>STELLAR CAPITAL SERVICES LIMITED</t>
  </si>
  <si>
    <t>Delta Industrial Resources Limited</t>
  </si>
  <si>
    <t>Parshwanath Corporation Limited</t>
  </si>
  <si>
    <t>Novateor Research Laboratories Limited</t>
  </si>
  <si>
    <t>Pasari Spinning Mills Ltd.</t>
  </si>
  <si>
    <t>Unity Infraprojects Limited</t>
  </si>
  <si>
    <t>Ridings Consulting Engineers India Limited</t>
  </si>
  <si>
    <t>Trend Electronics Limited</t>
  </si>
  <si>
    <t>Modern Syntex (India) Ltd.,</t>
  </si>
  <si>
    <t>Kotia Enterprises Limited</t>
  </si>
  <si>
    <t>SHREE HANUMAN SUGAR &amp; INDUSTRIES LTD.</t>
  </si>
  <si>
    <t>Sarda Proteins Ltd</t>
  </si>
  <si>
    <t>Seasons Textiles Ltd</t>
  </si>
  <si>
    <t>Photoquip India Ltd.</t>
  </si>
  <si>
    <t>Quasar India Limited</t>
  </si>
  <si>
    <t>ACI Infocom Ltd.</t>
  </si>
  <si>
    <t>Gallops Enterprise Limited</t>
  </si>
  <si>
    <t>United Interactive Limited</t>
  </si>
  <si>
    <t>Shree Manufacturing Co. Ltd.,</t>
  </si>
  <si>
    <t>Associated Ceramics Ltd.</t>
  </si>
  <si>
    <t>Resurgere Mines &amp; Minerals India Limited</t>
  </si>
  <si>
    <t>Shivagrico Implements Ltd.</t>
  </si>
  <si>
    <t>Gajanan Securities Services Ltd.</t>
  </si>
  <si>
    <t>Alpha Graphic India Ltd.</t>
  </si>
  <si>
    <t>K K Fincorp Limited</t>
  </si>
  <si>
    <t>Jagat Trading Enterprises Limited</t>
  </si>
  <si>
    <t>GCM Capital Advisors Limited</t>
  </si>
  <si>
    <t>Chitradurga Spintex Ltd.</t>
  </si>
  <si>
    <t>Stone India Ltd.,</t>
  </si>
  <si>
    <t>Amraworld Agrico Ltd.</t>
  </si>
  <si>
    <t>Sword-Edge Commercials Limited</t>
  </si>
  <si>
    <t>IMEC SERVICES LIMITED</t>
  </si>
  <si>
    <t>Sugal &amp; Damani Share Brokers Ltd.</t>
  </si>
  <si>
    <t>Insta Finance Limited</t>
  </si>
  <si>
    <t>Hardoli Paper Mills Limited</t>
  </si>
  <si>
    <t>SHRADDHA PRIME PROJECTS LTD</t>
  </si>
  <si>
    <t>Avasara Finance Limited</t>
  </si>
  <si>
    <t>Asia Pack Ltd.</t>
  </si>
  <si>
    <t>Madhusudan Securities Ltd</t>
  </si>
  <si>
    <t>Euro Leder Fashion Ltd.</t>
  </si>
  <si>
    <t>Allied Computers International (Asia) Limited</t>
  </si>
  <si>
    <t>James Hotels ltd.</t>
  </si>
  <si>
    <t>Nijjer Agro Food Ltd.</t>
  </si>
  <si>
    <t>Goenka Business &amp; Finance Limited</t>
  </si>
  <si>
    <t>SARUP INDUSTRIES LIMITED</t>
  </si>
  <si>
    <t>MAAGH ADVERTISING AND MARKETING SERVICES LIMITED</t>
  </si>
  <si>
    <t>India Lease Devl. Ltd.,</t>
  </si>
  <si>
    <t>Jyotirgamya Enterprises Limited</t>
  </si>
  <si>
    <t>Svaraj Trading &amp; Agencies Ltd.,</t>
  </si>
  <si>
    <t>Mesco Pharmaceuticals Ltd.</t>
  </si>
  <si>
    <t>Bhanot Construction &amp; Housing Limited</t>
  </si>
  <si>
    <t>Kore Foods Limited</t>
  </si>
  <si>
    <t>Mehta Integrated Finance Ltd.</t>
  </si>
  <si>
    <t>PANAFIC INDUSTRIALS LTD</t>
  </si>
  <si>
    <t>KRETTO SYSCON LIMITED</t>
  </si>
  <si>
    <t>Crane Infrastructure Limited</t>
  </si>
  <si>
    <t>Naraingarh Sugar Mills Ltd.</t>
  </si>
  <si>
    <t>Tokyo Finance Ltd.</t>
  </si>
  <si>
    <t>REGENCY FINCORP LIMITED</t>
  </si>
  <si>
    <t>U. P. Asbestos Limited</t>
  </si>
  <si>
    <t>Suryachakra Power Corporation Ltd.</t>
  </si>
  <si>
    <t>AJEL Limited</t>
  </si>
  <si>
    <t>Evergreen Textiles Limited</t>
  </si>
  <si>
    <t>NPR Finance Ltd.</t>
  </si>
  <si>
    <t>Kaarya Facilities and Services Limited</t>
  </si>
  <si>
    <t>Abhinav Leasing &amp; Finance Limited</t>
  </si>
  <si>
    <t>Gujarat Investa Ltd.,</t>
  </si>
  <si>
    <t>Jet Infraventure Limited</t>
  </si>
  <si>
    <t>Advance Syntex Limited</t>
  </si>
  <si>
    <t>Unimers India Ltd.</t>
  </si>
  <si>
    <t>Pact Industries Ltd.</t>
  </si>
  <si>
    <t>Radico Khaitan Finance Limited</t>
  </si>
  <si>
    <t>Kashyap Tele-Medicines Limited</t>
  </si>
  <si>
    <t>ARYAVAN ENTERPRISE LIMITED</t>
  </si>
  <si>
    <t>Shri Bholanath Carpets Limited</t>
  </si>
  <si>
    <t>Avon Mercantile Ltd.</t>
  </si>
  <si>
    <t>Deccan Bearings Ltd.,</t>
  </si>
  <si>
    <t>Chadha Papers Ltd.</t>
  </si>
  <si>
    <t>Value Industries Limited</t>
  </si>
  <si>
    <t>Sirohia &amp; Sons Limited</t>
  </si>
  <si>
    <t>Ganesh Films India Limited</t>
  </si>
  <si>
    <t>Sonalis Consumer Products Limited</t>
  </si>
  <si>
    <t>Riga Sugar Company Ltd.</t>
  </si>
  <si>
    <t>Sterling Guarantee &amp; Fin. Ltd</t>
  </si>
  <si>
    <t>Kush Industries Limited</t>
  </si>
  <si>
    <t>Bisil Plast Limited</t>
  </si>
  <si>
    <t>Billwin Industries Limited</t>
  </si>
  <si>
    <t>SIMPLEX MILLS COMPANY LIMITED</t>
  </si>
  <si>
    <t>Ontic Finserve Limited</t>
  </si>
  <si>
    <t>Nanavati Ventures Limited</t>
  </si>
  <si>
    <t>CHD Developers Ltd</t>
  </si>
  <si>
    <t>United Credit ltd.</t>
  </si>
  <si>
    <t>ANS Limited</t>
  </si>
  <si>
    <t>Padam Cotton Yarns Ltd.</t>
  </si>
  <si>
    <t>Jayant Mercantile Co. Ltd</t>
  </si>
  <si>
    <t>Risa International Limited</t>
  </si>
  <si>
    <t>Sun Retail Limited</t>
  </si>
  <si>
    <t>Ace Software Exports ltd.</t>
  </si>
  <si>
    <t>Minaxi Textiles Ltd.</t>
  </si>
  <si>
    <t>Crescent Finstock Limited</t>
  </si>
  <si>
    <t>Tashi India Ltd.</t>
  </si>
  <si>
    <t>Cremica Agro Foods Limited</t>
  </si>
  <si>
    <t>Hemadri Cements Limited</t>
  </si>
  <si>
    <t>SK International Export Limited</t>
  </si>
  <si>
    <t>Sheetal Diamonds Ltd.</t>
  </si>
  <si>
    <t>Sinnar Bidi Udyog Ltd.,</t>
  </si>
  <si>
    <t>TEJASSVI AAHARAM LIMITED</t>
  </si>
  <si>
    <t>Prabhu Steel Industries Ltd.,</t>
  </si>
  <si>
    <t>SHANTI GURU INDUSTRIES LIMITED</t>
  </si>
  <si>
    <t>Minolta Finance Ltd.</t>
  </si>
  <si>
    <t>Nutech Global Ltd.</t>
  </si>
  <si>
    <t>Alka Securities Ltd.</t>
  </si>
  <si>
    <t>Confidence Finance And Trading Limited</t>
  </si>
  <si>
    <t>Quantum Build-Tech Limited</t>
  </si>
  <si>
    <t>MONIND LIMITED</t>
  </si>
  <si>
    <t>Hillridge Investments Limited</t>
  </si>
  <si>
    <t>Operational Energy Group India Limited</t>
  </si>
  <si>
    <t>Mukat Pipes Limited</t>
  </si>
  <si>
    <t>Ranjan Polysters Limited</t>
  </si>
  <si>
    <t>SHESHADRI INDUSTRIES LIMITED</t>
  </si>
  <si>
    <t>Bloom Dekor Ltd.</t>
  </si>
  <si>
    <t>JAYATMA ENTERPRISES LIMITED</t>
  </si>
  <si>
    <t>Bharat Bhushan Share &amp; Commodity Brokers Ltd.</t>
  </si>
  <si>
    <t>Amalgamated Electricity Co. Ltd.,</t>
  </si>
  <si>
    <t>IITL PROJECTS LIMITED</t>
  </si>
  <si>
    <t>Popular Estate Management Ltd</t>
  </si>
  <si>
    <t>BOSTON TEKNOWSYS (INDIA) LIMITED</t>
  </si>
  <si>
    <t>Milestone Global Limited</t>
  </si>
  <si>
    <t>Ladam Affortable Housing Limited</t>
  </si>
  <si>
    <t>Shree Ganesh Elastoplast Ltd</t>
  </si>
  <si>
    <t>Aayush Food And Herbs Limited</t>
  </si>
  <si>
    <t>Vitesse Agro Limited</t>
  </si>
  <si>
    <t>ABATE AS INDUSTRIES LIMITED</t>
  </si>
  <si>
    <t>Premier Synthetics Ltd.,</t>
  </si>
  <si>
    <t>S R G SECURITIES FINANCE LIMITED</t>
  </si>
  <si>
    <t>Shree Bhawani Paper Mills Ltd.,</t>
  </si>
  <si>
    <t>Bangalore Fort Farms Limited</t>
  </si>
  <si>
    <t>ABC Gas (International) Ltd.</t>
  </si>
  <si>
    <t>ARUNIS ABODE LIMITED</t>
  </si>
  <si>
    <t>Oscar Investments Ltd.,</t>
  </si>
  <si>
    <t>AMBASSADOR INTRA HOLDINGS LIMITED</t>
  </si>
  <si>
    <t>DQ Entertainment (International) Limited</t>
  </si>
  <si>
    <t>Genesis Developers And Holdings Limited</t>
  </si>
  <si>
    <t>Amarnath Securities Ltd.</t>
  </si>
  <si>
    <t>AMS POLYMERS LIMITED</t>
  </si>
  <si>
    <t>Amforge Industries Ltd.,</t>
  </si>
  <si>
    <t>Ambition Mica Limited</t>
  </si>
  <si>
    <t>SHARPLINE BROADCAST LIMITED</t>
  </si>
  <si>
    <t>MODERN ENGINEERING AND PROJECTS LIMITED</t>
  </si>
  <si>
    <t>Interlink Petroleum Ltd.</t>
  </si>
  <si>
    <t>Rushabh Precision Bearings Ltd.</t>
  </si>
  <si>
    <t>Kay Power And Paper Ltd</t>
  </si>
  <si>
    <t>Konark Synthetics Ltd</t>
  </si>
  <si>
    <t>Trimurthi Limited</t>
  </si>
  <si>
    <t>JD Orgochem Ltd.</t>
  </si>
  <si>
    <t>Raunaq EPC International Limited</t>
  </si>
  <si>
    <t>Span Divergent Limited</t>
  </si>
  <si>
    <t>VKJ Infradevelopers Limited</t>
  </si>
  <si>
    <t>Kkalpana Plastick Limited</t>
  </si>
  <si>
    <t>Jattashankar Industries Limited</t>
  </si>
  <si>
    <t>Rose Merc.Limited</t>
  </si>
  <si>
    <t>Southern Infosys Limited</t>
  </si>
  <si>
    <t>Shree Precoated Steels Limited</t>
  </si>
  <si>
    <t>Viaan Industries Limited</t>
  </si>
  <si>
    <t>PANABYTE TECHNOLOGIES LIMITED</t>
  </si>
  <si>
    <t>Scindia Steam Navigation Co. Ltd.,</t>
  </si>
  <si>
    <t>Mukta Agriculture Limited</t>
  </si>
  <si>
    <t>V R Woodart Ltd</t>
  </si>
  <si>
    <t>Howard Hotels Limited</t>
  </si>
  <si>
    <t>THIRU AROORAN SUGARS LTD</t>
  </si>
  <si>
    <t>Niks Technology Limited</t>
  </si>
  <si>
    <t>ITL Finlease &amp; Securities Limited</t>
  </si>
  <si>
    <t>Anjani Finance Ltd</t>
  </si>
  <si>
    <t>Secunderabad Health Care Ltd.</t>
  </si>
  <si>
    <t>Aadhaar Ventures India Limited</t>
  </si>
  <si>
    <t>EASUN REYROLLE LTD.</t>
  </si>
  <si>
    <t>Longview Tea Company ltd.</t>
  </si>
  <si>
    <t>Senbo Industries Ltd.</t>
  </si>
  <si>
    <t>Ahmedabad Steelcraft Ltd.</t>
  </si>
  <si>
    <t>Sterling Powergensys Limited</t>
  </si>
  <si>
    <t>Senthil Infotek Limited</t>
  </si>
  <si>
    <t>Mehta Securities Ltd.</t>
  </si>
  <si>
    <t>Dr. M Induscorp Limited</t>
  </si>
  <si>
    <t>Agrimony Commodities Limited</t>
  </si>
  <si>
    <t>SRI AMARNATH FINANCE LIMITED</t>
  </si>
  <si>
    <t>Glittek Granites Ltd.</t>
  </si>
  <si>
    <t>CHOTHANI FOODS LIMITED</t>
  </si>
  <si>
    <t>Indtradeco Ltd.,</t>
  </si>
  <si>
    <t>Dalal Street Investments Ltd.,</t>
  </si>
  <si>
    <t>Ramsons Projects Ltd.</t>
  </si>
  <si>
    <t>Oswal Minerals Limited</t>
  </si>
  <si>
    <t>Shree Salasar Investment Ltd.,</t>
  </si>
  <si>
    <t>Seven Hill Industries Limited</t>
  </si>
  <si>
    <t>Rander Corporation Ltd.</t>
  </si>
  <si>
    <t>Switching Technologies Gunther Ltd.</t>
  </si>
  <si>
    <t>Steelco Gujarat Ltd</t>
  </si>
  <si>
    <t>TIAAN CONSUMER LIMITED</t>
  </si>
  <si>
    <t>SHARANAM INFRAPROJECT AND TRADING LIMITED</t>
  </si>
  <si>
    <t>Ramgopal Polytex Ltd</t>
  </si>
  <si>
    <t>Kapil Cotex Ltd.,</t>
  </si>
  <si>
    <t>Millennium Online Solutions (India) Ltd</t>
  </si>
  <si>
    <t>Uniroyal Marine Exports Ltd.</t>
  </si>
  <si>
    <t>Polycon International Ltd.</t>
  </si>
  <si>
    <t>Duke Offshore Ltd.</t>
  </si>
  <si>
    <t>MAFIA TRENDS LIMITED</t>
  </si>
  <si>
    <t>MARG TECHNO PROJECTS LIMITED</t>
  </si>
  <si>
    <t>Kuwer Industries Ltd.</t>
  </si>
  <si>
    <t>Shri Rajivlochan Oil Extraction Ltd</t>
  </si>
  <si>
    <t>Royal India Corporation Limited</t>
  </si>
  <si>
    <t>Relic Technologies Ltd.</t>
  </si>
  <si>
    <t>Golden Capital Services Limited</t>
  </si>
  <si>
    <t>DJS Stock &amp; Shares Ltd.</t>
  </si>
  <si>
    <t>PAOS INDUSTRIES LIMITED</t>
  </si>
  <si>
    <t>Zicom Electronic Security Systems l</t>
  </si>
  <si>
    <t>Sri Nandaa Spinners Limited</t>
  </si>
  <si>
    <t>Beryl Securities Ltd</t>
  </si>
  <si>
    <t>Mega Fin (India) Ltd.</t>
  </si>
  <si>
    <t>Dion Global Solutions Limited</t>
  </si>
  <si>
    <t>Joy Realty Limited</t>
  </si>
  <si>
    <t>Satya Shyam Trading Limited</t>
  </si>
  <si>
    <t>Flora Corporation Limited</t>
  </si>
  <si>
    <t>Kabra Commercial Limited</t>
  </si>
  <si>
    <t>Sagar Tourist Resorts Ltd.,</t>
  </si>
  <si>
    <t>TECHNOFAB ENGINEERING LIMITED</t>
  </si>
  <si>
    <t>Catvision Limited</t>
  </si>
  <si>
    <t>Yuranus Infrastructure Ltd</t>
  </si>
  <si>
    <t>Nutraplus India Limited</t>
  </si>
  <si>
    <t>FGP Ltd</t>
  </si>
  <si>
    <t>Step Two Corporation Ltd.</t>
  </si>
  <si>
    <t>Rajasthan Tube Mfg. Co</t>
  </si>
  <si>
    <t>Adinath Exim Resources Ltd.</t>
  </si>
  <si>
    <t>Quantum Digital Vision (India) Ltd.</t>
  </si>
  <si>
    <t>Modella Woollens Ltd.,</t>
  </si>
  <si>
    <t>ZR Infra Limited</t>
  </si>
  <si>
    <t>Shashwat Furnishing Solutions Limited</t>
  </si>
  <si>
    <t>Hittco Tools Ltd.</t>
  </si>
  <si>
    <t>Tarini International Limited</t>
  </si>
  <si>
    <t>Voltaire Leasing &amp; Finance Ltd.,</t>
  </si>
  <si>
    <t>AVI PRODUCTS INDIA LIMITED</t>
  </si>
  <si>
    <t>Vardhman Concrete Limited</t>
  </si>
  <si>
    <t>Beryl Drugs Ltd.</t>
  </si>
  <si>
    <t>Indo-City Infotech Ltd.</t>
  </si>
  <si>
    <t>Coral Newsprints Ltd.</t>
  </si>
  <si>
    <t>Dolphin Offshore Enterprises (India) ltd.</t>
  </si>
  <si>
    <t>Nandini Texcom (India) Limited</t>
  </si>
  <si>
    <t>LWS Knitwear Ltd</t>
  </si>
  <si>
    <t>Welterman International Ltd.</t>
  </si>
  <si>
    <t>Computer Point Ltd.,</t>
  </si>
  <si>
    <t>SC Agrotech Limited</t>
  </si>
  <si>
    <t>TAHMAR ENTERPRISES LIMITED</t>
  </si>
  <si>
    <t>Essar Securities Limited</t>
  </si>
  <si>
    <t>Shri Mahalaxmi Agricultural Development Limited</t>
  </si>
  <si>
    <t>Lords Ishwar Hotels Limited</t>
  </si>
  <si>
    <t>Jonjua Overseas Limited</t>
  </si>
  <si>
    <t>Umiya Tubes Limited</t>
  </si>
  <si>
    <t>Otco International Ltd</t>
  </si>
  <si>
    <t>Perfect-Octave Media Projects Ltd</t>
  </si>
  <si>
    <t>VINAYAK POLYCON INTERNATIONAL LIMITED</t>
  </si>
  <si>
    <t>Accuvant Advisory Services Limited</t>
  </si>
  <si>
    <t>Triton Corp. Ltd.</t>
  </si>
  <si>
    <t>RCI Industries &amp; Technologies Limited</t>
  </si>
  <si>
    <t>Mega Nirman &amp; Industries Limited</t>
  </si>
  <si>
    <t>Uniworth Textiles Ltd.</t>
  </si>
  <si>
    <t>Linkhouse Industries Ltd.,</t>
  </si>
  <si>
    <t>Haria Apparels Limited</t>
  </si>
  <si>
    <t>Gujarat Credit Corporation Ltd.</t>
  </si>
  <si>
    <t>F MEC INTERNATIONAL FINANCIAL SERVICES LIMITED</t>
  </si>
  <si>
    <t>Mohota Industries Limited</t>
  </si>
  <si>
    <t>Moongipa Capital Finance Ltd.</t>
  </si>
  <si>
    <t>Mayukh Dealtrade Limited</t>
  </si>
  <si>
    <t>RLF Ltd.</t>
  </si>
  <si>
    <t>Starlit Power Systems Limited</t>
  </si>
  <si>
    <t>NMS RESOURCES GLOBAL LIMITED</t>
  </si>
  <si>
    <t>Jain Marmo Industries Ltd.</t>
  </si>
  <si>
    <t>Spisys Limited</t>
  </si>
  <si>
    <t>Alchemist Corporation Ltd</t>
  </si>
  <si>
    <t>Unitech International Ltd</t>
  </si>
  <si>
    <t>UTL Industries Limited</t>
  </si>
  <si>
    <t>Kandagiri Spinning Mills Ltd.</t>
  </si>
  <si>
    <t>Sturdy Industries Ltd.</t>
  </si>
  <si>
    <t>Malabar Trading Co. Ltd.,</t>
  </si>
  <si>
    <t>Galaxy Agrico Exports Ltd.</t>
  </si>
  <si>
    <t>Jain Studios Ltd.</t>
  </si>
  <si>
    <t>P.M. Telelinnks Limited</t>
  </si>
  <si>
    <t>Omnipotent Industries Limited</t>
  </si>
  <si>
    <t>Ashish Polyplast Ltd.</t>
  </si>
  <si>
    <t>Jhandewalas Foods Limited</t>
  </si>
  <si>
    <t>KOBO BIOTECH LIMITED</t>
  </si>
  <si>
    <t>Kumbhat Financial Services Ltd.</t>
  </si>
  <si>
    <t>KRA Leasing Limited</t>
  </si>
  <si>
    <t>TRILIANCE POLYMERS LIMITED</t>
  </si>
  <si>
    <t>Olympic Oil Industries Ltd.,</t>
  </si>
  <si>
    <t>Global Knitfab Ltd.</t>
  </si>
  <si>
    <t>India Green Reality Limited</t>
  </si>
  <si>
    <t>Natural Biocon (India) Limited</t>
  </si>
  <si>
    <t>Fabino Life Sciences Limited</t>
  </si>
  <si>
    <t>Bijoy Hans Ltd</t>
  </si>
  <si>
    <t>Tavernier Resources Limited</t>
  </si>
  <si>
    <t>Mahip Industries Limited</t>
  </si>
  <si>
    <t>V B INDUSTRIES LIMITED</t>
  </si>
  <si>
    <t>GENOMIC VALLEY BIOTECH LIMITED</t>
  </si>
  <si>
    <t>Raj Irrigation Pipes &amp; Fittings Ltd</t>
  </si>
  <si>
    <t>SIMPLEX PAPERS LTD.</t>
  </si>
  <si>
    <t>Rathi Steel &amp; Power Ltd,</t>
  </si>
  <si>
    <t>Excel Glasses Ltd.,</t>
  </si>
  <si>
    <t>Nihar Info Global Ltd.</t>
  </si>
  <si>
    <t>Info-Drive Software Ltd.</t>
  </si>
  <si>
    <t>Gontermann Peipers (India) Ltd.,</t>
  </si>
  <si>
    <t>Shahi Shipping Limited</t>
  </si>
  <si>
    <t>Mini Diamonds (India) Ltd.</t>
  </si>
  <si>
    <t>Savani Financials Ltd.</t>
  </si>
  <si>
    <t>PAE LTd.</t>
  </si>
  <si>
    <t>Spicy Entertainment and Media Limited</t>
  </si>
  <si>
    <t>Libord Securities Ltd.</t>
  </si>
  <si>
    <t>Gemstone Investments Ltd.</t>
  </si>
  <si>
    <t>Tamilnadu Jaibharat Mills Ltd</t>
  </si>
  <si>
    <t>TeleCanor Global Limited</t>
  </si>
  <si>
    <t>Sophia Traexpo Limited</t>
  </si>
  <si>
    <t>Essar Investments Ltd.,</t>
  </si>
  <si>
    <t>Agio Paper &amp; Industries Limited</t>
  </si>
  <si>
    <t>RCC Cements Ltd</t>
  </si>
  <si>
    <t>GSB Finance Ltd.</t>
  </si>
  <si>
    <t>Bazel International Limited</t>
  </si>
  <si>
    <t>Shaba Chemicals Ltd.</t>
  </si>
  <si>
    <t>SBL Infratech Limited</t>
  </si>
  <si>
    <t>Super Bakers (India) Ltd.</t>
  </si>
  <si>
    <t>Subhash Silk Mills Ltd.</t>
  </si>
  <si>
    <t>Frontier Capital Limited</t>
  </si>
  <si>
    <t>YAAN ENTERPRISES LIMITED</t>
  </si>
  <si>
    <t>JAGJANANI TEXTILES LIMITED</t>
  </si>
  <si>
    <t>Krishna Capital And Securities Limited</t>
  </si>
  <si>
    <t>Eureka Industries Ltd.</t>
  </si>
  <si>
    <t>IGC Industries Limited</t>
  </si>
  <si>
    <t>Wherrelz IT Solutions Limited</t>
  </si>
  <si>
    <t>B&amp;B Realty Limited</t>
  </si>
  <si>
    <t>Unjha Formulations Ltd.</t>
  </si>
  <si>
    <t>dynamic Archistructures Limited</t>
  </si>
  <si>
    <t>PSL Limited</t>
  </si>
  <si>
    <t>Lead Financial Services Ltd</t>
  </si>
  <si>
    <t>Milestone Furniture Limited</t>
  </si>
  <si>
    <t>Trombo Extractions Limited</t>
  </si>
  <si>
    <t>Silver Pearl Hospitality &amp; Luxury Spaces Limited</t>
  </si>
  <si>
    <t>SDC TECHMEDIA LIMITED</t>
  </si>
  <si>
    <t>NDA Securities ltd.</t>
  </si>
  <si>
    <t>Pet Plastics Ltd.,</t>
  </si>
  <si>
    <t>Heera Ispat Ltd.</t>
  </si>
  <si>
    <t>Multiplus Holdings Ltd.,</t>
  </si>
  <si>
    <t>Avi Polymers Ltd.</t>
  </si>
  <si>
    <t>Garodia Chemicals Ltd.</t>
  </si>
  <si>
    <t>Aravali Securities &amp; Finance Ltd.,</t>
  </si>
  <si>
    <t>Santosh Fine-Fab Ltd.</t>
  </si>
  <si>
    <t>Universal Office Automation Limited</t>
  </si>
  <si>
    <t>Fraser And Company Limited</t>
  </si>
  <si>
    <t>Mafatlal Lubricants Ltd.</t>
  </si>
  <si>
    <t>CAT Technologies Ltd</t>
  </si>
  <si>
    <t>Shri Niwas Leasing and Finance Limited</t>
  </si>
  <si>
    <t>Chemiesynth (Vapi) Limited</t>
  </si>
  <si>
    <t>Sybly Industries Ltd.</t>
  </si>
  <si>
    <t>AA Plus Tradelink Limited</t>
  </si>
  <si>
    <t>Decorous Investment and Trading Co. Ltd.</t>
  </si>
  <si>
    <t>Raghunath International Ltd.</t>
  </si>
  <si>
    <t>C &amp; C Constructions Ltd.</t>
  </si>
  <si>
    <t>Fenoplast ltd.</t>
  </si>
  <si>
    <t>Hindustan Bio Sciences Ltd.</t>
  </si>
  <si>
    <t>Marg Projects and Infrastructure Limited</t>
  </si>
  <si>
    <t>Neo Infracon Ltd.</t>
  </si>
  <si>
    <t>Rajputana Investment and Finance Ltd.</t>
  </si>
  <si>
    <t>Yogi Sung-won (India) Ltd.</t>
  </si>
  <si>
    <t>Rampur Fertilizers Limited</t>
  </si>
  <si>
    <t>Asianlakto Industries Limited</t>
  </si>
  <si>
    <t>Transpact Enterprises Limited</t>
  </si>
  <si>
    <t>Eskay K'n'IT (India) Ltd</t>
  </si>
  <si>
    <t>Sharma East India Hospitals And Res</t>
  </si>
  <si>
    <t>Bothra Metals &amp; Alloys Limited</t>
  </si>
  <si>
    <t>Devine Impex Limited</t>
  </si>
  <si>
    <t>Gowra Leasing &amp; Finance Ltd.</t>
  </si>
  <si>
    <t>Shantanu Sheorey Aquakult ltd.</t>
  </si>
  <si>
    <t>Shree Tulsi Online.Com Ltd</t>
  </si>
  <si>
    <t>Govind Rubber Ltd</t>
  </si>
  <si>
    <t>CHD Chemicals Limited</t>
  </si>
  <si>
    <t>Mindvision Capital Ltd</t>
  </si>
  <si>
    <t>Spice Islands Apparels ltd.</t>
  </si>
  <si>
    <t>Vision Cinemas Limited</t>
  </si>
  <si>
    <t>Retro Green Revolution Limited</t>
  </si>
  <si>
    <t>NEXUS SURGICAL AND MEDICARE LIMITED</t>
  </si>
  <si>
    <t>Welcure Drugs &amp; Pharmaceuticals ltd</t>
  </si>
  <si>
    <t>Shree Rajasthan Syntex Ltd.,</t>
  </si>
  <si>
    <t>Incon Engineers Ltd.</t>
  </si>
  <si>
    <t>Looks Health Services Limited</t>
  </si>
  <si>
    <t>Maryada Commercial Enterprises &amp; Investment Co Ltd</t>
  </si>
  <si>
    <t>Clio Infotech Ltd.</t>
  </si>
  <si>
    <t>Neo Corp International Ltd</t>
  </si>
  <si>
    <t>Flora Textiles Ltd.</t>
  </si>
  <si>
    <t>Shukra Jewellers Limited</t>
  </si>
  <si>
    <t>Datar Switchgear Ltd.</t>
  </si>
  <si>
    <t>Nishtha Finance And Investment (India) Limited</t>
  </si>
  <si>
    <t>Amit International Ltd.</t>
  </si>
  <si>
    <t>REGALIAA REALTY LTD.</t>
  </si>
  <si>
    <t>Tamilnadu Steel Tubes Ltd.</t>
  </si>
  <si>
    <t>Manipal Finance Corporation Ltd.,</t>
  </si>
  <si>
    <t>Nakoda Limited</t>
  </si>
  <si>
    <t>Typhoon Financial Services Limited</t>
  </si>
  <si>
    <t>Lynx Machinery &amp; Commercials Ltd.,</t>
  </si>
  <si>
    <t>Kids Medical Systems Limited</t>
  </si>
  <si>
    <t>Haria Exports Ltd.</t>
  </si>
  <si>
    <t>Winsome Yarns Ltd.</t>
  </si>
  <si>
    <t>N.B. Footwear Ltd.,</t>
  </si>
  <si>
    <t>Chemo Pharma Laboratories Ltd.,</t>
  </si>
  <si>
    <t>Garware Synthetics Ltd.</t>
  </si>
  <si>
    <t>Vaghani Techno-Build Limited</t>
  </si>
  <si>
    <t>FACOR Steels Limited</t>
  </si>
  <si>
    <t>Dhanvantri Jeevan Rekha Ltd.</t>
  </si>
  <si>
    <t>Mayur Floorings Ltd.</t>
  </si>
  <si>
    <t>FIRST FINTEC LIMITED</t>
  </si>
  <si>
    <t>Janus Corporation Limited</t>
  </si>
  <si>
    <t>Quest Financial Services Ltd.</t>
  </si>
  <si>
    <t>Innocorp Limited</t>
  </si>
  <si>
    <t>Golden Carpets Limited.</t>
  </si>
  <si>
    <t>JAYATMA INDUSTRIES LIMITED</t>
  </si>
  <si>
    <t>Jackson Investments Limited</t>
  </si>
  <si>
    <t>Neycer India Ltd.,</t>
  </si>
  <si>
    <t>Quality Synthetic Industries Limited</t>
  </si>
  <si>
    <t>Southern Online Bio Technologies Ltd.</t>
  </si>
  <si>
    <t>Bansisons Tea Industries Ltd.</t>
  </si>
  <si>
    <t>Indian Link Chain Mnfrs. Ltd.,</t>
  </si>
  <si>
    <t>Centron Industrial Alliance Ltd.,</t>
  </si>
  <si>
    <t>First Custodian Fund (India) Ltd.,</t>
  </si>
  <si>
    <t>Rajath Finance Limited</t>
  </si>
  <si>
    <t>Hasti Finance Ltd.</t>
  </si>
  <si>
    <t>Ganga Pharmaceuticals Limited</t>
  </si>
  <si>
    <t>Sri Krishna Constructions (India) Limited</t>
  </si>
  <si>
    <t>Anukaran Commercial Enterprises Lt</t>
  </si>
  <si>
    <t>Sudev Industries Ltd.</t>
  </si>
  <si>
    <t>Global Securities Limited</t>
  </si>
  <si>
    <t>Svam Software Ltd</t>
  </si>
  <si>
    <t>Citiport Financial Services Ltd.</t>
  </si>
  <si>
    <t>KMF Builders &amp; Developers Ltd.</t>
  </si>
  <si>
    <t>Gagan Gases Ltd.</t>
  </si>
  <si>
    <t>Goldedge Estate And Investments Limited</t>
  </si>
  <si>
    <t>Modi Hoover International Ltd.</t>
  </si>
  <si>
    <t>AMANAYA VENTURES LIMITED</t>
  </si>
  <si>
    <t>Thirdwave Financial Intermediaries</t>
  </si>
  <si>
    <t>Nagarjuna Agritech Ltd.</t>
  </si>
  <si>
    <t>Mahesh Developers Limited</t>
  </si>
  <si>
    <t>Enterprise International Limited</t>
  </si>
  <si>
    <t>Aris International Limited</t>
  </si>
  <si>
    <t>N.R.International Limited</t>
  </si>
  <si>
    <t>Panther Industrial Products Ltd.,</t>
  </si>
  <si>
    <t>Brawn Biotech Limited</t>
  </si>
  <si>
    <t>Superior Finlease Limited</t>
  </si>
  <si>
    <t>GFL Financials India Limited</t>
  </si>
  <si>
    <t>Pushpsons Industries Ltd.</t>
  </si>
  <si>
    <t>ACE ENGITECH LIMITED</t>
  </si>
  <si>
    <t>JINAAM’S DRESS LIMITED</t>
  </si>
  <si>
    <t>Purple Entertainment Limited</t>
  </si>
  <si>
    <t>Lark Trading &amp; Finance Limited</t>
  </si>
  <si>
    <t>Corporate Merchant Bankers Limited</t>
  </si>
  <si>
    <t>Santowin Corporation Limited</t>
  </si>
  <si>
    <t>Hira Automobiles Ltd.</t>
  </si>
  <si>
    <t>JCK Infrastructure Development Limited</t>
  </si>
  <si>
    <t>Modern Shares and Stockbrokers Ltd.</t>
  </si>
  <si>
    <t>ASIS LOGISTICS LIMITED</t>
  </si>
  <si>
    <t>Trio Mercantile &amp; Trading Limited</t>
  </si>
  <si>
    <t>Vas Infrastructure Ltd.</t>
  </si>
  <si>
    <t>Newever Trade Wings Limited</t>
  </si>
  <si>
    <t>Oswal Overseas Ltd</t>
  </si>
  <si>
    <t>ASIA CAPITAL LIMITED</t>
  </si>
  <si>
    <t>Pithampur Poly Products Ltd.</t>
  </si>
  <si>
    <t>TINE AGRO LIMITED</t>
  </si>
  <si>
    <t>Arihants Securities ltd.</t>
  </si>
  <si>
    <t>K.Z.Leasing &amp; Finance Ltd.</t>
  </si>
  <si>
    <t>AMERISE BIOSCIENCES LIMITED</t>
  </si>
  <si>
    <t>Organic Coatings Ltd.</t>
  </si>
  <si>
    <t>Space Incubatrics Technologies Limited</t>
  </si>
  <si>
    <t>Stanpacks (India) Ltd.</t>
  </si>
  <si>
    <t>Swagtam Trading &amp; Services Limited</t>
  </si>
  <si>
    <t>J.J. Finance Corporation Ltd.,</t>
  </si>
  <si>
    <t>Prime Capital Market Limited</t>
  </si>
  <si>
    <t>USS Global Limited</t>
  </si>
  <si>
    <t>Rainbow Papers Ltd.,</t>
  </si>
  <si>
    <t>VUENOW INFRATECH LIMITED</t>
  </si>
  <si>
    <t>PROGREX VENTURES LIMITED</t>
  </si>
  <si>
    <t>Olympic Cards Limited</t>
  </si>
  <si>
    <t>WORLDWIDE ALUMINIUM LIMITED</t>
  </si>
  <si>
    <t>Neelkanth Rockminerals ltd.</t>
  </si>
  <si>
    <t>Garware Marine Industries Ltd.,</t>
  </si>
  <si>
    <t>Sri Narayan Raj Kumar Merchants Limited</t>
  </si>
  <si>
    <t>Aditya Ispat Ltd.</t>
  </si>
  <si>
    <t>Chandni Machines Limited</t>
  </si>
  <si>
    <t>Ashram Online.com Ltd</t>
  </si>
  <si>
    <t>CONSTRONICS INFRA LIMITED</t>
  </si>
  <si>
    <t>SRM Energy Limited</t>
  </si>
  <si>
    <t>R J BIO-TECH LIMITED</t>
  </si>
  <si>
    <t>Shentracon Chemicals Ltd.</t>
  </si>
  <si>
    <t>Sun Finlease (Gujarat) Limited</t>
  </si>
  <si>
    <t>Sita Enterprises LTD.</t>
  </si>
  <si>
    <t>EPIC Energy Ltd.</t>
  </si>
  <si>
    <t>Atcom Technologies Ltd.</t>
  </si>
  <si>
    <t>Indu Engineering And Textiles Limited</t>
  </si>
  <si>
    <t>Jotindra Steel &amp; Tubes Limited</t>
  </si>
  <si>
    <t>Maximaa Systems ltd.</t>
  </si>
  <si>
    <t>Polytex India Ltd.,</t>
  </si>
  <si>
    <t>Sudal Industries Limited</t>
  </si>
  <si>
    <t>SAMRUDDHI REALTY LIMITED</t>
  </si>
  <si>
    <t>Zyden Gentec Ltd.</t>
  </si>
  <si>
    <t>Gujarat Cotex Ltd</t>
  </si>
  <si>
    <t>Northlink Fiscal And Capital Services Ltd.</t>
  </si>
  <si>
    <t>CDG PETCHEM LIMITED</t>
  </si>
  <si>
    <t>Market Creators Ltd.</t>
  </si>
  <si>
    <t>Jalpac India Ltd.,</t>
  </si>
  <si>
    <t>SGN Telecoms Ltd.</t>
  </si>
  <si>
    <t>Gratex Industries Ltd.</t>
  </si>
  <si>
    <t>Siddha Ventures Limited</t>
  </si>
  <si>
    <t>Ramchandra Leasing &amp; Finance Limited</t>
  </si>
  <si>
    <t>Priya Limited.</t>
  </si>
  <si>
    <t>Sikozy Realtors Limited</t>
  </si>
  <si>
    <t>Rich Universe Network Ltd</t>
  </si>
  <si>
    <t>WINY COMMERCIAL AND FISCAL SERVICES LIMITED</t>
  </si>
  <si>
    <t>DATIWARE MARITIME INFRA LIMITED</t>
  </si>
  <si>
    <t>Ushakiran Finance Ltd.</t>
  </si>
  <si>
    <t>Asahi Infrastructure &amp; Projects Ltd</t>
  </si>
  <si>
    <t>Standard Shoe Sole and Mould (India) Ltd</t>
  </si>
  <si>
    <t>S.T. SERVICES LIMITED</t>
  </si>
  <si>
    <t>Alps Motor Finance Limited</t>
  </si>
  <si>
    <t>Rainbow Denim Ltd.</t>
  </si>
  <si>
    <t>V.B.Desai Financial Services Ltd</t>
  </si>
  <si>
    <t>Williamson Financial Services ltd.</t>
  </si>
  <si>
    <t>Monica Electronics Ltd.</t>
  </si>
  <si>
    <t>Relstruct Buildcon Limited</t>
  </si>
  <si>
    <t>Trekkingtoes.com Limited</t>
  </si>
  <si>
    <t>Thirani Projects Limited</t>
  </si>
  <si>
    <t>Metkore Alloys &amp; Industries Ltd</t>
  </si>
  <si>
    <t>East Buildtech Limited</t>
  </si>
  <si>
    <t>Union Quality Plastics Ltd.</t>
  </si>
  <si>
    <t>Patidar Buildcon Limited</t>
  </si>
  <si>
    <t>Infra Industries Ltd.</t>
  </si>
  <si>
    <t>Advent Computer Services ltd.</t>
  </si>
  <si>
    <t>Encore Software Ltd.</t>
  </si>
  <si>
    <t>Lords Chemicals Ltd.</t>
  </si>
  <si>
    <t>Divya Jyoti Industries Ltd.</t>
  </si>
  <si>
    <t>Integrated Hi-tech ltd.</t>
  </si>
  <si>
    <t>Starlite Components Ltd.</t>
  </si>
  <si>
    <t>Nutricircle Limited</t>
  </si>
  <si>
    <t>Atharv Enterprises Limited</t>
  </si>
  <si>
    <t>Global Infratech &amp; Finance limited</t>
  </si>
  <si>
    <t>HYPERSOFT TECHNOLOGIES LIMITED</t>
  </si>
  <si>
    <t>KONNDOR INDUSTRIES LIMITED</t>
  </si>
  <si>
    <t>Aviva Industries Limited</t>
  </si>
  <si>
    <t>Edynamics Solutions Limited</t>
  </si>
  <si>
    <t>TALWALKARS BETTER VALUE FITNESS LIMITED</t>
  </si>
  <si>
    <t>Alka Diamond Industries Ltd.</t>
  </si>
  <si>
    <t>Navoday Enterprises Limited</t>
  </si>
  <si>
    <t>Majestic Research Services and Solutions Limited</t>
  </si>
  <si>
    <t>Nu Tek India Limited</t>
  </si>
  <si>
    <t>MFS Intercorp Limited</t>
  </si>
  <si>
    <t>MILGREY FINANCE &amp; INVESTMENT LTD</t>
  </si>
  <si>
    <t>Jayabharat Credit Ltd.,</t>
  </si>
  <si>
    <t>Mahaveer Infoway Limited</t>
  </si>
  <si>
    <t>Sungold Capital Ltd.</t>
  </si>
  <si>
    <t>BHUDEVI INFRA PROJECTS LIMITED</t>
  </si>
  <si>
    <t>Parker Agro Chem Export Ltd.</t>
  </si>
  <si>
    <t>Turbotech Engineering Ltd.</t>
  </si>
  <si>
    <t>Chhabra Spinners ltd.</t>
  </si>
  <si>
    <t>NCC Bluewater Products Ltd.</t>
  </si>
  <si>
    <t>Integrated Proteins Ltd.</t>
  </si>
  <si>
    <t>Rajasthan Gases Ltd.</t>
  </si>
  <si>
    <t>KCCL Plastic Ltd</t>
  </si>
  <si>
    <t>B.J.Duplex Boards Ltd.</t>
  </si>
  <si>
    <t>Asya Infosoft Limited</t>
  </si>
  <si>
    <t>HB Leasing &amp; Finance Co. Ltd.,</t>
  </si>
  <si>
    <t>R.B.Gupta Financials Ltd.</t>
  </si>
  <si>
    <t>Sand Plast (India) Ltd.</t>
  </si>
  <si>
    <t>Unishire Urban Infra Limited</t>
  </si>
  <si>
    <t>Franklin Industries Limited</t>
  </si>
  <si>
    <t>FUNDVISER CAPITAL (INDIA) LIMITED</t>
  </si>
  <si>
    <t>MUNOTH COMMUNICATION LIMITED</t>
  </si>
  <si>
    <t>PRO CLB GLOBAL LIMITED</t>
  </si>
  <si>
    <t>iStreet Network Limited</t>
  </si>
  <si>
    <t>IND Renewable Energy Ltd</t>
  </si>
  <si>
    <t>Scintilla Commercial &amp; Credit Limited</t>
  </si>
  <si>
    <t>Cindrella Financial Services Ltd.</t>
  </si>
  <si>
    <t>Gujarat Inject (Kerala) Ltd.</t>
  </si>
  <si>
    <t>S.M. Energy Teknik &amp; Electronics Lt</t>
  </si>
  <si>
    <t>Chase Bright Steel Co. Ltd.,</t>
  </si>
  <si>
    <t>INTERACTIVE FINANCIAL SERVICES LIMITED</t>
  </si>
  <si>
    <t>Nicco Corporation Ltd.</t>
  </si>
  <si>
    <t>Explicit Finance Limited</t>
  </si>
  <si>
    <t>Ventura Guaranty Ltd.,</t>
  </si>
  <si>
    <t>Rama Petrochemicals Ltd</t>
  </si>
  <si>
    <t>Shantai Industries Limited</t>
  </si>
  <si>
    <t>G.k.Consultants Ltd.</t>
  </si>
  <si>
    <t>Narmada Macplast Drip Irrigation Sy</t>
  </si>
  <si>
    <t>Bacil Pharma Ltd.</t>
  </si>
  <si>
    <t>Surya Fun City Ltd.</t>
  </si>
  <si>
    <t>Celestial Biolabs Limited</t>
  </si>
  <si>
    <t>Crimson Metal Engineering Company Ltd</t>
  </si>
  <si>
    <t>Ceenik Exports (india) Ltd.</t>
  </si>
  <si>
    <t>B.P.Capital Ltd.</t>
  </si>
  <si>
    <t>JIK Industries Ltd</t>
  </si>
  <si>
    <t>Unimode Overseas Ltd.</t>
  </si>
  <si>
    <t>M.P. Agro Industries Ltd.,</t>
  </si>
  <si>
    <t>Sidh Management Corporate Services Limited</t>
  </si>
  <si>
    <t>Emkay Aromatics ltd.</t>
  </si>
  <si>
    <t>Futuristic Offshore Services and Chemical Ltd.</t>
  </si>
  <si>
    <t>Richa Industries Limited</t>
  </si>
  <si>
    <t>Spectra Industries Ltd.</t>
  </si>
  <si>
    <t>Capfin India Limited</t>
  </si>
  <si>
    <t>Panyam Cements &amp; Mineral Inds. Ltd.</t>
  </si>
  <si>
    <t>Alchemist Limited</t>
  </si>
  <si>
    <t>Khandelwal Extraction Ltd.,</t>
  </si>
  <si>
    <t>Mathew Easow Research Securities Lt</t>
  </si>
  <si>
    <t>Precision Containeurs Limited.</t>
  </si>
  <si>
    <t>CHAMAK HOLDINGS LIMITED</t>
  </si>
  <si>
    <t>Indergiri Finance ltd.</t>
  </si>
  <si>
    <t>Pankaj Polymers Ltd.</t>
  </si>
  <si>
    <t>United Textiles Ltd.</t>
  </si>
  <si>
    <t>Bonanza Industries Ltd</t>
  </si>
  <si>
    <t>GCM Commodity &amp; Derivatives Limited</t>
  </si>
  <si>
    <t>Suryo Foods &amp; Industries Ltd.</t>
  </si>
  <si>
    <t>MODEX INTERNATIONAL SECURITIES LTD.</t>
  </si>
  <si>
    <t>Advik Laboratories Ltd.</t>
  </si>
  <si>
    <t>Action Financial Services (India) L</t>
  </si>
  <si>
    <t>Innovative Ideals and Services (India) Limited</t>
  </si>
  <si>
    <t>Jagsonpal Finance &amp; Leasing Ltd.</t>
  </si>
  <si>
    <t>SW Investments Limited</t>
  </si>
  <si>
    <t>Ind-Agiv Commerce Ltd.</t>
  </si>
  <si>
    <t>SEA TV Network Limited</t>
  </si>
  <si>
    <t>Kome-on Communication Limited</t>
  </si>
  <si>
    <t>Corporate Courier and Cargo Ltd</t>
  </si>
  <si>
    <t>Jainco Projects (India) Ltd.</t>
  </si>
  <si>
    <t>JMG Corporation Ltd</t>
  </si>
  <si>
    <t>Capricorn Systems Global Solutions Ltd.</t>
  </si>
  <si>
    <t>Virtualsoft Systems Ltd.</t>
  </si>
  <si>
    <t>Shricon Industries Ltd.,</t>
  </si>
  <si>
    <t>Kamini Finance &amp; Investment Company Limited</t>
  </si>
  <si>
    <t>Multipurpose Trading &amp; Agencies Ltd</t>
  </si>
  <si>
    <t>Epsom Properties Limited</t>
  </si>
  <si>
    <t>Prudential Sugar Corporation Ltd</t>
  </si>
  <si>
    <t>KANUNGO FINANCIERS LIMITED</t>
  </si>
  <si>
    <t>Commex Technology Limited</t>
  </si>
  <si>
    <t>Karan Woo-sin ltd.</t>
  </si>
  <si>
    <t>Prashant India Ltd</t>
  </si>
  <si>
    <t>Mahalaxmi Seamless Ltd.</t>
  </si>
  <si>
    <t>Maxplus Logistics Limited</t>
  </si>
  <si>
    <t>NEW LIGHT APPARELS LIMTED</t>
  </si>
  <si>
    <t>Miven Machine Tools Ltd.</t>
  </si>
  <si>
    <t>Devhari Exports (India) Limited</t>
  </si>
  <si>
    <t>Esha Media Research Limited</t>
  </si>
  <si>
    <t>Raasi Refractories Limited.</t>
  </si>
  <si>
    <t>Ace Exports Limited</t>
  </si>
  <si>
    <t>J.R. Foods Limited,</t>
  </si>
  <si>
    <t>Euro Ceremics Ltd</t>
  </si>
  <si>
    <t>Sophia Exports Limited</t>
  </si>
  <si>
    <t>Winsome Diamonds and Jewellery Limited</t>
  </si>
  <si>
    <t>Padmalaya Telefilms Ltd.</t>
  </si>
  <si>
    <t>Inertia Steel Limited</t>
  </si>
  <si>
    <t>Wagend Infra Venture Limited</t>
  </si>
  <si>
    <t>Alang Industrial Gases Ltd.</t>
  </si>
  <si>
    <t>Aadi Industries Ltd</t>
  </si>
  <si>
    <t>SIDH AUTOMOBILES LIMITED</t>
  </si>
  <si>
    <t>Shukra Bullions Limited</t>
  </si>
  <si>
    <t>Vision Corporation Ltd.</t>
  </si>
  <si>
    <t>Harmony Capital Services Ltd.</t>
  </si>
  <si>
    <t>IFL Promoters Ltd</t>
  </si>
  <si>
    <t>Kuberan Global Edu Solutions Limited</t>
  </si>
  <si>
    <t>Gravity (India) Ltd.</t>
  </si>
  <si>
    <t>Prakash Ceramics Ltd</t>
  </si>
  <si>
    <t>Adishakti Loha and Ispat Limited</t>
  </si>
  <si>
    <t>Foundry Fuel Products Ltd.</t>
  </si>
  <si>
    <t>Pankaj Piyush Trade &amp; Inv. Ltd</t>
  </si>
  <si>
    <t>Radhagobind Commercial Limited</t>
  </si>
  <si>
    <t>SHANGAR DECOR LIMITED</t>
  </si>
  <si>
    <t>International Data Managements Ltd.</t>
  </si>
  <si>
    <t>N2N Technologies Limited</t>
  </si>
  <si>
    <t>Bharat Textiles &amp; Proofing Industri</t>
  </si>
  <si>
    <t>Sabrimala Industries India Limited</t>
  </si>
  <si>
    <t>GCCL Construction And Realities Ltd</t>
  </si>
  <si>
    <t>Gujarat Metallic Coal &amp; Coke Ltd</t>
  </si>
  <si>
    <t>Shyama Infosys Ltd.</t>
  </si>
  <si>
    <t>Arcee Indusrtries ltd.</t>
  </si>
  <si>
    <t>Omega Ag-Seeds (Punjab) ltd.</t>
  </si>
  <si>
    <t>M LAKHAMSI INDUSTRIES LIMITED</t>
  </si>
  <si>
    <t>Skyline India Limited</t>
  </si>
  <si>
    <t>Zel Jewellers Limited</t>
  </si>
  <si>
    <t>Devika Proteins Ltd.</t>
  </si>
  <si>
    <t>S.R.Industries Ltd.</t>
  </si>
  <si>
    <t>XO Infotech Ltd.</t>
  </si>
  <si>
    <t>Dharani Finance Ltd.</t>
  </si>
  <si>
    <t>Roadways India Limited</t>
  </si>
  <si>
    <t>Shelter Infra Projects Limited</t>
  </si>
  <si>
    <t>Vintage Securities Ltd.</t>
  </si>
  <si>
    <t>TPI India Ltd.,</t>
  </si>
  <si>
    <t>HILIKS TECHNOLOGIES LIMITED</t>
  </si>
  <si>
    <t>Ghushine Fintrrade Ocean Limited</t>
  </si>
  <si>
    <t>Hi-Klass Trading and Investment Limited</t>
  </si>
  <si>
    <t>Gopal Iron &amp; Steels Co.(Gujarat) Lt</t>
  </si>
  <si>
    <t>Sunraj Diamond Exports Ltd.</t>
  </si>
  <si>
    <t>Netripples Software Limited</t>
  </si>
  <si>
    <t>KD LEISURES LIMITED</t>
  </si>
  <si>
    <t>Ambitious Plastomac Ltd.</t>
  </si>
  <si>
    <t>Ruby Cables Limited</t>
  </si>
  <si>
    <t>Kanel Industries Limited</t>
  </si>
  <si>
    <t>Biopac India Corporation Ltd</t>
  </si>
  <si>
    <t>Shyamkamal Investments Ltd.,</t>
  </si>
  <si>
    <t>Stewarts &amp; Lloyds of India Ltd.</t>
  </si>
  <si>
    <t>Euro Multivision Limited</t>
  </si>
  <si>
    <t>ASHAPURA INTIMATES FASHION LIMITED</t>
  </si>
  <si>
    <t>Khator Fibre &amp; Fabrics Ltd.</t>
  </si>
  <si>
    <t>Containerway International Limited</t>
  </si>
  <si>
    <t>Taparia Tools Ltd.,</t>
  </si>
  <si>
    <t>ADLINE CHEM LAB LIMITED</t>
  </si>
  <si>
    <t>Ekam Leasing &amp; Finance Co. Ltd.</t>
  </si>
  <si>
    <t>Pacheli Industrial Finance Limited</t>
  </si>
  <si>
    <t>Maruti Securities Ltd.</t>
  </si>
  <si>
    <t>Saffron Industries Limited</t>
  </si>
  <si>
    <t>Sashwat Technocrats Limited</t>
  </si>
  <si>
    <t>SKYLINE VENTURES INDIA LIMITED</t>
  </si>
  <si>
    <t>Toyama Electric Ltd.</t>
  </si>
  <si>
    <t>Dynamic Microsteppers Ltd.</t>
  </si>
  <si>
    <t>Jain Farms Palm Oil Limited</t>
  </si>
  <si>
    <t>J.J.Exporters Ltd.</t>
  </si>
  <si>
    <t>Integrated Thermoplastics Ltd.</t>
  </si>
  <si>
    <t>Beeyu Overseas Ltd.</t>
  </si>
  <si>
    <t>Richfield Financial Services Ltd.</t>
  </si>
  <si>
    <t>Wisec Global Ltd.</t>
  </si>
  <si>
    <t>Parijat Paper Mills Limited</t>
  </si>
  <si>
    <t>New Era Alkaloids &amp; Export Limited</t>
  </si>
  <si>
    <t>Galada Finance Limited</t>
  </si>
  <si>
    <t>Dhenu Buildcon Infra Limited</t>
  </si>
  <si>
    <t>Mayur Leather Products Ltd.</t>
  </si>
  <si>
    <t>Welga Foods Limited</t>
  </si>
  <si>
    <t>Uniworth Ltd.,</t>
  </si>
  <si>
    <t>Source Industries (India) Ltd</t>
  </si>
  <si>
    <t>Oceanaa Biotek Industries Limited</t>
  </si>
  <si>
    <t>GB GLOBAL LIMITED</t>
  </si>
  <si>
    <t>Suncity Synthetics Ltd.</t>
  </si>
  <si>
    <t>i Power Solutions India Ltd.</t>
  </si>
  <si>
    <t>City Gold Credit Capital Limited</t>
  </si>
  <si>
    <t>Blueblood Ventures Limited</t>
  </si>
  <si>
    <t>Rajeswari Infrastructure Limited</t>
  </si>
  <si>
    <t>CENTERAC TECHNOLOGIES LIMITED</t>
  </si>
  <si>
    <t>Mahasagar Travels Ltd.</t>
  </si>
  <si>
    <t>Futuristic Securities Ltd</t>
  </si>
  <si>
    <t>Ennore Coke Limited</t>
  </si>
  <si>
    <t>Saptak Chem And Business Limited</t>
  </si>
  <si>
    <t>Regal Enterprises Limited</t>
  </si>
  <si>
    <t>Prabhat Securities Limited</t>
  </si>
  <si>
    <t>Aananda Lakshmi Spinning Mills Limited</t>
  </si>
  <si>
    <t>MYM Technologies Ltd.</t>
  </si>
  <si>
    <t>Credence Sound &amp; Vision Ltd.</t>
  </si>
  <si>
    <t>Shri Kalyan Holdings Ltd.</t>
  </si>
  <si>
    <t>Aurum Capital Projects Limited</t>
  </si>
  <si>
    <t>P. K. Leasing &amp; Finance Limited</t>
  </si>
  <si>
    <t>Kiran Print-Pack Ltd.</t>
  </si>
  <si>
    <t>Tarangini Investments Limited</t>
  </si>
  <si>
    <t>Rane Computers Consultancy Ltd</t>
  </si>
  <si>
    <t>River Front Hotels Limited</t>
  </si>
  <si>
    <t>Encore Business System Limited</t>
  </si>
  <si>
    <t>Jain Farms And Resorts Limited</t>
  </si>
  <si>
    <t>Dhampur Sugar (Kashipur) Ltd.</t>
  </si>
  <si>
    <t>ACEWIN AGRITECK LIMITED</t>
  </si>
  <si>
    <t>Karnimata Cold Storage Limited</t>
  </si>
  <si>
    <t>Inceptum Enterprises Limited</t>
  </si>
  <si>
    <t>Rajkot Investment Trust Limited</t>
  </si>
  <si>
    <t>Superstar Distilleries And Foods Lt</t>
  </si>
  <si>
    <t>Shree Narmada Aluminium Industries</t>
  </si>
  <si>
    <t>Pioneer Agro Extracts ltd.</t>
  </si>
  <si>
    <t>Hemo Organic Limited</t>
  </si>
  <si>
    <t>Pace Automation Limited</t>
  </si>
  <si>
    <t>Hindustan Appliances Ltd</t>
  </si>
  <si>
    <t>Jyothi Infraventures Ltd.</t>
  </si>
  <si>
    <t>Microse India Limited,</t>
  </si>
  <si>
    <t>Ellora Traders Limited</t>
  </si>
  <si>
    <t>Deltron Ltd</t>
  </si>
  <si>
    <t>Seasons Furnishings Ltd.</t>
  </si>
  <si>
    <t>Kovalam Inv. &amp; Trading Co.Ltd.,</t>
  </si>
  <si>
    <t>Shivom Investment &amp; Consultancy Limited</t>
  </si>
  <si>
    <t>Anna Infrastructures Ltd</t>
  </si>
  <si>
    <t>Sarthak Global Ltd.</t>
  </si>
  <si>
    <t>Vadilal Dairy International Ltd.</t>
  </si>
  <si>
    <t>Omni Axs Software Ltd.</t>
  </si>
  <si>
    <t>Elango Industries Ltd</t>
  </si>
  <si>
    <t>TALWALKARS HEALTHCLUBS LIMITED</t>
  </si>
  <si>
    <t>Cyberscape Multimedia Ltd.</t>
  </si>
  <si>
    <t>RSC International Limited</t>
  </si>
  <si>
    <t>ENCODE PACKAGING INDIA LIMITED</t>
  </si>
  <si>
    <t>Systematix Securities Ltd.</t>
  </si>
  <si>
    <t>SIP Industries Ltd</t>
  </si>
  <si>
    <t>Mipco Seamless Rings (Gujarat) Ltd.</t>
  </si>
  <si>
    <t>Vikalp Securities Ltd.</t>
  </si>
  <si>
    <t>PFL Infotech Ltd.</t>
  </si>
  <si>
    <t>KLG Capital Services Ltd.</t>
  </si>
  <si>
    <t>Supraneet Finance &amp; Consultants Limited</t>
  </si>
  <si>
    <t>Softrak Venture Investments Ltd.</t>
  </si>
  <si>
    <t>ASEEM GLOBAL LIMITED</t>
  </si>
  <si>
    <t>SSPN Finance Limited</t>
  </si>
  <si>
    <t>Oscar Global Ltd</t>
  </si>
  <si>
    <t>Ashiana Agro Industries Ltd</t>
  </si>
  <si>
    <t>Amit Securities Ltd.</t>
  </si>
  <si>
    <t>Purohit Construction Limited</t>
  </si>
  <si>
    <t>Classic Leasing &amp; Finance Ltd.</t>
  </si>
  <si>
    <t>Amit Spinning Industries Ltd.</t>
  </si>
  <si>
    <t>Pal Credit &amp; Capital Ltd.</t>
  </si>
  <si>
    <t>Niwas Spinning Mills Ltd.</t>
  </si>
  <si>
    <t>Dazzel Confindive ltd.</t>
  </si>
  <si>
    <t>Continental Controls Ltd.</t>
  </si>
  <si>
    <t>Oswal Yarns Ltd.</t>
  </si>
  <si>
    <t>SAKA LIMITED</t>
  </si>
  <si>
    <t>Shah Foods Ltd</t>
  </si>
  <si>
    <t>Diamant Infrastructure Limited</t>
  </si>
  <si>
    <t>Cistro Telelink Ltd.</t>
  </si>
  <si>
    <t>Vallabh Steels ltd</t>
  </si>
  <si>
    <t>Modern Thread (India) Ltd.,</t>
  </si>
  <si>
    <t>Diksha Greens Limited</t>
  </si>
  <si>
    <t>I.C.S.A. (India) Ltd.</t>
  </si>
  <si>
    <t>Pratik Panels Ltd.</t>
  </si>
  <si>
    <t>JRD Finance Limited</t>
  </si>
  <si>
    <t>Hit Kit Global Solutions Ltd</t>
  </si>
  <si>
    <t>Tulsi Extrusions Limited</t>
  </si>
  <si>
    <t>Rekvina Laboratories Ltd</t>
  </si>
  <si>
    <t>Indra Industries Ltd.</t>
  </si>
  <si>
    <t>Abhishek Infraventures Limited</t>
  </si>
  <si>
    <t>Camson Seeds Limited</t>
  </si>
  <si>
    <t>Kinetic Trust Ltd.</t>
  </si>
  <si>
    <t>SVA India Ltd</t>
  </si>
  <si>
    <t>KRISHNA FILAMENT INDUSTRIES LIMITED</t>
  </si>
  <si>
    <t>Adjia Technologies Limited</t>
  </si>
  <si>
    <t>Shakti Press Ltd.</t>
  </si>
  <si>
    <t>Shamrock Industrial Co. Ltd.</t>
  </si>
  <si>
    <t>SPV GLOBAL TRADING LIMITED</t>
  </si>
  <si>
    <t>Enchante Jewellery Ltd.</t>
  </si>
  <si>
    <t>Emmsons International Limited</t>
  </si>
  <si>
    <t>AGARWAL FORTUNE INDIA LIMITED</t>
  </si>
  <si>
    <t>Nikki Global Finance Ltd.</t>
  </si>
  <si>
    <t>Chokhani International Ltd.,</t>
  </si>
  <si>
    <t>Sterling Webnet Limited</t>
  </si>
  <si>
    <t>Checkpoint Trends Limited</t>
  </si>
  <si>
    <t>STRATMONT INDUSTRIES LIMITED</t>
  </si>
  <si>
    <t>Gajra Bevel Gears Ltd.,</t>
  </si>
  <si>
    <t>Frontline Business Solutions Ltd.</t>
  </si>
  <si>
    <t>MV Cotspin ltd.</t>
  </si>
  <si>
    <t>S Kumars.com Ltd.</t>
  </si>
  <si>
    <t>TechTrek India Limited</t>
  </si>
  <si>
    <t>Regency Trust Ltd.</t>
  </si>
  <si>
    <t>A.D.S. Diagnostics Ltd.</t>
  </si>
  <si>
    <t>CHPL Industries Ltd.</t>
  </si>
  <si>
    <t>CONCRETE CREDIT LIMITED</t>
  </si>
  <si>
    <t>HANMAN FIT LIMITED</t>
  </si>
  <si>
    <t>Twinstar Industries Limited</t>
  </si>
  <si>
    <t>Gaekwar Mills Ltd.,</t>
  </si>
  <si>
    <t>Kiran Syntex Ltd.</t>
  </si>
  <si>
    <t>Vasudhagama Enterprises Limited</t>
  </si>
  <si>
    <t>Claro India Ltd</t>
  </si>
  <si>
    <t>City Online Services Limited</t>
  </si>
  <si>
    <t>Cox &amp; Kings Financial Service Limited</t>
  </si>
  <si>
    <t>Shashank Traders Limited</t>
  </si>
  <si>
    <t>Filmcity Media Ltd.</t>
  </si>
  <si>
    <t>Dolphin Medical Services Ltd.</t>
  </si>
  <si>
    <t>STI Granite India Limited</t>
  </si>
  <si>
    <t>Rahul Merchandising ltd.</t>
  </si>
  <si>
    <t>Empee Sugars &amp; Chemicals Ltd.</t>
  </si>
  <si>
    <t>Planter Polysacks Ltd.,</t>
  </si>
  <si>
    <t>MAX ALERT SYSTEMS LIMITED</t>
  </si>
  <si>
    <t>GDL Leasing &amp; Finance ltd.</t>
  </si>
  <si>
    <t>Nicco-Uco Alliance Credit Ltd.</t>
  </si>
  <si>
    <t>Desh Rakshak Aushdhalaya Ltd.</t>
  </si>
  <si>
    <t>Bridge Securities Ltd.</t>
  </si>
  <si>
    <t>Ema India Ltd.</t>
  </si>
  <si>
    <t>Indian Bright Steel Co. Ltd.,</t>
  </si>
  <si>
    <t>Woodsvilla Limited</t>
  </si>
  <si>
    <t>T. Spiritual World Ltd.</t>
  </si>
  <si>
    <t>GSL Securities Ltd.</t>
  </si>
  <si>
    <t>Brijlaxmi Leasing &amp; Finance ltd.</t>
  </si>
  <si>
    <t>Crescent Leasing Limited</t>
  </si>
  <si>
    <t>Classic Electricals Ltd.,</t>
  </si>
  <si>
    <t>High Street Filatex Limited</t>
  </si>
  <si>
    <t>Kabra Drugs Ltd</t>
  </si>
  <si>
    <t>PROMACT IMPEX LIMITED</t>
  </si>
  <si>
    <t>Veronica Production Limited</t>
  </si>
  <si>
    <t>Bhoruka Aluminium Ltd.,</t>
  </si>
  <si>
    <t>Boston Leasing and Finance Ltd.</t>
  </si>
  <si>
    <t>Aryan Share &amp; Stock Brokers Ltd.</t>
  </si>
  <si>
    <t>Vaishno Cement Co. Ltd.</t>
  </si>
  <si>
    <t>Solitaire Investments Co. Ltd.,</t>
  </si>
  <si>
    <t>Prabhav Industries Limited</t>
  </si>
  <si>
    <t>Modern Denim Limited</t>
  </si>
  <si>
    <t>Rajasthan Petro Synthetics Ltd.,</t>
  </si>
  <si>
    <t>Euro Asia Exports Ltd.</t>
  </si>
  <si>
    <t>Globus Corporation Ltd.</t>
  </si>
  <si>
    <t>BITS Ltd</t>
  </si>
  <si>
    <t>Tricom Fruit Products Limited</t>
  </si>
  <si>
    <t>ACE EDUTREND LIMITED</t>
  </si>
  <si>
    <t>Hindustan Agrigenetics Ltd.</t>
  </si>
  <si>
    <t>Chambal Breweries &amp; Distilleries Li</t>
  </si>
  <si>
    <t>Adarsh Mercantile Limited</t>
  </si>
  <si>
    <t>Soma Papers &amp; Industries Ltd.,</t>
  </si>
  <si>
    <t>Spangle Marketing Limited</t>
  </si>
  <si>
    <t>Shivansh Finserv Limited</t>
  </si>
  <si>
    <t>Asian Bearings Ltd.,</t>
  </si>
  <si>
    <t>Venmax Drugs And Pharmaceuticals Ltd</t>
  </si>
  <si>
    <t>Neogem India Limited</t>
  </si>
  <si>
    <t>SHIVAMSHREE BUSINESSES LIMITED</t>
  </si>
  <si>
    <t>Nidhi Services Limited</t>
  </si>
  <si>
    <t>Wellness Noni Limited</t>
  </si>
  <si>
    <t>Compact Disk India Ltd.</t>
  </si>
  <si>
    <t>Relson India Ltd.,</t>
  </si>
  <si>
    <t>JLA Infraville Shoppers Limited</t>
  </si>
  <si>
    <t>Sanguine Media Ltd.</t>
  </si>
  <si>
    <t>Shailja Commercial Trade Frenzy Limited</t>
  </si>
  <si>
    <t>Richirich Inventures Limited</t>
  </si>
  <si>
    <t>Omega Interactive Technologies Ltd.</t>
  </si>
  <si>
    <t>Archana Software Ltd.</t>
  </si>
  <si>
    <t>Shree Rajeshwaranand Paper Mills Lt</t>
  </si>
  <si>
    <t>Birla Transasia Carpets Ltd.,</t>
  </si>
  <si>
    <t>Solis Marketing Limited</t>
  </si>
  <si>
    <t>Natura Hue Chem Ltd.</t>
  </si>
  <si>
    <t>Jauss Polymers Ltd</t>
  </si>
  <si>
    <t>Sarang Chemicals Ltd.</t>
  </si>
  <si>
    <t>Blue Blends (India) Ltd</t>
  </si>
  <si>
    <t>India Infraspace Ltd</t>
  </si>
  <si>
    <t>Brilliant Portfolios Ltd.</t>
  </si>
  <si>
    <t>ISHAAN INFRASTRUCTURE AND SHELTERS LIMITED</t>
  </si>
  <si>
    <t>Exotic Coal Limited</t>
  </si>
  <si>
    <t>Ashoka Refineries Ltd.</t>
  </si>
  <si>
    <t>HRB Flouriculture Ltd.</t>
  </si>
  <si>
    <t>Tirupati Industries (India) Ltd</t>
  </si>
  <si>
    <t>Neha International Ltd.</t>
  </si>
  <si>
    <t>Shri Krishna Prasadam Limited</t>
  </si>
  <si>
    <t>Linaks Microelectronics Ltd.</t>
  </si>
  <si>
    <t>VCCL Ltd.</t>
  </si>
  <si>
    <t>Saanvi Advisors Limited</t>
  </si>
  <si>
    <t>Mudra Financial Services Ltd.</t>
  </si>
  <si>
    <t>Padmanabh Industries Limited</t>
  </si>
  <si>
    <t>Capital Finvest Limited</t>
  </si>
  <si>
    <t>Amar Vanijya Limited</t>
  </si>
  <si>
    <t>Trilogic Digital Media Limited</t>
  </si>
  <si>
    <t>M.S.Securities ltd.</t>
  </si>
  <si>
    <t>Pillar Investment Company Limited</t>
  </si>
  <si>
    <t>ID INFO BUSINESS SERVICES LTD.</t>
  </si>
  <si>
    <t>Sagar Systech Ltd.</t>
  </si>
  <si>
    <t>Arambhan Hospitality Services Limited</t>
  </si>
  <si>
    <t>SERVOTEACH INDUSTRIES LTD</t>
  </si>
  <si>
    <t>Autoriders International Ltd</t>
  </si>
  <si>
    <t>GoldCoin Health Foods Limited</t>
  </si>
  <si>
    <t>Universal Arts Ltd</t>
  </si>
  <si>
    <t>Hindusthan Udyog Ltd</t>
  </si>
  <si>
    <t>BMB Music &amp; Magnetics Ltd.</t>
  </si>
  <si>
    <t>Mahavir Industries Limited</t>
  </si>
  <si>
    <t>RKD AGRI &amp; RETAIL LIMITED</t>
  </si>
  <si>
    <t>Bronze Infra-Tech Limited</t>
  </si>
  <si>
    <t>Vax Housing Finance Corporation Ltd</t>
  </si>
  <si>
    <t>Scan Projects Ltd</t>
  </si>
  <si>
    <t>Premier Pipes Limited</t>
  </si>
  <si>
    <t>P R Holdings Limited</t>
  </si>
  <si>
    <t>Fischer Chemic Ltd.</t>
  </si>
  <si>
    <t>Shiva Suitings Ltd.,</t>
  </si>
  <si>
    <t>Classic Global Finance &amp; Capital ltd.</t>
  </si>
  <si>
    <t>RKB Agro Industries Limited</t>
  </si>
  <si>
    <t>Carnation Industries Ltd.</t>
  </si>
  <si>
    <t>GENERA AGRI CORP LTD</t>
  </si>
  <si>
    <t>Filtron Engineers Ltd.</t>
  </si>
  <si>
    <t>Eastern Sugar &amp; Industries Ltd.</t>
  </si>
  <si>
    <t>Mid East Portfolio Management Ltd.</t>
  </si>
  <si>
    <t>Gupta Synthetics Ltd.,</t>
  </si>
  <si>
    <t>Gleam Fabmat Limited</t>
  </si>
  <si>
    <t>Vegepro Foods &amp; Feeds Ltd.,</t>
  </si>
  <si>
    <t>SER Industries Ltd</t>
  </si>
  <si>
    <t>Deccan Polypacks Ltd</t>
  </si>
  <si>
    <t>Anand Projects Ltd</t>
  </si>
  <si>
    <t>Parag Fans &amp; Cooling Systems Limited</t>
  </si>
  <si>
    <t>Sree Jayalakshmi Autospin Ltd.</t>
  </si>
  <si>
    <t>Gyan Developers &amp; Builders Ltd.</t>
  </si>
  <si>
    <t>Achal Investments Limited</t>
  </si>
  <si>
    <t>Regal Entertainment &amp; Consultants Ltd.</t>
  </si>
  <si>
    <t>Kalpa Commercial Limited</t>
  </si>
  <si>
    <t>Women Networks Ltd.</t>
  </si>
  <si>
    <t>Triumph International Finance India</t>
  </si>
  <si>
    <t>Madhur Industries Limited</t>
  </si>
  <si>
    <t>IEC Education Limited</t>
  </si>
  <si>
    <t>Scan Organics Ltd.</t>
  </si>
  <si>
    <t>JPT Securities Ltd.</t>
  </si>
  <si>
    <t>Chandrima Mercantiles limited</t>
  </si>
  <si>
    <t>Telephone Cables Ltd</t>
  </si>
  <si>
    <t>Sri Chakra Cement Limited</t>
  </si>
  <si>
    <t>Seshachal Technologies Ltd</t>
  </si>
  <si>
    <t>Super Syncotex (India) Ltd.,</t>
  </si>
  <si>
    <t>Advance Multitech Ltd.</t>
  </si>
  <si>
    <t>Ganesh Holding Ltd.,</t>
  </si>
  <si>
    <t>VISU INTERNATIONAL lTD.</t>
  </si>
  <si>
    <t>JRI Industries &amp; Infrastructure Limited</t>
  </si>
  <si>
    <t>Mahan Industries Ltd.</t>
  </si>
  <si>
    <t>Integra Switchgear Ltd.</t>
  </si>
  <si>
    <t>Palsoft Infosystems Ltd.</t>
  </si>
  <si>
    <t>Bio Green Papers Limited</t>
  </si>
  <si>
    <t>Ritz Mercantile Limited</t>
  </si>
  <si>
    <t>STI Products India Ltd.</t>
  </si>
  <si>
    <t>CES Limited</t>
  </si>
  <si>
    <t>R.R.Securities Ltd.</t>
  </si>
  <si>
    <t>Sharp Commercial Enterprises Limited</t>
  </si>
  <si>
    <t>Emgee Cables &amp; Communications Ltd.</t>
  </si>
  <si>
    <t>Aar Shyam India Investment Company Limited</t>
  </si>
  <si>
    <t>Gujarat Perstorp Electronics Ltd.</t>
  </si>
  <si>
    <t>Rathi Graphics Technologies ltd.</t>
  </si>
  <si>
    <t>Mardia Samyoung Capillary Tubes Co.</t>
  </si>
  <si>
    <t>Charms Industries Ltd</t>
  </si>
  <si>
    <t>Cupid Trades &amp; Finance Ltd.,</t>
  </si>
  <si>
    <t>Advance PowerInfra Tech Limited</t>
  </si>
  <si>
    <t>Softbpo Global Services Ltd.</t>
  </si>
  <si>
    <t>Omkar Overseas ltd.</t>
  </si>
  <si>
    <t>Cinerad Communications Ltd.</t>
  </si>
  <si>
    <t>Garlon Polyfab Industries Ltd.</t>
  </si>
  <si>
    <t>Lyons Corporate Market Ltd.</t>
  </si>
  <si>
    <t>Swadeshi Industries Leasing Co. Ltd</t>
  </si>
  <si>
    <t>Justride Enterprises Limited</t>
  </si>
  <si>
    <t>Vaishnavi Gold Limited</t>
  </si>
  <si>
    <t>Kothari Industrial Corpn. Ltd.,</t>
  </si>
  <si>
    <t>Nivi Trading Ltd.,</t>
  </si>
  <si>
    <t>Jagson Airlines Ltd.</t>
  </si>
  <si>
    <t>Jeco Exports And Finance Limited</t>
  </si>
  <si>
    <t>Savant Infocomm Limited</t>
  </si>
  <si>
    <t>Buckingham Industries Limited</t>
  </si>
  <si>
    <t>Fortune Industrial Resources Limited</t>
  </si>
  <si>
    <t>Kedia Construction Co. Ltd.,</t>
  </si>
  <si>
    <t>Bengal Steel Industries Ltd.,</t>
  </si>
  <si>
    <t>COVIDH TECHNOLOGIES LIMITED</t>
  </si>
  <si>
    <t>Arihant Institute Limited</t>
  </si>
  <si>
    <t>Automobile Products of India Ltd.,</t>
  </si>
  <si>
    <t>Galada Power &amp; Communication Ltd.</t>
  </si>
  <si>
    <t>Ken Financial Services Ltd.</t>
  </si>
  <si>
    <t>BGIL Films &amp; Technologies Ltd</t>
  </si>
  <si>
    <t>GSL Nova Petrochemicals Limited</t>
  </si>
  <si>
    <t>GBL Industries Limited</t>
  </si>
  <si>
    <t>Uddhav Properties Limited</t>
  </si>
  <si>
    <t>Zenith Computers Ltd.,</t>
  </si>
  <si>
    <t>Shreenath Investments Co. Ltd.,</t>
  </si>
  <si>
    <t>Sheraton Properties &amp; Finance Ltd.,</t>
  </si>
  <si>
    <t>Valley Magnesite Company Limited</t>
  </si>
  <si>
    <t>Gagan Polycot India Ltd.</t>
  </si>
  <si>
    <t>ANERI FINCAP LIMITED</t>
  </si>
  <si>
    <t>Sriven Multi-Tech Ltd</t>
  </si>
  <si>
    <t>Aditya Forge Ltd</t>
  </si>
  <si>
    <t>Samtel (India) Ltd.,</t>
  </si>
  <si>
    <t>Nimbus Industries ltd.</t>
  </si>
  <si>
    <t>Indo Credit Capital Ltd.</t>
  </si>
  <si>
    <t>Unipro Technologies Limited</t>
  </si>
  <si>
    <t>Five X Tradecom Limited</t>
  </si>
  <si>
    <t>All Metal Process &amp; Ind.Ltd.</t>
  </si>
  <si>
    <t>Omansh Enterprises Limited</t>
  </si>
  <si>
    <t>DEVOTED CONSTRUCTION LIMITED</t>
  </si>
  <si>
    <t>Naisargik Agritech (India) Ltd.</t>
  </si>
  <si>
    <t>Siddheswari Garments Ltd.</t>
  </si>
  <si>
    <t>Abhinandan Enterprises Limited</t>
  </si>
  <si>
    <t>Crazy Infotech Ltd.</t>
  </si>
  <si>
    <t>ELITECON INTERNATIONAL LIMITED</t>
  </si>
  <si>
    <t>Alora Trading Company Limited</t>
  </si>
  <si>
    <t>Sanchay Finvest Ltd</t>
  </si>
  <si>
    <t>Sindu Valley Technologies Ltd.</t>
  </si>
  <si>
    <t>Dugar Housing Developments Limited</t>
  </si>
  <si>
    <t>Uniworth Securities Limited</t>
  </si>
  <si>
    <t>Darjeeling Ropeway Company Limited</t>
  </si>
  <si>
    <t>Sarvamangal Mercantile Co. Ltd.,</t>
  </si>
  <si>
    <t>Sri Vajra Granites Ltd.</t>
  </si>
  <si>
    <t>Mangalam Engineering Projects Limited</t>
  </si>
  <si>
    <t>TMT (India) ltd.</t>
  </si>
  <si>
    <t>A &amp; M Febcon Limited</t>
  </si>
  <si>
    <t>Esquire Money Guarantees Ltd</t>
  </si>
  <si>
    <t>Supra Trends Limited</t>
  </si>
  <si>
    <t>Oswal Leasing Ltd.,</t>
  </si>
  <si>
    <t>MidValley Entertainment Limited</t>
  </si>
  <si>
    <t>UBE Industries Ltd</t>
  </si>
  <si>
    <t>Fourth Generation Information Systems Ltd</t>
  </si>
  <si>
    <t>Victoria Enterprises Limited</t>
  </si>
  <si>
    <t>Yash Trading &amp; Finance Ltd.,</t>
  </si>
  <si>
    <t>Khyati Multimedia-Entertainment Ltd</t>
  </si>
  <si>
    <t>Ashutosh Paper Mills Ltd.</t>
  </si>
  <si>
    <t>Denim Developers Limited</t>
  </si>
  <si>
    <t>Meglon Infra-Real (India) Ltd.</t>
  </si>
  <si>
    <t>HIND COMMERCE LIMITED</t>
  </si>
  <si>
    <t>Dhruv Estates Ltd.,</t>
  </si>
  <si>
    <t>New Markets Advisory Ltd</t>
  </si>
  <si>
    <t>Milk Specialities Ltd.</t>
  </si>
  <si>
    <t>Asian Vegpro Industries Ltd.</t>
  </si>
  <si>
    <t>Ranjit Securities Ltd.</t>
  </si>
  <si>
    <t>Aaswa Trading &amp; Export Ltd.,</t>
  </si>
  <si>
    <t>Sanmitra Commercial Ltd.,</t>
  </si>
  <si>
    <t>Nawratan Arts Limited</t>
  </si>
  <si>
    <t>Transglobe Foods Ltd.</t>
  </si>
  <si>
    <t>Pawansut Holdings Limited</t>
  </si>
  <si>
    <t>Olympic Management &amp; Financial Serv</t>
  </si>
  <si>
    <t>Gujarat Cypromet Ltd.</t>
  </si>
  <si>
    <t>Shri Gurudev En-Trade Limited</t>
  </si>
  <si>
    <t>Fortune Foods Ltd</t>
  </si>
  <si>
    <t>Technojet Consultants Ltd.,</t>
  </si>
  <si>
    <t>Asian Flora Ltd.</t>
  </si>
  <si>
    <t>Inditalia Refcon Ltd.</t>
  </si>
  <si>
    <t>Oasis Tradelink Limited</t>
  </si>
  <si>
    <t>Bhairav Enterprises Limited</t>
  </si>
  <si>
    <t>Rishabh Enterprises Limited</t>
  </si>
  <si>
    <t>Shreyans Financial And Capital Services Limited</t>
  </si>
  <si>
    <t>Skyweb Infotech Limited</t>
  </si>
  <si>
    <t>Premium Merchants Limited</t>
  </si>
  <si>
    <t>Dhaval Exports Limited</t>
  </si>
  <si>
    <t>Trident India Limited</t>
  </si>
  <si>
    <t>Cosboard Industries Ltd.</t>
  </si>
  <si>
    <t>Sapan Chemicals Limited</t>
  </si>
  <si>
    <t>P. B. Films Limited</t>
  </si>
  <si>
    <t>SNS Properties And Leasing Limited</t>
  </si>
  <si>
    <t>Subway Finance &amp; Investment Co. Ltd</t>
  </si>
  <si>
    <t>JATALIA GLOBAL VENTURES LIMITED</t>
  </si>
  <si>
    <t>Parichay Investments Ltd.,</t>
  </si>
  <si>
    <t>D. D. Ventures Limited</t>
  </si>
  <si>
    <t>Birla Capital &amp; Financial Services Ltd.</t>
  </si>
  <si>
    <t>Alang Marine Ltd.</t>
  </si>
  <si>
    <t>Speedage Commercials Ltd.,</t>
  </si>
  <si>
    <t>Abhishek Corporation Ltd</t>
  </si>
  <si>
    <t>Asian Fertilisers Ltd.</t>
  </si>
  <si>
    <t>Blue Pearl Texspin Limited</t>
  </si>
  <si>
    <t>Associated Finman Limited</t>
  </si>
  <si>
    <t>G.R.Cables Ltd.</t>
  </si>
  <si>
    <t>Webel Communication Industries Ltd.</t>
  </si>
  <si>
    <t>Winmore Leasing And Holdings Limited</t>
  </si>
  <si>
    <t>Shah Construction Co. Ltd.,</t>
  </si>
  <si>
    <t>HI-TECH WINDING SYSTEMS LIMITED</t>
  </si>
  <si>
    <t>Frontline Financial Services Ltd.</t>
  </si>
  <si>
    <t>Maniyar Plast ltd.</t>
  </si>
  <si>
    <t>Gold Rock Investments Ltd.,</t>
  </si>
  <si>
    <t>Raymed Labs. Ltd.</t>
  </si>
  <si>
    <t>KKRRAFTON Developers Limited</t>
  </si>
  <si>
    <t>Skypak Service Specialist Ltd.,</t>
  </si>
  <si>
    <t>Betala Global Securities Ltd.</t>
  </si>
  <si>
    <t>Uniworth International ltd.</t>
  </si>
  <si>
    <t>N. K. Textile Industries Limited</t>
  </si>
  <si>
    <t>Newage Marketing Limited</t>
  </si>
  <si>
    <t>Revati Organics Ltd.</t>
  </si>
  <si>
    <t>Twin Roses Trades &amp; Agencies Ltd.,</t>
  </si>
  <si>
    <t>Focus Industrial Resources Limited</t>
  </si>
  <si>
    <t>Molind Engineering Limited</t>
  </si>
  <si>
    <t>STELLANT SECURITIES (INDIA) LIMITED</t>
  </si>
  <si>
    <t>Geetanjali Credit And Capital Limited</t>
  </si>
  <si>
    <t>Silver oak Commercial Ltd.,</t>
  </si>
  <si>
    <t>ATN International Ltd.</t>
  </si>
  <si>
    <t>Surbhi Industries Limited</t>
  </si>
  <si>
    <t>Gujarat Refractories Ltd.</t>
  </si>
  <si>
    <t>Kilburn Office Automation Ltd.</t>
  </si>
  <si>
    <t>Mackinnon Mackenzie &amp; Co. Ltd.,</t>
  </si>
  <si>
    <t>Atlantic Commercial Company Limited</t>
  </si>
  <si>
    <t>Master Chemicals Ltd.,</t>
  </si>
  <si>
    <t>Union Bearings (India) Ltd.</t>
  </si>
  <si>
    <t>Bobshell Electrodes Ltd.</t>
  </si>
  <si>
    <t>Coventry Coil-O-Matic (Haryana) Ltd</t>
  </si>
  <si>
    <t>Sai Jeevadhara Finance Limited</t>
  </si>
  <si>
    <t>Premium Capital Market &amp; Investment</t>
  </si>
  <si>
    <t>Baron Infotech Ltd.</t>
  </si>
  <si>
    <t>Nachmo Knitex Ltd.</t>
  </si>
  <si>
    <t>RFL International Ltd.</t>
  </si>
  <si>
    <t>Goplee Infotech Ltd.</t>
  </si>
  <si>
    <t>Satyam Silk Mills Ltd</t>
  </si>
  <si>
    <t>Baffin Engineering Projects Ltd.</t>
  </si>
  <si>
    <t>Jumbo Finance Ltd.,</t>
  </si>
  <si>
    <t>NCC Finance Ltd.</t>
  </si>
  <si>
    <t>Kshitij Investments Ltd</t>
  </si>
  <si>
    <t>Castle Traders Limited</t>
  </si>
  <si>
    <t>Nouritrans Exim Limited</t>
  </si>
  <si>
    <t>Suryakripa Finance Ltd.,</t>
  </si>
  <si>
    <t>Tivoli Construction Ltd.,</t>
  </si>
  <si>
    <t>Alna Trading &amp; Exports Ltd.,</t>
  </si>
  <si>
    <t>Autoriders Finance Ltd.,</t>
  </si>
  <si>
    <t>Mangalya Soft-Tech Ltd.</t>
  </si>
  <si>
    <t>Mahashree Trading Ltd.,</t>
  </si>
  <si>
    <t>Asutosh Enterprise Ltd.</t>
  </si>
  <si>
    <t>Mansoon Trading Co. Ltd.,</t>
  </si>
  <si>
    <t>Priya International Limited</t>
  </si>
  <si>
    <t>Shikhar Consultants Ltd.</t>
  </si>
  <si>
    <t>Supreme Commercial Enterprises Limited</t>
  </si>
  <si>
    <t>Datasoft Application Software (I) L</t>
  </si>
  <si>
    <t>Anshuni Commercials Ltd.,</t>
  </si>
  <si>
    <t>Maplle Infraprojects Ltd.</t>
  </si>
  <si>
    <t>Pinky Chemicals ltd.</t>
  </si>
  <si>
    <t>Morn Media Limited</t>
  </si>
  <si>
    <t>Sunrise Distilleries Limited</t>
  </si>
  <si>
    <t>Ridhi Synthetics Ltd.</t>
  </si>
  <si>
    <t>John Oakey &amp; Mohan Limited</t>
  </si>
  <si>
    <t>G-Tech Info-Training Ltd.</t>
  </si>
  <si>
    <t>Kengold (India) Ltd.</t>
  </si>
  <si>
    <t>RAJENDRA CATERERS &amp; CONFECTIONERS LIMITED</t>
  </si>
  <si>
    <t>The Patna Electric Supply Co. Limited</t>
  </si>
  <si>
    <t>Ishwarshakti Holdings &amp; Traders Ltd</t>
  </si>
  <si>
    <t>Safal Securities Limited</t>
  </si>
  <si>
    <t>Oxford Industries ltd.</t>
  </si>
  <si>
    <t>Ratnamani Agro Industries Limited</t>
  </si>
  <si>
    <t>Kajal Synthetics and Silk Mills Ltd</t>
  </si>
  <si>
    <t>Fast Track Entertainment Ltd.</t>
  </si>
  <si>
    <t>Matra Realty Ltd</t>
  </si>
  <si>
    <t>Ayoki Mercantile Ltd.,</t>
  </si>
  <si>
    <t>Pasupati Fincap Ltd.</t>
  </si>
  <si>
    <t>Devinsu Trading Ltd.,</t>
  </si>
  <si>
    <t>Triochem Products Ltd.,</t>
  </si>
  <si>
    <t>Atlanta Devcon Limited</t>
  </si>
  <si>
    <t>Bentley Commercial Enterprises Ltd.</t>
  </si>
  <si>
    <t>Kabirdas Investments Limited</t>
  </si>
  <si>
    <t>Silicon Valley Infotech Ltd.</t>
  </si>
  <si>
    <t>Patback Business Limited</t>
  </si>
  <si>
    <t>Indsoya Limited</t>
  </si>
  <si>
    <t>Andhra Pradesh Tanneries Ltd.,</t>
  </si>
  <si>
    <t>Virgo Polymers (India) Ltd.</t>
  </si>
  <si>
    <t>Kuber Udyog Limited</t>
  </si>
  <si>
    <t>Raashi Fertilizers Ltd.,</t>
  </si>
  <si>
    <t>Typhoon Holdings Ltd.</t>
  </si>
  <si>
    <t>Nidhan Commercial Company Ltd</t>
  </si>
  <si>
    <t>Sunrise Industrial Traders Ltd.,</t>
  </si>
  <si>
    <t>DOT COM Global Ltd</t>
  </si>
  <si>
    <t>Oseaspre Consultants Ltd.,</t>
  </si>
  <si>
    <t>India Radiators Ltd.,</t>
  </si>
  <si>
    <t>Magnanimous Trade &amp; Finance Ltd.,</t>
  </si>
  <si>
    <t>Nirbhay Colours India Limited</t>
  </si>
  <si>
    <t>Jyoti Overseas Ltd</t>
  </si>
  <si>
    <t>Terraform Realstate Limited</t>
  </si>
  <si>
    <t>Rakan Steels Limited</t>
  </si>
  <si>
    <t>Shikhar Leasing and Trading Ltd.</t>
  </si>
  <si>
    <t>Alpha Hi-Tech Fuel Ltd.</t>
  </si>
  <si>
    <t>Innovation Software Exports Ltd.</t>
  </si>
  <si>
    <t>Nilkanth Engineering Ltd.,</t>
  </si>
  <si>
    <t>Gamma Infoway Exalt Ltd.</t>
  </si>
  <si>
    <t>Jupiter Industries &amp; Leasing Ltd.,</t>
  </si>
  <si>
    <t>Tirth Plastic Ltd.</t>
  </si>
  <si>
    <t>Peoples Investments Ltd.,</t>
  </si>
  <si>
    <t>Sobhagya Merchantile Ltd.</t>
  </si>
  <si>
    <t>Winmore Silk Mills Ltd.,</t>
  </si>
  <si>
    <t>Sanchana Trading &amp; Finance Ltd.,</t>
  </si>
  <si>
    <t>Supra Industrial Resources Limited</t>
  </si>
  <si>
    <t>Morning Glory Leasing And Finance Limited</t>
  </si>
  <si>
    <t>Efficient Industrial Finance Limited</t>
  </si>
  <si>
    <t>Alirox Abrasives Limited</t>
  </si>
  <si>
    <t>Bajaj Global Ltd</t>
  </si>
  <si>
    <t>Vinayak Vanijya Ltd.,</t>
  </si>
  <si>
    <t>Laser Diamonds Ltd.</t>
  </si>
  <si>
    <t>NOBLE POLYMERS LIMITED</t>
  </si>
  <si>
    <t>Balgopal Holding &amp; Traders Ltd.,</t>
  </si>
  <si>
    <t>Varun Mercantile Ltd.,</t>
  </si>
  <si>
    <t>Coromandel Agro Products &amp; Oils Ltd</t>
  </si>
  <si>
    <t>Oxemberg Apparels Ltd.</t>
  </si>
  <si>
    <t>Champion Commercial Co. Ltd.</t>
  </si>
  <si>
    <t>Mayurbhanj Trades And Agencies Limited</t>
  </si>
  <si>
    <t>Mather &amp; Platt Fire Systems Ltd.</t>
  </si>
  <si>
    <t>Siyaram Poddar Finance &amp; Trading Lt</t>
  </si>
  <si>
    <t>Terraform Magnum Limited</t>
  </si>
  <si>
    <t>Southern Gas Ltd.,</t>
  </si>
  <si>
    <t>Indo Gulf Industries Ltd.,</t>
  </si>
  <si>
    <t>Mirch Technologies (India) Ltd</t>
  </si>
  <si>
    <t>White Hall Commercial Co.Ltd.,</t>
  </si>
  <si>
    <t>PB Global Limited</t>
  </si>
  <si>
    <t>Procal Electronics India Ltd</t>
  </si>
  <si>
    <t>Purity Flex Pack Ltd</t>
  </si>
  <si>
    <t>Frick India Limited</t>
  </si>
  <si>
    <t>Sree Maruthi Marine Industries Limited</t>
  </si>
  <si>
    <t>Jeet Machine Tools Ltd.,</t>
  </si>
  <si>
    <t>Regency World Consulting Limited</t>
  </si>
  <si>
    <t>Swastik Safe Deposit &amp; Invest. Ltd.</t>
  </si>
  <si>
    <t>Kusam Electrical Industies Ltd.,</t>
  </si>
  <si>
    <t>Pervasive Commodities Limited</t>
  </si>
  <si>
    <t>Viksit Engineering Ltd</t>
  </si>
  <si>
    <t>Ardi Investment &amp; Trading Ltd.,</t>
  </si>
  <si>
    <t>Mrugesh Trading Ltd.,</t>
  </si>
  <si>
    <t>Hindustan Housing Co. Ltd.,</t>
  </si>
  <si>
    <t>Unijolly Investments Co. Ltd.,</t>
  </si>
  <si>
    <t>Western Ministil Ltd.,</t>
  </si>
  <si>
    <t>Transoceanic Properties Ltd.,</t>
  </si>
  <si>
    <t>Healthy Investments Ltd.,</t>
  </si>
  <si>
    <t>Mercury Trade Links Ltd.,</t>
  </si>
  <si>
    <t>PH Trading Ltd.</t>
  </si>
  <si>
    <t>Elcid Investments Ltd.,</t>
  </si>
  <si>
    <t>Arco Leasing Ltd.,</t>
  </si>
  <si>
    <t>HEM Holdings and Trading Ltd.,</t>
  </si>
  <si>
    <t>SPRINGFORM TECHNOLOGY LIMITED</t>
  </si>
  <si>
    <t>ANTARIKSH INDUSTRIES LIMITED</t>
  </si>
  <si>
    <t>Citizen Yarns Ltd.</t>
  </si>
  <si>
    <t>Sagar Soya Products Ltd.,</t>
  </si>
  <si>
    <t>Meenakshi Steel Industries Ltd.,</t>
  </si>
  <si>
    <t>-</t>
  </si>
  <si>
    <t>Aggarsain Spinners Limited</t>
  </si>
  <si>
    <t>Ankur Marketing Limited</t>
  </si>
  <si>
    <t>Arihant Classic Finance Limited</t>
  </si>
  <si>
    <t>Ayushman Infratech Limited</t>
  </si>
  <si>
    <t>Balaji Agro Oils Limited</t>
  </si>
  <si>
    <t>Dalmia Bharat Refractories Limited</t>
  </si>
  <si>
    <t>Ganodaya Finlease Limited</t>
  </si>
  <si>
    <t>Goalpost Industries Limited</t>
  </si>
  <si>
    <t>I Secure Credit &amp; Capital Services Limited</t>
  </si>
  <si>
    <t>Rathi Industries Limited</t>
  </si>
  <si>
    <t>Rich 'N' Rich Finance And Holdings Limited</t>
  </si>
  <si>
    <t>Starlite Global Enterprises (India) Limited</t>
  </si>
  <si>
    <t>Shakumbhri Pulp &amp; Paper Mills Limited</t>
  </si>
  <si>
    <t>SSF Limited</t>
  </si>
  <si>
    <t>Swati Projects Limited</t>
  </si>
  <si>
    <t>Technical Associates Infrapower Limited</t>
  </si>
  <si>
    <t>Average Market Capitalization of listed companies during the six months ended 31 December 2023</t>
  </si>
  <si>
    <t>ISIN</t>
  </si>
  <si>
    <t>BSE Symbol</t>
  </si>
  <si>
    <t>BSE 6 month Avg Total Market Cap in (Rs. Crs.)</t>
  </si>
  <si>
    <t>NSE 6 month Avg Total Market Cap (Rs. Crs.)</t>
  </si>
  <si>
    <t>MSEI Symbol</t>
  </si>
  <si>
    <t>MSEI 6 month Avg Total Market Cap in (Rs Crs.)</t>
  </si>
  <si>
    <t>20 MICRONS LIMITED</t>
  </si>
  <si>
    <t>INE144J01027</t>
  </si>
  <si>
    <t>TWENTYFIRST CENTURY MANAGEMENT SERV</t>
  </si>
  <si>
    <t>INE253B01015</t>
  </si>
  <si>
    <t>INE466L01038</t>
  </si>
  <si>
    <t>3I INFOTECH LIMITED</t>
  </si>
  <si>
    <t>INE748C01038</t>
  </si>
  <si>
    <t>3IINFOTECH</t>
  </si>
  <si>
    <t>3M INDIA LTD.</t>
  </si>
  <si>
    <t>INE470A01017</t>
  </si>
  <si>
    <t>INE105C01023</t>
  </si>
  <si>
    <t>5PAISA CAPITAL LIMITED</t>
  </si>
  <si>
    <t>INE618L01018</t>
  </si>
  <si>
    <t>63 MOONS TECHNOLOGIES LIMITED</t>
  </si>
  <si>
    <t>INE111B01023</t>
  </si>
  <si>
    <t>A2Z INFRA ENGINEERING LIMITED</t>
  </si>
  <si>
    <t>INE619I01012</t>
  </si>
  <si>
    <t>INE0D0U01013</t>
  </si>
  <si>
    <t>AAKASH EXPLORATION SERVICES LTD.</t>
  </si>
  <si>
    <t>INE087Z01024</t>
  </si>
  <si>
    <t>AAREY DRUGS &amp; PHARMACEUTICALS LTD</t>
  </si>
  <si>
    <t>INE198H01019</t>
  </si>
  <si>
    <t>AREYDRG</t>
  </si>
  <si>
    <t>AARON INDUSTRIES LTD.</t>
  </si>
  <si>
    <t>INE721Z01010</t>
  </si>
  <si>
    <t>AARTECH SOLONICS LIMITED</t>
  </si>
  <si>
    <t>INE01C001018</t>
  </si>
  <si>
    <t>AARTI DRUGS LIMITED</t>
  </si>
  <si>
    <t>INE767A01016</t>
  </si>
  <si>
    <t>AARTI INDUSTRIES LTD</t>
  </si>
  <si>
    <t>INE769A01020</t>
  </si>
  <si>
    <t>AARTI PHARMALABS LIMITED</t>
  </si>
  <si>
    <t>INE0LRU01027</t>
  </si>
  <si>
    <t>AARTI SURFACTANTS LIMITED</t>
  </si>
  <si>
    <t>INE09EO01013</t>
  </si>
  <si>
    <t>AARVEE DENIMS &amp; EXPORTS LTD.,</t>
  </si>
  <si>
    <t>INE273D01019</t>
  </si>
  <si>
    <t>AARVI ENCON LTD.</t>
  </si>
  <si>
    <t>INE754X01016</t>
  </si>
  <si>
    <t>AAVAS FINANCIERS LIMITED</t>
  </si>
  <si>
    <t>INE216P01012</t>
  </si>
  <si>
    <t>ABAN  OFFSHORE LTD.,</t>
  </si>
  <si>
    <t>INE421A01028</t>
  </si>
  <si>
    <t>ABB INDIA LIMITED</t>
  </si>
  <si>
    <t>INE117A01022</t>
  </si>
  <si>
    <t>ADITYA BIRLA CAPITAL LTD</t>
  </si>
  <si>
    <t>INE674K01013</t>
  </si>
  <si>
    <t>ADITYA BIRLA FASHION AND RETAIL LIMITED</t>
  </si>
  <si>
    <t>INE647O01011</t>
  </si>
  <si>
    <t>ABM INTERNATIONAL LTD.</t>
  </si>
  <si>
    <t>INE251C01025</t>
  </si>
  <si>
    <t>ADITYA BIRLA SUN LIFE AMC LIMITED</t>
  </si>
  <si>
    <t>INE404A01024</t>
  </si>
  <si>
    <t>ACC LTD</t>
  </si>
  <si>
    <t>INE012A01025</t>
  </si>
  <si>
    <t>INE793A01012</t>
  </si>
  <si>
    <t>ACCURACY SHIPPING LTD.</t>
  </si>
  <si>
    <t>INE648Z01023</t>
  </si>
  <si>
    <t>ACTION CONSTRUCTION EQUIPMENTS LTD.</t>
  </si>
  <si>
    <t>INE731H01025</t>
  </si>
  <si>
    <t>ACE INTEGRATED SOLUTIONS LTD.</t>
  </si>
  <si>
    <t>INE543V01017</t>
  </si>
  <si>
    <t>ARCHEAN CHEMICAL INDUSTRIES LIMITED</t>
  </si>
  <si>
    <t>INE128X01021</t>
  </si>
  <si>
    <t>ANDHRA CEMENT LTD.,</t>
  </si>
  <si>
    <t>INE666E01020</t>
  </si>
  <si>
    <t>ALLCARGO GATI LIMITED</t>
  </si>
  <si>
    <t>INE152B01027</t>
  </si>
  <si>
    <t>ADANI ENERGY SOLUTIONS LIMITED</t>
  </si>
  <si>
    <t>INE931S01010</t>
  </si>
  <si>
    <t>ADANI ENTERPRISES LTD.</t>
  </si>
  <si>
    <t>INE423A01024</t>
  </si>
  <si>
    <t>ADANI GREEN ENERGY LIMITED</t>
  </si>
  <si>
    <t>INE364U01010</t>
  </si>
  <si>
    <t>ADANI PORTS AND SPECIAL ECONOMIC ZONE LTD</t>
  </si>
  <si>
    <t>INE742F01042</t>
  </si>
  <si>
    <t>ADANI POWER LIMITED</t>
  </si>
  <si>
    <t>INE814H01011</t>
  </si>
  <si>
    <t>ADF FOODS LIMITED.</t>
  </si>
  <si>
    <t>INE982B01027</t>
  </si>
  <si>
    <t>ARCHIDPLY DECOR LIMITED</t>
  </si>
  <si>
    <t>INE0CHO01012</t>
  </si>
  <si>
    <t>ADOR WELDING LTD.</t>
  </si>
  <si>
    <t>INE045A01017</t>
  </si>
  <si>
    <t>ADROIT INFOTECH LIMITED</t>
  </si>
  <si>
    <t>INE737B01033</t>
  </si>
  <si>
    <t>ALLIED DIGITAL SERVICES LIMITED</t>
  </si>
  <si>
    <t>INE102I01027</t>
  </si>
  <si>
    <t>ADVANI HOTELS &amp; RESORTS (INDIA) LTD.</t>
  </si>
  <si>
    <t>INE199C01026</t>
  </si>
  <si>
    <t>ADVANCED ENZYME TECHNOLOGIES LIMITED</t>
  </si>
  <si>
    <t>INE837H01020</t>
  </si>
  <si>
    <t>AEGIS LOGISTICS LTD.</t>
  </si>
  <si>
    <t>INE208C01025</t>
  </si>
  <si>
    <t>AEGISLOG</t>
  </si>
  <si>
    <t>AEROFLEX INDUSTRIES LIMITED</t>
  </si>
  <si>
    <t>INE024001021</t>
  </si>
  <si>
    <t>AETHER INDUSTRIES LIMITED</t>
  </si>
  <si>
    <t>INE0BWX01014</t>
  </si>
  <si>
    <t>AFFLE (INDIA) LIMITED</t>
  </si>
  <si>
    <t>INE00WC01027</t>
  </si>
  <si>
    <t>AGARWAL INDUSTRIAL CORPORATION LIMITED</t>
  </si>
  <si>
    <t>INE204E01012</t>
  </si>
  <si>
    <t>INE415A01038</t>
  </si>
  <si>
    <t>AGRI-TECH INDIA LTD.</t>
  </si>
  <si>
    <t>INE449G01018</t>
  </si>
  <si>
    <t>AGRO PHOS INDIA LTD.</t>
  </si>
  <si>
    <t>INE740V01019</t>
  </si>
  <si>
    <t>INE583L01014</t>
  </si>
  <si>
    <t xml:space="preserve">AGSTRA </t>
  </si>
  <si>
    <t>ABANS HOLDINGS LIMITED</t>
  </si>
  <si>
    <t>INE00ZE01026</t>
  </si>
  <si>
    <t>AHLADA ENGINEERS LTD.</t>
  </si>
  <si>
    <t>INE00PV01013</t>
  </si>
  <si>
    <t>ASIAN HOTELS (EAST) LIMITED</t>
  </si>
  <si>
    <t>INE926K01017</t>
  </si>
  <si>
    <t>AHLUWALIA CONTRACTS (INDIA) LTD</t>
  </si>
  <si>
    <t>INE758C01029</t>
  </si>
  <si>
    <t>AIA ENGINEERING LTD.</t>
  </si>
  <si>
    <t>INE212H01026</t>
  </si>
  <si>
    <t>INE645W01026</t>
  </si>
  <si>
    <t>AIRO LAM LTD.</t>
  </si>
  <si>
    <t>INE801L01010</t>
  </si>
  <si>
    <t>AJANTA PHARMA LTD.</t>
  </si>
  <si>
    <t>INE031B01049</t>
  </si>
  <si>
    <t>AJMERA REALTY &amp; INFRA INDIA LIMITED</t>
  </si>
  <si>
    <t>INE298G01027</t>
  </si>
  <si>
    <t>AJOONI BIOTECH LTD.</t>
  </si>
  <si>
    <t>INE820Y01021</t>
  </si>
  <si>
    <t>AKASH INFRA PROJECTS LTD.</t>
  </si>
  <si>
    <t>INE737W01013</t>
  </si>
  <si>
    <t>AKG EXIM LTD.</t>
  </si>
  <si>
    <t>INE00Y801016</t>
  </si>
  <si>
    <t>AKI INDIA LIMITED</t>
  </si>
  <si>
    <t>INE642Z01026</t>
  </si>
  <si>
    <t>AKSHAR SPINTEX LIMITED</t>
  </si>
  <si>
    <t>INE256Z01025</t>
  </si>
  <si>
    <t>AKSHARCHEM (INDIA) LTD.</t>
  </si>
  <si>
    <t>INE542B01011</t>
  </si>
  <si>
    <t>AKSCHEM</t>
  </si>
  <si>
    <t>AKSH OPTIFIBRE LTD.</t>
  </si>
  <si>
    <t>INE523B01011</t>
  </si>
  <si>
    <t>AKZO NOBEL INDIA LIMITED</t>
  </si>
  <si>
    <t>INE133A01011</t>
  </si>
  <si>
    <t>ALANKIT LIMITED</t>
  </si>
  <si>
    <t>INE914E01040</t>
  </si>
  <si>
    <t>ALBERT DAVID LTD.,</t>
  </si>
  <si>
    <t>INE155C01010</t>
  </si>
  <si>
    <t>ALBERTDA</t>
  </si>
  <si>
    <t>ALEMBIC  LTD</t>
  </si>
  <si>
    <t>INE426A01027</t>
  </si>
  <si>
    <t>ALICON CASTALLOY LIMITED</t>
  </si>
  <si>
    <t>INE062D01024</t>
  </si>
  <si>
    <t>ALKALI METALS LIMITED</t>
  </si>
  <si>
    <t>INE773I01017</t>
  </si>
  <si>
    <t>ALKEM LABORATORIES LIMITED</t>
  </si>
  <si>
    <t>INE540L01014</t>
  </si>
  <si>
    <t>ALKYL AMINES CHEMICALS LTD.,</t>
  </si>
  <si>
    <t>INE150B01039</t>
  </si>
  <si>
    <t>ALLCARGO LOGISTICS LTD</t>
  </si>
  <si>
    <t>INE418H01029</t>
  </si>
  <si>
    <t>ALLSEC TECHNOLOGIES LTD.</t>
  </si>
  <si>
    <t>INE835G01018</t>
  </si>
  <si>
    <t>ALMONDZ GLOBAL SECURITIES LIMITED</t>
  </si>
  <si>
    <t>INE326B01027</t>
  </si>
  <si>
    <t>ALOK INDUSTRIES LTD.</t>
  </si>
  <si>
    <t>INE270A01029</t>
  </si>
  <si>
    <t>ALOKTEXT</t>
  </si>
  <si>
    <t>ALPA LABORATORIES LIMITED</t>
  </si>
  <si>
    <t>INE385I01010</t>
  </si>
  <si>
    <t>ALPHAGEO (INDIA)LTD.</t>
  </si>
  <si>
    <t>INE137C01018</t>
  </si>
  <si>
    <t>ALPS INDUSTRIES LTD.</t>
  </si>
  <si>
    <t>INE093B01015</t>
  </si>
  <si>
    <t>AMBER ENTERPRISES INDIA LIMITED</t>
  </si>
  <si>
    <t>INE371P01015</t>
  </si>
  <si>
    <t>AMBICA AGARBATHIES &amp; AROMA IND. LTD.</t>
  </si>
  <si>
    <t>INE792B01012</t>
  </si>
  <si>
    <t>AMBIKA COTTON MILLS LTD.</t>
  </si>
  <si>
    <t>INE540G01014</t>
  </si>
  <si>
    <t>AMBUJA CEMENTS LTD.</t>
  </si>
  <si>
    <t>INE079A01024</t>
  </si>
  <si>
    <t>AMD INDUSTRIES LTD</t>
  </si>
  <si>
    <t>INE005I01014</t>
  </si>
  <si>
    <t>AMI ORGANICS LIMITED</t>
  </si>
  <si>
    <t>INE00FF01017</t>
  </si>
  <si>
    <t>INE606A01024</t>
  </si>
  <si>
    <t>AMINES &amp; PLASTICIZERS LTD</t>
  </si>
  <si>
    <t>INE275D01022</t>
  </si>
  <si>
    <t>AMRUTANJAN HEALTH CARE LIMITED</t>
  </si>
  <si>
    <t>INE098F01031</t>
  </si>
  <si>
    <t>ANAND RATHI WEALTH LIMITED</t>
  </si>
  <si>
    <t>INE463V01026</t>
  </si>
  <si>
    <t>ANANT RAJ LIMITED</t>
  </si>
  <si>
    <t>INE242C01024</t>
  </si>
  <si>
    <t>INE435A01028</t>
  </si>
  <si>
    <t>THE ANDHRA SUGARS LTD.</t>
  </si>
  <si>
    <t>INE715B01021</t>
  </si>
  <si>
    <t>INE732I01013</t>
  </si>
  <si>
    <t>ANIK INDUSTRIES LIMITED</t>
  </si>
  <si>
    <t>INE087B01017</t>
  </si>
  <si>
    <t>ANKIT METAL  &amp; POWER LIMITED</t>
  </si>
  <si>
    <t>INE106I01010</t>
  </si>
  <si>
    <t>ANMOL INDIA LIMITED</t>
  </si>
  <si>
    <t>INE02AR01019</t>
  </si>
  <si>
    <t>ANSAL PROPERTIES &amp; INFRASTRUCTURE LTD.</t>
  </si>
  <si>
    <t>INE436A01026</t>
  </si>
  <si>
    <t>ANTARCTICA LTD.</t>
  </si>
  <si>
    <t>INE414B01021</t>
  </si>
  <si>
    <t>THE ANUP ENGINEERING LTD</t>
  </si>
  <si>
    <t>INE294Z01018</t>
  </si>
  <si>
    <t>ANUPAM RASAYAN INDIA LIMITED</t>
  </si>
  <si>
    <t>INE930P01018</t>
  </si>
  <si>
    <t>APAR INDUSTRIES LTD</t>
  </si>
  <si>
    <t>INE372A01015</t>
  </si>
  <si>
    <t>ANJANI PORTLAND CEMENT LTD.</t>
  </si>
  <si>
    <t>INE071F01012</t>
  </si>
  <si>
    <t>APCOTEX INDUSTRIES LIMITED</t>
  </si>
  <si>
    <t>INE116A01032</t>
  </si>
  <si>
    <t>APEX FROZEN FOODS LIMITED</t>
  </si>
  <si>
    <t>INE346W01013</t>
  </si>
  <si>
    <t xml:space="preserve">APEX </t>
  </si>
  <si>
    <t>APL APOLLO TUBES LIMITED</t>
  </si>
  <si>
    <t>INE702C01027</t>
  </si>
  <si>
    <t>INE901L01018</t>
  </si>
  <si>
    <t>APOLLO MICRO SYSTEMS LIMITED</t>
  </si>
  <si>
    <t>INE713T01028</t>
  </si>
  <si>
    <t>APOLLO HOSPITALS ENTERPRISES LTD.,</t>
  </si>
  <si>
    <t>INE437A01024</t>
  </si>
  <si>
    <t>INE126J01016</t>
  </si>
  <si>
    <t>APOLLOPIPES</t>
  </si>
  <si>
    <t>APOLLO TYRES LTD</t>
  </si>
  <si>
    <t>INE438A01022</t>
  </si>
  <si>
    <t>APOLLO SINDOORI HOTELS LTD.</t>
  </si>
  <si>
    <t>INE451F01024</t>
  </si>
  <si>
    <t>APTECH LTD.</t>
  </si>
  <si>
    <t>INE266F01018</t>
  </si>
  <si>
    <t>APTUS VALUE HOUSING FINANCE INDIA LIMITED</t>
  </si>
  <si>
    <t>INE852O01025</t>
  </si>
  <si>
    <t>ARCHIDPLY INDUSTRIES LIMITED</t>
  </si>
  <si>
    <t>INE877I01016</t>
  </si>
  <si>
    <t>ARCHIES LTD.</t>
  </si>
  <si>
    <t>INE731A01020</t>
  </si>
  <si>
    <t>AMARA RAJA ENERGY &amp; MOBILITY LIMITED</t>
  </si>
  <si>
    <t>INE885A01032</t>
  </si>
  <si>
    <t>RAJDARSHAN INDUSTRIES LTD.,</t>
  </si>
  <si>
    <t>INE610C01014</t>
  </si>
  <si>
    <t>ARIES AGRO LIMITED,</t>
  </si>
  <si>
    <t>INE298I01015</t>
  </si>
  <si>
    <t>ARIHANT CAPITAL MARKETS LTD.</t>
  </si>
  <si>
    <t>INE420B01036</t>
  </si>
  <si>
    <t>ARIHCAPM</t>
  </si>
  <si>
    <t>ARIHANT SUPERSTRUCTURES LIMITED</t>
  </si>
  <si>
    <t>INE643K01018</t>
  </si>
  <si>
    <t>ASL</t>
  </si>
  <si>
    <t>ARMAN FINANCIAL SERVICES LIMITED</t>
  </si>
  <si>
    <t>INE109C01017</t>
  </si>
  <si>
    <t>ARO GRANITE INDUSTRIES LTD.</t>
  </si>
  <si>
    <t>INE210C01013</t>
  </si>
  <si>
    <t>ARROW GREENTECH LIMITED</t>
  </si>
  <si>
    <t>INE570D01018</t>
  </si>
  <si>
    <t>ARSHIYA LIMITED</t>
  </si>
  <si>
    <t>INE968D01022</t>
  </si>
  <si>
    <t>ARSS INFRASTRUCTURE PROJECTS LIMITED</t>
  </si>
  <si>
    <t>INE267I01010</t>
  </si>
  <si>
    <t>ARTEMIS MEDICARE SERVICES LIMITED</t>
  </si>
  <si>
    <t>INE025R01021</t>
  </si>
  <si>
    <t>ART NIRMAN LTD.</t>
  </si>
  <si>
    <t>INE738V01013</t>
  </si>
  <si>
    <t>ARVEE LABORATORIES (INDIA) LTD.</t>
  </si>
  <si>
    <t>INE006Z01016</t>
  </si>
  <si>
    <t>ARVIND LTD.,</t>
  </si>
  <si>
    <t>INE034A01011</t>
  </si>
  <si>
    <t>ARVIND FASHIONS LIMITED</t>
  </si>
  <si>
    <t>INE955V01021</t>
  </si>
  <si>
    <t>ARVIND SMARTSPACES LIMITED</t>
  </si>
  <si>
    <t>INE034S01021</t>
  </si>
  <si>
    <t>ASAHI INDIA GLASS LTD.</t>
  </si>
  <si>
    <t>INE439A01020</t>
  </si>
  <si>
    <t>ASAHI SONGWON COLORS LTD.</t>
  </si>
  <si>
    <t>INE228I01012</t>
  </si>
  <si>
    <t>AUTOMOTIVE STAMPINGS AND ASSEMBLIES LTD.</t>
  </si>
  <si>
    <t>INE900C01027</t>
  </si>
  <si>
    <t>ASSOCIATED ALCOHOLS &amp; BREWERIES LTD</t>
  </si>
  <si>
    <t>INE073G01016</t>
  </si>
  <si>
    <t>ASHAPURA MINECHEM LTD</t>
  </si>
  <si>
    <t>INE348A01023</t>
  </si>
  <si>
    <t>ASHIANA HOUSING LIMITED</t>
  </si>
  <si>
    <t>INE365D01021</t>
  </si>
  <si>
    <t>ASHIMA LTD</t>
  </si>
  <si>
    <t>INE440A01010</t>
  </si>
  <si>
    <t>ASHOKA BUILDCON LIMITED</t>
  </si>
  <si>
    <t>INE442H01029</t>
  </si>
  <si>
    <t>ASHOKA METCAST LIMITED</t>
  </si>
  <si>
    <t>INE760Y01011</t>
  </si>
  <si>
    <t>ASHOK LEYLAND LTD.,</t>
  </si>
  <si>
    <t>INE208A01029</t>
  </si>
  <si>
    <t>INE276G01015</t>
  </si>
  <si>
    <t>ASIAN HOTELS (NORTH) LIMITED</t>
  </si>
  <si>
    <t>INE363A01022</t>
  </si>
  <si>
    <t>ASIAN PAINTS LTD.</t>
  </si>
  <si>
    <t>INE021A01026</t>
  </si>
  <si>
    <t>INE022I01019</t>
  </si>
  <si>
    <t>ASK AUTOMOTIVE LIMITED</t>
  </si>
  <si>
    <t>INE491J01022</t>
  </si>
  <si>
    <t>BARTRONICS INDIA LTD.</t>
  </si>
  <si>
    <t>INE855F01042</t>
  </si>
  <si>
    <t>ASPINWALL AND COMPANY LTD.</t>
  </si>
  <si>
    <t>INE991I01015</t>
  </si>
  <si>
    <t>INE563J01010</t>
  </si>
  <si>
    <t>ASTER DM HEALTHCARE LIMITED</t>
  </si>
  <si>
    <t>INE914M01019</t>
  </si>
  <si>
    <t>INE006I01046</t>
  </si>
  <si>
    <t>ASTRA MICROWAVE PRODUCTS LTD.</t>
  </si>
  <si>
    <t>INE386C01029</t>
  </si>
  <si>
    <t>ASTRAZENECA PHARMA INDIA LTD.</t>
  </si>
  <si>
    <t>INE203A01020</t>
  </si>
  <si>
    <t>ASTRON PAPER &amp; BOARD MILL LIMITED</t>
  </si>
  <si>
    <t>INE646X01014</t>
  </si>
  <si>
    <t>ATAL REALTECH LIMITED</t>
  </si>
  <si>
    <t>INE0ALR01029</t>
  </si>
  <si>
    <t>ATAM VALVES LIMITED</t>
  </si>
  <si>
    <t>INE09KD01013</t>
  </si>
  <si>
    <t>AGRO TECH FOODS LTD</t>
  </si>
  <si>
    <t>INE209A01019</t>
  </si>
  <si>
    <t>INE399L01023</t>
  </si>
  <si>
    <t>ALLCARGO TERMINALS LIMITED</t>
  </si>
  <si>
    <t>INE0NN701020</t>
  </si>
  <si>
    <t>ATLANTAA LIMITED</t>
  </si>
  <si>
    <t>INE285H01022</t>
  </si>
  <si>
    <t>ATLANTAA</t>
  </si>
  <si>
    <t>ATUL LIMITED.,</t>
  </si>
  <si>
    <t>INE100A01010</t>
  </si>
  <si>
    <t>ATUL AUTO LIMITED</t>
  </si>
  <si>
    <t>INE951D01028</t>
  </si>
  <si>
    <t>AU SMALL FINANCE BANK LIMITED</t>
  </si>
  <si>
    <t>INE949L01017</t>
  </si>
  <si>
    <t>AURIONPRO SOLUTIONS LTD.</t>
  </si>
  <si>
    <t>INE132H01018</t>
  </si>
  <si>
    <t>AUROBINDO PHARMA LTD.</t>
  </si>
  <si>
    <t>INE406A01037</t>
  </si>
  <si>
    <t xml:space="preserve"> AURUM PROPTECH LIMITED</t>
  </si>
  <si>
    <t>INE898S01029</t>
  </si>
  <si>
    <t>AUSOM ENTERPRISE LIMITED</t>
  </si>
  <si>
    <t>INE218C01016</t>
  </si>
  <si>
    <t>AUTOMOTIVE AXLES LTD.,</t>
  </si>
  <si>
    <t>INE449A01011</t>
  </si>
  <si>
    <t>INE718H01014</t>
  </si>
  <si>
    <t>INE349W01017</t>
  </si>
  <si>
    <t>AVALON TECHNOLOGIES LIMITED</t>
  </si>
  <si>
    <t>INE0LCL01028</t>
  </si>
  <si>
    <t>AVANTI FEEDS LTD.</t>
  </si>
  <si>
    <t>INE871C01038</t>
  </si>
  <si>
    <t>AVANTI</t>
  </si>
  <si>
    <t>AVG LOGISTICS LIMITED</t>
  </si>
  <si>
    <t>INE680Z01018</t>
  </si>
  <si>
    <t>AVONMORE CAPITAL &amp; MANAGEMENT SERVICES LIMITED</t>
  </si>
  <si>
    <t>INE323B01016</t>
  </si>
  <si>
    <t>INE652Z01017</t>
  </si>
  <si>
    <t>AVT NATURAL PRODUCTS LTD.</t>
  </si>
  <si>
    <t>INE488D01021</t>
  </si>
  <si>
    <t>ANTONY WASTE HANDLING CELL LIMITED</t>
  </si>
  <si>
    <t>INE01BK01022</t>
  </si>
  <si>
    <t>ADANI WILMAR LIMITED</t>
  </si>
  <si>
    <t>INE699H01024</t>
  </si>
  <si>
    <t>AXIS BANK LTD.</t>
  </si>
  <si>
    <t>INE238A01034</t>
  </si>
  <si>
    <t>INE555B01013</t>
  </si>
  <si>
    <t>AXITA COTTON LIMITED</t>
  </si>
  <si>
    <t>INE02EZ01022</t>
  </si>
  <si>
    <t>AYM SYNTEX LIMITED</t>
  </si>
  <si>
    <t>INE193B01039</t>
  </si>
  <si>
    <t>AZAD ENGINEERING LIMITED</t>
  </si>
  <si>
    <t>INE02IJ01035</t>
  </si>
  <si>
    <t>AZAD</t>
  </si>
  <si>
    <t>BAFNA PHARMACEUTICALS LIMITED</t>
  </si>
  <si>
    <t>INE878I01022</t>
  </si>
  <si>
    <t>BAFNAPHARM</t>
  </si>
  <si>
    <t>B.A.G. FILMS &amp; MEDIA LTD</t>
  </si>
  <si>
    <t>INE116D01028</t>
  </si>
  <si>
    <t>INE020D01022</t>
  </si>
  <si>
    <t>BAJAJ AUTO LIMITED</t>
  </si>
  <si>
    <t>INE917I01010</t>
  </si>
  <si>
    <t>INE933K01021</t>
  </si>
  <si>
    <t>BAJAJ ELECTRICALS LTD.,</t>
  </si>
  <si>
    <t>INE193E01025</t>
  </si>
  <si>
    <t>BAJAJ FINSERV LIMITED</t>
  </si>
  <si>
    <t>INE918I01026</t>
  </si>
  <si>
    <t>BAJAJ HEALTHCARE LIMITED</t>
  </si>
  <si>
    <t>INE411U01027</t>
  </si>
  <si>
    <t>BAJAJ HINDUSTHAN SUGAR LIMITED</t>
  </si>
  <si>
    <t>INE306A01021</t>
  </si>
  <si>
    <t>BAJAJ HOLDINGS &amp; INVESTMENT LIMITED</t>
  </si>
  <si>
    <t>INE118A01012</t>
  </si>
  <si>
    <t>BAJEL PROJECTS LIMITED</t>
  </si>
  <si>
    <t>INE0KQN01018</t>
  </si>
  <si>
    <t>BAJEL</t>
  </si>
  <si>
    <t>BAJAJ FINANCE LIMITED</t>
  </si>
  <si>
    <t>INE296A01024</t>
  </si>
  <si>
    <t>BALAJI TELEFILMS LTD.</t>
  </si>
  <si>
    <t>INE794B01026</t>
  </si>
  <si>
    <t>BALAJI AMINES LTD.</t>
  </si>
  <si>
    <t>INE050E01027</t>
  </si>
  <si>
    <t>INE618N01014</t>
  </si>
  <si>
    <t>BALKRISHNA PAPER MILLS LTD</t>
  </si>
  <si>
    <t>INE875R01011</t>
  </si>
  <si>
    <t>BALKRISHNA INDUSTRIES LTD.,</t>
  </si>
  <si>
    <t>INE787D01026</t>
  </si>
  <si>
    <t>BALMER LAWRIE &amp; CO. LTD.,</t>
  </si>
  <si>
    <t>INE164A01016</t>
  </si>
  <si>
    <t>BAL PHARMA LTD.</t>
  </si>
  <si>
    <t>INE083D01012</t>
  </si>
  <si>
    <t>BALRAMPUR CHINI MILLS LTD.</t>
  </si>
  <si>
    <t>INE119A01028</t>
  </si>
  <si>
    <t>BANARAS BEADS LTD.</t>
  </si>
  <si>
    <t>INE655B01011</t>
  </si>
  <si>
    <t>BANNARI AMMAN SUGARS LTD.,</t>
  </si>
  <si>
    <t>INE459A01010</t>
  </si>
  <si>
    <t>BANCO PRODUCTS (INDIA) LTD.,</t>
  </si>
  <si>
    <t>INE213C01025</t>
  </si>
  <si>
    <t>BANDHAN BANK LIMITED</t>
  </si>
  <si>
    <t>INE545U01014</t>
  </si>
  <si>
    <t>BANG OVERSEAS LTD</t>
  </si>
  <si>
    <t>INE863I01016</t>
  </si>
  <si>
    <t>BANKA BIOLOO LTD.</t>
  </si>
  <si>
    <t>INE862Y01015</t>
  </si>
  <si>
    <t>BANK OF BARODA</t>
  </si>
  <si>
    <t>INE028A01039</t>
  </si>
  <si>
    <t>BANK OF INDIA</t>
  </si>
  <si>
    <t>INE084A01016</t>
  </si>
  <si>
    <t>BANSWARA SYNTEX LTD.,</t>
  </si>
  <si>
    <t>INE629D01020</t>
  </si>
  <si>
    <t>INE382M01027</t>
  </si>
  <si>
    <t>BASF INDIA LTD</t>
  </si>
  <si>
    <t>INE373A01013</t>
  </si>
  <si>
    <t>BANNARI AMMAN SPINNING MILLS LTD</t>
  </si>
  <si>
    <t>INE186H01022</t>
  </si>
  <si>
    <t>BATA INDIA LIMITED</t>
  </si>
  <si>
    <t>INE176A01028</t>
  </si>
  <si>
    <t>BHARAT BIJLEE LTD.,</t>
  </si>
  <si>
    <t>INE464A01028</t>
  </si>
  <si>
    <t>INE676A01027</t>
  </si>
  <si>
    <t>BOMBAY BURMAH TRADING CORPN. LTD.,</t>
  </si>
  <si>
    <t>INE050A01025</t>
  </si>
  <si>
    <t>B&amp;B TRIPLEWALL CONTAINERS LIMITED</t>
  </si>
  <si>
    <t>INE01EE01011</t>
  </si>
  <si>
    <t>INE425B01027</t>
  </si>
  <si>
    <t>INE412G01024</t>
  </si>
  <si>
    <t>BCLIL</t>
  </si>
  <si>
    <t>BRAND CONCEPTS LIMITED</t>
  </si>
  <si>
    <t>INE977Y01011</t>
  </si>
  <si>
    <t>BHARAT DYNAMICS LIMITED</t>
  </si>
  <si>
    <t>INE171Z01018</t>
  </si>
  <si>
    <t>INE520H01022</t>
  </si>
  <si>
    <t>MRS. BECTORS FOOD SPECIALITIES LIMITED</t>
  </si>
  <si>
    <t>INE495P01012</t>
  </si>
  <si>
    <t>BEDMUTHA INDUSTRIES LIMITED</t>
  </si>
  <si>
    <t>INE844K01012</t>
  </si>
  <si>
    <t>BHARAT ELECTRONICS LTD.,</t>
  </si>
  <si>
    <t>INE263A01024</t>
  </si>
  <si>
    <t>BEML LTD</t>
  </si>
  <si>
    <t>INE258A01016</t>
  </si>
  <si>
    <t>BHANSALI ENGINEERING POLYMERS LTD.,</t>
  </si>
  <si>
    <t>INE922A01025</t>
  </si>
  <si>
    <t>BERGER PAINTS INDIA LTD</t>
  </si>
  <si>
    <t>INE463A01038</t>
  </si>
  <si>
    <t>BF INVESTMENT LIMITED</t>
  </si>
  <si>
    <t>INE878K01010</t>
  </si>
  <si>
    <t>BF UTILITIES LTD.</t>
  </si>
  <si>
    <t>INE243D01012</t>
  </si>
  <si>
    <t>BHARATIYA GLOBAL INFOMEDIA LIMITED</t>
  </si>
  <si>
    <t>INE224M01013</t>
  </si>
  <si>
    <t>INE661I01014</t>
  </si>
  <si>
    <t>BHAGIRADHA CHEMICALS AND INDUSTRIES</t>
  </si>
  <si>
    <t>INE414D01019</t>
  </si>
  <si>
    <t>BHAGERIA INDUSTRIES LIMITED</t>
  </si>
  <si>
    <t>INE354C01027</t>
  </si>
  <si>
    <t>BHAGIL</t>
  </si>
  <si>
    <t>BHAGYANAGAR INDIA LIMITED</t>
  </si>
  <si>
    <t>INE458B01036</t>
  </si>
  <si>
    <t>BHAGYNAGAR</t>
  </si>
  <si>
    <t>BHANDARI HOSIERY EXPORTS LTD.</t>
  </si>
  <si>
    <t>INE474E01029</t>
  </si>
  <si>
    <t>BHANDHOS</t>
  </si>
  <si>
    <t>BHARAT FORGE LTD</t>
  </si>
  <si>
    <t>INE465A01025</t>
  </si>
  <si>
    <t>BHARAT GEARS LTD.,</t>
  </si>
  <si>
    <t>INE561C01019</t>
  </si>
  <si>
    <t>BHARAT RASAYAN LIMITED</t>
  </si>
  <si>
    <t>INE838B01013</t>
  </si>
  <si>
    <t>BHARAT WIRE ROPES LIMITED</t>
  </si>
  <si>
    <t>INE316L01019</t>
  </si>
  <si>
    <t>BHARTI AIRTEL  LTD.</t>
  </si>
  <si>
    <t>INE397D01024</t>
  </si>
  <si>
    <t>BHARAT HEAVY ELECTRICALS LTD.,</t>
  </si>
  <si>
    <t>INE257A01026</t>
  </si>
  <si>
    <t>BIGBLOC CONSTRUCTION LIMITED</t>
  </si>
  <si>
    <t>INE412U01025</t>
  </si>
  <si>
    <t>BIKAJI FOODS INTERNATIONAL LIMITED</t>
  </si>
  <si>
    <t>INE00E101023</t>
  </si>
  <si>
    <t>BHARTIYA INTERNATIONAL LTD.</t>
  </si>
  <si>
    <t>INE828A01016</t>
  </si>
  <si>
    <t>BINANI INDUSTRIES LIMITED</t>
  </si>
  <si>
    <t>INE071A01013</t>
  </si>
  <si>
    <t>BIOCON LTD.</t>
  </si>
  <si>
    <t>INE376G01013</t>
  </si>
  <si>
    <t>BIOFIL CHEMICALS &amp; PHARMACEUTICALS</t>
  </si>
  <si>
    <t>INE829A01014</t>
  </si>
  <si>
    <t>BIRLA CABLE LIMITED</t>
  </si>
  <si>
    <t>INE800A01015</t>
  </si>
  <si>
    <t>BIRLA CORPORATION LTD.</t>
  </si>
  <si>
    <t>INE340A01012</t>
  </si>
  <si>
    <t>ADITYA BIRLA  MONEY LTD</t>
  </si>
  <si>
    <t>INE865C01022</t>
  </si>
  <si>
    <t>INE831Q01016</t>
  </si>
  <si>
    <t>BEML LAND ASSETS LIMITED</t>
  </si>
  <si>
    <t>INE0N7W01012</t>
  </si>
  <si>
    <t>BLB LIMITED</t>
  </si>
  <si>
    <t>INE791A01024</t>
  </si>
  <si>
    <t>BLISS GVS PHARMA LIMITED</t>
  </si>
  <si>
    <t>INE416D01022</t>
  </si>
  <si>
    <t>B L KASHYAP AND SONS LTD</t>
  </si>
  <si>
    <t>INE350H01032</t>
  </si>
  <si>
    <t>BLS INTERNATIONAL SERVICES LTD</t>
  </si>
  <si>
    <t>INE153T01027</t>
  </si>
  <si>
    <t>BLUE CHIP INDIA LTD</t>
  </si>
  <si>
    <t>INE657B01025</t>
  </si>
  <si>
    <t>BLUE COAST HOTELS LTD</t>
  </si>
  <si>
    <t>INE472B01011</t>
  </si>
  <si>
    <t>BLUE DART EXPRESS LTD.</t>
  </si>
  <si>
    <t>INE233B01017</t>
  </si>
  <si>
    <t>BLUE JET HEALTHCARE LIMITED</t>
  </si>
  <si>
    <t>INE0KBH01020</t>
  </si>
  <si>
    <t>BLUE STAR LTD</t>
  </si>
  <si>
    <t>INE472A01039</t>
  </si>
  <si>
    <t>BODAL CHEMICALS LTD</t>
  </si>
  <si>
    <t>INE338D01028</t>
  </si>
  <si>
    <t>BOHRA INDUSTRIES LTD.</t>
  </si>
  <si>
    <t>INE802W01023</t>
  </si>
  <si>
    <t>BOMBAY DYEING &amp; MFG. CO. LTD.,</t>
  </si>
  <si>
    <t>INE032A01023</t>
  </si>
  <si>
    <t>BOROSIL LIMITED</t>
  </si>
  <si>
    <t>INE02PY01013</t>
  </si>
  <si>
    <t>INE666D01022</t>
  </si>
  <si>
    <t>BOSCH LTD</t>
  </si>
  <si>
    <t>INE323A01026</t>
  </si>
  <si>
    <t>BHARAT PETROLEUM CORPN. LTD.,</t>
  </si>
  <si>
    <t>INE029A01011</t>
  </si>
  <si>
    <t>BPL LTD.,</t>
  </si>
  <si>
    <t>INE110A01019</t>
  </si>
  <si>
    <t>BRIGADE ENTERPRISES LIMITED</t>
  </si>
  <si>
    <t>INE791I01019</t>
  </si>
  <si>
    <t>BRITANNIA INDUSTRIES LTD.,</t>
  </si>
  <si>
    <t>INE216A01030</t>
  </si>
  <si>
    <t>BHARAT ROAD NETWORK LIMITED</t>
  </si>
  <si>
    <t>INE727S01012</t>
  </si>
  <si>
    <t>INE650L01011</t>
  </si>
  <si>
    <t>BSE LTD.</t>
  </si>
  <si>
    <t>INE118H01025</t>
  </si>
  <si>
    <t>BOMBAY SUPER HYBRID SEEDS LTD.</t>
  </si>
  <si>
    <t>INE032Z01020</t>
  </si>
  <si>
    <t>BSL LTD.,</t>
  </si>
  <si>
    <t>INE594B01012</t>
  </si>
  <si>
    <t>INE836A01035</t>
  </si>
  <si>
    <t>INE0EEJ01015</t>
  </si>
  <si>
    <t>BURNPUR CEMENT LIMITED</t>
  </si>
  <si>
    <t>INE817H01014</t>
  </si>
  <si>
    <t>BUTTERFLY GANDHIMATHI APPLIANCES LIMITED</t>
  </si>
  <si>
    <t>INE295F01017</t>
  </si>
  <si>
    <t>INE139I01011</t>
  </si>
  <si>
    <t>THE BYKE HOSPITALITY    LTD</t>
  </si>
  <si>
    <t>INE319B01014</t>
  </si>
  <si>
    <t>THEBYKE</t>
  </si>
  <si>
    <t>CALIFORNIA SOFTWARE CO. LTD.</t>
  </si>
  <si>
    <t>INE526B01014</t>
  </si>
  <si>
    <t>CAMLIN FINE SCIENCES LTD</t>
  </si>
  <si>
    <t>INE052I01032</t>
  </si>
  <si>
    <t>CAMPUS ACTIVEWEAR LIMITED</t>
  </si>
  <si>
    <t>INE278Y01022</t>
  </si>
  <si>
    <t>COMPUTER AGE MANAGEMENT SERVICES LIMITED</t>
  </si>
  <si>
    <t>INE596I01012</t>
  </si>
  <si>
    <t>CANARA BANK</t>
  </si>
  <si>
    <t>INE476A01014</t>
  </si>
  <si>
    <t>CAN FIN HOMES LTD.,</t>
  </si>
  <si>
    <t>INE477A01020</t>
  </si>
  <si>
    <t>INE068L01024</t>
  </si>
  <si>
    <t>CAPACIT'E INFRAPROJECTS LIMITED</t>
  </si>
  <si>
    <t>INE264T01014</t>
  </si>
  <si>
    <t>CAPLIN POINT LABORATORIES LTD.</t>
  </si>
  <si>
    <t>INE475E01026</t>
  </si>
  <si>
    <t>CAPPL</t>
  </si>
  <si>
    <t>CAPITAL TRUST LTD.</t>
  </si>
  <si>
    <t>INE707C01018</t>
  </si>
  <si>
    <t>CAPITALT</t>
  </si>
  <si>
    <t>CARBORUNDUM UNIVERSAL LTD.,</t>
  </si>
  <si>
    <t>INE120A01034</t>
  </si>
  <si>
    <t>CAREER POINT LIMITED</t>
  </si>
  <si>
    <t>INE521J01018</t>
  </si>
  <si>
    <t>CARE RATINGS LIMITED</t>
  </si>
  <si>
    <t>INE752H01013</t>
  </si>
  <si>
    <t>CARTRADE TECH LIMITED</t>
  </si>
  <si>
    <t>INE290S01011</t>
  </si>
  <si>
    <t>INE482D01024</t>
  </si>
  <si>
    <t>CASTROL INDIA LTD</t>
  </si>
  <si>
    <t>INE172A01027</t>
  </si>
  <si>
    <t>COUNTRY CLUB HOSPITALITY &amp; HOLIDAYS LTD</t>
  </si>
  <si>
    <t>INE652F01027</t>
  </si>
  <si>
    <t>CCL PRODUCTS (INDIA) LTD.</t>
  </si>
  <si>
    <t>INE421D01022</t>
  </si>
  <si>
    <t>CENTRAL DEPOSITORY SERVICES (INDIA) LTD.</t>
  </si>
  <si>
    <t>INE736A01011</t>
  </si>
  <si>
    <t>CEAT LTD.,</t>
  </si>
  <si>
    <t>INE482A01020</t>
  </si>
  <si>
    <t>CELEBRITY FASHIONS LTD.</t>
  </si>
  <si>
    <t>INE185H01016</t>
  </si>
  <si>
    <t>CELLO WORLD LIMITED</t>
  </si>
  <si>
    <t>INE0LMW01024</t>
  </si>
  <si>
    <t>CENTURY ENKA LTD.,</t>
  </si>
  <si>
    <t>INE485A01015</t>
  </si>
  <si>
    <t>CENTURY EXTRUSIONS LTD.,</t>
  </si>
  <si>
    <t>INE281A01026</t>
  </si>
  <si>
    <t>CENTRAL BANK OF INDIA</t>
  </si>
  <si>
    <t>INE483A01010</t>
  </si>
  <si>
    <t>CENTRUM CAPITAL LIMITED</t>
  </si>
  <si>
    <t>INE660C01027</t>
  </si>
  <si>
    <t>CENTUM ELECTRONICS LTD</t>
  </si>
  <si>
    <t>INE320B01020</t>
  </si>
  <si>
    <t>CENTURY PLYBOARDS (INDIA) LTD.</t>
  </si>
  <si>
    <t>INE348B01021</t>
  </si>
  <si>
    <t>CENTURY TEXTILES &amp; INDUSTRIES LTD.,</t>
  </si>
  <si>
    <t>INE055A01016</t>
  </si>
  <si>
    <t>CERA SANITARYWARE LTD.</t>
  </si>
  <si>
    <t>INE739E01017</t>
  </si>
  <si>
    <t>CEREBRA INTEGRATED TECHNOLOGIES LTD.</t>
  </si>
  <si>
    <t>INE345B01019</t>
  </si>
  <si>
    <t>CESC LIMITED,</t>
  </si>
  <si>
    <t>INE486A01021</t>
  </si>
  <si>
    <t>CAPRI GLOBAL CAPITAL LIMITED</t>
  </si>
  <si>
    <t>INE180C01026</t>
  </si>
  <si>
    <t>CG POWER AND INDUSTRIAL SOLUTIONS LIMITED</t>
  </si>
  <si>
    <t>INE067A01029</t>
  </si>
  <si>
    <t>CHALET HOTELS LIMITED</t>
  </si>
  <si>
    <t>INE427F01016</t>
  </si>
  <si>
    <t>CHAMBAL FERTILISERS &amp; CHEMICALS LTD</t>
  </si>
  <si>
    <t>INE085A01013</t>
  </si>
  <si>
    <t>CHEMBOND CHEMICALS LTD.</t>
  </si>
  <si>
    <t>INE995D01025</t>
  </si>
  <si>
    <t>CHEMCON SPECIALITY CHEMICALS LIMITED</t>
  </si>
  <si>
    <t>INE03YM01018</t>
  </si>
  <si>
    <t>CHEMFAB ALKALIS LTD</t>
  </si>
  <si>
    <t>INE783X01023</t>
  </si>
  <si>
    <t>CHEMFABALKA</t>
  </si>
  <si>
    <t>CHEMPLAST SANMAR LIMITED</t>
  </si>
  <si>
    <t>INE488A01050</t>
  </si>
  <si>
    <t>CHENNAI PETROLEUM CORPORATION LTD.</t>
  </si>
  <si>
    <t>INE178A01016</t>
  </si>
  <si>
    <t>CHEVIOT CO.LTD.</t>
  </si>
  <si>
    <t>INE974B01016</t>
  </si>
  <si>
    <t>CHOICE INTERNATIONAL LTD</t>
  </si>
  <si>
    <t>INE102B01014</t>
  </si>
  <si>
    <t>CHOLAMANDALAM INVESTMENT AND FINANCE COMPANY LTD</t>
  </si>
  <si>
    <t>INE121A01024</t>
  </si>
  <si>
    <t>INE149A01033</t>
  </si>
  <si>
    <t>CIE AUTOMOTIVE INDIA LIMITED</t>
  </si>
  <si>
    <t>INE536H01010</t>
  </si>
  <si>
    <t>CIGNITI TECHNOLOGIES LTD</t>
  </si>
  <si>
    <t>INE675C01017</t>
  </si>
  <si>
    <t>CIGNITI</t>
  </si>
  <si>
    <t>CINELINE INDIA LIMITED</t>
  </si>
  <si>
    <t>INE704H01022</t>
  </si>
  <si>
    <t>CINEVISTA LIMITED</t>
  </si>
  <si>
    <t>INE039B01026</t>
  </si>
  <si>
    <t>CIPLA LTD.,</t>
  </si>
  <si>
    <t>INE059A01026</t>
  </si>
  <si>
    <t>CLEAN SCIENCE AND TECHNOLOGY LIMITED</t>
  </si>
  <si>
    <t>INE227W01023</t>
  </si>
  <si>
    <t>CL EDUCATE LIMITED</t>
  </si>
  <si>
    <t>INE201M01029</t>
  </si>
  <si>
    <t>CHAMAN LAL SETIA EXPORTS LTD.</t>
  </si>
  <si>
    <t>INE419D01026</t>
  </si>
  <si>
    <t>CHAMANSEQ</t>
  </si>
  <si>
    <t>CMI LIMITED</t>
  </si>
  <si>
    <t>INE981B01011</t>
  </si>
  <si>
    <t>CMI</t>
  </si>
  <si>
    <t>CMS INFO SYSTEMS LIMITED</t>
  </si>
  <si>
    <t>INE925R01014</t>
  </si>
  <si>
    <t>COAL INDIA LIMITED</t>
  </si>
  <si>
    <t>INE522F01014</t>
  </si>
  <si>
    <t>COASTAL CORPORATION LIMITED</t>
  </si>
  <si>
    <t>INE377E01016</t>
  </si>
  <si>
    <t>COCHIN SHIPYARD LIMITED</t>
  </si>
  <si>
    <t>INE704P01017</t>
  </si>
  <si>
    <t>COFFEE DAY ENTERPRISES LIMITED</t>
  </si>
  <si>
    <t>INE335K01011</t>
  </si>
  <si>
    <t>INE591G01017</t>
  </si>
  <si>
    <t>COLGATE-PALMOLIVE (INDIA) LTD.,</t>
  </si>
  <si>
    <t>INE259A01022</t>
  </si>
  <si>
    <t>COMPUAGE INFOCOM LTD</t>
  </si>
  <si>
    <t>INE070C01037</t>
  </si>
  <si>
    <t>COMPUAGE</t>
  </si>
  <si>
    <t>COMPUCOM SOFTWARE LT.</t>
  </si>
  <si>
    <t>INE453B01029</t>
  </si>
  <si>
    <t>CONTAINER CORPORATION OF INDIA LTD.</t>
  </si>
  <si>
    <t>INE111A01025</t>
  </si>
  <si>
    <t>CONCORD BIOTECH LIMITED</t>
  </si>
  <si>
    <t>INE338H01029</t>
  </si>
  <si>
    <t>CONFIDENCE PETROLEUM INDIA LIMITED</t>
  </si>
  <si>
    <t>INE552D01024</t>
  </si>
  <si>
    <t>CONSOLIDATED FINVEST &amp; HOLDINGS LTD.</t>
  </si>
  <si>
    <t>INE025A01027</t>
  </si>
  <si>
    <t>CONTROL PRINT (INDIA) LTD.</t>
  </si>
  <si>
    <t>INE663B01015</t>
  </si>
  <si>
    <t>CORAL INDIA FINANCE AND HOUSING LTD</t>
  </si>
  <si>
    <t>INE558D01021</t>
  </si>
  <si>
    <t>CORDS CABLE INDUSTRIES LIMITED</t>
  </si>
  <si>
    <t>INE792I01017</t>
  </si>
  <si>
    <t>COROMANDEL INTERNATIONAL LIMITED</t>
  </si>
  <si>
    <t>INE169A01031</t>
  </si>
  <si>
    <t>INE757A01017</t>
  </si>
  <si>
    <t>COUNTRY CONDO'S LTD</t>
  </si>
  <si>
    <t>INE695B01025</t>
  </si>
  <si>
    <t>CRAFTSMAN AUTOMATION LIMITED</t>
  </si>
  <si>
    <t>INE00LO01017</t>
  </si>
  <si>
    <t>CREATIVE NEWTECH LTD.</t>
  </si>
  <si>
    <t>INE985W01018</t>
  </si>
  <si>
    <t>CREATIVE EYE LTD.</t>
  </si>
  <si>
    <t>INE230B01021</t>
  </si>
  <si>
    <t>CREDITACCESS GRAMEEN LTD.</t>
  </si>
  <si>
    <t>INE741K01010</t>
  </si>
  <si>
    <t>INE559D01011</t>
  </si>
  <si>
    <t>CRISIL LTD.</t>
  </si>
  <si>
    <t>INE007A01025</t>
  </si>
  <si>
    <t>CROMPTON GREAVES CONSUMER ELECTRICALS LIMITED</t>
  </si>
  <si>
    <t>INE299U01018</t>
  </si>
  <si>
    <t>CROWN LIFTERS LTD.</t>
  </si>
  <si>
    <t>INE491V01019</t>
  </si>
  <si>
    <t>CSB BANK LIMITED</t>
  </si>
  <si>
    <t>INE679A01013</t>
  </si>
  <si>
    <t>CSL FINANCE LIMITED</t>
  </si>
  <si>
    <t>INE718F01018</t>
  </si>
  <si>
    <t>CAMBRIDGE TECHNOLOGY ENTERPRISES LTD.</t>
  </si>
  <si>
    <t>INE627H01017</t>
  </si>
  <si>
    <t>CITY UNION BANK LTD</t>
  </si>
  <si>
    <t>INE491A01021</t>
  </si>
  <si>
    <t>CUBEX TUBINGS LTD</t>
  </si>
  <si>
    <t>INE144D01012</t>
  </si>
  <si>
    <t>CUMMINS INDIA LTD.,</t>
  </si>
  <si>
    <t>INE298A01020</t>
  </si>
  <si>
    <t>CUPID LIMITED</t>
  </si>
  <si>
    <t>INE509F01011</t>
  </si>
  <si>
    <t>CYBER MEDIA (INDIA) LTD.</t>
  </si>
  <si>
    <t>INE278G01037</t>
  </si>
  <si>
    <t>CYBERTECH SYSTEMS AND SOFTWARE LTD.</t>
  </si>
  <si>
    <t>INE214A01019</t>
  </si>
  <si>
    <t>CYIENT LIMITED</t>
  </si>
  <si>
    <t>INE136B01020</t>
  </si>
  <si>
    <t>CYIENT DLM LIMITED</t>
  </si>
  <si>
    <t>INE055S01018</t>
  </si>
  <si>
    <t>DABUR INDIA LTD.</t>
  </si>
  <si>
    <t>INE016A01026</t>
  </si>
  <si>
    <t>INE00R701025</t>
  </si>
  <si>
    <t>DALMIA BHARAT SUGAR AND INDUSTRIES LTD</t>
  </si>
  <si>
    <t>INE495A01022</t>
  </si>
  <si>
    <t>DAMODAR INDUSTRIES LIMITED</t>
  </si>
  <si>
    <t>INE497D01022</t>
  </si>
  <si>
    <t>DAMOINDUS</t>
  </si>
  <si>
    <t>DANGEE DUMS LTD.</t>
  </si>
  <si>
    <t>INE688Y01022</t>
  </si>
  <si>
    <t>DATAMATICS GLOBAL SERVICES LIMITED</t>
  </si>
  <si>
    <t>INE365B01017</t>
  </si>
  <si>
    <t>DATA PATTERNS (INDIA) LIMITED</t>
  </si>
  <si>
    <t>INE0IX101010</t>
  </si>
  <si>
    <t xml:space="preserve">DATAPATTNS </t>
  </si>
  <si>
    <t>D.B.CORP LIMITED</t>
  </si>
  <si>
    <t>INE950I01011</t>
  </si>
  <si>
    <t>DILIP BUILDCON LIMITED</t>
  </si>
  <si>
    <t>INE917M01012</t>
  </si>
  <si>
    <t>DHAMPUR BIO ORGANICS LIMITED</t>
  </si>
  <si>
    <t>INE0I3401014</t>
  </si>
  <si>
    <t>INE879I01012</t>
  </si>
  <si>
    <t>DB(INTERNATIONAL)STOCK BROKERS LTD</t>
  </si>
  <si>
    <t>INE921B01025</t>
  </si>
  <si>
    <t>DISHMAN CARBOGEN AMCIS LIMITED</t>
  </si>
  <si>
    <t>INE385W01011</t>
  </si>
  <si>
    <t>DCB BANK LIMITED</t>
  </si>
  <si>
    <t>INE503A01015</t>
  </si>
  <si>
    <t>DC INFOTECH AND COMMUNICATION LIMITED</t>
  </si>
  <si>
    <t>INE0A1101019</t>
  </si>
  <si>
    <t>DCM LTD.,</t>
  </si>
  <si>
    <t>INE498A01018</t>
  </si>
  <si>
    <t>DCM FINANCIAL SERVICES LTD.</t>
  </si>
  <si>
    <t>INE891B01012</t>
  </si>
  <si>
    <t>INE08KP01019</t>
  </si>
  <si>
    <t>DCM SHRIRAM LIMITED</t>
  </si>
  <si>
    <t>INE499A01024</t>
  </si>
  <si>
    <t>DCM SHRIRAM INDUSTRIES LTD.,</t>
  </si>
  <si>
    <t>INE843D01027</t>
  </si>
  <si>
    <t>DCMSRMIND</t>
  </si>
  <si>
    <t>DCW LTD.,</t>
  </si>
  <si>
    <t>INE500A01029</t>
  </si>
  <si>
    <t>DCX SYSTEMS LIMITED</t>
  </si>
  <si>
    <t>INE0KL801015</t>
  </si>
  <si>
    <t>DECCAN CEMENTS LTD.,</t>
  </si>
  <si>
    <t>INE583C01021</t>
  </si>
  <si>
    <t>DEEPAK FERTILIZERS &amp;PETROCHEMICALS</t>
  </si>
  <si>
    <t>INE501A01019</t>
  </si>
  <si>
    <t>DEEPAK NITRITE LIMITED</t>
  </si>
  <si>
    <t>INE288B01029</t>
  </si>
  <si>
    <t>DEEPAKNI</t>
  </si>
  <si>
    <t>INE677H01012</t>
  </si>
  <si>
    <t>DEEP INDUSTRIES LIMITED</t>
  </si>
  <si>
    <t>INE0FHS01024</t>
  </si>
  <si>
    <t>DEEPIND</t>
  </si>
  <si>
    <t>DELHIVERY LIMITED</t>
  </si>
  <si>
    <t>INE148O01028</t>
  </si>
  <si>
    <t>INE726L01019</t>
  </si>
  <si>
    <t>DELTA CORP LIMITED</t>
  </si>
  <si>
    <t>INE124G01033</t>
  </si>
  <si>
    <t xml:space="preserve">DELTA MANUFACTURING LIMITED </t>
  </si>
  <si>
    <t>INE393A01011</t>
  </si>
  <si>
    <t>DEN NETWORKS LIMITED</t>
  </si>
  <si>
    <t>INE947J01015</t>
  </si>
  <si>
    <t>DE NORA INDIA LIMITED</t>
  </si>
  <si>
    <t>INE244A01016</t>
  </si>
  <si>
    <t>INE060X01026</t>
  </si>
  <si>
    <t>DEVYANI INTERNATIONAL LIMITED</t>
  </si>
  <si>
    <t>INE872J01023</t>
  </si>
  <si>
    <t>DIGICONTENT LIMITED</t>
  </si>
  <si>
    <t>INE03JI01017</t>
  </si>
  <si>
    <t>DHAMPUR SUGAR MILLS LTD.,</t>
  </si>
  <si>
    <t>INE041A01016</t>
  </si>
  <si>
    <t>DHANLAXMI BANK LIMITED</t>
  </si>
  <si>
    <t>INE680A01011</t>
  </si>
  <si>
    <t>DHANI SERVICES LIMITED</t>
  </si>
  <si>
    <t>INE274G01010</t>
  </si>
  <si>
    <t>DHANUKA AGRITECH LTD.</t>
  </si>
  <si>
    <t>INE435G01025</t>
  </si>
  <si>
    <t>DHARMAJ CROP GUARD LIMITED</t>
  </si>
  <si>
    <t>INE00OQ01016</t>
  </si>
  <si>
    <t>DHRUV CONSULTANCY SERVICES LIMITED</t>
  </si>
  <si>
    <t>INE506Z01015</t>
  </si>
  <si>
    <t>DHUNSERI INVESTMENTS LTD</t>
  </si>
  <si>
    <t>INE320L01011</t>
  </si>
  <si>
    <t>DIAMOND POWER INFRASTRUCTURE LIMITED</t>
  </si>
  <si>
    <t>INE989C01020</t>
  </si>
  <si>
    <t>DIAMINES &amp; CHEMICALS LTD.,</t>
  </si>
  <si>
    <t>INE591D01014</t>
  </si>
  <si>
    <t>PRATAAP SNACKS LIMITED</t>
  </si>
  <si>
    <t>INE393P01035</t>
  </si>
  <si>
    <t>DIC INDIA LTD</t>
  </si>
  <si>
    <t>INE303A01010</t>
  </si>
  <si>
    <t>INE927C01020</t>
  </si>
  <si>
    <t>INE731U01028</t>
  </si>
  <si>
    <t>DIGJAMLTD</t>
  </si>
  <si>
    <t>DEBOCK INDUSTRIES LTD.</t>
  </si>
  <si>
    <t>INE411Y01011</t>
  </si>
  <si>
    <t>DISH TV INDIA LIMITED</t>
  </si>
  <si>
    <t>INE836F01026</t>
  </si>
  <si>
    <t>INE753U01022</t>
  </si>
  <si>
    <t>DIVI'S LABORATORIES LTD.</t>
  </si>
  <si>
    <t>INE361B01024</t>
  </si>
  <si>
    <t>DIXON TECHNOLOGIES (INDIA) LIMITED</t>
  </si>
  <si>
    <t>INE935N01020</t>
  </si>
  <si>
    <t>DJ MEDIAPRINT &amp; LOGISTICS LIMITED</t>
  </si>
  <si>
    <t>INE0B1K01014</t>
  </si>
  <si>
    <t>INE271C01023</t>
  </si>
  <si>
    <t>D-LINK (INDIA) LTD</t>
  </si>
  <si>
    <t>INE250K01012</t>
  </si>
  <si>
    <t>AVENUE SUPERMARTS LIMITED</t>
  </si>
  <si>
    <t>INE192R01011</t>
  </si>
  <si>
    <t>INE505A01010</t>
  </si>
  <si>
    <t>DILIGENT MEDIA CORPORATION LIMITED</t>
  </si>
  <si>
    <t>INE016M01021</t>
  </si>
  <si>
    <t>DODLA DAIRY LIMITED</t>
  </si>
  <si>
    <t>INE021O01019</t>
  </si>
  <si>
    <t>DOLLAR INDUSTRIES LIMITED</t>
  </si>
  <si>
    <t>INE325C01035</t>
  </si>
  <si>
    <t>DOLPHIN OFFSHORE ENTERPRISES (INDIA) LTD.</t>
  </si>
  <si>
    <t>INE920A01029</t>
  </si>
  <si>
    <t>DOLPHINOFF</t>
  </si>
  <si>
    <t>DOMS INDUSTRIES LIMITED</t>
  </si>
  <si>
    <t>INE321T01012</t>
  </si>
  <si>
    <t>DOMS</t>
  </si>
  <si>
    <t>DONEAR INDUSTRIES LTD</t>
  </si>
  <si>
    <t>INE668D01028</t>
  </si>
  <si>
    <t>D. P. ABHUSHAN LTD.</t>
  </si>
  <si>
    <t>INE266Y01019</t>
  </si>
  <si>
    <t>DPSC LTD.</t>
  </si>
  <si>
    <t>INE360C01024</t>
  </si>
  <si>
    <t>D.P. WIRES LIMITED</t>
  </si>
  <si>
    <t>INE864X01013</t>
  </si>
  <si>
    <t>DRC SYSTEMS INDIA LIMITED</t>
  </si>
  <si>
    <t>INE03RS01027</t>
  </si>
  <si>
    <t>INE0JS101016</t>
  </si>
  <si>
    <t>DREDGING CORPORATION OF INDIA LTD.,</t>
  </si>
  <si>
    <t>INE506A01018</t>
  </si>
  <si>
    <t>DR. REDDY'S LABORATORIES LTD.,</t>
  </si>
  <si>
    <t>INE089A01023</t>
  </si>
  <si>
    <t>DYNACONS SYSTEMS &amp; SOLUTIONS LTD.</t>
  </si>
  <si>
    <t>INE417B01040</t>
  </si>
  <si>
    <t>DHUNSERI TEA &amp; INDUSTRIES LTD</t>
  </si>
  <si>
    <t>INE341R01014</t>
  </si>
  <si>
    <t>DHUNTEAIND</t>
  </si>
  <si>
    <t>DUCON INFRATECHNOLOGIES LIMITED</t>
  </si>
  <si>
    <t>INE741L01018</t>
  </si>
  <si>
    <t>DHUNSERI VENTURES LIMITED</t>
  </si>
  <si>
    <t>INE477B01010</t>
  </si>
  <si>
    <t>DWARIKESH SUGAR INDUSTRIES LTD.</t>
  </si>
  <si>
    <t>INE366A01041</t>
  </si>
  <si>
    <t>DYNAMIC CABLES LIMITED</t>
  </si>
  <si>
    <t>INE600Y01019</t>
  </si>
  <si>
    <t>DYNAMIC</t>
  </si>
  <si>
    <t>DYNAMATIC TECHNOLOGIES LTD.,</t>
  </si>
  <si>
    <t>INE221B01012</t>
  </si>
  <si>
    <t>DYNEMIC PRODUCTS LTD.</t>
  </si>
  <si>
    <t>INE256H01015</t>
  </si>
  <si>
    <t>E2E NETWORKS LTD.</t>
  </si>
  <si>
    <t>INE255Z01019</t>
  </si>
  <si>
    <t>EASY TRIP PLANNERS LIMITED</t>
  </si>
  <si>
    <t>INE07O001026</t>
  </si>
  <si>
    <t>EASTERN SILK INDUSTRIES LIMITED</t>
  </si>
  <si>
    <t>INE962C01027</t>
  </si>
  <si>
    <t>ECLERX SERVICES LIMITED</t>
  </si>
  <si>
    <t>INE738I01010</t>
  </si>
  <si>
    <t>EDELWEISS FINANCIAL SERVICES LTD.</t>
  </si>
  <si>
    <t>INE532F01054</t>
  </si>
  <si>
    <t>EDUCOMP SOLUTIONS LTD</t>
  </si>
  <si>
    <t>INE216H01027</t>
  </si>
  <si>
    <t>EICHER MOTORS LTD.</t>
  </si>
  <si>
    <t>INE066A01021</t>
  </si>
  <si>
    <t>E.I.D. PARRY (INDIA) LTD.,</t>
  </si>
  <si>
    <t>INE126A01031</t>
  </si>
  <si>
    <t>EURO INDIA FRESH FOODS LTD.</t>
  </si>
  <si>
    <t>INE546V01010</t>
  </si>
  <si>
    <t>EIH ASSOCIATED HOTELS LTD.,</t>
  </si>
  <si>
    <t>INE276C01014</t>
  </si>
  <si>
    <t>EIH LTD</t>
  </si>
  <si>
    <t>INE230A01023</t>
  </si>
  <si>
    <t>EIMCO ELECON INDIA LTD.,</t>
  </si>
  <si>
    <t>INE158B01016</t>
  </si>
  <si>
    <t>EVEREST KANTO CYLINDERS LTD.</t>
  </si>
  <si>
    <t>INE184H01027</t>
  </si>
  <si>
    <t>ELDECO HOUSING &amp; IND. LTD.,</t>
  </si>
  <si>
    <t>INE668G01021</t>
  </si>
  <si>
    <t>ELECON ENGINEERING CO.LTD.,</t>
  </si>
  <si>
    <t>INE205B01023</t>
  </si>
  <si>
    <t>ELECTROSTEEL CASTINGS LTD.,</t>
  </si>
  <si>
    <t>INE086A01029</t>
  </si>
  <si>
    <t>ELECTROTHERM (INDIA) LTD</t>
  </si>
  <si>
    <t>INE822G01016</t>
  </si>
  <si>
    <t>ELGI EQUIPMENTS LTD.,</t>
  </si>
  <si>
    <t>INE285A01027</t>
  </si>
  <si>
    <t>ELGI RUBBER COMPANY LTD.</t>
  </si>
  <si>
    <t>INE819L01012</t>
  </si>
  <si>
    <t>ELIN ELECTRONICS LIMITED</t>
  </si>
  <si>
    <t>INE050401020</t>
  </si>
  <si>
    <t>EMAMI LTD</t>
  </si>
  <si>
    <t>INE548C01032</t>
  </si>
  <si>
    <t>EMAMI PAPER MILLS LTD.</t>
  </si>
  <si>
    <t>INE830C01026</t>
  </si>
  <si>
    <t>INE778K01012</t>
  </si>
  <si>
    <t>ELECTRONICS MART INDIA LIMITED</t>
  </si>
  <si>
    <t>INE02YR01019</t>
  </si>
  <si>
    <t>EMKAY GLOBAL FINANCIAL SERVICES LTD</t>
  </si>
  <si>
    <t>INE296H01011</t>
  </si>
  <si>
    <t>EMMBI INDUSTRIES LIMITED</t>
  </si>
  <si>
    <t>INE753K01015</t>
  </si>
  <si>
    <t>EMS LIMITED</t>
  </si>
  <si>
    <t>INE0OV601013</t>
  </si>
  <si>
    <t>EMUDHRA LIMITED</t>
  </si>
  <si>
    <t>INE01QM01018</t>
  </si>
  <si>
    <t>ENDURANCE TECHNOLOGIES LIMITED</t>
  </si>
  <si>
    <t>INE913H01037</t>
  </si>
  <si>
    <t>ENERGY DEVELOPMENT COMPANY LTD.</t>
  </si>
  <si>
    <t>INE306C01019</t>
  </si>
  <si>
    <t>ENGINEERS INDIA LTD.</t>
  </si>
  <si>
    <t>INE510A01028</t>
  </si>
  <si>
    <t>ENTERTAINMENT NETWORK (INDIA) LTD</t>
  </si>
  <si>
    <t>INE265F01028</t>
  </si>
  <si>
    <t>EPIGRAL LIMITED</t>
  </si>
  <si>
    <t>INE071N01016</t>
  </si>
  <si>
    <t>INE255A01020</t>
  </si>
  <si>
    <t>INE217G01035</t>
  </si>
  <si>
    <t>EQUITAS SMALL FINANCE BANK LIMITED</t>
  </si>
  <si>
    <t>INE063P01018</t>
  </si>
  <si>
    <t>ERIS LIFESCIENCES LIMITED</t>
  </si>
  <si>
    <t>INE406M01024</t>
  </si>
  <si>
    <t>EROS INTERNATIONAL MEDIA LIMITED</t>
  </si>
  <si>
    <t>INE416L01017</t>
  </si>
  <si>
    <t>ESAB INDIA LTD.</t>
  </si>
  <si>
    <t>INE284A01012</t>
  </si>
  <si>
    <t>ESAF SMALL FINANCE BANK LTD</t>
  </si>
  <si>
    <t>INE818W01011</t>
  </si>
  <si>
    <t>ESCORTS KUBOTA LIMITED</t>
  </si>
  <si>
    <t>INE042A01014</t>
  </si>
  <si>
    <t>ESSAR SHIPPING LTD</t>
  </si>
  <si>
    <t>INE122M01019</t>
  </si>
  <si>
    <t>INTEGRA ESSENTIA LIMITED</t>
  </si>
  <si>
    <t>INE418N01035</t>
  </si>
  <si>
    <t>ESTER INDUSTRIES LTD.,</t>
  </si>
  <si>
    <t>INE778B01029</t>
  </si>
  <si>
    <t>INE04TZ01018</t>
  </si>
  <si>
    <t>EUROTEX INDUSTRIES &amp; EXPORTS LTD.</t>
  </si>
  <si>
    <t>INE022C01012</t>
  </si>
  <si>
    <t>EVEREADY INDUSTRIES INDIA LTD.</t>
  </si>
  <si>
    <t>INE128A01029</t>
  </si>
  <si>
    <t>EVEREST INDUSTRIES LTD.</t>
  </si>
  <si>
    <t>INE295A01018</t>
  </si>
  <si>
    <t>EXCEL REALTY N INFRA LIMITED</t>
  </si>
  <si>
    <t>INE688J01023</t>
  </si>
  <si>
    <t>EXCELL INDUSTRIES LTD.,</t>
  </si>
  <si>
    <t>INE369A01029</t>
  </si>
  <si>
    <t>EXIDE INDUSTRIES LTD.,</t>
  </si>
  <si>
    <t>INE302A01020</t>
  </si>
  <si>
    <t>INE201K01015</t>
  </si>
  <si>
    <t>EXXARO TILES LIMITED</t>
  </si>
  <si>
    <t>INE0GFE01018</t>
  </si>
  <si>
    <t>FERTILIZERS AND CHEMICALS TRAVANCORE LIMITED</t>
  </si>
  <si>
    <t>INE188A01015</t>
  </si>
  <si>
    <t>FAIRCHEM ORGANICS LIMITED</t>
  </si>
  <si>
    <t>INE0DNW01011</t>
  </si>
  <si>
    <t>FAZE THREE LTD.</t>
  </si>
  <si>
    <t>INE963C01033</t>
  </si>
  <si>
    <t>FINEOTEX CHEMICAL LIMITED</t>
  </si>
  <si>
    <t>INE045J01026</t>
  </si>
  <si>
    <t>FUTURE CONSUMER LIMITED</t>
  </si>
  <si>
    <t>INE220J01025</t>
  </si>
  <si>
    <t>FCS SOFTWARE SOLUTIONS LTD.</t>
  </si>
  <si>
    <t>INE512B01022</t>
  </si>
  <si>
    <t>FDC LTD.</t>
  </si>
  <si>
    <t>INE258B01022</t>
  </si>
  <si>
    <t>FEDERAL BANK LTD.</t>
  </si>
  <si>
    <t>INE171A01029</t>
  </si>
  <si>
    <t>FEDBANK FINANCIAL SERVICES LIMITED</t>
  </si>
  <si>
    <t>INE007N01010</t>
  </si>
  <si>
    <t>FUTURE ENTERPRISES LIMITED</t>
  </si>
  <si>
    <t>INE623B01027</t>
  </si>
  <si>
    <t>INE296C01020</t>
  </si>
  <si>
    <t>INE737H01014</t>
  </si>
  <si>
    <t>FILATEX INDIA LTD.</t>
  </si>
  <si>
    <t>INE816B01035</t>
  </si>
  <si>
    <t>FINOLEX CABLES LTD.,</t>
  </si>
  <si>
    <t>INE235A01022</t>
  </si>
  <si>
    <t>FINE ORGANIC INDUSTRIES LIMITED</t>
  </si>
  <si>
    <t>INE686Y01026</t>
  </si>
  <si>
    <t>FINO PAYMENTS BANK LIMITED</t>
  </si>
  <si>
    <t>INE02NC01014</t>
  </si>
  <si>
    <t>FINOLEX INDUSTRIES LTD.</t>
  </si>
  <si>
    <t>INE183A01024</t>
  </si>
  <si>
    <t>FINOLEXIND</t>
  </si>
  <si>
    <t>FIVE-STAR BUSINESS FINANCE LTD.</t>
  </si>
  <si>
    <t>INE128S01021</t>
  </si>
  <si>
    <t>FLAIR WRITING INDUSTRIES LIMITED</t>
  </si>
  <si>
    <t>INE00Y201027</t>
  </si>
  <si>
    <t>INE060J01017</t>
  </si>
  <si>
    <t>FUTURE LIFESTYLE FASHIONS LIMITED</t>
  </si>
  <si>
    <t>INE452O01016</t>
  </si>
  <si>
    <t>GUJARAT FLUOROCHEMICALS LIMITED</t>
  </si>
  <si>
    <t>INE09N301011</t>
  </si>
  <si>
    <t>FEDERAL-MOGUL GOETZE (INDIA) LTD</t>
  </si>
  <si>
    <t>INE529A01010</t>
  </si>
  <si>
    <t>FUTURE MARKET NETWORKS LIMITED</t>
  </si>
  <si>
    <t>INE360L01017</t>
  </si>
  <si>
    <t>FOCUS LIGHTING AND FIXTURES LTD.</t>
  </si>
  <si>
    <t>INE593W01028</t>
  </si>
  <si>
    <t>FOODS &amp; INNS LTD.</t>
  </si>
  <si>
    <t>INE976E01023</t>
  </si>
  <si>
    <t>FORTIS HEALTHCARE LTD</t>
  </si>
  <si>
    <t>INE061F01013</t>
  </si>
  <si>
    <t>FOSECO INDIA LTD</t>
  </si>
  <si>
    <t>INE519A01011</t>
  </si>
  <si>
    <t>FUTURE RETAIL LTD.</t>
  </si>
  <si>
    <t>INE752P01024</t>
  </si>
  <si>
    <t>FUTURE SUPPLY CHAIN SOLUTIONS LIMITED</t>
  </si>
  <si>
    <t>INE935Q01015</t>
  </si>
  <si>
    <t>FIRSTSOURCE SOLUTIONS LTD.</t>
  </si>
  <si>
    <t>INE684F01012</t>
  </si>
  <si>
    <t>FUSION MICRO FINANCE LIMITED</t>
  </si>
  <si>
    <t>INE139R01012</t>
  </si>
  <si>
    <t>GABRIEL INDIA LTD.</t>
  </si>
  <si>
    <t>INE524A01029</t>
  </si>
  <si>
    <t>GUJARAT AMBUJA EXPORTS LTD.</t>
  </si>
  <si>
    <t>INE036B01030</t>
  </si>
  <si>
    <t>GAIL (INDIA) LTD.</t>
  </si>
  <si>
    <t>INE129A01019</t>
  </si>
  <si>
    <t>GALAXY SURFACTANTS LIMITED</t>
  </si>
  <si>
    <t>INE600K01018</t>
  </si>
  <si>
    <t>INE297H01019</t>
  </si>
  <si>
    <t>GANDHAR OIL REFINERY (INDIA) LIMITED</t>
  </si>
  <si>
    <t>INE717W01049</t>
  </si>
  <si>
    <t>GANDHI SPECIAL TUBES LTD.,</t>
  </si>
  <si>
    <t>INE524B01027</t>
  </si>
  <si>
    <t>GANESHA ECOSPHERE LIMITED</t>
  </si>
  <si>
    <t>INE845D01014</t>
  </si>
  <si>
    <t>GANESH BENZOPLAST LTD.,</t>
  </si>
  <si>
    <t>INE388A01029</t>
  </si>
  <si>
    <t>GANESH HOUSING CORPORATION LTD.</t>
  </si>
  <si>
    <t>INE460C01014</t>
  </si>
  <si>
    <t>GANGA FORGING LTD.</t>
  </si>
  <si>
    <t>INE691Z01023</t>
  </si>
  <si>
    <t>GANGES SECURITIES LTD.</t>
  </si>
  <si>
    <t>INE335W01016</t>
  </si>
  <si>
    <t>GANGESSEC</t>
  </si>
  <si>
    <t>GANGOTRI TEXTILES LTD.</t>
  </si>
  <si>
    <t>INE670B01028</t>
  </si>
  <si>
    <t>INE276A01018</t>
  </si>
  <si>
    <t>GACM TECHNOLOGIES LIMITED</t>
  </si>
  <si>
    <t>INE224E01028</t>
  </si>
  <si>
    <t>GATEWAY DISTRIPARKS LIMITED</t>
  </si>
  <si>
    <t>INE079J01017</t>
  </si>
  <si>
    <t>INE287Z01012</t>
  </si>
  <si>
    <t>GAYATRI PROJECTS LIMITED</t>
  </si>
  <si>
    <t>INE336H01023</t>
  </si>
  <si>
    <t>GEECEE VENTURES LIMITED</t>
  </si>
  <si>
    <t>INE916G01016</t>
  </si>
  <si>
    <t>GEEKAY WIRES LTD.</t>
  </si>
  <si>
    <t>INE669X01024</t>
  </si>
  <si>
    <t>GENERIC ENGINEERING CONSTRUCTION AND PROJECTS LIMITED</t>
  </si>
  <si>
    <t>INE854S01022</t>
  </si>
  <si>
    <t>GENESYS INTERNATIONAL CORPORATION LTD.</t>
  </si>
  <si>
    <t>INE727B01026</t>
  </si>
  <si>
    <t>GENSOL ENGINEERING LIMITED</t>
  </si>
  <si>
    <t>INE06H201014</t>
  </si>
  <si>
    <t>INE949P01018</t>
  </si>
  <si>
    <t>GENUS POWER INFRASTRUCTURES LTD</t>
  </si>
  <si>
    <t>INE955D01029</t>
  </si>
  <si>
    <t>GEOJIT FINANCIAL SERVICES LIMITED</t>
  </si>
  <si>
    <t>INE007B01023</t>
  </si>
  <si>
    <t>GE POWER INDIA LIMITED</t>
  </si>
  <si>
    <t>INE878A01011</t>
  </si>
  <si>
    <t>GREAT EASTERN SHIPPING CO. LTD.,</t>
  </si>
  <si>
    <t>INE017A01032</t>
  </si>
  <si>
    <t>GE T&amp;D INDIA LIMITED</t>
  </si>
  <si>
    <t>INE200A01026</t>
  </si>
  <si>
    <t>INE538A01037</t>
  </si>
  <si>
    <t>GRAND FOUNDRY LTD.,</t>
  </si>
  <si>
    <t>INE534A01028</t>
  </si>
  <si>
    <t>GRANDFONRY</t>
  </si>
  <si>
    <t>GHCL LTD.</t>
  </si>
  <si>
    <t>INE539A01019</t>
  </si>
  <si>
    <t>GHCL TEXTILES LIMITED</t>
  </si>
  <si>
    <t>INE0PA801013</t>
  </si>
  <si>
    <t>GIC HOUSING FINANCE LTD.</t>
  </si>
  <si>
    <t>INE289B01019</t>
  </si>
  <si>
    <t>GENERAL INSURANCE CORPORATION OF INDIA</t>
  </si>
  <si>
    <t>INE481Y01014</t>
  </si>
  <si>
    <t>GILLANDERS ARBUTHNOT &amp; CO. LTD.</t>
  </si>
  <si>
    <t>INE047B01011</t>
  </si>
  <si>
    <t>GILLETTE INDIA LTD.</t>
  </si>
  <si>
    <t>INE322A01010</t>
  </si>
  <si>
    <t>GINNI FILAMENTS LTD.</t>
  </si>
  <si>
    <t>INE424C01010</t>
  </si>
  <si>
    <t>GUJARAT INDUSTRIES POWER CO. LTD</t>
  </si>
  <si>
    <t>INE162A01010</t>
  </si>
  <si>
    <t>GKW LTD.</t>
  </si>
  <si>
    <t>INE528A01020</t>
  </si>
  <si>
    <t xml:space="preserve"> GLAND PHARMA LIMITED</t>
  </si>
  <si>
    <t>INE068V01023</t>
  </si>
  <si>
    <t>GLAXOSMITHKLINE PHARMACEUTICALS LTD.</t>
  </si>
  <si>
    <t>INE159A01016</t>
  </si>
  <si>
    <t>GLENMARK PHARMACEUTICALS LTD</t>
  </si>
  <si>
    <t>INE935A01035</t>
  </si>
  <si>
    <t>GUJARAT LEASE FINANCING LIMITED,</t>
  </si>
  <si>
    <t>INE540A01017</t>
  </si>
  <si>
    <t>GLOBAL EDUCATION LTD.</t>
  </si>
  <si>
    <t>INE291W01029</t>
  </si>
  <si>
    <t>GLOBAL VECTRA HELICORP LTD.</t>
  </si>
  <si>
    <t>INE792H01019</t>
  </si>
  <si>
    <t>GLOBE TEXTILES (INDIA) LTD.</t>
  </si>
  <si>
    <t>INE581X01021</t>
  </si>
  <si>
    <t>GLOBUS SPIRITS LIMITED</t>
  </si>
  <si>
    <t>INE615I01010</t>
  </si>
  <si>
    <t>GLENMARK LIFE SCIENCES LIMITED</t>
  </si>
  <si>
    <t>INE03Q201024</t>
  </si>
  <si>
    <t>G.M. BREWERIES LTD.</t>
  </si>
  <si>
    <t>INE075D01018</t>
  </si>
  <si>
    <t>GUJARAT MINERAL DEVELOPMENT CORPORA</t>
  </si>
  <si>
    <t>INE131A01031</t>
  </si>
  <si>
    <t>GMM PFAUDLER LTD.</t>
  </si>
  <si>
    <t>INE541A01023</t>
  </si>
  <si>
    <t>GMM</t>
  </si>
  <si>
    <t>INE776C01039</t>
  </si>
  <si>
    <t>GMR POWER AND URBAN INFRA LIMITED</t>
  </si>
  <si>
    <t>INE0CU601026</t>
  </si>
  <si>
    <t>G N A AXLES LIMITED</t>
  </si>
  <si>
    <t>INE934S01014</t>
  </si>
  <si>
    <t>GUJARAT NARMADA VALLEY FERT.CO.LTD</t>
  </si>
  <si>
    <t>INE113A01013</t>
  </si>
  <si>
    <t>GOA CARBON LTD.,</t>
  </si>
  <si>
    <t>INE426D01013</t>
  </si>
  <si>
    <t>GOCL CORPORATION LIMITED</t>
  </si>
  <si>
    <t>INE077F01035</t>
  </si>
  <si>
    <t>GO FASHION (INDIA) LIMITED</t>
  </si>
  <si>
    <t>INE0BJS01011</t>
  </si>
  <si>
    <t>GODFREY PHILLIPS INDIA LTD.,</t>
  </si>
  <si>
    <t>INE260B01028</t>
  </si>
  <si>
    <t>GODHA CABCON &amp; INSULATION LTD.</t>
  </si>
  <si>
    <t>INE925Y01036</t>
  </si>
  <si>
    <t>GODREJ AGROVET LIMITED</t>
  </si>
  <si>
    <t>INE850D01014</t>
  </si>
  <si>
    <t>GODREJ CONSUMER PRODUCTS LTD.</t>
  </si>
  <si>
    <t>INE102D01028</t>
  </si>
  <si>
    <t>GODREJ INDUSTRIES LTD.</t>
  </si>
  <si>
    <t>INE233A01035</t>
  </si>
  <si>
    <t>GODREJ PROPERTIES LIMITED</t>
  </si>
  <si>
    <t>INE484J01027</t>
  </si>
  <si>
    <t>GOENKA DIAMOND &amp; JEWELS LTD</t>
  </si>
  <si>
    <t>INE516K01024</t>
  </si>
  <si>
    <t>GOKALDAS EXPORTS LTD</t>
  </si>
  <si>
    <t>INE887G01027</t>
  </si>
  <si>
    <t>GOKUL REFOILS AND SOLVENT LIMITED</t>
  </si>
  <si>
    <t>INE020J01029</t>
  </si>
  <si>
    <t>GOKUL AGRO RESOURCES LTD</t>
  </si>
  <si>
    <t>INE314T01025</t>
  </si>
  <si>
    <t>GOLDEN TOBACCO LTD.</t>
  </si>
  <si>
    <t>INE973A01010</t>
  </si>
  <si>
    <t>GOLDIAM INTERNATIONAL LTD.</t>
  </si>
  <si>
    <t>INE025B01025</t>
  </si>
  <si>
    <t>GOLDSTONE TECHNOLOGIES LTD.</t>
  </si>
  <si>
    <t>INE805A01014</t>
  </si>
  <si>
    <t>GOODLUCK INDIA LIMITED</t>
  </si>
  <si>
    <t>INE127I01024</t>
  </si>
  <si>
    <t>INE705X01026</t>
  </si>
  <si>
    <t>INE177H01021</t>
  </si>
  <si>
    <t>GUJARAT PIPAVAV PORT LIMITED</t>
  </si>
  <si>
    <t>INE517F01014</t>
  </si>
  <si>
    <t>GPT INFRAPROJECTS LIMITED</t>
  </si>
  <si>
    <t>INE390G01014</t>
  </si>
  <si>
    <t>GRANULES INDIA LTD.</t>
  </si>
  <si>
    <t>INE101D01020</t>
  </si>
  <si>
    <t>GRAPHITE INDIA LTD.</t>
  </si>
  <si>
    <t>INE371A01025</t>
  </si>
  <si>
    <t>GRASIM INDUSTRIES LTD.,</t>
  </si>
  <si>
    <t>INE047A01021</t>
  </si>
  <si>
    <t>INE024L01027</t>
  </si>
  <si>
    <t>GREAVES COTTON LTD.</t>
  </si>
  <si>
    <t>INE224A01026</t>
  </si>
  <si>
    <t>GREENLAM INDUSTRIES LTD</t>
  </si>
  <si>
    <t>INE544R01021</t>
  </si>
  <si>
    <t>GRNLAMIND</t>
  </si>
  <si>
    <t>GREENPANEL INDUSTRIES LIMITED</t>
  </si>
  <si>
    <t>INE08ZM01014</t>
  </si>
  <si>
    <t>GREENPLY INDUSTRIES LTD</t>
  </si>
  <si>
    <t>INE461C01038</t>
  </si>
  <si>
    <t>ORIENT GREEN POWER COMPANY LIMITED</t>
  </si>
  <si>
    <t>INE999K01014</t>
  </si>
  <si>
    <t>GRINDWELL NORTON LTD.</t>
  </si>
  <si>
    <t>INE536A01023</t>
  </si>
  <si>
    <t>G R INFRAPROJECTS LIMITED</t>
  </si>
  <si>
    <t>INE201P01022</t>
  </si>
  <si>
    <t>GRM OVERSEAS LTD.</t>
  </si>
  <si>
    <t>INE192H01020</t>
  </si>
  <si>
    <t>THE GROB TEA COMPANY LTD.</t>
  </si>
  <si>
    <t>INE646C01018</t>
  </si>
  <si>
    <t>GRP LIMITED</t>
  </si>
  <si>
    <t>INE137I01015</t>
  </si>
  <si>
    <t>GARDEN REACH SHIPBUILDERS &amp; ENGINEERS LIMITED</t>
  </si>
  <si>
    <t>INE382Z01011</t>
  </si>
  <si>
    <t>INE291A01017</t>
  </si>
  <si>
    <t>GUJARAT STATE FERTILIZERS &amp; CHEM.LTD</t>
  </si>
  <si>
    <t>INE026A01025</t>
  </si>
  <si>
    <t>GLOBAL SURFACES LIMITED</t>
  </si>
  <si>
    <t>INE0JSX01015</t>
  </si>
  <si>
    <t>GUJARAT STATE PETRONET LTD.</t>
  </si>
  <si>
    <t>INE246F01010</t>
  </si>
  <si>
    <t>GSS INFOTECH LTD</t>
  </si>
  <si>
    <t>INE871H01011</t>
  </si>
  <si>
    <t>G-TEC JAINX EDUCATION LTD.</t>
  </si>
  <si>
    <t>INE586X01012</t>
  </si>
  <si>
    <t>GTL LTD</t>
  </si>
  <si>
    <t>INE043A01012</t>
  </si>
  <si>
    <t>GTL INFRASTRUCTURE LIMITED</t>
  </si>
  <si>
    <t>INE221H01019</t>
  </si>
  <si>
    <t>GTPL HATHWAY LIMITED</t>
  </si>
  <si>
    <t>INE869I01013</t>
  </si>
  <si>
    <t>GUFIC BIOSCIENCES LTD.</t>
  </si>
  <si>
    <t>INE742B01025</t>
  </si>
  <si>
    <t>GUJARAT ALKALIS &amp; CHEMICALS LTD.,</t>
  </si>
  <si>
    <t>INE186A01019</t>
  </si>
  <si>
    <t>GUJARAT APOLLO INDUSTRIES LTD.</t>
  </si>
  <si>
    <t>INE826C01016</t>
  </si>
  <si>
    <t>GUJARAT GAS LIMITED</t>
  </si>
  <si>
    <t>INE844O01030</t>
  </si>
  <si>
    <t>GUJGAS</t>
  </si>
  <si>
    <t>GUJARAT RAFFIA IND. LTD.,</t>
  </si>
  <si>
    <t>INE610B01024</t>
  </si>
  <si>
    <t>GUJRAFIA</t>
  </si>
  <si>
    <t>GULF OIL LUBRICANTS INDIA LIMITED</t>
  </si>
  <si>
    <t>INE635Q01029</t>
  </si>
  <si>
    <t>GP PETROLEUMS LIMITED</t>
  </si>
  <si>
    <t>INE586G01017</t>
  </si>
  <si>
    <t>GULSHAN POLYOLS LTD.</t>
  </si>
  <si>
    <t>INE255D01024</t>
  </si>
  <si>
    <t>GVK POWER &amp; INFRASTRUCTURE LTD</t>
  </si>
  <si>
    <t>INE251H01024</t>
  </si>
  <si>
    <t>GVP INFOTECH LTD.</t>
  </si>
  <si>
    <t>INE382T01030</t>
  </si>
  <si>
    <t>HINDUSTAN AERONAUTICS LIMITED</t>
  </si>
  <si>
    <t>INE066F01020</t>
  </si>
  <si>
    <t>HAPPIEST MINDS TECHNOLOGIES LIMITED</t>
  </si>
  <si>
    <t>INE419U01012</t>
  </si>
  <si>
    <t>HAPPY FORGINGS LIMITED</t>
  </si>
  <si>
    <t>INE330T01021</t>
  </si>
  <si>
    <t>HAPPYFORGE</t>
  </si>
  <si>
    <t>INE626Z01029</t>
  </si>
  <si>
    <t>HARIOM PIPE INDUSTRIES LIMITED</t>
  </si>
  <si>
    <t>INE00EV01017</t>
  </si>
  <si>
    <t>HARRISONS MALAYALAM LTD.,</t>
  </si>
  <si>
    <t>INE544A01019</t>
  </si>
  <si>
    <t>HARSHA ENGINEERS INTERNATIONAL LIMITED</t>
  </si>
  <si>
    <t>INE0JUS01029</t>
  </si>
  <si>
    <t>HATHWAY CABLE &amp; DATACOM LIMITED</t>
  </si>
  <si>
    <t>INE982F01036</t>
  </si>
  <si>
    <t>HATSUN AGRO PRODUCTS LTD.</t>
  </si>
  <si>
    <t>INE473B01035</t>
  </si>
  <si>
    <t>HAVELLS INDIA LIMITED</t>
  </si>
  <si>
    <t>INE176B01034</t>
  </si>
  <si>
    <t>INE293B01029</t>
  </si>
  <si>
    <t>HBL POWER SYSTEMS LTD.</t>
  </si>
  <si>
    <t>INE292B01021</t>
  </si>
  <si>
    <t>HB STOCKHOLDINGS LTD.</t>
  </si>
  <si>
    <t>INE550B01022</t>
  </si>
  <si>
    <t>HBSTOCK</t>
  </si>
  <si>
    <t>HINDUSTAN CONSTRUCTION CO. LTD.,</t>
  </si>
  <si>
    <t>INE549A01026</t>
  </si>
  <si>
    <t>HEALTHCARE GLOBAL ENTERPRISES LIMITED</t>
  </si>
  <si>
    <t>INE075I01017</t>
  </si>
  <si>
    <t>HCL INFOSYSTEMS LTD</t>
  </si>
  <si>
    <t>INE236A01020</t>
  </si>
  <si>
    <t>HCL TECHNOLOGIES LTD</t>
  </si>
  <si>
    <t>INE860A01027</t>
  </si>
  <si>
    <t>HDFC ASSET MANAGEMENT COMPANY LIMITED</t>
  </si>
  <si>
    <t>INE127D01025</t>
  </si>
  <si>
    <t>HDFC BANK LTD.</t>
  </si>
  <si>
    <t>INE040A01034</t>
  </si>
  <si>
    <t>INE795G01014</t>
  </si>
  <si>
    <t>HOUSING DEVELOPMENT &amp; INFRASTRUCTURE  LTD</t>
  </si>
  <si>
    <t>INE191I01012</t>
  </si>
  <si>
    <t>HEADS UP VENTURES LIMITED</t>
  </si>
  <si>
    <t>INE759V01019</t>
  </si>
  <si>
    <t>HEC INFRA PROJECTS LTD.</t>
  </si>
  <si>
    <t>INE558R01013</t>
  </si>
  <si>
    <t>HEG LTD.</t>
  </si>
  <si>
    <t>INE545A01016</t>
  </si>
  <si>
    <t>HEIDELBERGCEMENT  INDIA LIMITED</t>
  </si>
  <si>
    <t>INE578A01017</t>
  </si>
  <si>
    <t>HEMISPHERE PROPERTIES INDIA LIMITED</t>
  </si>
  <si>
    <t>INE0AJG01018</t>
  </si>
  <si>
    <t>HERANBA INDUSTRIES LIMITED</t>
  </si>
  <si>
    <t>INE694N01015</t>
  </si>
  <si>
    <t>HERCULES HOISTS LTD.,</t>
  </si>
  <si>
    <t>INE688E01024</t>
  </si>
  <si>
    <t>HERITAGE FOODS LIMITED</t>
  </si>
  <si>
    <t>INE978A01027</t>
  </si>
  <si>
    <t>HERO MOTOCORP LIMITED</t>
  </si>
  <si>
    <t>INE158A01026</t>
  </si>
  <si>
    <t>HESTER BIOSCIENCES LTD</t>
  </si>
  <si>
    <t>INE782E01017</t>
  </si>
  <si>
    <t>HEUBACH COLORANTS INDIA LIMITED</t>
  </si>
  <si>
    <t>INE492A01029</t>
  </si>
  <si>
    <t>HEXA TRADEX LIMITED</t>
  </si>
  <si>
    <t>INE750M01017</t>
  </si>
  <si>
    <t>INE548A01028</t>
  </si>
  <si>
    <t>H.G. INFRA ENGINEERING LIMITED</t>
  </si>
  <si>
    <t>INE926X01010</t>
  </si>
  <si>
    <t>HINDUJA GLOBAL SOLUTIONS LIMITED</t>
  </si>
  <si>
    <t>INE170I01016</t>
  </si>
  <si>
    <t>HIKAL LTD.</t>
  </si>
  <si>
    <t>INE475B01022</t>
  </si>
  <si>
    <t>HIL LIMITED</t>
  </si>
  <si>
    <t>INE557A01011</t>
  </si>
  <si>
    <t>INE788H01017</t>
  </si>
  <si>
    <t>HIMATSINGKA SEIDE LTD.,</t>
  </si>
  <si>
    <t>INE049A01027</t>
  </si>
  <si>
    <t>HINDALCO INDUSTRIES LTD.</t>
  </si>
  <si>
    <t>INE038A01020</t>
  </si>
  <si>
    <t>HINDUSTAN COMPOSITES LTD</t>
  </si>
  <si>
    <t>INE310C01029</t>
  </si>
  <si>
    <t>HINDCON CHEMICALS LTD.</t>
  </si>
  <si>
    <t>INE642Y01029</t>
  </si>
  <si>
    <t>HINDUSTAN COPPER LTD.</t>
  </si>
  <si>
    <t>INE531E01026</t>
  </si>
  <si>
    <t>HINDUSTAN MOTORS LTD.,</t>
  </si>
  <si>
    <t>INE253A01025</t>
  </si>
  <si>
    <t>HINDUSTHAN NATIONAL GLASS &amp; INDUSTR</t>
  </si>
  <si>
    <t>INE952A01022</t>
  </si>
  <si>
    <t>HINDUSTAN OIL EXPLORATION CO. LTD.</t>
  </si>
  <si>
    <t>INE345A01011</t>
  </si>
  <si>
    <t>HINDUSTAN PETROLEUM CORPORATION LTD</t>
  </si>
  <si>
    <t>INE094A01015</t>
  </si>
  <si>
    <t>HINDUSTAN UNILEVER LTD.,</t>
  </si>
  <si>
    <t>INE030A01027</t>
  </si>
  <si>
    <t>HINDWARE HOME INNOVATION LIMITED</t>
  </si>
  <si>
    <t>INE05AN01011</t>
  </si>
  <si>
    <t>HINDUSTAN ZINC LTD.,</t>
  </si>
  <si>
    <t>INE267A01025</t>
  </si>
  <si>
    <t>HIND RECTIFIERS LTD.,</t>
  </si>
  <si>
    <t>INE835D01023</t>
  </si>
  <si>
    <t>HISAR METAL INDUSTRIES LTD.</t>
  </si>
  <si>
    <t>INE598C01011</t>
  </si>
  <si>
    <t>HISARMET</t>
  </si>
  <si>
    <t>INE106T01025</t>
  </si>
  <si>
    <t>HITECH CORPORATION LIMITED</t>
  </si>
  <si>
    <t>INE120D01012</t>
  </si>
  <si>
    <t>THE HI-TECH GEARS LIMITED</t>
  </si>
  <si>
    <t>INE127B01011</t>
  </si>
  <si>
    <t>INE461D01028</t>
  </si>
  <si>
    <t>INE102A01024</t>
  </si>
  <si>
    <t>HMA AGRO INDUSTRIES LIMITED</t>
  </si>
  <si>
    <t>INE0ECP01024</t>
  </si>
  <si>
    <t>HMT LIMITED</t>
  </si>
  <si>
    <t>INE262A01018</t>
  </si>
  <si>
    <t>HINDUSTAN MEDIA VENTURES LIMITED</t>
  </si>
  <si>
    <t>INE871K01015</t>
  </si>
  <si>
    <t>HINDUSTAN FOODS LTD.,</t>
  </si>
  <si>
    <t>INE254N01026</t>
  </si>
  <si>
    <t>HOME FIRST FINANCE COMPANY INDIA LIMITED</t>
  </si>
  <si>
    <t>INE481N01025</t>
  </si>
  <si>
    <t>HONASA CONSUMER LIMITED</t>
  </si>
  <si>
    <t>INE0J5401028</t>
  </si>
  <si>
    <t>HONEYWELL AUTOMATION INDIA LTD.</t>
  </si>
  <si>
    <t>INE671A01010</t>
  </si>
  <si>
    <t>INE634A01018</t>
  </si>
  <si>
    <t>HOV SERVICES LIMITED</t>
  </si>
  <si>
    <t>INE596H01014</t>
  </si>
  <si>
    <t>HP ADHESIVES LIMITED</t>
  </si>
  <si>
    <t>INE0GSL01024</t>
  </si>
  <si>
    <t>INE05X901010</t>
  </si>
  <si>
    <t>HPL ELECTRIC &amp; POWER LIMITED</t>
  </si>
  <si>
    <t>INE495S01016</t>
  </si>
  <si>
    <t>HIMADRI SPECIALITY CHEMICAL LTD.</t>
  </si>
  <si>
    <t>INE019C01026</t>
  </si>
  <si>
    <t>HT MEDIA LTD</t>
  </si>
  <si>
    <t>INE501G01024</t>
  </si>
  <si>
    <t>HUBTOWN LIMITED</t>
  </si>
  <si>
    <t>INE703H01016</t>
  </si>
  <si>
    <t>HOUSING &amp;URBAN DEVELOPMENT CORPORATION LTD.</t>
  </si>
  <si>
    <t>INE031A01017</t>
  </si>
  <si>
    <t>INE275B01026</t>
  </si>
  <si>
    <t>INE965B01022</t>
  </si>
  <si>
    <t>INDIABULLS REAL ESTATE LIMITED</t>
  </si>
  <si>
    <t>INE069I01010</t>
  </si>
  <si>
    <t>INE148I01020</t>
  </si>
  <si>
    <t>ICDS LTD.,</t>
  </si>
  <si>
    <t>INE613B01010</t>
  </si>
  <si>
    <t>ICE MAKE REFRIGERATION LTD.</t>
  </si>
  <si>
    <t>INE520Y01019</t>
  </si>
  <si>
    <t>ICICI BANK LTD.</t>
  </si>
  <si>
    <t>INE090A01021</t>
  </si>
  <si>
    <t xml:space="preserve">ICICI LOMBARD GENERAL INSURANCE COMPANY LIMITED </t>
  </si>
  <si>
    <t>INE765G01017</t>
  </si>
  <si>
    <t>ICICI PRUDENTIAL LIFE INSURANCE COMPANY LIMITED</t>
  </si>
  <si>
    <t>INE726G01019</t>
  </si>
  <si>
    <t>INDO COUNT INDUSTRIES LTD</t>
  </si>
  <si>
    <t>INE483B01026</t>
  </si>
  <si>
    <t>ICRA LIMITED</t>
  </si>
  <si>
    <t>INE725G01011</t>
  </si>
  <si>
    <t>IDBI BANK LTD</t>
  </si>
  <si>
    <t>INE008A01015</t>
  </si>
  <si>
    <t>INE669E01016</t>
  </si>
  <si>
    <t>IDEAFORGE TECHNOLOGY LIMITED</t>
  </si>
  <si>
    <t>INE349Y01013</t>
  </si>
  <si>
    <t>INE043D01016</t>
  </si>
  <si>
    <t>INE092T01019</t>
  </si>
  <si>
    <t>INDIABULLS ENTERPRISES LIMITED</t>
  </si>
  <si>
    <t>INE059901020</t>
  </si>
  <si>
    <t>INDIAN ENERGY EXCHANGE LIMITED</t>
  </si>
  <si>
    <t>INE022Q01020</t>
  </si>
  <si>
    <t>IFB AGRO INDUSTRIES LTD</t>
  </si>
  <si>
    <t>INE076C01018</t>
  </si>
  <si>
    <t>IFB INDUSTRIES LIMITED</t>
  </si>
  <si>
    <t>INE559A01017</t>
  </si>
  <si>
    <t>IFCI LTD.</t>
  </si>
  <si>
    <t>INE039A01010</t>
  </si>
  <si>
    <t>IFGL REFRACTORIES LIMITED</t>
  </si>
  <si>
    <t>INE133Y01011</t>
  </si>
  <si>
    <t>IGARASHI MOTORS INDIA LTD.</t>
  </si>
  <si>
    <t>INE188B01013</t>
  </si>
  <si>
    <t>INDRAPRASHTHA GAS LTD.</t>
  </si>
  <si>
    <t>INE203G01027</t>
  </si>
  <si>
    <t>IG PETROCHEMICALS LTD</t>
  </si>
  <si>
    <t>INE204A01010</t>
  </si>
  <si>
    <t xml:space="preserve">IIFL FINANCE LIMITED </t>
  </si>
  <si>
    <t>INE530B01024</t>
  </si>
  <si>
    <t>IIFL SECURITIES LIMITED</t>
  </si>
  <si>
    <t>INE489L01022</t>
  </si>
  <si>
    <t>INDUSTRIAL INVESTMENT TRUST LTD.,</t>
  </si>
  <si>
    <t>INE886A01014</t>
  </si>
  <si>
    <t>IKIO LIGHTING LIMITED</t>
  </si>
  <si>
    <t>INE0LOJ01019</t>
  </si>
  <si>
    <t>IL&amp;FS ENGINEERING AND CONSTRUCTION COMPANY LTD</t>
  </si>
  <si>
    <t>INE369I01014</t>
  </si>
  <si>
    <t>IL&amp;FS TRANSPORTATION NETWORKS LIMITED</t>
  </si>
  <si>
    <t>INE975G01012</t>
  </si>
  <si>
    <t>INE172N01012</t>
  </si>
  <si>
    <t>INDIAN METALS &amp; FERRO ALLOYS LIMITED</t>
  </si>
  <si>
    <t>INE919H01018</t>
  </si>
  <si>
    <t>INE547E01014</t>
  </si>
  <si>
    <t>IMPEX FERRO TECH LTD.</t>
  </si>
  <si>
    <t>INE691G01015</t>
  </si>
  <si>
    <t>INE452L01012</t>
  </si>
  <si>
    <t>INDBANK MERCHANT BANKING SERVICES L</t>
  </si>
  <si>
    <t>INE841B01017</t>
  </si>
  <si>
    <t>INDIAN HOTELS CO. LTD</t>
  </si>
  <si>
    <t>INE053A01029</t>
  </si>
  <si>
    <t>INDIA CEMENTS LTD.,</t>
  </si>
  <si>
    <t>INE383A01012</t>
  </si>
  <si>
    <t>INDIA GLYCOLS LTD</t>
  </si>
  <si>
    <t>INE560A01015</t>
  </si>
  <si>
    <t>INDIAMART INTERMESH LIMITED</t>
  </si>
  <si>
    <t>INE933S01016</t>
  </si>
  <si>
    <t>INDIAN BANK</t>
  </si>
  <si>
    <t>INE562A01011</t>
  </si>
  <si>
    <t>INDIAN CARD CLOTHING LTD</t>
  </si>
  <si>
    <t>INE061A01014</t>
  </si>
  <si>
    <t>INDIAN HUME PIPE CO. LTD.,</t>
  </si>
  <si>
    <t>INE323C01030</t>
  </si>
  <si>
    <t>INDIA SHELTER FINANCE CORPORATION LIMITED</t>
  </si>
  <si>
    <t>INE922K01024</t>
  </si>
  <si>
    <t>INDIASHLTR</t>
  </si>
  <si>
    <t>INTERGLOBE AVIATION LIMITED</t>
  </si>
  <si>
    <t>INE646L01027</t>
  </si>
  <si>
    <t>INDIGO PAINTS LIMITED</t>
  </si>
  <si>
    <t>INE09VQ01012</t>
  </si>
  <si>
    <t>INDIA NIPPON ELECTRICALS LTD</t>
  </si>
  <si>
    <t>INE092B01025</t>
  </si>
  <si>
    <t>INDO AMINES LTD.</t>
  </si>
  <si>
    <t>INE760F01028</t>
  </si>
  <si>
    <t>INDO BORAX &amp; CHEMICALS LTD.,</t>
  </si>
  <si>
    <t>INE803D01021</t>
  </si>
  <si>
    <t>INDOCO REMEDIES LTD.</t>
  </si>
  <si>
    <t>INE873D01024</t>
  </si>
  <si>
    <t>INDO RAMA SYNTHETICS (INDIA) LTD.,</t>
  </si>
  <si>
    <t>INE156A01020</t>
  </si>
  <si>
    <t>INDOSTAR CAPITAL FINANCE LIMITED</t>
  </si>
  <si>
    <t>INE896L01010</t>
  </si>
  <si>
    <t>INDO TECH TRANSFORMERS LIMITED</t>
  </si>
  <si>
    <t>INE332H01014</t>
  </si>
  <si>
    <t>INDO THAI SECURITIES LIMITED</t>
  </si>
  <si>
    <t>INE337M01013</t>
  </si>
  <si>
    <t>INDOWIND ENERGY LTD.</t>
  </si>
  <si>
    <t>INE227G01018</t>
  </si>
  <si>
    <t>INDRAPRASTHA MEDICAL CORPORATION LT</t>
  </si>
  <si>
    <t>INE681B01017</t>
  </si>
  <si>
    <t>IND-SWIFT LABORATORIES LTD.</t>
  </si>
  <si>
    <t>INE915B01019</t>
  </si>
  <si>
    <t>IND-SWIFT LTD.</t>
  </si>
  <si>
    <t>INE788B01028</t>
  </si>
  <si>
    <t>INDIAN TERRAIN FASHIONS LIMITED</t>
  </si>
  <si>
    <t>INE611L01021</t>
  </si>
  <si>
    <t>INDUSIND BANK LTD.</t>
  </si>
  <si>
    <t>INE095A01012</t>
  </si>
  <si>
    <t>INE121J01017</t>
  </si>
  <si>
    <t>INE483S01020</t>
  </si>
  <si>
    <t>INFOBEANS TECHNOLOGIES LIMITED</t>
  </si>
  <si>
    <t>INE344S01016</t>
  </si>
  <si>
    <t>INFOMEDIA PRESS LIMITED</t>
  </si>
  <si>
    <t>INE669A01022</t>
  </si>
  <si>
    <t>INFOSYS LTD</t>
  </si>
  <si>
    <t>INE009A01021</t>
  </si>
  <si>
    <t>INGERSOLL-RAND (INDIA) LTD.</t>
  </si>
  <si>
    <t>INE177A01018</t>
  </si>
  <si>
    <t>INNOVA CAPTAB LIMITED</t>
  </si>
  <si>
    <t>INE0DUT01020</t>
  </si>
  <si>
    <t>INNOVACAP</t>
  </si>
  <si>
    <t>INE510W01014</t>
  </si>
  <si>
    <t>INOX INDIA LIMITED</t>
  </si>
  <si>
    <t>INE616N01034</t>
  </si>
  <si>
    <t>INOXINDIA</t>
  </si>
  <si>
    <t>INOX WIND LIMITED</t>
  </si>
  <si>
    <t>INE066P01011</t>
  </si>
  <si>
    <t>INSECTICIDES INDIA LTD.</t>
  </si>
  <si>
    <t>INE070I01018</t>
  </si>
  <si>
    <t>INSPIRISYS SOLUTIONS LIMITED</t>
  </si>
  <si>
    <t>INE020G01017</t>
  </si>
  <si>
    <t>INE306R01017</t>
  </si>
  <si>
    <t>INTENSE TECHNOLOGIES</t>
  </si>
  <si>
    <t>INE781A01025</t>
  </si>
  <si>
    <t>INTERNATIONAL CONVEYORS LTD.,</t>
  </si>
  <si>
    <t>INE575C01027</t>
  </si>
  <si>
    <t>INE878H01024</t>
  </si>
  <si>
    <t>INDIAN OVERSEAS BANK</t>
  </si>
  <si>
    <t>INE565A01014</t>
  </si>
  <si>
    <t>INDIAN OIL CORPORATION LTD.</t>
  </si>
  <si>
    <t>INE242A01010</t>
  </si>
  <si>
    <t>IOL CHEMICALS &amp; PHARMACEUTICALS LTD</t>
  </si>
  <si>
    <t>INE485C01011</t>
  </si>
  <si>
    <t>ION EXCHANGE (INDIA) LTD</t>
  </si>
  <si>
    <t>INE570A01022</t>
  </si>
  <si>
    <t>IPCA LABORATORIES LTD.</t>
  </si>
  <si>
    <t>INE571A01038</t>
  </si>
  <si>
    <t>INDIA PESTICIDES LIMITED</t>
  </si>
  <si>
    <t>INE0D6701023</t>
  </si>
  <si>
    <t>IRB INFRASTRUCTURE DEVELOPERS LIMITED</t>
  </si>
  <si>
    <t>INE821I01022</t>
  </si>
  <si>
    <t>IRCON INTERNATIONAL LTD</t>
  </si>
  <si>
    <t>INE962Y01021</t>
  </si>
  <si>
    <t>INDIAN RAILWAY CATERING &amp; TOURISM CORPORATION LTD</t>
  </si>
  <si>
    <t>INE335Y01020</t>
  </si>
  <si>
    <t>INDIAN RENEWABLE ENERGY DEVELOPMENT AGENCY LIMITED</t>
  </si>
  <si>
    <t>INE202E01016</t>
  </si>
  <si>
    <t>INDIAN RAILWAY FINANCE CORPORATION</t>
  </si>
  <si>
    <t>INE053F01010</t>
  </si>
  <si>
    <t>IRIS BUSINESS SERVICES LIMITED</t>
  </si>
  <si>
    <t>INE864K01010</t>
  </si>
  <si>
    <t>IRIS CLOTHINGS LTD.</t>
  </si>
  <si>
    <t>INE01GN01025</t>
  </si>
  <si>
    <t>IRM ENERGY LIMITED</t>
  </si>
  <si>
    <t>INE07U701015</t>
  </si>
  <si>
    <t>ICICI SECURITIES LIMITED</t>
  </si>
  <si>
    <t>INE763G01038</t>
  </si>
  <si>
    <t>INTRASOFT TECHNOLOGIES LIMITED</t>
  </si>
  <si>
    <t>INE566K01011</t>
  </si>
  <si>
    <t>ISGEC HEAVY ENGINEERING LIMITED</t>
  </si>
  <si>
    <t>INE858B01029</t>
  </si>
  <si>
    <t>ISMT LIMITED</t>
  </si>
  <si>
    <t>INE732F01019</t>
  </si>
  <si>
    <t>ITC LTD</t>
  </si>
  <si>
    <t>INE154A01025</t>
  </si>
  <si>
    <t>INDIA TOURISM DEVELOPMENT CORPORATI</t>
  </si>
  <si>
    <t>INE353K01014</t>
  </si>
  <si>
    <t>ITD CEMENTATION INDIA LTD</t>
  </si>
  <si>
    <t>INE686A01026</t>
  </si>
  <si>
    <t>ITI LIMITED (INDIAN TELEPH.IND.LTD)</t>
  </si>
  <si>
    <t>INE248A01017</t>
  </si>
  <si>
    <t>IL &amp; FS INVESTMENT MANAGERS LTD.</t>
  </si>
  <si>
    <t>INE050B01023</t>
  </si>
  <si>
    <t>IVP LTD.,</t>
  </si>
  <si>
    <t>INE043C01018</t>
  </si>
  <si>
    <t>INOX WIND ENERGY LIMITED</t>
  </si>
  <si>
    <t>INE0FLR01028</t>
  </si>
  <si>
    <t>IZMO LIMITED</t>
  </si>
  <si>
    <t>INE848A01014</t>
  </si>
  <si>
    <t>JAMMU AND KASHMIR BANK LTD.</t>
  </si>
  <si>
    <t>INE168A01041</t>
  </si>
  <si>
    <t>JAGRAN PRAKASHAN LIMITED</t>
  </si>
  <si>
    <t>INE199G01027</t>
  </si>
  <si>
    <t>JAGSONPAL PHARMACEUTICALS LIMITED,</t>
  </si>
  <si>
    <t>INE048B01027</t>
  </si>
  <si>
    <t>JAI BALAJI INDUSTRIES LIMITED</t>
  </si>
  <si>
    <t>INE091G01018</t>
  </si>
  <si>
    <t>JAI CORP LIMITED</t>
  </si>
  <si>
    <t>INE070D01027</t>
  </si>
  <si>
    <t>NANDANI CREATION LTD.</t>
  </si>
  <si>
    <t>INE696V01013</t>
  </si>
  <si>
    <t>JAMNA AUTO INDUSTRIES LTD.,</t>
  </si>
  <si>
    <t>INE039C01032</t>
  </si>
  <si>
    <t>JASH ENGINEERING LTD.</t>
  </si>
  <si>
    <t>INE039O01011</t>
  </si>
  <si>
    <t>JAYANT AGRO-ORGANICS LIMITED.</t>
  </si>
  <si>
    <t>INE785A01026</t>
  </si>
  <si>
    <t>JAY BHARAT MARUTI LTD.,</t>
  </si>
  <si>
    <t>INE571B01036</t>
  </si>
  <si>
    <t>JAYASWAL NECO INDUSTRIES LTD</t>
  </si>
  <si>
    <t>INE854B01010</t>
  </si>
  <si>
    <t>JAY SHREE TEA &amp; INDUSTRIES LTD.,</t>
  </si>
  <si>
    <t>INE364A01020</t>
  </si>
  <si>
    <t>JAYSHREETEA</t>
  </si>
  <si>
    <t>J.B. CHEMICALS &amp; PHARMACEUTICALS LT</t>
  </si>
  <si>
    <t>INE572A01036</t>
  </si>
  <si>
    <t>JBM AUTO LIMITED</t>
  </si>
  <si>
    <t>INE927D01044</t>
  </si>
  <si>
    <t>JOHNSON CONTROLS-HITACHI AIR CONDITIONING INDIA LTD.</t>
  </si>
  <si>
    <t>INE782A01015</t>
  </si>
  <si>
    <t>JET AIRWAYS (INDIA) LTD</t>
  </si>
  <si>
    <t>INE802G01018</t>
  </si>
  <si>
    <t>JET FREIGHT LOGISTICS LIMITED</t>
  </si>
  <si>
    <t>INE982V01025</t>
  </si>
  <si>
    <t>JHS SVENDGAARD LABORATORIES LTD.</t>
  </si>
  <si>
    <t>INE544H01014</t>
  </si>
  <si>
    <t>JINDAL PHOTO LIMITED</t>
  </si>
  <si>
    <t>INE796G01012</t>
  </si>
  <si>
    <t>JINDAL POLY FILMS LTD.</t>
  </si>
  <si>
    <t>INE197D01010</t>
  </si>
  <si>
    <t>JINDAL SAW LTD.</t>
  </si>
  <si>
    <t>INE324A01024</t>
  </si>
  <si>
    <t>JINDAL STEEL &amp; POWER LTD</t>
  </si>
  <si>
    <t>INE749A01030</t>
  </si>
  <si>
    <t>JINDAL DRILLING &amp; INDUSTRIES LTD.,</t>
  </si>
  <si>
    <t>INE742C01031</t>
  </si>
  <si>
    <t>JINDAL WORLDWIDE LTD.</t>
  </si>
  <si>
    <t>INE247D01039</t>
  </si>
  <si>
    <t>JIO FINANCIAL SERVICES LIMITED</t>
  </si>
  <si>
    <t>INE758E01017</t>
  </si>
  <si>
    <t>JAIN IRRIGATION SYSTEMS LTD.,</t>
  </si>
  <si>
    <t>INE175A01038</t>
  </si>
  <si>
    <t>INE863T01013</t>
  </si>
  <si>
    <t>INE823G01014</t>
  </si>
  <si>
    <t>J. KUMAR INFRAPROJECTS LIMITED</t>
  </si>
  <si>
    <t>INE576I01022</t>
  </si>
  <si>
    <t>JK LAKSHMI CEMENT LIMITED</t>
  </si>
  <si>
    <t>INE786A01032</t>
  </si>
  <si>
    <t>JK PAPER LTD.</t>
  </si>
  <si>
    <t>INE789E01012</t>
  </si>
  <si>
    <t>JK TYRE &amp; INDUSTRIES LTD.</t>
  </si>
  <si>
    <t>INE573A01042</t>
  </si>
  <si>
    <t>JUPITER LIFE LINE HOSPITALS LIMITED</t>
  </si>
  <si>
    <t>INE682M01012</t>
  </si>
  <si>
    <t>JULLUNDUR MOTOR AGENCY (DELHI) LTD.</t>
  </si>
  <si>
    <t>INE412C01023</t>
  </si>
  <si>
    <t>JM FINANCIAL LIMITED</t>
  </si>
  <si>
    <t>INE780C01023</t>
  </si>
  <si>
    <t>JOCIL LTD.</t>
  </si>
  <si>
    <t>INE839G01010</t>
  </si>
  <si>
    <t>JAIPRAKASH ASSOCIATES LIMITED</t>
  </si>
  <si>
    <t>INE455F01025</t>
  </si>
  <si>
    <t>INE147P01019</t>
  </si>
  <si>
    <t>JAIPRAKASH POWER VENTURES LIMITED</t>
  </si>
  <si>
    <t>INE351F01018</t>
  </si>
  <si>
    <t>JINDAL STAINLESS LIMITED</t>
  </si>
  <si>
    <t>INE220G01021</t>
  </si>
  <si>
    <t>JSW ENERGY LIMITED</t>
  </si>
  <si>
    <t>INE121E01018</t>
  </si>
  <si>
    <t>JSW HOLDINGS LIMITED</t>
  </si>
  <si>
    <t>INE824G01012</t>
  </si>
  <si>
    <t>JSW INFRASTRUCTURE LIMITED</t>
  </si>
  <si>
    <t>INE880J01026</t>
  </si>
  <si>
    <t>JSW STEEL LIMITED</t>
  </si>
  <si>
    <t>INE019A01038</t>
  </si>
  <si>
    <t>JTEKT INDIA LIMITED</t>
  </si>
  <si>
    <t>INE643A01035</t>
  </si>
  <si>
    <t>INE391J01024</t>
  </si>
  <si>
    <t>JUBILANT FOODWORKS LIMITED</t>
  </si>
  <si>
    <t>INE797F01020</t>
  </si>
  <si>
    <t>JUBILANT INDUSTRIES LIMITED</t>
  </si>
  <si>
    <t>INE645L01011</t>
  </si>
  <si>
    <t>JUBILANT INGREVIA LIMITED</t>
  </si>
  <si>
    <t>INE0BY001018</t>
  </si>
  <si>
    <t>INE700A01033</t>
  </si>
  <si>
    <t>JUST DIAL LIMITED</t>
  </si>
  <si>
    <t>INE599M01018</t>
  </si>
  <si>
    <t>INE209L01016</t>
  </si>
  <si>
    <t>INE668F01031</t>
  </si>
  <si>
    <t>JYOTI STRUCTURES LTD.,</t>
  </si>
  <si>
    <t>INE197A01024</t>
  </si>
  <si>
    <t>KABRA EXTRUSION TECHNIK LTD</t>
  </si>
  <si>
    <t>INE900B01029</t>
  </si>
  <si>
    <t>KAJARIA CERAMICS LTD</t>
  </si>
  <si>
    <t>INE217B01036</t>
  </si>
  <si>
    <t>KAKATIYA CEMENT SUGAR &amp; INDUSTRIES LTD.</t>
  </si>
  <si>
    <t>INE437B01014</t>
  </si>
  <si>
    <t>SAI SILKS (KALAMANDIR) LIMITED</t>
  </si>
  <si>
    <t>INE438K01021</t>
  </si>
  <si>
    <t>KALYANI COMMERCIALS LTD.</t>
  </si>
  <si>
    <t>INE610E01010</t>
  </si>
  <si>
    <t>KALYANI FORGE LTD.</t>
  </si>
  <si>
    <t>INE314G01014</t>
  </si>
  <si>
    <t>KALYAN JEWELLERS INDIA LIMITED</t>
  </si>
  <si>
    <t>INE303R01014</t>
  </si>
  <si>
    <t>KAMAT HOTELS (INDIA) LTD.</t>
  </si>
  <si>
    <t>INE967C01018</t>
  </si>
  <si>
    <t>KAMDHENU LIMITED</t>
  </si>
  <si>
    <t>INE390H01012</t>
  </si>
  <si>
    <t>KAMDHENU VENTURES LIMITED</t>
  </si>
  <si>
    <t>INE0BTI01029</t>
  </si>
  <si>
    <t>KANANI INDUSTRIES LTD</t>
  </si>
  <si>
    <t>INE879E01037</t>
  </si>
  <si>
    <t>KANORIA CHEMICALS &amp; INDUSTRIES LTD.</t>
  </si>
  <si>
    <t>INE138C01024</t>
  </si>
  <si>
    <t>KANPUR PLASTIPACK LIMITED</t>
  </si>
  <si>
    <t>INE694E01014</t>
  </si>
  <si>
    <t>KANSAI NEROLAC PAINTS</t>
  </si>
  <si>
    <t>INE531A01024</t>
  </si>
  <si>
    <t>KAPSTON SERVICES LTD.</t>
  </si>
  <si>
    <t>INE542Z01010</t>
  </si>
  <si>
    <t>KARMA ENERGY LIMITED</t>
  </si>
  <si>
    <t>INE725L01011</t>
  </si>
  <si>
    <t>KARUR VYSYA BANK LTD.</t>
  </si>
  <si>
    <t>INE036D01028</t>
  </si>
  <si>
    <t>KAUSHALYA INFRASTRUCTURE DEVELOPMENT CORPORATION LTD</t>
  </si>
  <si>
    <t>INE234I01010</t>
  </si>
  <si>
    <t>INE641C01019</t>
  </si>
  <si>
    <t>KAYA LIMITED</t>
  </si>
  <si>
    <t>INE587G01015</t>
  </si>
  <si>
    <t>INE918Z01012</t>
  </si>
  <si>
    <t>INE278R01034</t>
  </si>
  <si>
    <t>INE805C01028</t>
  </si>
  <si>
    <t>INE790B01024</t>
  </si>
  <si>
    <t>KDDL LTD</t>
  </si>
  <si>
    <t>INE291D01011</t>
  </si>
  <si>
    <t>KEC INTERNATIONAL LTD.</t>
  </si>
  <si>
    <t>INE389H01022</t>
  </si>
  <si>
    <t>INE134B01017</t>
  </si>
  <si>
    <t>INE055C01020</t>
  </si>
  <si>
    <t>KEI INDUSTRIES LTD.</t>
  </si>
  <si>
    <t>INE878B01027</t>
  </si>
  <si>
    <t>KELLTON TECH SOLUTIONS LTD.</t>
  </si>
  <si>
    <t>INE164B01022</t>
  </si>
  <si>
    <t>KERNEX MICROSYSTEMS (INDIA) LTD.</t>
  </si>
  <si>
    <t>INE202H01019</t>
  </si>
  <si>
    <t>KESORAM INDUSTRIES LTD</t>
  </si>
  <si>
    <t>INE087A01019</t>
  </si>
  <si>
    <t>INE681C01015</t>
  </si>
  <si>
    <t>KEYFINSER</t>
  </si>
  <si>
    <t>KFIN TECHNOLOGIES LIMITED</t>
  </si>
  <si>
    <t>INE138Y01010</t>
  </si>
  <si>
    <t>KHADIM INDIA LIMITED</t>
  </si>
  <si>
    <t>INE834I01025</t>
  </si>
  <si>
    <t>KHAITAN CHEMICALS &amp; FERTILIZERS LTD</t>
  </si>
  <si>
    <t>INE745B01028</t>
  </si>
  <si>
    <t>KHAITAN (INDIA) LTD.</t>
  </si>
  <si>
    <t>INE731C01018</t>
  </si>
  <si>
    <t>KHANDWALA SECURITIES LTD.</t>
  </si>
  <si>
    <t>INE060B01014</t>
  </si>
  <si>
    <t>KALYANI INVESTMENT COMPANY LIMITED</t>
  </si>
  <si>
    <t>INE029L01018</t>
  </si>
  <si>
    <t>KILITCH DRUGS (I) LTD.</t>
  </si>
  <si>
    <t>INE729D01010</t>
  </si>
  <si>
    <t>KRISHNA INSTITUTE OF MEDICAL SCIENCES LIMITED</t>
  </si>
  <si>
    <t>INE967H01017</t>
  </si>
  <si>
    <t>KINGFA SCIENCE &amp; TECHNOLOGY (INDIA) LTD</t>
  </si>
  <si>
    <t>INE473D01015</t>
  </si>
  <si>
    <t>KIOCL LIMITED</t>
  </si>
  <si>
    <t>INE880L01014</t>
  </si>
  <si>
    <t>INE415I01015</t>
  </si>
  <si>
    <t>KIRLOSKAR BROTHERS LTD.,</t>
  </si>
  <si>
    <t>INE732A01036</t>
  </si>
  <si>
    <t>KIRLOSKAR OIL ENGINES LIMITED</t>
  </si>
  <si>
    <t>INE146L01010</t>
  </si>
  <si>
    <t>KIRLOSKAR INDUSTRIES LTD</t>
  </si>
  <si>
    <t>INE250A01039</t>
  </si>
  <si>
    <t>KIRLOSKAR PNEUMATIC CO.LTD.</t>
  </si>
  <si>
    <t>INE811A01020</t>
  </si>
  <si>
    <t>KITEX GARMENETS LTD.</t>
  </si>
  <si>
    <t>INE602G01020</t>
  </si>
  <si>
    <t>KEWAL KIRAN CLOTHING LTD.</t>
  </si>
  <si>
    <t>INE401H01017</t>
  </si>
  <si>
    <t>K. M. SUGAR MILLS LTD.</t>
  </si>
  <si>
    <t>INE157H01023</t>
  </si>
  <si>
    <t>KNR CONSTRUCTIONS LIMITED</t>
  </si>
  <si>
    <t>INE634I01029</t>
  </si>
  <si>
    <t>KOHINOOR FOODS LTD</t>
  </si>
  <si>
    <t>INE080B01012</t>
  </si>
  <si>
    <t>KOKUYO CAMLIN LTD</t>
  </si>
  <si>
    <t>INE760A01029</t>
  </si>
  <si>
    <t>KOLTE-PATIL DEVELOPERS LTD</t>
  </si>
  <si>
    <t>INE094I01018</t>
  </si>
  <si>
    <t>KOPRAN LTD.,</t>
  </si>
  <si>
    <t>INE082A01010</t>
  </si>
  <si>
    <t>KOTAK MAHINDRA BANK LTD.</t>
  </si>
  <si>
    <t>INE237A01028</t>
  </si>
  <si>
    <t>KOTHARI SUGARS &amp; CHEMICALS LTD.</t>
  </si>
  <si>
    <t>INE419A01022</t>
  </si>
  <si>
    <t>KOTHARI PETROCHEM LTD.</t>
  </si>
  <si>
    <t>INE720A01015</t>
  </si>
  <si>
    <t>KOTHARI PRODUCTS LTD.</t>
  </si>
  <si>
    <t>INE823A01017</t>
  </si>
  <si>
    <t>KPI GREEN ENERGY LIMITED</t>
  </si>
  <si>
    <t>INE542W01017</t>
  </si>
  <si>
    <t>INE220B01022</t>
  </si>
  <si>
    <t>KPIT TECHNOLOGIES LTD</t>
  </si>
  <si>
    <t>INE04I401011</t>
  </si>
  <si>
    <t>K.P.R. MILL LTD.</t>
  </si>
  <si>
    <t>INE930H01031</t>
  </si>
  <si>
    <t>KRBL LTD.</t>
  </si>
  <si>
    <t>INE001B01026</t>
  </si>
  <si>
    <t>KREBS BIOCHEMICALS &amp; INDUSTRIES LTD.</t>
  </si>
  <si>
    <t>INE268B01013</t>
  </si>
  <si>
    <t>KRIDHAN INFRA LIMITED</t>
  </si>
  <si>
    <t>INE524L01026</t>
  </si>
  <si>
    <t>KRIINFRA</t>
  </si>
  <si>
    <t>KRISHANA PHOSCHEM LTD.</t>
  </si>
  <si>
    <t>INE506W01012</t>
  </si>
  <si>
    <t>KRITI INDUSTRIES (INDIA) LTD.</t>
  </si>
  <si>
    <t>INE479D01038</t>
  </si>
  <si>
    <t>KRITIIND</t>
  </si>
  <si>
    <t>KRITIKA WIRES LTD.</t>
  </si>
  <si>
    <t>INE00Z501029</t>
  </si>
  <si>
    <t>KRITI NUTRIENTS LTD</t>
  </si>
  <si>
    <t>INE798K01010</t>
  </si>
  <si>
    <t>KRSNAA DIAGNOSTICS LIMITED</t>
  </si>
  <si>
    <t>INE08LI01020</t>
  </si>
  <si>
    <t>INE999A01015</t>
  </si>
  <si>
    <t>KAVERI SEED COMPANY LTD</t>
  </si>
  <si>
    <t>INE455I01029</t>
  </si>
  <si>
    <t>KSHITIJ POLYLINE LTD.</t>
  </si>
  <si>
    <t>INE013801027</t>
  </si>
  <si>
    <t>KALYANI STEELS LTD</t>
  </si>
  <si>
    <t>INE907A01026</t>
  </si>
  <si>
    <t>KSOLVES INDIA LIMITED</t>
  </si>
  <si>
    <t>INE0D6I01015</t>
  </si>
  <si>
    <t>KARNATAKA BANK LTD.</t>
  </si>
  <si>
    <t>INE614B01018</t>
  </si>
  <si>
    <t>KUANTUM PAPERS LIMITED</t>
  </si>
  <si>
    <t>INE529I01021</t>
  </si>
  <si>
    <t>INE498L01015</t>
  </si>
  <si>
    <t>LAGNAM SPINTEX LTD.</t>
  </si>
  <si>
    <t>INE548Z01017</t>
  </si>
  <si>
    <t>LAKSHMI PRECISION SCREWS LTD.,</t>
  </si>
  <si>
    <t>INE651C01018</t>
  </si>
  <si>
    <t>INE740X01015</t>
  </si>
  <si>
    <t>DR. LAL PATHLABS LIMITED</t>
  </si>
  <si>
    <t>INE600L01024</t>
  </si>
  <si>
    <t>LAMBODHARA TEXTILES LTD.</t>
  </si>
  <si>
    <t>INE112F01022</t>
  </si>
  <si>
    <t>INE559R01029</t>
  </si>
  <si>
    <t>LA OPALA RG LTD.</t>
  </si>
  <si>
    <t>INE059D01020</t>
  </si>
  <si>
    <t>LASA SUPERGENERICS LIMITED</t>
  </si>
  <si>
    <t>INE670X01014</t>
  </si>
  <si>
    <t>LATENT VIEW ANALYTICS LIMITED</t>
  </si>
  <si>
    <t>INE0I7C01011</t>
  </si>
  <si>
    <t>LATTEYS INDUSTRIES LTD.</t>
  </si>
  <si>
    <t>INE262Z01023</t>
  </si>
  <si>
    <t>LAURUS LABS LIMITED</t>
  </si>
  <si>
    <t>INE947Q01028</t>
  </si>
  <si>
    <t>LAXMI COTSPIN LTD.</t>
  </si>
  <si>
    <t>INE801V01019</t>
  </si>
  <si>
    <t>LAKSHMI MACHINE WORKS LTD.,</t>
  </si>
  <si>
    <t>INE269B01029</t>
  </si>
  <si>
    <t>LCC INFOTECH LTD.</t>
  </si>
  <si>
    <t>INE938A01021</t>
  </si>
  <si>
    <t>LEMON TREE HOTELS LIMITED</t>
  </si>
  <si>
    <t>INE970X01018</t>
  </si>
  <si>
    <t>LEXUS GRANITO (INDIA) LTD.</t>
  </si>
  <si>
    <t>INE500X01013</t>
  </si>
  <si>
    <t>LAKSHMI FINANCE &amp; INDUSTRIAL CORPORATION LTD.</t>
  </si>
  <si>
    <t>INE850E01012</t>
  </si>
  <si>
    <t>L.G.BALKRISHNAN &amp; BROS. LTD.</t>
  </si>
  <si>
    <t>INE337A01034</t>
  </si>
  <si>
    <t>LGB FORGE LIMITED</t>
  </si>
  <si>
    <t>INE201J01017</t>
  </si>
  <si>
    <t>LAXMI GOLDORNA HOUSE LTD.</t>
  </si>
  <si>
    <t>INE258Y01016</t>
  </si>
  <si>
    <t>LIBAS CONSUMER PRODUCTS LTD.</t>
  </si>
  <si>
    <t>INE908V01012</t>
  </si>
  <si>
    <t>LIBERTY SHOES LTD.</t>
  </si>
  <si>
    <t>INE557B01019</t>
  </si>
  <si>
    <t>LIC HOUSING FINANCE LTD.</t>
  </si>
  <si>
    <t>INE115A01026</t>
  </si>
  <si>
    <t>INE0J1Y01017</t>
  </si>
  <si>
    <t>LIKHITHA INFRASTRUCTURE LIMITED</t>
  </si>
  <si>
    <t>INE060901027</t>
  </si>
  <si>
    <t>INE802B01019</t>
  </si>
  <si>
    <t>LINCOLN PHARMACEUTICALS LTD.</t>
  </si>
  <si>
    <t>INE405C01035</t>
  </si>
  <si>
    <t>LINCOPH</t>
  </si>
  <si>
    <t>LINDE INDIA LIMITED</t>
  </si>
  <si>
    <t>INE473A01011</t>
  </si>
  <si>
    <t>INE093R01011</t>
  </si>
  <si>
    <t>LLOYDS METALS AND ENERGY LIMITED</t>
  </si>
  <si>
    <t>INE281B01032</t>
  </si>
  <si>
    <t>MACROTECH DEVELOPERS LIMITED</t>
  </si>
  <si>
    <t>INE670K01029</t>
  </si>
  <si>
    <t>LOKESH MACHINES LIMITED</t>
  </si>
  <si>
    <t>INE397H01017</t>
  </si>
  <si>
    <t>LORDS CHLORO ALKALI LTD</t>
  </si>
  <si>
    <t>INE846D01012</t>
  </si>
  <si>
    <t>LOTUS EYE HOSPITAL AND INSTITUTE LIMITED</t>
  </si>
  <si>
    <t>INE947I01017</t>
  </si>
  <si>
    <t>LEHIL</t>
  </si>
  <si>
    <t>LOVABLE LINGERIE LIMITED</t>
  </si>
  <si>
    <t>INE597L01014</t>
  </si>
  <si>
    <t>LOYAL TEXTILES MILLS LTD</t>
  </si>
  <si>
    <t>INE970D01010</t>
  </si>
  <si>
    <t>LANDMARK PROPERTY DEVELOPMENT COMPANY LTD.</t>
  </si>
  <si>
    <t>INE197J01017</t>
  </si>
  <si>
    <t>LARSEN &amp; TOUBRO LIMITED</t>
  </si>
  <si>
    <t>INE018A01030</t>
  </si>
  <si>
    <t>LT FOODS LIMITED</t>
  </si>
  <si>
    <t>INE818H01020</t>
  </si>
  <si>
    <t>LTIMINDTREE LIMITED</t>
  </si>
  <si>
    <t>INE214T01019</t>
  </si>
  <si>
    <t>L&amp;T TECHNOLOGY SERVICES LIMITED</t>
  </si>
  <si>
    <t>INE010V01017</t>
  </si>
  <si>
    <t>LUMAX INDUSTRIES LTD.,</t>
  </si>
  <si>
    <t>INE162B01018</t>
  </si>
  <si>
    <t>LUMAX AUTO TECHNOLOGIES LTD.</t>
  </si>
  <si>
    <t>INE872H01027</t>
  </si>
  <si>
    <t>LUPIN LTD</t>
  </si>
  <si>
    <t>INE326A01037</t>
  </si>
  <si>
    <t>LUX INDUSTRIES LIMITED</t>
  </si>
  <si>
    <t>INE150G01020</t>
  </si>
  <si>
    <t>LAXMI ORGANIC INDUSTRIES LIMITED</t>
  </si>
  <si>
    <t>INE576O01020</t>
  </si>
  <si>
    <t>LYKA LABS LTD.,</t>
  </si>
  <si>
    <t>INE933A01014</t>
  </si>
  <si>
    <t>LYPSA GEMS &amp; JEWELLERY LIMITED</t>
  </si>
  <si>
    <t>INE142K01011</t>
  </si>
  <si>
    <t>MAHINDRA &amp; MAHINDRA LTD.</t>
  </si>
  <si>
    <t>INE101A01026</t>
  </si>
  <si>
    <t>MAHINDRA &amp; MAHINDRA FINANCIAL SERVICES LIMITED</t>
  </si>
  <si>
    <t>INE774D01024</t>
  </si>
  <si>
    <t>INE215I01027</t>
  </si>
  <si>
    <t>MACPOWER CNC MACHINES LTD.</t>
  </si>
  <si>
    <t>INE155Z01011</t>
  </si>
  <si>
    <t>MADHAV MARBLES &amp; GRANITES LTD.,</t>
  </si>
  <si>
    <t>INE925C01016</t>
  </si>
  <si>
    <t>MADHUCON PROJECTS LTD.</t>
  </si>
  <si>
    <t>INE378D01032</t>
  </si>
  <si>
    <t>MADRAS FERTILIZERS LTD</t>
  </si>
  <si>
    <t>INE414A01015</t>
  </si>
  <si>
    <t>MAGADH SUGAR &amp; ENERGY LIMITED</t>
  </si>
  <si>
    <t>INE347W01011</t>
  </si>
  <si>
    <t>MAGADHSUGAR</t>
  </si>
  <si>
    <t>INE387I01016</t>
  </si>
  <si>
    <t>BANK OF MAHARASHTRA</t>
  </si>
  <si>
    <t>INE457A01014</t>
  </si>
  <si>
    <t>MAHA RASHTRA APEX CORPORATION LTD</t>
  </si>
  <si>
    <t>INE843B01013</t>
  </si>
  <si>
    <t>MAHAMAYA STEEL INDUSTRIES LIMITED</t>
  </si>
  <si>
    <t>INE451L01014</t>
  </si>
  <si>
    <t>INE215D01010</t>
  </si>
  <si>
    <t>MAHESHWARI LOGISTICS LTD.</t>
  </si>
  <si>
    <t>INE263W01010</t>
  </si>
  <si>
    <t>MAHINDRA LIFESPACE DEVELOPERS LTD.</t>
  </si>
  <si>
    <t>INE813A01018</t>
  </si>
  <si>
    <t>MAHINDRA LOGISTICS LIMITED</t>
  </si>
  <si>
    <t>INE766P01016</t>
  </si>
  <si>
    <t>MAHARASHTRA SCOOTERS LTD.,</t>
  </si>
  <si>
    <t>INE288A01013</t>
  </si>
  <si>
    <t>MAHARASHTRA SEAMLESS LTD.</t>
  </si>
  <si>
    <t>INE271B01025</t>
  </si>
  <si>
    <t>MAITHAN ALLOYS LIMITED</t>
  </si>
  <si>
    <t>INE683C01011</t>
  </si>
  <si>
    <t>INE389C01015</t>
  </si>
  <si>
    <t>MALU PAPER MILLS LIMITED</t>
  </si>
  <si>
    <t>INE383H01017</t>
  </si>
  <si>
    <t>MANAKSIA ALUMINIUM COMPANY LTD</t>
  </si>
  <si>
    <t>INE859Q01017</t>
  </si>
  <si>
    <t>MNKALCOLTD</t>
  </si>
  <si>
    <t>MANAKSIA COATED METALS &amp; INDUSTRIES LTD</t>
  </si>
  <si>
    <t>INE830Q01018</t>
  </si>
  <si>
    <t>MNKCMILTD</t>
  </si>
  <si>
    <t>INE015D01022</t>
  </si>
  <si>
    <t>MANAKSIA STEELS LIMITED</t>
  </si>
  <si>
    <t>INE824Q01011</t>
  </si>
  <si>
    <t>MANAKSTELTD</t>
  </si>
  <si>
    <t>MANALI PETROCHEMICALS LTD.,</t>
  </si>
  <si>
    <t>INE201A01024</t>
  </si>
  <si>
    <t>MANAPPURAM FINANCE LIMITED</t>
  </si>
  <si>
    <t>INE522D01027</t>
  </si>
  <si>
    <t>MANGALAM DRUGS AND ORGANICS LTD.</t>
  </si>
  <si>
    <t>INE584F01014</t>
  </si>
  <si>
    <t>MANGALORE CHEMICALS &amp; FERTILISERS L</t>
  </si>
  <si>
    <t>INE558B01017</t>
  </si>
  <si>
    <t>MANGALAM CEMENT LTD.,</t>
  </si>
  <si>
    <t>INE347A01017</t>
  </si>
  <si>
    <t>MAN INDUSTRIES (INDIA) LTD</t>
  </si>
  <si>
    <t>INE993A01026</t>
  </si>
  <si>
    <t>INE949H01023</t>
  </si>
  <si>
    <t xml:space="preserve"> MANINFRA</t>
  </si>
  <si>
    <t>MANKIND PHARMA LIMITED</t>
  </si>
  <si>
    <t>INE634S01028</t>
  </si>
  <si>
    <t>MANOMAY TEX INDIA LIMITED</t>
  </si>
  <si>
    <t>INE784W01015</t>
  </si>
  <si>
    <t>MANORAMA INDUSTRIES LIMITED</t>
  </si>
  <si>
    <t>INE00VM01010</t>
  </si>
  <si>
    <t>MANGALAM ORGANICS LIMITED</t>
  </si>
  <si>
    <t>INE370D01013</t>
  </si>
  <si>
    <t>MANUGRAPH INDIA LTD</t>
  </si>
  <si>
    <t>INE867A01022</t>
  </si>
  <si>
    <t>VEDANT FASHIONS LIMITED</t>
  </si>
  <si>
    <t>INE825V01034</t>
  </si>
  <si>
    <t>C.E. INFO SYSTEMS LIMITED</t>
  </si>
  <si>
    <t>INE0BV301023</t>
  </si>
  <si>
    <t>MARAL OVERSEAS LTD.</t>
  </si>
  <si>
    <t>INE882A01013</t>
  </si>
  <si>
    <t>MARATHON NEXTGEN REALTY LTD</t>
  </si>
  <si>
    <t>INE182D01020</t>
  </si>
  <si>
    <t>MARICO LIMITED</t>
  </si>
  <si>
    <t>INE196A01026</t>
  </si>
  <si>
    <t>MARINE ELECTRICALS (INDIA) LTD.</t>
  </si>
  <si>
    <t>INE01JE01028</t>
  </si>
  <si>
    <t>MARKSANS PHARMA LTD.</t>
  </si>
  <si>
    <t>INE750C01026</t>
  </si>
  <si>
    <t>MARSHALL MACHINES LTD.</t>
  </si>
  <si>
    <t>INE00SZ01018</t>
  </si>
  <si>
    <t>MARUTI SUZUKI INDIA  LTD.</t>
  </si>
  <si>
    <t>INE585B01010</t>
  </si>
  <si>
    <t>MAS FINANCIAL SERVICES LIMITED</t>
  </si>
  <si>
    <t>INE348L01012</t>
  </si>
  <si>
    <t>MASK INVESTMENTS LTD.</t>
  </si>
  <si>
    <t>INE885F01015</t>
  </si>
  <si>
    <t>MASTEK LIMITED</t>
  </si>
  <si>
    <t>INE759A01021</t>
  </si>
  <si>
    <t>MATRIMONY.COM LIMITED</t>
  </si>
  <si>
    <t>INE866R01028</t>
  </si>
  <si>
    <t>MAWANA SUGARS LTD</t>
  </si>
  <si>
    <t>INE636A01039</t>
  </si>
  <si>
    <t>MAX ESTATES LIMITED</t>
  </si>
  <si>
    <t>INE03EI01018</t>
  </si>
  <si>
    <t>MAX HEALTHCARE INSTITUTE LIMITED</t>
  </si>
  <si>
    <t>INE027H01010</t>
  </si>
  <si>
    <t xml:space="preserve"> MAX INDIA LIMITED</t>
  </si>
  <si>
    <t>INE0CG601016</t>
  </si>
  <si>
    <t>MAXINDIA</t>
  </si>
  <si>
    <t>MAYUR UNIQUOTERS LTD.</t>
  </si>
  <si>
    <t>INE040D01038</t>
  </si>
  <si>
    <t>MAZDA LTD.</t>
  </si>
  <si>
    <t>INE885E01034</t>
  </si>
  <si>
    <t>MAZDALTD</t>
  </si>
  <si>
    <t>MAZAGON DOCK SHIPBUILDERS LIMITED</t>
  </si>
  <si>
    <t>INE249Z01012</t>
  </si>
  <si>
    <t>MADHYA BHARAT AGRO PRODUCTS LTD.</t>
  </si>
  <si>
    <t>INE900L01010</t>
  </si>
  <si>
    <t>MCNALLY BHARAT ENGINEERING COMPANY LIMITED</t>
  </si>
  <si>
    <t>INE748A01016</t>
  </si>
  <si>
    <t>MBL INFRASTRUCTURE LTD</t>
  </si>
  <si>
    <t>INE912H01013</t>
  </si>
  <si>
    <t>UNITED SPIRITS LIMITED</t>
  </si>
  <si>
    <t>INE854D01024</t>
  </si>
  <si>
    <t>UNITDSPR</t>
  </si>
  <si>
    <t>MADHAV COPPER LTD.</t>
  </si>
  <si>
    <t>INE813V01022</t>
  </si>
  <si>
    <t>MCLEOD RUSSEL INDIA LIMITED</t>
  </si>
  <si>
    <t>INE942G01012</t>
  </si>
  <si>
    <t>GLOBAL HEALTH LIMITED</t>
  </si>
  <si>
    <t>INE474Q01031</t>
  </si>
  <si>
    <t>MEDICAMEN BIOTECH LTD.</t>
  </si>
  <si>
    <t>INE646B01010</t>
  </si>
  <si>
    <t>INE630Y01024</t>
  </si>
  <si>
    <t>MEDPLUS HEALTH SERVICES LIMITED</t>
  </si>
  <si>
    <t>INE804L01022</t>
  </si>
  <si>
    <t>MEGASOFT LTD.</t>
  </si>
  <si>
    <t>INE933B01012</t>
  </si>
  <si>
    <t>MEGASTAR FOODS LIMITED</t>
  </si>
  <si>
    <t>INE00EM01016</t>
  </si>
  <si>
    <t>MELSTAR INFORMATION TECHNOLOGIES LTD.</t>
  </si>
  <si>
    <t>INE817A01019</t>
  </si>
  <si>
    <t>MENON BEARINGS LTD</t>
  </si>
  <si>
    <t>INE071D01033</t>
  </si>
  <si>
    <t>MEP INFRASTRUCTURE DEVELOPERS LIMITED</t>
  </si>
  <si>
    <t>INE776I01010</t>
  </si>
  <si>
    <t>METALYST FORGINGS LIMITED</t>
  </si>
  <si>
    <t>INE425A01011</t>
  </si>
  <si>
    <t>METRO BRANDS LIMITED</t>
  </si>
  <si>
    <t>INE317I01021</t>
  </si>
  <si>
    <t>METROPOLIS HEALTHCARE LIMITED</t>
  </si>
  <si>
    <t>INE112L01020</t>
  </si>
  <si>
    <t>MAX FINANCIAL SERVICES LIMITED</t>
  </si>
  <si>
    <t>INE180A01020</t>
  </si>
  <si>
    <t>MANGALAM GLOBAL ENTERPRISE LTD.</t>
  </si>
  <si>
    <t>INE0APB01024</t>
  </si>
  <si>
    <t>MAHANAGAR GAS LIMITED</t>
  </si>
  <si>
    <t>INE002S01010</t>
  </si>
  <si>
    <t>MAHALAXMI RUBTECH LTD.</t>
  </si>
  <si>
    <t>INE112D01035</t>
  </si>
  <si>
    <t>MAHINDRA HOLIDAYS &amp; RESORTS INDIA LIMITED</t>
  </si>
  <si>
    <t>INE998I01010</t>
  </si>
  <si>
    <t>MIC ELECTRONICS LIMITED</t>
  </si>
  <si>
    <t>INE287C01037</t>
  </si>
  <si>
    <t>MIC</t>
  </si>
  <si>
    <t>MISHRA DHATU NIGAM LIMITED</t>
  </si>
  <si>
    <t>INE099Z01011</t>
  </si>
  <si>
    <t>MINDA CORPORATION LIMITED</t>
  </si>
  <si>
    <t>INE842C01021</t>
  </si>
  <si>
    <t>MINDTECK (INDIA) LTD</t>
  </si>
  <si>
    <t>INE110B01017</t>
  </si>
  <si>
    <t>MIRC ELECTRONICS LTD</t>
  </si>
  <si>
    <t>INE831A01028</t>
  </si>
  <si>
    <t>MIRZA INTERNATIONAL  LIMITED</t>
  </si>
  <si>
    <t>INE771A01026</t>
  </si>
  <si>
    <t>MITCON CONSULTANCY &amp; ENGINEERING SERVICES LTD.</t>
  </si>
  <si>
    <t>INE828O01033</t>
  </si>
  <si>
    <t>MITTAL LIFE STYLE LTD.</t>
  </si>
  <si>
    <t>INE997Y01027</t>
  </si>
  <si>
    <t>M.K.PROTEINS LIMITED</t>
  </si>
  <si>
    <t>INE964W01021</t>
  </si>
  <si>
    <t>M.M.FORGINGS LTD.</t>
  </si>
  <si>
    <t>INE227C01017</t>
  </si>
  <si>
    <t>MMP INDUSTRIES LTD.</t>
  </si>
  <si>
    <t>INE511Y01018</t>
  </si>
  <si>
    <t>MMTC LTD.,</t>
  </si>
  <si>
    <t>INE123F01029</t>
  </si>
  <si>
    <t>MODI RUBBER LTD.,</t>
  </si>
  <si>
    <t>INE832A01018</t>
  </si>
  <si>
    <t>INE737D01021</t>
  </si>
  <si>
    <t>MOHIT INDUSTRIES LIMITED</t>
  </si>
  <si>
    <t>INE954E01012</t>
  </si>
  <si>
    <t>MOIL LIMITED</t>
  </si>
  <si>
    <t>INE490G01020</t>
  </si>
  <si>
    <t>MOKSH ORNAMENTS LTD.</t>
  </si>
  <si>
    <t>INE514Y01020</t>
  </si>
  <si>
    <t>MEGHMANI ORGANICS LIMITED</t>
  </si>
  <si>
    <t>INE0CT101020</t>
  </si>
  <si>
    <t>MOLD-TEK TECHNOLOGIES LTD</t>
  </si>
  <si>
    <t>INE835B01035</t>
  </si>
  <si>
    <t>MOLDTEK</t>
  </si>
  <si>
    <t>MOLD-TEK PACKAGING LIMITED</t>
  </si>
  <si>
    <t>INE893J01029</t>
  </si>
  <si>
    <t>MONARCH NETWORTH CAPITAL LIMITED</t>
  </si>
  <si>
    <t>INE903D01011</t>
  </si>
  <si>
    <t>MONTE CARLO FASHIONS LIMITED</t>
  </si>
  <si>
    <t>INE950M01013</t>
  </si>
  <si>
    <t>MORARJEE TEXTILES LIMITED</t>
  </si>
  <si>
    <t>INE161G01027</t>
  </si>
  <si>
    <t>MOREPEN LABORATORIES LTD.</t>
  </si>
  <si>
    <t>INE083A01026</t>
  </si>
  <si>
    <t>SAMVARDHANA MOTHERSON INTERNATIONAL LIMITED</t>
  </si>
  <si>
    <t>INE775A01035</t>
  </si>
  <si>
    <t>MOTILAL OSWAL FINANCIAL SERVICES LIMITED</t>
  </si>
  <si>
    <t>INE338I01027</t>
  </si>
  <si>
    <t>MOTISONS JEWELLERS LIMITED</t>
  </si>
  <si>
    <t>INE0FRK01012</t>
  </si>
  <si>
    <t>MOTISONS</t>
  </si>
  <si>
    <t>MOTOR &amp; GENERAL FINANCE (M.G.F.) LT</t>
  </si>
  <si>
    <t>INE861B01023</t>
  </si>
  <si>
    <t>MPHASIS LIMITED</t>
  </si>
  <si>
    <t>INE356A01018</t>
  </si>
  <si>
    <t>MPS LIMITED</t>
  </si>
  <si>
    <t>INE943D01017</t>
  </si>
  <si>
    <t>M.R.F. LTD.,</t>
  </si>
  <si>
    <t>INE883A01011</t>
  </si>
  <si>
    <t>MRO-TEK REALTY LIMITED</t>
  </si>
  <si>
    <t>INE398B01018</t>
  </si>
  <si>
    <t>MANGALORE REFINERY &amp; PETROCHEMICALS</t>
  </si>
  <si>
    <t>INE103A01014</t>
  </si>
  <si>
    <t>INE752G01015</t>
  </si>
  <si>
    <t>MSTC LIMITED</t>
  </si>
  <si>
    <t>INE255X01014</t>
  </si>
  <si>
    <t>MSTC</t>
  </si>
  <si>
    <t>MOTHERSON SUMI WIRING INDIA LIMITED</t>
  </si>
  <si>
    <t>INE0FS801015</t>
  </si>
  <si>
    <t xml:space="preserve"> Mid Cap</t>
  </si>
  <si>
    <t>MTAR TECHNOLOGIES LIMITED</t>
  </si>
  <si>
    <t>INE864I01014</t>
  </si>
  <si>
    <t xml:space="preserve">MTARTECH </t>
  </si>
  <si>
    <t>INE472M01018</t>
  </si>
  <si>
    <t>MAHANAGAR TELEPHONE NIGAM LTD.</t>
  </si>
  <si>
    <t>INE153A01019</t>
  </si>
  <si>
    <t>INE08KJ01020</t>
  </si>
  <si>
    <t>CREDO BRANDS MARKETING LIMITED</t>
  </si>
  <si>
    <t>INE220Q01020</t>
  </si>
  <si>
    <t>MUFTI</t>
  </si>
  <si>
    <t>MUKAND LTD.,</t>
  </si>
  <si>
    <t>INE304A01026</t>
  </si>
  <si>
    <t>MUKTA ARTS LTD.</t>
  </si>
  <si>
    <t>INE374B01019</t>
  </si>
  <si>
    <t>MUNJAL AUTO INDUSTRIES LTD.</t>
  </si>
  <si>
    <t>INE672B01032</t>
  </si>
  <si>
    <t>MUNJAL SHOWA LTD.,</t>
  </si>
  <si>
    <t>INE577A01027</t>
  </si>
  <si>
    <t>MURUDESHWAR CERAMICS LTD.,</t>
  </si>
  <si>
    <t>INE692B01014</t>
  </si>
  <si>
    <t>MUTHOOT CAPITAL SERVICES LTD.</t>
  </si>
  <si>
    <t>INE296G01013</t>
  </si>
  <si>
    <t>MUTHTFN</t>
  </si>
  <si>
    <t>INE414G01012</t>
  </si>
  <si>
    <t>MUTHOOT MICROFIN LIMITED</t>
  </si>
  <si>
    <t>INE046W01019</t>
  </si>
  <si>
    <t>MUTHOOTMF</t>
  </si>
  <si>
    <t>MANOJ VAIBHAV GEMS 'N' JEWELLERS LIMITED</t>
  </si>
  <si>
    <t>INE0KNT01012</t>
  </si>
  <si>
    <t>NACL INDUSTRIES LIMITED</t>
  </si>
  <si>
    <t>INE295D01020</t>
  </si>
  <si>
    <t>INE454M01024</t>
  </si>
  <si>
    <t>NAGARFERT</t>
  </si>
  <si>
    <t>NAGREEKA CAPITAL &amp; INFRASTRUCTURE LIMITED</t>
  </si>
  <si>
    <t>INE245I01016</t>
  </si>
  <si>
    <t>NAGREEKA EXPORTS LTD.</t>
  </si>
  <si>
    <t>INE123B01028</t>
  </si>
  <si>
    <t>NAHAR CAPITAL &amp; FINANCIAL SERVICES LTD.</t>
  </si>
  <si>
    <t>INE049I01012</t>
  </si>
  <si>
    <t>NAHAR INDUSTRIAL ENTERPRISES LTD</t>
  </si>
  <si>
    <t>INE289A01011</t>
  </si>
  <si>
    <t>NAHAR POLYFILMS LTD.</t>
  </si>
  <si>
    <t>INE308A01027</t>
  </si>
  <si>
    <t>NAHAR SPINNING MILLS LTD.,</t>
  </si>
  <si>
    <t>INE290A01027</t>
  </si>
  <si>
    <t>INE298J01013</t>
  </si>
  <si>
    <t>NARMADA AGROBASE LIMITED</t>
  </si>
  <si>
    <t>INE117Z01011</t>
  </si>
  <si>
    <t>NATCO PHARMA LTD.</t>
  </si>
  <si>
    <t>INE987B01026</t>
  </si>
  <si>
    <t>NATH BIOGENE INDIA LTD.</t>
  </si>
  <si>
    <t>INE448G01010</t>
  </si>
  <si>
    <t>NATIONAL ALUMINIUM CO. LTD.,</t>
  </si>
  <si>
    <t>INE139A01034</t>
  </si>
  <si>
    <t>INFO EDGE(INDIA) LTD.</t>
  </si>
  <si>
    <t>INE663F01024</t>
  </si>
  <si>
    <t>INE725A01022</t>
  </si>
  <si>
    <t>NAVIN FLUORINE INTERNATIONAL LIMITED</t>
  </si>
  <si>
    <t>INE048G01026</t>
  </si>
  <si>
    <t>NAVKAR CORPORATION LIMITED</t>
  </si>
  <si>
    <t>INE278M01019</t>
  </si>
  <si>
    <t>NAVNEET EDUCATION LIMITED</t>
  </si>
  <si>
    <t>INE060A01024</t>
  </si>
  <si>
    <t>NAZARA TECHNOLOGIES LIMITED</t>
  </si>
  <si>
    <t>INE418L01021</t>
  </si>
  <si>
    <t>NBCC (INDIA) LIMITED</t>
  </si>
  <si>
    <t>INE095N01031</t>
  </si>
  <si>
    <t>N. B. I. INDUSTRIAL FINANCE COMPANY LTD.</t>
  </si>
  <si>
    <t>INE365I01020</t>
  </si>
  <si>
    <t>NCC LIMITED</t>
  </si>
  <si>
    <t>INE868B01028</t>
  </si>
  <si>
    <t>NCL INDUSTRIES LIMITED,</t>
  </si>
  <si>
    <t>INE732C01016</t>
  </si>
  <si>
    <t>NAGA DHUNSERI GROUP LTD.</t>
  </si>
  <si>
    <t>INE756C01015</t>
  </si>
  <si>
    <t>NANDAN DENIM LIMITED</t>
  </si>
  <si>
    <t>INE875G01030</t>
  </si>
  <si>
    <t>NDL VENTURES LIMITED</t>
  </si>
  <si>
    <t>INE353A01023</t>
  </si>
  <si>
    <t>NDR AUTO COMPONENTS LIMITED</t>
  </si>
  <si>
    <t>INE07OG01012</t>
  </si>
  <si>
    <t>NEW DELHI TELEVISION LIMITED</t>
  </si>
  <si>
    <t>INE155G01029</t>
  </si>
  <si>
    <t>NORTH EASTERN CARRYING CORPORATION LIMITED</t>
  </si>
  <si>
    <t>INE553C01016</t>
  </si>
  <si>
    <t>NECTAR LIFESCIENCES LIMITED</t>
  </si>
  <si>
    <t>INE023H01027</t>
  </si>
  <si>
    <t>NELCAST LIMITED</t>
  </si>
  <si>
    <t>INE189I01024</t>
  </si>
  <si>
    <t>NELCO LTD</t>
  </si>
  <si>
    <t>INE045B01015</t>
  </si>
  <si>
    <t>NEOGEN CHEMICALS LIMITED</t>
  </si>
  <si>
    <t>INE136S01016</t>
  </si>
  <si>
    <t>NESCO LTD</t>
  </si>
  <si>
    <t>INE317F01035</t>
  </si>
  <si>
    <t>NESTLE INDIA LTD.</t>
  </si>
  <si>
    <t>INE239A01016</t>
  </si>
  <si>
    <t>NETWEB TECHNOLOGIES INDIA LIMITED</t>
  </si>
  <si>
    <t>INE0NT901020</t>
  </si>
  <si>
    <t>NETWORK 18 MEDIA &amp; INVESTMENTS LIMITED</t>
  </si>
  <si>
    <t>INE870H01013</t>
  </si>
  <si>
    <t>NEULAND LABORATORIES LIMITED.</t>
  </si>
  <si>
    <t>INE794A01010</t>
  </si>
  <si>
    <t>NEWGEN SOFTWARE TECHNOLOGIES LIMITED</t>
  </si>
  <si>
    <t>INE619B01017</t>
  </si>
  <si>
    <t>NEXT MEDIAWORKS LTD</t>
  </si>
  <si>
    <t>INE747B01016</t>
  </si>
  <si>
    <t>NATIONAL FERTILIZERS LTD.,</t>
  </si>
  <si>
    <t>INE870D01012</t>
  </si>
  <si>
    <t>INE236Y01012</t>
  </si>
  <si>
    <t>NGL FINE CHEM LTD.</t>
  </si>
  <si>
    <t>INE887E01022</t>
  </si>
  <si>
    <t>NARAYANA HRUDAYALAYA LIMITED</t>
  </si>
  <si>
    <t>INE410P01011</t>
  </si>
  <si>
    <t>NHPC LIMITED</t>
  </si>
  <si>
    <t>INE848E01016</t>
  </si>
  <si>
    <t>THE NEW INDIA ASSURANCE COMPANY LIMITED</t>
  </si>
  <si>
    <t>INE470Y01017</t>
  </si>
  <si>
    <t>INE047O01014</t>
  </si>
  <si>
    <t>NIIT LTD.,</t>
  </si>
  <si>
    <t>INE161A01038</t>
  </si>
  <si>
    <t>NIIT LEARNING SYSTEMS LIMITED</t>
  </si>
  <si>
    <t>INE342G01023</t>
  </si>
  <si>
    <t>NILA INFRASTRUCTURES LTD</t>
  </si>
  <si>
    <t>INE937C01029</t>
  </si>
  <si>
    <t>NILA</t>
  </si>
  <si>
    <t>NILA SPACES LTD</t>
  </si>
  <si>
    <t>INE00S901012</t>
  </si>
  <si>
    <t>NILKAMAL LIMITED</t>
  </si>
  <si>
    <t>INE310A01015</t>
  </si>
  <si>
    <t>NINTEC SYSTEMS LIMITED</t>
  </si>
  <si>
    <t>INE395U01014</t>
  </si>
  <si>
    <t>INDO NATIONAL LIMITED</t>
  </si>
  <si>
    <t>INE567A01028</t>
  </si>
  <si>
    <t>NIRAJ CEMENT STRUCTURALS LIMITED</t>
  </si>
  <si>
    <t>INE368I01016</t>
  </si>
  <si>
    <t>NIRAJ ISPAT INDUSTRIES LTD.</t>
  </si>
  <si>
    <t>INE326T01011</t>
  </si>
  <si>
    <t>NITCO LTD.</t>
  </si>
  <si>
    <t>INE858F01012</t>
  </si>
  <si>
    <t>NITIN SPINNERS LTD.</t>
  </si>
  <si>
    <t>INE229H01012</t>
  </si>
  <si>
    <t>NITIRAJ ENGINEERS LTD.</t>
  </si>
  <si>
    <t>INE439T01012</t>
  </si>
  <si>
    <t>N.K.INDUSTRIES LTD.</t>
  </si>
  <si>
    <t>INE542C01019</t>
  </si>
  <si>
    <t>NLC INDIA LIMITED</t>
  </si>
  <si>
    <t>INE589A01014</t>
  </si>
  <si>
    <t>NMDC LTD</t>
  </si>
  <si>
    <t>INE584A01023</t>
  </si>
  <si>
    <t>NOCIL LTD</t>
  </si>
  <si>
    <t>INE163A01018</t>
  </si>
  <si>
    <t>NOIDA TOLL BRIDGE COMPANY LTD</t>
  </si>
  <si>
    <t>INE781B01015</t>
  </si>
  <si>
    <t>NORBEN TEA &amp; EXPORTS LTD</t>
  </si>
  <si>
    <t>INE369C01017</t>
  </si>
  <si>
    <t>N.R.AGARWAL INDUSTRIES LTD.</t>
  </si>
  <si>
    <t>INE740D01017</t>
  </si>
  <si>
    <t>NRAGRINDQ</t>
  </si>
  <si>
    <t>NRB BEARINGS LTD.</t>
  </si>
  <si>
    <t>INE349A01021</t>
  </si>
  <si>
    <t>NUPUR RECYCLERS LTD.</t>
  </si>
  <si>
    <t>INE0JM501013</t>
  </si>
  <si>
    <t>NALWA SONS INVESTMENT LTD</t>
  </si>
  <si>
    <t>INE023A01030</t>
  </si>
  <si>
    <t>NMDC STEEL LIMITED</t>
  </si>
  <si>
    <t>INE0NNS01018</t>
  </si>
  <si>
    <t>NTPC LIMITED</t>
  </si>
  <si>
    <t>INE733E01010</t>
  </si>
  <si>
    <t>NUCLEUS SOFTWARE EXPORTS LTD</t>
  </si>
  <si>
    <t>INE096B01018</t>
  </si>
  <si>
    <t>NURECA LIMITED</t>
  </si>
  <si>
    <t>INE0DSF01015</t>
  </si>
  <si>
    <t>NUVAMA WEALTH MANAGEMENT LIMITED</t>
  </si>
  <si>
    <t>INE531F01015</t>
  </si>
  <si>
    <t>NUVOCO VISTAS CORPORATION LIMITED</t>
  </si>
  <si>
    <t>INE118D01016</t>
  </si>
  <si>
    <t>FSN E-COMMERCE VENTURES LIMITED</t>
  </si>
  <si>
    <t>INE388Y01029</t>
  </si>
  <si>
    <t>INE959C01023</t>
  </si>
  <si>
    <t>ORISSA BENGAL CARRIER LIMITED</t>
  </si>
  <si>
    <t>INE426Z01016</t>
  </si>
  <si>
    <t>INE093I01010</t>
  </si>
  <si>
    <t>ORIENTAL CARBON &amp; CHEMICALS LTD.,</t>
  </si>
  <si>
    <t>INE321D01016</t>
  </si>
  <si>
    <t>ORIENTCQ</t>
  </si>
  <si>
    <t>ORACLE FINANCIAL SERVICES SOFTWARE LIMITED</t>
  </si>
  <si>
    <t>INE881D01027</t>
  </si>
  <si>
    <t>OIL INDIA LIMITED</t>
  </si>
  <si>
    <t>INE274J01014</t>
  </si>
  <si>
    <t>OIL COUNTRY TUBULAR LTD.</t>
  </si>
  <si>
    <t>INE591A01010</t>
  </si>
  <si>
    <t>INE260D01016</t>
  </si>
  <si>
    <t>OMAX AUTOS LTD.,</t>
  </si>
  <si>
    <t>INE090B01011</t>
  </si>
  <si>
    <t>INE800H01010</t>
  </si>
  <si>
    <t>INE239D01028</t>
  </si>
  <si>
    <t>INE474L01016</t>
  </si>
  <si>
    <t>ONELIFE CAPITAL ADVISORS LTD</t>
  </si>
  <si>
    <t>INE912L01015</t>
  </si>
  <si>
    <t>ONE POINT ONE SOLUTIONS LTD.</t>
  </si>
  <si>
    <t>INE840Y01029</t>
  </si>
  <si>
    <t>OIL AND NATURAL GAS CORPORATION LTD</t>
  </si>
  <si>
    <t>INE213A01029</t>
  </si>
  <si>
    <t>ONMOBILE GLOBAL LTD.</t>
  </si>
  <si>
    <t>INE809I01019</t>
  </si>
  <si>
    <t>ONWARD TECHNOLOGIES LTD.</t>
  </si>
  <si>
    <t>INE229A01017</t>
  </si>
  <si>
    <t>OPTIEMUS INFRACOM LIMITED</t>
  </si>
  <si>
    <t>INE350C01017</t>
  </si>
  <si>
    <t>ORBIT EXPORTS LTD.</t>
  </si>
  <si>
    <t>INE231G01010</t>
  </si>
  <si>
    <t>ORCHID PHARMA LIMITED</t>
  </si>
  <si>
    <t>INE191A01027</t>
  </si>
  <si>
    <t>ORCHIDPHAR</t>
  </si>
  <si>
    <t>ORICON ENTERPRISES LTD.</t>
  </si>
  <si>
    <t>INE730A01022</t>
  </si>
  <si>
    <t>ORICON</t>
  </si>
  <si>
    <t>ORIENTAL TRIMEX LIMITED</t>
  </si>
  <si>
    <t>INE998H01012</t>
  </si>
  <si>
    <t>ORIENT BELL LIMITED</t>
  </si>
  <si>
    <t>INE607D01018</t>
  </si>
  <si>
    <t>INE876N01018</t>
  </si>
  <si>
    <t>INE569C01020</t>
  </si>
  <si>
    <t>ORIENT ELECTRIC LIMITED</t>
  </si>
  <si>
    <t>INE142Z01019</t>
  </si>
  <si>
    <t>ORIENTAL HOTELS LTD.,</t>
  </si>
  <si>
    <t>INE750A01020</t>
  </si>
  <si>
    <t>ORIENT PRESS LTD.</t>
  </si>
  <si>
    <t>INE609C01024</t>
  </si>
  <si>
    <t>ORIENT PAPER &amp; INDUSTRIES LTD.</t>
  </si>
  <si>
    <t>INE592A01026</t>
  </si>
  <si>
    <t>ORISSA MINERALS DEVELOPMENT COMPANY LIMITED</t>
  </si>
  <si>
    <t>INE725E01024</t>
  </si>
  <si>
    <t>ORTEL COMMUNICATIONS LIMITED</t>
  </si>
  <si>
    <t>INE849L01019</t>
  </si>
  <si>
    <t>ORTIN LABORATORIES LIMITED</t>
  </si>
  <si>
    <t>INE749B01020</t>
  </si>
  <si>
    <t>ORTINLAABS</t>
  </si>
  <si>
    <t>OSIA HYPER RETAIL LTD.</t>
  </si>
  <si>
    <t>INE06IR01021</t>
  </si>
  <si>
    <t>OSWAL AGRO MILLS LTD.,</t>
  </si>
  <si>
    <t>INE142A01012</t>
  </si>
  <si>
    <t>OSWAL GREENTECH LIMITED</t>
  </si>
  <si>
    <t>INE143A01010</t>
  </si>
  <si>
    <t>SHREEOSWAL SEEDS AND CHEMICALS LTD.</t>
  </si>
  <si>
    <t>INE00IK01029</t>
  </si>
  <si>
    <t>PAGE INDUSTRIES LTD.</t>
  </si>
  <si>
    <t>INE761H01022</t>
  </si>
  <si>
    <t>INE420C01059</t>
  </si>
  <si>
    <t>INE551D01018</t>
  </si>
  <si>
    <t>PALASH SECURITIES LIMITED</t>
  </si>
  <si>
    <t>INE471W01019</t>
  </si>
  <si>
    <t>PALASHSEC</t>
  </si>
  <si>
    <t>PALRED TECHNOLOGIES LIMITED</t>
  </si>
  <si>
    <t>INE218G01033</t>
  </si>
  <si>
    <t>PALRED</t>
  </si>
  <si>
    <t>PANACEA BIOTEC LTD.</t>
  </si>
  <si>
    <t>INE922B01023</t>
  </si>
  <si>
    <t>PANACHE DIGILIFE LTD.</t>
  </si>
  <si>
    <t>INE895W01019</t>
  </si>
  <si>
    <t>PANAMA PETROCHEM LTD.</t>
  </si>
  <si>
    <t>INE305C01029</t>
  </si>
  <si>
    <t>PANSARI DEVELOPERS LTD.</t>
  </si>
  <si>
    <t>INE697V01011</t>
  </si>
  <si>
    <t>PAR DRUGS AND CHEMICALS LTD.</t>
  </si>
  <si>
    <t>INE04LG01015</t>
  </si>
  <si>
    <t>PARAMOUNT COMMUNICATIONS LTD.</t>
  </si>
  <si>
    <t>INE074B01023</t>
  </si>
  <si>
    <t>PARADEEP PHOSPHATES LIMITED</t>
  </si>
  <si>
    <t>INE088F01024</t>
  </si>
  <si>
    <t>PARAG MILK FOODS LIMITED</t>
  </si>
  <si>
    <t>INE883N01014</t>
  </si>
  <si>
    <t>PARAS DEFENCE AND SPACE TECHNOLOGIES LIMITED</t>
  </si>
  <si>
    <t>INE045601015</t>
  </si>
  <si>
    <t>PARAS PETROFILS LTD.</t>
  </si>
  <si>
    <t>INE162C01024</t>
  </si>
  <si>
    <t>PARSVNATH DEVELOPERS LTD.</t>
  </si>
  <si>
    <t>INE561H01026</t>
  </si>
  <si>
    <t>PASUPATI ACRYLON LTD.</t>
  </si>
  <si>
    <t>INE818B01023</t>
  </si>
  <si>
    <t>PATANJALI FOODS LIMITED</t>
  </si>
  <si>
    <t>INE619A01035</t>
  </si>
  <si>
    <t>PATEL ENGINEERING LTD</t>
  </si>
  <si>
    <t>INE244B01030</t>
  </si>
  <si>
    <t>PATEL INTEGRATED LOGISTICS LTD</t>
  </si>
  <si>
    <t>INE529D01014</t>
  </si>
  <si>
    <t>PAVNA INDUSTRIES LIMITED</t>
  </si>
  <si>
    <t>INE07S101020</t>
  </si>
  <si>
    <t>ONE 97 COMMUNICATIONS LIMITED</t>
  </si>
  <si>
    <t>INE982J01020</t>
  </si>
  <si>
    <t>INE602A01031</t>
  </si>
  <si>
    <t>INE785M01013</t>
  </si>
  <si>
    <t>PUDUMJEE PAPER PRODUCTS LIMITED</t>
  </si>
  <si>
    <t>INE865T01018</t>
  </si>
  <si>
    <t>INE111Q01021</t>
  </si>
  <si>
    <t>PEARL POLYMERS LTD.</t>
  </si>
  <si>
    <t>INE844A01013</t>
  </si>
  <si>
    <t>PIRAMAL ENTERPRISES LIMITED</t>
  </si>
  <si>
    <t>INE140A01024</t>
  </si>
  <si>
    <t>PENNAR INDUSTRIES LTD.,</t>
  </si>
  <si>
    <t>INE932A01024</t>
  </si>
  <si>
    <t>PENINSULA LAND LIMITED</t>
  </si>
  <si>
    <t>INE138A01028</t>
  </si>
  <si>
    <t>PERSISTENT SYSTEMS LIMITED</t>
  </si>
  <si>
    <t>INE262H01013</t>
  </si>
  <si>
    <t>INE347G01014</t>
  </si>
  <si>
    <t>POWER FINANCE CORPORATION LTD</t>
  </si>
  <si>
    <t>INE134E01011</t>
  </si>
  <si>
    <t>PFIZER LTD.,</t>
  </si>
  <si>
    <t>INE182A01018</t>
  </si>
  <si>
    <t>PRIME FOCUS LIMITED</t>
  </si>
  <si>
    <t>INE367G01038</t>
  </si>
  <si>
    <t>PTC INDIA FINANCIAL SERVICES LIMITED</t>
  </si>
  <si>
    <t>INE560K01014</t>
  </si>
  <si>
    <t>PG ELECTROPLAST LIMITED</t>
  </si>
  <si>
    <t>INE457L01011</t>
  </si>
  <si>
    <t>PROCTER &amp; GAMBLE HYGIENE &amp; HEALTH CARE LTD.</t>
  </si>
  <si>
    <t>INE179A01014</t>
  </si>
  <si>
    <t>INE199A01012</t>
  </si>
  <si>
    <t>PEARL GLOBAL INDUSTRIES LIMITED</t>
  </si>
  <si>
    <t>INE940H01014</t>
  </si>
  <si>
    <t>THE PHOENIX MILLS LTD.,</t>
  </si>
  <si>
    <t>INE211B01039</t>
  </si>
  <si>
    <t>PIDILITE INDUSTRIES LTD.</t>
  </si>
  <si>
    <t>INE318A01026</t>
  </si>
  <si>
    <t>POWER &amp; INSTRUMENTATION (GUJARAT) LIMITED</t>
  </si>
  <si>
    <t>INE557Z01018</t>
  </si>
  <si>
    <t>PI INDUSTRIES LIMITED</t>
  </si>
  <si>
    <t>INE603J01030</t>
  </si>
  <si>
    <t>PILANI INVESTMENT AND INDUSTRIES CORPORATION LIMITED</t>
  </si>
  <si>
    <t>INE417C01014</t>
  </si>
  <si>
    <t>INE600A01035</t>
  </si>
  <si>
    <t>PIONEER EMBROIDERIES LTD.</t>
  </si>
  <si>
    <t>INE156C01018</t>
  </si>
  <si>
    <t>INE450D01021</t>
  </si>
  <si>
    <t>PIX TRANSMISSIONS LTD.,</t>
  </si>
  <si>
    <t>INE751B01018</t>
  </si>
  <si>
    <t>THE PERIA KARAMALAI TEA &amp; PRODUCE COMPANY LTD.</t>
  </si>
  <si>
    <t>INE431F01018</t>
  </si>
  <si>
    <t>PLASTIBLENDS INDIA LTD.</t>
  </si>
  <si>
    <t>INE083C01022</t>
  </si>
  <si>
    <t>PLAZA WIRES LIMITED</t>
  </si>
  <si>
    <t>INE0INJ01017</t>
  </si>
  <si>
    <t>PUNJAB NATIONAL BANK</t>
  </si>
  <si>
    <t>INE160A01022</t>
  </si>
  <si>
    <t>PNB GILTS LTD</t>
  </si>
  <si>
    <t>INE859A01011</t>
  </si>
  <si>
    <t>PNB HOUSING FINANCE LIMITED</t>
  </si>
  <si>
    <t>INE572E01012</t>
  </si>
  <si>
    <t>PRITISH NANDY COMMUNICATIONS LTD</t>
  </si>
  <si>
    <t>INE392B01011</t>
  </si>
  <si>
    <t>PNC INFRATECH LIMITED</t>
  </si>
  <si>
    <t>INE195J01029</t>
  </si>
  <si>
    <t>PONDY OXIDES &amp; CHEMICALS LIMITED</t>
  </si>
  <si>
    <t>INE063E01046</t>
  </si>
  <si>
    <t>PODDAR HOUSING AND DEVELOPMENT LIMITED</t>
  </si>
  <si>
    <t>INE888B01018</t>
  </si>
  <si>
    <t>PODDAR</t>
  </si>
  <si>
    <t>PODDAR PIGMENTS LTD.</t>
  </si>
  <si>
    <t>INE371C01013</t>
  </si>
  <si>
    <t>PODARPIGQ</t>
  </si>
  <si>
    <t>POKARNA LTD.</t>
  </si>
  <si>
    <t>INE637C01025</t>
  </si>
  <si>
    <t>PB FINTECH LIMITED</t>
  </si>
  <si>
    <t>INE417T01026</t>
  </si>
  <si>
    <t>POLYCAB INDIA LIMITED</t>
  </si>
  <si>
    <t>INE455K01017</t>
  </si>
  <si>
    <t>POLY MEDICURE LTD</t>
  </si>
  <si>
    <t>INE205C01021</t>
  </si>
  <si>
    <t>POLYPLEX CORPORATION LTD.,</t>
  </si>
  <si>
    <t>INE633B01018</t>
  </si>
  <si>
    <t>PONNI SUGARS (ERODE) LTD.</t>
  </si>
  <si>
    <t>INE838E01017</t>
  </si>
  <si>
    <t>INE511C01022</t>
  </si>
  <si>
    <t>INE752E01010</t>
  </si>
  <si>
    <t>INE07Y701011</t>
  </si>
  <si>
    <t>POWER MECH PROJECTS LIMITED</t>
  </si>
  <si>
    <t>INE211R01019</t>
  </si>
  <si>
    <t>PPAP AUTOMOTIVE LIMITED</t>
  </si>
  <si>
    <t>INE095I01015</t>
  </si>
  <si>
    <t>PRAKASH PIPES LIMITED</t>
  </si>
  <si>
    <t>INE050001010</t>
  </si>
  <si>
    <t>INE0DK501011</t>
  </si>
  <si>
    <t>PRAJAY ENGINEERS SYNDICATE LTD.</t>
  </si>
  <si>
    <t>INE505C01016</t>
  </si>
  <si>
    <t>PRAJ INDUSTRIES LTD.</t>
  </si>
  <si>
    <t>INE074A01025</t>
  </si>
  <si>
    <t>PRAKASH INDUSTRIES LTD.,</t>
  </si>
  <si>
    <t>INE603A01013</t>
  </si>
  <si>
    <t>PRAKASH STEELAGE LIMITED</t>
  </si>
  <si>
    <t>INE696K01024</t>
  </si>
  <si>
    <t xml:space="preserve">PRAXIS HOME RETAIL LIMITED </t>
  </si>
  <si>
    <t>INE546Y01022</t>
  </si>
  <si>
    <t>PRECISION CAMSHAFTS LIMITED</t>
  </si>
  <si>
    <t>INE484I01029</t>
  </si>
  <si>
    <t>PRECOT LTD.</t>
  </si>
  <si>
    <t>INE283A01014</t>
  </si>
  <si>
    <t>PRECISION WIRES INDIA LTD.,</t>
  </si>
  <si>
    <t>INE372C01037</t>
  </si>
  <si>
    <t>PREMIER EXPLOSIVES LTD.</t>
  </si>
  <si>
    <t>INE863B01011</t>
  </si>
  <si>
    <t>PREMEXPLQ</t>
  </si>
  <si>
    <t>PREMIER LIMITED</t>
  </si>
  <si>
    <t>INE342A01018</t>
  </si>
  <si>
    <t>PREMIER POLYFILM LTD.</t>
  </si>
  <si>
    <t>INE309M01012</t>
  </si>
  <si>
    <t>PRESTIGE ESTATES PROJECTS LIMITED</t>
  </si>
  <si>
    <t>INE811K01011</t>
  </si>
  <si>
    <t>PRICOL LIMITED</t>
  </si>
  <si>
    <t>INE726V01018</t>
  </si>
  <si>
    <t>PRIME SECURITIES LTD.</t>
  </si>
  <si>
    <t>INE032B01021</t>
  </si>
  <si>
    <t>PRINCE PIPES AND FITTINGS LIMITED</t>
  </si>
  <si>
    <t>INE689W01016</t>
  </si>
  <si>
    <t>PRITI INTERNATIONAL LTD.</t>
  </si>
  <si>
    <t>INE974Z01015</t>
  </si>
  <si>
    <t>PRITIKA AUTO INDUSTRIES LIMITED</t>
  </si>
  <si>
    <t>INE583R01029</t>
  </si>
  <si>
    <t>INE959A01019</t>
  </si>
  <si>
    <t>PROZONE REALTY LIMITED</t>
  </si>
  <si>
    <t>INE195N01013</t>
  </si>
  <si>
    <t>INE010A01011</t>
  </si>
  <si>
    <t>PRUDENT CORPORATE ADVISORY SERVICES LIMITED</t>
  </si>
  <si>
    <t>INE00F201020</t>
  </si>
  <si>
    <t>PRUDENTIAL SUGAR CORPORATION LTD</t>
  </si>
  <si>
    <t>INE024D01016</t>
  </si>
  <si>
    <t>PRUDMOULI</t>
  </si>
  <si>
    <t>INE608A01012</t>
  </si>
  <si>
    <t>PSP PROJECTS LIMITED</t>
  </si>
  <si>
    <t>INE488V01015</t>
  </si>
  <si>
    <t>PTC INDIA LTD</t>
  </si>
  <si>
    <t>INE877F01012</t>
  </si>
  <si>
    <t>PTC INDUSTRIES LTD.</t>
  </si>
  <si>
    <t>INE596F01018</t>
  </si>
  <si>
    <t>PTL ENTERPRISES LTD</t>
  </si>
  <si>
    <t>INE034D01049</t>
  </si>
  <si>
    <t>PUNJAB CHEMICALS AND CROP PROTECTION LTD.</t>
  </si>
  <si>
    <t>INE277B01014</t>
  </si>
  <si>
    <t>PURAVANKARA LIMITED</t>
  </si>
  <si>
    <t>INE323I01011</t>
  </si>
  <si>
    <t>PVP VENTURES LTD</t>
  </si>
  <si>
    <t>INE362A01016</t>
  </si>
  <si>
    <t>INE191H01014</t>
  </si>
  <si>
    <t>PYRAMID TECHNOPLAST LIMITED</t>
  </si>
  <si>
    <t>INE0MIS01010</t>
  </si>
  <si>
    <t>QUESS CORP LIMITED</t>
  </si>
  <si>
    <t>INE615P01015</t>
  </si>
  <si>
    <t>QUICK HEAL TECHNOLOGIES LIMITED</t>
  </si>
  <si>
    <t>INE306L01010</t>
  </si>
  <si>
    <t>QUINTEGRA SOLUTIONS LIMITED</t>
  </si>
  <si>
    <t>INE033B01011</t>
  </si>
  <si>
    <t>INE084Q01012</t>
  </si>
  <si>
    <t>INE874F01027</t>
  </si>
  <si>
    <t>RADHIKA JEWELTECH LIMITED</t>
  </si>
  <si>
    <t>INE583V01021</t>
  </si>
  <si>
    <t>RADIANT CASH MANAGEMENT SERVICES LIMITED</t>
  </si>
  <si>
    <t>INE855R01021</t>
  </si>
  <si>
    <t>RADICO KHAITAN LTD.</t>
  </si>
  <si>
    <t>INE944F01028</t>
  </si>
  <si>
    <t>MUSIC BROADCAST LIMITED</t>
  </si>
  <si>
    <t>INE919I01024</t>
  </si>
  <si>
    <t>RAILTEL CORPORATION OF INDIA LIMITED</t>
  </si>
  <si>
    <t>INE0DD101019</t>
  </si>
  <si>
    <t>RAIN INDUSTRIES LIMITED</t>
  </si>
  <si>
    <t>INE855B01025</t>
  </si>
  <si>
    <t>RAINBOW CHILDREN'S MEDICARE LIMITED</t>
  </si>
  <si>
    <t>INE961O01016</t>
  </si>
  <si>
    <t>RAJESH EXPORTS LTD.</t>
  </si>
  <si>
    <t>INE343B01030</t>
  </si>
  <si>
    <t>RAJNANDINI METAL LTD.</t>
  </si>
  <si>
    <t>INE00KV01022</t>
  </si>
  <si>
    <t>RAJRATAN GLOBAL WIRE LTD</t>
  </si>
  <si>
    <t>INE451D01029</t>
  </si>
  <si>
    <t>RAJGLOWIR</t>
  </si>
  <si>
    <t>RAJ RAYON INDUSTRIES LIMITED</t>
  </si>
  <si>
    <t>INE533D01032</t>
  </si>
  <si>
    <t>RAJRAYON</t>
  </si>
  <si>
    <t>RAJSHREE SUGARS &amp; CHEMICALS LTD.,</t>
  </si>
  <si>
    <t>INE562B01019</t>
  </si>
  <si>
    <t>RAJ TELEVISION NETWORK LTD</t>
  </si>
  <si>
    <t>INE952H01027</t>
  </si>
  <si>
    <t>RAJVIR INDUSTRIES LIMITED</t>
  </si>
  <si>
    <t>INE011H01014</t>
  </si>
  <si>
    <t>RALLIS INDIA LTD</t>
  </si>
  <si>
    <t>INE613A01020</t>
  </si>
  <si>
    <t>SHREE RAMA NEWSPRINT LIMITED</t>
  </si>
  <si>
    <t>INE278B01020</t>
  </si>
  <si>
    <t>RAMA PHOSPHATES LTD.</t>
  </si>
  <si>
    <t>INE809A01024</t>
  </si>
  <si>
    <t>RAMA STEEL TUBES LIMITED</t>
  </si>
  <si>
    <t>INE230R01035</t>
  </si>
  <si>
    <t>THE RAMCO CEMENTS LIMITED</t>
  </si>
  <si>
    <t>INE331A01037</t>
  </si>
  <si>
    <t>RAMCO INDUSTRIES LTD</t>
  </si>
  <si>
    <t>INE614A01028</t>
  </si>
  <si>
    <t>RAMCO SYSTEMS LTD</t>
  </si>
  <si>
    <t>INE246B01019</t>
  </si>
  <si>
    <t>RAMKY INFRASTRUCTURE LIMITED</t>
  </si>
  <si>
    <t>INE874I01013</t>
  </si>
  <si>
    <t>RAM RATNA WIRES LTD.</t>
  </si>
  <si>
    <t>INE207E01023</t>
  </si>
  <si>
    <t>RANA SUGARS LTD.</t>
  </si>
  <si>
    <t>INE625B01014</t>
  </si>
  <si>
    <t>RANE ENGINE VALVE LIMITED</t>
  </si>
  <si>
    <t>INE222J01013</t>
  </si>
  <si>
    <t>RANE HOLDINGS LTD.</t>
  </si>
  <si>
    <t>INE384A01010</t>
  </si>
  <si>
    <t>RATEGAIN TRAVEL TECHNOLOGIES LIMITED</t>
  </si>
  <si>
    <t>INE0CLI01024</t>
  </si>
  <si>
    <t>RATNAMANI METALS &amp; TUBES LTD</t>
  </si>
  <si>
    <t>INE703B01027</t>
  </si>
  <si>
    <t>RATNAVEER PRECISION ENGINEERING LIMITED</t>
  </si>
  <si>
    <t>INE05CZ01011</t>
  </si>
  <si>
    <t>RAYMOND LIMITED</t>
  </si>
  <si>
    <t>INE301A01014</t>
  </si>
  <si>
    <t>RESTAURANT BRANDS ASIA LIMITED</t>
  </si>
  <si>
    <t>INE07T201019</t>
  </si>
  <si>
    <t>RANE BRAKE LINING LIMITED</t>
  </si>
  <si>
    <t>INE244J01017</t>
  </si>
  <si>
    <t>RBL BANK LIMITED</t>
  </si>
  <si>
    <t>INE976G01028</t>
  </si>
  <si>
    <t>RBZ JEWELLERS LIMITED</t>
  </si>
  <si>
    <t>INE0PEQ01016</t>
  </si>
  <si>
    <t>RBZJEWEL</t>
  </si>
  <si>
    <t>RASHTRIYA CHEMICALS &amp; FERTILIZERS LIMITED</t>
  </si>
  <si>
    <t>INE027A01015</t>
  </si>
  <si>
    <t>RELIANCE COMMUNICATIONS LIMITED</t>
  </si>
  <si>
    <t>INE330H01018</t>
  </si>
  <si>
    <t>INE020B01018</t>
  </si>
  <si>
    <t>REDINGTON LIMITED</t>
  </si>
  <si>
    <t>INE891D01026</t>
  </si>
  <si>
    <t>REDTAPE LIMITED</t>
  </si>
  <si>
    <t>INE0LXT01019</t>
  </si>
  <si>
    <t>REFEX INDUSTRIES LIMITED</t>
  </si>
  <si>
    <t>INE056I01017</t>
  </si>
  <si>
    <t>REGENCY CERAMICS LTD</t>
  </si>
  <si>
    <t>INE277C01012</t>
  </si>
  <si>
    <t>RELAXO FOOTWEARS LTD.</t>
  </si>
  <si>
    <t>INE131B01039</t>
  </si>
  <si>
    <t>RELIANCE CAPITAL LIMITED</t>
  </si>
  <si>
    <t>INE013A01015</t>
  </si>
  <si>
    <t>RELIANCE CHEMOTEX INDUSTRIES LTD.,</t>
  </si>
  <si>
    <t>INE750D01016</t>
  </si>
  <si>
    <t>RELIANCE INDUSTRIES LTD</t>
  </si>
  <si>
    <t>INE002A01018</t>
  </si>
  <si>
    <t>RELIGARE ENTERPRISES LTD</t>
  </si>
  <si>
    <t>INE621H01010</t>
  </si>
  <si>
    <t>RELIANCE INFRASTRUCTURE LTD</t>
  </si>
  <si>
    <t>INE036A01016</t>
  </si>
  <si>
    <t>REMSONS INDUSTRIES LTD.</t>
  </si>
  <si>
    <t>INE474C01015</t>
  </si>
  <si>
    <t>SHREE RENUKA SUGARS LTD.</t>
  </si>
  <si>
    <t>INE087H01022</t>
  </si>
  <si>
    <t>REPCO HOME FINANCE LIMITED</t>
  </si>
  <si>
    <t>INE612J01015</t>
  </si>
  <si>
    <t>RUDRABHISHEK ENTERPRISES LTD.</t>
  </si>
  <si>
    <t>INE364Z01019</t>
  </si>
  <si>
    <t>REPRO INDIA LTD.</t>
  </si>
  <si>
    <t>INE461B01014</t>
  </si>
  <si>
    <t>RESPONSIVE INDUSTRIES LTD</t>
  </si>
  <si>
    <t>INE688D01026</t>
  </si>
  <si>
    <t>INE722H01024</t>
  </si>
  <si>
    <t>RELIANCE HOME FINANCE LIMITED</t>
  </si>
  <si>
    <t>INE217K01011</t>
  </si>
  <si>
    <t>RELHOME</t>
  </si>
  <si>
    <t>INE743M01012</t>
  </si>
  <si>
    <t>INE508K01013</t>
  </si>
  <si>
    <t>RICO AUTO INDUSTRIES LTD.</t>
  </si>
  <si>
    <t>INE209B01025</t>
  </si>
  <si>
    <t>RELIANCE INDUSTRIAL INFRASTRUCTURE</t>
  </si>
  <si>
    <t>INE046A01015</t>
  </si>
  <si>
    <t>RISHABH INSTRUMENTS LIMITED</t>
  </si>
  <si>
    <t>INE0N2P01017</t>
  </si>
  <si>
    <t>RITCO LOGISTICS LIMITED</t>
  </si>
  <si>
    <t>INE01EG01016</t>
  </si>
  <si>
    <t>RITES LIMITED</t>
  </si>
  <si>
    <t>INE320J01015</t>
  </si>
  <si>
    <t>RAVI KUMAR DISTILLERIES LIMITED</t>
  </si>
  <si>
    <t>INE722J01012</t>
  </si>
  <si>
    <t>RKEC PROJECTS LTD.</t>
  </si>
  <si>
    <t>INE786W01010</t>
  </si>
  <si>
    <t>RAMKRISHNA FORGINGS LTD.</t>
  </si>
  <si>
    <t>INE399G01023</t>
  </si>
  <si>
    <t>RANE (MADRAS)  LTD.</t>
  </si>
  <si>
    <t>INE050H01012</t>
  </si>
  <si>
    <t>ROYAL ORCHID HOTELS LTD</t>
  </si>
  <si>
    <t>INE283H01019</t>
  </si>
  <si>
    <t>ROLEX RINGS LIMITED</t>
  </si>
  <si>
    <t>INE645S01016</t>
  </si>
  <si>
    <t>ROLLATAINTERS LTD.,</t>
  </si>
  <si>
    <t>INE927A01040</t>
  </si>
  <si>
    <t>ROLTA INDIA LTD.,</t>
  </si>
  <si>
    <t>INE293A01013</t>
  </si>
  <si>
    <t>INE294G01026</t>
  </si>
  <si>
    <t>RAJOIL</t>
  </si>
  <si>
    <t>INE02A801020</t>
  </si>
  <si>
    <t>ROSSELL INDIA LIMITED</t>
  </si>
  <si>
    <t>INE847C01020</t>
  </si>
  <si>
    <t>ROTO PUMPS LTD.</t>
  </si>
  <si>
    <t>INE535D01029</t>
  </si>
  <si>
    <t>INE450U01017</t>
  </si>
  <si>
    <t>RPG LIFE SCIENCES LIMITED</t>
  </si>
  <si>
    <t>INE105J01010</t>
  </si>
  <si>
    <t>RELIANCE POWER LIMITED</t>
  </si>
  <si>
    <t>INE614G01033</t>
  </si>
  <si>
    <t>INE324L01013</t>
  </si>
  <si>
    <t>RAJSHREE POLYPACK LTD.</t>
  </si>
  <si>
    <t>INE760W01015</t>
  </si>
  <si>
    <t>INE425Y01011</t>
  </si>
  <si>
    <t>R R KABEL LIMITED</t>
  </si>
  <si>
    <t>INE777K01022</t>
  </si>
  <si>
    <t>R S SOFTWARE INDIA LTD.</t>
  </si>
  <si>
    <t>INE165B01029</t>
  </si>
  <si>
    <t>RSWM LIMITED</t>
  </si>
  <si>
    <t>INE611A01016</t>
  </si>
  <si>
    <t>R SYSTEMS INTERNATIONAL LIMITED</t>
  </si>
  <si>
    <t>INE411H01032</t>
  </si>
  <si>
    <t>RSYSTEMINT</t>
  </si>
  <si>
    <t>INE834M01019</t>
  </si>
  <si>
    <t>RATTANINDIA POWER LIMITED</t>
  </si>
  <si>
    <t>INE399K01017</t>
  </si>
  <si>
    <t>RUBY MILLS LTD.,</t>
  </si>
  <si>
    <t>INE301D01026</t>
  </si>
  <si>
    <t>RUCHI INFRASTRUCTURE LTD</t>
  </si>
  <si>
    <t>INE413B01023</t>
  </si>
  <si>
    <t>RUCHIRA PAPERS LTD</t>
  </si>
  <si>
    <t>INE803H01014</t>
  </si>
  <si>
    <t>INE895B01021</t>
  </si>
  <si>
    <t>RUSHIL DECOR LIMITED</t>
  </si>
  <si>
    <t>INE573K01017</t>
  </si>
  <si>
    <t>KEYSTONE REALTORS LIMITED</t>
  </si>
  <si>
    <t>INE263M01029</t>
  </si>
  <si>
    <t>RAVINDER HEIGHTS LIMITED</t>
  </si>
  <si>
    <t>INE09E501017</t>
  </si>
  <si>
    <t>RAIL VIKAS NIGAM LIMITED</t>
  </si>
  <si>
    <t>INE415G01027</t>
  </si>
  <si>
    <t>S &amp; S POWER SWITCHGEARS LTD.,</t>
  </si>
  <si>
    <t>INE902B01017</t>
  </si>
  <si>
    <t>SAB EVENTS &amp; GOVERNANCE NOW MEDIA LIMITED</t>
  </si>
  <si>
    <t>INE860T01019</t>
  </si>
  <si>
    <t>GOVNOW</t>
  </si>
  <si>
    <t>SRI ADHIKARI BROTHERS TELEVISION NE</t>
  </si>
  <si>
    <t>INE416A01036</t>
  </si>
  <si>
    <t>SADBHAV ENGINEERING LTD.</t>
  </si>
  <si>
    <t>INE226H01026</t>
  </si>
  <si>
    <t>SADBHAV INFRASTRUCTURE PROJECT LIMITED</t>
  </si>
  <si>
    <t>INE764L01010</t>
  </si>
  <si>
    <t>SADHANA NITROCHEM LTD.,</t>
  </si>
  <si>
    <t>INE888C01040</t>
  </si>
  <si>
    <t>SAFARI INDUSTRIES (INDIA) LTD.,</t>
  </si>
  <si>
    <t>INE429E01023</t>
  </si>
  <si>
    <t>SAFARIND</t>
  </si>
  <si>
    <t>SAGARDEEP ALLOYS LTD.</t>
  </si>
  <si>
    <t>INE976T01013</t>
  </si>
  <si>
    <t>SAGAR CEMENTS LTD</t>
  </si>
  <si>
    <t>INE229C01021</t>
  </si>
  <si>
    <t>SAH POLYMERS LIMITED</t>
  </si>
  <si>
    <t>INE035801013</t>
  </si>
  <si>
    <t>INE280H01015</t>
  </si>
  <si>
    <t>STEEL AUTHORITY OF INDIA LTD.,</t>
  </si>
  <si>
    <t>INE114A01011</t>
  </si>
  <si>
    <t>SAKAR HEALTHCARE LTD.</t>
  </si>
  <si>
    <t>INE732S01012</t>
  </si>
  <si>
    <t>SAKTHI SUGARS LTD.</t>
  </si>
  <si>
    <t>INE623A01011</t>
  </si>
  <si>
    <t>SAKSOFT LIMITED</t>
  </si>
  <si>
    <t>INE667G01023</t>
  </si>
  <si>
    <t>SAKUMA EXPORTS LTD.</t>
  </si>
  <si>
    <t>INE190H01024</t>
  </si>
  <si>
    <t>SALASAR TECHNO ENGINEERING LIMITED</t>
  </si>
  <si>
    <t>INE170V01027</t>
  </si>
  <si>
    <t>SALONA COTSPIN LTD.</t>
  </si>
  <si>
    <t>INE498E01010</t>
  </si>
  <si>
    <t>SALONACOT</t>
  </si>
  <si>
    <t>S.A.L. STEEL LTD.</t>
  </si>
  <si>
    <t>INE658G01014</t>
  </si>
  <si>
    <t>SALZER ELECTRONICS LTD.,</t>
  </si>
  <si>
    <t>INE457F01013</t>
  </si>
  <si>
    <t>SALZER</t>
  </si>
  <si>
    <t>SAMBHAAV MEDIA LTD.</t>
  </si>
  <si>
    <t>INE699B01027</t>
  </si>
  <si>
    <t>SAMHI HOTELS LIMITED</t>
  </si>
  <si>
    <t>INE08U801020</t>
  </si>
  <si>
    <t>SAMPANN UTPADAN INDIA LIMITED</t>
  </si>
  <si>
    <t>INE735M01018</t>
  </si>
  <si>
    <t>SANCO INDUSTRIES LTD.</t>
  </si>
  <si>
    <t>INE782L01012</t>
  </si>
  <si>
    <t>SANDESH LTD.</t>
  </si>
  <si>
    <t>INE583B01015</t>
  </si>
  <si>
    <t>SANDHAR TECHNOLOGIES LIMITED</t>
  </si>
  <si>
    <t>INE278H01035</t>
  </si>
  <si>
    <t>SANDUR MANGANESE &amp; IRON ORES LTD.,</t>
  </si>
  <si>
    <t>INE149K01016</t>
  </si>
  <si>
    <t>SANGAM (INDIA) LTD</t>
  </si>
  <si>
    <t>INE495C01010</t>
  </si>
  <si>
    <t>SANGHI INDUSTRIES LTD.</t>
  </si>
  <si>
    <t>INE999B01013</t>
  </si>
  <si>
    <t>SANGHVI MOVERS LTD.</t>
  </si>
  <si>
    <t>INE989A01024</t>
  </si>
  <si>
    <t>SANGINITA CHEMICALS LTD.</t>
  </si>
  <si>
    <t>INE753W01010</t>
  </si>
  <si>
    <t>SANOFI INDIA LTD</t>
  </si>
  <si>
    <t>INE058A01010</t>
  </si>
  <si>
    <t>SANSERA ENGINEERING LIMITED</t>
  </si>
  <si>
    <t>INE953O01021</t>
  </si>
  <si>
    <t>INE890C01046</t>
  </si>
  <si>
    <t>SAPPHIRE FOODS INDIA LIMITED</t>
  </si>
  <si>
    <t>INE806T01012</t>
  </si>
  <si>
    <t>SARDA ENERGY &amp; MINERALS LTD</t>
  </si>
  <si>
    <t>INE385C01021</t>
  </si>
  <si>
    <t>SAREGAMA INDIA LTD.</t>
  </si>
  <si>
    <t>INE979A01025</t>
  </si>
  <si>
    <t>SARLA PERFORMANCE FIBERS LTD</t>
  </si>
  <si>
    <t>INE453D01025</t>
  </si>
  <si>
    <t>SARVESHWAR FOODS LIMITED</t>
  </si>
  <si>
    <t>INE324X01026</t>
  </si>
  <si>
    <t>SASKEN TECHNOLOGIES LIMITED</t>
  </si>
  <si>
    <t>INE231F01020</t>
  </si>
  <si>
    <t>SASTASUNDAR VENTURES LIMITED</t>
  </si>
  <si>
    <t>INE019J01013</t>
  </si>
  <si>
    <t>INE170E01023</t>
  </si>
  <si>
    <t>INE836B01017</t>
  </si>
  <si>
    <t>SAT INDUSTRIES LTD</t>
  </si>
  <si>
    <t>INE065D01027</t>
  </si>
  <si>
    <t>INE04AK01028</t>
  </si>
  <si>
    <t>SHIVALIK BIMETAL CONTROLS LTD.,</t>
  </si>
  <si>
    <t>INE386D01027</t>
  </si>
  <si>
    <t>SHBCLQ</t>
  </si>
  <si>
    <t>SBFC FINANCE LIMITED</t>
  </si>
  <si>
    <t>INE423Y01016</t>
  </si>
  <si>
    <t>INE05ST01010</t>
  </si>
  <si>
    <t>INE018E01016</t>
  </si>
  <si>
    <t>SBI LIFE INSURANCE COMPANY LIMITED</t>
  </si>
  <si>
    <t>INE123W01016</t>
  </si>
  <si>
    <t>STATE BANK OF INDIA,</t>
  </si>
  <si>
    <t>INE062A01020</t>
  </si>
  <si>
    <t>SCHAEFFLER INDIA LIMITED</t>
  </si>
  <si>
    <t>INE513A01022</t>
  </si>
  <si>
    <t>S CHAND AND COMPANY LIMITED</t>
  </si>
  <si>
    <t>INE807K01035</t>
  </si>
  <si>
    <t>INE839M01018</t>
  </si>
  <si>
    <t>SHIPPING CORPORATION OF INDIA LTD</t>
  </si>
  <si>
    <t>INE109A01011</t>
  </si>
  <si>
    <t>INE501Y01019</t>
  </si>
  <si>
    <t>SOM DISTILLERIES &amp; BREWERIES LTD.</t>
  </si>
  <si>
    <t>INE480C01020</t>
  </si>
  <si>
    <t>SEAMEC LTD</t>
  </si>
  <si>
    <t>INE497B01018</t>
  </si>
  <si>
    <t>SECMARK CONSULTANCY LIMITED</t>
  </si>
  <si>
    <t>INE0BTM01013</t>
  </si>
  <si>
    <t>SECUR CREDENTIALS LIMITED</t>
  </si>
  <si>
    <t>INE195Y01010</t>
  </si>
  <si>
    <t>INE650K01021</t>
  </si>
  <si>
    <t>INE955I01044</t>
  </si>
  <si>
    <t>SEJAL</t>
  </si>
  <si>
    <t>SELAN EXPLORATION TECHNOLOGY LTD.</t>
  </si>
  <si>
    <t>INE818A01017</t>
  </si>
  <si>
    <t>SEL MANUFACTURING COMPANY LIMITED</t>
  </si>
  <si>
    <t>INE105I01020</t>
  </si>
  <si>
    <t>SELMCL</t>
  </si>
  <si>
    <t>INE617A01013</t>
  </si>
  <si>
    <t>SENCO GOLD LIMITED</t>
  </si>
  <si>
    <t>INE602W01019</t>
  </si>
  <si>
    <t>INE964H01014</t>
  </si>
  <si>
    <t>SEQUENT SCIENTIFIC LIMITED</t>
  </si>
  <si>
    <t>INE807F01027</t>
  </si>
  <si>
    <t>SERVOTECH POWER SYSTEMS LTD.</t>
  </si>
  <si>
    <t>INE782X01033</t>
  </si>
  <si>
    <t>SESHASAYEE PAPER &amp; BOARDS LTD.,</t>
  </si>
  <si>
    <t>INE630A01024</t>
  </si>
  <si>
    <t>SETCO AUTOMOTIVE LIMITED</t>
  </si>
  <si>
    <t>INE878E01021</t>
  </si>
  <si>
    <t>INE023M01027</t>
  </si>
  <si>
    <t>SEYA INDUSTRIES LTD</t>
  </si>
  <si>
    <t>INE573R01012</t>
  </si>
  <si>
    <t>SHEELA FOAM LIMITED</t>
  </si>
  <si>
    <t>INE916U01025</t>
  </si>
  <si>
    <t>SYNERGY GREEN INDUSTRIES LIMITED</t>
  </si>
  <si>
    <t>INE00QT01015</t>
  </si>
  <si>
    <t>STL GLOBAL LTD</t>
  </si>
  <si>
    <t>INE353H01010</t>
  </si>
  <si>
    <t>SHAH METACORP LIMITED</t>
  </si>
  <si>
    <t>INE482J01021</t>
  </si>
  <si>
    <t>SHAH ALLOYS LIMITED</t>
  </si>
  <si>
    <t>INE640C01011</t>
  </si>
  <si>
    <t>SHAILY ENGINEERING PLASTICS LTD.</t>
  </si>
  <si>
    <t>INE151G01028</t>
  </si>
  <si>
    <t>SHAKTI PUMPS (INDIA) LTD.</t>
  </si>
  <si>
    <t>INE908D01010</t>
  </si>
  <si>
    <t>SHALBY LIMITED</t>
  </si>
  <si>
    <t>INE597J01018</t>
  </si>
  <si>
    <t>SHALIMAR PAINTS LTD.</t>
  </si>
  <si>
    <t>INE849C01026</t>
  </si>
  <si>
    <t>SHANKARA BUILDING PRODUCTS LIMITED</t>
  </si>
  <si>
    <t>INE274V01019</t>
  </si>
  <si>
    <t>SHANTI OVERSEAS (INDIA) LTD.</t>
  </si>
  <si>
    <t>INE933X01016</t>
  </si>
  <si>
    <t>SHANTHI GEARS LTD.,</t>
  </si>
  <si>
    <t>INE631A01022</t>
  </si>
  <si>
    <t>SHARDA CROPCHEM LIMITED</t>
  </si>
  <si>
    <t>INE221J01015</t>
  </si>
  <si>
    <t>SHARDA MOTOR INDUSTRIES LTD</t>
  </si>
  <si>
    <t>INE597I01028</t>
  </si>
  <si>
    <t>SHARDA</t>
  </si>
  <si>
    <t>SHARE INDIA SECURITIES LIMITED</t>
  </si>
  <si>
    <t>INE932X01018</t>
  </si>
  <si>
    <t>INE363M01019</t>
  </si>
  <si>
    <t>SHILPA MEDICARE LTD.</t>
  </si>
  <si>
    <t>INE790G01031</t>
  </si>
  <si>
    <t>SHIVALIK RASAYAN LTD.</t>
  </si>
  <si>
    <t>INE788J01021</t>
  </si>
  <si>
    <t>INE637H01024</t>
  </si>
  <si>
    <t>SHIVA MILLS LIMITED</t>
  </si>
  <si>
    <t>INE644Y01017</t>
  </si>
  <si>
    <t>SHIVA TEXYARN LTD.</t>
  </si>
  <si>
    <t>INE705C01020</t>
  </si>
  <si>
    <t>SHIVTEX</t>
  </si>
  <si>
    <t>S H KELKAR AND COMPANY LIMITED</t>
  </si>
  <si>
    <t>INE500L01026</t>
  </si>
  <si>
    <t>SHOPPERS STOP LTD</t>
  </si>
  <si>
    <t>INE498B01024</t>
  </si>
  <si>
    <t>SHRADHA INFRAPROJECTS LTD.</t>
  </si>
  <si>
    <t>INE715Y01023</t>
  </si>
  <si>
    <t>SHREE DIGVIJAY CEMENT CO. LTD.,</t>
  </si>
  <si>
    <t>INE232A01011</t>
  </si>
  <si>
    <t>SHREE CEMENTS LTD.,</t>
  </si>
  <si>
    <t>INE070A01015</t>
  </si>
  <si>
    <t>SHREE PUSHKAR CHEMICALS &amp; FERTILISERS LIMITED</t>
  </si>
  <si>
    <t>INE712K01011</t>
  </si>
  <si>
    <t>SHREE RAMA MULTI-TECH LTD.</t>
  </si>
  <si>
    <t>INE879A01019</t>
  </si>
  <si>
    <t>SHRENIK LTD.</t>
  </si>
  <si>
    <t>INE632X01030</t>
  </si>
  <si>
    <t>SHREYANS INDUSTRIES LIMITED.,</t>
  </si>
  <si>
    <t>INE231C01019</t>
  </si>
  <si>
    <t>SHREYAS SHIPPING AND LOGISTICS LIMITED</t>
  </si>
  <si>
    <t>INE757B01015</t>
  </si>
  <si>
    <t>SHRIRAM PISTONS &amp; RINGS LTD.</t>
  </si>
  <si>
    <t>INE526E01018</t>
  </si>
  <si>
    <t>SHRIRAM FINANCE LIMITED</t>
  </si>
  <si>
    <t>INE721A01013</t>
  </si>
  <si>
    <t>SHRIRAM PROPERTIES LIMITED</t>
  </si>
  <si>
    <t>INE217L01019</t>
  </si>
  <si>
    <t>SHYAM CENTURY FERROUS LIMITED</t>
  </si>
  <si>
    <t>INE979R01011</t>
  </si>
  <si>
    <t>SCFL</t>
  </si>
  <si>
    <t>SHYAM METALICS AND ENERGY LIMITED</t>
  </si>
  <si>
    <t>INE810G01011</t>
  </si>
  <si>
    <t>SHYAM TELECOM LTD.</t>
  </si>
  <si>
    <t>INE635A01023</t>
  </si>
  <si>
    <t>SICAL LOGISTICS LIMITED</t>
  </si>
  <si>
    <t>INE075B01020</t>
  </si>
  <si>
    <t>SIEMENS LTD.,</t>
  </si>
  <si>
    <t>INE003A01024</t>
  </si>
  <si>
    <t>SIGACHI INDUSTRIES LIMITED</t>
  </si>
  <si>
    <t>INE0D0K01022</t>
  </si>
  <si>
    <t>SIGNET INDUSTRIES LIMITED</t>
  </si>
  <si>
    <t>INE529F01035</t>
  </si>
  <si>
    <t>SIGNETIND</t>
  </si>
  <si>
    <t>INE0A0S01010</t>
  </si>
  <si>
    <t>SIGNATUREGLOBAL (INDIA) LIMITED</t>
  </si>
  <si>
    <t>INE903U01023</t>
  </si>
  <si>
    <t>SIKKO INDUSTRIES LTD.</t>
  </si>
  <si>
    <t>INE112X01017</t>
  </si>
  <si>
    <t>STANDARD INDUSTRIES LTD.</t>
  </si>
  <si>
    <t>INE173A01025</t>
  </si>
  <si>
    <t>SILGO RETAIL LTD.</t>
  </si>
  <si>
    <t>INE01II01013</t>
  </si>
  <si>
    <t>SIL INVESTMENTS LTD</t>
  </si>
  <si>
    <t>INE923A01015</t>
  </si>
  <si>
    <t>SILLY MONKS ENTERTAINMENT LTD.</t>
  </si>
  <si>
    <t>INE203Y01012</t>
  </si>
  <si>
    <t>SILVER TOUCH TECHNOLOGIES LIMITED</t>
  </si>
  <si>
    <t>INE625X01018</t>
  </si>
  <si>
    <t>SIMBHAOLI SUGARS LTD</t>
  </si>
  <si>
    <t>INE748T01016</t>
  </si>
  <si>
    <t>SIMPLEX INFRASTRUCTURES LIMITED</t>
  </si>
  <si>
    <t>INE059B01024</t>
  </si>
  <si>
    <t>SINDHU TRADE LINKS LIMITED</t>
  </si>
  <si>
    <t>INE325D01025</t>
  </si>
  <si>
    <t>SINTERCOM INDIA LTD.</t>
  </si>
  <si>
    <t>INE129Z01016</t>
  </si>
  <si>
    <t>SIRCA PAINTS INDIA LIMITED</t>
  </si>
  <si>
    <t>INE792Z01011</t>
  </si>
  <si>
    <t>INE285J01028</t>
  </si>
  <si>
    <t>SITI NETWORKS LIMITED</t>
  </si>
  <si>
    <t>INE965H01011</t>
  </si>
  <si>
    <t>SIYARAM SILK MILLS LTD.,</t>
  </si>
  <si>
    <t>INE076B01028</t>
  </si>
  <si>
    <t>S.J.S. ENTERPRISES LIMITED</t>
  </si>
  <si>
    <t>INE284S01014</t>
  </si>
  <si>
    <t>INE002L01015</t>
  </si>
  <si>
    <t>SKF INDIA LTD.</t>
  </si>
  <si>
    <t>INE640A01023</t>
  </si>
  <si>
    <t>SKIL INFRASTRUCTURE LIMITED</t>
  </si>
  <si>
    <t>INE429F01012</t>
  </si>
  <si>
    <t>SKIPPER LIMITED</t>
  </si>
  <si>
    <t>INE439E01022</t>
  </si>
  <si>
    <t>SKM EGG PRODUCTS EXPORTS (INDIA) LT</t>
  </si>
  <si>
    <t>INE411D01015</t>
  </si>
  <si>
    <t>INE01IU01018</t>
  </si>
  <si>
    <t>SMARTLINK HOLDINGS LIMITED</t>
  </si>
  <si>
    <t>INE178C01020</t>
  </si>
  <si>
    <t>SMC GLOBAL SECURITIES LIMITED</t>
  </si>
  <si>
    <t>INE103C01036</t>
  </si>
  <si>
    <t>INE294B01019</t>
  </si>
  <si>
    <t>SARTHAK METALS LIMITED</t>
  </si>
  <si>
    <t>INE017W01010</t>
  </si>
  <si>
    <t>SMS LIFESCIENCES INDIA LTD</t>
  </si>
  <si>
    <t>INE320X01016</t>
  </si>
  <si>
    <t>SMS PHARMACEUTICALS LTD</t>
  </si>
  <si>
    <t>INE812G01025</t>
  </si>
  <si>
    <t>INE734N01019</t>
  </si>
  <si>
    <t>SOBHA LIMITED</t>
  </si>
  <si>
    <t>INE671H01015</t>
  </si>
  <si>
    <t>SOFTTECH ENGINEERS LIMITED</t>
  </si>
  <si>
    <t>INE728Z01015</t>
  </si>
  <si>
    <t>INE624Z01016</t>
  </si>
  <si>
    <t>SOLAR INDUSTRIES INDIA LIMITED</t>
  </si>
  <si>
    <t>INE343H01029</t>
  </si>
  <si>
    <t>SOMANY CERAMICS LIMITED</t>
  </si>
  <si>
    <t>INE355A01028</t>
  </si>
  <si>
    <t>SOMA TEXTILE &amp; INDUSTRIES LTD</t>
  </si>
  <si>
    <t>INE314C01013</t>
  </si>
  <si>
    <t>INE323J01019</t>
  </si>
  <si>
    <t>SOMICONV</t>
  </si>
  <si>
    <t>SONA BLW PRECISION FORGINGS LIMITED</t>
  </si>
  <si>
    <t>INE073K01018</t>
  </si>
  <si>
    <t>SONAM LTD.</t>
  </si>
  <si>
    <t>INE00LM01011</t>
  </si>
  <si>
    <t>SONATA SOFTWARE LTD.</t>
  </si>
  <si>
    <t>INE269A01021</t>
  </si>
  <si>
    <t>SAVITA OIL TECHNOLOGIES LIMITED</t>
  </si>
  <si>
    <t>INE035D01020</t>
  </si>
  <si>
    <t>SOUTH INDIAN BANK LTD.</t>
  </si>
  <si>
    <t>INE683A01023</t>
  </si>
  <si>
    <t>SOUTH WEST PINNACLE EXPLORATION LIMITED</t>
  </si>
  <si>
    <t>INE980Y01015</t>
  </si>
  <si>
    <t>S.P. APPARELS LIMITED</t>
  </si>
  <si>
    <t>INE212I01016</t>
  </si>
  <si>
    <t>SPANDANA SPHOORTY FINANCIAL LIMITED</t>
  </si>
  <si>
    <t>INE572J01011</t>
  </si>
  <si>
    <t>SUN PHARMA ADVANCED RESEARCH COMPANY LTD.</t>
  </si>
  <si>
    <t>INE232I01014</t>
  </si>
  <si>
    <t>SPACENET ENTERPRISES INDIA LTD.</t>
  </si>
  <si>
    <t>INE970N01027</t>
  </si>
  <si>
    <t>SPECIALITY RESTAURANTS LIMITED</t>
  </si>
  <si>
    <t>INE247M01014</t>
  </si>
  <si>
    <t>SPENCER'S RETAIL LIMITED</t>
  </si>
  <si>
    <t>INE020801028</t>
  </si>
  <si>
    <t>SPENCER</t>
  </si>
  <si>
    <t>SPENTEX INDUSTRIES LTD.</t>
  </si>
  <si>
    <t>INE376C01020</t>
  </si>
  <si>
    <t>SOUTHERN PETROCHEMICAL INDUSTRIES CORPORATION LIMITED</t>
  </si>
  <si>
    <t>INE147A01011</t>
  </si>
  <si>
    <t>INE978G01016</t>
  </si>
  <si>
    <t>SUPREME PETROCHEM LTD.</t>
  </si>
  <si>
    <t>INE663A01033</t>
  </si>
  <si>
    <t>SPML INFRA LIMITED</t>
  </si>
  <si>
    <t>INE937A01023</t>
  </si>
  <si>
    <t>SPORTKING INDIA LTD.</t>
  </si>
  <si>
    <t>INE885H01011</t>
  </si>
  <si>
    <t>SINTEX PLASTICS TECHNOLOGY LTD.</t>
  </si>
  <si>
    <t>INE501W01021</t>
  </si>
  <si>
    <t>SINTEXPLAST</t>
  </si>
  <si>
    <t>SHEKHAWATI POLY-YARN LIMITED</t>
  </si>
  <si>
    <t>INE268L01020</t>
  </si>
  <si>
    <t>SREELEATHERS LIMITED</t>
  </si>
  <si>
    <t>INE099F01013</t>
  </si>
  <si>
    <t>SRF LTD.,</t>
  </si>
  <si>
    <t>INE647A01010</t>
  </si>
  <si>
    <t>SRG HOUSING FINANCE LIMITED</t>
  </si>
  <si>
    <t>INE559N01010</t>
  </si>
  <si>
    <t>SREE RAYALASEEMA HI-STRENGTH HYPO LIMITED</t>
  </si>
  <si>
    <t>INE917H01012</t>
  </si>
  <si>
    <t>SHREE RAM PROTEINS LTD.</t>
  </si>
  <si>
    <t>INE008Z01020</t>
  </si>
  <si>
    <t>STEEL STRIPS &amp; WHEELS LTD</t>
  </si>
  <si>
    <t>INE802C01033</t>
  </si>
  <si>
    <t>INE939A01011</t>
  </si>
  <si>
    <t>STAR CEMENT LIMITED</t>
  </si>
  <si>
    <t>INE460H01021</t>
  </si>
  <si>
    <t>STAR HEALTH AND ALLIED INSURANCE COMPANY LIMITED</t>
  </si>
  <si>
    <t>INE575P01011</t>
  </si>
  <si>
    <t>STAR PAPER MILLS LTD.</t>
  </si>
  <si>
    <t>INE733A01018</t>
  </si>
  <si>
    <t>INE992I01013</t>
  </si>
  <si>
    <t>STATE TRADING CORPORATION OF INDIA</t>
  </si>
  <si>
    <t>INE655A01013</t>
  </si>
  <si>
    <t>STEELCAST LTD.</t>
  </si>
  <si>
    <t>INE124E01020</t>
  </si>
  <si>
    <t>STEEL CITY SECURITIES LTD.</t>
  </si>
  <si>
    <t>INE395H01011</t>
  </si>
  <si>
    <t>STEEL EXCHANGE INDIA LTD.</t>
  </si>
  <si>
    <t>INE503B01021</t>
  </si>
  <si>
    <t>STEL HOLDINGS LIMITED</t>
  </si>
  <si>
    <t>INE577L01016</t>
  </si>
  <si>
    <t>STERLING TOOLS LTD.</t>
  </si>
  <si>
    <t>INE334A01023</t>
  </si>
  <si>
    <t>STERLITE TECHNOLOGIES LIMITED.</t>
  </si>
  <si>
    <t>INE089C01029</t>
  </si>
  <si>
    <t>INE00IN01015</t>
  </si>
  <si>
    <t>STYLAM INDUSTRIES LIMITED</t>
  </si>
  <si>
    <t>INE239C01020</t>
  </si>
  <si>
    <t>STYRENIX PERFORMANCE MATERIALS LIMITED</t>
  </si>
  <si>
    <t>INE189B01011</t>
  </si>
  <si>
    <t>SUBEX  LTD</t>
  </si>
  <si>
    <t>INE754A01055</t>
  </si>
  <si>
    <t>SUBEX</t>
  </si>
  <si>
    <t>SUBROS LTD.,</t>
  </si>
  <si>
    <t>INE287B01021</t>
  </si>
  <si>
    <t>SUDARSHAN CHEMICAL INDUS. LTD.,</t>
  </si>
  <si>
    <t>INE659A01023</t>
  </si>
  <si>
    <t>SUKHJIT STARCH &amp; CHEMICALS LTD.</t>
  </si>
  <si>
    <t>INE450E01011</t>
  </si>
  <si>
    <t>SULA VINEYARDS LIMITED</t>
  </si>
  <si>
    <t>INE142Q01026</t>
  </si>
  <si>
    <t>SUMEET INDUSTRIES LTD</t>
  </si>
  <si>
    <t>INE235C01010</t>
  </si>
  <si>
    <t>INE258G01013</t>
  </si>
  <si>
    <t>SUMIT WOODS LTD.</t>
  </si>
  <si>
    <t>INE748Z01013</t>
  </si>
  <si>
    <t>INE519C01017</t>
  </si>
  <si>
    <t>SUNDARAM-CLAYTON LIMITED</t>
  </si>
  <si>
    <t>INE0Q3R01026</t>
  </si>
  <si>
    <t>SUNCLAY</t>
  </si>
  <si>
    <t>SUNDARAM MULTI PAP LTD.</t>
  </si>
  <si>
    <t>INE108E01023</t>
  </si>
  <si>
    <t>INE660A01013</t>
  </si>
  <si>
    <t>SUNDARAM FINANCE HOLDINGS LTD.</t>
  </si>
  <si>
    <t>INE202Z01029</t>
  </si>
  <si>
    <t>INE073D01013</t>
  </si>
  <si>
    <t>SUNDRAM FASTENERS LTD.,</t>
  </si>
  <si>
    <t>INE387A01021</t>
  </si>
  <si>
    <t>SUNFLAG IRON &amp; STEEL CO. LTD.,</t>
  </si>
  <si>
    <t>INE947A01014</t>
  </si>
  <si>
    <t>SUN PHARMACEUTICAL INDUSTRIES LTD.</t>
  </si>
  <si>
    <t>INE044A01036</t>
  </si>
  <si>
    <t>SUNTECK REALTY LTD</t>
  </si>
  <si>
    <t>INE805D01034</t>
  </si>
  <si>
    <t>INE424H01027</t>
  </si>
  <si>
    <t>SUPERHOUSE LIMITED</t>
  </si>
  <si>
    <t>INE712B01010</t>
  </si>
  <si>
    <t>SUPER SPINNING MILLS LTD.</t>
  </si>
  <si>
    <t>INE662A01027</t>
  </si>
  <si>
    <t>SUPRAJIT ENGINEERING LTD.</t>
  </si>
  <si>
    <t>INE399C01030</t>
  </si>
  <si>
    <t>SUPREME ENGINEERING LTD.</t>
  </si>
  <si>
    <t>INE319Z01021</t>
  </si>
  <si>
    <t>SUPREME INDUSTRIES LTD.,</t>
  </si>
  <si>
    <t>INE195A01028</t>
  </si>
  <si>
    <t>SUPREME INFRASTRUCTURE INDIA LIMITED</t>
  </si>
  <si>
    <t>INE550H01011</t>
  </si>
  <si>
    <t>SUPRIYA LIFESCIENCE LIMITED</t>
  </si>
  <si>
    <t>INE07RO01027</t>
  </si>
  <si>
    <t>SURAJ ESTATE DEVELOPERS LIMITED</t>
  </si>
  <si>
    <t>INE843S01025</t>
  </si>
  <si>
    <t>SURAJEST</t>
  </si>
  <si>
    <t>SURANA SOLAR LIMITED</t>
  </si>
  <si>
    <t>INE272L01022</t>
  </si>
  <si>
    <t>SURANA TELECOM AND POWER LIMITED</t>
  </si>
  <si>
    <t>INE130B01031</t>
  </si>
  <si>
    <t>SURYALAKSHMI COTTON MILLS LTD.</t>
  </si>
  <si>
    <t>INE713B01026</t>
  </si>
  <si>
    <t>SURYA ROSHNI LTD.,</t>
  </si>
  <si>
    <t>INE335A01020</t>
  </si>
  <si>
    <t>SURYODAY SMALL FINANCE BANK LIMITED</t>
  </si>
  <si>
    <t>INE428Q01011</t>
  </si>
  <si>
    <t>INE645H01027</t>
  </si>
  <si>
    <t>SUUMAYA INDUSTRIES LTD.</t>
  </si>
  <si>
    <t>INE591Q01016</t>
  </si>
  <si>
    <t>SUVEN LIFE SCIENCES LTD.</t>
  </si>
  <si>
    <t>INE495B01038</t>
  </si>
  <si>
    <t>INE03QK01018</t>
  </si>
  <si>
    <t>SUVIDHAA INFOSERVE LIMITED</t>
  </si>
  <si>
    <t>INE018401013</t>
  </si>
  <si>
    <t>INE040H01021</t>
  </si>
  <si>
    <t>SHREE VASU LOGISTICS LTD.</t>
  </si>
  <si>
    <t>INE00CE01017</t>
  </si>
  <si>
    <t>INE308E01029</t>
  </si>
  <si>
    <t>SWAN ENERGY LTD.</t>
  </si>
  <si>
    <t>INE665A01038</t>
  </si>
  <si>
    <t>SWARAJ ENGINES LTD.</t>
  </si>
  <si>
    <t>INE277A01016</t>
  </si>
  <si>
    <t>SWELECT ENERGY SYSTEMS LIMITED</t>
  </si>
  <si>
    <t>INE409B01013</t>
  </si>
  <si>
    <t>INE00M201021</t>
  </si>
  <si>
    <t>SYMPHONY LIMITED</t>
  </si>
  <si>
    <t>INE225D01027</t>
  </si>
  <si>
    <t>SYNCOM FORMULATIONS (INDIA) LTD.</t>
  </si>
  <si>
    <t>INE312C01025</t>
  </si>
  <si>
    <t>SYNGENE INTERNATIONAL LIMITED</t>
  </si>
  <si>
    <t>INE398R01022</t>
  </si>
  <si>
    <t>SYRMA SGS TECHNOLOGY LIMITED</t>
  </si>
  <si>
    <t>INE0DYJ01015</t>
  </si>
  <si>
    <t>TAINWALA CHEMICALS &amp; PLASTICS LTD</t>
  </si>
  <si>
    <t>INE123C01018</t>
  </si>
  <si>
    <t>TAJ GVK HOTELS &amp; RESORTS LTD.</t>
  </si>
  <si>
    <t>INE586B01026</t>
  </si>
  <si>
    <t>TAKE SOLUTIONS LTD</t>
  </si>
  <si>
    <t>INE142I01023</t>
  </si>
  <si>
    <t>TALBROS AUTOMOTIVE COMPONENTS LTD.,</t>
  </si>
  <si>
    <t>INE187D01029</t>
  </si>
  <si>
    <t>INE483C01032</t>
  </si>
  <si>
    <t>INE747K01017</t>
  </si>
  <si>
    <t>INE0EK901012</t>
  </si>
  <si>
    <t>TARMAT LIMITED</t>
  </si>
  <si>
    <t>INE924H01018</t>
  </si>
  <si>
    <t>TARSONS PRODUCTS LIMITED</t>
  </si>
  <si>
    <t>INE144Z01023</t>
  </si>
  <si>
    <t>TASTY BITE EATABLES LTD.,</t>
  </si>
  <si>
    <t>INE488B01017</t>
  </si>
  <si>
    <t>TASTYBIT</t>
  </si>
  <si>
    <t>TATA CHEMICALS LTD</t>
  </si>
  <si>
    <t>INE092A01019</t>
  </si>
  <si>
    <t>TATA COFFEE LTD</t>
  </si>
  <si>
    <t>INE493A01027</t>
  </si>
  <si>
    <t>TATA COMMUNICATIONS LIMITED</t>
  </si>
  <si>
    <t>INE151A01013</t>
  </si>
  <si>
    <t>INE192A01025</t>
  </si>
  <si>
    <t>TATA ELXSI LTD</t>
  </si>
  <si>
    <t>INE670A01012</t>
  </si>
  <si>
    <t>TATA INVESTMENT CORPORATION LTD.,</t>
  </si>
  <si>
    <t>INE672A01018</t>
  </si>
  <si>
    <t>TATA METALIKS LTD</t>
  </si>
  <si>
    <t>INE056C01010</t>
  </si>
  <si>
    <t>TATA MOTORS LTD.</t>
  </si>
  <si>
    <t>INE155A01022</t>
  </si>
  <si>
    <t>TATA POWER CO. LTD</t>
  </si>
  <si>
    <t>INE245A01021</t>
  </si>
  <si>
    <t>INE081A01020</t>
  </si>
  <si>
    <t>TATA TECHNOLOGIES LIMITED</t>
  </si>
  <si>
    <t>INE142M01025</t>
  </si>
  <si>
    <t>TATVA CHINTAN PHARMA CHEM LIMITED</t>
  </si>
  <si>
    <t>INE0GK401011</t>
  </si>
  <si>
    <t>TRIBHOVANDAS BHIMJI ZAVERI LIMITED</t>
  </si>
  <si>
    <t>INE760L01018</t>
  </si>
  <si>
    <t>TRANSPORT CORPORATION OF INDIA LTD</t>
  </si>
  <si>
    <t>INE688A01022</t>
  </si>
  <si>
    <t>TCI EXPRESS LIMITED</t>
  </si>
  <si>
    <t>INE586V01016</t>
  </si>
  <si>
    <t>TCI FINANCE LIMITED</t>
  </si>
  <si>
    <t>INE911B01018</t>
  </si>
  <si>
    <t>TANTIA CONSTRUCTIONS LIMITED</t>
  </si>
  <si>
    <t>INE388G01026</t>
  </si>
  <si>
    <t>TCNS CLOTHING CO. LIMITED</t>
  </si>
  <si>
    <t>INE778U01029</t>
  </si>
  <si>
    <t>TCPL PACKAGING LIMITED</t>
  </si>
  <si>
    <t>INE822C01015</t>
  </si>
  <si>
    <t>TATA CONSULTANCY SERVICES LTD.</t>
  </si>
  <si>
    <t>INE467B01029</t>
  </si>
  <si>
    <t>TD POWER SYSTEMS LTD</t>
  </si>
  <si>
    <t>INE419M01027</t>
  </si>
  <si>
    <t>TEAMLEASE SERVICES LIMITED</t>
  </si>
  <si>
    <t>INE985S01024</t>
  </si>
  <si>
    <t>INE778A01021</t>
  </si>
  <si>
    <t>TECH MAHINDRA LIMITED</t>
  </si>
  <si>
    <t>INE669C01036</t>
  </si>
  <si>
    <t>TECHNO ELECTRIC &amp; ENGINEERING COMPANY LIMITED</t>
  </si>
  <si>
    <t>INE285K01026</t>
  </si>
  <si>
    <t>TECIL CHEMICALS &amp; HYDRO POWER LIMIT</t>
  </si>
  <si>
    <t>INE014B01011</t>
  </si>
  <si>
    <t>TRELCHE-B</t>
  </si>
  <si>
    <t>TEGA INDUSTRIES LIMITED</t>
  </si>
  <si>
    <t>INE011K01018</t>
  </si>
  <si>
    <t>TEJAS NETWORKS LIMITED</t>
  </si>
  <si>
    <t>INE010J01012</t>
  </si>
  <si>
    <t>TEMBO GLOBAL INDUSTRIES LTD.</t>
  </si>
  <si>
    <t>INE869Y01010</t>
  </si>
  <si>
    <t>TERA SOFTWARE LTD.</t>
  </si>
  <si>
    <t>INE482B01010</t>
  </si>
  <si>
    <t>TEXMACO INFRASTRUCTURE &amp; HOLDINGS LTD</t>
  </si>
  <si>
    <t>INE435C01024</t>
  </si>
  <si>
    <t>TEXMO PIPES AND PRODUCTS LIMITED</t>
  </si>
  <si>
    <t>INE141K01013</t>
  </si>
  <si>
    <t>TEXMACO RAIL &amp; ENGINEERING LIMITED</t>
  </si>
  <si>
    <t>INE621L01012</t>
  </si>
  <si>
    <t>TOURISM FINANCE CORPN. OF INDIA LTD</t>
  </si>
  <si>
    <t>INE305A01015</t>
  </si>
  <si>
    <t>TRANSWARRANTY FINANCE LIMITED</t>
  </si>
  <si>
    <t>INE804H01012</t>
  </si>
  <si>
    <t>TGB BANQUETS AND HOTELS LIMITED</t>
  </si>
  <si>
    <t>INE797H01018</t>
  </si>
  <si>
    <t>THANGAMAYIL JEWELLERY LIMITED</t>
  </si>
  <si>
    <t>INE085J01014</t>
  </si>
  <si>
    <t>INE924D01017</t>
  </si>
  <si>
    <t>THEJO ENGINEERING LTD.</t>
  </si>
  <si>
    <t>INE121N01019</t>
  </si>
  <si>
    <t>THEMIS MEDICARE LTD.</t>
  </si>
  <si>
    <t>INE083B01024</t>
  </si>
  <si>
    <t>THERMAX LTD.</t>
  </si>
  <si>
    <t>INE152A01029</t>
  </si>
  <si>
    <t>THOMAS COOK (INDIA) LTD.,</t>
  </si>
  <si>
    <t>INE332A01027</t>
  </si>
  <si>
    <t>INE480M01011</t>
  </si>
  <si>
    <t>THYROCARE TECHNOLOGIES LIMITED</t>
  </si>
  <si>
    <t>INE594H01019</t>
  </si>
  <si>
    <t>TILAKNAGAR INDUSTRIES LTD</t>
  </si>
  <si>
    <t>INE133E01013</t>
  </si>
  <si>
    <t>TIDE WATER OIL (INDIA) LTD.</t>
  </si>
  <si>
    <t>INE484C01030</t>
  </si>
  <si>
    <t>TECHNOCRAFT INDUSTRIES (INDIA) LTD.</t>
  </si>
  <si>
    <t>INE545H01011</t>
  </si>
  <si>
    <t>TUBE INVESTMENTS OF INDIA LTD</t>
  </si>
  <si>
    <t>INE974X01010</t>
  </si>
  <si>
    <t>INE440L01017</t>
  </si>
  <si>
    <t>TIL LTD.,</t>
  </si>
  <si>
    <t>INE806C01018</t>
  </si>
  <si>
    <t>TIMES GUARANTY LTD.</t>
  </si>
  <si>
    <t>INE289C01025</t>
  </si>
  <si>
    <t>TIME TECHNOPLAST LIMITED</t>
  </si>
  <si>
    <t>INE508G01029</t>
  </si>
  <si>
    <t>TIMKEN INDIA LTD</t>
  </si>
  <si>
    <t>INE325A01013</t>
  </si>
  <si>
    <t>TINPLATE COMPANY OF INDIA LTD.,</t>
  </si>
  <si>
    <t>INE422C01014</t>
  </si>
  <si>
    <t>TIPS FILMS LIMITED</t>
  </si>
  <si>
    <t>INE0LQS01015</t>
  </si>
  <si>
    <t>TIPS INDUSTRIES LIMITED</t>
  </si>
  <si>
    <t>INE716B01029</t>
  </si>
  <si>
    <t>THIRUMALAI CHEMICALS LTD.,</t>
  </si>
  <si>
    <t>INE338A01024</t>
  </si>
  <si>
    <t>TIRUPATI FORGE LTD.</t>
  </si>
  <si>
    <t>INE319Y01024</t>
  </si>
  <si>
    <t>INE615H01020</t>
  </si>
  <si>
    <t>TITAN COMPANY LIMITED</t>
  </si>
  <si>
    <t>INE280A01028</t>
  </si>
  <si>
    <t>TAMILNAD MERCANTILE BANK LIMITED</t>
  </si>
  <si>
    <t>INE668A01016</t>
  </si>
  <si>
    <t>TAMILNADU PETROPRODUCTS LTD</t>
  </si>
  <si>
    <t>INE148A01019</t>
  </si>
  <si>
    <t>TAMIL NADU NEWSPRINT AND PAPERS LTD</t>
  </si>
  <si>
    <t>INE107A01015</t>
  </si>
  <si>
    <t>TAMILNADU TELECOMMUNICATIONS LTD.,</t>
  </si>
  <si>
    <t>INE141D01018</t>
  </si>
  <si>
    <t>TOKYO PLAST INTERNATIONAL LTD.</t>
  </si>
  <si>
    <t>INE932C01012</t>
  </si>
  <si>
    <t>TORRENT PHARMACEUTICALS LTD.</t>
  </si>
  <si>
    <t>INE685A01028</t>
  </si>
  <si>
    <t>INE813H01021</t>
  </si>
  <si>
    <t>TOTAL TRANSPORT SYSTEMS LTD.</t>
  </si>
  <si>
    <t>INE336X01012</t>
  </si>
  <si>
    <t>TOUCHWOOD ENTERTAINMENT LTD.</t>
  </si>
  <si>
    <t>INE486Y01013</t>
  </si>
  <si>
    <t>TEAMO PRODUCTIONS HQ LIMITED</t>
  </si>
  <si>
    <t>INE065J01024</t>
  </si>
  <si>
    <t>TPL PLASTECH LIMITED</t>
  </si>
  <si>
    <t>INE413G01022</t>
  </si>
  <si>
    <t>TPLPLAST</t>
  </si>
  <si>
    <t>TRACXN TECHNOLOGIES LIMITED</t>
  </si>
  <si>
    <t>INE0HMF01019</t>
  </si>
  <si>
    <t>TREE HOUSE EDUCATION &amp; ACCESSORIES LIMITED</t>
  </si>
  <si>
    <t>INE040M01013</t>
  </si>
  <si>
    <t>INE00CA01015</t>
  </si>
  <si>
    <t xml:space="preserve">TREJHARA </t>
  </si>
  <si>
    <t>TRANSINDIA REAL ESTATE LIMITED</t>
  </si>
  <si>
    <t>INE0O3901029</t>
  </si>
  <si>
    <t>TRENT LTD [LAKME LTD]</t>
  </si>
  <si>
    <t>INE849A01020</t>
  </si>
  <si>
    <t>TRF LTD</t>
  </si>
  <si>
    <t>INE391D01019</t>
  </si>
  <si>
    <t>TRIDENT LTD</t>
  </si>
  <si>
    <t>INE064C01022</t>
  </si>
  <si>
    <t>TRIGYN TECHNOLOGIES LTD.</t>
  </si>
  <si>
    <t>INE948A01012</t>
  </si>
  <si>
    <t>TRANSFORMERS AND RECTIFIERS (INDIA) LIMITED</t>
  </si>
  <si>
    <t>INE763I01026</t>
  </si>
  <si>
    <t>TRIVENI TURBINE LIMITED</t>
  </si>
  <si>
    <t>INE152M01016</t>
  </si>
  <si>
    <t>TRIVENI ENGINEERING &amp; INDUSTRIES LTD</t>
  </si>
  <si>
    <t>INE256C01024</t>
  </si>
  <si>
    <t>TRUCAP FINANCE LIMITED</t>
  </si>
  <si>
    <t>INE615R01029</t>
  </si>
  <si>
    <t>TTK HEALTHCARE LTD.,</t>
  </si>
  <si>
    <t>INE910C01018</t>
  </si>
  <si>
    <t>TTKHEALTH</t>
  </si>
  <si>
    <t>TTK PRESTIGE LTD.</t>
  </si>
  <si>
    <t>INE690A01028</t>
  </si>
  <si>
    <t>T T LTD</t>
  </si>
  <si>
    <t>INE592B01016</t>
  </si>
  <si>
    <t>TATA TELESERVICES (MAHARASHTRA) LTD.</t>
  </si>
  <si>
    <t>INE517B01013</t>
  </si>
  <si>
    <t>TV18 BROADCAST LTD.</t>
  </si>
  <si>
    <t>INE886H01027</t>
  </si>
  <si>
    <t>TVS ELECTRONICS LTD.</t>
  </si>
  <si>
    <t>INE236G01019</t>
  </si>
  <si>
    <t>TVS HOLDINGS LIMITED</t>
  </si>
  <si>
    <t>INE105A01035</t>
  </si>
  <si>
    <t>TVS MOTOR COMPANY LTD.</t>
  </si>
  <si>
    <t>INE494B01023</t>
  </si>
  <si>
    <t>TVS SUPPLY CHAIN SOLUTIONS LIMITED</t>
  </si>
  <si>
    <t>INE395N01027</t>
  </si>
  <si>
    <t>TVS SRICHAKRA LTD.,</t>
  </si>
  <si>
    <t>INE421C01016</t>
  </si>
  <si>
    <t>T.V.TODAY NETWORK LIMITED</t>
  </si>
  <si>
    <t>INE038F01029</t>
  </si>
  <si>
    <t>INE871L01013</t>
  </si>
  <si>
    <t>UNITED BREWERIES LTD.</t>
  </si>
  <si>
    <t>INE686F01025</t>
  </si>
  <si>
    <t>INE139B01016</t>
  </si>
  <si>
    <t>UCO BANK</t>
  </si>
  <si>
    <t>INE691A01018</t>
  </si>
  <si>
    <t>UPDATER SERVICES LIMITED</t>
  </si>
  <si>
    <t>INE851I01011</t>
  </si>
  <si>
    <t>UFLEX LIMITED</t>
  </si>
  <si>
    <t>INE516A01017</t>
  </si>
  <si>
    <t>UFO MOVIEZ INDIA LIMITED</t>
  </si>
  <si>
    <t>INE527H01019</t>
  </si>
  <si>
    <t>UGAR SUGAR WORKS LTD.</t>
  </si>
  <si>
    <t>INE071E01023</t>
  </si>
  <si>
    <t>INE583D01011</t>
  </si>
  <si>
    <t>UJJIVAN FINANCIAL SERVICES LIMITED</t>
  </si>
  <si>
    <t>INE334L01012</t>
  </si>
  <si>
    <t>UJJIVAN SMALL FINANCE BANK LIMITED</t>
  </si>
  <si>
    <t>INE551W01018</t>
  </si>
  <si>
    <t>ULTRATECH CEMENT LTD</t>
  </si>
  <si>
    <t>INE481G01011</t>
  </si>
  <si>
    <t>UMA EXPORTS LIMITED</t>
  </si>
  <si>
    <t>INE0GIU01018</t>
  </si>
  <si>
    <t>UMANG DAIRIES LIMITED</t>
  </si>
  <si>
    <t>INE864B01027</t>
  </si>
  <si>
    <t>UMANGDAIR</t>
  </si>
  <si>
    <t>USHA MARTIN EDUCATION &amp; SOLUTIONS LIMITED</t>
  </si>
  <si>
    <t>INE240C01028</t>
  </si>
  <si>
    <t>UNICHEM LABORATORIES LTD.,</t>
  </si>
  <si>
    <t>INE351A01035</t>
  </si>
  <si>
    <t>UNITED DRILLING TOOLS LTD.,</t>
  </si>
  <si>
    <t>INE961D01019</t>
  </si>
  <si>
    <t>UNIPHOS ENTERPRISES LIMITED.</t>
  </si>
  <si>
    <t>INE037A01022</t>
  </si>
  <si>
    <t>UNIPHOS</t>
  </si>
  <si>
    <t>UNIINFO TELECOM SERVICES LTD.</t>
  </si>
  <si>
    <t>INE481Z01011</t>
  </si>
  <si>
    <t>UNION BANK OF INDIA</t>
  </si>
  <si>
    <t>INE692A01016</t>
  </si>
  <si>
    <t>UNIPARTS INDIA LIMITED</t>
  </si>
  <si>
    <t>INE244O01017</t>
  </si>
  <si>
    <t>UNITECH LTD.,</t>
  </si>
  <si>
    <t>INE694A01020</t>
  </si>
  <si>
    <t>UNITED POLYFAB GUJARAT LTD.</t>
  </si>
  <si>
    <t>INE368U01011</t>
  </si>
  <si>
    <t>THE UNITED NILGIRI TEA ESTATES COMPANY LTD.</t>
  </si>
  <si>
    <t>INE458F01011</t>
  </si>
  <si>
    <t>UNIVA FOODS LIMITED</t>
  </si>
  <si>
    <t>INE275F01019</t>
  </si>
  <si>
    <t>UNIVASTU INDIA LTD.</t>
  </si>
  <si>
    <t>INE562X01013</t>
  </si>
  <si>
    <t>UNIVERSAL CABLES LTD.,</t>
  </si>
  <si>
    <t>INE279A01012</t>
  </si>
  <si>
    <t>INE03V001013</t>
  </si>
  <si>
    <t>UNO MINDA LIMITED</t>
  </si>
  <si>
    <t>INE405E01023</t>
  </si>
  <si>
    <t>UPL LIMITED</t>
  </si>
  <si>
    <t>INE628A01036</t>
  </si>
  <si>
    <t>URAVI T AND WEDGE LAMPS LIMITED</t>
  </si>
  <si>
    <t>INE568Z01015</t>
  </si>
  <si>
    <t>URJA GLOBAL LIMITED</t>
  </si>
  <si>
    <t>INE550C01020</t>
  </si>
  <si>
    <t>URJAGLOBA</t>
  </si>
  <si>
    <t>USHA MARTIN LTD.</t>
  </si>
  <si>
    <t>INE228A01035</t>
  </si>
  <si>
    <t>UDAYSHIVAKUMAR INFRA LIMITED</t>
  </si>
  <si>
    <t>INE0N0Y01013</t>
  </si>
  <si>
    <t>UTI ASSET MANAGEMENT COMPANY LIMITED</t>
  </si>
  <si>
    <t>INE094J01016</t>
  </si>
  <si>
    <t>UTKARSH SMALL FINANCE BANK LIMITED</t>
  </si>
  <si>
    <t>INE735W01017</t>
  </si>
  <si>
    <t>UTTAM SUGAR MILLS LTD</t>
  </si>
  <si>
    <t>INE786F01031</t>
  </si>
  <si>
    <t>V2 RETAIL LIMITED</t>
  </si>
  <si>
    <t>INE945H01013</t>
  </si>
  <si>
    <t>VADILAL INDUSTRIES LTD.,</t>
  </si>
  <si>
    <t>INE694D01016</t>
  </si>
  <si>
    <t>VAIBHAV GLOBAL LTD</t>
  </si>
  <si>
    <t>INE884A01027</t>
  </si>
  <si>
    <t>VAISHALI PHARMA LTD.</t>
  </si>
  <si>
    <t>INE972X01014</t>
  </si>
  <si>
    <t>VAKRANGEE LIMITED</t>
  </si>
  <si>
    <t>INE051B01021</t>
  </si>
  <si>
    <t>VALIANT LABORATORIES LIMITED</t>
  </si>
  <si>
    <t>INE0JWS01017</t>
  </si>
  <si>
    <t>VALIANT ORGANICS LIMITED</t>
  </si>
  <si>
    <t>INE565V01010</t>
  </si>
  <si>
    <t>VARDHAMAN ACRYLICS LTD.</t>
  </si>
  <si>
    <t>INE116G01013</t>
  </si>
  <si>
    <t>VARDHMAN POLYTEX LTD.,</t>
  </si>
  <si>
    <t>INE835A01011</t>
  </si>
  <si>
    <t>VARROC ENGINEERING LIMITED</t>
  </si>
  <si>
    <t>INE665L01035</t>
  </si>
  <si>
    <t>VASCON ENGINEERS LIMITED</t>
  </si>
  <si>
    <t>INE893I01013</t>
  </si>
  <si>
    <t>VASWANI INDUSTRIES LIMITED</t>
  </si>
  <si>
    <t>INE590L01019</t>
  </si>
  <si>
    <t>VARUN BEVERAGES LIMITED</t>
  </si>
  <si>
    <t>INE200M01021</t>
  </si>
  <si>
    <t>VAXTEX COTFAB LTD.</t>
  </si>
  <si>
    <t>INE098201036</t>
  </si>
  <si>
    <t>VEDANTA LIMITED</t>
  </si>
  <si>
    <t>INE205A01025</t>
  </si>
  <si>
    <t>VENKY'S (INDIA) LTD.</t>
  </si>
  <si>
    <t>INE398A01010</t>
  </si>
  <si>
    <t>VENKYS</t>
  </si>
  <si>
    <t>VENUS PIPES &amp; TUBES LIMITED</t>
  </si>
  <si>
    <t>INE0JA001018</t>
  </si>
  <si>
    <t>VENUS REMEDIES LTD.</t>
  </si>
  <si>
    <t>INE411B01019</t>
  </si>
  <si>
    <t>VERANDA LEARNING SOLUTIONS LIMITED</t>
  </si>
  <si>
    <t>INE0IQ001011</t>
  </si>
  <si>
    <t>VERTOZ ADVERTISING LTD.</t>
  </si>
  <si>
    <t>INE188Y01015</t>
  </si>
  <si>
    <t>VESUVIUS INDIA LTD.</t>
  </si>
  <si>
    <t>INE386A01015</t>
  </si>
  <si>
    <t>INE918N01018</t>
  </si>
  <si>
    <t>V-GUARD INDUSTRIES LTD.</t>
  </si>
  <si>
    <t>INE951I01027</t>
  </si>
  <si>
    <t>VARDHMAN HOLDINGS LIMITED</t>
  </si>
  <si>
    <t>INE701A01023</t>
  </si>
  <si>
    <t>VIDHI SPECIALTY FOOD INGREDIENTS LIMITED</t>
  </si>
  <si>
    <t>INE632C01026</t>
  </si>
  <si>
    <t>VIJAYA DIAGNOSTIC CENTRE LIMITED</t>
  </si>
  <si>
    <t>INE043W01024</t>
  </si>
  <si>
    <t>INE159N01027</t>
  </si>
  <si>
    <t>VFL</t>
  </si>
  <si>
    <t>VIKAS ECOTECH LIMITED</t>
  </si>
  <si>
    <t>INE806A01020</t>
  </si>
  <si>
    <t>INE161L01027</t>
  </si>
  <si>
    <t>VIMTA LABS LTD.</t>
  </si>
  <si>
    <t>INE579C01029</t>
  </si>
  <si>
    <t>VINATI ORGANICS LTD.,</t>
  </si>
  <si>
    <t>INE410B01037</t>
  </si>
  <si>
    <t>VINDHYA TELELINKS LTD.,</t>
  </si>
  <si>
    <t>INE707A01012</t>
  </si>
  <si>
    <t>VINEET LABORATORIES LIMITED</t>
  </si>
  <si>
    <t>INE505Y01010</t>
  </si>
  <si>
    <t>INE01KI01027</t>
  </si>
  <si>
    <t>VINYL CHEMICALS (INDIA) LTD.,</t>
  </si>
  <si>
    <t>INE250B01029</t>
  </si>
  <si>
    <t>VIP CLOTHING LIMITED</t>
  </si>
  <si>
    <t>INE450G01024</t>
  </si>
  <si>
    <t>V.I.P. INDUSTRIES LTD.,</t>
  </si>
  <si>
    <t>INE054A01027</t>
  </si>
  <si>
    <t>VIPUL LIMITED</t>
  </si>
  <si>
    <t>INE946H01037</t>
  </si>
  <si>
    <t>VIPUL</t>
  </si>
  <si>
    <t>VIRINCHI LIMITED</t>
  </si>
  <si>
    <t>INE539B01017</t>
  </si>
  <si>
    <t>VISAKA INDUSTRIES LTD.,</t>
  </si>
  <si>
    <t>INE392A01021</t>
  </si>
  <si>
    <t>VISA STEEL LIMITED</t>
  </si>
  <si>
    <t>INE286H01012</t>
  </si>
  <si>
    <t>VISESH INFOTECNICS LTD.</t>
  </si>
  <si>
    <t>INE861A01058</t>
  </si>
  <si>
    <t>VISHNU CHEMICALS LIMITED</t>
  </si>
  <si>
    <t>INE270I01022</t>
  </si>
  <si>
    <t>VISHWARAJ SUGAR INDUSTRIES LIMITED</t>
  </si>
  <si>
    <t>INE430N01022</t>
  </si>
  <si>
    <t>VISAGAR POLYTEX LTD</t>
  </si>
  <si>
    <t>INE370E01029</t>
  </si>
  <si>
    <t>VL E-GOVERNANCE &amp; IT SOLUTIONS LIMITED</t>
  </si>
  <si>
    <t>INE03HW01020</t>
  </si>
  <si>
    <t>VLS FINANCE LIMITED</t>
  </si>
  <si>
    <t>INE709A01018</t>
  </si>
  <si>
    <t>V-MART RETAIL LIMITED</t>
  </si>
  <si>
    <t>INE665J01013</t>
  </si>
  <si>
    <t>INE540H01012</t>
  </si>
  <si>
    <t>VOLTAS LTD.,</t>
  </si>
  <si>
    <t>INE226A01021</t>
  </si>
  <si>
    <t>VISHNU PRAKASH R PUNGLIA LIMITED</t>
  </si>
  <si>
    <t>INE0AE001013</t>
  </si>
  <si>
    <t>VRL LOGISTICS LIMITED</t>
  </si>
  <si>
    <t>INE366I01010</t>
  </si>
  <si>
    <t>VARDHMAN SPECIAL STEELS LTD</t>
  </si>
  <si>
    <t>INE050M01012</t>
  </si>
  <si>
    <t>VST INDUSTRIES LTD.,</t>
  </si>
  <si>
    <t>INE710A01016</t>
  </si>
  <si>
    <t>V.S.T.TILLERS TRACTORS LTD.</t>
  </si>
  <si>
    <t>INE764D01017</t>
  </si>
  <si>
    <t>VARDHMAN TEXTILES LIMTED</t>
  </si>
  <si>
    <t>INE825A01020</t>
  </si>
  <si>
    <t>VA TECH WABAG LIMITED</t>
  </si>
  <si>
    <t>INE956G01038</t>
  </si>
  <si>
    <t>WALCHANDNAGAR INDUSTRIES LTD</t>
  </si>
  <si>
    <t>INE711A01022</t>
  </si>
  <si>
    <t>WANBURY LIMITED</t>
  </si>
  <si>
    <t>INE107F01022</t>
  </si>
  <si>
    <t>WEALTH FIRST PORTFOLIO MANAGERS LTD.</t>
  </si>
  <si>
    <t>INE658T01017</t>
  </si>
  <si>
    <t>WEBSOL ENERGY SYSTEM LIMITED</t>
  </si>
  <si>
    <t>INE855C01015</t>
  </si>
  <si>
    <t>WEIZMANN LIMITED.,</t>
  </si>
  <si>
    <t>INE080A01014</t>
  </si>
  <si>
    <t>INE02WG01016</t>
  </si>
  <si>
    <t>WELSPUN CORP LIMITED</t>
  </si>
  <si>
    <t>INE191B01025</t>
  </si>
  <si>
    <t>WELSPUN ENTERPRISES LIMITED</t>
  </si>
  <si>
    <t>INE625G01013</t>
  </si>
  <si>
    <t>WELSPUN INVESTMENTS AND COMMERCIALS LTD.</t>
  </si>
  <si>
    <t>INE389K01018</t>
  </si>
  <si>
    <t>WELSPUN LIVING LIMITED</t>
  </si>
  <si>
    <t>INE192B01031</t>
  </si>
  <si>
    <t>WELSPUNLIV</t>
  </si>
  <si>
    <t>WENDT (INDIA) LTD.,</t>
  </si>
  <si>
    <t>INE274C01019</t>
  </si>
  <si>
    <t>INE274F01020</t>
  </si>
  <si>
    <t>INE082W01014</t>
  </si>
  <si>
    <t>INE715A01015</t>
  </si>
  <si>
    <t>WHIRLPOOL OF INDIA LTD</t>
  </si>
  <si>
    <t>INE716A01013</t>
  </si>
  <si>
    <t>WILLIAM MAGOR &amp; COMPANY LIMITED</t>
  </si>
  <si>
    <t>INE210A01017</t>
  </si>
  <si>
    <t>WINDLAS BIOTECH LIMITED</t>
  </si>
  <si>
    <t>INE0H5O01029</t>
  </si>
  <si>
    <t>WINDSOR MACHINES LIMITED</t>
  </si>
  <si>
    <t>INE052A01021</t>
  </si>
  <si>
    <t>WINSOME YARNS LTD.</t>
  </si>
  <si>
    <t>INE784B01035</t>
  </si>
  <si>
    <t>THE WESTERN INDIA PLYWOODS LTD.</t>
  </si>
  <si>
    <t>INE215F01023</t>
  </si>
  <si>
    <t>WIPRO  LTD.,</t>
  </si>
  <si>
    <t>INE075A01022</t>
  </si>
  <si>
    <t>WOCKHARDT LTD</t>
  </si>
  <si>
    <t>INE049B01025</t>
  </si>
  <si>
    <t>WONDERLA HOLIDAYS LIMITED</t>
  </si>
  <si>
    <t>INE066O01014</t>
  </si>
  <si>
    <t>WORTH PERIPHERALS LTD.</t>
  </si>
  <si>
    <t>INE196Y01018</t>
  </si>
  <si>
    <t>W.S. INDUSTRIES (INDIA) LTD.,</t>
  </si>
  <si>
    <t>INE100D01014</t>
  </si>
  <si>
    <t>WSIND</t>
  </si>
  <si>
    <t>WEST COAST PAPER MILLS LIMITED</t>
  </si>
  <si>
    <t>INE976A01021</t>
  </si>
  <si>
    <t>XCHANGING SOLUTIONS LIMITED</t>
  </si>
  <si>
    <t>INE692G01013</t>
  </si>
  <si>
    <t>XELPMOC DESIGN AND TECH LIMITED</t>
  </si>
  <si>
    <t>INE01P501012</t>
  </si>
  <si>
    <t>XPRO INDIA LTD.</t>
  </si>
  <si>
    <t>INE445C01015</t>
  </si>
  <si>
    <t>YAARI DIGITAL INTEGRATED SERVICES LTD</t>
  </si>
  <si>
    <t>INE126M01010</t>
  </si>
  <si>
    <t>INE616Z01012</t>
  </si>
  <si>
    <t>YATHARTH HOSPITAL &amp; TRAUMA CARE SERVICES LIMITED</t>
  </si>
  <si>
    <t>INE0JO301016</t>
  </si>
  <si>
    <t>YATRA ONLINE LIMITED</t>
  </si>
  <si>
    <t>INE0JR601024</t>
  </si>
  <si>
    <t>YES BANK LTD.</t>
  </si>
  <si>
    <t>INE528G01035</t>
  </si>
  <si>
    <t>YUKEN INDIA LTD.,</t>
  </si>
  <si>
    <t>INE384C01016</t>
  </si>
  <si>
    <t>ZAGGLE PREPAID OCEAN SERVICES LIMITED</t>
  </si>
  <si>
    <t>INE07K301024</t>
  </si>
  <si>
    <t>ZEE ENTERTAINMENT ENTERPRISES LTD.</t>
  </si>
  <si>
    <t>INE256A01028</t>
  </si>
  <si>
    <t>INE565L01011</t>
  </si>
  <si>
    <t>ZEE MEDIA CORPORATION LIMITED</t>
  </si>
  <si>
    <t>INE966H01019</t>
  </si>
  <si>
    <t>ZENITH EXPORTS LTD.</t>
  </si>
  <si>
    <t>INE058B01018</t>
  </si>
  <si>
    <t>ZENITH STEEL PIPES AND  INDUSTRIES LIMITED</t>
  </si>
  <si>
    <t>INE318D01020</t>
  </si>
  <si>
    <t>ZENSAR TECHNOLOGIES LTD.</t>
  </si>
  <si>
    <t>INE520A01027</t>
  </si>
  <si>
    <t>ZEN TECHNOLOGIES LTD.</t>
  </si>
  <si>
    <t>INE251B01027</t>
  </si>
  <si>
    <t>ZF COMMERCIAL VEHICLE CONTROL SYSTEMS INDIA LIMITED</t>
  </si>
  <si>
    <t>INE342J01019</t>
  </si>
  <si>
    <t>ZIM LABORATORIES LIMITED</t>
  </si>
  <si>
    <t>INE518E01015</t>
  </si>
  <si>
    <t>ZODIAC ENERGY LIMITED</t>
  </si>
  <si>
    <t>INE761Y01019</t>
  </si>
  <si>
    <t>ZODIAC CLOTHING CO. LTD.</t>
  </si>
  <si>
    <t>INE206B01013</t>
  </si>
  <si>
    <t>ZOMATO LIMITED</t>
  </si>
  <si>
    <t>INE758T01015</t>
  </si>
  <si>
    <t>ZOTA HEALTH CARE LTD.</t>
  </si>
  <si>
    <t>INE358U01012</t>
  </si>
  <si>
    <t>INE840M01016</t>
  </si>
  <si>
    <t>INE217A01012</t>
  </si>
  <si>
    <t>ZYDUS LIFESCIENCES LIMITED</t>
  </si>
  <si>
    <t>INE010B01027</t>
  </si>
  <si>
    <t>ZYDUS WELLNESS LIMITED</t>
  </si>
  <si>
    <t>INE768C01010</t>
  </si>
  <si>
    <t>ABBOTT INDIA LTD.</t>
  </si>
  <si>
    <t>INE358A01014</t>
  </si>
  <si>
    <t>BAYER CROPSCIENCE LIMITED.</t>
  </si>
  <si>
    <t>INE462A01022</t>
  </si>
  <si>
    <t>MULTI COMMODITY EXCHANGE OF INDIA LTD</t>
  </si>
  <si>
    <t>INE745G01035</t>
  </si>
  <si>
    <t>EUREKA FORBES LIMITED</t>
  </si>
  <si>
    <t>INE0KCE01017</t>
  </si>
  <si>
    <t>EUREKAFORBE</t>
  </si>
  <si>
    <t>AUTHUM INVESTMENT &amp; INFRASTRUCTURE LIMITED</t>
  </si>
  <si>
    <t>INE206F01022</t>
  </si>
  <si>
    <t>AIIL</t>
  </si>
  <si>
    <t>NATIONAL STANDARD (INDIA) LIMITED</t>
  </si>
  <si>
    <t>INE166R01015</t>
  </si>
  <si>
    <t> NATIONSTD</t>
  </si>
  <si>
    <t>KAMA HOLDINGS LIMITED</t>
  </si>
  <si>
    <t>INE411F01010</t>
  </si>
  <si>
    <t>KAMAHOLD</t>
  </si>
  <si>
    <t>BENGAL &amp; ASSAM COMPANY LIMITED</t>
  </si>
  <si>
    <t>INE083K01017</t>
  </si>
  <si>
    <t>BENGALASM</t>
  </si>
  <si>
    <t>KIRLOSKAR FERROUS INDUSTRIES LTD.</t>
  </si>
  <si>
    <t>INE884B01025</t>
  </si>
  <si>
    <t>KIRLFER</t>
  </si>
  <si>
    <t>ELANTAS BECK INDIA LTD</t>
  </si>
  <si>
    <t>INE280B01018</t>
  </si>
  <si>
    <t>ELANTAS</t>
  </si>
  <si>
    <t>KENNAMETAL INDIA LIMTIED</t>
  </si>
  <si>
    <t>INE717A01029</t>
  </si>
  <si>
    <t>KENNAMET</t>
  </si>
  <si>
    <t>INE613C01018</t>
  </si>
  <si>
    <t>MCLOUD</t>
  </si>
  <si>
    <t>PROTEAN EGOV TECHNOLOGIES LIMITED</t>
  </si>
  <si>
    <t>INE004A01022</t>
  </si>
  <si>
    <t>PROTEAN</t>
  </si>
  <si>
    <t>INE341O01029</t>
  </si>
  <si>
    <t>SITAL</t>
  </si>
  <si>
    <t>FORCE MOTORS LIMITED</t>
  </si>
  <si>
    <t>INE451A01017</t>
  </si>
  <si>
    <t>FORCEMOT</t>
  </si>
  <si>
    <t>LLOYDS ENTERPRISES LIMITED</t>
  </si>
  <si>
    <t>INE080I01025</t>
  </si>
  <si>
    <t>LLOYDSENT</t>
  </si>
  <si>
    <t>HAWKINS COOKER LTD.</t>
  </si>
  <si>
    <t>INE979B01015</t>
  </si>
  <si>
    <t>HAWKINCOOK</t>
  </si>
  <si>
    <t>NIRLON LIMITED,</t>
  </si>
  <si>
    <t>INE910A01012</t>
  </si>
  <si>
    <t>NIRLON</t>
  </si>
  <si>
    <t>ADITYA VISION LIMITED</t>
  </si>
  <si>
    <t>INE679V01019</t>
  </si>
  <si>
    <t>AVL</t>
  </si>
  <si>
    <t>GOODYEAR INDIA LTD.,</t>
  </si>
  <si>
    <t>INE533A01012</t>
  </si>
  <si>
    <t>GOODYEAR</t>
  </si>
  <si>
    <t>KOVAI MEDICAL CENTER &amp; HOSPITAL LTD</t>
  </si>
  <si>
    <t>INE177F01017</t>
  </si>
  <si>
    <t>KOVAI</t>
  </si>
  <si>
    <t>WPIL LTD</t>
  </si>
  <si>
    <t>INE765D01014</t>
  </si>
  <si>
    <t>WPIL</t>
  </si>
  <si>
    <t>INE299N01013</t>
  </si>
  <si>
    <t>WAAREERTL</t>
  </si>
  <si>
    <t>GRAUER &amp; WEIL (INDIA) LTD.,</t>
  </si>
  <si>
    <t>INE266D01021</t>
  </si>
  <si>
    <t>GRAUWEIL</t>
  </si>
  <si>
    <t>INE618R01015</t>
  </si>
  <si>
    <t>SGFIN</t>
  </si>
  <si>
    <t>INE052T01013</t>
  </si>
  <si>
    <t>BESTAGRO</t>
  </si>
  <si>
    <t>SPICEJET LIMITED</t>
  </si>
  <si>
    <t>INE285B01017</t>
  </si>
  <si>
    <t>SPICEJET</t>
  </si>
  <si>
    <t>MEDIA MATRIX WORLDWIDE LTD.</t>
  </si>
  <si>
    <t>INE200D01020</t>
  </si>
  <si>
    <t>MMWL</t>
  </si>
  <si>
    <t>AVANTEL LIMITED</t>
  </si>
  <si>
    <t>INE005B01027</t>
  </si>
  <si>
    <t>AVANTEL</t>
  </si>
  <si>
    <t>SG MART LIMITED</t>
  </si>
  <si>
    <t>INE385F01016</t>
  </si>
  <si>
    <t>SGMART</t>
  </si>
  <si>
    <t>INE0HR601026</t>
  </si>
  <si>
    <t>DDEVPLASTIK</t>
  </si>
  <si>
    <t>CITURGIA BIOCHEMICALS LTD.,</t>
  </si>
  <si>
    <t>INE795B01031</t>
  </si>
  <si>
    <t>CITURGIA</t>
  </si>
  <si>
    <t>INE011E01029</t>
  </si>
  <si>
    <t>BALUFORGE</t>
  </si>
  <si>
    <t>TANFAC INDUSTRIES LTD.,</t>
  </si>
  <si>
    <t>INE639B01015</t>
  </si>
  <si>
    <t>TANFACIND</t>
  </si>
  <si>
    <t>INE731F01037</t>
  </si>
  <si>
    <t>WELSPLSOL</t>
  </si>
  <si>
    <t>PAUSHAK LIMITED (FORMERLY KNOWN AS DARSHAK LIMITED)</t>
  </si>
  <si>
    <t>INE111F01016</t>
  </si>
  <si>
    <t>PAUSHAKLTD</t>
  </si>
  <si>
    <t>DISA INDIA LTD.</t>
  </si>
  <si>
    <t>INE131C01011</t>
  </si>
  <si>
    <t>DISAQ</t>
  </si>
  <si>
    <t>INE162D01014</t>
  </si>
  <si>
    <t>EMRALD</t>
  </si>
  <si>
    <t>JYOTI RESINS &amp; ADHESIVES LTD,</t>
  </si>
  <si>
    <t>INE577D01013</t>
  </si>
  <si>
    <t>JYOTIRES</t>
  </si>
  <si>
    <t>NOVARTIS INDIA LIMITED.</t>
  </si>
  <si>
    <t>INE234A01025</t>
  </si>
  <si>
    <t>NOVARTIND</t>
  </si>
  <si>
    <t>UDAIPUR CEMENT WORKS LIMITED</t>
  </si>
  <si>
    <t>INE225C01029</t>
  </si>
  <si>
    <t>UDAICEMENT</t>
  </si>
  <si>
    <t>TIMEX GROUP INDIA LTD</t>
  </si>
  <si>
    <t>INE064A01026</t>
  </si>
  <si>
    <t>TIMEX</t>
  </si>
  <si>
    <t>INE935B01025</t>
  </si>
  <si>
    <t>MOSCHIP</t>
  </si>
  <si>
    <t>LANCER CONTAINER LINES LIMITED</t>
  </si>
  <si>
    <t>INE359U01028</t>
  </si>
  <si>
    <t>LANCER</t>
  </si>
  <si>
    <t>D P S C Ltd</t>
  </si>
  <si>
    <t xml:space="preserve">INE360C01024   </t>
  </si>
  <si>
    <t>PICCADILY AGRO INDUSTRIES LTD.</t>
  </si>
  <si>
    <t>INE546C01010</t>
  </si>
  <si>
    <t>PICCADIL</t>
  </si>
  <si>
    <t>KNOWLEDGE MARINE &amp; ENGINEERING WORKS LIMITED</t>
  </si>
  <si>
    <t>INE0CJD01011</t>
  </si>
  <si>
    <t>KMEW</t>
  </si>
  <si>
    <t>ANDREW YULE &amp; COMPANY LTD</t>
  </si>
  <si>
    <t>INE449C01025</t>
  </si>
  <si>
    <t>ANDREWYU</t>
  </si>
  <si>
    <t xml:space="preserve">POLO QUEEN INDUSTRIAL AND FINTECH LIMITED </t>
  </si>
  <si>
    <t>INE689M01025</t>
  </si>
  <si>
    <t>PQIF</t>
  </si>
  <si>
    <t>INE515A01019</t>
  </si>
  <si>
    <t>COCKERILL</t>
  </si>
  <si>
    <t>DECCAN GOLD MINES LTD.</t>
  </si>
  <si>
    <t>INE945F01025</t>
  </si>
  <si>
    <t>DECNGOLD</t>
  </si>
  <si>
    <t>SHILCHAR TECHNOLOGIES LTD.</t>
  </si>
  <si>
    <t>INE024F01011</t>
  </si>
  <si>
    <t>SHILCTECH</t>
  </si>
  <si>
    <t>PRIMO CHEMICALS LIMITED</t>
  </si>
  <si>
    <t>INE607A01022</t>
  </si>
  <si>
    <t>PRIMO</t>
  </si>
  <si>
    <t>MISHTANN FOODS LIMITED</t>
  </si>
  <si>
    <t>INE094S01041</t>
  </si>
  <si>
    <t xml:space="preserve">MISHTANN </t>
  </si>
  <si>
    <t>MISHTANN</t>
  </si>
  <si>
    <t>INE912T01018</t>
  </si>
  <si>
    <t>RPEL</t>
  </si>
  <si>
    <t>RACL GEARTECH LIMITED</t>
  </si>
  <si>
    <t>INE704B01017</t>
  </si>
  <si>
    <t>RACLGEAR</t>
  </si>
  <si>
    <t>KMC SPECIALITY HOSPITALS INDIA LIMITED</t>
  </si>
  <si>
    <t>INE879K01018</t>
  </si>
  <si>
    <t>KMCSHIL</t>
  </si>
  <si>
    <t>GUJARAT THEMIS BIOSYN LTD.</t>
  </si>
  <si>
    <t>INE942C01045</t>
  </si>
  <si>
    <t>GUJTHEM</t>
  </si>
  <si>
    <t>INE549S01028</t>
  </si>
  <si>
    <t>REMLIFE</t>
  </si>
  <si>
    <t>ELPRO INTERNATIONAL LTD.,</t>
  </si>
  <si>
    <t>INE579B01039</t>
  </si>
  <si>
    <t>ELPROINTL</t>
  </si>
  <si>
    <t>INE078T01026</t>
  </si>
  <si>
    <t>KRRAIL</t>
  </si>
  <si>
    <t>ASIAN STAR CO. LTD.</t>
  </si>
  <si>
    <t>INE194D01017</t>
  </si>
  <si>
    <t>ASTAR</t>
  </si>
  <si>
    <t>LS INDUSTRIES LIMITED</t>
  </si>
  <si>
    <t>INE345D01031</t>
  </si>
  <si>
    <t>LSIND</t>
  </si>
  <si>
    <t>PERMANENT MAGNETS LTD.</t>
  </si>
  <si>
    <t>INE418E01018</t>
  </si>
  <si>
    <t>PERMAGN</t>
  </si>
  <si>
    <t>EKI ENERGY SERVICES LIMITED</t>
  </si>
  <si>
    <t>INE0CPR01018</t>
  </si>
  <si>
    <t>EKI</t>
  </si>
  <si>
    <t>HAMPTON SKY REALTY LIMITED</t>
  </si>
  <si>
    <t>INE299D01022</t>
  </si>
  <si>
    <t>HAMPTON</t>
  </si>
  <si>
    <t>INE722B01019</t>
  </si>
  <si>
    <t>PRAVEG</t>
  </si>
  <si>
    <t>SANMIT INFRA LIMITED</t>
  </si>
  <si>
    <t>INE799C01031</t>
  </si>
  <si>
    <t>SANINFRA</t>
  </si>
  <si>
    <t>BEEKAY STEEL INDUSTRIES LTD.</t>
  </si>
  <si>
    <t>INE213D01015</t>
  </si>
  <si>
    <t>BEEKAY</t>
  </si>
  <si>
    <t>INE945P01024</t>
  </si>
  <si>
    <t>WARDINMOBI</t>
  </si>
  <si>
    <t>ULTRAMARINE &amp; PIGMENTS LTD.,</t>
  </si>
  <si>
    <t>INE405A01021</t>
  </si>
  <si>
    <t>ULTRAMAR</t>
  </si>
  <si>
    <t>INE284B01028</t>
  </si>
  <si>
    <t>TGVSL</t>
  </si>
  <si>
    <t>K.P. ENERGY LIMITED</t>
  </si>
  <si>
    <t>INE127T01021</t>
  </si>
  <si>
    <t>KPEL</t>
  </si>
  <si>
    <t>BLUE CLOUD SOFTECH SOLUTIONS LIMITED</t>
  </si>
  <si>
    <t>INE373T01039</t>
  </si>
  <si>
    <t>BLUECLOUDS</t>
  </si>
  <si>
    <t>FILATEX FASHIONS LTD</t>
  </si>
  <si>
    <t>INE185E01013</t>
  </si>
  <si>
    <t>FILATFASH</t>
  </si>
  <si>
    <t>DR.AGARWALS EYE HOSPITAL LTD.</t>
  </si>
  <si>
    <t>INE934C01018</t>
  </si>
  <si>
    <t>DRAGARWQ</t>
  </si>
  <si>
    <t>CRESSANDA SOLUTIONS LTD.</t>
  </si>
  <si>
    <t>INE716D01033</t>
  </si>
  <si>
    <t>CRESSAN</t>
  </si>
  <si>
    <t>SHANTI EDUCATIONAL INITIATIVES LIMITED</t>
  </si>
  <si>
    <t>INE440T01028</t>
  </si>
  <si>
    <t>SEIL</t>
  </si>
  <si>
    <t>SAINT-GOBAIN SEKURIT INDIA LTD.</t>
  </si>
  <si>
    <t>INE068B01017</t>
  </si>
  <si>
    <t>SAINTGOBAIN</t>
  </si>
  <si>
    <t>TRANSPEK INDUSTRY LTD.,</t>
  </si>
  <si>
    <t>INE687A01016</t>
  </si>
  <si>
    <t>TRANSPEK</t>
  </si>
  <si>
    <t>ENKEI WHEELS (INDIA) LIMITED</t>
  </si>
  <si>
    <t>INE130L01014</t>
  </si>
  <si>
    <t>ENKEIWHEL</t>
  </si>
  <si>
    <t>SHIVA CEMENT LTD.</t>
  </si>
  <si>
    <t>INE555C01029</t>
  </si>
  <si>
    <t>SHIVACEM</t>
  </si>
  <si>
    <t>INE886D01026</t>
  </si>
  <si>
    <t>EFCIL</t>
  </si>
  <si>
    <t>JAYBHARAT TEXTILES AND REAL ESTATE LIMITED</t>
  </si>
  <si>
    <t>INE091E01039</t>
  </si>
  <si>
    <t>JAYTEX</t>
  </si>
  <si>
    <t>INE374E01021</t>
  </si>
  <si>
    <t>BMW</t>
  </si>
  <si>
    <t>INE400A01014</t>
  </si>
  <si>
    <t>TUTIALKA</t>
  </si>
  <si>
    <t>INDIA SOLOMON HOLDINGS LIMITED</t>
  </si>
  <si>
    <t>INE00WT01013</t>
  </si>
  <si>
    <t>ISHL</t>
  </si>
  <si>
    <t>RAJNISH WELLNESS LIMITED</t>
  </si>
  <si>
    <t>INE685Z01033</t>
  </si>
  <si>
    <t>RAJNISH</t>
  </si>
  <si>
    <t>INE345H01016</t>
  </si>
  <si>
    <t>CIFL</t>
  </si>
  <si>
    <t>BALMER LAWRIE INVESTMENTS LTD.</t>
  </si>
  <si>
    <t>INE525F01017</t>
  </si>
  <si>
    <t>BLIL</t>
  </si>
  <si>
    <t>INE966A01022</t>
  </si>
  <si>
    <t>INE763M01028</t>
  </si>
  <si>
    <t>MERCURYEV</t>
  </si>
  <si>
    <t>FINKURVE FINANCIAL SERVICES LIMITED</t>
  </si>
  <si>
    <t>INE734I01027</t>
  </si>
  <si>
    <t>FINKURVE</t>
  </si>
  <si>
    <t>INE0LGX01016</t>
  </si>
  <si>
    <t>INA</t>
  </si>
  <si>
    <t>FORBES &amp; COMPANY LTD</t>
  </si>
  <si>
    <t>INE518A01013</t>
  </si>
  <si>
    <t>FORBESCO</t>
  </si>
  <si>
    <t>MAFATLAL INDUSTRIES LTD.,</t>
  </si>
  <si>
    <t>INE270B01035</t>
  </si>
  <si>
    <t>MAFATIND</t>
  </si>
  <si>
    <t>AUTOMOBILE CORPN. OF GOA LTD.,</t>
  </si>
  <si>
    <t>INE451C01013</t>
  </si>
  <si>
    <t>ACGL</t>
  </si>
  <si>
    <t>DAVANGERE SUGAR COMPANY LIMITED</t>
  </si>
  <si>
    <t>INE179G01011</t>
  </si>
  <si>
    <t>DAVANGERE</t>
  </si>
  <si>
    <t>INTEGRA ENGINEERING INDIA LTD.</t>
  </si>
  <si>
    <t>INE984B01023</t>
  </si>
  <si>
    <t>INTEGRAEN</t>
  </si>
  <si>
    <t>SAURASHTRA CEMENT LIMITED</t>
  </si>
  <si>
    <t>INE626A01014</t>
  </si>
  <si>
    <t>SAURASHCEM</t>
  </si>
  <si>
    <t>EXDON TRADING CO. LTD.,</t>
  </si>
  <si>
    <t>INE204I01013</t>
  </si>
  <si>
    <t>ZEXDONTR</t>
  </si>
  <si>
    <t>GLOSTER LTD</t>
  </si>
  <si>
    <t>INE350Z01018</t>
  </si>
  <si>
    <t>GLOSTERLTD</t>
  </si>
  <si>
    <t>IST LIMITED</t>
  </si>
  <si>
    <t>INE684B01029</t>
  </si>
  <si>
    <t>ISTLTD</t>
  </si>
  <si>
    <t>AXTEL INDUSTRIES LTD.</t>
  </si>
  <si>
    <t>INE767C01012</t>
  </si>
  <si>
    <t>AXTEL</t>
  </si>
  <si>
    <t>INE206N01018</t>
  </si>
  <si>
    <t>RELTD</t>
  </si>
  <si>
    <t>BENARES HOTELS LTD</t>
  </si>
  <si>
    <t>INE664D01019</t>
  </si>
  <si>
    <t>BENARAS</t>
  </si>
  <si>
    <t>TINNA RUBBER AND INFRASTRUCTURE LIMITED</t>
  </si>
  <si>
    <t>INE015C01016</t>
  </si>
  <si>
    <t>TINNARUBR</t>
  </si>
  <si>
    <t>MASTER TRUST LTD.</t>
  </si>
  <si>
    <t>INE677D01029</t>
  </si>
  <si>
    <t>MASTERTR</t>
  </si>
  <si>
    <t>WARDWIZARD FOODS AND BEVERAGES LIMITED</t>
  </si>
  <si>
    <t>INE761D01021</t>
  </si>
  <si>
    <t>WARDWIZFBL</t>
  </si>
  <si>
    <t>AGI INFRA LIMITED</t>
  </si>
  <si>
    <t>INE976R01017</t>
  </si>
  <si>
    <t>AGIIL</t>
  </si>
  <si>
    <t>MORGANITE CRUCIBLE (INDIA) LIMITED</t>
  </si>
  <si>
    <t>INE599F01020</t>
  </si>
  <si>
    <t>MORGANITE</t>
  </si>
  <si>
    <t>NATIONAL PEROXIDE LTD.</t>
  </si>
  <si>
    <t>INE585A01020</t>
  </si>
  <si>
    <t>NATPEROX</t>
  </si>
  <si>
    <t>VOITH PAPER FABRICS INDIA LTD</t>
  </si>
  <si>
    <t>INE285C01015</t>
  </si>
  <si>
    <t>VOITHPAPR</t>
  </si>
  <si>
    <t>KILBURN ENGINEERING LTD</t>
  </si>
  <si>
    <t>INE338F01015</t>
  </si>
  <si>
    <t>KLBRENG-B</t>
  </si>
  <si>
    <t>SUYOG TELEMATICS LIMITED</t>
  </si>
  <si>
    <t>INE442P01014</t>
  </si>
  <si>
    <t>SUYOG</t>
  </si>
  <si>
    <t>NITTA GELATIN INDIA LTD</t>
  </si>
  <si>
    <t>INE265B01019</t>
  </si>
  <si>
    <t>NITTAGELA</t>
  </si>
  <si>
    <t>RAJAPALAYAM MILLS LIMITED</t>
  </si>
  <si>
    <t>INE296E01026</t>
  </si>
  <si>
    <t>RAJPALAYAM</t>
  </si>
  <si>
    <t>INE0NJ001013</t>
  </si>
  <si>
    <t>CFF</t>
  </si>
  <si>
    <t>VERITAS (INDIA) LIMITED</t>
  </si>
  <si>
    <t>INE379J01029</t>
  </si>
  <si>
    <t>VERITAS</t>
  </si>
  <si>
    <t>RHETAN TMT LIMITED</t>
  </si>
  <si>
    <t>INE0KKN01029</t>
  </si>
  <si>
    <t>RHETAN</t>
  </si>
  <si>
    <t>WIM PLAST LTD.</t>
  </si>
  <si>
    <t>INE015B01018</t>
  </si>
  <si>
    <t>WIMPLAST</t>
  </si>
  <si>
    <t>BLACK ROSE INDUSTRIES LTD</t>
  </si>
  <si>
    <t>INE761G01016</t>
  </si>
  <si>
    <t>BLACKROSE</t>
  </si>
  <si>
    <t>TAAL ENTERPRISES LIMITED</t>
  </si>
  <si>
    <t>INE524T01011</t>
  </si>
  <si>
    <t>TAALENT</t>
  </si>
  <si>
    <t>QUINT DIGITAL LIMITED</t>
  </si>
  <si>
    <t>INE641R01017</t>
  </si>
  <si>
    <t>QUINT</t>
  </si>
  <si>
    <t>JAGATJIT INDUSTRIES LTD.,</t>
  </si>
  <si>
    <t>INE574A01016</t>
  </si>
  <si>
    <t>JAGAJITIND</t>
  </si>
  <si>
    <t>Z.F. STEERING GEAR (INDIA) LIMITED</t>
  </si>
  <si>
    <t>INE116C01012</t>
  </si>
  <si>
    <t>ZFSTEERING</t>
  </si>
  <si>
    <t>PINE ANIMATION LIMITED</t>
  </si>
  <si>
    <t>INE452N01026</t>
  </si>
  <si>
    <t>PINEANIM</t>
  </si>
  <si>
    <t>INE0EB001012</t>
  </si>
  <si>
    <t>DALMIARF</t>
  </si>
  <si>
    <t>TIERRA AGROTECH LIMITED</t>
  </si>
  <si>
    <t>INE05CY01014</t>
  </si>
  <si>
    <t>TIERRA</t>
  </si>
  <si>
    <t>NIYOGIN FINTECH LIMITED</t>
  </si>
  <si>
    <t>INE480D01010</t>
  </si>
  <si>
    <t>NIYOGIN</t>
  </si>
  <si>
    <t>SHANKAR LAL RAMPAL DYE-CHEM LIMITED</t>
  </si>
  <si>
    <t>INE01NE01012</t>
  </si>
  <si>
    <t>SRD</t>
  </si>
  <si>
    <t>NICCO PARKS AND RESORTS LTD.</t>
  </si>
  <si>
    <t>INE653C01022</t>
  </si>
  <si>
    <t>NICCOPAR</t>
  </si>
  <si>
    <t>ANUH PHARMA LTD.,</t>
  </si>
  <si>
    <t>INE489G01022</t>
  </si>
  <si>
    <t>ANUHPHR</t>
  </si>
  <si>
    <t>ORISSA SPONGE IRON AND STEEL LIMITED</t>
  </si>
  <si>
    <t>INE228D01013</t>
  </si>
  <si>
    <t>ORISSASP</t>
  </si>
  <si>
    <t>ARFIN INDIA LIMITED</t>
  </si>
  <si>
    <t>INE784R01023</t>
  </si>
  <si>
    <t>ARFIN</t>
  </si>
  <si>
    <t>BONDADA ENGINEERING LIMITED</t>
  </si>
  <si>
    <t>INE0Q8P01011</t>
  </si>
  <si>
    <t>BONDADA</t>
  </si>
  <si>
    <t>SHREE GANESH REMEDIES LIMITED</t>
  </si>
  <si>
    <t>INE414Y01015</t>
  </si>
  <si>
    <t>SGRL</t>
  </si>
  <si>
    <t>TANEJA AEROSPACE &amp; AVIATION LTD.</t>
  </si>
  <si>
    <t>INE692C01020</t>
  </si>
  <si>
    <t>TANAA</t>
  </si>
  <si>
    <t>ANDHRA PETROCHEMICALS LTD.,</t>
  </si>
  <si>
    <t>INE714B01016</t>
  </si>
  <si>
    <t>ANDHRAPET</t>
  </si>
  <si>
    <t>RAJOO ENGINEERS LTD.</t>
  </si>
  <si>
    <t>INE535F01024</t>
  </si>
  <si>
    <t>RAJOOENG</t>
  </si>
  <si>
    <t>AFFORDABLE ROBOTIC &amp; AUTOMATION LIMITED</t>
  </si>
  <si>
    <t>INE692Z01013</t>
  </si>
  <si>
    <t>AFFORDABLE</t>
  </si>
  <si>
    <t>INE149O01018</t>
  </si>
  <si>
    <t>NIBE</t>
  </si>
  <si>
    <t>SAR  AUTO PRODUCTS LIMITED</t>
  </si>
  <si>
    <t>INE002E01010</t>
  </si>
  <si>
    <t>SAPL</t>
  </si>
  <si>
    <t>EFFINGO TEXTILE &amp; TRADING LIMITED</t>
  </si>
  <si>
    <t>INE907N01029</t>
  </si>
  <si>
    <t>EFFTXT</t>
  </si>
  <si>
    <t>TAYLORMADE RENEWABLES LIMITED</t>
  </si>
  <si>
    <t>INE459Z01017</t>
  </si>
  <si>
    <t>TRL</t>
  </si>
  <si>
    <t>SUNSHIELD CHEMICALS LTD.</t>
  </si>
  <si>
    <t>INE199E01014</t>
  </si>
  <si>
    <t>SUNSHIEL</t>
  </si>
  <si>
    <t>HALDYN GLASS LIMITED</t>
  </si>
  <si>
    <t>INE506D01020</t>
  </si>
  <si>
    <t>HALDYNGL</t>
  </si>
  <si>
    <t>BRIGHT OUTDOOR MEDIA LIMITED</t>
  </si>
  <si>
    <t>INE0OMI01019</t>
  </si>
  <si>
    <t>BRIGHT</t>
  </si>
  <si>
    <t>SINGER INDIA LIMITED</t>
  </si>
  <si>
    <t>INE638A01035</t>
  </si>
  <si>
    <t>SINGER</t>
  </si>
  <si>
    <t>INE598D01027</t>
  </si>
  <si>
    <t>AQFINTECH</t>
  </si>
  <si>
    <t>SUPERSHAKTI METALIKS LIMITED</t>
  </si>
  <si>
    <t>INE00SY01011</t>
  </si>
  <si>
    <t>SUPERSHAKT</t>
  </si>
  <si>
    <t>BHARAT AGRI FERT AND REALTY LTD</t>
  </si>
  <si>
    <t>INE842D01029</t>
  </si>
  <si>
    <t>BHARATAGRI</t>
  </si>
  <si>
    <t>SHRI JAGDAMBA POLYMERS LTD</t>
  </si>
  <si>
    <t>INE564J01026</t>
  </si>
  <si>
    <t>SHRJAGP</t>
  </si>
  <si>
    <t>INE547B01028</t>
  </si>
  <si>
    <t>XTGLOBAL</t>
  </si>
  <si>
    <t>MAC CHARLES (INDIA) LTD.,</t>
  </si>
  <si>
    <t>INE435D01014</t>
  </si>
  <si>
    <t>MCCHRLS-B</t>
  </si>
  <si>
    <t>NORTHERN SPIRITS LIMITED</t>
  </si>
  <si>
    <t>INE01BL01012</t>
  </si>
  <si>
    <t>NSL</t>
  </si>
  <si>
    <t>KHAZANCHI JEWELLERS LIMITED</t>
  </si>
  <si>
    <t>INE0OWC01011</t>
  </si>
  <si>
    <t xml:space="preserve">KHAZANCHI </t>
  </si>
  <si>
    <t xml:space="preserve">THE YAMUNA SYNDICATE LTD </t>
  </si>
  <si>
    <t>INE868X01014</t>
  </si>
  <si>
    <t>YSL</t>
  </si>
  <si>
    <t>ARTSON ENGINEERING LTD</t>
  </si>
  <si>
    <t>INE133D01023</t>
  </si>
  <si>
    <t>ARTSONEN</t>
  </si>
  <si>
    <t>BAJAJ STEEL INDUSTRIES LTD.,</t>
  </si>
  <si>
    <t>INE704G01024</t>
  </si>
  <si>
    <t>BAJAJST</t>
  </si>
  <si>
    <t>EMPIRE INDUSTRIES LTD.,</t>
  </si>
  <si>
    <t>INE515H01014</t>
  </si>
  <si>
    <t>EMPIND</t>
  </si>
  <si>
    <t>INDUSTRIAL &amp; PRUDENTIAL INV. CO. LT</t>
  </si>
  <si>
    <t>INE620D01011</t>
  </si>
  <si>
    <t>INDPRUD</t>
  </si>
  <si>
    <t>SAYAJI HOTEL LTD</t>
  </si>
  <si>
    <t>INE318C01014</t>
  </si>
  <si>
    <t>SAYAJIHOTL</t>
  </si>
  <si>
    <t>PREVEST DENPRO LIMITED</t>
  </si>
  <si>
    <t>INE0GAO01018</t>
  </si>
  <si>
    <t>PREVEST</t>
  </si>
  <si>
    <t>ARTEMIS ELECTRICALS AND PROJECTS LIMITED</t>
  </si>
  <si>
    <t>INE757T01025</t>
  </si>
  <si>
    <t>AEPL</t>
  </si>
  <si>
    <t>NIKHIL ADHESIVES LTD.</t>
  </si>
  <si>
    <t>INE926C01022</t>
  </si>
  <si>
    <t>NIKHILAD</t>
  </si>
  <si>
    <t>INE457G01029</t>
  </si>
  <si>
    <t>ORIRAIL</t>
  </si>
  <si>
    <t>MAA JAGDAMBE TRADELINKS LIMITED</t>
  </si>
  <si>
    <t>INE403N01029</t>
  </si>
  <si>
    <t>MAAJTL</t>
  </si>
  <si>
    <t>VIRTUOSO OPTOELECTRONICS LIMITED</t>
  </si>
  <si>
    <t>INE0I0T01010</t>
  </si>
  <si>
    <t>VOEPL</t>
  </si>
  <si>
    <t>ASM TECHNOLOGIES LTD.</t>
  </si>
  <si>
    <t>INE867C01010</t>
  </si>
  <si>
    <t>ASMTEC</t>
  </si>
  <si>
    <t>BINNY LTD.,</t>
  </si>
  <si>
    <t>INE118K01011</t>
  </si>
  <si>
    <t>BINNY</t>
  </si>
  <si>
    <t>KSE LTD.</t>
  </si>
  <si>
    <t>INE953E01014</t>
  </si>
  <si>
    <t>KSE</t>
  </si>
  <si>
    <t>INE655V01019</t>
  </si>
  <si>
    <t>RMC</t>
  </si>
  <si>
    <t>INE152C01025</t>
  </si>
  <si>
    <t>UYFINCORP</t>
  </si>
  <si>
    <t>INE526R01028</t>
  </si>
  <si>
    <t>STARHFL</t>
  </si>
  <si>
    <t>STOVEC INDUSTRIES LTD.</t>
  </si>
  <si>
    <t>INE755D01015</t>
  </si>
  <si>
    <t>STOVACQ</t>
  </si>
  <si>
    <t>HIGH ENERGY BATTERIES (INDIA) LTD.,</t>
  </si>
  <si>
    <t>INE783E01023</t>
  </si>
  <si>
    <t>HIGHENE</t>
  </si>
  <si>
    <t>INE296Q01012</t>
  </si>
  <si>
    <t>MONEYBOXX</t>
  </si>
  <si>
    <t>KILPEST INDIA LTD.</t>
  </si>
  <si>
    <t>INE994E01018</t>
  </si>
  <si>
    <t>KILPEST</t>
  </si>
  <si>
    <t>INE302D01016</t>
  </si>
  <si>
    <t>RIR</t>
  </si>
  <si>
    <t>SYSTEMATIX CORPORATE SERVICES LTD.</t>
  </si>
  <si>
    <t>INE356B01016</t>
  </si>
  <si>
    <t>SYSTMTXC</t>
  </si>
  <si>
    <t>IM+ CAPITALS LIMITED</t>
  </si>
  <si>
    <t>INE417D01012</t>
  </si>
  <si>
    <t>IMCAP</t>
  </si>
  <si>
    <t>TIGER LOGISTICS (INDIA) LIMITED</t>
  </si>
  <si>
    <t>INE906O01011</t>
  </si>
  <si>
    <t>TIGERLOGS</t>
  </si>
  <si>
    <t>RAGHUVIR SYNTHETICS LTD.</t>
  </si>
  <si>
    <t>INE969C01022</t>
  </si>
  <si>
    <t>RAGHUSYN</t>
  </si>
  <si>
    <t>INE594W01034</t>
  </si>
  <si>
    <t>STARLENT</t>
  </si>
  <si>
    <t>SEALMATIC INDIA LIMITED</t>
  </si>
  <si>
    <t>INE0O4601016</t>
  </si>
  <si>
    <t>SEALMATIC</t>
  </si>
  <si>
    <t xml:space="preserve">WAAREE TECHNOLOGIES LIMITED </t>
  </si>
  <si>
    <t>INE725P01012</t>
  </si>
  <si>
    <t>WAAREE</t>
  </si>
  <si>
    <t>ECO RECYCLING LIMITED</t>
  </si>
  <si>
    <t>INE316A01038</t>
  </si>
  <si>
    <t>ECORECO</t>
  </si>
  <si>
    <t>GALAXY BEARINGS LTD.</t>
  </si>
  <si>
    <t>INE020S01012</t>
  </si>
  <si>
    <t>GALXBRG</t>
  </si>
  <si>
    <t>INFLAME APPLIANCES LIMITED</t>
  </si>
  <si>
    <t>INE464Z01017</t>
  </si>
  <si>
    <t>INFLAME</t>
  </si>
  <si>
    <t>INE225B01021</t>
  </si>
  <si>
    <t>FERMENTA</t>
  </si>
  <si>
    <t>SIKA INTERPLANT SYSTEMS LTD.,</t>
  </si>
  <si>
    <t>INE438E01016</t>
  </si>
  <si>
    <t>SIKA</t>
  </si>
  <si>
    <t>CHEMCRUX ENTERPRISES LIMITED</t>
  </si>
  <si>
    <t>INE298W01016</t>
  </si>
  <si>
    <t>CHEMCRUX</t>
  </si>
  <si>
    <t>U.P. HOTELS LTD.,</t>
  </si>
  <si>
    <t>INE726E01014</t>
  </si>
  <si>
    <t>UPHOT</t>
  </si>
  <si>
    <t>INE874A01010</t>
  </si>
  <si>
    <t>MKVENTURES</t>
  </si>
  <si>
    <t>JAYKAY ENTERPRISES LIMITED</t>
  </si>
  <si>
    <t>INE903A01025</t>
  </si>
  <si>
    <t>JAYKAY</t>
  </si>
  <si>
    <t>ADVAIT INFRATECH LIMITED</t>
  </si>
  <si>
    <t>INE0ALI01010</t>
  </si>
  <si>
    <t>ADVAIT</t>
  </si>
  <si>
    <t>A.K.CAPITAL SERVICES LTD.</t>
  </si>
  <si>
    <t>INE701G01012</t>
  </si>
  <si>
    <t>AKCAPIT</t>
  </si>
  <si>
    <t>SINCLAIRS HOTELS  LTD</t>
  </si>
  <si>
    <t>INE985A01022</t>
  </si>
  <si>
    <t>SINCLAIR</t>
  </si>
  <si>
    <t>VEEFIN SOLUTIONS LIMITED</t>
  </si>
  <si>
    <t>INE0Q0M01015</t>
  </si>
  <si>
    <t>VEEFIN</t>
  </si>
  <si>
    <t>INE457P01020</t>
  </si>
  <si>
    <t>TOYAMSL</t>
  </si>
  <si>
    <t>RUBFILA INTERNATIONAL LTD.</t>
  </si>
  <si>
    <t>INE642C01025</t>
  </si>
  <si>
    <t>RUBFILA</t>
  </si>
  <si>
    <t>ADOR FONTECH LTD</t>
  </si>
  <si>
    <t>INE853A01022</t>
  </si>
  <si>
    <t>ADORFO</t>
  </si>
  <si>
    <t>BHARAT SEATS LTD</t>
  </si>
  <si>
    <t>INE415D01024</t>
  </si>
  <si>
    <t>BHARATSE</t>
  </si>
  <si>
    <t>A-1 ACID LIMITED</t>
  </si>
  <si>
    <t>INE911Z01017</t>
  </si>
  <si>
    <t>AAL</t>
  </si>
  <si>
    <t>VAARAD VENTURES LTD</t>
  </si>
  <si>
    <t>INE418B01048</t>
  </si>
  <si>
    <t>VAARAD</t>
  </si>
  <si>
    <t>UNI-ABEX ALLOY PRODUCTS LTD.,</t>
  </si>
  <si>
    <t>INE361D01012</t>
  </si>
  <si>
    <t>UNIABEXAL</t>
  </si>
  <si>
    <t>BARODA RAYON CORPN. LTD.,</t>
  </si>
  <si>
    <t>INE461A01024</t>
  </si>
  <si>
    <t>BARODARY</t>
  </si>
  <si>
    <t>HPC BIOSCIENCES LIMITED</t>
  </si>
  <si>
    <t>INE507O01025</t>
  </si>
  <si>
    <t>HPCBL</t>
  </si>
  <si>
    <t>GOODRICKE GROUP LTD.,</t>
  </si>
  <si>
    <t>INE300A01016</t>
  </si>
  <si>
    <t>GOODRICKE</t>
  </si>
  <si>
    <t>INE016Q01014</t>
  </si>
  <si>
    <t>CEINSYSTECH</t>
  </si>
  <si>
    <t>DRONEACHARYA AERIAL INNOVATIONS LIMITED</t>
  </si>
  <si>
    <t>INE0MQD01015</t>
  </si>
  <si>
    <t>DRONACHRYA</t>
  </si>
  <si>
    <t>FREDUN PHARMACEUTICALS LIMITED</t>
  </si>
  <si>
    <t>INE194R01017</t>
  </si>
  <si>
    <t>FREDUN</t>
  </si>
  <si>
    <t>DANLAW TECHNOLOGIES INDIA LTD.</t>
  </si>
  <si>
    <t>INE310B01013</t>
  </si>
  <si>
    <t>DANLAW</t>
  </si>
  <si>
    <t>INDO US BIO-TECH LIMITED</t>
  </si>
  <si>
    <t>INE250Z01010</t>
  </si>
  <si>
    <t>INDOUS</t>
  </si>
  <si>
    <t>VELJAN DENISON LIMITED</t>
  </si>
  <si>
    <t>INE232E01013</t>
  </si>
  <si>
    <t>VELJAN</t>
  </si>
  <si>
    <t>KIRAN VYAPAR LIMITED</t>
  </si>
  <si>
    <t>INE555P01013</t>
  </si>
  <si>
    <t>KIRANVYPAR</t>
  </si>
  <si>
    <t>RIDDHI SIDDHI GLUCO BIOLS LTD</t>
  </si>
  <si>
    <t>INE249D01019</t>
  </si>
  <si>
    <t>RIDDHI</t>
  </si>
  <si>
    <t>INNOVATORS FACADE SYSTEMS LIMITED</t>
  </si>
  <si>
    <t>INE870Z01015</t>
  </si>
  <si>
    <t>INNOVATORS</t>
  </si>
  <si>
    <t>VISHAL FABRICS LIMITED</t>
  </si>
  <si>
    <t>INE755Q01025</t>
  </si>
  <si>
    <t>AMAL LTD</t>
  </si>
  <si>
    <t>INE841D01013</t>
  </si>
  <si>
    <t>AMAL</t>
  </si>
  <si>
    <t>SHISH INDUSTRIES LIMITED</t>
  </si>
  <si>
    <t>INE145Y01015</t>
  </si>
  <si>
    <t>SHISHIND</t>
  </si>
  <si>
    <t>LAKSHMI ELECTRICAL CONTROL SYSTEMS</t>
  </si>
  <si>
    <t>INE284C01018</t>
  </si>
  <si>
    <t>LAKSELEC</t>
  </si>
  <si>
    <t>KWALITY PHARMACEUTICALS LIMITED</t>
  </si>
  <si>
    <t>INE552U01010</t>
  </si>
  <si>
    <t>KPL</t>
  </si>
  <si>
    <t>ADC INDIA COMMUNICATIONS LIMITED</t>
  </si>
  <si>
    <t>INE833A01016</t>
  </si>
  <si>
    <t>ADCINDIA</t>
  </si>
  <si>
    <t>VIKRAM THERMO (INDIA) LTD.</t>
  </si>
  <si>
    <t>INE337E01010</t>
  </si>
  <si>
    <t>VIKRAMTH</t>
  </si>
  <si>
    <t>INDAG RUBBER LTD.,</t>
  </si>
  <si>
    <t>INE802D01023</t>
  </si>
  <si>
    <t>INDAG</t>
  </si>
  <si>
    <t>INE717E01013</t>
  </si>
  <si>
    <t>TALBROSENG</t>
  </si>
  <si>
    <t>ZENOTECH LABORATORIES LIMITED</t>
  </si>
  <si>
    <t>INE486F01012</t>
  </si>
  <si>
    <t>ZENOTECH</t>
  </si>
  <si>
    <t>MENON PISTONS LTD.</t>
  </si>
  <si>
    <t>INE650G01029</t>
  </si>
  <si>
    <t>MENNPIS</t>
  </si>
  <si>
    <t>MODERN INSULATORS LTD.,</t>
  </si>
  <si>
    <t>INE219W01012</t>
  </si>
  <si>
    <t>MODINSU</t>
  </si>
  <si>
    <t>EXHICON EVENTS MEDIA SOLUTIONS LIMITED</t>
  </si>
  <si>
    <t>INE0O8901016</t>
  </si>
  <si>
    <t>EXHICON</t>
  </si>
  <si>
    <t>ALUFLUORIDE  LTD.</t>
  </si>
  <si>
    <t>INE058F01019</t>
  </si>
  <si>
    <t>ALUFLUOR</t>
  </si>
  <si>
    <t>ALLIANCE INTEGRATED METALIKS LIMITED</t>
  </si>
  <si>
    <t>INE123D01024</t>
  </si>
  <si>
    <t>AIML</t>
  </si>
  <si>
    <t>LOTUS CHOCOLATE CO. LTD.,</t>
  </si>
  <si>
    <t>INE026D01011</t>
  </si>
  <si>
    <t>LOTUSCHO</t>
  </si>
  <si>
    <t>DHABRIYA POLYWOOD LIMITED</t>
  </si>
  <si>
    <t>INE260R01016</t>
  </si>
  <si>
    <t>DHABRIYA</t>
  </si>
  <si>
    <t>INE010C01025</t>
  </si>
  <si>
    <t>SWISSMLTRY</t>
  </si>
  <si>
    <t>AMIC FORGING LIMITED</t>
  </si>
  <si>
    <t>INE0P9J01013</t>
  </si>
  <si>
    <t>AMIC</t>
  </si>
  <si>
    <t>SUPER SALES INDIA LTD.</t>
  </si>
  <si>
    <t>INE091C01017</t>
  </si>
  <si>
    <t>SUPER</t>
  </si>
  <si>
    <t>MESON VALVES INDIA LIMITED</t>
  </si>
  <si>
    <t>INE0OYE01013</t>
  </si>
  <si>
    <t>MESON</t>
  </si>
  <si>
    <t>NATURAL CAPSULES LTD.</t>
  </si>
  <si>
    <t>INE936B01015</t>
  </si>
  <si>
    <t>NATCAPSUQ</t>
  </si>
  <si>
    <t>MANGALAM INDUSTRIAL FINANCE LIMITED</t>
  </si>
  <si>
    <t>INE717C01025</t>
  </si>
  <si>
    <t>MANGIND</t>
  </si>
  <si>
    <t>SHREEJI TRANSLOGISTICS LIMITED</t>
  </si>
  <si>
    <t>INE402Y01028</t>
  </si>
  <si>
    <t>STL</t>
  </si>
  <si>
    <t>INE799B01017</t>
  </si>
  <si>
    <t>HUIL</t>
  </si>
  <si>
    <t>INE498Q01014</t>
  </si>
  <si>
    <t>VINCOFE</t>
  </si>
  <si>
    <t>CAPTAIN PIPES LIMITED</t>
  </si>
  <si>
    <t>INE513R01026</t>
  </si>
  <si>
    <t>CAPPIPES</t>
  </si>
  <si>
    <t>MAPRO INDUSTRIES LTD</t>
  </si>
  <si>
    <t>INE848M01019</t>
  </si>
  <si>
    <t>MAPROIN</t>
  </si>
  <si>
    <t>GRAVISS HOSPITALITY LTD</t>
  </si>
  <si>
    <t>INE214F01026</t>
  </si>
  <si>
    <t>GRAVISSHO</t>
  </si>
  <si>
    <t>MODI NATURALS LIMITED</t>
  </si>
  <si>
    <t>INE537F01012</t>
  </si>
  <si>
    <t>MODINATUR</t>
  </si>
  <si>
    <t>MACFOS LIMITED</t>
  </si>
  <si>
    <t>INE0OLH01013</t>
  </si>
  <si>
    <t>ROBU</t>
  </si>
  <si>
    <t>KINGS INFRA VENTURES LIMITED</t>
  </si>
  <si>
    <t>INE050N01010</t>
  </si>
  <si>
    <t>KINGSINFR</t>
  </si>
  <si>
    <t>INTELLIVATE CAPITAL VENTURES LIMITED</t>
  </si>
  <si>
    <t>INE512D01028</t>
  </si>
  <si>
    <t>INTELLCAP</t>
  </si>
  <si>
    <t>BHARAT PARENTERALS LIMITED</t>
  </si>
  <si>
    <t>INE365Y01019</t>
  </si>
  <si>
    <t>BPLPHARMA</t>
  </si>
  <si>
    <t>WATERBASE LIMITED</t>
  </si>
  <si>
    <t>INE054C01015</t>
  </si>
  <si>
    <t>WATERBASE</t>
  </si>
  <si>
    <t>MIDLAND POLYMERS LTD.</t>
  </si>
  <si>
    <t>INE046M01028</t>
  </si>
  <si>
    <t>MIDPOLY</t>
  </si>
  <si>
    <t>INE442V01012</t>
  </si>
  <si>
    <t>PRIMEFRESH</t>
  </si>
  <si>
    <t>RAGHUVANSH AGROFARMS LIMITED</t>
  </si>
  <si>
    <t>INE865P01016</t>
  </si>
  <si>
    <t>RAFL</t>
  </si>
  <si>
    <t>INDIAN TONERS &amp; DEVELOPERS LTD.,</t>
  </si>
  <si>
    <t>INE826B01018</t>
  </si>
  <si>
    <t>INDTONER</t>
  </si>
  <si>
    <t>INE700F01024</t>
  </si>
  <si>
    <t>CFEL</t>
  </si>
  <si>
    <t>VADILAL ENTERPRISES LTD.,</t>
  </si>
  <si>
    <t>INE693D01018</t>
  </si>
  <si>
    <t>VADILENT</t>
  </si>
  <si>
    <t>SOFTSOL INDIA LIMITED.</t>
  </si>
  <si>
    <t>INE002B01016</t>
  </si>
  <si>
    <t>SOFTSOL</t>
  </si>
  <si>
    <t>SURAJ PRODUCTS LTD.</t>
  </si>
  <si>
    <t>INE069E01019</t>
  </si>
  <si>
    <t>SURAJ</t>
  </si>
  <si>
    <t>JENBURKT PHARMACEUTICALS LTD.</t>
  </si>
  <si>
    <t>INE354A01013</t>
  </si>
  <si>
    <t>JENBURPH</t>
  </si>
  <si>
    <t>BIRLA PRECISION TECHNOLOGIES LTD</t>
  </si>
  <si>
    <t>INE372E01025</t>
  </si>
  <si>
    <t>BIRLAPREC</t>
  </si>
  <si>
    <t>INE451S01019</t>
  </si>
  <si>
    <t>GROWINGTON</t>
  </si>
  <si>
    <t xml:space="preserve">PANORAMA STUDIOS INTERNATIONAL LIMITED </t>
  </si>
  <si>
    <t>INE258R01010</t>
  </si>
  <si>
    <t>PANORAMA</t>
  </si>
  <si>
    <t>DAI-ICHI KARKARIA LTD.</t>
  </si>
  <si>
    <t>INE928C01010</t>
  </si>
  <si>
    <t>DAICHI</t>
  </si>
  <si>
    <t>JASCH INDUSTRIES LTD.</t>
  </si>
  <si>
    <t>INE711C01010</t>
  </si>
  <si>
    <t>JASCH</t>
  </si>
  <si>
    <t>CONCORD CONTROL SYSTEMS LIMITED</t>
  </si>
  <si>
    <t>INE0N0J01014</t>
  </si>
  <si>
    <t>CNCRD</t>
  </si>
  <si>
    <t>UDAY JEWELLERY INDUSTRIES LIMITED.</t>
  </si>
  <si>
    <t>INE551B01012</t>
  </si>
  <si>
    <t>UDAYJEW</t>
  </si>
  <si>
    <t>INE027T01023</t>
  </si>
  <si>
    <t>RUDRA</t>
  </si>
  <si>
    <t>INE404B01014</t>
  </si>
  <si>
    <t>LASTMILE</t>
  </si>
  <si>
    <t>SURAJ LTD.</t>
  </si>
  <si>
    <t>INE713C01016</t>
  </si>
  <si>
    <t>SURAJLTD</t>
  </si>
  <si>
    <t>INTERNATIONAL TRAVEL HOUSE LTD</t>
  </si>
  <si>
    <t>INE262B01016</t>
  </si>
  <si>
    <t>ITHL</t>
  </si>
  <si>
    <t>JAY USHIN LTD.</t>
  </si>
  <si>
    <t>INE289D01015</t>
  </si>
  <si>
    <t>JAYUSH</t>
  </si>
  <si>
    <t>OK PLAY INDIA LTD.</t>
  </si>
  <si>
    <t>INE870B01016</t>
  </si>
  <si>
    <t>OKPLA</t>
  </si>
  <si>
    <t>INE0L0L01012</t>
  </si>
  <si>
    <t>MODIS</t>
  </si>
  <si>
    <t>GUJARAT SIDHEE CEMENT LIMITED.,</t>
  </si>
  <si>
    <t>INE542A01039</t>
  </si>
  <si>
    <t>GSCLCEMENT</t>
  </si>
  <si>
    <t>MULTIBASE INDIA LTD</t>
  </si>
  <si>
    <t>INE678F01014</t>
  </si>
  <si>
    <t>MULTIBASE</t>
  </si>
  <si>
    <t>CWD LIMITED</t>
  </si>
  <si>
    <t>INE0H8H01019</t>
  </si>
  <si>
    <t>CWD</t>
  </si>
  <si>
    <t>ADHBHUT INFRASTRUCTURE LTD.</t>
  </si>
  <si>
    <t>INE578L01014</t>
  </si>
  <si>
    <t>ADHBHUTIN</t>
  </si>
  <si>
    <t>MILKFOOD LTD.,</t>
  </si>
  <si>
    <t>INE588G01013</t>
  </si>
  <si>
    <t>MLKFOOD</t>
  </si>
  <si>
    <t>TITAN BIO-TECH LTD.</t>
  </si>
  <si>
    <t>INE150C01011</t>
  </si>
  <si>
    <t>TITANBIO</t>
  </si>
  <si>
    <t>M. K. EXIM (INDIA) LTD.</t>
  </si>
  <si>
    <t>INE227F01010</t>
  </si>
  <si>
    <t>MKEXIM</t>
  </si>
  <si>
    <t>INE418C01012</t>
  </si>
  <si>
    <t>QUESTCAP</t>
  </si>
  <si>
    <t>SARASWATI COMMERCIAL (INDIA) LTD.,</t>
  </si>
  <si>
    <t>INE967G01019</t>
  </si>
  <si>
    <t>ZSARACOM</t>
  </si>
  <si>
    <t>PRADEEP METALS LTD.</t>
  </si>
  <si>
    <t>INE770A01010</t>
  </si>
  <si>
    <t>PRADPME</t>
  </si>
  <si>
    <t>KALYANI CAST-TECH LIMITED</t>
  </si>
  <si>
    <t>INE0N6U01018</t>
  </si>
  <si>
    <t>COSMO FERRITES LTD.,</t>
  </si>
  <si>
    <t>INE124B01018</t>
  </si>
  <si>
    <t>COSMOFE</t>
  </si>
  <si>
    <t>CAPRIHANS INDIA LTD.,</t>
  </si>
  <si>
    <t>INE479A01018</t>
  </si>
  <si>
    <t>CAPRIHANS</t>
  </si>
  <si>
    <t>INE951M01037</t>
  </si>
  <si>
    <t>RRIL</t>
  </si>
  <si>
    <t>SHRI DINESH MILLS LTD.,</t>
  </si>
  <si>
    <t>INE204C01024</t>
  </si>
  <si>
    <t>SHRIDINE</t>
  </si>
  <si>
    <t>FRONTIER SPRINGS LTD.</t>
  </si>
  <si>
    <t>INE572D01014</t>
  </si>
  <si>
    <t>FRONTSP</t>
  </si>
  <si>
    <t>INE0NT601018</t>
  </si>
  <si>
    <t>GARGI</t>
  </si>
  <si>
    <t>AMBALAL SARABHAI ENTERPRISE LTD.,</t>
  </si>
  <si>
    <t>INE432A01017</t>
  </si>
  <si>
    <t>AMBALALSA</t>
  </si>
  <si>
    <t>BAMBINO AGRO INDUSTRIES LTD</t>
  </si>
  <si>
    <t>INE921D01013</t>
  </si>
  <si>
    <t>BAMBINO</t>
  </si>
  <si>
    <t>GRETEX CORPORATE SERVICES LIMITED</t>
  </si>
  <si>
    <t>INE199P01028</t>
  </si>
  <si>
    <t>GCSL</t>
  </si>
  <si>
    <t>LAKSHMI MILLS COMPANY LTD</t>
  </si>
  <si>
    <t>INE938C01019</t>
  </si>
  <si>
    <t>LAKSHMIMIL</t>
  </si>
  <si>
    <t>NEWTIME INFRASTRUCTURE LIMITED</t>
  </si>
  <si>
    <t>INE997D01021</t>
  </si>
  <si>
    <t>NEWINFRA</t>
  </si>
  <si>
    <t>VIJAY SOLVEX LTD.</t>
  </si>
  <si>
    <t>INE362D01010</t>
  </si>
  <si>
    <t>VIJSOLX</t>
  </si>
  <si>
    <t>INVESTMENT &amp; PRECISION CASTINGS LTD</t>
  </si>
  <si>
    <t>INE155E01016</t>
  </si>
  <si>
    <t>INVPRECQ</t>
  </si>
  <si>
    <t>INDIA GELATINE &amp; CHEMICALS LTD.</t>
  </si>
  <si>
    <t>INE342D01012</t>
  </si>
  <si>
    <t>INDGELA</t>
  </si>
  <si>
    <t>INE717F01028</t>
  </si>
  <si>
    <t>VARIMAN</t>
  </si>
  <si>
    <t>CHANNEL NINE ENTERTAINMENT LIMITED</t>
  </si>
  <si>
    <t>INE437O01025</t>
  </si>
  <si>
    <t>CNEL</t>
  </si>
  <si>
    <t>SPEL SEMICONDUCTOR LTD.</t>
  </si>
  <si>
    <t>INE252A01019</t>
  </si>
  <si>
    <t>SPELS</t>
  </si>
  <si>
    <t>OVOBEL FOODS LTD.</t>
  </si>
  <si>
    <t>INE812S01012</t>
  </si>
  <si>
    <t>OVOBELE</t>
  </si>
  <si>
    <t>PARTANI APPLIANCES LIMITED</t>
  </si>
  <si>
    <t>INE217P01010</t>
  </si>
  <si>
    <t>PARTANI</t>
  </si>
  <si>
    <t>SCAN STEELS LIMITED</t>
  </si>
  <si>
    <t>INE099G01011</t>
  </si>
  <si>
    <t>SCANSTL</t>
  </si>
  <si>
    <t>ASHAPURI GOLD ORNAMENT LIMITED</t>
  </si>
  <si>
    <t>INE05FR01029</t>
  </si>
  <si>
    <t>AGOL</t>
  </si>
  <si>
    <t>NARMADA GELATINES LTD.</t>
  </si>
  <si>
    <t>INE869A01010</t>
  </si>
  <si>
    <t>SHAWGELTIN</t>
  </si>
  <si>
    <t>SURYALATA SPINNING MILLS LTD.,</t>
  </si>
  <si>
    <t>INE132C01027</t>
  </si>
  <si>
    <t>SURYALA</t>
  </si>
  <si>
    <t>SUPREME HOLDINGS &amp; HOSPITALITY (INDIA) LTD</t>
  </si>
  <si>
    <t>INE822E01011</t>
  </si>
  <si>
    <t>SUPREME</t>
  </si>
  <si>
    <t>PANASONIC ENERGY INDIA CO. LTD.</t>
  </si>
  <si>
    <t>INE795A01017</t>
  </si>
  <si>
    <t>PANAENERG</t>
  </si>
  <si>
    <t>UNIVERSAL AUTOFOUNDRY LIMITED</t>
  </si>
  <si>
    <t>INE203T01012</t>
  </si>
  <si>
    <t>UNIAUTO</t>
  </si>
  <si>
    <t>INTERNATIONAL COMBUSTION (INDIA) LT</t>
  </si>
  <si>
    <t>INE403C01014</t>
  </si>
  <si>
    <t>INTLCOMBQ</t>
  </si>
  <si>
    <t>PANCHMAHAL STEEL LTD.</t>
  </si>
  <si>
    <t>INE798F01010</t>
  </si>
  <si>
    <t>PANCHMAHQ</t>
  </si>
  <si>
    <t>MARKOLINES PAVEMENT TECHNOLOGIES LIMITED</t>
  </si>
  <si>
    <t>INE0FW001016</t>
  </si>
  <si>
    <t>MARKOLINES</t>
  </si>
  <si>
    <t>KINETIC ENGINEERING LTD.,</t>
  </si>
  <si>
    <t>INE266B01017</t>
  </si>
  <si>
    <t>KINETICENG</t>
  </si>
  <si>
    <t>ECO FRIENDLY FOOD PROCESSING PARK LIMITED</t>
  </si>
  <si>
    <t>INE178O01025</t>
  </si>
  <si>
    <t>EFPL</t>
  </si>
  <si>
    <t>STANDARD CAPITAL MARKETS LTD.</t>
  </si>
  <si>
    <t>INE625D01028</t>
  </si>
  <si>
    <t>STANCAP</t>
  </si>
  <si>
    <t>INE136C01044</t>
  </si>
  <si>
    <t>HPBL</t>
  </si>
  <si>
    <t>HAZOOR MULTI PROJECTS LIMITED</t>
  </si>
  <si>
    <t>INE550F01031</t>
  </si>
  <si>
    <t>HAZOOR</t>
  </si>
  <si>
    <t>INDOKEM LTD</t>
  </si>
  <si>
    <t>INE716F01012</t>
  </si>
  <si>
    <t>INDOKEM</t>
  </si>
  <si>
    <t>INE244E01018</t>
  </si>
  <si>
    <t>GARG</t>
  </si>
  <si>
    <t>COMMERCIAL SYN BAGS LIMITED</t>
  </si>
  <si>
    <t>INE073V01015</t>
  </si>
  <si>
    <t>COMSYN</t>
  </si>
  <si>
    <t>DIKSAT TRANSWORLD LIMITED</t>
  </si>
  <si>
    <t>INE942P01013</t>
  </si>
  <si>
    <t>DIKSAT</t>
  </si>
  <si>
    <t>P.G.FOILS LTD.</t>
  </si>
  <si>
    <t>INE078D01012</t>
  </si>
  <si>
    <t>PGFOILQ</t>
  </si>
  <si>
    <t>NITIN CASTINGS LIMITED</t>
  </si>
  <si>
    <t>INE861H01020</t>
  </si>
  <si>
    <t>NITINCAST</t>
  </si>
  <si>
    <t>INE976H01018</t>
  </si>
  <si>
    <t>LEHAR</t>
  </si>
  <si>
    <t>DHP INDIA LTD.</t>
  </si>
  <si>
    <t>INE590D01016</t>
  </si>
  <si>
    <t>DHPIND</t>
  </si>
  <si>
    <t>INE365S01037</t>
  </si>
  <si>
    <t>THINKINK</t>
  </si>
  <si>
    <t>VISHVJYOTI TRADING LTD.,</t>
  </si>
  <si>
    <t>INE025N01020</t>
  </si>
  <si>
    <t>VISJYTR</t>
  </si>
  <si>
    <t>AJANTA SOYA LIMITED</t>
  </si>
  <si>
    <t>INE601B01023</t>
  </si>
  <si>
    <t>AJANTSOY</t>
  </si>
  <si>
    <t>R&amp;B DENIMS LIMITED</t>
  </si>
  <si>
    <t>INE012Q01021</t>
  </si>
  <si>
    <t>RNBDENIMS</t>
  </si>
  <si>
    <t>MANGALAM SEEDS LIMITED</t>
  </si>
  <si>
    <t>INE829S01016</t>
  </si>
  <si>
    <t>MSL</t>
  </si>
  <si>
    <t>PRIME INDUSTRIES LTD.</t>
  </si>
  <si>
    <t>INE543F01028</t>
  </si>
  <si>
    <t>PRIMIND</t>
  </si>
  <si>
    <t>VIDEOCON INDUSTRIES LTD.</t>
  </si>
  <si>
    <t>INE703A01011</t>
  </si>
  <si>
    <t>VIDEOIND</t>
  </si>
  <si>
    <t>BHATIA COMMUNICATIONS &amp; RETAIL (INDIA) LIMITED</t>
  </si>
  <si>
    <t>INE341Z01025</t>
  </si>
  <si>
    <t>BHATIA</t>
  </si>
  <si>
    <t>SAKTHI FINANCE LTD.,</t>
  </si>
  <si>
    <t>INE302E01014</t>
  </si>
  <si>
    <t>SAKTHIFIN</t>
  </si>
  <si>
    <t>INE714U01024</t>
  </si>
  <si>
    <t>IFL</t>
  </si>
  <si>
    <t>MERCANTILE VENTURES LIMITED</t>
  </si>
  <si>
    <t>INE689O01013</t>
  </si>
  <si>
    <t>MERCANTILE</t>
  </si>
  <si>
    <t>CG-VAK SOFTWARE &amp; EXPORTS LTD.</t>
  </si>
  <si>
    <t>INE084D01010</t>
  </si>
  <si>
    <t>CGVAK</t>
  </si>
  <si>
    <t>ALPINE HOUSING DEVELOPMENT CORPORAT</t>
  </si>
  <si>
    <t>INE840D01015</t>
  </si>
  <si>
    <t>ALPINEHOU</t>
  </si>
  <si>
    <t>VTM LTD</t>
  </si>
  <si>
    <t>INE222F01029</t>
  </si>
  <si>
    <t>VTMLTD</t>
  </si>
  <si>
    <t>BATLIBOI LTD</t>
  </si>
  <si>
    <t>INE177C01022</t>
  </si>
  <si>
    <t>BATLIBOI</t>
  </si>
  <si>
    <t>PAUL MERCHANTS LTD.</t>
  </si>
  <si>
    <t>INE291E01019</t>
  </si>
  <si>
    <t>PML</t>
  </si>
  <si>
    <t>SHRI KESHAV CEMENTS AND INFRA LIMITED</t>
  </si>
  <si>
    <t>INE260E01014</t>
  </si>
  <si>
    <t>SKCIL</t>
  </si>
  <si>
    <t>KAKA INDUSTRIES LIMITED</t>
  </si>
  <si>
    <t>INE0P3N01018</t>
  </si>
  <si>
    <t>KAKA</t>
  </si>
  <si>
    <t>NILE LTD.</t>
  </si>
  <si>
    <t>INE445D01013</t>
  </si>
  <si>
    <t>NILE</t>
  </si>
  <si>
    <t>ABANS ENTERPRISES LIMITED</t>
  </si>
  <si>
    <t>INE365O01010</t>
  </si>
  <si>
    <t>ABANSENT</t>
  </si>
  <si>
    <t>ABANS</t>
  </si>
  <si>
    <t>COMPETENT AUTOMOBILES CO. LTD.</t>
  </si>
  <si>
    <t>INE823B01015</t>
  </si>
  <si>
    <t>COMPEAU</t>
  </si>
  <si>
    <t>JOSTS ENGINEERING CO. LTD.,</t>
  </si>
  <si>
    <t>INE636D01033</t>
  </si>
  <si>
    <t>JOSTS</t>
  </si>
  <si>
    <t>SWADESHI POLYTEX LTD.,</t>
  </si>
  <si>
    <t>INE243N01029</t>
  </si>
  <si>
    <t>SWADPOL</t>
  </si>
  <si>
    <t>NETTLINX LTD.</t>
  </si>
  <si>
    <t>INE027D01019</t>
  </si>
  <si>
    <t>NETTLINX</t>
  </si>
  <si>
    <t>BIMETAL BEARINGS LTD</t>
  </si>
  <si>
    <t>INE469A01019</t>
  </si>
  <si>
    <t>BIMETAL</t>
  </si>
  <si>
    <t>SHRI GANG INDUSTRIES &amp; ALLIED PRODUCTS LIMITED</t>
  </si>
  <si>
    <t>INE241V01018</t>
  </si>
  <si>
    <t>SHRIGANG</t>
  </si>
  <si>
    <t>INE534E01020</t>
  </si>
  <si>
    <t>KEIL</t>
  </si>
  <si>
    <t>LANCOR HOLDINGS LTD.</t>
  </si>
  <si>
    <t>INE572G01025</t>
  </si>
  <si>
    <t>LANCORHOL</t>
  </si>
  <si>
    <t>HINDUSTAN ORGANIC CHEMICALS LTD.,</t>
  </si>
  <si>
    <t>INE048A01011</t>
  </si>
  <si>
    <t>HOCL</t>
  </si>
  <si>
    <t>MITSU CHEM PLAST LIMITED</t>
  </si>
  <si>
    <t>INE317V01016</t>
  </si>
  <si>
    <t>MITSU</t>
  </si>
  <si>
    <t>KAIRA CAN CO. LTD.,</t>
  </si>
  <si>
    <t>INE375D01012</t>
  </si>
  <si>
    <t>KAIRA</t>
  </si>
  <si>
    <t>PANCHSHEEL ORGANIC LTD.</t>
  </si>
  <si>
    <t>INE316G01019</t>
  </si>
  <si>
    <t>PANCHSHEEL</t>
  </si>
  <si>
    <t>COCHIN MINERALS &amp; RUTILE LTD.,</t>
  </si>
  <si>
    <t>INE105D01013</t>
  </si>
  <si>
    <t>COCHINM</t>
  </si>
  <si>
    <t>ASARFI HOSPITAL LIMITED</t>
  </si>
  <si>
    <t>INE0DN001027</t>
  </si>
  <si>
    <t>ASARFI</t>
  </si>
  <si>
    <t>CALCOM VISION LTD.,</t>
  </si>
  <si>
    <t>INE216C01010</t>
  </si>
  <si>
    <t>CALCOM</t>
  </si>
  <si>
    <t>INE402H01015</t>
  </si>
  <si>
    <t>SHBAJRG</t>
  </si>
  <si>
    <t>TRIDENT LIFELINE LIMITED</t>
  </si>
  <si>
    <t>INE0MKA01014</t>
  </si>
  <si>
    <t>TLL</t>
  </si>
  <si>
    <t>INE658W01011</t>
  </si>
  <si>
    <t>SARVARAYA</t>
  </si>
  <si>
    <t>JCT LTD</t>
  </si>
  <si>
    <t>INE945A01026</t>
  </si>
  <si>
    <t>JCTLTD</t>
  </si>
  <si>
    <t>NEELAMALAI AGRO INDUSTRIES LTD.,</t>
  </si>
  <si>
    <t>INE605D01012</t>
  </si>
  <si>
    <t>NEAGI</t>
  </si>
  <si>
    <t>HEMANT SURGICAL INDUSTRIES LIMITED</t>
  </si>
  <si>
    <t>INE0GYI01028</t>
  </si>
  <si>
    <t>HSIL</t>
  </si>
  <si>
    <t>SHALIBHADRA FINANCE LTD.</t>
  </si>
  <si>
    <t>INE861D01011</t>
  </si>
  <si>
    <t>SAHLIBHFI</t>
  </si>
  <si>
    <t>PANASONIC CARBON INDIA CO.LTD</t>
  </si>
  <si>
    <t>INE013E01017</t>
  </si>
  <si>
    <t>PANCARBON</t>
  </si>
  <si>
    <t>COMFORT INTECH LTD</t>
  </si>
  <si>
    <t>INE819A01049</t>
  </si>
  <si>
    <t>COMFINTE</t>
  </si>
  <si>
    <t>INE171P01019</t>
  </si>
  <si>
    <t>PTIL</t>
  </si>
  <si>
    <t>MAXIMUS INTERNATIONAL LIMITED</t>
  </si>
  <si>
    <t>INE544W01021</t>
  </si>
  <si>
    <t>MAXIMUS</t>
  </si>
  <si>
    <t>DEEP POLYMERS LIMITED</t>
  </si>
  <si>
    <t>INE00IY01012</t>
  </si>
  <si>
    <t>DEEP</t>
  </si>
  <si>
    <t>ALPHALOGIC TECHSYS LIMITED</t>
  </si>
  <si>
    <t>INE08E401029</t>
  </si>
  <si>
    <t>ALPHALOGIC</t>
  </si>
  <si>
    <t>SWASHTHIK PLASCON LIMITED</t>
  </si>
  <si>
    <t>INE0RDR01012</t>
  </si>
  <si>
    <t>SPL</t>
  </si>
  <si>
    <t>G M POLYPLAST LIMITED</t>
  </si>
  <si>
    <t>INE0E2801015</t>
  </si>
  <si>
    <t>GMPL</t>
  </si>
  <si>
    <t>SPRAYKING AGRO EQUIPMENT LIMITED</t>
  </si>
  <si>
    <t>INE537U01011</t>
  </si>
  <si>
    <t>SPRAYKING</t>
  </si>
  <si>
    <t>JK AGRI GENETICS LIMITED</t>
  </si>
  <si>
    <t>INE690O01011</t>
  </si>
  <si>
    <t>JK AGRI</t>
  </si>
  <si>
    <t>INE0L1C01019</t>
  </si>
  <si>
    <t>KESAR</t>
  </si>
  <si>
    <t>MAGNA ELECTRO CASTINGS LTD.</t>
  </si>
  <si>
    <t>INE437D01010</t>
  </si>
  <si>
    <t>MAGNAELQ</t>
  </si>
  <si>
    <t>MAJESTIC AUTO LTD.,</t>
  </si>
  <si>
    <t>INE201B01022</t>
  </si>
  <si>
    <t>MAJESAUT</t>
  </si>
  <si>
    <t>APOLLO FINVEST (INDIA) LTD.,</t>
  </si>
  <si>
    <t>INE412D01013</t>
  </si>
  <si>
    <t>APOLLOFI</t>
  </si>
  <si>
    <t>NAYSAA SECURITIES LIMITED</t>
  </si>
  <si>
    <t>INE898Q01015</t>
  </si>
  <si>
    <t>NAYSAA</t>
  </si>
  <si>
    <t>ABM KNOWLEDGEWARE LTD.</t>
  </si>
  <si>
    <t>INE850B01026</t>
  </si>
  <si>
    <t>ABMKNO</t>
  </si>
  <si>
    <t>SHUKRA PHARMACEUTICALS LIMITED</t>
  </si>
  <si>
    <t>INE551C01028</t>
  </si>
  <si>
    <t>SHUKRAPHAR</t>
  </si>
  <si>
    <t>VALIANT COMMUNICATIONS LTD.</t>
  </si>
  <si>
    <t>INE760B01019</t>
  </si>
  <si>
    <t>VALIANT</t>
  </si>
  <si>
    <t>SHRI VENKATESH REFINERIES LIMITED</t>
  </si>
  <si>
    <t>INE0HLJ01013</t>
  </si>
  <si>
    <t>SVRL</t>
  </si>
  <si>
    <t>INDRAYANI BIOTECH LTD.</t>
  </si>
  <si>
    <t>INE007C01021</t>
  </si>
  <si>
    <t>INDRANIB</t>
  </si>
  <si>
    <t>GEE LTD.</t>
  </si>
  <si>
    <t>INE064H01021</t>
  </si>
  <si>
    <t>GEE</t>
  </si>
  <si>
    <t>BASANT AGRO-TECH (INDIA) LTD.,</t>
  </si>
  <si>
    <t>INE473E01021</t>
  </si>
  <si>
    <t>BASANTGL</t>
  </si>
  <si>
    <t>THE INDIAN WOOD PRODUCTS CO. LTD.</t>
  </si>
  <si>
    <t>INE586E01020</t>
  </si>
  <si>
    <t>IWP</t>
  </si>
  <si>
    <t>INDIAN INFOTECH AND SOFTWARE LTD.,</t>
  </si>
  <si>
    <t>INE300B01022</t>
  </si>
  <si>
    <t>INDINFO</t>
  </si>
  <si>
    <t>RDB RASAYANS LIMITED</t>
  </si>
  <si>
    <t>INE123M01017</t>
  </si>
  <si>
    <t>RDBRL</t>
  </si>
  <si>
    <t>SHARDUL SECURITIES LTD.</t>
  </si>
  <si>
    <t>INE037B01012</t>
  </si>
  <si>
    <t>SHARDUL</t>
  </si>
  <si>
    <t>SOUTH INDIA PAPER MILLS LTD.</t>
  </si>
  <si>
    <t>INE088G01014</t>
  </si>
  <si>
    <t>STHINPA</t>
  </si>
  <si>
    <t>PATELS AIRTEMP (I) LTD.</t>
  </si>
  <si>
    <t>INE082C01024</t>
  </si>
  <si>
    <t>PATELSAI</t>
  </si>
  <si>
    <t>ORGANIC RECYCLING SYSTEMS LIMITED</t>
  </si>
  <si>
    <t>INE0MIO01019</t>
  </si>
  <si>
    <t>ORGANICREC</t>
  </si>
  <si>
    <t>RIDDHI CORPORATE SERVICES LIMITED</t>
  </si>
  <si>
    <t>INE325X01015</t>
  </si>
  <si>
    <t>RIDDHICORP</t>
  </si>
  <si>
    <t>SUYOG GURBAXANI FUNICULAR ROPEWAYS LIMITED</t>
  </si>
  <si>
    <t>INE07GA01011</t>
  </si>
  <si>
    <t>SGFRL</t>
  </si>
  <si>
    <t>MANGAL CREDIT AND FINCORP LIMITED</t>
  </si>
  <si>
    <t>INE545L01039</t>
  </si>
  <si>
    <t>MANCREDIT</t>
  </si>
  <si>
    <t>COSMIC CRF LIMITED</t>
  </si>
  <si>
    <t>INE0ORA01015</t>
  </si>
  <si>
    <t>COSMICCRF</t>
  </si>
  <si>
    <t>KELTECH ENERGIES LTD.</t>
  </si>
  <si>
    <t>INE881E01017</t>
  </si>
  <si>
    <t>KELENRG</t>
  </si>
  <si>
    <t>VISHAL BEARINGS LIMITED</t>
  </si>
  <si>
    <t>INE060T01024</t>
  </si>
  <si>
    <t>VISHALBL</t>
  </si>
  <si>
    <t>SURAT TRADE AND MERCANTILE LIMITED</t>
  </si>
  <si>
    <t>INE936A01025</t>
  </si>
  <si>
    <t>SURATRAML</t>
  </si>
  <si>
    <t>CAPITAL TRADE LINKS LIMITED</t>
  </si>
  <si>
    <t>INE172D01021</t>
  </si>
  <si>
    <t>CTL</t>
  </si>
  <si>
    <t>GENNEX LABORATORIES LTD</t>
  </si>
  <si>
    <t>INE509C01026</t>
  </si>
  <si>
    <t>GENNEX</t>
  </si>
  <si>
    <t>KIC METALIKS LTD.</t>
  </si>
  <si>
    <t>INE434C01027</t>
  </si>
  <si>
    <t>KAJARIR</t>
  </si>
  <si>
    <t>INTEGRATED INDUSTRIES LIMITED</t>
  </si>
  <si>
    <t>INE882B01029</t>
  </si>
  <si>
    <t>IIL</t>
  </si>
  <si>
    <t>BELLA CASA FASHION &amp; RETAIL LIMITED</t>
  </si>
  <si>
    <t>INE344T01014</t>
  </si>
  <si>
    <t>BELLACASA</t>
  </si>
  <si>
    <t>ASHNISHA INDUSTRIES LIMITED</t>
  </si>
  <si>
    <t>INE694W01024</t>
  </si>
  <si>
    <t>ASHNI</t>
  </si>
  <si>
    <t>SMRUTHI ORGANICS LIMITED</t>
  </si>
  <si>
    <t>INE172E01011</t>
  </si>
  <si>
    <t>SMRUTHIORG</t>
  </si>
  <si>
    <t>SMRUTHI</t>
  </si>
  <si>
    <t>FLUIDOMAT LTD.,</t>
  </si>
  <si>
    <t>INE459C01016</t>
  </si>
  <si>
    <t>FLUIDOM</t>
  </si>
  <si>
    <t>AVEER FOODS LIMITED</t>
  </si>
  <si>
    <t>INE09BN01011</t>
  </si>
  <si>
    <t>AVEER</t>
  </si>
  <si>
    <t>KERALA AYURVEDA LIMITED</t>
  </si>
  <si>
    <t>INE817B01025</t>
  </si>
  <si>
    <t>KERALAYUR</t>
  </si>
  <si>
    <t>INE00TV01015</t>
  </si>
  <si>
    <t>SUDARSHAN</t>
  </si>
  <si>
    <t>ARYAMAN FINANCIAL SERVICES LTD.</t>
  </si>
  <si>
    <t>INE032E01017</t>
  </si>
  <si>
    <t>ARYAMAN</t>
  </si>
  <si>
    <t>PARVATI SWEETNERS AND POWER LTD.</t>
  </si>
  <si>
    <t>INE295Z01015</t>
  </si>
  <si>
    <t>PARVATI</t>
  </si>
  <si>
    <t xml:space="preserve">INE319B01014   </t>
  </si>
  <si>
    <t>INE01TL01014</t>
  </si>
  <si>
    <t>BOMOXY-B1</t>
  </si>
  <si>
    <t>INE137M01017</t>
  </si>
  <si>
    <t>SAB</t>
  </si>
  <si>
    <t>IP RINGS LTD.,</t>
  </si>
  <si>
    <t>INE558A01019</t>
  </si>
  <si>
    <t>IPRINGLTD</t>
  </si>
  <si>
    <t>MADHAV INFRA PROJECTS LIMITED</t>
  </si>
  <si>
    <t>INE631R01026</t>
  </si>
  <si>
    <t>MADHAVIPL</t>
  </si>
  <si>
    <t>KANCHI KARPOORAM LTD.</t>
  </si>
  <si>
    <t>INE081G01019</t>
  </si>
  <si>
    <t>KANCHI</t>
  </si>
  <si>
    <t>SICAGEN INDIA LIMITED</t>
  </si>
  <si>
    <t>INE176J01011</t>
  </si>
  <si>
    <t>SICAGEN</t>
  </si>
  <si>
    <t>VEER GLOBAL INFRACONSTRUCTION LIMITED</t>
  </si>
  <si>
    <t>INE244W01010</t>
  </si>
  <si>
    <t>VGIL</t>
  </si>
  <si>
    <t>TYCHE INDUSTRIES LTD.</t>
  </si>
  <si>
    <t>INE443B01012</t>
  </si>
  <si>
    <t>TYCHE</t>
  </si>
  <si>
    <t>SYSCHEM (INDIA) LTD.</t>
  </si>
  <si>
    <t>INE121D01036</t>
  </si>
  <si>
    <t>SYSCHEM</t>
  </si>
  <si>
    <t>REFEX RENEWABLES &amp; INFRASTRUCTURE LIMITED</t>
  </si>
  <si>
    <t>INE332F01018</t>
  </si>
  <si>
    <t>REFEXRENEW</t>
  </si>
  <si>
    <t>DEEPAK SPINNERS LTD.,</t>
  </si>
  <si>
    <t>INE272C01013</t>
  </si>
  <si>
    <t>DEEPAKSP</t>
  </si>
  <si>
    <t>SAMRAT FORGINGS LIMITED</t>
  </si>
  <si>
    <t>INE412J01010</t>
  </si>
  <si>
    <t>SAMRATFORG</t>
  </si>
  <si>
    <t>INE0MNV01014</t>
  </si>
  <si>
    <t>SRSOLTD</t>
  </si>
  <si>
    <t>DHATRE UDYOG LIMITED</t>
  </si>
  <si>
    <t>INE715T01023</t>
  </si>
  <si>
    <t>DHATRE</t>
  </si>
  <si>
    <t>SBEC SUGAR LTD.</t>
  </si>
  <si>
    <t>INE948G01019</t>
  </si>
  <si>
    <t>SBECSUG</t>
  </si>
  <si>
    <t>PRIMA PLASTICS LTD.</t>
  </si>
  <si>
    <t>INE573B01016</t>
  </si>
  <si>
    <t>PRIMAPLA</t>
  </si>
  <si>
    <t>CROPSTER AGRO LIMITED</t>
  </si>
  <si>
    <t>INE293E01023</t>
  </si>
  <si>
    <t>CROPSTER</t>
  </si>
  <si>
    <t>BILCARE LTD.</t>
  </si>
  <si>
    <t>INE986A01012</t>
  </si>
  <si>
    <t>BI</t>
  </si>
  <si>
    <t>JAYPEE INFRATECH LIMITED</t>
  </si>
  <si>
    <t>INE099J01015</t>
  </si>
  <si>
    <t>JPINFRATEC</t>
  </si>
  <si>
    <t>BEMCO HYDRAULICS LTD.,</t>
  </si>
  <si>
    <t>INE142E01014</t>
  </si>
  <si>
    <t>BEMHY</t>
  </si>
  <si>
    <t>PARSHVA ENTERPRISES LIMITED</t>
  </si>
  <si>
    <t>INE05MV01019</t>
  </si>
  <si>
    <t>PARSHVA</t>
  </si>
  <si>
    <t>INE285U01025</t>
  </si>
  <si>
    <t>KIMIABL</t>
  </si>
  <si>
    <t>TECHKNOWGREEN SOLUTIONS LIMITED</t>
  </si>
  <si>
    <t>INE0P4P01011</t>
  </si>
  <si>
    <t>TECHKGREEN</t>
  </si>
  <si>
    <t>FIRST FINANCIAL SERVICES LTD</t>
  </si>
  <si>
    <t>INE141N01025</t>
  </si>
  <si>
    <t>FIRFIN</t>
  </si>
  <si>
    <t>INDIAN ACRYLICS LTD</t>
  </si>
  <si>
    <t>INE862B01013</t>
  </si>
  <si>
    <t>INDIANACRY</t>
  </si>
  <si>
    <t>POLSON LTD.,</t>
  </si>
  <si>
    <t>INE339F01021</t>
  </si>
  <si>
    <t>POLSON</t>
  </si>
  <si>
    <t>MARUTI INFRASTRUCTURE LTD.</t>
  </si>
  <si>
    <t>INE392G01010</t>
  </si>
  <si>
    <t>MAINFRA</t>
  </si>
  <si>
    <t>INE443A01030</t>
  </si>
  <si>
    <t>ASIIL</t>
  </si>
  <si>
    <t>VIPUL ORGANICS LIMITED</t>
  </si>
  <si>
    <t>INE834D01018</t>
  </si>
  <si>
    <t>VIPULORG</t>
  </si>
  <si>
    <t>INE277T01024</t>
  </si>
  <si>
    <t>SEACOAST</t>
  </si>
  <si>
    <t>VIBRANT GLOBAL CAPITAL LIMITED</t>
  </si>
  <si>
    <t>INE761Q01015</t>
  </si>
  <si>
    <t>VGCL</t>
  </si>
  <si>
    <t>RELIANCE NAVAL AND ENGINEERING LIMITED</t>
  </si>
  <si>
    <t>INE542F01012</t>
  </si>
  <si>
    <t>SHRIRAM ASSET MANAGEMENT CO.LTD.</t>
  </si>
  <si>
    <t>INE777G01012</t>
  </si>
  <si>
    <t>SRAMSET</t>
  </si>
  <si>
    <t>ULTRACAB (INDIA) LIMITED</t>
  </si>
  <si>
    <t>INE010R01023</t>
  </si>
  <si>
    <t>ULTRACAB</t>
  </si>
  <si>
    <t>RADHE DEVELOPERS (INDIA) LTD.</t>
  </si>
  <si>
    <t>INE986B01044</t>
  </si>
  <si>
    <t>RADHEDE</t>
  </si>
  <si>
    <t>RUNGTA IRRIGATION LTD.</t>
  </si>
  <si>
    <t>INE347C01013</t>
  </si>
  <si>
    <t>RUNGTAIR</t>
  </si>
  <si>
    <t>TRITON VALVES LTD.,</t>
  </si>
  <si>
    <t>INE440G01017</t>
  </si>
  <si>
    <t>TRITONV</t>
  </si>
  <si>
    <t>SCOOTERS INDIA LTD.,</t>
  </si>
  <si>
    <t>INE959E01011</t>
  </si>
  <si>
    <t>SCOOTER</t>
  </si>
  <si>
    <t>RADIX INDUSTRIES (INDIA) LIMITED</t>
  </si>
  <si>
    <t>INE576N01014</t>
  </si>
  <si>
    <t>RADIXIND</t>
  </si>
  <si>
    <t>EASTERN LOGICA INFOWAY LIMITED</t>
  </si>
  <si>
    <t>INE0BSU01018</t>
  </si>
  <si>
    <t>ELIL</t>
  </si>
  <si>
    <t>ASIAN HOTELS (WEST) LTD</t>
  </si>
  <si>
    <t>INE915K01010</t>
  </si>
  <si>
    <t>AHLWEST</t>
  </si>
  <si>
    <t>FRESHTROP FRUITS LTD.</t>
  </si>
  <si>
    <t>INE795D01011</t>
  </si>
  <si>
    <t>FRSHTRP</t>
  </si>
  <si>
    <t>LOYAL EQUIPMENTS LIMITED</t>
  </si>
  <si>
    <t>INE876S01017</t>
  </si>
  <si>
    <t>LOYAL</t>
  </si>
  <si>
    <t>KIFS FINANCIAL SERVICES LTD</t>
  </si>
  <si>
    <t>INE902D01013</t>
  </si>
  <si>
    <t>KIFS</t>
  </si>
  <si>
    <t>GOLDEN LEGAND LEASING &amp; FINANCE LTD</t>
  </si>
  <si>
    <t>INE088E01019</t>
  </si>
  <si>
    <t>GOLDLEG</t>
  </si>
  <si>
    <t>DUNCAN ENGINEERING LIMITED</t>
  </si>
  <si>
    <t>INE340F01011</t>
  </si>
  <si>
    <t>DUNCANENG</t>
  </si>
  <si>
    <t>CENLUB INDUSTRIES LTD.</t>
  </si>
  <si>
    <t>INE627F01011</t>
  </si>
  <si>
    <t>CENLUB</t>
  </si>
  <si>
    <t>GLOBUS CONSTRUCTORS &amp; DEVELOPERS LIMITED</t>
  </si>
  <si>
    <t>INE064L01015</t>
  </si>
  <si>
    <t>GLOBUSCON</t>
  </si>
  <si>
    <t>INE745R01016</t>
  </si>
  <si>
    <t>REGIS</t>
  </si>
  <si>
    <t>INE0MSK01016</t>
  </si>
  <si>
    <t>STML</t>
  </si>
  <si>
    <t>SOM DATT FINANCE CORPORATION LTD.</t>
  </si>
  <si>
    <t>INE754C01010</t>
  </si>
  <si>
    <t>SODFC</t>
  </si>
  <si>
    <t>INE0IZQ01016</t>
  </si>
  <si>
    <t>BRRL</t>
  </si>
  <si>
    <t>BHILWARA TECHNICAL TEXTILES LIMITED</t>
  </si>
  <si>
    <t>INE274K01012</t>
  </si>
  <si>
    <t>BTTL</t>
  </si>
  <si>
    <t>TAMBOLI INDUSTRIES LIMITED</t>
  </si>
  <si>
    <t>INE864J01012</t>
  </si>
  <si>
    <t>TAMBOLIIN</t>
  </si>
  <si>
    <t>MANAS PROPERTIES LIMITED</t>
  </si>
  <si>
    <t>INE800W01019</t>
  </si>
  <si>
    <t>MANAS</t>
  </si>
  <si>
    <t>GUJARAT TOOLROOM LTD.</t>
  </si>
  <si>
    <t>INE145J01032</t>
  </si>
  <si>
    <t>GUJTLRM</t>
  </si>
  <si>
    <t>RATNABHUMI DEVELOPERS LIMITED</t>
  </si>
  <si>
    <t>INE821Y01011</t>
  </si>
  <si>
    <t>RATNABHUMI</t>
  </si>
  <si>
    <t>SHREE RAM URBAN INFRASTRUCTURE LTD</t>
  </si>
  <si>
    <t>INE164H01011</t>
  </si>
  <si>
    <t>SHREERAM</t>
  </si>
  <si>
    <t>SHREE AJIT PULP AND PAPER LTD.</t>
  </si>
  <si>
    <t>INE185C01017</t>
  </si>
  <si>
    <t>SAPPL</t>
  </si>
  <si>
    <t>DENIS CHEM LAB LIMITED</t>
  </si>
  <si>
    <t>INE051G01012</t>
  </si>
  <si>
    <t>DENISCHEM</t>
  </si>
  <si>
    <t>NATIONAL PLASTIC TECHNOLOGIES LTD</t>
  </si>
  <si>
    <t>INE896D01017</t>
  </si>
  <si>
    <t>NATPLASTI</t>
  </si>
  <si>
    <t>TECHNVISION VENTURES LIMITED</t>
  </si>
  <si>
    <t>INE314H01012</t>
  </si>
  <si>
    <t>TECHNVISN</t>
  </si>
  <si>
    <t>KHODAY INDIA LTD.,</t>
  </si>
  <si>
    <t>INE687B01014</t>
  </si>
  <si>
    <t>KHODAY</t>
  </si>
  <si>
    <t>BHAGWATI AUTOCAST LIMITED</t>
  </si>
  <si>
    <t>INE106G01014</t>
  </si>
  <si>
    <t>BGWTATO</t>
  </si>
  <si>
    <t>LKP FINANCE LIMITED</t>
  </si>
  <si>
    <t>INE724A01017</t>
  </si>
  <si>
    <t>LKPFIN</t>
  </si>
  <si>
    <t>FACOR ALLOYS LIMITED</t>
  </si>
  <si>
    <t>INE828G01013</t>
  </si>
  <si>
    <t>FACORALL</t>
  </si>
  <si>
    <t>MAIDEN FORGINGS LIMITED</t>
  </si>
  <si>
    <t>INE0O1T01010</t>
  </si>
  <si>
    <t>MAIDEN</t>
  </si>
  <si>
    <t>DHANLEELA INVESTMENTS &amp; TRADING COMPANY LTD</t>
  </si>
  <si>
    <t>INE683D01027</t>
  </si>
  <si>
    <t>DHANLEELA</t>
  </si>
  <si>
    <t>REXNORD ELECTRONICS &amp; CONTROLS LTD.</t>
  </si>
  <si>
    <t>INE687C01012</t>
  </si>
  <si>
    <t>REXNORD</t>
  </si>
  <si>
    <t>VARUN SHIPPING CO. LTD.,</t>
  </si>
  <si>
    <t>INE702A01013</t>
  </si>
  <si>
    <t>VARUNSHIP</t>
  </si>
  <si>
    <t>INE0NYN01016</t>
  </si>
  <si>
    <t>RESGEN</t>
  </si>
  <si>
    <t>INE932D01010</t>
  </si>
  <si>
    <t>DUROPLY</t>
  </si>
  <si>
    <t>HINDUSTAN TIN WORKS LTD.</t>
  </si>
  <si>
    <t>INE428D01019</t>
  </si>
  <si>
    <t>HINDTIN</t>
  </si>
  <si>
    <t>SHARP INDIA LTD</t>
  </si>
  <si>
    <t>INE207B01011</t>
  </si>
  <si>
    <t>SHARP</t>
  </si>
  <si>
    <t>INDIAN SUCROSE LTD.</t>
  </si>
  <si>
    <t>INE557C01017</t>
  </si>
  <si>
    <t>INDSUCR</t>
  </si>
  <si>
    <t>SAMKRG PISTONS AND RINGS LTD.</t>
  </si>
  <si>
    <t>INE706B01012</t>
  </si>
  <si>
    <t>SAMKRG</t>
  </si>
  <si>
    <t>MARUTI INTERIOR PRODUCTS LIMITED</t>
  </si>
  <si>
    <t>INE0JSJ01014</t>
  </si>
  <si>
    <t>SPITZE</t>
  </si>
  <si>
    <t>INE731D01024</t>
  </si>
  <si>
    <t>KPT</t>
  </si>
  <si>
    <t>S V GLOBAL MILL LIMITED</t>
  </si>
  <si>
    <t>INE159L01013</t>
  </si>
  <si>
    <t>SVGLOBAL</t>
  </si>
  <si>
    <t>INE727C01016</t>
  </si>
  <si>
    <t>CGFL</t>
  </si>
  <si>
    <t>CHL LIMITED</t>
  </si>
  <si>
    <t>INE790D01020</t>
  </si>
  <si>
    <t>CHLLTD</t>
  </si>
  <si>
    <t>AVAILABLE FINANCE LTD.</t>
  </si>
  <si>
    <t>INE325G01010</t>
  </si>
  <si>
    <t>AVAILFC</t>
  </si>
  <si>
    <t>RTS POWER CORPORATION LTD.</t>
  </si>
  <si>
    <t>INE005C01017</t>
  </si>
  <si>
    <t>RTSPOWR</t>
  </si>
  <si>
    <t>INE150D01027</t>
  </si>
  <si>
    <t>MUL</t>
  </si>
  <si>
    <t>SURAJ INDUSTRIES LIMITED.,</t>
  </si>
  <si>
    <t>INE170U01011</t>
  </si>
  <si>
    <t>SURJIND</t>
  </si>
  <si>
    <t>INE320I01017</t>
  </si>
  <si>
    <t>BRAHMINFRA</t>
  </si>
  <si>
    <t>LA TIM METAL &amp; INDUSTRIES LIMITED</t>
  </si>
  <si>
    <t>INE501N01020</t>
  </si>
  <si>
    <t>LATIMMETAL</t>
  </si>
  <si>
    <t>SHAHLON SILK INDUSTRIES LIMITED</t>
  </si>
  <si>
    <t>INE052001026</t>
  </si>
  <si>
    <t>SHAHLON</t>
  </si>
  <si>
    <t>PREMCO GLOBAL LTD.</t>
  </si>
  <si>
    <t>INE001E01012</t>
  </si>
  <si>
    <t>PREMCO</t>
  </si>
  <si>
    <t>COROMANDEL ENGINEERING COMPANY LIMITED</t>
  </si>
  <si>
    <t>INE312J01012</t>
  </si>
  <si>
    <t>COROENGG</t>
  </si>
  <si>
    <t>INE536P01021</t>
  </si>
  <si>
    <t>CPL</t>
  </si>
  <si>
    <t>DEEPAK CHEMTEX LIMITED</t>
  </si>
  <si>
    <t>INE0RDM01013</t>
  </si>
  <si>
    <t>DEEPAKCHEM</t>
  </si>
  <si>
    <t>POOJA ENTERTAINMENT AND FILMS LTD.</t>
  </si>
  <si>
    <t>INE147C01017</t>
  </si>
  <si>
    <t>POOJAENT</t>
  </si>
  <si>
    <t>HINDUSTAN ADHESIVES LTD.</t>
  </si>
  <si>
    <t>INE074C01013</t>
  </si>
  <si>
    <t>HINDADH</t>
  </si>
  <si>
    <t>DELTON CABLES LTD.,</t>
  </si>
  <si>
    <t>INE872E01016</t>
  </si>
  <si>
    <t>DLTNCBL</t>
  </si>
  <si>
    <t>INE499C01012</t>
  </si>
  <si>
    <t>FRICKINDIA</t>
  </si>
  <si>
    <t>INE170N01016</t>
  </si>
  <si>
    <t>MESCON</t>
  </si>
  <si>
    <t>INE920T01011</t>
  </si>
  <si>
    <t>LIKHAMI</t>
  </si>
  <si>
    <t>SHARAT INDUSTRIES LTD.</t>
  </si>
  <si>
    <t>INE220Z01013</t>
  </si>
  <si>
    <t>SHINDL</t>
  </si>
  <si>
    <t>INE268H01036</t>
  </si>
  <si>
    <t>NAVKAR</t>
  </si>
  <si>
    <t>INE0LDI01022</t>
  </si>
  <si>
    <t>INNOKAIZ</t>
  </si>
  <si>
    <t>BANSAL ROOFING PRODUCTS LIMITED</t>
  </si>
  <si>
    <t>INE319Q01012</t>
  </si>
  <si>
    <t>BRPL</t>
  </si>
  <si>
    <t>INE750R01016</t>
  </si>
  <si>
    <t>AARNAV</t>
  </si>
  <si>
    <t>SHANTI SPINTEX LIMITED</t>
  </si>
  <si>
    <t>INE0QZQ01019</t>
  </si>
  <si>
    <t>SHANTIDENM</t>
  </si>
  <si>
    <t>INE480Y01016</t>
  </si>
  <si>
    <t>PARTAPIND</t>
  </si>
  <si>
    <t>ALPHALOGIC INDUSTRIES LIMITED</t>
  </si>
  <si>
    <t>INE0NZF01019</t>
  </si>
  <si>
    <t>ALPHAIND</t>
  </si>
  <si>
    <t>LYKIS LIMITED</t>
  </si>
  <si>
    <t>INE624M01014</t>
  </si>
  <si>
    <t>LYKISLTD</t>
  </si>
  <si>
    <t>WINSOME TEXTILE INDUSTRIES LTD</t>
  </si>
  <si>
    <t>INE837B01031</t>
  </si>
  <si>
    <t>WINSOMTX</t>
  </si>
  <si>
    <t>INE962E01015</t>
  </si>
  <si>
    <t>SCOOBEEDAY</t>
  </si>
  <si>
    <t>INE768E01024</t>
  </si>
  <si>
    <t>AICHAMP</t>
  </si>
  <si>
    <t>AASHKA HOSPITALS LIMITED</t>
  </si>
  <si>
    <t>INE0EAX01014</t>
  </si>
  <si>
    <t>AASHKA</t>
  </si>
  <si>
    <t>INE552B01010</t>
  </si>
  <si>
    <t>HFIL</t>
  </si>
  <si>
    <t>SHERVANI INDUSTRIAL SYNDICATE LTD</t>
  </si>
  <si>
    <t>INE011D01013</t>
  </si>
  <si>
    <t>SHERVANI</t>
  </si>
  <si>
    <t>FLEX FOODS LTD.,</t>
  </si>
  <si>
    <t>INE954B01018</t>
  </si>
  <si>
    <t>FLEXFO</t>
  </si>
  <si>
    <t>INE176N01021</t>
  </si>
  <si>
    <t>CASPIAN</t>
  </si>
  <si>
    <t>SONAL MERCANTILE LIMITED</t>
  </si>
  <si>
    <t>INE321M01017</t>
  </si>
  <si>
    <t>SONAL</t>
  </si>
  <si>
    <t>INE258C01038</t>
  </si>
  <si>
    <t>ACCEL</t>
  </si>
  <si>
    <t>HIMACHAL FIBRES LTD.,</t>
  </si>
  <si>
    <t>INE723D01021</t>
  </si>
  <si>
    <t>HIMFIBP</t>
  </si>
  <si>
    <t>DOLFIN RUBBERS LIMITED</t>
  </si>
  <si>
    <t>INE666Y01010</t>
  </si>
  <si>
    <t>DOLFIN</t>
  </si>
  <si>
    <t>THAKKER'S DEVELOPERS LTD.</t>
  </si>
  <si>
    <t>INE403F01017</t>
  </si>
  <si>
    <t>THAKDEV</t>
  </si>
  <si>
    <t>INDSIL HYDRO POWER AND MANGANESE LIMITED</t>
  </si>
  <si>
    <t>INE867D01018</t>
  </si>
  <si>
    <t>INDSILHYD</t>
  </si>
  <si>
    <t>SANCO TRANS LTD.,</t>
  </si>
  <si>
    <t>INE391G01012</t>
  </si>
  <si>
    <t>SANCTRN</t>
  </si>
  <si>
    <t>SNL BEARINGS LTD.</t>
  </si>
  <si>
    <t>INE568F01017</t>
  </si>
  <si>
    <t>SNL</t>
  </si>
  <si>
    <t>G G ENGINEERING LIMITED</t>
  </si>
  <si>
    <t>INE694X01030</t>
  </si>
  <si>
    <t>GGENG</t>
  </si>
  <si>
    <t>NAGPUR POWER &amp; INDUSTRIES LTD</t>
  </si>
  <si>
    <t>INE099E01016</t>
  </si>
  <si>
    <t>NAGPI</t>
  </si>
  <si>
    <t>T &amp; I GLOBAL LTD.</t>
  </si>
  <si>
    <t>INE811B01010</t>
  </si>
  <si>
    <t>TIGLOB</t>
  </si>
  <si>
    <t>BCPL RAILWAY INFRASTRUCTURE LIMITED</t>
  </si>
  <si>
    <t>INE00SW01015</t>
  </si>
  <si>
    <t>BCPL</t>
  </si>
  <si>
    <t>SAMRAT PHARMACHEM LTD.</t>
  </si>
  <si>
    <t>INE103E01016</t>
  </si>
  <si>
    <t>SAMRATPH</t>
  </si>
  <si>
    <t>TULSYAN NEC LTD</t>
  </si>
  <si>
    <t>INE463D01016</t>
  </si>
  <si>
    <t>TULSYAN</t>
  </si>
  <si>
    <t>METROGLOBAL LIMITED</t>
  </si>
  <si>
    <t>INE085D01033</t>
  </si>
  <si>
    <t>METROGLOBL</t>
  </si>
  <si>
    <t>GUJARAT NATURAL RESOURCES LIMITED</t>
  </si>
  <si>
    <t>INE207H01018</t>
  </si>
  <si>
    <t>GNRL</t>
  </si>
  <si>
    <t>SIYARAM RECYCLING INDUSTRIES LIMITED</t>
  </si>
  <si>
    <t>INE0QSK01017</t>
  </si>
  <si>
    <t>SIYARAM</t>
  </si>
  <si>
    <t>INE313M01030</t>
  </si>
  <si>
    <t>EVEXIA</t>
  </si>
  <si>
    <t>INE541K01014</t>
  </si>
  <si>
    <t>STARDELTA</t>
  </si>
  <si>
    <t>INE866K01015</t>
  </si>
  <si>
    <t>INDOSOLAR</t>
  </si>
  <si>
    <t>SAMOR REALITY LIMITED</t>
  </si>
  <si>
    <t>INE0GD201014</t>
  </si>
  <si>
    <t>SAMOR</t>
  </si>
  <si>
    <t>KENVI JEWELS LIMITED</t>
  </si>
  <si>
    <t>INE923Y01023</t>
  </si>
  <si>
    <t>KENVI</t>
  </si>
  <si>
    <t>VEDAVAAG SYSTEMS LIMITED</t>
  </si>
  <si>
    <t>INE359B01010</t>
  </si>
  <si>
    <t>VEDAVAAG</t>
  </si>
  <si>
    <t>INE777A01023</t>
  </si>
  <si>
    <t>NATHIND</t>
  </si>
  <si>
    <t>CAPTAIN TECHNOCAST LIMITED</t>
  </si>
  <si>
    <t>INE931X01010</t>
  </si>
  <si>
    <t>CTCL</t>
  </si>
  <si>
    <t>AMBA ENTERPRISES LTD.</t>
  </si>
  <si>
    <t>INE829P01020</t>
  </si>
  <si>
    <t>AEL</t>
  </si>
  <si>
    <t>ISHAN DYES &amp; CHEMICALS LTD.</t>
  </si>
  <si>
    <t>INE561M01018</t>
  </si>
  <si>
    <t>ISHANCH</t>
  </si>
  <si>
    <t>INE088D01011</t>
  </si>
  <si>
    <t>TRESCON</t>
  </si>
  <si>
    <t>GTV ENGINEERING LIMITED</t>
  </si>
  <si>
    <t>INE910R01016</t>
  </si>
  <si>
    <t>GTV</t>
  </si>
  <si>
    <t>FORTIS MALAR HOSPITALS LIMITED</t>
  </si>
  <si>
    <t>INE842B01015</t>
  </si>
  <si>
    <t>FORTISMLR</t>
  </si>
  <si>
    <t>AIMCO PESTICIDES LTD.,</t>
  </si>
  <si>
    <t>INE008B01013</t>
  </si>
  <si>
    <t>AIMCOPEST</t>
  </si>
  <si>
    <t>INE102E01018</t>
  </si>
  <si>
    <t>OXYGENTAPH</t>
  </si>
  <si>
    <t>BALLARPUR INDUSTRIES LTD.,</t>
  </si>
  <si>
    <t>INE294A01037</t>
  </si>
  <si>
    <t>BALLARPUR</t>
  </si>
  <si>
    <t>AMARJOTHI SPINNING MILLS LTD</t>
  </si>
  <si>
    <t>INE484D01012</t>
  </si>
  <si>
    <t>AMARJOTHI</t>
  </si>
  <si>
    <t>NARBADA GEMS AND JEWELLERY LIMITED</t>
  </si>
  <si>
    <t>INE540C01021</t>
  </si>
  <si>
    <t>NARBADA</t>
  </si>
  <si>
    <t>PRESSURE SENSITIVE SYSTEMS (INDIA)</t>
  </si>
  <si>
    <t>INE891E01024</t>
  </si>
  <si>
    <t>PRESSURS</t>
  </si>
  <si>
    <t>SAYAJI INDUSTRIES LIMITED</t>
  </si>
  <si>
    <t>INE327G01032</t>
  </si>
  <si>
    <t>SAYAJIIND</t>
  </si>
  <si>
    <t>ARCHIT ORGANOSYS LIMITED</t>
  </si>
  <si>
    <t>INE078I01011</t>
  </si>
  <si>
    <t>ARCHITORG</t>
  </si>
  <si>
    <t>RISHIROOP LIMITED</t>
  </si>
  <si>
    <t>INE582D01013</t>
  </si>
  <si>
    <t>RISHIROOP</t>
  </si>
  <si>
    <t>ODYSSEY TECHNOLOGIES LTD.</t>
  </si>
  <si>
    <t>INE213B01019</t>
  </si>
  <si>
    <t>ODYSSEY</t>
  </si>
  <si>
    <t>CIAN AGRO INDUSTRIES &amp; INFRASTRUCTURE LIMITED</t>
  </si>
  <si>
    <t>INE052V01019</t>
  </si>
  <si>
    <t>CIANAGRO</t>
  </si>
  <si>
    <t>AMBAR PROTEIN INDUSTRIES LIMITED</t>
  </si>
  <si>
    <t>INE072V01017</t>
  </si>
  <si>
    <t>AMBARPIL</t>
  </si>
  <si>
    <t>SAVERA INDUSTRIES LTD.</t>
  </si>
  <si>
    <t>INE104E01014</t>
  </si>
  <si>
    <t>SAVERA</t>
  </si>
  <si>
    <t>CORAL LABORATORIES LTD.</t>
  </si>
  <si>
    <t>INE683E01017</t>
  </si>
  <si>
    <t>CORALAB</t>
  </si>
  <si>
    <t>JAMES WARREN TEA LIMITED</t>
  </si>
  <si>
    <t>INE718P01017</t>
  </si>
  <si>
    <t>JAMESWARREN</t>
  </si>
  <si>
    <t>SUNRISE EFFICIENT MARKETING LIMITED</t>
  </si>
  <si>
    <t>INE0KPY01017</t>
  </si>
  <si>
    <t>SEML</t>
  </si>
  <si>
    <t>INE861N01036</t>
  </si>
  <si>
    <t>GENPHARMA</t>
  </si>
  <si>
    <t>INDIA NIVESH LIMITED</t>
  </si>
  <si>
    <t>INE131H01028</t>
  </si>
  <si>
    <t>INDIANVSH</t>
  </si>
  <si>
    <t>EMPOWER INDIA LIMITED</t>
  </si>
  <si>
    <t>INE507F01023</t>
  </si>
  <si>
    <t>EMPOWER</t>
  </si>
  <si>
    <t>APM INDUSTRIES LTD.,</t>
  </si>
  <si>
    <t>INE170D01025</t>
  </si>
  <si>
    <t>APMIN</t>
  </si>
  <si>
    <t>SHRADHA AI TECHNOLOGIES LIMITED</t>
  </si>
  <si>
    <t>INE489B01023</t>
  </si>
  <si>
    <t>SHRAAITECH</t>
  </si>
  <si>
    <t>GUJARAT CONTAINERS LTD.</t>
  </si>
  <si>
    <t>INE276I01011</t>
  </si>
  <si>
    <t>GUJCONT</t>
  </si>
  <si>
    <t>INE035S01010</t>
  </si>
  <si>
    <t>POEL</t>
  </si>
  <si>
    <t>TCC CONCEPT LIMITED</t>
  </si>
  <si>
    <t>INE887D01016</t>
  </si>
  <si>
    <t>TCC</t>
  </si>
  <si>
    <t>JHAVERI CREDITS &amp; CAPITAL LTD.</t>
  </si>
  <si>
    <t>INE865D01012</t>
  </si>
  <si>
    <t>JHACC</t>
  </si>
  <si>
    <t>SANJIVANI PARANTERAL LTD.</t>
  </si>
  <si>
    <t>INE860D01013</t>
  </si>
  <si>
    <t>SANJIVIN</t>
  </si>
  <si>
    <t>NATIONAL FITTINGS LIMITED</t>
  </si>
  <si>
    <t>INE643C01015</t>
  </si>
  <si>
    <t>NATFIT</t>
  </si>
  <si>
    <t>LAHOTI OVERSEAS LTD.</t>
  </si>
  <si>
    <t>INE515C01023</t>
  </si>
  <si>
    <t>LAHOTIOV</t>
  </si>
  <si>
    <t>TCI INDUSTRIES LTD.,</t>
  </si>
  <si>
    <t>INE920B01019</t>
  </si>
  <si>
    <t>TCIIND</t>
  </si>
  <si>
    <t>BDH INDUSTRIES LTD.</t>
  </si>
  <si>
    <t>INE278D01018</t>
  </si>
  <si>
    <t>BDH</t>
  </si>
  <si>
    <t>LKP SECURITIES LIMITED</t>
  </si>
  <si>
    <t>INE341H01023</t>
  </si>
  <si>
    <t>LKPSEC</t>
  </si>
  <si>
    <t>KG PETROCHEM LTD.</t>
  </si>
  <si>
    <t>INE902G01016</t>
  </si>
  <si>
    <t>KGPETRO</t>
  </si>
  <si>
    <t>AKAR AUTO INDUSTRIES LIMITED</t>
  </si>
  <si>
    <t>INE864E01021</t>
  </si>
  <si>
    <t>AAIL</t>
  </si>
  <si>
    <t>MACHINO PLASTICS LTD</t>
  </si>
  <si>
    <t>INE082B01018</t>
  </si>
  <si>
    <t>MACPLASQ</t>
  </si>
  <si>
    <t>VJTF EDUSERVICES LIMITED</t>
  </si>
  <si>
    <t>INE117F01013</t>
  </si>
  <si>
    <t>VJTFEDU</t>
  </si>
  <si>
    <t>WAA SOLAR LIMITED</t>
  </si>
  <si>
    <t>INE799N01012</t>
  </si>
  <si>
    <t>WAA</t>
  </si>
  <si>
    <t>KEERTHI INDUSTRIES LTD</t>
  </si>
  <si>
    <t>INE145L01012</t>
  </si>
  <si>
    <t>KEERTHI</t>
  </si>
  <si>
    <t>BSEL ALGO LIMITED</t>
  </si>
  <si>
    <t>INE395A01016</t>
  </si>
  <si>
    <t>BSELALGO</t>
  </si>
  <si>
    <t>BHARAT IMMUNOLOGICALS &amp; BIOLOGICALS</t>
  </si>
  <si>
    <t>INE994B01014</t>
  </si>
  <si>
    <t>BIBCL</t>
  </si>
  <si>
    <t>RSD FINANCE LIMITED</t>
  </si>
  <si>
    <t>INE616F01022</t>
  </si>
  <si>
    <t>RSDFIN</t>
  </si>
  <si>
    <t>VIRAT INDUSTRIES LTD.</t>
  </si>
  <si>
    <t>INE467D01017</t>
  </si>
  <si>
    <t>VIRAT</t>
  </si>
  <si>
    <t>KHEMANI DISTRIBUTORS &amp; MARKETING LIMITED</t>
  </si>
  <si>
    <t>INE030U01025</t>
  </si>
  <si>
    <t>KDML</t>
  </si>
  <si>
    <t>UNITED VAN DER HORST LTD.,</t>
  </si>
  <si>
    <t>INE890G01013</t>
  </si>
  <si>
    <t>UVDRHOR</t>
  </si>
  <si>
    <t>S &amp; T CORPORATION LIMITED</t>
  </si>
  <si>
    <t>INE110Q01023</t>
  </si>
  <si>
    <t>STCORP</t>
  </si>
  <si>
    <t>CRAVATEX LTD.</t>
  </si>
  <si>
    <t>INE145E01017</t>
  </si>
  <si>
    <t>CRAVATEX</t>
  </si>
  <si>
    <t>INE724G01014</t>
  </si>
  <si>
    <t>SALAUTO</t>
  </si>
  <si>
    <t>KKALPANA INDUSTRIES (INDIA) LTD</t>
  </si>
  <si>
    <t>INE301C01028</t>
  </si>
  <si>
    <t>KKALPANAIND</t>
  </si>
  <si>
    <t>ACTIVE CLOTHING CO  LIMITED</t>
  </si>
  <si>
    <t>INE380Z01015</t>
  </si>
  <si>
    <t>ACTIVE</t>
  </si>
  <si>
    <t>PMC FINCORP LIMITED</t>
  </si>
  <si>
    <t>INE793G01035</t>
  </si>
  <si>
    <t>PMCFIN</t>
  </si>
  <si>
    <t>ELNET TECHNOLOGIES LTD.</t>
  </si>
  <si>
    <t>INE033C01019</t>
  </si>
  <si>
    <t>ELNET</t>
  </si>
  <si>
    <t>RESONANCE SPECIALTIES LIMITED</t>
  </si>
  <si>
    <t>INE486D01017</t>
  </si>
  <si>
    <t>RESONANCE</t>
  </si>
  <si>
    <t>INE920C01017</t>
  </si>
  <si>
    <t>NTCIND</t>
  </si>
  <si>
    <t>COMRADE APPLIANCES LIMITED</t>
  </si>
  <si>
    <t>INE0NXA01015</t>
  </si>
  <si>
    <t>COMRADE</t>
  </si>
  <si>
    <t>INE977M01024</t>
  </si>
  <si>
    <t>PHOENIXTN</t>
  </si>
  <si>
    <t>INE883D01023</t>
  </si>
  <si>
    <t>KBSINDIA</t>
  </si>
  <si>
    <t>BRADY &amp; MORRIS ENGINEERING CO. LTD.</t>
  </si>
  <si>
    <t>INE856A01017</t>
  </si>
  <si>
    <t>BRADYM</t>
  </si>
  <si>
    <t>SUMUKA AGRO INDUSTRIES LIMITED</t>
  </si>
  <si>
    <t>INE311N01016</t>
  </si>
  <si>
    <t>SUMUKA</t>
  </si>
  <si>
    <t>KAISER CORPORATION LIMITED</t>
  </si>
  <si>
    <t>INE229G01022</t>
  </si>
  <si>
    <t>KACL</t>
  </si>
  <si>
    <t>INE705G01021</t>
  </si>
  <si>
    <t>HIMTEK</t>
  </si>
  <si>
    <t>DILIGENT INDUSTRIES LIMITED</t>
  </si>
  <si>
    <t>INE650C01036</t>
  </si>
  <si>
    <t>DILIGENT</t>
  </si>
  <si>
    <t>INE0KR801019</t>
  </si>
  <si>
    <t>JAYANT</t>
  </si>
  <si>
    <t>SHRI KRISHNA DEVCON LIMITED</t>
  </si>
  <si>
    <t>INE997I01012</t>
  </si>
  <si>
    <t>SHRIKRISH</t>
  </si>
  <si>
    <t>RDB REALTY &amp; INFRASTRUCTURE LIMITED</t>
  </si>
  <si>
    <t>INE245L01010</t>
  </si>
  <si>
    <t>RDBRIL</t>
  </si>
  <si>
    <t>KOTHARI FERMANATATION &amp; BIOCHEM LTD</t>
  </si>
  <si>
    <t>INE991B01010</t>
  </si>
  <si>
    <t>KFBL</t>
  </si>
  <si>
    <t>PACIFIC INDUSTRIES LTD.</t>
  </si>
  <si>
    <t>INE883C01025</t>
  </si>
  <si>
    <t>PACIFICI</t>
  </si>
  <si>
    <t>WEP SOLUTIONS LTD</t>
  </si>
  <si>
    <t>INE434B01029</t>
  </si>
  <si>
    <t>WEPSOLN</t>
  </si>
  <si>
    <t>INE661K01010</t>
  </si>
  <si>
    <t>VIRYA</t>
  </si>
  <si>
    <t>KRANTI INDUSTRIES LIMITED</t>
  </si>
  <si>
    <t>INE911T01010</t>
  </si>
  <si>
    <t>KRANTI</t>
  </si>
  <si>
    <t>INE172F01018</t>
  </si>
  <si>
    <t>AASHRIT</t>
  </si>
  <si>
    <t>W.H. BRADY &amp; CO. LTD.,</t>
  </si>
  <si>
    <t>INE855A01019</t>
  </si>
  <si>
    <t>WHBRADY</t>
  </si>
  <si>
    <t>GAYATRI SUGARS LTD.</t>
  </si>
  <si>
    <t>INE622E01023</t>
  </si>
  <si>
    <t>GAYATRI</t>
  </si>
  <si>
    <t>PATDIAM JEWELLERY LIMITED</t>
  </si>
  <si>
    <t>INE473T01011</t>
  </si>
  <si>
    <t>PJL</t>
  </si>
  <si>
    <t>SUNITA TOOLS LIMITED</t>
  </si>
  <si>
    <t>INE0Q1S01010</t>
  </si>
  <si>
    <t>SUNITATOOL</t>
  </si>
  <si>
    <t>INDIA FINSEC LIMITED</t>
  </si>
  <si>
    <t>INE474O01010</t>
  </si>
  <si>
    <t>IFINSEC</t>
  </si>
  <si>
    <t>GLOBAL OFFSHORE SERVICES LTD</t>
  </si>
  <si>
    <t>INE446C01013</t>
  </si>
  <si>
    <t>GLOBOFFS</t>
  </si>
  <si>
    <t>INE427V01013</t>
  </si>
  <si>
    <t>ACML</t>
  </si>
  <si>
    <t>ADD-SHOP E-RETAIL LIMITED</t>
  </si>
  <si>
    <t>INE01B501018</t>
  </si>
  <si>
    <t>ASRL</t>
  </si>
  <si>
    <t>TRANSCORP INTERNATIONAL LTD.</t>
  </si>
  <si>
    <t>INE330E01023</t>
  </si>
  <si>
    <t>TRANSCOR</t>
  </si>
  <si>
    <t>KALYAN CAPITALS LIMITED</t>
  </si>
  <si>
    <t>INE149Q01021</t>
  </si>
  <si>
    <t>KALYANCAP</t>
  </si>
  <si>
    <t>KEMP &amp; COMPANY LIMITED</t>
  </si>
  <si>
    <t>INE060E01018</t>
  </si>
  <si>
    <t>KEMP</t>
  </si>
  <si>
    <t>TANVI FOODS (INDIA) LIMITED</t>
  </si>
  <si>
    <t>INE978V01015</t>
  </si>
  <si>
    <t>TANVI</t>
  </si>
  <si>
    <t>PARNAX LAB LIMITED</t>
  </si>
  <si>
    <t>INE383L01019</t>
  </si>
  <si>
    <t>PARNAXLAB</t>
  </si>
  <si>
    <t>PS IT INFRASTRUCTURE &amp; SERVICES LIMITED</t>
  </si>
  <si>
    <t>INE953M01033</t>
  </si>
  <si>
    <t>PSITINFRA</t>
  </si>
  <si>
    <t>LOHIA SECURITIES LIMITED</t>
  </si>
  <si>
    <t>INE803B01017</t>
  </si>
  <si>
    <t>LOHIASEC</t>
  </si>
  <si>
    <t>LAKSHMI AUTOMATIC LOOM WORKS LTD.,</t>
  </si>
  <si>
    <t>INE718M01022</t>
  </si>
  <si>
    <t>LXMIATO</t>
  </si>
  <si>
    <t>GARNET INTERNATIONAL LIMITED</t>
  </si>
  <si>
    <t>INE590B01010</t>
  </si>
  <si>
    <t>GARNETINT</t>
  </si>
  <si>
    <t>EKANSH CONCEPTS LIMITED</t>
  </si>
  <si>
    <t>INE005E01013</t>
  </si>
  <si>
    <t>EKANSH</t>
  </si>
  <si>
    <t>MCDOWELL HOLDINGS LIMITED</t>
  </si>
  <si>
    <t>INE836H01014</t>
  </si>
  <si>
    <t>MCDHOLDING</t>
  </si>
  <si>
    <t>EVEREST ORGANICS LTD.</t>
  </si>
  <si>
    <t>INE334C01029</t>
  </si>
  <si>
    <t>EVERESTO</t>
  </si>
  <si>
    <t>TILAK VENTURES LIMITED</t>
  </si>
  <si>
    <t>INE026L01022</t>
  </si>
  <si>
    <t>TILAK</t>
  </si>
  <si>
    <t>MERCURY LABORATORIES LIMITED</t>
  </si>
  <si>
    <t>INE947G01011</t>
  </si>
  <si>
    <t>MERCURYLAB</t>
  </si>
  <si>
    <t>RAJA BAHADUR INTERNATIONAL LTD</t>
  </si>
  <si>
    <t>INE491N01016</t>
  </si>
  <si>
    <t>RAJABAH</t>
  </si>
  <si>
    <t>KOVILPATTI LAKSHMI ROLLER FLOUR MILLS  LTD</t>
  </si>
  <si>
    <t>INE014E01015</t>
  </si>
  <si>
    <t>KLRFM</t>
  </si>
  <si>
    <t>PRERNA INFRABUILD LIMITED</t>
  </si>
  <si>
    <t>INE426H01014</t>
  </si>
  <si>
    <t>PRERINFRA</t>
  </si>
  <si>
    <t>MYSORE PETRO CHEMICALS LTD.,</t>
  </si>
  <si>
    <t>INE741A01011</t>
  </si>
  <si>
    <t>MYSORPETRO</t>
  </si>
  <si>
    <t>BHEEMA CEMENTS LIMITED</t>
  </si>
  <si>
    <t>INE333H01020</t>
  </si>
  <si>
    <t>BHEEMACEM</t>
  </si>
  <si>
    <t>AHASOLAR TECHNOLOGIES LIMITED</t>
  </si>
  <si>
    <t>INE0NEV01011</t>
  </si>
  <si>
    <t>AHASOLAR</t>
  </si>
  <si>
    <t>INE666Q01016</t>
  </si>
  <si>
    <t>EIKO</t>
  </si>
  <si>
    <t>INE311M01018</t>
  </si>
  <si>
    <t>SHRADDHA</t>
  </si>
  <si>
    <t>SWASTIKA INVESTMART LTD</t>
  </si>
  <si>
    <t>INE691C01014</t>
  </si>
  <si>
    <t>SWASTIKA</t>
  </si>
  <si>
    <t>ZEAL AQUA LIMITED</t>
  </si>
  <si>
    <t>INE819S01025</t>
  </si>
  <si>
    <t>ZEAL</t>
  </si>
  <si>
    <t>HALDER VENTURE LIMITED</t>
  </si>
  <si>
    <t>INE115S01010</t>
  </si>
  <si>
    <t>HALDER</t>
  </si>
  <si>
    <t>BRIGHT BROTHERS LTD.,</t>
  </si>
  <si>
    <t>INE630D01010</t>
  </si>
  <si>
    <t>BRIGHTBR</t>
  </si>
  <si>
    <t>B &amp; A LTD.</t>
  </si>
  <si>
    <t>INE489D01011</t>
  </si>
  <si>
    <t>BNALTD</t>
  </si>
  <si>
    <t>VIPPY SPINPRO LTD.</t>
  </si>
  <si>
    <t>INE660D01017</t>
  </si>
  <si>
    <t>VIPPYSP</t>
  </si>
  <si>
    <t>SAGARSOFT (INDIA) LIMITED</t>
  </si>
  <si>
    <t>INE184B01012</t>
  </si>
  <si>
    <t>SAGARSOFT</t>
  </si>
  <si>
    <t>ATLAS JEWELLERY INDIA LIMITED</t>
  </si>
  <si>
    <t>INE022N01019</t>
  </si>
  <si>
    <t>AJIL</t>
  </si>
  <si>
    <t>PEE CEE COSMA SOPE LTD.,</t>
  </si>
  <si>
    <t>INE417E01010</t>
  </si>
  <si>
    <t>PCCOSMA</t>
  </si>
  <si>
    <t>TAYO ROLLS LTD.</t>
  </si>
  <si>
    <t>INE895C01011</t>
  </si>
  <si>
    <t>TATAYODOGA</t>
  </si>
  <si>
    <t>ATHENA GLOBAL TECHNOLOGIES LIMITED</t>
  </si>
  <si>
    <t>INE576B01019</t>
  </si>
  <si>
    <t>ATHENAGLO</t>
  </si>
  <si>
    <t>INE0KA601012</t>
  </si>
  <si>
    <t>ALKOSIGN</t>
  </si>
  <si>
    <t>SHALIMAR WIRES INDUSTRIES LTD.</t>
  </si>
  <si>
    <t>INE655D01025</t>
  </si>
  <si>
    <t>SHALIWIR</t>
  </si>
  <si>
    <t>CREATIVE CASTINGS LIMITED</t>
  </si>
  <si>
    <t>INE146E01015</t>
  </si>
  <si>
    <t>INDIA STEEL WORKS LTD</t>
  </si>
  <si>
    <t>INE072A01029</t>
  </si>
  <si>
    <t>ISWL</t>
  </si>
  <si>
    <t>INDITRADE CAPITAL LIMITED</t>
  </si>
  <si>
    <t>INE347H01012</t>
  </si>
  <si>
    <t>INDICAP</t>
  </si>
  <si>
    <t>KESAR ENTERPRISES LTD.,</t>
  </si>
  <si>
    <t>INE133B01019</t>
  </si>
  <si>
    <t>KESARENT</t>
  </si>
  <si>
    <t>INE415B01044</t>
  </si>
  <si>
    <t>MARSONS</t>
  </si>
  <si>
    <t>BLS INFOTECH LIMITED</t>
  </si>
  <si>
    <t>INE606B01022</t>
  </si>
  <si>
    <t>BLSINFOTE</t>
  </si>
  <si>
    <t>TIRUPATI TYRES LTD.</t>
  </si>
  <si>
    <t>INE812Q01016</t>
  </si>
  <si>
    <t>TTIL</t>
  </si>
  <si>
    <t>TIRUPATI</t>
  </si>
  <si>
    <t>LUDLOW JUTE &amp; SPECIALITIES LTD</t>
  </si>
  <si>
    <t>INE983C01015</t>
  </si>
  <si>
    <t>LUDLOWJUT</t>
  </si>
  <si>
    <t>JEEVAN SCIENTIFIC TECHNOLOGY LIMITED</t>
  </si>
  <si>
    <t>INE237B01018</t>
  </si>
  <si>
    <t>JSTL</t>
  </si>
  <si>
    <t>ANG LIFESCIENCES INDIA LIMITED</t>
  </si>
  <si>
    <t>INE236W01016</t>
  </si>
  <si>
    <t>ANG</t>
  </si>
  <si>
    <t>LACTOSE (INDIA) LTD.,</t>
  </si>
  <si>
    <t>INE058I01013</t>
  </si>
  <si>
    <t>LACTOSE</t>
  </si>
  <si>
    <t>CHANDRA BHAGAT PHARMA LIMITED</t>
  </si>
  <si>
    <t>INE07QQ01016</t>
  </si>
  <si>
    <t>CBPL</t>
  </si>
  <si>
    <t>INE185U01035</t>
  </si>
  <si>
    <t>KCDGROUP</t>
  </si>
  <si>
    <t>PHARMAIDS PHARMACEUTICALS LTD.</t>
  </si>
  <si>
    <t>INE117D01018</t>
  </si>
  <si>
    <t>PHARMAID</t>
  </si>
  <si>
    <t>GUJARAT STATE FINANCIAL CORPORATION</t>
  </si>
  <si>
    <t>INE944A01011</t>
  </si>
  <si>
    <t>GUJSTATFIN</t>
  </si>
  <si>
    <t>BCC FUBA INDIA LTD.,</t>
  </si>
  <si>
    <t>INE788D01016</t>
  </si>
  <si>
    <t>BCCFUBA</t>
  </si>
  <si>
    <t>MYSORE PAPER MILLS LIMITED</t>
  </si>
  <si>
    <t>INE924F01012</t>
  </si>
  <si>
    <t>MYSPAPE</t>
  </si>
  <si>
    <t>RELICAB CABLE MANUFACTURING LIMITED</t>
  </si>
  <si>
    <t>INE773T01014</t>
  </si>
  <si>
    <t>RELICAB</t>
  </si>
  <si>
    <t>AVANCE TECHNOLOGIES LTD.</t>
  </si>
  <si>
    <t>INE758A01072</t>
  </si>
  <si>
    <t>AVANCE</t>
  </si>
  <si>
    <t>JMD VENTURES LIMITED</t>
  </si>
  <si>
    <t>INE047E01031</t>
  </si>
  <si>
    <t>JMDVL</t>
  </si>
  <si>
    <t>SUPER TANNERY LIMITED</t>
  </si>
  <si>
    <t>INE460D01038</t>
  </si>
  <si>
    <t>SUPTANERY</t>
  </si>
  <si>
    <t>BIHAR SPONGE IRON LTD</t>
  </si>
  <si>
    <t>INE819C01011</t>
  </si>
  <si>
    <t>BIHSPONG</t>
  </si>
  <si>
    <t>GUJARAT INTRUX LIMITED</t>
  </si>
  <si>
    <t>INE877E01015</t>
  </si>
  <si>
    <t>GUJINTRX</t>
  </si>
  <si>
    <t>VIDLI RESTAURANTS LIMITED</t>
  </si>
  <si>
    <t>INE564S01019</t>
  </si>
  <si>
    <t>VIDLI</t>
  </si>
  <si>
    <t>COSCO (INDIA) LTD.</t>
  </si>
  <si>
    <t>INE949B01018</t>
  </si>
  <si>
    <t>COSCO</t>
  </si>
  <si>
    <t>ITL INDUSTRIES LTD.</t>
  </si>
  <si>
    <t>INE478D01014</t>
  </si>
  <si>
    <t>ITL</t>
  </si>
  <si>
    <t>ALSTONE TEXTILES (INDIA) LIMITED</t>
  </si>
  <si>
    <t>INE184S01024</t>
  </si>
  <si>
    <t>ALSTONE</t>
  </si>
  <si>
    <t>BANAS FINANCE LIMITED</t>
  </si>
  <si>
    <t>INE521L01030</t>
  </si>
  <si>
    <t>BANASFN</t>
  </si>
  <si>
    <t>SHETRON LTD.</t>
  </si>
  <si>
    <t>INE278C01010</t>
  </si>
  <si>
    <t>SHETR</t>
  </si>
  <si>
    <t>SHILP GRAVURES LTD.</t>
  </si>
  <si>
    <t>INE960A01017</t>
  </si>
  <si>
    <t>SHILGRAVQ</t>
  </si>
  <si>
    <t>VISTAR AMAR LIMITED</t>
  </si>
  <si>
    <t>INE878P01019</t>
  </si>
  <si>
    <t>VISTARAMAR</t>
  </si>
  <si>
    <t>SUNSHINE CAPITAL LTD.</t>
  </si>
  <si>
    <t>INE974F01017</t>
  </si>
  <si>
    <t>SCL</t>
  </si>
  <si>
    <t>POLYCHEM LTD</t>
  </si>
  <si>
    <t>INE752B01024</t>
  </si>
  <si>
    <t>POLYCHEM</t>
  </si>
  <si>
    <t>GALACTICO CORPORATE SERVICES LIMITED</t>
  </si>
  <si>
    <t>INE906Y01028</t>
  </si>
  <si>
    <t>GALACTICO</t>
  </si>
  <si>
    <t>DUTRON  POLYMERS LTD.</t>
  </si>
  <si>
    <t>INE940C01015</t>
  </si>
  <si>
    <t>DUTRON</t>
  </si>
  <si>
    <t>MUKESH BABU FINANCIAL SERVICES LTD.</t>
  </si>
  <si>
    <t>INE596B01017</t>
  </si>
  <si>
    <t>MUKESHB</t>
  </si>
  <si>
    <t>ABHINAV CAPITAL SERVICES LIMITED</t>
  </si>
  <si>
    <t>INE516F01016</t>
  </si>
  <si>
    <t>ABHICAP</t>
  </si>
  <si>
    <t>ANJANI FOODS LIMITED</t>
  </si>
  <si>
    <t>INE096I01021</t>
  </si>
  <si>
    <t>ANJANIFOODS</t>
  </si>
  <si>
    <t>EDVENSWA ENTERPRISES LIMITED</t>
  </si>
  <si>
    <t>INE125G01014</t>
  </si>
  <si>
    <t>EDVENSWA</t>
  </si>
  <si>
    <t>ADVIK CAPITAL LIMITED</t>
  </si>
  <si>
    <t>INE178T01024</t>
  </si>
  <si>
    <t>ADVIKCA</t>
  </si>
  <si>
    <t>GANESHA ECOVERSE LIMITED</t>
  </si>
  <si>
    <t>INE369Q01017</t>
  </si>
  <si>
    <t>GANVERSE</t>
  </si>
  <si>
    <t>CALS REFINERIES LTD</t>
  </si>
  <si>
    <t>INE040C01022</t>
  </si>
  <si>
    <t>CALSREF</t>
  </si>
  <si>
    <t>RAJESHWARI CANS LIMITED</t>
  </si>
  <si>
    <t>INE0CQ101015</t>
  </si>
  <si>
    <t>RCAN</t>
  </si>
  <si>
    <t>GANGA PAPERS INDIA LTD</t>
  </si>
  <si>
    <t>INE278O01015</t>
  </si>
  <si>
    <t>GANGAPA</t>
  </si>
  <si>
    <t>JYOTI LTD.,</t>
  </si>
  <si>
    <t>INE511D01012</t>
  </si>
  <si>
    <t>JYOTI</t>
  </si>
  <si>
    <t>MEDICO INTERCONTINENTAL LIMITED</t>
  </si>
  <si>
    <t>INE858Q01019</t>
  </si>
  <si>
    <t>MIL</t>
  </si>
  <si>
    <t>JOLLY PLASTIC INDUSTRIES LTD.,</t>
  </si>
  <si>
    <t>INE289M01016</t>
  </si>
  <si>
    <t>JOLYPLS</t>
  </si>
  <si>
    <t>INE286N01028</t>
  </si>
  <si>
    <t>PRISMX</t>
  </si>
  <si>
    <t>SABOO SODIUM CHLORO LTD.</t>
  </si>
  <si>
    <t>INE440C01016</t>
  </si>
  <si>
    <t>SABOOSOD</t>
  </si>
  <si>
    <t>KRISHNA VENTURES LIMITED</t>
  </si>
  <si>
    <t>INE537L01010</t>
  </si>
  <si>
    <t>KRISHNA</t>
  </si>
  <si>
    <t>VIRAT CRANE INDUSTRIES LTD</t>
  </si>
  <si>
    <t>INE295C01014</t>
  </si>
  <si>
    <t>VIRATCRA</t>
  </si>
  <si>
    <t>JAYSYNTH DYESTUFF (INDIA) LTD.,</t>
  </si>
  <si>
    <t>INE703C01025</t>
  </si>
  <si>
    <t>JAYSYN</t>
  </si>
  <si>
    <t>KAYCEE INDUSTRIES LTD.,</t>
  </si>
  <si>
    <t>INE813G01015</t>
  </si>
  <si>
    <t>KAYCEEI</t>
  </si>
  <si>
    <t>NILACHAL REFRACTORIES LTD.</t>
  </si>
  <si>
    <t>INE416N01013</t>
  </si>
  <si>
    <t>NILACHAL</t>
  </si>
  <si>
    <t>MINAL INDUSTRIES LIMITED</t>
  </si>
  <si>
    <t>INE097E01028</t>
  </si>
  <si>
    <t>MINALIND</t>
  </si>
  <si>
    <t>KANISHK STEEL INDUSTRIES LTD</t>
  </si>
  <si>
    <t>INE791E01018</t>
  </si>
  <si>
    <t>KANSHST</t>
  </si>
  <si>
    <t>MUNOTH CAPITAL MARKET LTD</t>
  </si>
  <si>
    <t>INE910G01027</t>
  </si>
  <si>
    <t>MUNCAPM</t>
  </si>
  <si>
    <t>SUPERIOR INDUSTRIAL ENTERPRISES LIMITED</t>
  </si>
  <si>
    <t>INE843L01012</t>
  </si>
  <si>
    <t>SIEL</t>
  </si>
  <si>
    <t>MEFCOM CAPITAL MARKETS LTD.</t>
  </si>
  <si>
    <t>INE186C01023</t>
  </si>
  <si>
    <t>MEFCOMCAP</t>
  </si>
  <si>
    <t>ELEGANT MARBLES &amp; GRANI INDUSTRIES</t>
  </si>
  <si>
    <t>INE095B01010</t>
  </si>
  <si>
    <t>ELEMARB</t>
  </si>
  <si>
    <t>KREON FINNANCIAL SERVICES LIMITED</t>
  </si>
  <si>
    <t>INE302C01018</t>
  </si>
  <si>
    <t>KREONFIN</t>
  </si>
  <si>
    <t>ENVAIR ELECTRODYNE LTD.</t>
  </si>
  <si>
    <t>INE601C01013</t>
  </si>
  <si>
    <t>ENVAIREL</t>
  </si>
  <si>
    <t>ASSOCIATED CERAMICS LTD.</t>
  </si>
  <si>
    <t>INE771E01010</t>
  </si>
  <si>
    <t>ASSOCER</t>
  </si>
  <si>
    <t>HB ESTATE DEVELOPERS LTD.</t>
  </si>
  <si>
    <t>INE640B01021</t>
  </si>
  <si>
    <t>HBESD</t>
  </si>
  <si>
    <t>K.G.DENIM LTD</t>
  </si>
  <si>
    <t>INE104A01012</t>
  </si>
  <si>
    <t>KGDENIM</t>
  </si>
  <si>
    <t>SHARDA ISPAT LTD.</t>
  </si>
  <si>
    <t>INE385M01012</t>
  </si>
  <si>
    <t>SHRDAIS</t>
  </si>
  <si>
    <t>RETINA PAINTS LIMITED</t>
  </si>
  <si>
    <t>INE0NTC01019</t>
  </si>
  <si>
    <t>RETINA</t>
  </si>
  <si>
    <t xml:space="preserve">INE040M01013   </t>
  </si>
  <si>
    <t>SPS FINQUEST LIMITED</t>
  </si>
  <si>
    <t>INE502O01018</t>
  </si>
  <si>
    <t>SPS</t>
  </si>
  <si>
    <t>JSL INDUSTRIES LTD.,</t>
  </si>
  <si>
    <t>INE581L01018</t>
  </si>
  <si>
    <t>JSLINDL</t>
  </si>
  <si>
    <t>INE724R01011</t>
  </si>
  <si>
    <t>SUNAYANA</t>
  </si>
  <si>
    <t>SIMMONDS-MARSHALL LTD</t>
  </si>
  <si>
    <t>INE657D01021</t>
  </si>
  <si>
    <t>SIMMOND</t>
  </si>
  <si>
    <t>ACKNIT INDUSTRIES LTD</t>
  </si>
  <si>
    <t>INE326C01017</t>
  </si>
  <si>
    <t>ACKNIT</t>
  </si>
  <si>
    <t>TIRUPATI STARCH &amp; CHEMICALS LTD.</t>
  </si>
  <si>
    <t>INE314D01011</t>
  </si>
  <si>
    <t>TIRUSTA</t>
  </si>
  <si>
    <t>BENGAL TEA &amp; FABRICS LTD.</t>
  </si>
  <si>
    <t>INE665D01016</t>
  </si>
  <si>
    <t>BENGALT</t>
  </si>
  <si>
    <t>ASIT C MEHTA FINANCIAL SERVICES LIMITED</t>
  </si>
  <si>
    <t>INE041B01014</t>
  </si>
  <si>
    <t>ASITCFIN</t>
  </si>
  <si>
    <t>APLAB LTD.</t>
  </si>
  <si>
    <t>INE273A01015</t>
  </si>
  <si>
    <t>APLAB</t>
  </si>
  <si>
    <t>PUNJ LLOYD LTD</t>
  </si>
  <si>
    <t>INE701B01021</t>
  </si>
  <si>
    <t>PUNJLLOYD</t>
  </si>
  <si>
    <t>GOLKUNDA DIAMONDS &amp; JEWELLERY LTD.</t>
  </si>
  <si>
    <t>INE798D01015</t>
  </si>
  <si>
    <t>GOLKUNDIA</t>
  </si>
  <si>
    <t>MAXHEIGHTS INFRASTRUCTURE LIMITED</t>
  </si>
  <si>
    <t>INE393F01010</t>
  </si>
  <si>
    <t>MAXHEIGHTS</t>
  </si>
  <si>
    <t>DHANASHREE ELECTRONICS LIMITED</t>
  </si>
  <si>
    <t>INE413F01016</t>
  </si>
  <si>
    <t>DEL</t>
  </si>
  <si>
    <t>INE064R01012</t>
  </si>
  <si>
    <t>MODULEX</t>
  </si>
  <si>
    <t>SHREYAS INTERMEDIATES LTD.</t>
  </si>
  <si>
    <t>INE115F01017</t>
  </si>
  <si>
    <t>SHREYASI</t>
  </si>
  <si>
    <t>INE0JJS01014</t>
  </si>
  <si>
    <t>CLARA</t>
  </si>
  <si>
    <t>TIRUPATI FINCORP LIMITED</t>
  </si>
  <si>
    <t>INE642O01012</t>
  </si>
  <si>
    <t>TIRUFIN</t>
  </si>
  <si>
    <t>DHOOT INDUSTRIAL FINANCE LTD.</t>
  </si>
  <si>
    <t>INE313G01016</t>
  </si>
  <si>
    <t>DHOOTIN</t>
  </si>
  <si>
    <t>YASH CHEMEX LIMITED</t>
  </si>
  <si>
    <t>INE571U01010</t>
  </si>
  <si>
    <t>YASHCHEM</t>
  </si>
  <si>
    <t>ACHYUT HEALTHCARE LIMITED</t>
  </si>
  <si>
    <t>INE0K1401012</t>
  </si>
  <si>
    <t>ACHYUT</t>
  </si>
  <si>
    <t>WALLFORT FINANCIAL SERVICES LTD.</t>
  </si>
  <si>
    <t>INE121B01014</t>
  </si>
  <si>
    <t>WALLFORT</t>
  </si>
  <si>
    <t>GORANI INDUSTRIES LTD.</t>
  </si>
  <si>
    <t>INE792J01015</t>
  </si>
  <si>
    <t>GORANIN</t>
  </si>
  <si>
    <t>KATARE SPINNING MILLS LTD.,</t>
  </si>
  <si>
    <t>INE498G01015</t>
  </si>
  <si>
    <t>KATRSPG</t>
  </si>
  <si>
    <t>M.M. RUBBER COMPANY LTD.,</t>
  </si>
  <si>
    <t>INE159E01026</t>
  </si>
  <si>
    <t>MMRUBBR-B</t>
  </si>
  <si>
    <t>INE328E01027</t>
  </si>
  <si>
    <t>RAMARAJU</t>
  </si>
  <si>
    <t>BIRLA TYRES LIMITED</t>
  </si>
  <si>
    <t>INE0AEJ01013</t>
  </si>
  <si>
    <t>BIRLATYRES</t>
  </si>
  <si>
    <t>PRITHVI EXCHANGE (INDIA) LIMITED</t>
  </si>
  <si>
    <t>INE621B01021</t>
  </si>
  <si>
    <t>PRITHVIEXCH</t>
  </si>
  <si>
    <t>ACME RESOURCES LIMITED</t>
  </si>
  <si>
    <t>INE636B01011</t>
  </si>
  <si>
    <t>ACME</t>
  </si>
  <si>
    <t>GODAVARI DRUGS LTD.</t>
  </si>
  <si>
    <t>INE362C01012</t>
  </si>
  <si>
    <t>GODAVARI</t>
  </si>
  <si>
    <t>SAMBANDAM SPINNING MILLS LTD.</t>
  </si>
  <si>
    <t>INE304D01012</t>
  </si>
  <si>
    <t>SAMBANDAM</t>
  </si>
  <si>
    <t>INE492Z01018</t>
  </si>
  <si>
    <t>GOBLIN</t>
  </si>
  <si>
    <t>INE410G01010</t>
  </si>
  <si>
    <t>DIVSHKT</t>
  </si>
  <si>
    <t>SAM INDUSTRIES LTD.</t>
  </si>
  <si>
    <t>INE653D01012</t>
  </si>
  <si>
    <t>SAMINDUS</t>
  </si>
  <si>
    <t>J.TAPARIA PROJECTS LTD</t>
  </si>
  <si>
    <t>INE075K01013</t>
  </si>
  <si>
    <t>JTAPARIA</t>
  </si>
  <si>
    <t>ATV PROJECTS INDIA LTD</t>
  </si>
  <si>
    <t>INE447A01015</t>
  </si>
  <si>
    <t>ATVPR</t>
  </si>
  <si>
    <t>INE724D01011</t>
  </si>
  <si>
    <t>HINDHARD</t>
  </si>
  <si>
    <t>INE595R01023</t>
  </si>
  <si>
    <t>EASTWEST</t>
  </si>
  <si>
    <t>SIR SHADI LAL ENTERPRISES LTD</t>
  </si>
  <si>
    <t>INE117H01019</t>
  </si>
  <si>
    <t>SSLEL</t>
  </si>
  <si>
    <t>MEDIAONE GLOBAL ENTERTAINMENT LIMITED</t>
  </si>
  <si>
    <t>INE828I01019</t>
  </si>
  <si>
    <t>MEDIAONE</t>
  </si>
  <si>
    <t>BABA ARTS LTD</t>
  </si>
  <si>
    <t>INE893A01036</t>
  </si>
  <si>
    <t>BABA</t>
  </si>
  <si>
    <t>NOVA IRON &amp; STEEL LTD.</t>
  </si>
  <si>
    <t>INE608C01026</t>
  </si>
  <si>
    <t>NOVIS</t>
  </si>
  <si>
    <t>MANPASAND BEVERAGES LIMITED</t>
  </si>
  <si>
    <t>INE122R01018</t>
  </si>
  <si>
    <t>MANPASAND</t>
  </si>
  <si>
    <t>INE357B01022</t>
  </si>
  <si>
    <t>RAMINFO</t>
  </si>
  <si>
    <t>KESAR PETROPRODUCTS LTD</t>
  </si>
  <si>
    <t>INE133C01033</t>
  </si>
  <si>
    <t>KESARPE</t>
  </si>
  <si>
    <t>EARTHSTAHL &amp; ALLOYS LIMITED</t>
  </si>
  <si>
    <t>INE0O4V01010</t>
  </si>
  <si>
    <t>EARTH</t>
  </si>
  <si>
    <t>CANOPY FINANCE LIMITED</t>
  </si>
  <si>
    <t>INE095R01016</t>
  </si>
  <si>
    <t>CANOPYFIN</t>
  </si>
  <si>
    <t>PICCADILY SUGAR  &amp; ALLIED LTD.</t>
  </si>
  <si>
    <t>INE544C01023</t>
  </si>
  <si>
    <t>PICCASUG</t>
  </si>
  <si>
    <t>INE904R01027</t>
  </si>
  <si>
    <t>URSUGAR</t>
  </si>
  <si>
    <t>EMERALD LEISURES LIMITED</t>
  </si>
  <si>
    <t>INE044N01021</t>
  </si>
  <si>
    <t>EMERALL</t>
  </si>
  <si>
    <t>ARYAMAN CAPITAL MARKETS LIMITED</t>
  </si>
  <si>
    <t>INE229R01011</t>
  </si>
  <si>
    <t>ARYACAPM</t>
  </si>
  <si>
    <t>METAL COATINGS (INDIA) LTD.</t>
  </si>
  <si>
    <t>INE161E01014</t>
  </si>
  <si>
    <t>METALCO</t>
  </si>
  <si>
    <t>ESCORP ASSET MANAGEMENT LIMITED</t>
  </si>
  <si>
    <t>INE953W01016</t>
  </si>
  <si>
    <t>ESCORP</t>
  </si>
  <si>
    <t>INE607V01028</t>
  </si>
  <si>
    <t>VSL</t>
  </si>
  <si>
    <t>MISHKA FINANCE AND TRADING LIMITED</t>
  </si>
  <si>
    <t>INE231N01024</t>
  </si>
  <si>
    <t>MISHKAFIN</t>
  </si>
  <si>
    <t>PRECISION ELECTRONICS LTD.,</t>
  </si>
  <si>
    <t>INE143C01024</t>
  </si>
  <si>
    <t>PRECISIO</t>
  </si>
  <si>
    <t>INE713D01055</t>
  </si>
  <si>
    <t>CANDOUR</t>
  </si>
  <si>
    <t>AURO LABORATORIES LTD.</t>
  </si>
  <si>
    <t>INE292C01011</t>
  </si>
  <si>
    <t>AUROLAB</t>
  </si>
  <si>
    <t>ALKA INDIA LTD.</t>
  </si>
  <si>
    <t>INE061B01020</t>
  </si>
  <si>
    <t>ALKA</t>
  </si>
  <si>
    <t>EMERALD FINANCE LIMITED</t>
  </si>
  <si>
    <t>INE030Q01015</t>
  </si>
  <si>
    <t>EMERALD</t>
  </si>
  <si>
    <t>QUADRANT TELEVENTURES LIMITED</t>
  </si>
  <si>
    <t>INE527B01020</t>
  </si>
  <si>
    <t>QUADRANT</t>
  </si>
  <si>
    <t>INE999P01013</t>
  </si>
  <si>
    <t>TARINIENT</t>
  </si>
  <si>
    <t>MAKERS LABORATORIES LTD.</t>
  </si>
  <si>
    <t>INE987A01010</t>
  </si>
  <si>
    <t>MAKERSL</t>
  </si>
  <si>
    <t>UNIVERSAL STARCH-CHEM ALLIED LTD.</t>
  </si>
  <si>
    <t>INE113E01015</t>
  </si>
  <si>
    <t>UNIVSTAR</t>
  </si>
  <si>
    <t>MSR INDIA LIMITED</t>
  </si>
  <si>
    <t>INE331L01026</t>
  </si>
  <si>
    <t>MSRINDIA</t>
  </si>
  <si>
    <t>ALFRED HERBERT (INDIA) LTD.,</t>
  </si>
  <si>
    <t>INE782D01027</t>
  </si>
  <si>
    <t>ALFREDHE</t>
  </si>
  <si>
    <t>P.B.M. POLYTEX LTD.,</t>
  </si>
  <si>
    <t>INE501F01018</t>
  </si>
  <si>
    <t>PBMPOLY</t>
  </si>
  <si>
    <t>TEJNAKSH HEALTHCARE LIMITED</t>
  </si>
  <si>
    <t>INE030T01027</t>
  </si>
  <si>
    <t>TEJNAKSH</t>
  </si>
  <si>
    <t>TRIDENT TEXOFAB LIMITED</t>
  </si>
  <si>
    <t>INE071Y01013</t>
  </si>
  <si>
    <t>TTFL</t>
  </si>
  <si>
    <t>ISL CONSULTING LTD</t>
  </si>
  <si>
    <t>INE569B01022</t>
  </si>
  <si>
    <t>ISLCONSUL</t>
  </si>
  <si>
    <t>UNIPLY INDUSTRIES LTD.</t>
  </si>
  <si>
    <t>INE950G01023</t>
  </si>
  <si>
    <t>UNIPLY</t>
  </si>
  <si>
    <t>KAMADGIRI FASHION LIMITED</t>
  </si>
  <si>
    <t>INE535C01013</t>
  </si>
  <si>
    <t>KAMADGIRI</t>
  </si>
  <si>
    <t>WELCAST STEELS LTD.,</t>
  </si>
  <si>
    <t>INE380G01015</t>
  </si>
  <si>
    <t>ZWELCAST</t>
  </si>
  <si>
    <t>INE013J01016</t>
  </si>
  <si>
    <t>KVFORGE</t>
  </si>
  <si>
    <t>CIL NOVA PETROCHEMICALS LIMITED</t>
  </si>
  <si>
    <t>INE672K01025</t>
  </si>
  <si>
    <t>CNOVAPETRO</t>
  </si>
  <si>
    <t>SANGAM FINSERV LIMITED</t>
  </si>
  <si>
    <t>INE475D01010</t>
  </si>
  <si>
    <t>SANGAMFIN</t>
  </si>
  <si>
    <t>INE017I01027</t>
  </si>
  <si>
    <t>SERA</t>
  </si>
  <si>
    <t>GTN INDUSTRIES LIMITED</t>
  </si>
  <si>
    <t>INE537A01013</t>
  </si>
  <si>
    <t>GTNINDS</t>
  </si>
  <si>
    <t>INE502D01011</t>
  </si>
  <si>
    <t>TIHIL</t>
  </si>
  <si>
    <t>SHIVA GLOBAL AGRO INDUSTRIES LIMITED</t>
  </si>
  <si>
    <t>INE960E01019</t>
  </si>
  <si>
    <t>SHIVAAGRO</t>
  </si>
  <si>
    <t>INE705H01011</t>
  </si>
  <si>
    <t>INE952M01019</t>
  </si>
  <si>
    <t>FLOMIC</t>
  </si>
  <si>
    <t>A.K. SPINTEX LTD.</t>
  </si>
  <si>
    <t>INE671K01019</t>
  </si>
  <si>
    <t>AKSPINTEX</t>
  </si>
  <si>
    <t>FUTURISTIC SOLUTIONS LTD.</t>
  </si>
  <si>
    <t>INE241F01011</t>
  </si>
  <si>
    <t>FUTSOL</t>
  </si>
  <si>
    <t>ERA BUILDSYS LIMITED</t>
  </si>
  <si>
    <t>INE040E01028</t>
  </si>
  <si>
    <t>ERABUILD</t>
  </si>
  <si>
    <t>BHATIA COLOUR CHEM LIMITED</t>
  </si>
  <si>
    <t>INE0KQ001017</t>
  </si>
  <si>
    <t>BCCL</t>
  </si>
  <si>
    <t>INE148B01033</t>
  </si>
  <si>
    <t>MENAMANI</t>
  </si>
  <si>
    <t>GAYATRI BIOORGANICS LTD</t>
  </si>
  <si>
    <t>INE052E01015</t>
  </si>
  <si>
    <t>GAYATRIBI</t>
  </si>
  <si>
    <t>INE989J01017</t>
  </si>
  <si>
    <t>QUEST</t>
  </si>
  <si>
    <t>INE574G01013</t>
  </si>
  <si>
    <t>VASUPRADA</t>
  </si>
  <si>
    <t>INE0KY201013</t>
  </si>
  <si>
    <t>MAAGHADV</t>
  </si>
  <si>
    <t>G.G.AUTOMOTIVE GEARS LTD.</t>
  </si>
  <si>
    <t>INE493B01017</t>
  </si>
  <si>
    <t>GGAUTO</t>
  </si>
  <si>
    <t>INE472C01027</t>
  </si>
  <si>
    <t>SHRISTI</t>
  </si>
  <si>
    <t>AMRAPALI INDUSTRIES LTD</t>
  </si>
  <si>
    <t>INE762C01021</t>
  </si>
  <si>
    <t>AMRAPLIN</t>
  </si>
  <si>
    <t>AUSTIN ENGINEERING CO. LTD.,</t>
  </si>
  <si>
    <t>INE759F01012</t>
  </si>
  <si>
    <t>AUSTENG</t>
  </si>
  <si>
    <t>SM AUTO STAMPING LIMITED</t>
  </si>
  <si>
    <t>INE0C4I01011</t>
  </si>
  <si>
    <t>SMAUTO</t>
  </si>
  <si>
    <t>INE173X01019</t>
  </si>
  <si>
    <t>RATHIIND</t>
  </si>
  <si>
    <t>BINAYAK TEX PROCESSORS  LTD.,</t>
  </si>
  <si>
    <t>INE626H01019</t>
  </si>
  <si>
    <t>ZBINTXPP</t>
  </si>
  <si>
    <t>INE421K01019</t>
  </si>
  <si>
    <t>GENESISFIN</t>
  </si>
  <si>
    <t>RASI ELECTRODES LTD.</t>
  </si>
  <si>
    <t>INE822D01021</t>
  </si>
  <si>
    <t>RASIELEC</t>
  </si>
  <si>
    <t>INE176O01011</t>
  </si>
  <si>
    <t>ESPIRE</t>
  </si>
  <si>
    <t>ROYALE MANOR HOTELS &amp; INDUSTRIES LT</t>
  </si>
  <si>
    <t>INE008C01011</t>
  </si>
  <si>
    <t>RAYALEMA</t>
  </si>
  <si>
    <t>SANDU PHARMACEUTICALS LTD.</t>
  </si>
  <si>
    <t>INE751D01014</t>
  </si>
  <si>
    <t>SANDUPHQ</t>
  </si>
  <si>
    <t>DYNAVISION LIMITED</t>
  </si>
  <si>
    <t>INE083E01010</t>
  </si>
  <si>
    <t>DYNAVSN</t>
  </si>
  <si>
    <t>RATHI STEEL &amp; POWER LTD,</t>
  </si>
  <si>
    <t>INE336C01016</t>
  </si>
  <si>
    <t>RATHIST</t>
  </si>
  <si>
    <t>KESAR TERMINALS &amp; INFRASTRUCTURE LIMITED</t>
  </si>
  <si>
    <t>INE096L01025</t>
  </si>
  <si>
    <t>KTIL</t>
  </si>
  <si>
    <t>GARG FURNACE LTD.</t>
  </si>
  <si>
    <t>INE194E01015</t>
  </si>
  <si>
    <t>GARGFUR</t>
  </si>
  <si>
    <t>GOGIA CAPITAL SERVICES LIMITED</t>
  </si>
  <si>
    <t>INE832C01014</t>
  </si>
  <si>
    <t>GOGIACAP</t>
  </si>
  <si>
    <t>OPTIMUS FINANCE LIMITED</t>
  </si>
  <si>
    <t>INE031G01014</t>
  </si>
  <si>
    <t>OPTIFIN</t>
  </si>
  <si>
    <t>INE967A01012</t>
  </si>
  <si>
    <t>SWARNSAR</t>
  </si>
  <si>
    <t>INE750G01019</t>
  </si>
  <si>
    <t>EY</t>
  </si>
  <si>
    <t>INE181G01025</t>
  </si>
  <si>
    <t>ECOPLAST LTD.</t>
  </si>
  <si>
    <t>INE423D01010</t>
  </si>
  <si>
    <t>ECOPLAST</t>
  </si>
  <si>
    <t>MORARKA FINANCE LTD.</t>
  </si>
  <si>
    <t>INE367A01015</t>
  </si>
  <si>
    <t>MORARKFI</t>
  </si>
  <si>
    <t>VASUNDHARA RASAYANS LTD.</t>
  </si>
  <si>
    <t>INE406F01010</t>
  </si>
  <si>
    <t>VRL</t>
  </si>
  <si>
    <t>WARREN TEA LTD.</t>
  </si>
  <si>
    <t>INE712A01012</t>
  </si>
  <si>
    <t>WARRENTEA</t>
  </si>
  <si>
    <t>SUNIL AGRO FOODS LTD.</t>
  </si>
  <si>
    <t>INE224D01012</t>
  </si>
  <si>
    <t>SUNILAGR</t>
  </si>
  <si>
    <t>GOEL FOOD PRODUCTS LIMITED</t>
  </si>
  <si>
    <t>INE0K6L01010</t>
  </si>
  <si>
    <t>GOEL</t>
  </si>
  <si>
    <t>ANSAL BUILDWELL LTD.,</t>
  </si>
  <si>
    <t>INE030C01015</t>
  </si>
  <si>
    <t>ANSALBU</t>
  </si>
  <si>
    <t>HARIYANA SHIP BREAKERS LTD.</t>
  </si>
  <si>
    <t>INE400G01011</t>
  </si>
  <si>
    <t>HRYNSHP</t>
  </si>
  <si>
    <t>ALFAVISION OVERSEAS (INDIA) LTD.</t>
  </si>
  <si>
    <t>INE883B01027</t>
  </si>
  <si>
    <t>ALFAVIO</t>
  </si>
  <si>
    <t>WSFX GLOBAL PAY LIMITED</t>
  </si>
  <si>
    <t>INE549D01012</t>
  </si>
  <si>
    <t>WSFX</t>
  </si>
  <si>
    <t>ARUNA HOTELS LTD.</t>
  </si>
  <si>
    <t>INE957C01019</t>
  </si>
  <si>
    <t>ARUNAHTEL</t>
  </si>
  <si>
    <t>INE00HZ01011</t>
  </si>
  <si>
    <t>BNHOLDINGS</t>
  </si>
  <si>
    <t>CONSOLIDATED CONSTRUCTION CONSORTIUM LTD</t>
  </si>
  <si>
    <t>INE429I01024</t>
  </si>
  <si>
    <t>CCCL</t>
  </si>
  <si>
    <t>NATURITE AGRO PRODUCTS LIMITED</t>
  </si>
  <si>
    <t>INE223R01014</t>
  </si>
  <si>
    <t>NAPL</t>
  </si>
  <si>
    <t>RIBA TEXTILES LTD.</t>
  </si>
  <si>
    <t>INE811H01017</t>
  </si>
  <si>
    <t>RIBATEX</t>
  </si>
  <si>
    <t>INE638N01012</t>
  </si>
  <si>
    <t>ECOHOTELS</t>
  </si>
  <si>
    <t>GUJARAT HOTELS LTD.</t>
  </si>
  <si>
    <t>INE621C01011</t>
  </si>
  <si>
    <t>GUJHOTE</t>
  </si>
  <si>
    <t>INE622Q01019</t>
  </si>
  <si>
    <t>LUCENT</t>
  </si>
  <si>
    <t>ANAND RAYONS LIMITED</t>
  </si>
  <si>
    <t>INE02GA01012</t>
  </si>
  <si>
    <t>ARL</t>
  </si>
  <si>
    <t>SOURCE NATURAL FOODS &amp; HERBAL SUPPL LTD</t>
  </si>
  <si>
    <t>INE679C01027</t>
  </si>
  <si>
    <t>SOURCENTRL</t>
  </si>
  <si>
    <t>SAUMYA CONSULTANTS LTD.</t>
  </si>
  <si>
    <t>INE563C01015</t>
  </si>
  <si>
    <t>SAUMYA</t>
  </si>
  <si>
    <t>B.N.RATHI SECURITIES LTD.</t>
  </si>
  <si>
    <t>INE710D01010</t>
  </si>
  <si>
    <t>BNRSEC</t>
  </si>
  <si>
    <t>D &amp; H INDIA LIMITED</t>
  </si>
  <si>
    <t>INE589D01018</t>
  </si>
  <si>
    <t>DHINDIA</t>
  </si>
  <si>
    <t>DYNAMIC PROTFOLIO MANAGEMENT &amp; SERV</t>
  </si>
  <si>
    <t>INE118C01018</t>
  </si>
  <si>
    <t>DYNAMICP</t>
  </si>
  <si>
    <t>PEARL GREEN CLUBS AND RESORTS LIMITED</t>
  </si>
  <si>
    <t>INE0GTX01019</t>
  </si>
  <si>
    <t>PGCRL</t>
  </si>
  <si>
    <t>ARNOLD HOLDINGS LTD</t>
  </si>
  <si>
    <t>INE185K01036</t>
  </si>
  <si>
    <t>ARNOLD</t>
  </si>
  <si>
    <t>HB PORTFOLIO LTD.</t>
  </si>
  <si>
    <t>INE638B01025</t>
  </si>
  <si>
    <t>HBPOR</t>
  </si>
  <si>
    <t>INNOVASSYNTH INVESTMENTS LIMITED</t>
  </si>
  <si>
    <t>INE690J01011</t>
  </si>
  <si>
    <t>INOVSYNTH</t>
  </si>
  <si>
    <t>INE0M9Q01011</t>
  </si>
  <si>
    <t>DHARNI</t>
  </si>
  <si>
    <t>PERFECTPAC LIMITED</t>
  </si>
  <si>
    <t>INE759I01024</t>
  </si>
  <si>
    <t>PERFEPA</t>
  </si>
  <si>
    <t>MOHITE INDUSTRIES LIMITED</t>
  </si>
  <si>
    <t>INE154B01015</t>
  </si>
  <si>
    <t>MOHITE</t>
  </si>
  <si>
    <t>LANDMARC LEISURE CORPORATION LTD.</t>
  </si>
  <si>
    <t>INE394C01023</t>
  </si>
  <si>
    <t>LANDMARC</t>
  </si>
  <si>
    <t>SRESTHA FINVEST LIMITED</t>
  </si>
  <si>
    <t>INE606K01023</t>
  </si>
  <si>
    <t>SRESTHA</t>
  </si>
  <si>
    <t>BOMBAY RAYON FASHIONS LTD.</t>
  </si>
  <si>
    <t>INE589G01011</t>
  </si>
  <si>
    <t>BRFL</t>
  </si>
  <si>
    <t>REMI EDELSTAHL TUBULARS LIMITED</t>
  </si>
  <si>
    <t>INE158G01015</t>
  </si>
  <si>
    <t>REMIEDEL</t>
  </si>
  <si>
    <t>VIVANTA INDUSTRIES LIMITED</t>
  </si>
  <si>
    <t>INE299W01022</t>
  </si>
  <si>
    <t>VIVANTA</t>
  </si>
  <si>
    <t>SAPTARISHI AGRO INDUSTRIES LTD</t>
  </si>
  <si>
    <t>INE233P01017</t>
  </si>
  <si>
    <t>SPTRSHI</t>
  </si>
  <si>
    <t>INE403B01016</t>
  </si>
  <si>
    <t>GCKL</t>
  </si>
  <si>
    <t>MONEY MASTERS LEASING &amp; FINANCE LIMITED</t>
  </si>
  <si>
    <t>INE340O01013</t>
  </si>
  <si>
    <t>MMLF</t>
  </si>
  <si>
    <t>SCANPOINT GEOMATICS LIMITED</t>
  </si>
  <si>
    <t>INE967B01028</t>
  </si>
  <si>
    <t>SCANPGEOM</t>
  </si>
  <si>
    <t>INE703D01023</t>
  </si>
  <si>
    <t>BIOGEN</t>
  </si>
  <si>
    <t>PROMAX POWER LIMITED</t>
  </si>
  <si>
    <t>INE0I2F01015</t>
  </si>
  <si>
    <t>PROMAX</t>
  </si>
  <si>
    <t>UPSURGE INVESTMENT AND FINANCE LTD.</t>
  </si>
  <si>
    <t>INE890B01014</t>
  </si>
  <si>
    <t>UPSURGE</t>
  </si>
  <si>
    <t>MISHKA EXIM LIMITED</t>
  </si>
  <si>
    <t>INE540S01019</t>
  </si>
  <si>
    <t>MISHKA</t>
  </si>
  <si>
    <t>YUG DECOR LIMITED</t>
  </si>
  <si>
    <t>INE796W01019</t>
  </si>
  <si>
    <t>YUG</t>
  </si>
  <si>
    <t>CIAN HEALTHCARE LIMITED</t>
  </si>
  <si>
    <t>INE05BN01019</t>
  </si>
  <si>
    <t>CHCL</t>
  </si>
  <si>
    <t>INE266P01017</t>
  </si>
  <si>
    <t>WESTLEIRES</t>
  </si>
  <si>
    <t>INE055E01026</t>
  </si>
  <si>
    <t>REALECO</t>
  </si>
  <si>
    <t>ZODIAC VENTURES LIMITED</t>
  </si>
  <si>
    <t>INE945J01027</t>
  </si>
  <si>
    <t>ZODIACVEN</t>
  </si>
  <si>
    <t>ASHOK ALCO-CHEM LTD.</t>
  </si>
  <si>
    <t>INE994D01010</t>
  </si>
  <si>
    <t>ASHOKALC</t>
  </si>
  <si>
    <t>INE135A01024</t>
  </si>
  <si>
    <t>BALASORE</t>
  </si>
  <si>
    <t>RAINBOW FOUNDATIONS LTD</t>
  </si>
  <si>
    <t>INE230F01014</t>
  </si>
  <si>
    <t>RAINBOWF</t>
  </si>
  <si>
    <t>GUJARAT POLY ELECTRONICS LIMITED</t>
  </si>
  <si>
    <t>INE541F01022</t>
  </si>
  <si>
    <t>GUJARATPOLY</t>
  </si>
  <si>
    <t>INE212P01011</t>
  </si>
  <si>
    <t>CHEMTECH</t>
  </si>
  <si>
    <t>FERVENT SYNERGIES LIMITED</t>
  </si>
  <si>
    <t>INE258M01011</t>
  </si>
  <si>
    <t>FERVENTSYN</t>
  </si>
  <si>
    <t>NCL RESEARCH AND FINANCIAL SERVICES</t>
  </si>
  <si>
    <t>INE132F01038</t>
  </si>
  <si>
    <t>NCLRESE</t>
  </si>
  <si>
    <t>SHELTER PHARMA LIMITED</t>
  </si>
  <si>
    <t>INE013V01011</t>
  </si>
  <si>
    <t>SHELTER</t>
  </si>
  <si>
    <t>SUNIL HEALTHCARE LIMITED</t>
  </si>
  <si>
    <t>INE671C01016</t>
  </si>
  <si>
    <t>SUNLOC</t>
  </si>
  <si>
    <t>SWASTI VINAYAKA SYNTHETICS LTD.,</t>
  </si>
  <si>
    <t>INE804A01025</t>
  </si>
  <si>
    <t>SWASTIVI</t>
  </si>
  <si>
    <t>INE386I01018</t>
  </si>
  <si>
    <t>PORWAL</t>
  </si>
  <si>
    <t>INE647N01021</t>
  </si>
  <si>
    <t>KUSHAL</t>
  </si>
  <si>
    <t>DEV LABTECH VENTURE LIMITED</t>
  </si>
  <si>
    <t>INE0NIJ01017</t>
  </si>
  <si>
    <t>DEVLAB</t>
  </si>
  <si>
    <t>DECCAN HEALTH CARE LIMITED</t>
  </si>
  <si>
    <t>INE452W01019</t>
  </si>
  <si>
    <t>DECCAN</t>
  </si>
  <si>
    <t>BENCHMARK COMPUTER SOLUTIONS LIMITED</t>
  </si>
  <si>
    <t>INE0Q2Z01013</t>
  </si>
  <si>
    <t>BENCHMARK</t>
  </si>
  <si>
    <t>RASANDIK ENGG. INDUSTRIES INDIA LTD</t>
  </si>
  <si>
    <t>INE682D01011</t>
  </si>
  <si>
    <t>RASANDIK</t>
  </si>
  <si>
    <t>ANGEL FIBERS LIMITED</t>
  </si>
  <si>
    <t>INE339Z01011</t>
  </si>
  <si>
    <t>ANGEL</t>
  </si>
  <si>
    <t>RISHI LASER  LTD.</t>
  </si>
  <si>
    <t>INE988D01012</t>
  </si>
  <si>
    <t>RISHILASE</t>
  </si>
  <si>
    <t>ASHNOOR TEXTILES MILLS LTD.</t>
  </si>
  <si>
    <t>INE372I01018</t>
  </si>
  <si>
    <t>ASHNOOR</t>
  </si>
  <si>
    <t>RAMA VISION LTD</t>
  </si>
  <si>
    <t>INE763B01013</t>
  </si>
  <si>
    <t>RAMAVISION</t>
  </si>
  <si>
    <t>MODERN DAIRIES LTD.</t>
  </si>
  <si>
    <t>INE617B01011</t>
  </si>
  <si>
    <t>MODAIRY</t>
  </si>
  <si>
    <t>SIMRAN FARMS LTD.</t>
  </si>
  <si>
    <t>INE354D01017</t>
  </si>
  <si>
    <t>SIMRAN</t>
  </si>
  <si>
    <t>INE141C01028</t>
  </si>
  <si>
    <t>NHCFOODS</t>
  </si>
  <si>
    <t>JAGAN LAMPS LTD.</t>
  </si>
  <si>
    <t>INE144C01014</t>
  </si>
  <si>
    <t>JAGANLAM</t>
  </si>
  <si>
    <t>AUTO PINS (INDIA) LTD.</t>
  </si>
  <si>
    <t>INE706C01028</t>
  </si>
  <si>
    <t>AUTOPINS</t>
  </si>
  <si>
    <t>HARYANA CAPFIN LTD.</t>
  </si>
  <si>
    <t>INE928H01019</t>
  </si>
  <si>
    <t>HARYNACAP</t>
  </si>
  <si>
    <t>INE436N01029</t>
  </si>
  <si>
    <t>AMTL</t>
  </si>
  <si>
    <t>VISTA PHARMACEUTICALS LTD.</t>
  </si>
  <si>
    <t>INE427C01021</t>
  </si>
  <si>
    <t>VISTAPH</t>
  </si>
  <si>
    <t>TITAN SECURITIES LTD.</t>
  </si>
  <si>
    <t>INE090D01017</t>
  </si>
  <si>
    <t>TITANSEC</t>
  </si>
  <si>
    <t>VISCO TRADE ASSOCIATES LTD</t>
  </si>
  <si>
    <t>INE890S01018</t>
  </si>
  <si>
    <t>VISCO</t>
  </si>
  <si>
    <t>INNOVATIVE TECH PACK LTD</t>
  </si>
  <si>
    <t>INE965C01038</t>
  </si>
  <si>
    <t>INNOVTEC</t>
  </si>
  <si>
    <t>OPTO CIRCUITS (INDIA) LTD.</t>
  </si>
  <si>
    <t>INE808B01016</t>
  </si>
  <si>
    <t>OPTOCIRCUI</t>
  </si>
  <si>
    <t>NATIONAL OXYGEN LTD.,</t>
  </si>
  <si>
    <t>INE296D01010</t>
  </si>
  <si>
    <t>NOL</t>
  </si>
  <si>
    <t>GAMMON INDIA LTD.,</t>
  </si>
  <si>
    <t>INE259B01020</t>
  </si>
  <si>
    <t>GAMMONIND</t>
  </si>
  <si>
    <t>ABC INDIA LTD.</t>
  </si>
  <si>
    <t>INE125D01011</t>
  </si>
  <si>
    <t>ABCINDQ</t>
  </si>
  <si>
    <t>CEEJAY FINANCE LIMITED</t>
  </si>
  <si>
    <t>INE358C01010</t>
  </si>
  <si>
    <t>CEEJAY</t>
  </si>
  <si>
    <t>INE489H01020</t>
  </si>
  <si>
    <t>NITINFIRE</t>
  </si>
  <si>
    <t>CHOWGULE STEAMSHIPS LTD.,</t>
  </si>
  <si>
    <t>INE490A01015</t>
  </si>
  <si>
    <t>CHOWGULSTM</t>
  </si>
  <si>
    <t>GAUTAM GEMS LIMITED</t>
  </si>
  <si>
    <t>INE063Z01017</t>
  </si>
  <si>
    <t>GGL</t>
  </si>
  <si>
    <t>SKY INDUSTRIES LTD</t>
  </si>
  <si>
    <t>INE765B01018</t>
  </si>
  <si>
    <t>SKYIND</t>
  </si>
  <si>
    <t>JOINDRE CAPITAL SERVICES LTD.</t>
  </si>
  <si>
    <t>INE024B01010</t>
  </si>
  <si>
    <t>JOINDRE</t>
  </si>
  <si>
    <t>CHARTERED LOGISTICS LTD</t>
  </si>
  <si>
    <t>INE558F01026</t>
  </si>
  <si>
    <t>CHLOGIST</t>
  </si>
  <si>
    <t>SURYAAMBA SPINNING MILLS LIMITED</t>
  </si>
  <si>
    <t>INE360J01011</t>
  </si>
  <si>
    <t>SURYAAMBA</t>
  </si>
  <si>
    <t>ACROW (INDIA) LTD.,</t>
  </si>
  <si>
    <t>INE950D01012</t>
  </si>
  <si>
    <t>ACROW</t>
  </si>
  <si>
    <t>ARIHANT FOUNDATIONS &amp; HOUSING LTD.</t>
  </si>
  <si>
    <t>INE413D01011</t>
  </si>
  <si>
    <t>ARIHANT</t>
  </si>
  <si>
    <t>INSILCO LTD</t>
  </si>
  <si>
    <t>INE901A01011</t>
  </si>
  <si>
    <t>INSILCO</t>
  </si>
  <si>
    <t>VINTRON INFORMATICS LTD.</t>
  </si>
  <si>
    <t>INE043B01028</t>
  </si>
  <si>
    <t>VINTRON</t>
  </si>
  <si>
    <t>SHREE KRISHNA INFRASTRUCTURE LIMITED</t>
  </si>
  <si>
    <t>INE951Z01013</t>
  </si>
  <si>
    <t>SKIFL</t>
  </si>
  <si>
    <t>SAGAR DIAMONDS LIMITED</t>
  </si>
  <si>
    <t>INE146Y01013</t>
  </si>
  <si>
    <t>SAGAR</t>
  </si>
  <si>
    <t>SULABH ENGINEERS &amp; SERVICES LIMITED</t>
  </si>
  <si>
    <t>INE673M01029</t>
  </si>
  <si>
    <t>SULABEN</t>
  </si>
  <si>
    <t>USHDEV INTERNATIONAL LTD</t>
  </si>
  <si>
    <t>INE981D01025</t>
  </si>
  <si>
    <t>USHDI</t>
  </si>
  <si>
    <t>SKYLINE MILLARS LTD</t>
  </si>
  <si>
    <t>INE178E01026</t>
  </si>
  <si>
    <t>SKYLMILAR</t>
  </si>
  <si>
    <t>CHARTERED CAPITAL &amp; INVESTMENT LTD.</t>
  </si>
  <si>
    <t>INE953B01010</t>
  </si>
  <si>
    <t>CHRTEDCA</t>
  </si>
  <si>
    <t>MEDI-CAPS LTD.,</t>
  </si>
  <si>
    <t>INE442D01010</t>
  </si>
  <si>
    <t>MEDICAPQ</t>
  </si>
  <si>
    <t>VISAGAR FINANCIAL SERVICES LTD</t>
  </si>
  <si>
    <t>INE309H01038</t>
  </si>
  <si>
    <t>VISAGAR</t>
  </si>
  <si>
    <t>INE038B01010</t>
  </si>
  <si>
    <t>SVCIND</t>
  </si>
  <si>
    <t>INE0M8901010</t>
  </si>
  <si>
    <t>CONTAINE</t>
  </si>
  <si>
    <t>DUROPACK LTD</t>
  </si>
  <si>
    <t>INE138B01018</t>
  </si>
  <si>
    <t>DUROPACK</t>
  </si>
  <si>
    <t>PUNCTUAL TRADING LTD.,</t>
  </si>
  <si>
    <t>INE07NX01019</t>
  </si>
  <si>
    <t>PUNCTRD</t>
  </si>
  <si>
    <t>INE317W01014</t>
  </si>
  <si>
    <t>COLABCLOUD</t>
  </si>
  <si>
    <t>NATIONAL PLASTIC INDUSTRIES LTD.</t>
  </si>
  <si>
    <t>INE233D01013</t>
  </si>
  <si>
    <t>NATPLAS</t>
  </si>
  <si>
    <t>ALFA TRANSFORMERS LTD.</t>
  </si>
  <si>
    <t>INE209C01015</t>
  </si>
  <si>
    <t>ALFATRAN</t>
  </si>
  <si>
    <t>THE PHOSPHATE COMPANY LIMITED</t>
  </si>
  <si>
    <t>INE398C01016</t>
  </si>
  <si>
    <t>PHOSPHATE</t>
  </si>
  <si>
    <t>INE647Z01017</t>
  </si>
  <si>
    <t>VIVIDM</t>
  </si>
  <si>
    <t>INE556Z01010</t>
  </si>
  <si>
    <t>UHZAVERI</t>
  </si>
  <si>
    <t>POLYLINK POLYMERS (INDIA) LTD.</t>
  </si>
  <si>
    <t>INE323D01020</t>
  </si>
  <si>
    <t>POLYLINK</t>
  </si>
  <si>
    <t>INE575D01041</t>
  </si>
  <si>
    <t>DANUBE</t>
  </si>
  <si>
    <t>INE914G01029</t>
  </si>
  <si>
    <t>POLYSPIN</t>
  </si>
  <si>
    <t>WALCHAND PEOPLEFIRST LIMITED</t>
  </si>
  <si>
    <t>INE695D01021</t>
  </si>
  <si>
    <t>WALCHPF</t>
  </si>
  <si>
    <t>INE955E01019</t>
  </si>
  <si>
    <t>NEELEC</t>
  </si>
  <si>
    <t>MYSTIC ELECTRONICS LIMITED</t>
  </si>
  <si>
    <t>INE159O01033</t>
  </si>
  <si>
    <t>MYSTICELE</t>
  </si>
  <si>
    <t>HEMANG RESOURCES LIMITED</t>
  </si>
  <si>
    <t>INE930A01010</t>
  </si>
  <si>
    <t>HEMANG</t>
  </si>
  <si>
    <t>SYLPH TECHNOLOGIES LTD</t>
  </si>
  <si>
    <t>INE706F01021</t>
  </si>
  <si>
    <t>SYLPH</t>
  </si>
  <si>
    <t>SAVEN TECHNOLOGIES LTD.</t>
  </si>
  <si>
    <t>INE856B01023</t>
  </si>
  <si>
    <t>7TEC</t>
  </si>
  <si>
    <t>INE318N01011</t>
  </si>
  <si>
    <t>METSL</t>
  </si>
  <si>
    <t>GLOBALSPACE TECHNOLOGIES LIMITED</t>
  </si>
  <si>
    <t>INE632W01016</t>
  </si>
  <si>
    <t>GSTL</t>
  </si>
  <si>
    <t>INE06LG01010</t>
  </si>
  <si>
    <t>VRFILMS</t>
  </si>
  <si>
    <t>INE454F01010</t>
  </si>
  <si>
    <t>7SEASL</t>
  </si>
  <si>
    <t>TEESTA AGRO INDUSTRIES LTD</t>
  </si>
  <si>
    <t>INE757D01011</t>
  </si>
  <si>
    <t>TEEAI</t>
  </si>
  <si>
    <t>KK SHAH HOSPITALS LIMITED</t>
  </si>
  <si>
    <t>INE0OH401016</t>
  </si>
  <si>
    <t>KKSHL</t>
  </si>
  <si>
    <t>PHOENIX INTERNATIONAL LTD.</t>
  </si>
  <si>
    <t>INE245B01011</t>
  </si>
  <si>
    <t>PHOENXINTL</t>
  </si>
  <si>
    <t>SAHARA HOUSINGFINA CORPORATION LTD.</t>
  </si>
  <si>
    <t>INE135C01012</t>
  </si>
  <si>
    <t>SAHARAHOUS</t>
  </si>
  <si>
    <t>INE807M01023</t>
  </si>
  <si>
    <t>TITANIN</t>
  </si>
  <si>
    <t>CRANES SOFTWARE INTERNATIONAL LTD.</t>
  </si>
  <si>
    <t>INE234B01023</t>
  </si>
  <si>
    <t>CRANESSOFT</t>
  </si>
  <si>
    <t>OLYMPIA INDUSTRIES LTD.</t>
  </si>
  <si>
    <t>INE482O01021</t>
  </si>
  <si>
    <t>OLYMPTX</t>
  </si>
  <si>
    <t>INE777O01016</t>
  </si>
  <si>
    <t>CHENFERRO</t>
  </si>
  <si>
    <t>VIJAY TEXTILES LTD.</t>
  </si>
  <si>
    <t>INE256G01033</t>
  </si>
  <si>
    <t>VIJAYTX</t>
  </si>
  <si>
    <t>TECHNOPACK POLYMERS LIMITED</t>
  </si>
  <si>
    <t>INE0MXP01015</t>
  </si>
  <si>
    <t>TECHNOPACK</t>
  </si>
  <si>
    <t>SHALIMAR PRODUCTIONS LTD.</t>
  </si>
  <si>
    <t>INE435E01020</t>
  </si>
  <si>
    <t>SHALPRO</t>
  </si>
  <si>
    <t>TERAI TEA CO. LTD.</t>
  </si>
  <si>
    <t>INE390D01011</t>
  </si>
  <si>
    <t>TERAI</t>
  </si>
  <si>
    <t>PARSOLI CORPORATION LTD.</t>
  </si>
  <si>
    <t>INE905D01016</t>
  </si>
  <si>
    <t>PARSOLI</t>
  </si>
  <si>
    <t>DIAMOND INFOSYSTEMS LTD</t>
  </si>
  <si>
    <t>INE280D01022</t>
  </si>
  <si>
    <t>DIAMOND</t>
  </si>
  <si>
    <t>STANDARD SURFACTANTS LTD.</t>
  </si>
  <si>
    <t>INE307D01015</t>
  </si>
  <si>
    <t>STDSFAC</t>
  </si>
  <si>
    <t>GKB OPHTHALMICS LTD.</t>
  </si>
  <si>
    <t>INE265D01015</t>
  </si>
  <si>
    <t>GKB</t>
  </si>
  <si>
    <t>INE776O01018</t>
  </si>
  <si>
    <t>GITARENEW</t>
  </si>
  <si>
    <t>BIZOTIC COMMERCIAL LIMITED</t>
  </si>
  <si>
    <t>INE0OJ401014</t>
  </si>
  <si>
    <t>BIZOTIC</t>
  </si>
  <si>
    <t>INE0B9A01018</t>
  </si>
  <si>
    <t>BONLON</t>
  </si>
  <si>
    <t>INE629F01025</t>
  </si>
  <si>
    <t>KALLAM</t>
  </si>
  <si>
    <t>INE880B01015</t>
  </si>
  <si>
    <t>ANSALHSG</t>
  </si>
  <si>
    <t>EIGHTY JEWELLERS LIMITED</t>
  </si>
  <si>
    <t>INE0KSN01014</t>
  </si>
  <si>
    <t>EIGHTY</t>
  </si>
  <si>
    <t>ADDI INDUSTRIES LTD.,</t>
  </si>
  <si>
    <t>INE757C01021</t>
  </si>
  <si>
    <t>ADDIND</t>
  </si>
  <si>
    <t>ASHIRWAD STEELS &amp; INDUSTRIES  LTD.</t>
  </si>
  <si>
    <t>INE338C01012</t>
  </si>
  <si>
    <t>ASHSI</t>
  </si>
  <si>
    <t>WIRES &amp; FABRIKS (SA) LTD.,</t>
  </si>
  <si>
    <t>INE469D01013</t>
  </si>
  <si>
    <t>WIREFABR</t>
  </si>
  <si>
    <t>VIVO BIO TECH LTD.</t>
  </si>
  <si>
    <t>INE380K01017</t>
  </si>
  <si>
    <t>VIVOBIOT</t>
  </si>
  <si>
    <t>N.G.INDUSTRIES LTD.</t>
  </si>
  <si>
    <t>INE825C01018</t>
  </si>
  <si>
    <t>NGIND</t>
  </si>
  <si>
    <t>THACKER &amp; CO. LTD.,</t>
  </si>
  <si>
    <t>INE077P01034</t>
  </si>
  <si>
    <t>THACKER</t>
  </si>
  <si>
    <t>TEXEL INDUSTRIES LTD.</t>
  </si>
  <si>
    <t>INE594V01028</t>
  </si>
  <si>
    <t>TEXELIN</t>
  </si>
  <si>
    <t>ASHIKA CREDIT CAPITAL LTD.</t>
  </si>
  <si>
    <t>INE094B01013</t>
  </si>
  <si>
    <t>ASHIKA</t>
  </si>
  <si>
    <t>MADHUVEER COM 18 NETWORK LIMITED</t>
  </si>
  <si>
    <t>INE312M01016</t>
  </si>
  <si>
    <t>MADHUVEER</t>
  </si>
  <si>
    <t>MODIPON LTD.,</t>
  </si>
  <si>
    <t>INE170C01019</t>
  </si>
  <si>
    <t>MODIPON</t>
  </si>
  <si>
    <t>INE653S01028</t>
  </si>
  <si>
    <t>GARMNTMNTR</t>
  </si>
  <si>
    <t>LAKHANI INDIA LTD.</t>
  </si>
  <si>
    <t>INE935C01015</t>
  </si>
  <si>
    <t>LAKHANI</t>
  </si>
  <si>
    <t>AREX INDUSTRIES LTD.</t>
  </si>
  <si>
    <t>INE480H01011</t>
  </si>
  <si>
    <t>AREXMIS</t>
  </si>
  <si>
    <t>INE844C01027</t>
  </si>
  <si>
    <t>MPILCORPL</t>
  </si>
  <si>
    <t>RAW EDGE INDUSTRIAL SOLUTIONS LIMITED</t>
  </si>
  <si>
    <t>INE960Z01014</t>
  </si>
  <si>
    <t>RAWEDGE</t>
  </si>
  <si>
    <t>CEETA INDUSTRIES LTD.</t>
  </si>
  <si>
    <t>INE760J01012</t>
  </si>
  <si>
    <t>CEETAIN</t>
  </si>
  <si>
    <t>INE0N1L01018</t>
  </si>
  <si>
    <t>PACE</t>
  </si>
  <si>
    <t>INE994R01028</t>
  </si>
  <si>
    <t>SADHNA</t>
  </si>
  <si>
    <t>SKP SECURITIES LTD.</t>
  </si>
  <si>
    <t>INE709B01016</t>
  </si>
  <si>
    <t>SKPSEC</t>
  </si>
  <si>
    <t>APOORVA LEASING FINANCE &amp; INVESTMENT COMPANY LIMITED</t>
  </si>
  <si>
    <t>INE217S01014</t>
  </si>
  <si>
    <t>APOORVA</t>
  </si>
  <si>
    <t>INE932K01015</t>
  </si>
  <si>
    <t>VMS</t>
  </si>
  <si>
    <t>PUNJAB COMMUNICATIONS LIMITED</t>
  </si>
  <si>
    <t>INE609A01010</t>
  </si>
  <si>
    <t>PUNJCOMMU</t>
  </si>
  <si>
    <t>G.V. FILMS  LTD.,</t>
  </si>
  <si>
    <t>INE395B01048</t>
  </si>
  <si>
    <t>GVFILM</t>
  </si>
  <si>
    <t>NIRMITEE ROBOTICS INDIA LIMITED</t>
  </si>
  <si>
    <t>INE0CPQ01010</t>
  </si>
  <si>
    <t>NIRMITEE</t>
  </si>
  <si>
    <t>COSPOWER ENGINEERING LIMITED</t>
  </si>
  <si>
    <t>INE0CQB01010</t>
  </si>
  <si>
    <t>COSPOWER</t>
  </si>
  <si>
    <t>SALEM ERODE INVESTMENTS LTD.</t>
  </si>
  <si>
    <t>INE894E01028</t>
  </si>
  <si>
    <t>SALEM</t>
  </si>
  <si>
    <t>INE290E01011</t>
  </si>
  <si>
    <t>YOGI</t>
  </si>
  <si>
    <t>UJAAS ENERGY LIMITED</t>
  </si>
  <si>
    <t>INE899L01022</t>
  </si>
  <si>
    <t>CHANDRA PRABHU INTERNATIONAL LTD.</t>
  </si>
  <si>
    <t>INE368D01025</t>
  </si>
  <si>
    <t>CHANDRAP</t>
  </si>
  <si>
    <t>CARGOSOL LOGISTICS LIMITED</t>
  </si>
  <si>
    <t>INE0KZM01011</t>
  </si>
  <si>
    <t>CARGOSOL</t>
  </si>
  <si>
    <t>ANJANI SYNTHETICS LIMITED</t>
  </si>
  <si>
    <t>INE364D01032</t>
  </si>
  <si>
    <t>ANJANI</t>
  </si>
  <si>
    <t>KISAN MOULDINGS LTD.</t>
  </si>
  <si>
    <t>INE017C01012</t>
  </si>
  <si>
    <t>KISAN</t>
  </si>
  <si>
    <t>VIVANZA BIOSCIENCES LIMITED</t>
  </si>
  <si>
    <t>INE984E01035</t>
  </si>
  <si>
    <t>VIVANZA</t>
  </si>
  <si>
    <t>SOUTHERN MAGNESIUM AND CHEMICALS LT</t>
  </si>
  <si>
    <t>INE308N01012</t>
  </si>
  <si>
    <t>SOUTHMG</t>
  </si>
  <si>
    <t>VANTAGE KNOWLEDGE ACADEMY LIMITED</t>
  </si>
  <si>
    <t>INE427T01017</t>
  </si>
  <si>
    <t>VKAL</t>
  </si>
  <si>
    <t>H.P. COTTON TEXTILE MILLS LTD.,</t>
  </si>
  <si>
    <t>INE950C01014</t>
  </si>
  <si>
    <t>HPCOTTON</t>
  </si>
  <si>
    <t>KEMISTAR CORPORATION LIMITED</t>
  </si>
  <si>
    <t>INE971L01029</t>
  </si>
  <si>
    <t>KEMISTAR</t>
  </si>
  <si>
    <t>GLOBAL LONGLIFE HOSPITAL AND RESEARCH LIMITED</t>
  </si>
  <si>
    <t>INE0J2K01014</t>
  </si>
  <si>
    <t>GLHRL</t>
  </si>
  <si>
    <t>INE960B01015</t>
  </si>
  <si>
    <t>SPAR</t>
  </si>
  <si>
    <t>ACCELERATEBS INDIA LIMITED</t>
  </si>
  <si>
    <t>INE0POP01017</t>
  </si>
  <si>
    <t>ACCELERATE</t>
  </si>
  <si>
    <t>SALORA INTERNATIONAL LIMITED</t>
  </si>
  <si>
    <t>INE924A01013</t>
  </si>
  <si>
    <t>SALORAINTL</t>
  </si>
  <si>
    <t>SAMPRE NUTRITIONS LTD.</t>
  </si>
  <si>
    <t>INE375C01014</t>
  </si>
  <si>
    <t>SAMPRE</t>
  </si>
  <si>
    <t>MEERA INDUSTRIES LIMITED</t>
  </si>
  <si>
    <t>INE343X01018</t>
  </si>
  <si>
    <t>MEERA</t>
  </si>
  <si>
    <t>DHAMPURE SPECIALITY SUGARS LTD.</t>
  </si>
  <si>
    <t>INE956B01013</t>
  </si>
  <si>
    <t>DHAMPURE</t>
  </si>
  <si>
    <t>WORTH INVESTMENT &amp; TRADING CO LIMITED</t>
  </si>
  <si>
    <t>INE114O01012</t>
  </si>
  <si>
    <t>INE274M01026</t>
  </si>
  <si>
    <t>COMFINCAP</t>
  </si>
  <si>
    <t>LEE &amp; NEE SOFTWARES (EXPORTS) LTD.</t>
  </si>
  <si>
    <t>INE791B01014</t>
  </si>
  <si>
    <t>LEENEE</t>
  </si>
  <si>
    <t>B&amp;A PACKAGING INDIA LIMITED</t>
  </si>
  <si>
    <t>INE00FM01013</t>
  </si>
  <si>
    <t>BAPACK</t>
  </si>
  <si>
    <t>INE621I01034</t>
  </si>
  <si>
    <t>COLORCHIPS</t>
  </si>
  <si>
    <t>LESHA INDUSTRIES LIMITED</t>
  </si>
  <si>
    <t>INE050L01048</t>
  </si>
  <si>
    <t>LESHAIND</t>
  </si>
  <si>
    <t>ASSAM ENTRADE LIMITED</t>
  </si>
  <si>
    <t>INE165G01010</t>
  </si>
  <si>
    <t>ASSAMENT</t>
  </si>
  <si>
    <t>GUJARAT CRAFT INDUSTRIES LTD.</t>
  </si>
  <si>
    <t>INE372D01019</t>
  </si>
  <si>
    <t>GUJCRAFT</t>
  </si>
  <si>
    <t>MATRA KAUSHAL ENTERPRISE LIMITED</t>
  </si>
  <si>
    <t>INE265N01030</t>
  </si>
  <si>
    <t>MKEL</t>
  </si>
  <si>
    <t>CHOKSI LABORATORIES LTD.</t>
  </si>
  <si>
    <t>INE493D01013</t>
  </si>
  <si>
    <t>CHOKSILA</t>
  </si>
  <si>
    <t>ECOBOARD INDUSTRIES LTD</t>
  </si>
  <si>
    <t>INE866A01016</t>
  </si>
  <si>
    <t>ECOBOAR</t>
  </si>
  <si>
    <t>BEST EASTERN HOTELS LIMITED</t>
  </si>
  <si>
    <t>INE553F01035</t>
  </si>
  <si>
    <t>BESTEAST</t>
  </si>
  <si>
    <t>INE668L01013</t>
  </si>
  <si>
    <t>EMERGENT</t>
  </si>
  <si>
    <t>ATISHAY LIMITED</t>
  </si>
  <si>
    <t>INE011R01013</t>
  </si>
  <si>
    <t>ATISHAY</t>
  </si>
  <si>
    <t>INE056E01024</t>
  </si>
  <si>
    <t>INDXTRA</t>
  </si>
  <si>
    <t>SONAL ADHESIVES LTD.</t>
  </si>
  <si>
    <t>INE344I01017</t>
  </si>
  <si>
    <t>SONALAD</t>
  </si>
  <si>
    <t>INE639K01016</t>
  </si>
  <si>
    <t>SATCH</t>
  </si>
  <si>
    <t>VALECHA ENGINEERING LTD.</t>
  </si>
  <si>
    <t>INE624C01015</t>
  </si>
  <si>
    <t>VALECHAENG</t>
  </si>
  <si>
    <t>CENTRAL PROVINCES RAILWAYS CO. LTD.</t>
  </si>
  <si>
    <t>INE631B01038</t>
  </si>
  <si>
    <t>CENTPROV</t>
  </si>
  <si>
    <t>SMITHS &amp; FOUNDERS (INDIA) LIMITED</t>
  </si>
  <si>
    <t>INE728B01032</t>
  </si>
  <si>
    <t>SMFIL</t>
  </si>
  <si>
    <t>NATIONAL GENERAL INDUSTRIES LTD.</t>
  </si>
  <si>
    <t>INE654H01011</t>
  </si>
  <si>
    <t>NATGENI</t>
  </si>
  <si>
    <t>INE575I01016</t>
  </si>
  <si>
    <t>RATHIBAR</t>
  </si>
  <si>
    <t>RIDDHI STEEL AND TUBE LIMITED</t>
  </si>
  <si>
    <t>INE367U01013</t>
  </si>
  <si>
    <t>RSTL</t>
  </si>
  <si>
    <t>CCL INTERNATIONAL LTD</t>
  </si>
  <si>
    <t>INE778E01031</t>
  </si>
  <si>
    <t>CCLINTER</t>
  </si>
  <si>
    <t>ARTEFACT PROJECTS LTD</t>
  </si>
  <si>
    <t>INE885B01014</t>
  </si>
  <si>
    <t>ARTEFACT</t>
  </si>
  <si>
    <t>DHANALAXMI ROTO SPINNERS LTD.</t>
  </si>
  <si>
    <t>INE220C01012</t>
  </si>
  <si>
    <t>DHANROTO</t>
  </si>
  <si>
    <t>ADCON CAPITAL SERVICES LIMITED</t>
  </si>
  <si>
    <t>INE805Q01028</t>
  </si>
  <si>
    <t>ADCON</t>
  </si>
  <si>
    <t>SUDITI INDUSTRIES LTD.</t>
  </si>
  <si>
    <t>INE691D01012</t>
  </si>
  <si>
    <t>SUDTIND-B</t>
  </si>
  <si>
    <t>AXEL POLYMERS LTD.</t>
  </si>
  <si>
    <t>INE197C01012</t>
  </si>
  <si>
    <t>AXELPOLY</t>
  </si>
  <si>
    <t>ARMAN HOLDINGS LIMITED</t>
  </si>
  <si>
    <t>INE510P01018</t>
  </si>
  <si>
    <t>ARMAN</t>
  </si>
  <si>
    <t>SHREESHAY ENGINEERS LIMITED</t>
  </si>
  <si>
    <t>INE452Z01012</t>
  </si>
  <si>
    <t>SHREESHAY</t>
  </si>
  <si>
    <t>RAAJ MEDISAFE INDIA LIMITED</t>
  </si>
  <si>
    <t>INE548H01015</t>
  </si>
  <si>
    <t> RAAJMEDI</t>
  </si>
  <si>
    <t>SACHETA METALS LTD.</t>
  </si>
  <si>
    <t>INE433G01012</t>
  </si>
  <si>
    <t>SACHEMT</t>
  </si>
  <si>
    <t>RESTILE CERAMICS LTD.</t>
  </si>
  <si>
    <t>INE298E01022</t>
  </si>
  <si>
    <t>RESTILE</t>
  </si>
  <si>
    <t>BHILWARA SPINNERS LTD</t>
  </si>
  <si>
    <t>INE436C01014</t>
  </si>
  <si>
    <t>BHILSPIN</t>
  </si>
  <si>
    <t>BARODA EXTRUSION LTD.</t>
  </si>
  <si>
    <t>INE927K01023</t>
  </si>
  <si>
    <t>BAROEXT</t>
  </si>
  <si>
    <t>AERPACE INDUSTRIES LIMITED</t>
  </si>
  <si>
    <t>INE175N01023</t>
  </si>
  <si>
    <t>AERPACE</t>
  </si>
  <si>
    <t>APIS INDIA LTD</t>
  </si>
  <si>
    <t>INE070K01014</t>
  </si>
  <si>
    <t>APIS</t>
  </si>
  <si>
    <t>DHRUVA CAPITAL SERVICES LTD.</t>
  </si>
  <si>
    <t>INE972E01014</t>
  </si>
  <si>
    <t>DHRUVCA</t>
  </si>
  <si>
    <t>BALGOPAL COMMERCIAL LIMITED</t>
  </si>
  <si>
    <t>INE119R01014</t>
  </si>
  <si>
    <t>BALGOPAL</t>
  </si>
  <si>
    <t>HCKK VENTURES LIMITED</t>
  </si>
  <si>
    <t>INE345Q01017</t>
  </si>
  <si>
    <t>HCKKVENTURE</t>
  </si>
  <si>
    <t>INE146N01016</t>
  </si>
  <si>
    <t>FAMILYCARE</t>
  </si>
  <si>
    <t>CRP RISK MANAGEMENT LIMITED</t>
  </si>
  <si>
    <t>INE422M01013</t>
  </si>
  <si>
    <t>CRPRISK</t>
  </si>
  <si>
    <t>MRP AGRO LIMITED</t>
  </si>
  <si>
    <t>INE0D7801012</t>
  </si>
  <si>
    <t>MRP</t>
  </si>
  <si>
    <t>VIVIMED LABS LTD.</t>
  </si>
  <si>
    <t>INE526G01021</t>
  </si>
  <si>
    <t>SHEETAL DIAMONDS LTD.</t>
  </si>
  <si>
    <t>INE786J01025</t>
  </si>
  <si>
    <t>SHEETAL</t>
  </si>
  <si>
    <t>JUSTRIDE ENTERPRISES LIMITED</t>
  </si>
  <si>
    <t>INE432F01024</t>
  </si>
  <si>
    <t>JRELTD</t>
  </si>
  <si>
    <t>TCFC FINANCE LTD</t>
  </si>
  <si>
    <t>INE389D01013</t>
  </si>
  <si>
    <t>TCFCFINQ</t>
  </si>
  <si>
    <t>UNISTAR MULTIMEDIA LTD</t>
  </si>
  <si>
    <t>INE808C01014</t>
  </si>
  <si>
    <t>UNISTRMU</t>
  </si>
  <si>
    <t>WINSOME BREWERIES LTD.</t>
  </si>
  <si>
    <t>INE391C01011</t>
  </si>
  <si>
    <t>WINSOMBR</t>
  </si>
  <si>
    <t>BINNY MILLS LIMITED</t>
  </si>
  <si>
    <t>INE160L01011</t>
  </si>
  <si>
    <t>BINNYMILLS</t>
  </si>
  <si>
    <t>ADITYA SPINNERS LTD.</t>
  </si>
  <si>
    <t>INE122D01026</t>
  </si>
  <si>
    <t>ADITYASP</t>
  </si>
  <si>
    <t>INE06TD01010</t>
  </si>
  <si>
    <t>EVANS</t>
  </si>
  <si>
    <t>PIONEER INVESTCORP LTD</t>
  </si>
  <si>
    <t>INE746D01014</t>
  </si>
  <si>
    <t>PIONRINV</t>
  </si>
  <si>
    <t>INE642I01014</t>
  </si>
  <si>
    <t>GOKAKTEX</t>
  </si>
  <si>
    <t>SANRHEA TECHNICAL TEXTILES LTD.</t>
  </si>
  <si>
    <t>INE589J01015</t>
  </si>
  <si>
    <t>SANTETX</t>
  </si>
  <si>
    <t>CITY CROPS AGRO LIMITED</t>
  </si>
  <si>
    <t>INE0M7501019</t>
  </si>
  <si>
    <t>CCAL</t>
  </si>
  <si>
    <t>OLATECH SOLUTIONS LIMITED</t>
  </si>
  <si>
    <t>INE0M3901015</t>
  </si>
  <si>
    <t>OLATECH</t>
  </si>
  <si>
    <t>MANJEERA CONSTRUCTIONS LIMITED</t>
  </si>
  <si>
    <t>INE320D01018</t>
  </si>
  <si>
    <t>MANJEERA</t>
  </si>
  <si>
    <t>DHANLAXMI FABRICS LTD.</t>
  </si>
  <si>
    <t>INE953D01016</t>
  </si>
  <si>
    <t>DHANFAB</t>
  </si>
  <si>
    <t>MUNOTH FINANCIAL SERVICES LTD.</t>
  </si>
  <si>
    <t>INE348D01019</t>
  </si>
  <si>
    <t>MUNOTHFI</t>
  </si>
  <si>
    <t>LUHARUKA MEDIA &amp; INFRA LIMITED</t>
  </si>
  <si>
    <t>INE195E01020</t>
  </si>
  <si>
    <t>LUHARUKA</t>
  </si>
  <si>
    <t>BOMBAY CYCLE &amp; MOTOR AGENCY LTD.,</t>
  </si>
  <si>
    <t>INE691K01017</t>
  </si>
  <si>
    <t>BOMBCYC</t>
  </si>
  <si>
    <t>INDIA HOME LOAN LIMITED</t>
  </si>
  <si>
    <t>INE274E01015</t>
  </si>
  <si>
    <t>INDIAHOME</t>
  </si>
  <si>
    <t>KSS LIMITED</t>
  </si>
  <si>
    <t>INE216D01026</t>
  </si>
  <si>
    <t>KSERASERA</t>
  </si>
  <si>
    <t>DIANA TEA CO.LTD.</t>
  </si>
  <si>
    <t>INE012E01035</t>
  </si>
  <si>
    <t>DIANATEA</t>
  </si>
  <si>
    <t>INE117K01013</t>
  </si>
  <si>
    <t>RRMETAL</t>
  </si>
  <si>
    <t>PRATIK PANELS LTD.</t>
  </si>
  <si>
    <t>INE206C01029</t>
  </si>
  <si>
    <t>PRATIK</t>
  </si>
  <si>
    <t>ROLCON ENGINEERING CO. LTD.,</t>
  </si>
  <si>
    <t>INE775R01013</t>
  </si>
  <si>
    <t>ROLCOEN</t>
  </si>
  <si>
    <t>INE398L01017</t>
  </si>
  <si>
    <t>KANCOTEA</t>
  </si>
  <si>
    <t>TIRUPATI SARJAN LTD.</t>
  </si>
  <si>
    <t>INE297J01023</t>
  </si>
  <si>
    <t>TIRSARJ</t>
  </si>
  <si>
    <t>HAWA ENGINEERS LTD.</t>
  </si>
  <si>
    <t>INE230I01018</t>
  </si>
  <si>
    <t>HAWAENG</t>
  </si>
  <si>
    <t>VINYOFLEX LTD.</t>
  </si>
  <si>
    <t>INE526H01011</t>
  </si>
  <si>
    <t>VINYOFL</t>
  </si>
  <si>
    <t>ORIENT BEVERAGES LTD.,</t>
  </si>
  <si>
    <t>INE247F01018</t>
  </si>
  <si>
    <t>ORIBEVER</t>
  </si>
  <si>
    <t>SPENTA INTERNATIONAL LTD.</t>
  </si>
  <si>
    <t>INE175C01018</t>
  </si>
  <si>
    <t>SPENTA</t>
  </si>
  <si>
    <t>G. G. DANDEKAR PROPERTIES LIMITED</t>
  </si>
  <si>
    <t>INE631D01026</t>
  </si>
  <si>
    <t>GGDPROP</t>
  </si>
  <si>
    <t>J.A. FINANCE LIMITED</t>
  </si>
  <si>
    <t>INE825B01010</t>
  </si>
  <si>
    <t>JAFINANCE</t>
  </si>
  <si>
    <t>GOLDEN CREST EDUCATION &amp; SERVICES LIMITED</t>
  </si>
  <si>
    <t>INE222U01010</t>
  </si>
  <si>
    <t>GOLDENCREST</t>
  </si>
  <si>
    <t>INANI MARBLES &amp; INDUSTRIES LTD.</t>
  </si>
  <si>
    <t>INE635D01027</t>
  </si>
  <si>
    <t>INANI</t>
  </si>
  <si>
    <t>SHREE GANESH BIOTECH (INDIA) LIMITED</t>
  </si>
  <si>
    <t>INE051N01026</t>
  </si>
  <si>
    <t>SHREEGANES</t>
  </si>
  <si>
    <t>BEEKAY NIRYAT LIMITED</t>
  </si>
  <si>
    <t>INE679E01015</t>
  </si>
  <si>
    <t>BNL</t>
  </si>
  <si>
    <t xml:space="preserve"> ARROWHEAD SEPERATION ENGINEERING LIMITED</t>
  </si>
  <si>
    <t>INE0PP401015</t>
  </si>
  <si>
    <t>ARROWHEAD</t>
  </si>
  <si>
    <t>YAMINI INVESTMENTS COMPANY LIMITED</t>
  </si>
  <si>
    <t>INE457N01025</t>
  </si>
  <si>
    <t>YAMNINV</t>
  </si>
  <si>
    <t>INE115G01015</t>
  </si>
  <si>
    <t>TIRUFOAM</t>
  </si>
  <si>
    <t>INE191O01010</t>
  </si>
  <si>
    <t>LAKHOTIA</t>
  </si>
  <si>
    <t>CHORDIA FOOD PRODUCTS LTD</t>
  </si>
  <si>
    <t>INE975C01011</t>
  </si>
  <si>
    <t>CHORDIA</t>
  </si>
  <si>
    <t>INE0JZS01010</t>
  </si>
  <si>
    <t>SVJ</t>
  </si>
  <si>
    <t>HINDOOSTAN MILLS LTD.</t>
  </si>
  <si>
    <t>INE832D01020</t>
  </si>
  <si>
    <t>HINDMILL</t>
  </si>
  <si>
    <t>VEERHEALTH CARE LIMITED</t>
  </si>
  <si>
    <t>INE882C01035</t>
  </si>
  <si>
    <t>VEERHEALTH</t>
  </si>
  <si>
    <t>INE247C01023</t>
  </si>
  <si>
    <t>VIRTUALG</t>
  </si>
  <si>
    <t>ALACRITY SECURITIES LIMITED</t>
  </si>
  <si>
    <t>INE030P01017</t>
  </si>
  <si>
    <t>ALSL</t>
  </si>
  <si>
    <t>SUPER CROP SAFE LTD.</t>
  </si>
  <si>
    <t>INE366G01022</t>
  </si>
  <si>
    <t>SUCROSA</t>
  </si>
  <si>
    <t>RAPICUT CARBIDES LTD.,</t>
  </si>
  <si>
    <t>INE350D01015</t>
  </si>
  <si>
    <t>RAPICUT</t>
  </si>
  <si>
    <t>INE930E01012</t>
  </si>
  <si>
    <t>NEPACL</t>
  </si>
  <si>
    <t>STARLOG ENTERPRISES LIMITED</t>
  </si>
  <si>
    <t>INE580C01019</t>
  </si>
  <si>
    <t>STARLOG</t>
  </si>
  <si>
    <t>KAILASH AUTO FINANCE LTD</t>
  </si>
  <si>
    <t>INE410O01022</t>
  </si>
  <si>
    <t>KAILASH</t>
  </si>
  <si>
    <t>TULIVE DEVELOPERS LIMITED</t>
  </si>
  <si>
    <t>INE637D01015</t>
  </si>
  <si>
    <t>TULIVE</t>
  </si>
  <si>
    <t>JULIEN AGRO INFRATECH LIMITED</t>
  </si>
  <si>
    <t>INE890N01019</t>
  </si>
  <si>
    <t>JULIEN</t>
  </si>
  <si>
    <t>MUDUNURU LIMITED</t>
  </si>
  <si>
    <t>INE491C01027</t>
  </si>
  <si>
    <t>MUDUNURU</t>
  </si>
  <si>
    <t>SRI KPR INDUSTRIES LTD</t>
  </si>
  <si>
    <t>INE009C01019</t>
  </si>
  <si>
    <t>SRIKPRIND</t>
  </si>
  <si>
    <t>TATIA GLOBAL VENNTURE LIMITED</t>
  </si>
  <si>
    <t>INE083G01031</t>
  </si>
  <si>
    <t>TATIAGLOB</t>
  </si>
  <si>
    <t>AD-MANUM FINANCE LTD</t>
  </si>
  <si>
    <t>INE556D01017</t>
  </si>
  <si>
    <t>ADMANUM</t>
  </si>
  <si>
    <t>PATSPIN INDIA LTD.</t>
  </si>
  <si>
    <t>INE790C01014</t>
  </si>
  <si>
    <t>PATSPINLTD</t>
  </si>
  <si>
    <t>HUMMING BIRD EDUCATION LIMITED</t>
  </si>
  <si>
    <t>INE02PC01019</t>
  </si>
  <si>
    <t>HBEL</t>
  </si>
  <si>
    <t>PRIME PROPERTY DEVELOPMENT CORPORATION LTD.</t>
  </si>
  <si>
    <t>INE233C01023</t>
  </si>
  <si>
    <t>PRIMEPRO</t>
  </si>
  <si>
    <t>SAI CAPITAL LTD.</t>
  </si>
  <si>
    <t>INE531X01018</t>
  </si>
  <si>
    <t>SAICAPI</t>
  </si>
  <si>
    <t>KRYPTON INDUSTRIES LTD</t>
  </si>
  <si>
    <t>INE951B01014</t>
  </si>
  <si>
    <t>KRYPTONQ</t>
  </si>
  <si>
    <t xml:space="preserve">ARUNJYOTI BIO VENTURES LIMITED </t>
  </si>
  <si>
    <t>INE485K01014</t>
  </si>
  <si>
    <t>ABVL</t>
  </si>
  <si>
    <t>CENTENIAL SURGICAL SUTURE LTD.</t>
  </si>
  <si>
    <t>INE405H01018</t>
  </si>
  <si>
    <t>CSURGSU</t>
  </si>
  <si>
    <t>UNISON METALS LTD</t>
  </si>
  <si>
    <t>INE099D01018</t>
  </si>
  <si>
    <t>UNISON</t>
  </si>
  <si>
    <t>MORGAN VENTURES LTD.</t>
  </si>
  <si>
    <t>INE902C01015</t>
  </si>
  <si>
    <t>MORGAN</t>
  </si>
  <si>
    <t>STARCOM INFORMATION TECHNOLOGY LTD</t>
  </si>
  <si>
    <t>INE347I01010</t>
  </si>
  <si>
    <t>STARCOM</t>
  </si>
  <si>
    <t>SHASHIJIT INFRAPROJECTS LIMITED</t>
  </si>
  <si>
    <t>INE700V01021</t>
  </si>
  <si>
    <t>SHASHIJIT</t>
  </si>
  <si>
    <t>ASPIRA PATHLAB &amp; DIAGNOSTICS LIMITED</t>
  </si>
  <si>
    <t>INE500C01017</t>
  </si>
  <si>
    <t>ASPIRA</t>
  </si>
  <si>
    <t>HEMADRI CEMENTS LIMITED</t>
  </si>
  <si>
    <t>INE07BK01011</t>
  </si>
  <si>
    <t>HEMACEM</t>
  </si>
  <si>
    <t>FILTRA CONSULTANTS AND ENGINEERS LIMITED</t>
  </si>
  <si>
    <t>INE541R01019</t>
  </si>
  <si>
    <t>FILTRA</t>
  </si>
  <si>
    <t>DHANLAXMI COTEX LTD.,</t>
  </si>
  <si>
    <t>INE977F01010</t>
  </si>
  <si>
    <t>DHANCOT</t>
  </si>
  <si>
    <t>TRANSGENE BIOTEK LTD.</t>
  </si>
  <si>
    <t>INE773D01018</t>
  </si>
  <si>
    <t>TRABI</t>
  </si>
  <si>
    <t>MISH DESIGNS LIMITED</t>
  </si>
  <si>
    <t>INE0QI101019</t>
  </si>
  <si>
    <t>MISHDESIGN</t>
  </si>
  <si>
    <t>NIMBUS PROJECTS LIMITED</t>
  </si>
  <si>
    <t>INE875B01015</t>
  </si>
  <si>
    <t>NIMBSPROJ</t>
  </si>
  <si>
    <t>ADESHWAR MEDITEX LIMITED</t>
  </si>
  <si>
    <t>INE0H8J01015</t>
  </si>
  <si>
    <t>ADESHWAR</t>
  </si>
  <si>
    <t>ARC FINANCE LIMITED</t>
  </si>
  <si>
    <t>INE202R01026</t>
  </si>
  <si>
    <t>ARCFIN</t>
  </si>
  <si>
    <t>ROOPA INDUSTRIES LTD.</t>
  </si>
  <si>
    <t>INE443C01010</t>
  </si>
  <si>
    <t>ROOPAIND</t>
  </si>
  <si>
    <t>RAVILEELA GRANITES LIMITED</t>
  </si>
  <si>
    <t>INE427E01027</t>
  </si>
  <si>
    <t>RALEGRA</t>
  </si>
  <si>
    <t>VICTORIA MILLS LTD.,</t>
  </si>
  <si>
    <t>INE203D01016</t>
  </si>
  <si>
    <t>VICTMILL</t>
  </si>
  <si>
    <t>GOLD LINE INTERNATIONAL FINVEST LIMITED</t>
  </si>
  <si>
    <t>INE204P01026</t>
  </si>
  <si>
    <t>GOLDLINE</t>
  </si>
  <si>
    <t>D.S.KULKARNI DEVELOPERS LTD</t>
  </si>
  <si>
    <t>INE891A01014</t>
  </si>
  <si>
    <t>DSKULKARNI</t>
  </si>
  <si>
    <t>GLOBAL CAPITAL MARKETS LTD.</t>
  </si>
  <si>
    <t>INE062C01042</t>
  </si>
  <si>
    <t>GLOBALCA</t>
  </si>
  <si>
    <t>INE215B01022</t>
  </si>
  <si>
    <t>ORCHASP</t>
  </si>
  <si>
    <t>BIRLA COTSYN (INDIA) LIMITED</t>
  </si>
  <si>
    <t>INE655I01024</t>
  </si>
  <si>
    <t>BIRLACOT</t>
  </si>
  <si>
    <t>VRUNDAVAN PLANTATION LIMITED</t>
  </si>
  <si>
    <t>INE0Q6901013</t>
  </si>
  <si>
    <t>VPL</t>
  </si>
  <si>
    <t>INE0D2I01014</t>
  </si>
  <si>
    <t>EPBIO</t>
  </si>
  <si>
    <t>KEY CORP LTD</t>
  </si>
  <si>
    <t>INE130F01016</t>
  </si>
  <si>
    <t>KEYCORP</t>
  </si>
  <si>
    <t>INE235U01012</t>
  </si>
  <si>
    <t>SIZEMASTER</t>
  </si>
  <si>
    <t>MOHIT PAPER MILLS LTD.</t>
  </si>
  <si>
    <t>INE388C01017</t>
  </si>
  <si>
    <t>MOHITPPR</t>
  </si>
  <si>
    <t>GETALONG ENTERPRISE LIMITED</t>
  </si>
  <si>
    <t>INE0H1201012</t>
  </si>
  <si>
    <t>GETALONG</t>
  </si>
  <si>
    <t>GCCL INFRASTRUCTURE &amp; PROJECTS LTD.</t>
  </si>
  <si>
    <t>INE438F01013</t>
  </si>
  <si>
    <t>GCCLINP</t>
  </si>
  <si>
    <t>UNIQUE ORGANICS LTD.</t>
  </si>
  <si>
    <t>INE333E01019</t>
  </si>
  <si>
    <t>UNIQUEO</t>
  </si>
  <si>
    <t>INE931E01010</t>
  </si>
  <si>
    <t>PURBANCHAL</t>
  </si>
  <si>
    <t>E-LAND APPAREL LIMITED</t>
  </si>
  <si>
    <t>INE311H01018</t>
  </si>
  <si>
    <t>ELAND</t>
  </si>
  <si>
    <t>INE875N01036</t>
  </si>
  <si>
    <t>BANDARAM</t>
  </si>
  <si>
    <t>TTI ENTERPRISE LIMITED</t>
  </si>
  <si>
    <t>INE404F01031</t>
  </si>
  <si>
    <t>TTIENT</t>
  </si>
  <si>
    <t>IND BANK HOUSING LTD</t>
  </si>
  <si>
    <t>INE969D01012</t>
  </si>
  <si>
    <t>INDBNK</t>
  </si>
  <si>
    <t>INE339D01034</t>
  </si>
  <si>
    <t>EVERFIN</t>
  </si>
  <si>
    <t>SAINIK FINANCE AND INDUSTRIES LTD</t>
  </si>
  <si>
    <t>INE584B01013</t>
  </si>
  <si>
    <t>SAINIK</t>
  </si>
  <si>
    <t>MARIS SPINNERS LTD.</t>
  </si>
  <si>
    <t>INE866D01010</t>
  </si>
  <si>
    <t>MARIS</t>
  </si>
  <si>
    <t>SHREE SECURITIES LTD.</t>
  </si>
  <si>
    <t>INE397C01026</t>
  </si>
  <si>
    <t>SHREESEC</t>
  </si>
  <si>
    <t>ALAN SCOTT INDUSTRIES LTD.</t>
  </si>
  <si>
    <t>INE273F01022</t>
  </si>
  <si>
    <t>ALAN SCOTT</t>
  </si>
  <si>
    <t>PICTUREHOUSE MEDIA LIMITED</t>
  </si>
  <si>
    <t>INE448B01029</t>
  </si>
  <si>
    <t>PICTUREHS</t>
  </si>
  <si>
    <t>PENTOKEY ORGANY (INDIA) LTD.</t>
  </si>
  <si>
    <t>INE702E01015</t>
  </si>
  <si>
    <t>PNTKYOR</t>
  </si>
  <si>
    <t>INE028B01029</t>
  </si>
  <si>
    <t>SHARONBIO</t>
  </si>
  <si>
    <t>SHRYDUS INDUSTRIES LIMITED</t>
  </si>
  <si>
    <t>INE488C01015</t>
  </si>
  <si>
    <t>SHRYDUS</t>
  </si>
  <si>
    <t>SIMPLEX CASTINGS LTD.</t>
  </si>
  <si>
    <t>INE658D01011</t>
  </si>
  <si>
    <t>SIMPLEXCAS</t>
  </si>
  <si>
    <t>ASAHI INDUSTRIES LIMITED</t>
  </si>
  <si>
    <t>INE745I01015</t>
  </si>
  <si>
    <t>ASAHIIND</t>
  </si>
  <si>
    <t>REAL TOUCH FINANCE LIMITED</t>
  </si>
  <si>
    <t>INE840I01014</t>
  </si>
  <si>
    <t>RTFL</t>
  </si>
  <si>
    <t>LAFFANS PETROCHEMICALS LTD.</t>
  </si>
  <si>
    <t>INE919B01011</t>
  </si>
  <si>
    <t>LAFFANSQ</t>
  </si>
  <si>
    <t>SAHARA ONE MEDIA AND ENTERTAINMENT LIMITED</t>
  </si>
  <si>
    <t>INE479B01016</t>
  </si>
  <si>
    <t>SAHARA</t>
  </si>
  <si>
    <t>VSF PROJECTS LIMITED</t>
  </si>
  <si>
    <t>INE923K01014</t>
  </si>
  <si>
    <t>VSFPROJ</t>
  </si>
  <si>
    <t>POOJAWESTERN METALIKS LIMITED</t>
  </si>
  <si>
    <t>INE973X01012</t>
  </si>
  <si>
    <t>POOJA</t>
  </si>
  <si>
    <t>POONA DAL AND OIL INDUSTRIES LTD.</t>
  </si>
  <si>
    <t>INE809E01018</t>
  </si>
  <si>
    <t>POONADAL</t>
  </si>
  <si>
    <t>POLYMECHPLAST MACHINES LTD.,</t>
  </si>
  <si>
    <t>INE809B01014</t>
  </si>
  <si>
    <t>POLYCHMP</t>
  </si>
  <si>
    <t>PCS TECHNOLOGY LTD.</t>
  </si>
  <si>
    <t>INE834B01012</t>
  </si>
  <si>
    <t>PCS</t>
  </si>
  <si>
    <t>INE096A01010</t>
  </si>
  <si>
    <t>UTIQUE</t>
  </si>
  <si>
    <t>JINDAL HOTELS LTD.,</t>
  </si>
  <si>
    <t>INE726D01016</t>
  </si>
  <si>
    <t>JINDHOT</t>
  </si>
  <si>
    <t>GARBI FINVEST LIMITED</t>
  </si>
  <si>
    <t>INE721C01019</t>
  </si>
  <si>
    <t>GARBIFIN</t>
  </si>
  <si>
    <t>KMS MEDISURGI LIMITED</t>
  </si>
  <si>
    <t>INE870V01014</t>
  </si>
  <si>
    <t>KMSMEDI</t>
  </si>
  <si>
    <t>INE428P01013</t>
  </si>
  <si>
    <t>PRABHHANS</t>
  </si>
  <si>
    <t>B2B SOFTWARE TECHNOLOGIES LTD.</t>
  </si>
  <si>
    <t>INE151B01011</t>
  </si>
  <si>
    <t>B2BSOFT</t>
  </si>
  <si>
    <t>GOTHI PLASCON (INDIA) LTD.</t>
  </si>
  <si>
    <t>INE538G01018</t>
  </si>
  <si>
    <t>GOTHIPL</t>
  </si>
  <si>
    <t>BAMPSL SECURITIES LTD.</t>
  </si>
  <si>
    <t>INE802A01037</t>
  </si>
  <si>
    <t>BAMPSL</t>
  </si>
  <si>
    <t>SUMEDHA FISCAL SERVICES LTD.</t>
  </si>
  <si>
    <t>INE886B01012</t>
  </si>
  <si>
    <t>SUMEDHA</t>
  </si>
  <si>
    <t>CARGOTRANS MARITIME LIMITED</t>
  </si>
  <si>
    <t>INE0M4L01013</t>
  </si>
  <si>
    <t>CARGOTRANS</t>
  </si>
  <si>
    <t>INE837C01013</t>
  </si>
  <si>
    <t>QGO</t>
  </si>
  <si>
    <t>INE0KN201016</t>
  </si>
  <si>
    <t>INDONG</t>
  </si>
  <si>
    <t>NAM SECURITIES LTD.</t>
  </si>
  <si>
    <t>INE792G01011</t>
  </si>
  <si>
    <t>NAM</t>
  </si>
  <si>
    <t>KCL INFRA PROJECTS LIMITED</t>
  </si>
  <si>
    <t>INE469F01026</t>
  </si>
  <si>
    <t>KCLINFRA</t>
  </si>
  <si>
    <t>SIMPLEX REALTY LIMITED</t>
  </si>
  <si>
    <t>INE167H01014</t>
  </si>
  <si>
    <t>SIMPLXREA</t>
  </si>
  <si>
    <t>BOMBAY POTTERIES &amp; TILES LTD.,</t>
  </si>
  <si>
    <t>INE06AE01018</t>
  </si>
  <si>
    <t>BOMBPOT</t>
  </si>
  <si>
    <t>OCEANIC FOODS LIMITED</t>
  </si>
  <si>
    <t>INE711V01010</t>
  </si>
  <si>
    <t>OCEANIC</t>
  </si>
  <si>
    <t>SHREE KRISHNA PAPER MILLS &amp; INDUSTR</t>
  </si>
  <si>
    <t>INE970C01012</t>
  </si>
  <si>
    <t>SKPMIL</t>
  </si>
  <si>
    <t>INE578B01015</t>
  </si>
  <si>
    <t>ACCEDERE</t>
  </si>
  <si>
    <t>JBF INDUSTRIES LTD.,</t>
  </si>
  <si>
    <t>INE187A01017</t>
  </si>
  <si>
    <t>B.C. POWER CONTROLS LIMITED</t>
  </si>
  <si>
    <t>INE905P01028</t>
  </si>
  <si>
    <t>BCP</t>
  </si>
  <si>
    <t>SANCODE TECHNOLOGIES LIMITED</t>
  </si>
  <si>
    <t>INE0P7001013</t>
  </si>
  <si>
    <t>SANCODE</t>
  </si>
  <si>
    <t>CONCORD DRUGS LIMITED</t>
  </si>
  <si>
    <t>INE858L01010</t>
  </si>
  <si>
    <t>CONCORD</t>
  </si>
  <si>
    <t>STANROSE MAFATLAL INVESTMENTS &amp; FIN</t>
  </si>
  <si>
    <t>INE441L01015</t>
  </si>
  <si>
    <t>STANROS</t>
  </si>
  <si>
    <t>MADHUSUDAN INDUSTRIES LTD.,</t>
  </si>
  <si>
    <t>INE469C01023</t>
  </si>
  <si>
    <t>MADHUDIN</t>
  </si>
  <si>
    <t>PINCON SPIRIT LIMITED</t>
  </si>
  <si>
    <t>INE675G01018</t>
  </si>
  <si>
    <t>PINCON</t>
  </si>
  <si>
    <t>GEM SPINNERS INDIA LTD</t>
  </si>
  <si>
    <t>INE165F01020</t>
  </si>
  <si>
    <t>GEMSPIN</t>
  </si>
  <si>
    <t>INE587J01027</t>
  </si>
  <si>
    <t>CROISSANCE</t>
  </si>
  <si>
    <t>TCM LTD.</t>
  </si>
  <si>
    <t>INE034F01010</t>
  </si>
  <si>
    <t>TCMLMTD</t>
  </si>
  <si>
    <t>PLATINUMONE BUSINESS SERVICES LIMITED</t>
  </si>
  <si>
    <t>INE0DTJ01015</t>
  </si>
  <si>
    <t xml:space="preserve">POBS </t>
  </si>
  <si>
    <t>SUPRA PACIFIC FINANCIAL SERVICES LIMITED</t>
  </si>
  <si>
    <t>INE268T01015</t>
  </si>
  <si>
    <t>SUPRAPFSL</t>
  </si>
  <si>
    <t>HARIG CRANKSHAFTS LTD.,</t>
  </si>
  <si>
    <t>INE905C01026</t>
  </si>
  <si>
    <t>HARCR</t>
  </si>
  <si>
    <t>VANTA BIOSCIENCE LIMITED</t>
  </si>
  <si>
    <t>INE695X01011</t>
  </si>
  <si>
    <t>VANTABIO</t>
  </si>
  <si>
    <t>LADDERUP FINANCE LTD.</t>
  </si>
  <si>
    <t>INE519D01015</t>
  </si>
  <si>
    <t>LADDERUP</t>
  </si>
  <si>
    <t>MEHTA HOUSING FINANCE LTD.</t>
  </si>
  <si>
    <t>INE239B01014</t>
  </si>
  <si>
    <t>MEHTAHG</t>
  </si>
  <si>
    <t>INTEC CAPITAL LIMITED</t>
  </si>
  <si>
    <t>INE017E01018</t>
  </si>
  <si>
    <t>INTECCAP</t>
  </si>
  <si>
    <t>RESPONSE INFORMATICS LIMITED</t>
  </si>
  <si>
    <t>INE401B01010</t>
  </si>
  <si>
    <t>RESPONSINF</t>
  </si>
  <si>
    <t>UNICK FIX-A- FORM AND PRINTERS LIMITED</t>
  </si>
  <si>
    <t>INE250G01010</t>
  </si>
  <si>
    <t>UNICK</t>
  </si>
  <si>
    <t>RAVALGAON SUGAR FARM LTD.,</t>
  </si>
  <si>
    <t>INE615A01025</t>
  </si>
  <si>
    <t>RAVALSUGAR</t>
  </si>
  <si>
    <t>CONTIL INDIA LIMITED</t>
  </si>
  <si>
    <t>INE080G01011</t>
  </si>
  <si>
    <t>CONTILI</t>
  </si>
  <si>
    <t>CAMEX  LTD.</t>
  </si>
  <si>
    <t>INE198C01010</t>
  </si>
  <si>
    <t>CAMEXLTD</t>
  </si>
  <si>
    <t>GALA GLOBAL PRODUCTS LIMITED</t>
  </si>
  <si>
    <t>INE480S01026</t>
  </si>
  <si>
    <t>GGPL</t>
  </si>
  <si>
    <t>INE670O01013</t>
  </si>
  <si>
    <t>ONEGLOBAL</t>
  </si>
  <si>
    <t>G.S. AUTO INTERNATIONAL LTD.,</t>
  </si>
  <si>
    <t>INE736H01024</t>
  </si>
  <si>
    <t>GSAUTO</t>
  </si>
  <si>
    <t>INE715Q01029</t>
  </si>
  <si>
    <t>LLFICL</t>
  </si>
  <si>
    <t>GUJARAT PETROSYNTHESE LTD.</t>
  </si>
  <si>
    <t>INE636P01011</t>
  </si>
  <si>
    <t>GUJPETR</t>
  </si>
  <si>
    <t>WINPRO INDUSTRIES LIMITED</t>
  </si>
  <si>
    <t>INE974C01022</t>
  </si>
  <si>
    <t>WINPRO</t>
  </si>
  <si>
    <t>WINRO COMMERCIAL (INDIA) LTD.,</t>
  </si>
  <si>
    <t>INE837E01019</t>
  </si>
  <si>
    <t>WINROC</t>
  </si>
  <si>
    <t>INE493E01029</t>
  </si>
  <si>
    <t>UDL</t>
  </si>
  <si>
    <t>INE875A01025</t>
  </si>
  <si>
    <t>IVRCLINFRA</t>
  </si>
  <si>
    <t>HARDCASTLE &amp; WAUD MFG. CO. LTD.,</t>
  </si>
  <si>
    <t>INE722D01015</t>
  </si>
  <si>
    <t>HARDCAS</t>
  </si>
  <si>
    <t>INE746V01016</t>
  </si>
  <si>
    <t>DRA</t>
  </si>
  <si>
    <t>SARVOTTAM FINVEST LIMITED</t>
  </si>
  <si>
    <t>INE822Q01015</t>
  </si>
  <si>
    <t>SARVOTTAM</t>
  </si>
  <si>
    <t>VIKAS WSP LTD.</t>
  </si>
  <si>
    <t>INE706A01022</t>
  </si>
  <si>
    <t>VIKASWSP</t>
  </si>
  <si>
    <t>KARNAVATI FINANCE LIMITED</t>
  </si>
  <si>
    <t>INE554R01020</t>
  </si>
  <si>
    <t>KARNAVATI</t>
  </si>
  <si>
    <t>JIGAR CABLES LIMITED</t>
  </si>
  <si>
    <t>INE943X01015</t>
  </si>
  <si>
    <t>JIGAR</t>
  </si>
  <si>
    <t>INE560F01022</t>
  </si>
  <si>
    <t>JOHNPHARMA</t>
  </si>
  <si>
    <t>TYROON TEA CO. LTD.</t>
  </si>
  <si>
    <t>INE945B01016</t>
  </si>
  <si>
    <t>TYROON</t>
  </si>
  <si>
    <t>CAPFIN INDIA LIMITED</t>
  </si>
  <si>
    <t>INE960C01013</t>
  </si>
  <si>
    <t>CAPFIN</t>
  </si>
  <si>
    <t>BRANDBUCKET MEDIA &amp; TECHNOLOGY LIMITED</t>
  </si>
  <si>
    <t>INE0ILD01014</t>
  </si>
  <si>
    <t>BRANDBUCKT</t>
  </si>
  <si>
    <t>GINI SILK MILLS LTD.</t>
  </si>
  <si>
    <t>INE548B01018</t>
  </si>
  <si>
    <t>GINISILK</t>
  </si>
  <si>
    <t>TRANSCHEM LIMITED.</t>
  </si>
  <si>
    <t>INE019B01010</t>
  </si>
  <si>
    <t>TRANSCHEM</t>
  </si>
  <si>
    <t>MONOTYPE INDIA LTD.,</t>
  </si>
  <si>
    <t>INE811D01024</t>
  </si>
  <si>
    <t>MONOT</t>
  </si>
  <si>
    <t>TITAANIUM TEN ENTERPRISE LIMITED</t>
  </si>
  <si>
    <t>INE120V01014</t>
  </si>
  <si>
    <t>TITAANIUM</t>
  </si>
  <si>
    <t>DECO-MICA LTD.</t>
  </si>
  <si>
    <t>INE907E01010</t>
  </si>
  <si>
    <t>DECOMIC</t>
  </si>
  <si>
    <t>BALURGHAT TECHNOLOGIES LTD.</t>
  </si>
  <si>
    <t>INE654B01014</t>
  </si>
  <si>
    <t>BALTE</t>
  </si>
  <si>
    <t>LINKSON INTERNATIONAL LIMITED</t>
  </si>
  <si>
    <t>INE996E01021</t>
  </si>
  <si>
    <t>LINKSONI</t>
  </si>
  <si>
    <t>SOLITAIRE MACHINE TOOLS LTD</t>
  </si>
  <si>
    <t>INE410A01013</t>
  </si>
  <si>
    <t>SOLIMAC</t>
  </si>
  <si>
    <t>SWASTI VINAYAKA ART AND HERITAGE CORPORATION LTD</t>
  </si>
  <si>
    <t>INE895A01023</t>
  </si>
  <si>
    <t>SVARTCORP</t>
  </si>
  <si>
    <t>INE832F01017</t>
  </si>
  <si>
    <t>JPWL</t>
  </si>
  <si>
    <t>SVARNIM TRADE UDYOG LIMITED</t>
  </si>
  <si>
    <t>INE730R01042</t>
  </si>
  <si>
    <t>SNIM</t>
  </si>
  <si>
    <t>SVARNIM</t>
  </si>
  <si>
    <t>INE204S01012</t>
  </si>
  <si>
    <t>LELAVOIR</t>
  </si>
  <si>
    <t>MEGRI SOFT LIMITED</t>
  </si>
  <si>
    <t>INE756R01013</t>
  </si>
  <si>
    <t>MEGRISOFT</t>
  </si>
  <si>
    <t>INE920P01019</t>
  </si>
  <si>
    <t>LAXMIPATI</t>
  </si>
  <si>
    <t>GROVY INDIA LIMITED</t>
  </si>
  <si>
    <t>INE343C01012</t>
  </si>
  <si>
    <t>GROVY</t>
  </si>
  <si>
    <t>NAAPBOOKS LIMITED</t>
  </si>
  <si>
    <t>INE0GOA01018</t>
  </si>
  <si>
    <t>NBL</t>
  </si>
  <si>
    <t>INE462D01026</t>
  </si>
  <si>
    <t>JAMSHRI</t>
  </si>
  <si>
    <t>RITESH INTERNATIONAL LTD</t>
  </si>
  <si>
    <t>INE534D01014</t>
  </si>
  <si>
    <t>RITESHIN</t>
  </si>
  <si>
    <t>KRATOS ENERGY &amp; INFRASTRUCTURE LIMITED</t>
  </si>
  <si>
    <t>INE567L01017</t>
  </si>
  <si>
    <t>KRATOSENER</t>
  </si>
  <si>
    <t>NIDHI GRANITES LIMITED</t>
  </si>
  <si>
    <t>INE276H01013</t>
  </si>
  <si>
    <t>NIDHGRN</t>
  </si>
  <si>
    <t>ERP SOFT SYSTEMS LTD.</t>
  </si>
  <si>
    <t>INE308B01017</t>
  </si>
  <si>
    <t>ERPSOFT</t>
  </si>
  <si>
    <t>JETKING INFOTRAIN LTD.</t>
  </si>
  <si>
    <t>INE919C01019</t>
  </si>
  <si>
    <t>JETKINGQ</t>
  </si>
  <si>
    <t>INE463B01036</t>
  </si>
  <si>
    <t>INFRONICS</t>
  </si>
  <si>
    <t xml:space="preserve">PRAKASH WOOLLEN &amp; SYNTHETIC MILLS LTD </t>
  </si>
  <si>
    <t>INE523I01016</t>
  </si>
  <si>
    <t>PWASML</t>
  </si>
  <si>
    <t>CYBELE  INDUSTRIES LIMITED</t>
  </si>
  <si>
    <t>INE183D01010</t>
  </si>
  <si>
    <t>CYBELEIND</t>
  </si>
  <si>
    <t>INVIGORATED BUSINESS CONSULTING LIMITED</t>
  </si>
  <si>
    <t>INE359A01012</t>
  </si>
  <si>
    <t>INVIGO</t>
  </si>
  <si>
    <t>CAPROLACTAM CHEMICALS LTD.</t>
  </si>
  <si>
    <t>INE470N01010</t>
  </si>
  <si>
    <t>CAPRO</t>
  </si>
  <si>
    <t>KAHAN PACKAGING LIMITED</t>
  </si>
  <si>
    <t>INE04T901017</t>
  </si>
  <si>
    <t>KAHAN</t>
  </si>
  <si>
    <t>DHARANI SUGARS &amp; CHEMICALS LTD</t>
  </si>
  <si>
    <t>INE988C01014</t>
  </si>
  <si>
    <t>ELIXIR CAPITAL LIMITED</t>
  </si>
  <si>
    <t>INE785D01012</t>
  </si>
  <si>
    <t>ELIXIR</t>
  </si>
  <si>
    <t>FINE-LINE CIRCUITS LTD.</t>
  </si>
  <si>
    <t>INE087E01011</t>
  </si>
  <si>
    <t>FINELINE</t>
  </si>
  <si>
    <t>INE810E01016</t>
  </si>
  <si>
    <t>ADVENTZSEC</t>
  </si>
  <si>
    <t>INE669Y01022</t>
  </si>
  <si>
    <t>SHARIKA</t>
  </si>
  <si>
    <t>INE139E01028</t>
  </si>
  <si>
    <t>NIVAKA</t>
  </si>
  <si>
    <t>BTSYN</t>
  </si>
  <si>
    <t>ODYSSEY CORPORATION LTD.</t>
  </si>
  <si>
    <t>INE839E01023</t>
  </si>
  <si>
    <t>ODYCORP</t>
  </si>
  <si>
    <t>SMC CREDITS LTD.</t>
  </si>
  <si>
    <t>INE440E01012</t>
  </si>
  <si>
    <t>SMCREDT</t>
  </si>
  <si>
    <t>GCM SECURITIES LIMITED</t>
  </si>
  <si>
    <t>INE168O01026</t>
  </si>
  <si>
    <t>GCMSECU</t>
  </si>
  <si>
    <t>BLUE CHIP TEX INDUSTRIES LTD.,</t>
  </si>
  <si>
    <t>INE472D01017</t>
  </si>
  <si>
    <t>BLUECHIPT</t>
  </si>
  <si>
    <t>INE227B01019</t>
  </si>
  <si>
    <t>HINDALUMI</t>
  </si>
  <si>
    <t>EARUM PHARMACEUTICALS LIMITED</t>
  </si>
  <si>
    <t>INE060601023</t>
  </si>
  <si>
    <t>EARUM</t>
  </si>
  <si>
    <t>TASTY DAIRY SPECIALITIES LIMITED</t>
  </si>
  <si>
    <t>INE773Y01014</t>
  </si>
  <si>
    <t>TDSL</t>
  </si>
  <si>
    <t>GRANDMA TRADING &amp; AGENCIES LTD.,</t>
  </si>
  <si>
    <t>INE927M01029</t>
  </si>
  <si>
    <t>GRANDMA</t>
  </si>
  <si>
    <t>AASTAMANGALAM FINANCE LIMITED</t>
  </si>
  <si>
    <t>INE819K01014</t>
  </si>
  <si>
    <t>AASTAFIN</t>
  </si>
  <si>
    <t>ADVANCE LIFESTYLES LTD.</t>
  </si>
  <si>
    <t>INE900E01015</t>
  </si>
  <si>
    <t>ADVLIFE</t>
  </si>
  <si>
    <t>VEERKRUPA JEWELLERS LIMITED</t>
  </si>
  <si>
    <t>INE0ID001024</t>
  </si>
  <si>
    <t>VEERKRUPA</t>
  </si>
  <si>
    <t>MEDINOVA DIAGNOSTIC SERVICES LTD.</t>
  </si>
  <si>
    <t>INE047C01019</t>
  </si>
  <si>
    <t>MEDINOV</t>
  </si>
  <si>
    <t>PROSPECT COMMODITIES LIMITED</t>
  </si>
  <si>
    <t>INE0OKG01017</t>
  </si>
  <si>
    <t>PCL</t>
  </si>
  <si>
    <t>INE257C01014</t>
  </si>
  <si>
    <t>ADTECH</t>
  </si>
  <si>
    <t>DMR HYDROENGINEERING &amp; INFRASTRUCTURES LIMITED</t>
  </si>
  <si>
    <t>INE07L501010</t>
  </si>
  <si>
    <t>DMR</t>
  </si>
  <si>
    <t>INE767B01022</t>
  </si>
  <si>
    <t>VIKASPROP</t>
  </si>
  <si>
    <t>TINNA TRADE LIMITED</t>
  </si>
  <si>
    <t>INE401Z01019</t>
  </si>
  <si>
    <t>TINNATFL</t>
  </si>
  <si>
    <t>INE219A01026</t>
  </si>
  <si>
    <t>KSLIND</t>
  </si>
  <si>
    <t>WHITE ORGANIC AGRO LIMITED</t>
  </si>
  <si>
    <t>INE146C01019</t>
  </si>
  <si>
    <t>WHITEORG</t>
  </si>
  <si>
    <t>CITY PULSE MULTIPLEX LIMITED</t>
  </si>
  <si>
    <t>INE056001014</t>
  </si>
  <si>
    <t>CPML</t>
  </si>
  <si>
    <t>FOCUS BUSINESS SOLUTION LIMITED</t>
  </si>
  <si>
    <t>INE0DXR01010</t>
  </si>
  <si>
    <t>HIPOLIN LTD.</t>
  </si>
  <si>
    <t>INE963A01011</t>
  </si>
  <si>
    <t>HIPOLIN</t>
  </si>
  <si>
    <t>INE758W01019</t>
  </si>
  <si>
    <t>ACFL</t>
  </si>
  <si>
    <t>HINDUSTAN FLUROCARBONS LTD.,</t>
  </si>
  <si>
    <t>INE806J01013</t>
  </si>
  <si>
    <t>HINFLUR</t>
  </si>
  <si>
    <t>TAI INDUSTRIES LTD.</t>
  </si>
  <si>
    <t>INE358D01018</t>
  </si>
  <si>
    <t>TAIIND</t>
  </si>
  <si>
    <t>INE0N6V01016</t>
  </si>
  <si>
    <t>AMBOAGRI</t>
  </si>
  <si>
    <t>EXPO GAS CONTAINERS LTD.</t>
  </si>
  <si>
    <t>INE561D01025</t>
  </si>
  <si>
    <t>EXPOGAS</t>
  </si>
  <si>
    <t>INDERGIRI FINANCE LTD.</t>
  </si>
  <si>
    <t>INE628F01019</t>
  </si>
  <si>
    <t>INDERGR</t>
  </si>
  <si>
    <t>BHANDERI INFRACON LIMITED</t>
  </si>
  <si>
    <t>INE336Q01016</t>
  </si>
  <si>
    <t>BHANDERI</t>
  </si>
  <si>
    <t>BETEX INDIA LTD.,</t>
  </si>
  <si>
    <t>INE765L01017</t>
  </si>
  <si>
    <t>BETXIND</t>
  </si>
  <si>
    <t>MODERN STEELS LIMITED</t>
  </si>
  <si>
    <t>INE001F01019</t>
  </si>
  <si>
    <t>MDRNSTL</t>
  </si>
  <si>
    <t>SPECTRUM FOODS LIMITED</t>
  </si>
  <si>
    <t>INE547C01018</t>
  </si>
  <si>
    <t>SPECFOOD</t>
  </si>
  <si>
    <t>INE964R01013</t>
  </si>
  <si>
    <t>REGENCY</t>
  </si>
  <si>
    <t>RISHABH SPECIAL YARNS LTD</t>
  </si>
  <si>
    <t>INE351D01013</t>
  </si>
  <si>
    <t>RISHYRN</t>
  </si>
  <si>
    <t>INE566F01011</t>
  </si>
  <si>
    <t>LOGICINFO</t>
  </si>
  <si>
    <t>ZENITH FIBRES LIMITED</t>
  </si>
  <si>
    <t>INE106C01013</t>
  </si>
  <si>
    <t>ZENIFIB</t>
  </si>
  <si>
    <t>ZODIAC-JRD-MKJ LTD.</t>
  </si>
  <si>
    <t>INE077B01018</t>
  </si>
  <si>
    <t>ZODJRDMKJ</t>
  </si>
  <si>
    <t>MFL INDIA LTD</t>
  </si>
  <si>
    <t>INE244C01020</t>
  </si>
  <si>
    <t>MFLINDIA</t>
  </si>
  <si>
    <t>KAIZEN AGRO INFRABUILD LIMITED</t>
  </si>
  <si>
    <t>INE891N01017</t>
  </si>
  <si>
    <t>KAIZENAGRO</t>
  </si>
  <si>
    <t>INDIA CEMENTS CAPITAL LIMITED</t>
  </si>
  <si>
    <t>INE429D01017</t>
  </si>
  <si>
    <t>INDCEMCAP</t>
  </si>
  <si>
    <t>DAIKAFFIL CHEMICALS INDIA LTD.</t>
  </si>
  <si>
    <t>INE789B01018</t>
  </si>
  <si>
    <t>DAIKAFFI</t>
  </si>
  <si>
    <t>INE210F01016</t>
  </si>
  <si>
    <t>SWATI</t>
  </si>
  <si>
    <t>COSYN LIMITED</t>
  </si>
  <si>
    <t>INE029B01019</t>
  </si>
  <si>
    <t>COSYN</t>
  </si>
  <si>
    <t>PASUPATI SPG. &amp; WVG. MILLS LTD.,</t>
  </si>
  <si>
    <t>INE909B01020</t>
  </si>
  <si>
    <t>PASUSPG</t>
  </si>
  <si>
    <t>ASIAN TEA &amp; EXPORTS LTD.</t>
  </si>
  <si>
    <t>INE822B01017</t>
  </si>
  <si>
    <t>ASIANTNE</t>
  </si>
  <si>
    <t>ASHIANA ISPAT LIMITED</t>
  </si>
  <si>
    <t>INE587D01012</t>
  </si>
  <si>
    <t>ASHIS</t>
  </si>
  <si>
    <t>SMART FINSEC LIMITED</t>
  </si>
  <si>
    <t>INE766D01020</t>
  </si>
  <si>
    <t>SMARTFIN</t>
  </si>
  <si>
    <t>G. K. P. PRINTING &amp; PACKAGING LIMITED</t>
  </si>
  <si>
    <t>INE05QJ01015</t>
  </si>
  <si>
    <t>GKP</t>
  </si>
  <si>
    <t>LEX NIMBLE SOLUTIONS LIMITED</t>
  </si>
  <si>
    <t>INE860Y01019</t>
  </si>
  <si>
    <t>LEX</t>
  </si>
  <si>
    <t>CRANEX LTD.,</t>
  </si>
  <si>
    <t>INE608B01010</t>
  </si>
  <si>
    <t>CRANEX</t>
  </si>
  <si>
    <t>POPULAR ESTATE MANAGEMENT LTD</t>
  </si>
  <si>
    <t>INE370C01015</t>
  </si>
  <si>
    <t>POPULARES</t>
  </si>
  <si>
    <t>SCARNOSE INTERNATIONAL LIMITED</t>
  </si>
  <si>
    <t>INE0IXR01019</t>
  </si>
  <si>
    <t>SCARNOSE</t>
  </si>
  <si>
    <t>GREENCREST FINANCIAL SERVICES LIMITED</t>
  </si>
  <si>
    <t>INE414C01045</t>
  </si>
  <si>
    <t>GREENCREST</t>
  </si>
  <si>
    <t>ICL ORGANIC DAIRY PRODUCTS LIMITED</t>
  </si>
  <si>
    <t>INE0AU701018</t>
  </si>
  <si>
    <t>ICLORGANIC</t>
  </si>
  <si>
    <t>PAN INDIA CORPORATION LTD</t>
  </si>
  <si>
    <t>INE376A01032</t>
  </si>
  <si>
    <t>PANINDIAC</t>
  </si>
  <si>
    <t>SWOJAS ENERGY FOODS LTD.</t>
  </si>
  <si>
    <t>INE295B01016</t>
  </si>
  <si>
    <t>SWOEF</t>
  </si>
  <si>
    <t>ZENLABS ETHICA LIMITED</t>
  </si>
  <si>
    <t>INE546F01013</t>
  </si>
  <si>
    <t>ZENLABS</t>
  </si>
  <si>
    <t>INE639Y01017</t>
  </si>
  <si>
    <t>DELHISAFE</t>
  </si>
  <si>
    <t>BENARA BEARINGS AND PISTONS LIMITED</t>
  </si>
  <si>
    <t>INE495Z01011</t>
  </si>
  <si>
    <t>BENARA</t>
  </si>
  <si>
    <t>INE917C01013</t>
  </si>
  <si>
    <t>GANODAYA</t>
  </si>
  <si>
    <t>MERCATOR LIMITED</t>
  </si>
  <si>
    <t>INE934B01028</t>
  </si>
  <si>
    <t>MERCATOR</t>
  </si>
  <si>
    <t>CNI RESEARCH LTD</t>
  </si>
  <si>
    <t>INE135H01029</t>
  </si>
  <si>
    <t>CNIRESLTD</t>
  </si>
  <si>
    <t>CONTINENTAL PETROLEUMS LTD.,</t>
  </si>
  <si>
    <t>INE369D01023</t>
  </si>
  <si>
    <t>CONTPTR</t>
  </si>
  <si>
    <t>CLASSIC FILAMENTS LIMITED</t>
  </si>
  <si>
    <t>INE181U01018</t>
  </si>
  <si>
    <t>CFL</t>
  </si>
  <si>
    <t>JAYSHREE CHEMICALS LTD.,</t>
  </si>
  <si>
    <t>INE693E01016</t>
  </si>
  <si>
    <t>JAYCH</t>
  </si>
  <si>
    <t>ROYAL CUSHION VINYL PRODUCTS LTD.</t>
  </si>
  <si>
    <t>INE618A01011</t>
  </si>
  <si>
    <t>ROYALCU</t>
  </si>
  <si>
    <t>SJ CORPORATION LIMITED</t>
  </si>
  <si>
    <t>INE312B01027</t>
  </si>
  <si>
    <t>SJCORP</t>
  </si>
  <si>
    <t>INFORMED TECHNOLOGIES INDIA LTD.</t>
  </si>
  <si>
    <t>INE123E01014</t>
  </si>
  <si>
    <t>INFORTEC</t>
  </si>
  <si>
    <t>JAIPAN INDUSTRIES LTD</t>
  </si>
  <si>
    <t>INE058D01030</t>
  </si>
  <si>
    <t>JAIPAN</t>
  </si>
  <si>
    <t>EASUN CAPITAL MARKETS LIMITED</t>
  </si>
  <si>
    <t>INE771C01014</t>
  </si>
  <si>
    <t>EASUN</t>
  </si>
  <si>
    <t>SHUBHAM POLYSPIN LIMITED</t>
  </si>
  <si>
    <t>INE01J501010</t>
  </si>
  <si>
    <t>SHUBHAM</t>
  </si>
  <si>
    <t>SMIFS CAPITAL MARKETS LTD.,</t>
  </si>
  <si>
    <t>INE641A01013</t>
  </si>
  <si>
    <t>SMIFS</t>
  </si>
  <si>
    <t>INE579N01018</t>
  </si>
  <si>
    <t>SAMSRITA</t>
  </si>
  <si>
    <t>PRO FIN CAPITAL SERVICES LTD</t>
  </si>
  <si>
    <t>INE732K01027</t>
  </si>
  <si>
    <t>PROFINC</t>
  </si>
  <si>
    <t>INE910D01024</t>
  </si>
  <si>
    <t>BOMTALKIES</t>
  </si>
  <si>
    <t>INE499Q01012</t>
  </si>
  <si>
    <t>SOFCOM</t>
  </si>
  <si>
    <t>INE412A01019</t>
  </si>
  <si>
    <t>DRFRESH</t>
  </si>
  <si>
    <t>RO JEWELS LIMITED</t>
  </si>
  <si>
    <t>INE0BDU01028</t>
  </si>
  <si>
    <t>ROJL</t>
  </si>
  <si>
    <t>KABSONS INDUSTRIES LTD.</t>
  </si>
  <si>
    <t>INE645C01010</t>
  </si>
  <si>
    <t>KABSON</t>
  </si>
  <si>
    <t>MEGA CORPORATION LTD</t>
  </si>
  <si>
    <t>INE804B01023</t>
  </si>
  <si>
    <t>MEGACOR</t>
  </si>
  <si>
    <t>ARCOTECH LIMITED (FORMERLY SKS LTD)</t>
  </si>
  <si>
    <t>INE574I01035</t>
  </si>
  <si>
    <t>ARCOTECH</t>
  </si>
  <si>
    <t>MIHIKA INDUSTRIES LTD.</t>
  </si>
  <si>
    <t>INE779Q01017</t>
  </si>
  <si>
    <t>MIHIKA</t>
  </si>
  <si>
    <t>INE823D01011</t>
  </si>
  <si>
    <t>YASHINNO</t>
  </si>
  <si>
    <t>SHREE HARI CHEMICALS EXPORT LTD.,</t>
  </si>
  <si>
    <t>INE065E01017</t>
  </si>
  <si>
    <t>SHHARICH</t>
  </si>
  <si>
    <t>BHASKAR AGROCHEMICALS LTD.</t>
  </si>
  <si>
    <t>INE972C01018</t>
  </si>
  <si>
    <t>BHASKAGR</t>
  </si>
  <si>
    <t>AMCO INDIA LTD.</t>
  </si>
  <si>
    <t>INE924B01011</t>
  </si>
  <si>
    <t>AMCOIND</t>
  </si>
  <si>
    <t>KARUTURI GLOBAL LIMITED</t>
  </si>
  <si>
    <t>INE299C01024</t>
  </si>
  <si>
    <t>KGL</t>
  </si>
  <si>
    <t>INE0NLJ01011</t>
  </si>
  <si>
    <t>LABELKRAFT</t>
  </si>
  <si>
    <t>SUNGOLD MEDIA AND ENTERTAINMENT LIMITED</t>
  </si>
  <si>
    <t>INE266S01011</t>
  </si>
  <si>
    <t>SMEL</t>
  </si>
  <si>
    <t>INE280F01019</t>
  </si>
  <si>
    <t>JAINEX</t>
  </si>
  <si>
    <t>INE018S01016</t>
  </si>
  <si>
    <t>RFLL</t>
  </si>
  <si>
    <t>OMNITEX INDUSTRIES (INDIA) LTD.</t>
  </si>
  <si>
    <t>INE814D01010</t>
  </si>
  <si>
    <t>OMNITEX</t>
  </si>
  <si>
    <t>VERTEX SECURITIES LTD.</t>
  </si>
  <si>
    <t>INE316D01024</t>
  </si>
  <si>
    <t>VERTEX</t>
  </si>
  <si>
    <t>INE02ZJ01013</t>
  </si>
  <si>
    <t>MILIAIND</t>
  </si>
  <si>
    <t>HARYANA LEATHER CHEMICALS LTD.,</t>
  </si>
  <si>
    <t>INE681F01018</t>
  </si>
  <si>
    <t>HARLETH</t>
  </si>
  <si>
    <t>KSK ENERGY VENTURES  LIMITED</t>
  </si>
  <si>
    <t>INE143H01015</t>
  </si>
  <si>
    <t>KSK</t>
  </si>
  <si>
    <t>RITHWIK FACILITY MANAGEMENT SERVICES LIMITED</t>
  </si>
  <si>
    <t>INE819Y01015</t>
  </si>
  <si>
    <t>RITHWIKFMS</t>
  </si>
  <si>
    <t>SARTHAK INDUSTRIES LTD.</t>
  </si>
  <si>
    <t>INE074H01012</t>
  </si>
  <si>
    <t>SARTHAKIND</t>
  </si>
  <si>
    <t>VENLON ENTERPRISES LTD.</t>
  </si>
  <si>
    <t>INE204D01022</t>
  </si>
  <si>
    <t>VENLONENT</t>
  </si>
  <si>
    <t>PRIME URBAN DEVELOPMENT INDIA LTD</t>
  </si>
  <si>
    <t>INE419E01024</t>
  </si>
  <si>
    <t>PRIMEURB</t>
  </si>
  <si>
    <t>JMJ FINTECH LIMITED</t>
  </si>
  <si>
    <t>INE242Q01016</t>
  </si>
  <si>
    <t>JMJFIN</t>
  </si>
  <si>
    <t>INE572Z01017</t>
  </si>
  <si>
    <t>AMINTAN</t>
  </si>
  <si>
    <t>K-LIFESTYLE &amp; INDUSTRIES LIMITED</t>
  </si>
  <si>
    <t>INE218A01028</t>
  </si>
  <si>
    <t>KLIFESTYL</t>
  </si>
  <si>
    <t>COMMAND POLYMERS LIMITED</t>
  </si>
  <si>
    <t>INE0LKQ01012</t>
  </si>
  <si>
    <t>COMMAND</t>
  </si>
  <si>
    <t>USG TECH SOLUTIONS LTD</t>
  </si>
  <si>
    <t>INE718B01017</t>
  </si>
  <si>
    <t>USGTECH</t>
  </si>
  <si>
    <t>PALCO METALS LIMITED</t>
  </si>
  <si>
    <t>INE239L01013</t>
  </si>
  <si>
    <t>PALCO</t>
  </si>
  <si>
    <t>SAHARA MARITIME LIMITED</t>
  </si>
  <si>
    <t>INE0PSJ01011</t>
  </si>
  <si>
    <t>SMARITIME</t>
  </si>
  <si>
    <t>VAMA INDUSTRIES LIMITED</t>
  </si>
  <si>
    <t>INE685D01022</t>
  </si>
  <si>
    <t>VAMA</t>
  </si>
  <si>
    <t>WHITE ORGANIC RETAIL LIMITED</t>
  </si>
  <si>
    <t>INE06CG01019</t>
  </si>
  <si>
    <t>WORL</t>
  </si>
  <si>
    <t>INE137B01010</t>
  </si>
  <si>
    <t>INTERTEC</t>
  </si>
  <si>
    <t>ASHIRWAD CAPITAL LTD.,</t>
  </si>
  <si>
    <t>INE894A01026</t>
  </si>
  <si>
    <t>ASHCAP</t>
  </si>
  <si>
    <t>JUPITER INFOMEDIA LIMITED</t>
  </si>
  <si>
    <t>INE524N01014</t>
  </si>
  <si>
    <t>JUPITERIN</t>
  </si>
  <si>
    <t>REX SEALING AND PACKING INDUSTRIES LIMITED</t>
  </si>
  <si>
    <t>INE0MFT01014</t>
  </si>
  <si>
    <t>REXSEAL</t>
  </si>
  <si>
    <t>JUMBO BAG LTD.</t>
  </si>
  <si>
    <t>INE699D01015</t>
  </si>
  <si>
    <t>JUMBO</t>
  </si>
  <si>
    <t>MAYUKH DEALTRADE LIMITED</t>
  </si>
  <si>
    <t>INE280E01020</t>
  </si>
  <si>
    <t>MAYUKH</t>
  </si>
  <si>
    <t>NANAVATI VENTURES LIMITED</t>
  </si>
  <si>
    <t>INE0E5R01017</t>
  </si>
  <si>
    <t>NVENTURES</t>
  </si>
  <si>
    <t>RISHI TECHTEX LIMITED</t>
  </si>
  <si>
    <t>INE989D01010</t>
  </si>
  <si>
    <t>RISHITECH</t>
  </si>
  <si>
    <t>NARENDRA PROPERTIES LTD.</t>
  </si>
  <si>
    <t>INE603F01012</t>
  </si>
  <si>
    <t>NARPROP</t>
  </si>
  <si>
    <t>NEGOTIUM INTERNATIONAL TRADE LIMITED</t>
  </si>
  <si>
    <t>INE339P01046</t>
  </si>
  <si>
    <t>NEGOTIUM</t>
  </si>
  <si>
    <t>SANATHNAGAR ENTERPRISES LIMITED</t>
  </si>
  <si>
    <t>INE367E01033</t>
  </si>
  <si>
    <t>SEL</t>
  </si>
  <si>
    <t>RAMA PAPER MILLS LIMITED,</t>
  </si>
  <si>
    <t>INE425E01013</t>
  </si>
  <si>
    <t>RAMAPPR-B</t>
  </si>
  <si>
    <t>PANJON LTD.</t>
  </si>
  <si>
    <t>INE744D01019</t>
  </si>
  <si>
    <t>PANJON</t>
  </si>
  <si>
    <t>PULSAR INTERNATIONAL LIMITED</t>
  </si>
  <si>
    <t>INE183U01014</t>
  </si>
  <si>
    <t>PULSRIN</t>
  </si>
  <si>
    <t>AAGAM CAPITAL LIMITED</t>
  </si>
  <si>
    <t>INE817D01013</t>
  </si>
  <si>
    <t>AAGAMCAP</t>
  </si>
  <si>
    <t>VALENCIA NUTRITION LIMITED</t>
  </si>
  <si>
    <t>INE08RT01016</t>
  </si>
  <si>
    <t>VALENCIA</t>
  </si>
  <si>
    <t>VEER ENERGY &amp; INFRASTRUCTURE LIMITED</t>
  </si>
  <si>
    <t>INE255E01030</t>
  </si>
  <si>
    <t>VEERENRGY</t>
  </si>
  <si>
    <t>NALIN LEASE FINANCE LTD.</t>
  </si>
  <si>
    <t>INE606C01012</t>
  </si>
  <si>
    <t>NLFL</t>
  </si>
  <si>
    <t>SILVER OAK (INDIA) LTD.</t>
  </si>
  <si>
    <t>INE870J01019</t>
  </si>
  <si>
    <t>SILVOAK</t>
  </si>
  <si>
    <t>ADARSH PLANT PROJECT LTD.</t>
  </si>
  <si>
    <t>INE627D01016</t>
  </si>
  <si>
    <t>ADARSHPL</t>
  </si>
  <si>
    <t>SBI HOME FINANCE LTD</t>
  </si>
  <si>
    <t>INE627A01012</t>
  </si>
  <si>
    <t>SBIHOMEFIN</t>
  </si>
  <si>
    <t>EL FORGE LTD.</t>
  </si>
  <si>
    <t>INE158F01017</t>
  </si>
  <si>
    <t>ELFORGE</t>
  </si>
  <si>
    <t>POLO HOTELS LTD.</t>
  </si>
  <si>
    <t>INE084C01012</t>
  </si>
  <si>
    <t>POLOHOT</t>
  </si>
  <si>
    <t>MAHARASHTRA CORPORATION LTD.</t>
  </si>
  <si>
    <t>INE272E01027</t>
  </si>
  <si>
    <t>MAHACORP</t>
  </si>
  <si>
    <t>NETLINK SOLUTIONS (INDIA) LTD.</t>
  </si>
  <si>
    <t>INE040F01033</t>
  </si>
  <si>
    <t>NETLINK</t>
  </si>
  <si>
    <t>ITCONS E-SOLUTIONS LIMITED</t>
  </si>
  <si>
    <t>INE0O6A01019</t>
  </si>
  <si>
    <t>ITCONS</t>
  </si>
  <si>
    <t>VAPI ENTERPRISE LIMITED</t>
  </si>
  <si>
    <t>INE464D01014</t>
  </si>
  <si>
    <t>VAPIENTER</t>
  </si>
  <si>
    <t>VANDANA KNITWEAR LIMITED</t>
  </si>
  <si>
    <t>INE219M01021</t>
  </si>
  <si>
    <t>VANDANA</t>
  </si>
  <si>
    <t>INE0MKO01015</t>
  </si>
  <si>
    <t>REETECH</t>
  </si>
  <si>
    <t>GARNET CONSTRUCTION LTD.,</t>
  </si>
  <si>
    <t>INE797D01017</t>
  </si>
  <si>
    <t>GARNET</t>
  </si>
  <si>
    <t>P.H. CAPITAL LTD.</t>
  </si>
  <si>
    <t>INE160F01013</t>
  </si>
  <si>
    <t>PHCAP</t>
  </si>
  <si>
    <t>TRIVENI GLASS LTD.,</t>
  </si>
  <si>
    <t>INE094C01011</t>
  </si>
  <si>
    <t>TRIVENIGQ</t>
  </si>
  <si>
    <t>SALGUTI INDUSTRIES LTD.</t>
  </si>
  <si>
    <t>INE159C01012</t>
  </si>
  <si>
    <t>SALGUTI</t>
  </si>
  <si>
    <t>INE902L01016</t>
  </si>
  <si>
    <t>STEPHANOTIS</t>
  </si>
  <si>
    <t>AANCHAL ISPAT LIMITED</t>
  </si>
  <si>
    <t>INE322R01014</t>
  </si>
  <si>
    <t>AANCHALISP</t>
  </si>
  <si>
    <t>SHINE FASHIONS (INDIA) LIMITED</t>
  </si>
  <si>
    <t>INE0BLY01023</t>
  </si>
  <si>
    <t>SHINEFASH</t>
  </si>
  <si>
    <t>ETT LIMITED</t>
  </si>
  <si>
    <t>INE546I01017</t>
  </si>
  <si>
    <t>ETT</t>
  </si>
  <si>
    <t>DIGGI MULTITRADE LIMITED</t>
  </si>
  <si>
    <t>INE158R01012</t>
  </si>
  <si>
    <t>DML</t>
  </si>
  <si>
    <t>CITADEL REALTY AND DEVELOPERS LIMITED</t>
  </si>
  <si>
    <t>INE906D01014</t>
  </si>
  <si>
    <t>CITADEL</t>
  </si>
  <si>
    <t>CHALLANI CAPITAL LIMITED</t>
  </si>
  <si>
    <t>INE807A01010</t>
  </si>
  <si>
    <t>CHALLANI</t>
  </si>
  <si>
    <t>SANGAL PAPERS LTD.</t>
  </si>
  <si>
    <t>INE384D01022</t>
  </si>
  <si>
    <t>SANPA</t>
  </si>
  <si>
    <t>CHENNAI MEENAKSHI MULTISPECIALITY HOSPITAL LTD.</t>
  </si>
  <si>
    <t>INE889F01017</t>
  </si>
  <si>
    <t>CMMHOSP</t>
  </si>
  <si>
    <t>INE049E01011</t>
  </si>
  <si>
    <t>BALAJIAGRO</t>
  </si>
  <si>
    <t>PATRON EXIM LIMITED</t>
  </si>
  <si>
    <t>INE0NPA01011</t>
  </si>
  <si>
    <t>PATRON</t>
  </si>
  <si>
    <t>INE493H01014</t>
  </si>
  <si>
    <t>MPDL</t>
  </si>
  <si>
    <t>LN INDUSTRIES INDIA LIMITED</t>
  </si>
  <si>
    <t>INE366C01013</t>
  </si>
  <si>
    <t>LNIND</t>
  </si>
  <si>
    <t>INE228E01011</t>
  </si>
  <si>
    <t>CHITRAKUT</t>
  </si>
  <si>
    <t>INE256D01014</t>
  </si>
  <si>
    <t>GENUSPRIME</t>
  </si>
  <si>
    <t>INE026E01019</t>
  </si>
  <si>
    <t>ACESTONE</t>
  </si>
  <si>
    <t>OMKAR PHARMACHEM LTD.</t>
  </si>
  <si>
    <t>INE501C01015</t>
  </si>
  <si>
    <t>OMKARPH</t>
  </si>
  <si>
    <t>FORTUNE INTERNATIONAL LTD.</t>
  </si>
  <si>
    <t>INE501D01013</t>
  </si>
  <si>
    <t>FORINTL</t>
  </si>
  <si>
    <t>GIAN LIFE CARE LIMITED</t>
  </si>
  <si>
    <t>INE063601012</t>
  </si>
  <si>
    <t>GIANLIFE</t>
  </si>
  <si>
    <t>INE407F01018</t>
  </si>
  <si>
    <t>EASYFIN</t>
  </si>
  <si>
    <t>ZENITH HEALTH CARE LTD.</t>
  </si>
  <si>
    <t>INE812B01026</t>
  </si>
  <si>
    <t>ZENITHHE</t>
  </si>
  <si>
    <t>INE651L01019</t>
  </si>
  <si>
    <t>MILIND</t>
  </si>
  <si>
    <t>ROSELABS FINANCE LTD.</t>
  </si>
  <si>
    <t>INE475C01012</t>
  </si>
  <si>
    <t>ROSELABS</t>
  </si>
  <si>
    <t>ANUROOP PACKAGING LIMITED</t>
  </si>
  <si>
    <t>INE490Z01012</t>
  </si>
  <si>
    <t>ANUROOP</t>
  </si>
  <si>
    <t>YASH MANAGEMENT &amp; SATELLITE LTD.</t>
  </si>
  <si>
    <t>INE216B01012</t>
  </si>
  <si>
    <t>YASHMGM</t>
  </si>
  <si>
    <t>GAUTAM EXIM LIMITED</t>
  </si>
  <si>
    <t>INE721X01015</t>
  </si>
  <si>
    <t>GEL</t>
  </si>
  <si>
    <t>ZINEMA MEDIA AND ENTERTAINMENT LIMITED</t>
  </si>
  <si>
    <t>INE641Q01019</t>
  </si>
  <si>
    <t>ZINEMA</t>
  </si>
  <si>
    <t>TUNI TEXTILE MILLS LTD.</t>
  </si>
  <si>
    <t>INE560D01027</t>
  </si>
  <si>
    <t>TUNITEX</t>
  </si>
  <si>
    <t>ALFA ICA (INDIA) LTD</t>
  </si>
  <si>
    <t>INE042C01010</t>
  </si>
  <si>
    <t>ALFAICA</t>
  </si>
  <si>
    <t>SANGHVI BRANDS LIMITED</t>
  </si>
  <si>
    <t>INE204Y01010</t>
  </si>
  <si>
    <t>SBRANDS</t>
  </si>
  <si>
    <t>ISHITA DRUGS &amp; INDUSTRIES LTD.</t>
  </si>
  <si>
    <t>INE806D01016</t>
  </si>
  <si>
    <t>ISHITADR</t>
  </si>
  <si>
    <t>RAGHUNATH TOBACCO CO. LTD.</t>
  </si>
  <si>
    <t>INE754B01012</t>
  </si>
  <si>
    <t>RAGHUTOB</t>
  </si>
  <si>
    <t>CINDRELLA HOTELS LTD.</t>
  </si>
  <si>
    <t>INE908C01012</t>
  </si>
  <si>
    <t>CINDHO</t>
  </si>
  <si>
    <t>SBEC SYSTEMS (IND) LTD.</t>
  </si>
  <si>
    <t>INE689V01018</t>
  </si>
  <si>
    <t>SBECSYS</t>
  </si>
  <si>
    <t>SRI RAMAKRISHNA MILLS (COIMBATORE) LTD.</t>
  </si>
  <si>
    <t>INE306D01017</t>
  </si>
  <si>
    <t>SRMCL</t>
  </si>
  <si>
    <t>KJMC FINANCIAL SERVICES LTD.</t>
  </si>
  <si>
    <t>INE533C01018</t>
  </si>
  <si>
    <t>KJMCFIN</t>
  </si>
  <si>
    <t>ENBEE TRADE &amp; FINANCE LTD.,</t>
  </si>
  <si>
    <t>INE993I01011</t>
  </si>
  <si>
    <t>ENBETRD</t>
  </si>
  <si>
    <t>INE642P01019</t>
  </si>
  <si>
    <t>DIDL</t>
  </si>
  <si>
    <t>INE103F01013</t>
  </si>
  <si>
    <t>SPMLINDIA</t>
  </si>
  <si>
    <t>JINDAL CAPITAL LTD.</t>
  </si>
  <si>
    <t>INE356F01017</t>
  </si>
  <si>
    <t>JINDCAP</t>
  </si>
  <si>
    <t>INE069B01023</t>
  </si>
  <si>
    <t>ANUPAM</t>
  </si>
  <si>
    <t>INE0MC401013</t>
  </si>
  <si>
    <t>DPL</t>
  </si>
  <si>
    <t>STEEL STRIPS INFRASTRUCTURES LIMITED</t>
  </si>
  <si>
    <t>INE205F01016</t>
  </si>
  <si>
    <t>STLSTRINF</t>
  </si>
  <si>
    <t>CITYMAN LIMITED</t>
  </si>
  <si>
    <t>INE117C01010</t>
  </si>
  <si>
    <t>CITYMAN</t>
  </si>
  <si>
    <t>MARTIN BURN LTD</t>
  </si>
  <si>
    <t>INE199D01016</t>
  </si>
  <si>
    <t>MARBU</t>
  </si>
  <si>
    <t>GUJCHEM DISTILLERS INDIA LTD.,</t>
  </si>
  <si>
    <t>INE218N01021</t>
  </si>
  <si>
    <t>GUJCMDS</t>
  </si>
  <si>
    <t>FUTURA POLYESTERS LTD.</t>
  </si>
  <si>
    <t>INE564A01017</t>
  </si>
  <si>
    <t>FUTURAPOLY</t>
  </si>
  <si>
    <t>INE405N01016</t>
  </si>
  <si>
    <t>PHF</t>
  </si>
  <si>
    <t>FISCHER CHEMIC LTD.</t>
  </si>
  <si>
    <t>INE771F01025</t>
  </si>
  <si>
    <t>FISCHER</t>
  </si>
  <si>
    <t>NEIL INDUSTRIES LTD.</t>
  </si>
  <si>
    <t>INE396C01010</t>
  </si>
  <si>
    <t>NEIL</t>
  </si>
  <si>
    <t>H.S.INDIA LTD.</t>
  </si>
  <si>
    <t>INE731B01010</t>
  </si>
  <si>
    <t>HOTLSILV</t>
  </si>
  <si>
    <t>TRISHAKTI INDUSTRIES LIMITED</t>
  </si>
  <si>
    <t>INE238C01014</t>
  </si>
  <si>
    <t>TRISHAKT</t>
  </si>
  <si>
    <t>KMG MILK FOOD LIMITED</t>
  </si>
  <si>
    <t>INE873N01015</t>
  </si>
  <si>
    <t>KMGMILK</t>
  </si>
  <si>
    <t>MEHAI TECHNOLOGY  LIMITED</t>
  </si>
  <si>
    <t>INE062Y01012</t>
  </si>
  <si>
    <t>MEHAI</t>
  </si>
  <si>
    <t>CRESTCHEM LTD.</t>
  </si>
  <si>
    <t>INE293N01016</t>
  </si>
  <si>
    <t>CRSTCHM</t>
  </si>
  <si>
    <t>LINK PHARMA CHEM LTD.</t>
  </si>
  <si>
    <t>INE302F01011</t>
  </si>
  <si>
    <t>LINKPH</t>
  </si>
  <si>
    <t>INE513G01011</t>
  </si>
  <si>
    <t>AKASHAGRO</t>
  </si>
  <si>
    <t>INE186R01013</t>
  </si>
  <si>
    <t>OSIAJEE</t>
  </si>
  <si>
    <t>VEEJAY LAKSHMI ENGINEERING WORKS LT</t>
  </si>
  <si>
    <t>INE466D01019</t>
  </si>
  <si>
    <t>VJLAXMIE</t>
  </si>
  <si>
    <t>PANYAM CEMENTS &amp; MINERAL INDS. LTD.</t>
  </si>
  <si>
    <t>INE167E01037</t>
  </si>
  <si>
    <t>PANCM</t>
  </si>
  <si>
    <t>INNOVATIVE IDEALS AND SERVICES (INDIA) LIMITED</t>
  </si>
  <si>
    <t>INE492Y01011</t>
  </si>
  <si>
    <t>INNOVATIVE</t>
  </si>
  <si>
    <t>PRAG BOSIMI SYNTHETICS LTD.</t>
  </si>
  <si>
    <t>INE962B01011</t>
  </si>
  <si>
    <t>PRAGBOS</t>
  </si>
  <si>
    <t>SSPDL LIMITED</t>
  </si>
  <si>
    <t>INE838C01011</t>
  </si>
  <si>
    <t>SSPDL</t>
  </si>
  <si>
    <t>INTER GLOBE FINANCE LTD.</t>
  </si>
  <si>
    <t>INE661M01016</t>
  </si>
  <si>
    <t>INTRGLB</t>
  </si>
  <si>
    <t>SWATI PROJECTS LIMITED</t>
  </si>
  <si>
    <t>SWATIPRO</t>
  </si>
  <si>
    <t>INE807H01023</t>
  </si>
  <si>
    <t>MARBLE</t>
  </si>
  <si>
    <t>SYNTHIKO FOILS LTD.,</t>
  </si>
  <si>
    <t>INE363L01029</t>
  </si>
  <si>
    <t>SYNTHFO</t>
  </si>
  <si>
    <t>BERVIN INVESTMENTS AND LEASING LTD.</t>
  </si>
  <si>
    <t>INE348I01018</t>
  </si>
  <si>
    <t>BERVINL</t>
  </si>
  <si>
    <t>THAMBBI MODERN SPINNING MILLS LTD.,</t>
  </si>
  <si>
    <t>INE830D01016</t>
  </si>
  <si>
    <t>THAMBBI</t>
  </si>
  <si>
    <t>KDJ HOLIDAYSCAPES AND RESORTS LIMITED</t>
  </si>
  <si>
    <t>INE089E01025</t>
  </si>
  <si>
    <t>KDJHRL</t>
  </si>
  <si>
    <t>NUWAY ORGANIC NATURALS (INDIA) LTD.</t>
  </si>
  <si>
    <t>INE414L01012</t>
  </si>
  <si>
    <t>NUWAY</t>
  </si>
  <si>
    <t>DEEP DIAMOND INDIA LIMITED</t>
  </si>
  <si>
    <t>INE005G01026</t>
  </si>
  <si>
    <t>DDIL</t>
  </si>
  <si>
    <t>ROOPSHRI RESORTS LIMITED</t>
  </si>
  <si>
    <t>INE03WT01017</t>
  </si>
  <si>
    <t>ROOPSHRI</t>
  </si>
  <si>
    <t>INE925E01012</t>
  </si>
  <si>
    <t>HOTAHOTI</t>
  </si>
  <si>
    <t>ONESOURCE IDEAS VENTURE LIMITED</t>
  </si>
  <si>
    <t>INE125F01024</t>
  </si>
  <si>
    <t>OIVL</t>
  </si>
  <si>
    <t>RANJEET MECHATRONICS LIMITED</t>
  </si>
  <si>
    <t>INE01A501019</t>
  </si>
  <si>
    <t>RANJEET</t>
  </si>
  <si>
    <t>EASTERN TREADS LTD.</t>
  </si>
  <si>
    <t>INE500D01015</t>
  </si>
  <si>
    <t>EASTRED</t>
  </si>
  <si>
    <t>SHREE BHAVYA FABRICS LIMITED</t>
  </si>
  <si>
    <t>INE363D01018</t>
  </si>
  <si>
    <t>SBFL</t>
  </si>
  <si>
    <t>INE108T01013</t>
  </si>
  <si>
    <t>FMEC</t>
  </si>
  <si>
    <t>THAKRAL SERVICES (INDIA) LIMITED</t>
  </si>
  <si>
    <t>INE190F01028</t>
  </si>
  <si>
    <t>THAKRAL</t>
  </si>
  <si>
    <t>PARAMOUNT COSMETICS (INDIA) LTD</t>
  </si>
  <si>
    <t>INE143I01013</t>
  </si>
  <si>
    <t>PARMCOS-B</t>
  </si>
  <si>
    <t>MEWAR HI-TECH ENGINEERING LIMITED</t>
  </si>
  <si>
    <t>INE957U01011</t>
  </si>
  <si>
    <t>MHEL</t>
  </si>
  <si>
    <t>OROSIL SMITHS INDIA LIMITED</t>
  </si>
  <si>
    <t>INE628B01034</t>
  </si>
  <si>
    <t>OROSMITHS</t>
  </si>
  <si>
    <t>INE0EMB01015</t>
  </si>
  <si>
    <t>SUUMAYA</t>
  </si>
  <si>
    <t>SUNIL INDUSTRIES LTD.,</t>
  </si>
  <si>
    <t>INE124M01015</t>
  </si>
  <si>
    <t>SUNILTX</t>
  </si>
  <si>
    <t>DUNCANS INDUSTRIES LTD.</t>
  </si>
  <si>
    <t>INE508A01022</t>
  </si>
  <si>
    <t>DUNCANSLTD</t>
  </si>
  <si>
    <t>CHOKSI IMAGING LTD.</t>
  </si>
  <si>
    <t>INE865B01016</t>
  </si>
  <si>
    <t>CHOKSI</t>
  </si>
  <si>
    <t>V.B.C. FERRO ALLOYS LTD.</t>
  </si>
  <si>
    <t>INE114E01013</t>
  </si>
  <si>
    <t>VBCFERROQ</t>
  </si>
  <si>
    <t>RODIUM REALTY LIMITED</t>
  </si>
  <si>
    <t>INE513E01024</t>
  </si>
  <si>
    <t>RODIUM</t>
  </si>
  <si>
    <t>YASHRAJ CONTAINEURS LTD.</t>
  </si>
  <si>
    <t>INE095C01018</t>
  </si>
  <si>
    <t>YASHRAJC</t>
  </si>
  <si>
    <t>STANDARD BATTERIES LTD.,</t>
  </si>
  <si>
    <t>INE502C01039</t>
  </si>
  <si>
    <t>STDBAT</t>
  </si>
  <si>
    <t>INCAP LTD</t>
  </si>
  <si>
    <t>INE437C01012</t>
  </si>
  <si>
    <t>INCAP</t>
  </si>
  <si>
    <t>DYNAMIC INDUSTRIES LTD.</t>
  </si>
  <si>
    <t>INE457C01010</t>
  </si>
  <si>
    <t>DYNAMIND</t>
  </si>
  <si>
    <t>GUJARAT HY-SPIN LIMITED</t>
  </si>
  <si>
    <t>INE578V01013</t>
  </si>
  <si>
    <t>GUJHYSPIN</t>
  </si>
  <si>
    <t>ASIAN PETROPRODUCTS &amp; EXPORTS LTD.</t>
  </si>
  <si>
    <t>INE810M01019</t>
  </si>
  <si>
    <t>ASINPET</t>
  </si>
  <si>
    <t>COMFORT COMMOTRADE LIMITED</t>
  </si>
  <si>
    <t>INE456N01019</t>
  </si>
  <si>
    <t>COMCL</t>
  </si>
  <si>
    <t>NAKSH PRECIOUS METALS LIMITED</t>
  </si>
  <si>
    <t>INE256S01012</t>
  </si>
  <si>
    <t>NAKSH</t>
  </si>
  <si>
    <t>INE791H01011</t>
  </si>
  <si>
    <t>IRONWOOD</t>
  </si>
  <si>
    <t>PRIMA INDUSTRIES LTD.</t>
  </si>
  <si>
    <t>INE723N01012</t>
  </si>
  <si>
    <t>PRIMAIN</t>
  </si>
  <si>
    <t>PREMIER ENERGY AND INFRASTRUCTURE  LIMITED</t>
  </si>
  <si>
    <t>INE429K01012</t>
  </si>
  <si>
    <t>PEIL</t>
  </si>
  <si>
    <t>BHAKTI GEMS AND JEWELLERY LIMITED</t>
  </si>
  <si>
    <t>INE986W01016</t>
  </si>
  <si>
    <t>BGJL</t>
  </si>
  <si>
    <t>LAKSHMI OVERSEAS INDUSTRIES LTD.</t>
  </si>
  <si>
    <t>INE992B01026</t>
  </si>
  <si>
    <t>LAKSHMIO</t>
  </si>
  <si>
    <t>INE0MPU01011</t>
  </si>
  <si>
    <t>TRANSVOY</t>
  </si>
  <si>
    <t>VELAN HOTELS LTD.</t>
  </si>
  <si>
    <t>INE548D01014</t>
  </si>
  <si>
    <t>VELHO</t>
  </si>
  <si>
    <t>ATLAS CYCLES (HARYANA) LTD.</t>
  </si>
  <si>
    <t>INE446A01025</t>
  </si>
  <si>
    <t>ATLASCYCLE</t>
  </si>
  <si>
    <t>NEUEON TOWERS LIMITED</t>
  </si>
  <si>
    <t>INE333I01036</t>
  </si>
  <si>
    <t>NTL</t>
  </si>
  <si>
    <t>VIVID GLOBAL INDUSTRIES LIMITED</t>
  </si>
  <si>
    <t>INE737C01023</t>
  </si>
  <si>
    <t>VIVIDIND</t>
  </si>
  <si>
    <t>EVOQ REMEDIES LIMITED</t>
  </si>
  <si>
    <t>INE0JVD01011</t>
  </si>
  <si>
    <t>EVOQ</t>
  </si>
  <si>
    <t>QUALITY RO INDUSTRIES LIMITED</t>
  </si>
  <si>
    <t>INE0KAF01018</t>
  </si>
  <si>
    <t>QRIL</t>
  </si>
  <si>
    <t>SUNCARE TRADERS LIMITED</t>
  </si>
  <si>
    <t>INE452S01025</t>
  </si>
  <si>
    <t>SCTL</t>
  </si>
  <si>
    <t>ROSE MERC.LIMITED</t>
  </si>
  <si>
    <t>INE649C01012</t>
  </si>
  <si>
    <t>ROSEMER</t>
  </si>
  <si>
    <t>INE973B01026</t>
  </si>
  <si>
    <t>ISFL</t>
  </si>
  <si>
    <t>VALSON INDUSTRIES LTD.</t>
  </si>
  <si>
    <t>INE808A01018</t>
  </si>
  <si>
    <t>VALSONQ</t>
  </si>
  <si>
    <t>OASIS SECURITIES LIMITED</t>
  </si>
  <si>
    <t>INE876A01015</t>
  </si>
  <si>
    <t>OASISEC</t>
  </si>
  <si>
    <t>MPL PLASTICS LIMITED</t>
  </si>
  <si>
    <t>INE343A01016</t>
  </si>
  <si>
    <t>MPL</t>
  </si>
  <si>
    <t>INE932E01018</t>
  </si>
  <si>
    <t>STCL</t>
  </si>
  <si>
    <t>MITSHI INDIA LIMITED</t>
  </si>
  <si>
    <t>INE844D01017</t>
  </si>
  <si>
    <t>MITSHI</t>
  </si>
  <si>
    <t>GUJARAT TERCE LABORATORIES LTD</t>
  </si>
  <si>
    <t>INE499G01013</t>
  </si>
  <si>
    <t>GUJTERC</t>
  </si>
  <si>
    <t>ADINATH TEXTILES LTD.,</t>
  </si>
  <si>
    <t>INE207C01019</t>
  </si>
  <si>
    <t>ADINATH</t>
  </si>
  <si>
    <t>MARG LTD</t>
  </si>
  <si>
    <t>INE941E01019</t>
  </si>
  <si>
    <t>MARG</t>
  </si>
  <si>
    <t>INTERWORLD DIGITAL LTD.</t>
  </si>
  <si>
    <t>INE177D01020</t>
  </si>
  <si>
    <t>INTERDIGI</t>
  </si>
  <si>
    <t>SINNAR BIDI UDYOG LTD.,</t>
  </si>
  <si>
    <t>INE896E01023</t>
  </si>
  <si>
    <t>SINNAR</t>
  </si>
  <si>
    <t>RONI HOUSEHOLDS LIMITED</t>
  </si>
  <si>
    <t>INE02AP01013</t>
  </si>
  <si>
    <t>RONI</t>
  </si>
  <si>
    <t>INE702H01018</t>
  </si>
  <si>
    <t>JAGJANANI</t>
  </si>
  <si>
    <t>PARAGON FINANCE LTD.</t>
  </si>
  <si>
    <t>INE015E01012</t>
  </si>
  <si>
    <t>PARAGONF</t>
  </si>
  <si>
    <t>MY MONEY SECURITIES LTD.</t>
  </si>
  <si>
    <t>INE232L01018</t>
  </si>
  <si>
    <t>MYMONEY</t>
  </si>
  <si>
    <t>INE909D01026</t>
  </si>
  <si>
    <t>SHARPINV</t>
  </si>
  <si>
    <t>OBJECTONE INFORMATION SYSTEMS LTD</t>
  </si>
  <si>
    <t>INE860E01011</t>
  </si>
  <si>
    <t>OONE</t>
  </si>
  <si>
    <t>O. P. CHAINS LIMITED</t>
  </si>
  <si>
    <t>INE118Q01018</t>
  </si>
  <si>
    <t>OPCHAINS</t>
  </si>
  <si>
    <t>INTER STATE OIL CARRIER LTD</t>
  </si>
  <si>
    <t>INE003B01014</t>
  </si>
  <si>
    <t>INTSTOIL</t>
  </si>
  <si>
    <t>PHAARMASIA LIMITED.</t>
  </si>
  <si>
    <t>INE486I01016</t>
  </si>
  <si>
    <t>PHRMASI</t>
  </si>
  <si>
    <t>NATRAJ PROTEINS LTD.</t>
  </si>
  <si>
    <t>INE444D01016</t>
  </si>
  <si>
    <t>NATRAJPR</t>
  </si>
  <si>
    <t>DHRUV WELLNESS LIMITED</t>
  </si>
  <si>
    <t>INE109Y01011</t>
  </si>
  <si>
    <t>DWL</t>
  </si>
  <si>
    <t>SAFA SYSTEMS &amp; TECHNOLOGIES LIMITED</t>
  </si>
  <si>
    <t>INE0JNA01014</t>
  </si>
  <si>
    <t>SSTL</t>
  </si>
  <si>
    <t>RAS RESORTS &amp; APART HOTELS LTD.,</t>
  </si>
  <si>
    <t>INE651D01016</t>
  </si>
  <si>
    <t>RASRESOR</t>
  </si>
  <si>
    <t>NIRAV COMMERCIALS LTD.,</t>
  </si>
  <si>
    <t>INE242B01018</t>
  </si>
  <si>
    <t>NIRAVCOM</t>
  </si>
  <si>
    <t>AJCON GLOBAL SERVICES LTD.</t>
  </si>
  <si>
    <t>INE759C01019</t>
  </si>
  <si>
    <t>AJCON</t>
  </si>
  <si>
    <t>INE347D01011</t>
  </si>
  <si>
    <t>LERTHAI</t>
  </si>
  <si>
    <t>INE168U01015</t>
  </si>
  <si>
    <t>KUMARAUTO</t>
  </si>
  <si>
    <t>TELESYS SOFTWARE LTD.</t>
  </si>
  <si>
    <t>INE042B01012</t>
  </si>
  <si>
    <t>TELESYS</t>
  </si>
  <si>
    <t>TULIP STAR HOTELS LTD.</t>
  </si>
  <si>
    <t>INE379C01016</t>
  </si>
  <si>
    <t>TULIPSTA</t>
  </si>
  <si>
    <t>CREATIVE MERCHANTS LIMITED</t>
  </si>
  <si>
    <t>INE896P01011</t>
  </si>
  <si>
    <t>CML</t>
  </si>
  <si>
    <t>INE023R01018</t>
  </si>
  <si>
    <t>ACEMEN</t>
  </si>
  <si>
    <t>NEELKANTH LIMITED</t>
  </si>
  <si>
    <t>INE581D01015</t>
  </si>
  <si>
    <t>NEELKANTH</t>
  </si>
  <si>
    <t>INE0K5F01014</t>
  </si>
  <si>
    <t>DHYAANI</t>
  </si>
  <si>
    <t>TPI INDIA LTD.,</t>
  </si>
  <si>
    <t>INE578C01021</t>
  </si>
  <si>
    <t>TPINDIA</t>
  </si>
  <si>
    <t>INLAND PRINTERS LTD.</t>
  </si>
  <si>
    <t>INE055O01033</t>
  </si>
  <si>
    <t>INLANPR</t>
  </si>
  <si>
    <t>INE0JNB01012</t>
  </si>
  <si>
    <t>NATURO</t>
  </si>
  <si>
    <t>INE073F01018</t>
  </si>
  <si>
    <t>BIUL</t>
  </si>
  <si>
    <t>INDUS FINANCE LIMITED</t>
  </si>
  <si>
    <t>INE935D01013</t>
  </si>
  <si>
    <t>INDUSFINL</t>
  </si>
  <si>
    <t>INE266H01014</t>
  </si>
  <si>
    <t>CELLA</t>
  </si>
  <si>
    <t>ADVANCE PETROCHEMICALS LTD.,</t>
  </si>
  <si>
    <t>INE334N01018</t>
  </si>
  <si>
    <t>ADVPETR-B</t>
  </si>
  <si>
    <t>SURYA INDUSTRIAL CORPORATION LTD.</t>
  </si>
  <si>
    <t>INE060N01019</t>
  </si>
  <si>
    <t>SURINDL</t>
  </si>
  <si>
    <t>INE333Y01017</t>
  </si>
  <si>
    <t>MRCAGRO</t>
  </si>
  <si>
    <t>INE975Z01012</t>
  </si>
  <si>
    <t>DAPS</t>
  </si>
  <si>
    <t>PRATIBHA INDUSTRIES LTD.</t>
  </si>
  <si>
    <t>INE308H01022</t>
  </si>
  <si>
    <t>PRATIBHA</t>
  </si>
  <si>
    <t>ADOR MULTIPRODUCTS LTD</t>
  </si>
  <si>
    <t>INE628D01014</t>
  </si>
  <si>
    <t>ADORMUL</t>
  </si>
  <si>
    <t>ASCENSIVE EDUCARE LIMITED</t>
  </si>
  <si>
    <t>INE0E4I01019</t>
  </si>
  <si>
    <t>ASCENSIVE</t>
  </si>
  <si>
    <t>SREE CHEM RESINS LTD</t>
  </si>
  <si>
    <t>INE377C01010</t>
  </si>
  <si>
    <t>SRECR</t>
  </si>
  <si>
    <t>SOUTH ASIAN ENTEPRISES LTD.</t>
  </si>
  <si>
    <t>INE118B01010</t>
  </si>
  <si>
    <t>SAENTER</t>
  </si>
  <si>
    <t>SIDDHARTH EDUCATION SERVICES LIMITED</t>
  </si>
  <si>
    <t>INE930X01012</t>
  </si>
  <si>
    <t>SIDDH</t>
  </si>
  <si>
    <t>PHYTO CHEM (INDIA) LTD.</t>
  </si>
  <si>
    <t>INE037C01010</t>
  </si>
  <si>
    <t>PHYTO</t>
  </si>
  <si>
    <t>INE643N01012</t>
  </si>
  <si>
    <t>DECIPHER</t>
  </si>
  <si>
    <t>FRUITION VENTURE LIMITED</t>
  </si>
  <si>
    <t>INE836C01015</t>
  </si>
  <si>
    <t>FRUTION</t>
  </si>
  <si>
    <t>S. M. GOLD LIMITED</t>
  </si>
  <si>
    <t>INE00Q901014</t>
  </si>
  <si>
    <t>SMGOLD</t>
  </si>
  <si>
    <t>INE188S01017</t>
  </si>
  <si>
    <t>BHARAT</t>
  </si>
  <si>
    <t>INE894J01019</t>
  </si>
  <si>
    <t>NEERAJ</t>
  </si>
  <si>
    <t>RAJKAMAL SYNTHETICS LTD.</t>
  </si>
  <si>
    <t>INE376L01013</t>
  </si>
  <si>
    <t>RAJKSYN</t>
  </si>
  <si>
    <t>FRONTLINE CORPORATION LIMITED</t>
  </si>
  <si>
    <t>INE092D01013</t>
  </si>
  <si>
    <t>FRONTCORP</t>
  </si>
  <si>
    <t>GILADA FINANCE &amp; INVESTMENTS LTD.</t>
  </si>
  <si>
    <t>INE918C01029</t>
  </si>
  <si>
    <t>GILADAFINS</t>
  </si>
  <si>
    <t>INDO COTSPIN LIMITED</t>
  </si>
  <si>
    <t>INE407P01017</t>
  </si>
  <si>
    <t>ICL</t>
  </si>
  <si>
    <t>KAKATIYA TEXTILES LTD.,</t>
  </si>
  <si>
    <t>INE092E01011</t>
  </si>
  <si>
    <t>KAKTEX</t>
  </si>
  <si>
    <t>GLOBE COMMERCIALS LIMITED</t>
  </si>
  <si>
    <t>INE804Q01013</t>
  </si>
  <si>
    <t>GLCL</t>
  </si>
  <si>
    <t>INE0MID01012</t>
  </si>
  <si>
    <t>SVS</t>
  </si>
  <si>
    <t>KUNSTSTOFFE INDUSTRIES LTD.,</t>
  </si>
  <si>
    <t>INE638D01021</t>
  </si>
  <si>
    <t>KUNSTOFF</t>
  </si>
  <si>
    <t>APT PACKAGING LTD</t>
  </si>
  <si>
    <t>INE046E01025</t>
  </si>
  <si>
    <t>APTPACK</t>
  </si>
  <si>
    <t>CONART ENGINEERS LTD.</t>
  </si>
  <si>
    <t>INE714D01012</t>
  </si>
  <si>
    <t>CONART</t>
  </si>
  <si>
    <t>RADHA MADHAV CORPORATION LTD.</t>
  </si>
  <si>
    <t>INE172H01014</t>
  </si>
  <si>
    <t>7NR RETAIL LIMITED</t>
  </si>
  <si>
    <t>INE413X01027</t>
  </si>
  <si>
    <t>7NR</t>
  </si>
  <si>
    <t>KAMANWALA HOUSING CONSTRUCTION LTD</t>
  </si>
  <si>
    <t>INE344D01018</t>
  </si>
  <si>
    <t>KAMANWALA</t>
  </si>
  <si>
    <t>SRU STEELS LIMITED</t>
  </si>
  <si>
    <t>INE425C01017</t>
  </si>
  <si>
    <t>SRUSTEELS</t>
  </si>
  <si>
    <t>COCHIN MALABAR ESTATES &amp; INDUS. LTD</t>
  </si>
  <si>
    <t>INE788M01017</t>
  </si>
  <si>
    <t>COCHMAL</t>
  </si>
  <si>
    <t>SQUARE FOUR PROJECTS INDIA LIMITED</t>
  </si>
  <si>
    <t>INE716K01020</t>
  </si>
  <si>
    <t>SFPIL</t>
  </si>
  <si>
    <t>KIDUJA  INDIA  LTD</t>
  </si>
  <si>
    <t>INE845A01010</t>
  </si>
  <si>
    <t>KIDUJA</t>
  </si>
  <si>
    <t>PRISM FINANCE LTD.</t>
  </si>
  <si>
    <t>INE429Q01019</t>
  </si>
  <si>
    <t>PRISMFN</t>
  </si>
  <si>
    <t>SHREE METALLOYS LIMITED</t>
  </si>
  <si>
    <t>INE914B01012</t>
  </si>
  <si>
    <t>SHREMETAL</t>
  </si>
  <si>
    <t>BLOOM INDUSTRIES LTD</t>
  </si>
  <si>
    <t>INE373E01015</t>
  </si>
  <si>
    <t>BLOIN</t>
  </si>
  <si>
    <t>BOMBAY WIRE ROPES LTD.,</t>
  </si>
  <si>
    <t>INE089T01023</t>
  </si>
  <si>
    <t>BOMBWIR</t>
  </si>
  <si>
    <t>Buy Right Impex Limited</t>
  </si>
  <si>
    <t>INE157T01010</t>
  </si>
  <si>
    <t>BUYRIGHT</t>
  </si>
  <si>
    <t>PRISM MEDICO AND PHARMACY LTD.</t>
  </si>
  <si>
    <t>INE730E01016</t>
  </si>
  <si>
    <t>PRISMMEDI</t>
  </si>
  <si>
    <t>SANGAM HEALTH CARE PRODUCTS LTD.</t>
  </si>
  <si>
    <t>INE431E01011</t>
  </si>
  <si>
    <t>SANHP</t>
  </si>
  <si>
    <t>SIEL FINANCIAL SERVICES LTD.</t>
  </si>
  <si>
    <t>INE027F01014</t>
  </si>
  <si>
    <t>SIELFNS</t>
  </si>
  <si>
    <t>AMRAPALI FINCAP LIMITED</t>
  </si>
  <si>
    <t>INE990S01016</t>
  </si>
  <si>
    <t>AMRAFIN</t>
  </si>
  <si>
    <t>HARISH TEXTILE ENGINEERS LIMITED</t>
  </si>
  <si>
    <t>INE01K301012</t>
  </si>
  <si>
    <t>HARISH</t>
  </si>
  <si>
    <t>POLYMAC THERMOFORMERS LIMITED</t>
  </si>
  <si>
    <t>INE826P01018</t>
  </si>
  <si>
    <t>POLYMAC</t>
  </si>
  <si>
    <t>ARCL ORGANICS LTD</t>
  </si>
  <si>
    <t>INE372M01010</t>
  </si>
  <si>
    <t>ARCL</t>
  </si>
  <si>
    <t>SHREE KARTHIK PAPERS LTD.</t>
  </si>
  <si>
    <t>INE538D01015</t>
  </si>
  <si>
    <t>SHKARTP</t>
  </si>
  <si>
    <t>INE656B01019</t>
  </si>
  <si>
    <t>PRADHIN</t>
  </si>
  <si>
    <t>VIRAT LEASING LIMITED</t>
  </si>
  <si>
    <t>INE347L01014</t>
  </si>
  <si>
    <t>VLL</t>
  </si>
  <si>
    <t>WILLARD INDIA LTD.,</t>
  </si>
  <si>
    <t>INE481D01018</t>
  </si>
  <si>
    <t>WILLARD</t>
  </si>
  <si>
    <t>ABIRAMI FINANCIAL SERVICES (INDIA)</t>
  </si>
  <si>
    <t>INE195I01013</t>
  </si>
  <si>
    <t>ABIRAFN</t>
  </si>
  <si>
    <t>SAMTEX FASHIONS LTD.</t>
  </si>
  <si>
    <t>INE931D01020</t>
  </si>
  <si>
    <t>SAMTEX</t>
  </si>
  <si>
    <t>HISAR SPINNING MILLS LTD</t>
  </si>
  <si>
    <t>INE689E01014</t>
  </si>
  <si>
    <t>HISARSP</t>
  </si>
  <si>
    <t>TELOGICA LIMITED</t>
  </si>
  <si>
    <t>INE778I01024</t>
  </si>
  <si>
    <t>TELOGICA</t>
  </si>
  <si>
    <t>LIME CHEMICALS LTD.</t>
  </si>
  <si>
    <t>INE891G01011</t>
  </si>
  <si>
    <t>LIMECHM</t>
  </si>
  <si>
    <t>TRANS-FREIGHT CONTAINERS LTD.,</t>
  </si>
  <si>
    <t>INE360D01014</t>
  </si>
  <si>
    <t>TRANSFRE</t>
  </si>
  <si>
    <t>INE762D01011</t>
  </si>
  <si>
    <t>VISVEN</t>
  </si>
  <si>
    <t>INDUCTO STEELS LTD.</t>
  </si>
  <si>
    <t>INE146H01018</t>
  </si>
  <si>
    <t>INDCTST</t>
  </si>
  <si>
    <t>MARGO FINANCE LIMITED</t>
  </si>
  <si>
    <t>INE680B01019</t>
  </si>
  <si>
    <t>MARGOFIN</t>
  </si>
  <si>
    <t>RAJ PACKAGING INDUSTRIES LTD.</t>
  </si>
  <si>
    <t>INE639C01013</t>
  </si>
  <si>
    <t>RAJPACK</t>
  </si>
  <si>
    <t>INDO EURO INDCHEM LIMITED</t>
  </si>
  <si>
    <t>INE319N01019</t>
  </si>
  <si>
    <t>INDOEURO</t>
  </si>
  <si>
    <t>INE777X01017</t>
  </si>
  <si>
    <t>AKM</t>
  </si>
  <si>
    <t>JAI MATA GLASS LTD.,</t>
  </si>
  <si>
    <t>INE250C01027</t>
  </si>
  <si>
    <t>JAIMATAG</t>
  </si>
  <si>
    <t>INE570E01016</t>
  </si>
  <si>
    <t>AFDIL</t>
  </si>
  <si>
    <t>FRANKLIN LEASING AND FINANCE LIMITED</t>
  </si>
  <si>
    <t>INE399S01010</t>
  </si>
  <si>
    <t>FRANKLIN</t>
  </si>
  <si>
    <t>INE459U01018</t>
  </si>
  <si>
    <t>SKL</t>
  </si>
  <si>
    <t>SOLID STONE COMPANY LTD.</t>
  </si>
  <si>
    <t>INE584G01012</t>
  </si>
  <si>
    <t>SOLIDSTON</t>
  </si>
  <si>
    <t>MEYER APPAREL LIMITED</t>
  </si>
  <si>
    <t>INE100C01024</t>
  </si>
  <si>
    <t>MAL</t>
  </si>
  <si>
    <t>KHOOBSURAT LTD.</t>
  </si>
  <si>
    <t>INE731G01027</t>
  </si>
  <si>
    <t>KHOOBSURAT</t>
  </si>
  <si>
    <t>SATRA PROPERTIES(INDIA) LTD</t>
  </si>
  <si>
    <t>INE086E01021</t>
  </si>
  <si>
    <t>SATRAPROP</t>
  </si>
  <si>
    <t>SHREE VATSAA FINANCE &amp; LEASING LTD.</t>
  </si>
  <si>
    <t>INE981C01019</t>
  </si>
  <si>
    <t>SHVFL</t>
  </si>
  <si>
    <t>FEDDERS ELECTRIC AND ENGINEERING LIMITED</t>
  </si>
  <si>
    <t>INE249C01011</t>
  </si>
  <si>
    <t>FEDDERELEC</t>
  </si>
  <si>
    <t>KJMC CORPORATE ADVISORS (INDIA) LTD.</t>
  </si>
  <si>
    <t>INE602C01011</t>
  </si>
  <si>
    <t>KJMCCORP</t>
  </si>
  <si>
    <t>AJEL LIMITED</t>
  </si>
  <si>
    <t>INE229B01015</t>
  </si>
  <si>
    <t>AJEL</t>
  </si>
  <si>
    <t>DARSHAN ORNA LIMITED</t>
  </si>
  <si>
    <t>INE671T01028</t>
  </si>
  <si>
    <t>DARSHANORNA</t>
  </si>
  <si>
    <t>PVV INFRA LIMITED</t>
  </si>
  <si>
    <t>INE428B01013</t>
  </si>
  <si>
    <t>PVVINFRA</t>
  </si>
  <si>
    <t>TULASEE BIO-ETHANOL LTD.</t>
  </si>
  <si>
    <t>INE276N01011</t>
  </si>
  <si>
    <t>TULASEEBIOE</t>
  </si>
  <si>
    <t>STERLING GREEN  WOODS  LIMITED</t>
  </si>
  <si>
    <t>INE398F01019</t>
  </si>
  <si>
    <t>STRGRENWO</t>
  </si>
  <si>
    <t>INE870X01010</t>
  </si>
  <si>
    <t>SGEL</t>
  </si>
  <si>
    <t>EAST COAST STEEL LTD</t>
  </si>
  <si>
    <t>INE315F01013</t>
  </si>
  <si>
    <t>ECSTSTL</t>
  </si>
  <si>
    <t>SANBLUE CORPORATION LIMITED</t>
  </si>
  <si>
    <t>INE602D01027</t>
  </si>
  <si>
    <t>SANBLUE</t>
  </si>
  <si>
    <t>NYSSA CORPORATION LIMITED</t>
  </si>
  <si>
    <t>INE812K01027</t>
  </si>
  <si>
    <t>NYSSACORP</t>
  </si>
  <si>
    <t>VENTURA TEXTILES LTD.</t>
  </si>
  <si>
    <t>INE810C01044</t>
  </si>
  <si>
    <t>VENTURA</t>
  </si>
  <si>
    <t>N.D.METAL INDUSTRIES LTD</t>
  </si>
  <si>
    <t>INE643D01013</t>
  </si>
  <si>
    <t>NDMETAL</t>
  </si>
  <si>
    <t>MANSI FINANCE (CHENNAI) LTD</t>
  </si>
  <si>
    <t>INE094E01017</t>
  </si>
  <si>
    <t>MANSIFIN</t>
  </si>
  <si>
    <t>INE991F01011</t>
  </si>
  <si>
    <t>LAFFANSOFT</t>
  </si>
  <si>
    <t>HELPAGE FINLEASE LTD.</t>
  </si>
  <si>
    <t>INE738P01015</t>
  </si>
  <si>
    <t>HELPAGE</t>
  </si>
  <si>
    <t>SHALIMAR AGENCIES LIMITED</t>
  </si>
  <si>
    <t>INE631E01016</t>
  </si>
  <si>
    <t>SAGL</t>
  </si>
  <si>
    <t>BOTHRA METALS &amp; ALLOYS LIMITED</t>
  </si>
  <si>
    <t>INE583M01012</t>
  </si>
  <si>
    <t>BMAL</t>
  </si>
  <si>
    <t>ECONO TRADE (INDIA) LIMITED</t>
  </si>
  <si>
    <t>INE937K01014</t>
  </si>
  <si>
    <t>ETIL</t>
  </si>
  <si>
    <t>CIL SECURITIES LTD.</t>
  </si>
  <si>
    <t>INE830A01012</t>
  </si>
  <si>
    <t>CILSEC</t>
  </si>
  <si>
    <t>VANI COMMERCIALS LIMITED</t>
  </si>
  <si>
    <t>INE661Q01017</t>
  </si>
  <si>
    <t>VANICOM</t>
  </si>
  <si>
    <t>SAI INDUSTRIES LTD.</t>
  </si>
  <si>
    <t>INE213S01013</t>
  </si>
  <si>
    <t>SAINDUS</t>
  </si>
  <si>
    <t>KAPIL RAJ FINANCE LTD.</t>
  </si>
  <si>
    <t>INE332Q01015</t>
  </si>
  <si>
    <t>KAPILRAJ</t>
  </si>
  <si>
    <t>PALM JEWELS LIMITED</t>
  </si>
  <si>
    <t>INE838Z01012</t>
  </si>
  <si>
    <t>PALMJEWELS</t>
  </si>
  <si>
    <t>BFL ASSET FINVEST LIMITED</t>
  </si>
  <si>
    <t>INE948Q01018</t>
  </si>
  <si>
    <t>BFLAFL</t>
  </si>
  <si>
    <t>HOWARD HOTELS LIMITED</t>
  </si>
  <si>
    <t>INE931B01016</t>
  </si>
  <si>
    <t>HOWARHO</t>
  </si>
  <si>
    <t>PREMIER CAPITAL SERVICES LTD.,</t>
  </si>
  <si>
    <t>INE946K01023</t>
  </si>
  <si>
    <t>PREMCAP</t>
  </si>
  <si>
    <t>VAXFAB ENTERPRISES LIMITED</t>
  </si>
  <si>
    <t>INE560T01015</t>
  </si>
  <si>
    <t>VEL</t>
  </si>
  <si>
    <t>HARI GOVIND INTERNATIONAL LTD.</t>
  </si>
  <si>
    <t>INE167F01018</t>
  </si>
  <si>
    <t>HARIGOV</t>
  </si>
  <si>
    <t>GLANCE FINANCE LTD.</t>
  </si>
  <si>
    <t>INE580D01017</t>
  </si>
  <si>
    <t>GLANCE</t>
  </si>
  <si>
    <t>CITIZEN INFOLINE LTD.</t>
  </si>
  <si>
    <t>INE473L01018</t>
  </si>
  <si>
    <t>CIL</t>
  </si>
  <si>
    <t>CONTINENTAL CHEMICALS LTD.,</t>
  </si>
  <si>
    <t>INE423K01015</t>
  </si>
  <si>
    <t>CONTCHM</t>
  </si>
  <si>
    <t>ALEXANDER STAMPS AND COIN LIMITED</t>
  </si>
  <si>
    <t>INE191N01012</t>
  </si>
  <si>
    <t>ALEXANDER</t>
  </si>
  <si>
    <t>BNR UDYOG LTD.</t>
  </si>
  <si>
    <t>INE355C01016</t>
  </si>
  <si>
    <t>BNRUDY</t>
  </si>
  <si>
    <t>INTEGRATED CAPITAL SERVICES LTD</t>
  </si>
  <si>
    <t>INE682B01023</t>
  </si>
  <si>
    <t>ICSL</t>
  </si>
  <si>
    <t>AROMA ENTERPRISES (INDIA) LTD.</t>
  </si>
  <si>
    <t>INE371M01012</t>
  </si>
  <si>
    <t>AROMAENT</t>
  </si>
  <si>
    <t>SHIRPUR GOLD REFINERY LTD.</t>
  </si>
  <si>
    <t>INE196B01016</t>
  </si>
  <si>
    <t>SHIRPUR-G</t>
  </si>
  <si>
    <t>PADAM COTTON YARNS LTD.</t>
  </si>
  <si>
    <t>INE448D01017</t>
  </si>
  <si>
    <t>PADAMCO</t>
  </si>
  <si>
    <t>CRANE INFRASTRUCTURE LIMITED</t>
  </si>
  <si>
    <t>INE176L01017</t>
  </si>
  <si>
    <t>CRANEINFRA</t>
  </si>
  <si>
    <t>ESSAR SECURITIES LIMITED</t>
  </si>
  <si>
    <t>INE143K01019</t>
  </si>
  <si>
    <t>ESSARSEC</t>
  </si>
  <si>
    <t>HATHWAY BHAWANI CABLETEL &amp; DATACOM</t>
  </si>
  <si>
    <t>INE525B01016</t>
  </si>
  <si>
    <t>HATHWAYB</t>
  </si>
  <si>
    <t>BKV INDUSTRIES LTD.</t>
  </si>
  <si>
    <t>INE356C01022</t>
  </si>
  <si>
    <t>BKV</t>
  </si>
  <si>
    <t>ECS BIZTECH LIMITED</t>
  </si>
  <si>
    <t>INE925Q01024</t>
  </si>
  <si>
    <t>ECS</t>
  </si>
  <si>
    <t>AJWA FUN WORLD &amp; RESORTS LTD</t>
  </si>
  <si>
    <t>INE863E01015</t>
  </si>
  <si>
    <t>AJWAFUN</t>
  </si>
  <si>
    <t>SWITCHING TECHNOLOGIES GUNTHER LTD.</t>
  </si>
  <si>
    <t>INE311D01017</t>
  </si>
  <si>
    <t>SWITCHTE</t>
  </si>
  <si>
    <t>SRI NACHAMMAI COTTON MILLS LTD.</t>
  </si>
  <si>
    <t>INE443E01016</t>
  </si>
  <si>
    <t>SRINACHA</t>
  </si>
  <si>
    <t>TRINITY LEAGUE INDIA LIMITED</t>
  </si>
  <si>
    <t>INE884X01011</t>
  </si>
  <si>
    <t>TRINITYLEA</t>
  </si>
  <si>
    <t>TRADE WINGS LTD.,</t>
  </si>
  <si>
    <t>INE961E01017</t>
  </si>
  <si>
    <t>TRADWIN</t>
  </si>
  <si>
    <t>SIBAR AUTO PARTS LTD.</t>
  </si>
  <si>
    <t>INE441C01014</t>
  </si>
  <si>
    <t>SIBARAUT</t>
  </si>
  <si>
    <t>NOVATEOR RESEARCH LABORATORIES LIMITED</t>
  </si>
  <si>
    <t>INE08JY01013</t>
  </si>
  <si>
    <t>NOVATEOR</t>
  </si>
  <si>
    <t>SABOO BROTHERS LTD.</t>
  </si>
  <si>
    <t>INE021N01011</t>
  </si>
  <si>
    <t>SABOOBR</t>
  </si>
  <si>
    <t>TRIVENI ENTERPRISES LIMITED</t>
  </si>
  <si>
    <t>INE916P01025</t>
  </si>
  <si>
    <t>TRIVENIENT</t>
  </si>
  <si>
    <t>IB INFOTECH ENTERPRISES LTD</t>
  </si>
  <si>
    <t>INE678B01021</t>
  </si>
  <si>
    <t>IBINFO</t>
  </si>
  <si>
    <t>INE0LU301014</t>
  </si>
  <si>
    <t>SISL</t>
  </si>
  <si>
    <t>JAY MAHESH INFRAVENTURES LTD.</t>
  </si>
  <si>
    <t>INE984L01014</t>
  </si>
  <si>
    <t>JAYMAHESH</t>
  </si>
  <si>
    <t>INE926R01012</t>
  </si>
  <si>
    <t>UCIL</t>
  </si>
  <si>
    <t>SWARNA SECURITIES LTD.</t>
  </si>
  <si>
    <t>INE595G01018</t>
  </si>
  <si>
    <t>SWRNASE</t>
  </si>
  <si>
    <t>EASTERN GASES LIMITED</t>
  </si>
  <si>
    <t>INE846C01014</t>
  </si>
  <si>
    <t>EASTERNGAS</t>
  </si>
  <si>
    <t>INTERNATIONAL HOUSING FINANCE CORPO</t>
  </si>
  <si>
    <t>INE903G01014</t>
  </si>
  <si>
    <t>INTERHG</t>
  </si>
  <si>
    <t>SAGAR PRODUCTIONS LIMITED</t>
  </si>
  <si>
    <t>INE807D01030</t>
  </si>
  <si>
    <t>SAGARPROD</t>
  </si>
  <si>
    <t>MANRAJ HOUSING FINANCE LTD.</t>
  </si>
  <si>
    <t>INE948I01015</t>
  </si>
  <si>
    <t>MANRAJH</t>
  </si>
  <si>
    <t>INE945O01019</t>
  </si>
  <si>
    <t>PANTH</t>
  </si>
  <si>
    <t>MIDAS INFRA TRADE LIMITED</t>
  </si>
  <si>
    <t>INE290M01022</t>
  </si>
  <si>
    <t>MIDINFRA</t>
  </si>
  <si>
    <t>ACI INFOCOM LTD.</t>
  </si>
  <si>
    <t>INE167B01025</t>
  </si>
  <si>
    <t>ACIIN</t>
  </si>
  <si>
    <t>BIL ENERGY SYSTEMS LIMITED</t>
  </si>
  <si>
    <t>INE607L01029</t>
  </si>
  <si>
    <t>BILENERGY</t>
  </si>
  <si>
    <t>AMRAPALI CAPITAL AND FINANCE SERVICES LIMITED</t>
  </si>
  <si>
    <t>INE218P01018</t>
  </si>
  <si>
    <t>ACFSL</t>
  </si>
  <si>
    <t>JETMALL SPICES AND MASALA LIMITED</t>
  </si>
  <si>
    <t>INE0D9X01018</t>
  </si>
  <si>
    <t>JETMALL</t>
  </si>
  <si>
    <t>GANON PRODUCTS LIMITED</t>
  </si>
  <si>
    <t>INE162L01017</t>
  </si>
  <si>
    <t>GANONPRO</t>
  </si>
  <si>
    <t>MID INDIA INDUSTRIES LIMITED</t>
  </si>
  <si>
    <t>INE401C01018</t>
  </si>
  <si>
    <t>MIDINDIA</t>
  </si>
  <si>
    <t>YORK EXPORTS LTD.</t>
  </si>
  <si>
    <t>INE057Q01018</t>
  </si>
  <si>
    <t>YORKEXP</t>
  </si>
  <si>
    <t>SUJALA TRADING &amp; HOLDINGS LTD.</t>
  </si>
  <si>
    <t>INE029H01016</t>
  </si>
  <si>
    <t>SUJALA</t>
  </si>
  <si>
    <t>INE344X01016</t>
  </si>
  <si>
    <t>CHOTHANI</t>
  </si>
  <si>
    <t>GTN TEXTILES LTD. (FORMERLY KNOWN AS GTN INDUSTRIES LTD.)</t>
  </si>
  <si>
    <t>INE302H01017</t>
  </si>
  <si>
    <t>GTNTEX</t>
  </si>
  <si>
    <t>SAFAL HERBS LIMITED</t>
  </si>
  <si>
    <t>INE880M01020</t>
  </si>
  <si>
    <t>SAFALHBS</t>
  </si>
  <si>
    <t>KARTIK INVESTMENTS TRUST LTD.,</t>
  </si>
  <si>
    <t>INE524U01019</t>
  </si>
  <si>
    <t>KARTKIN</t>
  </si>
  <si>
    <t>SOVEREIGN DIAMONDS LTD</t>
  </si>
  <si>
    <t>INE959D01013</t>
  </si>
  <si>
    <t>SOVERDIA</t>
  </si>
  <si>
    <t>JAIHIND SYNTHETICS LTD.</t>
  </si>
  <si>
    <t>INE156E01014</t>
  </si>
  <si>
    <t>JAIHINDS</t>
  </si>
  <si>
    <t>PRIMA AGRO LTD.</t>
  </si>
  <si>
    <t>INE297D01018</t>
  </si>
  <si>
    <t>PRIMAGR</t>
  </si>
  <si>
    <t>INE194N01016</t>
  </si>
  <si>
    <t>GENESIS</t>
  </si>
  <si>
    <t>UNIROYAL INDUSTRIES LTD</t>
  </si>
  <si>
    <t>INE980D01019</t>
  </si>
  <si>
    <t>UNIROYAL</t>
  </si>
  <si>
    <t>ATHENA CONSTRUCTIONS LIMITED</t>
  </si>
  <si>
    <t>INE291R01011</t>
  </si>
  <si>
    <t>ATHCON</t>
  </si>
  <si>
    <t>ENCASH ENTERTAINMENT LIMITED</t>
  </si>
  <si>
    <t>INE552Q01018</t>
  </si>
  <si>
    <t>ENCASH</t>
  </si>
  <si>
    <t>INE169F01014</t>
  </si>
  <si>
    <t>NMSRESRC</t>
  </si>
  <si>
    <t>INE092P01017</t>
  </si>
  <si>
    <t>VELOXIND</t>
  </si>
  <si>
    <t>INE365H01014</t>
  </si>
  <si>
    <t>FUNDVISER</t>
  </si>
  <si>
    <t>CEENIK EXPORTS (INDIA) LTD.</t>
  </si>
  <si>
    <t>INE418D01010</t>
  </si>
  <si>
    <t>CEENIK</t>
  </si>
  <si>
    <t>INE173E01019</t>
  </si>
  <si>
    <t>TEJASSVI</t>
  </si>
  <si>
    <t>INE290T01027</t>
  </si>
  <si>
    <t>ADBML</t>
  </si>
  <si>
    <t>K K FINCORP LIMITED</t>
  </si>
  <si>
    <t>INE509J01013</t>
  </si>
  <si>
    <t>KKFIN</t>
  </si>
  <si>
    <t>R.R.FINANCIAL CONSULTANTS LTD.</t>
  </si>
  <si>
    <t>INE229D01011</t>
  </si>
  <si>
    <t>RRFIN</t>
  </si>
  <si>
    <t>IIRM HOLDINGS INDIA LIMITED</t>
  </si>
  <si>
    <t>INE670C01026</t>
  </si>
  <si>
    <t>IIRM</t>
  </si>
  <si>
    <t>SOUTHERN LATEX LTD.</t>
  </si>
  <si>
    <t>INE410M01018</t>
  </si>
  <si>
    <t>SOUTLAT</t>
  </si>
  <si>
    <t>COASTAL ROADWAYS LTD.</t>
  </si>
  <si>
    <t>INE229E01019</t>
  </si>
  <si>
    <t>COARO</t>
  </si>
  <si>
    <t>INNOVATUS ENTERTAINMENT NETWORKS LIMITED</t>
  </si>
  <si>
    <t>INE0LYO01018</t>
  </si>
  <si>
    <t>INNOVATUS</t>
  </si>
  <si>
    <t>ELEGANT FLORICULTURE &amp; AGROTECH (IN</t>
  </si>
  <si>
    <t>INE152E01013</t>
  </si>
  <si>
    <t>ELEFLOR</t>
  </si>
  <si>
    <t>INE160H01019</t>
  </si>
  <si>
    <t>PBAINFRA</t>
  </si>
  <si>
    <t>EVERGREEN TEXTILES LIMITED</t>
  </si>
  <si>
    <t>INE229N01010</t>
  </si>
  <si>
    <t>EVERTEX</t>
  </si>
  <si>
    <t>S.P.CAPITAL FINANCING LTD.</t>
  </si>
  <si>
    <t>INE102F01015</t>
  </si>
  <si>
    <t>SPCAPIT</t>
  </si>
  <si>
    <t>INE139D01020</t>
  </si>
  <si>
    <t>YUVRAAJHPL</t>
  </si>
  <si>
    <t>LADAM AFFORTABLE HOUSING LIMITED</t>
  </si>
  <si>
    <t>INE213U01019</t>
  </si>
  <si>
    <t>LAHL</t>
  </si>
  <si>
    <t>SILVERLINE TECHNOLOGIES LTD.</t>
  </si>
  <si>
    <t>INE368A01021</t>
  </si>
  <si>
    <t>SILVERLINE</t>
  </si>
  <si>
    <t>PADMANABH ALLOYS &amp; POLYMERS LTD.</t>
  </si>
  <si>
    <t>INE630U01014</t>
  </si>
  <si>
    <t>PADALPO</t>
  </si>
  <si>
    <t>SK INTERNATIONAL EXPORT LIMITED</t>
  </si>
  <si>
    <t>INE04ST01013</t>
  </si>
  <si>
    <t>SKIEL</t>
  </si>
  <si>
    <t>MACRO INTERNATIONAL LIMITED</t>
  </si>
  <si>
    <t>INE307N01014</t>
  </si>
  <si>
    <t>MACINTR</t>
  </si>
  <si>
    <t>NATIONAL PLYWOOD INDUSTRIES LTD.</t>
  </si>
  <si>
    <t>INE497C01016</t>
  </si>
  <si>
    <t>NATPLY</t>
  </si>
  <si>
    <t>RAJASTHAN TUBE MFG. CO</t>
  </si>
  <si>
    <t>INE497E01012</t>
  </si>
  <si>
    <t>RAJTUBE</t>
  </si>
  <si>
    <t>RAPID INVESTMENTS LTD.,</t>
  </si>
  <si>
    <t>INE154M01012</t>
  </si>
  <si>
    <t>RAPIDIN</t>
  </si>
  <si>
    <t>SHREE PACETRONIX LTD</t>
  </si>
  <si>
    <t>INE847D01010</t>
  </si>
  <si>
    <t>SHREEPAC</t>
  </si>
  <si>
    <t>ARCHANA SOFTWARE LTD.</t>
  </si>
  <si>
    <t>INE149B01015</t>
  </si>
  <si>
    <t>SSLFINANCE</t>
  </si>
  <si>
    <t>SUGAL &amp; DAMANI SHARE BROKERS LTD.</t>
  </si>
  <si>
    <t>INE309D01011</t>
  </si>
  <si>
    <t>SUGALDAM</t>
  </si>
  <si>
    <t>YURANUS INFRASTRUCTURE LTD</t>
  </si>
  <si>
    <t>INE156M01017</t>
  </si>
  <si>
    <t>YURANUS</t>
  </si>
  <si>
    <t>IYKOT HITECH TOOLROOM LTD</t>
  </si>
  <si>
    <t>INE079L01013</t>
  </si>
  <si>
    <t>IYKOTHITE</t>
  </si>
  <si>
    <t>AMARNATH SECURITIES LTD.</t>
  </si>
  <si>
    <t>INE745P01010</t>
  </si>
  <si>
    <t>AMARSEC</t>
  </si>
  <si>
    <t>SRI LAKSHMI SARASWATHI TEXTILES (AR</t>
  </si>
  <si>
    <t>INE456D01010</t>
  </si>
  <si>
    <t>SLSTLQ</t>
  </si>
  <si>
    <t>SUN GRANITE EXPORT LIMITED</t>
  </si>
  <si>
    <t>INE032M01010</t>
  </si>
  <si>
    <t>SUNGRAN</t>
  </si>
  <si>
    <t>TRINITY TRADELINK LIMITED</t>
  </si>
  <si>
    <t>INE567D01022</t>
  </si>
  <si>
    <t>TRITRADE</t>
  </si>
  <si>
    <t>MODERN MALLEABLES LIMITED</t>
  </si>
  <si>
    <t>INE834C01028</t>
  </si>
  <si>
    <t>MODMA</t>
  </si>
  <si>
    <t>ESAAR (INDIA) LTD.</t>
  </si>
  <si>
    <t>INE404L01039</t>
  </si>
  <si>
    <t>ESARIND</t>
  </si>
  <si>
    <t>DYNAMIC ARCHISTRUCTURES LIMITED</t>
  </si>
  <si>
    <t>INE874E01012</t>
  </si>
  <si>
    <t>DAL</t>
  </si>
  <si>
    <t>NIKS TECHNOLOGY LIMITED</t>
  </si>
  <si>
    <t>INE0GX601011</t>
  </si>
  <si>
    <t>NIKSTECH</t>
  </si>
  <si>
    <t>INE0NC801013</t>
  </si>
  <si>
    <t>VEDANTASSET</t>
  </si>
  <si>
    <t>PAN ELECTRONICS INDIA LTD.</t>
  </si>
  <si>
    <t>INE648E01010</t>
  </si>
  <si>
    <t>PANELEC</t>
  </si>
  <si>
    <t>SURYA INDIA LIMITED</t>
  </si>
  <si>
    <t>INE446E01019</t>
  </si>
  <si>
    <t>SURYAINDIA</t>
  </si>
  <si>
    <t>INE326P01019</t>
  </si>
  <si>
    <t>SRGSFL</t>
  </si>
  <si>
    <t>STERLING GUARANTEE &amp; FIN. LTD</t>
  </si>
  <si>
    <t>INE668Y01016</t>
  </si>
  <si>
    <t>STRLGUA</t>
  </si>
  <si>
    <t>VICEROY HOTELS LTD.</t>
  </si>
  <si>
    <t>INE048C01017</t>
  </si>
  <si>
    <t>INE552N01023</t>
  </si>
  <si>
    <t>RKDAGRRTL</t>
  </si>
  <si>
    <t>BILLWIN INDUSTRIES LIMITED</t>
  </si>
  <si>
    <t>INE0CRS01012</t>
  </si>
  <si>
    <t>BILLWIN</t>
  </si>
  <si>
    <t>EMMESSAR BIOTECH &amp; NUTRITION LTD.</t>
  </si>
  <si>
    <t>INE634B01016</t>
  </si>
  <si>
    <t>EMMESSA</t>
  </si>
  <si>
    <t>S.V. TRADING &amp; AGENCIES LTD.,</t>
  </si>
  <si>
    <t>INE404N01019</t>
  </si>
  <si>
    <t>ZSVTRADI</t>
  </si>
  <si>
    <t>RELIABLE VENTURES INDIA LTD</t>
  </si>
  <si>
    <t>INE419H01019</t>
  </si>
  <si>
    <t>RELIABVEN</t>
  </si>
  <si>
    <t>GITANJALI GEMS LTD.</t>
  </si>
  <si>
    <t>INE346H01014</t>
  </si>
  <si>
    <t>GITANJALI</t>
  </si>
  <si>
    <t>QUASAR INDIA LIMITED</t>
  </si>
  <si>
    <t>INE855P01033</t>
  </si>
  <si>
    <t>QUASAR</t>
  </si>
  <si>
    <t>RAJASTHAN CYLINDERS &amp; CONTAINERS LIMITED</t>
  </si>
  <si>
    <t>INE929D01016</t>
  </si>
  <si>
    <t>RCCL</t>
  </si>
  <si>
    <t>OCTAVIUS PLANTATIONS LIMITED</t>
  </si>
  <si>
    <t>INE117S01016</t>
  </si>
  <si>
    <t>OCTAVIUSPL</t>
  </si>
  <si>
    <t>VIVAA TRADECOM LIMITED</t>
  </si>
  <si>
    <t>INE0PA601017</t>
  </si>
  <si>
    <t>VIVAA</t>
  </si>
  <si>
    <t>SPS INTERNATIONAL LTD</t>
  </si>
  <si>
    <t>INE758B01013</t>
  </si>
  <si>
    <t>SPSINT</t>
  </si>
  <si>
    <t>V R WOODART LTD</t>
  </si>
  <si>
    <t>INE317D01014</t>
  </si>
  <si>
    <t>VRWODAR</t>
  </si>
  <si>
    <t>ROTOGRAPHICS (INDIA) LIMITED</t>
  </si>
  <si>
    <t>INE364S01014</t>
  </si>
  <si>
    <t>RGIL</t>
  </si>
  <si>
    <t>INE086D01015</t>
  </si>
  <si>
    <t>ISL</t>
  </si>
  <si>
    <t>EKENNIS SOFTWARE SERVICE LIMITED</t>
  </si>
  <si>
    <t>INE0KCM01010</t>
  </si>
  <si>
    <t>EKENNIS</t>
  </si>
  <si>
    <t>MULLER &amp; PHIPPS (INDIA) LTD.,</t>
  </si>
  <si>
    <t>INE003F01015</t>
  </si>
  <si>
    <t>MULLER</t>
  </si>
  <si>
    <t>PECOS HOTELS AND PUBS LIMITED</t>
  </si>
  <si>
    <t>INE484S01010</t>
  </si>
  <si>
    <t>PECOS</t>
  </si>
  <si>
    <t>NDA SECURITIES LTD.</t>
  </si>
  <si>
    <t>INE026C01013</t>
  </si>
  <si>
    <t>NDASEC</t>
  </si>
  <si>
    <t>BCL ENTERPRISES LIMITED</t>
  </si>
  <si>
    <t>INE368E01023</t>
  </si>
  <si>
    <t>BCLENTERPR</t>
  </si>
  <si>
    <t>BCL</t>
  </si>
  <si>
    <t>INE966Q01010</t>
  </si>
  <si>
    <t>HILIKS</t>
  </si>
  <si>
    <t>INE101H01013</t>
  </si>
  <si>
    <t>HANSUGAR</t>
  </si>
  <si>
    <t>INE790R01012</t>
  </si>
  <si>
    <t>DEVRUPTRAD</t>
  </si>
  <si>
    <t>INE219D01012</t>
  </si>
  <si>
    <t>HVL</t>
  </si>
  <si>
    <t>CHITRADURGA SPINTEX LTD.</t>
  </si>
  <si>
    <t>INE676G01024</t>
  </si>
  <si>
    <t>CHITRTX</t>
  </si>
  <si>
    <t>CONTINENTAL SECURITIES LIMITED</t>
  </si>
  <si>
    <t>INE183Q01020</t>
  </si>
  <si>
    <t>CSL</t>
  </si>
  <si>
    <t>SONALIS CONSUMER PRODUCTS LIMITED</t>
  </si>
  <si>
    <t>INE0N5O01013</t>
  </si>
  <si>
    <t>SONALIS</t>
  </si>
  <si>
    <t>INE819G01012</t>
  </si>
  <si>
    <t>TRADEWELL</t>
  </si>
  <si>
    <t>RAP MEDIA LTD.</t>
  </si>
  <si>
    <t>INE483D01014</t>
  </si>
  <si>
    <t>RAP</t>
  </si>
  <si>
    <t>KACHCHH MINERALS LTD.</t>
  </si>
  <si>
    <t>INE059E01010</t>
  </si>
  <si>
    <t>KACHCHH</t>
  </si>
  <si>
    <t>MVL LIMITED</t>
  </si>
  <si>
    <t>INE744I01034</t>
  </si>
  <si>
    <t>MVL</t>
  </si>
  <si>
    <t>SAMYAK INTERNATIONAL LIMITED</t>
  </si>
  <si>
    <t>INE607G01011</t>
  </si>
  <si>
    <t>SAMYAKINT</t>
  </si>
  <si>
    <t>PARSHWANATH CORPORATION LIMITED</t>
  </si>
  <si>
    <t>INE635I01018</t>
  </si>
  <si>
    <t>PARSHWANA</t>
  </si>
  <si>
    <t>COMPUTER POINT LTD.,</t>
  </si>
  <si>
    <t>INE607B01012</t>
  </si>
  <si>
    <t>COMPUPN</t>
  </si>
  <si>
    <t>SHIVA GRANITO EXPORT LIMITED</t>
  </si>
  <si>
    <t>INE191V01015</t>
  </si>
  <si>
    <t>SHIVAEXPO</t>
  </si>
  <si>
    <t>INE245H01018</t>
  </si>
  <si>
    <t>MTPL</t>
  </si>
  <si>
    <t>INE672G01015</t>
  </si>
  <si>
    <t>CENTRAL</t>
  </si>
  <si>
    <t>BISIL PLAST LIMITED</t>
  </si>
  <si>
    <t>INE214D01021</t>
  </si>
  <si>
    <t>BISIL</t>
  </si>
  <si>
    <t>NORRIS MEDICINES LTD.</t>
  </si>
  <si>
    <t>INE744C01029</t>
  </si>
  <si>
    <t>NORRIS</t>
  </si>
  <si>
    <t>DAULAT SECURITIES LTD.</t>
  </si>
  <si>
    <t>INE108C01019</t>
  </si>
  <si>
    <t>DAULAT</t>
  </si>
  <si>
    <t>INE871Z01013</t>
  </si>
  <si>
    <t>DLCL</t>
  </si>
  <si>
    <t>EON ELECTRIC LTD</t>
  </si>
  <si>
    <t>INE076H01025</t>
  </si>
  <si>
    <t>EON</t>
  </si>
  <si>
    <t>OCTAWARE TECHNOLOGIES LIMITED</t>
  </si>
  <si>
    <t>INE208U01019</t>
  </si>
  <si>
    <t>OCTAWARE</t>
  </si>
  <si>
    <t>INE892L01019</t>
  </si>
  <si>
    <t>SHANTIGURU</t>
  </si>
  <si>
    <t>NUTECH GLOBAL LTD.</t>
  </si>
  <si>
    <t>INE960H01012</t>
  </si>
  <si>
    <t>NUTECGLOB</t>
  </si>
  <si>
    <t>BOSTON BIO SYSTEMS LTD.</t>
  </si>
  <si>
    <t>INE109B01019</t>
  </si>
  <si>
    <t>BOSTONBIO</t>
  </si>
  <si>
    <t>RUNEECHA TEXTILES LIMITED</t>
  </si>
  <si>
    <t>INE373L01010</t>
  </si>
  <si>
    <t>RUNEECHA</t>
  </si>
  <si>
    <t>VAMSHI RUBBER LTD.</t>
  </si>
  <si>
    <t>INE380C01014</t>
  </si>
  <si>
    <t>VAMSHIRU</t>
  </si>
  <si>
    <t>JINDAL COTEX LIMITED</t>
  </si>
  <si>
    <t>INE904J01016</t>
  </si>
  <si>
    <t>JINDCOT</t>
  </si>
  <si>
    <t>MAITRI ENTERPRISES LIMITED</t>
  </si>
  <si>
    <t>INE501L01024</t>
  </si>
  <si>
    <t>MAITRI</t>
  </si>
  <si>
    <t>HINDUSTAN AGRIGENETICS LTD.</t>
  </si>
  <si>
    <t>INE092301014</t>
  </si>
  <si>
    <t>HINDUST</t>
  </si>
  <si>
    <t>PRATIKSHA CHEMICALS LTD.</t>
  </si>
  <si>
    <t>INE530D01012</t>
  </si>
  <si>
    <t>PRATIKSH</t>
  </si>
  <si>
    <t>INTEGRA TELECOMMUNICATION &amp; SOFTWARE LIMITED</t>
  </si>
  <si>
    <t>INE256F01019</t>
  </si>
  <si>
    <t>INTELSOFT</t>
  </si>
  <si>
    <t>GAJANAN SECURITIES SERVICES LTD.</t>
  </si>
  <si>
    <t>INE868G01019</t>
  </si>
  <si>
    <t>GAJANANSEC</t>
  </si>
  <si>
    <t>SHREE STEEL WIRE ROPES LTD.</t>
  </si>
  <si>
    <t>INE387D01025</t>
  </si>
  <si>
    <t>SSWRL</t>
  </si>
  <si>
    <t>SATHAVAHANA ISPAT LTD.</t>
  </si>
  <si>
    <t>INE176C01016</t>
  </si>
  <si>
    <t>SATHAISPAT</t>
  </si>
  <si>
    <t>SUMERU INDUSTRIES LTD.</t>
  </si>
  <si>
    <t>INE764B01029</t>
  </si>
  <si>
    <t>SUMERUIND</t>
  </si>
  <si>
    <t>C.J. GELATINE PRODUCTS LTD.,</t>
  </si>
  <si>
    <t>INE557D01015</t>
  </si>
  <si>
    <t>CJGEL</t>
  </si>
  <si>
    <t>GRADIENTE INFOTAINMENT LTD.</t>
  </si>
  <si>
    <t>INE361K01017</t>
  </si>
  <si>
    <t>GRADIENTE</t>
  </si>
  <si>
    <t>TARINI INTERNATIONAL LIMITED</t>
  </si>
  <si>
    <t>INE849M01017</t>
  </si>
  <si>
    <t>TARINI</t>
  </si>
  <si>
    <t>HARMONY CAPITAL SERVICES LTD.</t>
  </si>
  <si>
    <t>INE264N01017</t>
  </si>
  <si>
    <t>HRMNYCP</t>
  </si>
  <si>
    <t>CONSECUTIVE INVESTMENTS &amp; TRADING COMPANY LIMITED</t>
  </si>
  <si>
    <t>INE187R01011</t>
  </si>
  <si>
    <t>CITL</t>
  </si>
  <si>
    <t>SURYAVANSHI SPINNING MILLS LTD.,</t>
  </si>
  <si>
    <t>INE431C01023</t>
  </si>
  <si>
    <t>SURYVANSP</t>
  </si>
  <si>
    <t>KAPIL COTEX  LTD.,</t>
  </si>
  <si>
    <t>INE393H01016</t>
  </si>
  <si>
    <t>KAPILCO</t>
  </si>
  <si>
    <t>INE360S01012</t>
  </si>
  <si>
    <t>ARYAVAN</t>
  </si>
  <si>
    <t>JASH DEALMARK LIMITED</t>
  </si>
  <si>
    <t>INE801W01017</t>
  </si>
  <si>
    <t>JDML</t>
  </si>
  <si>
    <t>FRANKLIN INDUSTRIES LIMITED</t>
  </si>
  <si>
    <t>INE789R01014</t>
  </si>
  <si>
    <t>FRANKLININD</t>
  </si>
  <si>
    <t>STERLING INTERNATIONAL ENTERPRISES LIMITED</t>
  </si>
  <si>
    <t>INE696C01021</t>
  </si>
  <si>
    <t>STEERINTER</t>
  </si>
  <si>
    <t>PARMAX PHARMA LIMITED</t>
  </si>
  <si>
    <t>INE240T01014</t>
  </si>
  <si>
    <t>PARMAX</t>
  </si>
  <si>
    <t>REGENT ENTERPRISES LIMITED</t>
  </si>
  <si>
    <t>INE769D01016</t>
  </si>
  <si>
    <t>REGENTRP</t>
  </si>
  <si>
    <t>AUTOPAL INDUSTRIES LTD.,</t>
  </si>
  <si>
    <t>INE335Q01018</t>
  </si>
  <si>
    <t>AUTOPAL</t>
  </si>
  <si>
    <t>INE104S01022</t>
  </si>
  <si>
    <t>SIPTL</t>
  </si>
  <si>
    <t>AMFORGE INDUSTRIES LTD.,</t>
  </si>
  <si>
    <t>INE991A01020</t>
  </si>
  <si>
    <t>AMFORG</t>
  </si>
  <si>
    <t>UFM INDUSTRIES LTD</t>
  </si>
  <si>
    <t>INE832E01010</t>
  </si>
  <si>
    <t>UFMINDL</t>
  </si>
  <si>
    <t>PYXIS FINVEST LIMITED</t>
  </si>
  <si>
    <t>INE883L01018</t>
  </si>
  <si>
    <t>PYXISFIN</t>
  </si>
  <si>
    <t>INE763C01011</t>
  </si>
  <si>
    <t>ARIHANTCFL</t>
  </si>
  <si>
    <t>NATURAL BIOCON (INDIA) LIMITED</t>
  </si>
  <si>
    <t>INE06MM01016</t>
  </si>
  <si>
    <t xml:space="preserve">NATURAL </t>
  </si>
  <si>
    <t>YARN SYNDICATE LTD.</t>
  </si>
  <si>
    <t>INE564C01013</t>
  </si>
  <si>
    <t>YARNSYN</t>
  </si>
  <si>
    <t>BODHTREE CONSULTING LIMITED</t>
  </si>
  <si>
    <t>INE104F01011</t>
  </si>
  <si>
    <t>BODHTREE</t>
  </si>
  <si>
    <t>SONI MEDICARE LIMITED</t>
  </si>
  <si>
    <t>INE848R01018</t>
  </si>
  <si>
    <t>SML</t>
  </si>
  <si>
    <t>J.K.PHARMACHEM LTD.</t>
  </si>
  <si>
    <t>INE335C01018</t>
  </si>
  <si>
    <t>JKPHARMA</t>
  </si>
  <si>
    <t>SHREE BHAWANI PAPER MILLS LTD.,</t>
  </si>
  <si>
    <t>INE688C01010</t>
  </si>
  <si>
    <t>SHBHAWPA</t>
  </si>
  <si>
    <t>ACE SOFTWARE EXPORTS LTD.</t>
  </si>
  <si>
    <t>INE849B01010</t>
  </si>
  <si>
    <t>ACESOFT</t>
  </si>
  <si>
    <t>INE410E01015</t>
  </si>
  <si>
    <t>MCLTD</t>
  </si>
  <si>
    <t>MISQUITA ENGINEERING LIMITED</t>
  </si>
  <si>
    <t>INE957W01025</t>
  </si>
  <si>
    <t>MISQUITA</t>
  </si>
  <si>
    <t>MARMAGOA STEELS LTD.,</t>
  </si>
  <si>
    <t>INE698E01023</t>
  </si>
  <si>
    <t>MRMGAST</t>
  </si>
  <si>
    <t>SUPERTEX INDUSTRIES LTD</t>
  </si>
  <si>
    <t>INE881B01054</t>
  </si>
  <si>
    <t>SUPERTEX</t>
  </si>
  <si>
    <t>LEEL ELECTRICALS LIMITED</t>
  </si>
  <si>
    <t>INE245C01019</t>
  </si>
  <si>
    <t>LEEL</t>
  </si>
  <si>
    <t>TIMES GREEN ENERGY (INDIA) LIMITED</t>
  </si>
  <si>
    <t>INE0B6101012</t>
  </si>
  <si>
    <t>TIMESGREEN</t>
  </si>
  <si>
    <t>RGF CAPITAL MARKETS LIMITED</t>
  </si>
  <si>
    <t>INE684D01025</t>
  </si>
  <si>
    <t>RGF</t>
  </si>
  <si>
    <t>SEASONS TEXTILES LTD</t>
  </si>
  <si>
    <t>INE707B01010</t>
  </si>
  <si>
    <t>SEASONST</t>
  </si>
  <si>
    <t>INDIA LEASE DEVL. LTD.,</t>
  </si>
  <si>
    <t>INE333C01013</t>
  </si>
  <si>
    <t>INDLEASE</t>
  </si>
  <si>
    <t>INE226G01010</t>
  </si>
  <si>
    <t>IIEL</t>
  </si>
  <si>
    <t>INE077D01014</t>
  </si>
  <si>
    <t>ISCCL</t>
  </si>
  <si>
    <t>INE507L01021</t>
  </si>
  <si>
    <t>KIRTIINV</t>
  </si>
  <si>
    <t>MAHAAN FOODS LTD.</t>
  </si>
  <si>
    <t>INE734D01010</t>
  </si>
  <si>
    <t>MAHAANF</t>
  </si>
  <si>
    <t>INE320V01010</t>
  </si>
  <si>
    <t>ROBERT</t>
  </si>
  <si>
    <t>INE0L3501015</t>
  </si>
  <si>
    <t>HEALTHYLIFE</t>
  </si>
  <si>
    <t>PURSHOTTAM INVESTOFIN LIMITED</t>
  </si>
  <si>
    <t>INE729C01020</t>
  </si>
  <si>
    <t>PURSHOTTAM</t>
  </si>
  <si>
    <t>JIYA ECO-PRODUCTS LIMITED</t>
  </si>
  <si>
    <t>INE023S01016</t>
  </si>
  <si>
    <t>JIYAECO</t>
  </si>
  <si>
    <t>MAC HOTELS LIMITED</t>
  </si>
  <si>
    <t>INE004Z01011</t>
  </si>
  <si>
    <t>MACH</t>
  </si>
  <si>
    <t>ELLORA PAPER MILLS LTD.,</t>
  </si>
  <si>
    <t>INE384H01023</t>
  </si>
  <si>
    <t>ELLOPAP</t>
  </si>
  <si>
    <t>INANI SECURITIES LTD.</t>
  </si>
  <si>
    <t>INE224C01014</t>
  </si>
  <si>
    <t>INANISEC</t>
  </si>
  <si>
    <t>SANKHYA INFOTECH LTD.</t>
  </si>
  <si>
    <t>INE877A01013</t>
  </si>
  <si>
    <t>SANKHYAIN</t>
  </si>
  <si>
    <t>AVASARA FINANCE LIMITED</t>
  </si>
  <si>
    <t>INE759D01017</t>
  </si>
  <si>
    <t>AVASARA</t>
  </si>
  <si>
    <t>RISHABH DIGHA STEEL AND ALLIED PROD</t>
  </si>
  <si>
    <t>INE864D01015</t>
  </si>
  <si>
    <t>RISHDIGA</t>
  </si>
  <si>
    <t>BERYL SECURITIES LTD</t>
  </si>
  <si>
    <t>INE508J01015</t>
  </si>
  <si>
    <t>BERYLSE</t>
  </si>
  <si>
    <t>SHIVAGRICO IMPLEMENTS LTD.</t>
  </si>
  <si>
    <t>INE092H01014</t>
  </si>
  <si>
    <t>SHIVAGR</t>
  </si>
  <si>
    <t>INE128R01023</t>
  </si>
  <si>
    <t>KRETTOSYS</t>
  </si>
  <si>
    <t>INE164D01010</t>
  </si>
  <si>
    <t>VUENOW</t>
  </si>
  <si>
    <t>SAIANAND COMMERCIAL LIMITED</t>
  </si>
  <si>
    <t>INE092G01024</t>
  </si>
  <si>
    <t>SAICOM</t>
  </si>
  <si>
    <t>INE0KHQ01010</t>
  </si>
  <si>
    <t>SAILANI</t>
  </si>
  <si>
    <t>INE089B01013</t>
  </si>
  <si>
    <t>STEADFAST</t>
  </si>
  <si>
    <t>MEHTA INTEGRATED FINANCE LTD.</t>
  </si>
  <si>
    <t>INE240B01012</t>
  </si>
  <si>
    <t>MEHIF</t>
  </si>
  <si>
    <t>ORIENT TRADELINK LTD.</t>
  </si>
  <si>
    <t>INE681D01039</t>
  </si>
  <si>
    <t>ORIENTTR</t>
  </si>
  <si>
    <t>JACKSON INVESTMENTS LIMITED</t>
  </si>
  <si>
    <t>INE508N01025</t>
  </si>
  <si>
    <t>JACKSON</t>
  </si>
  <si>
    <t>PHOTON CAPITAL ADVISORS LTD</t>
  </si>
  <si>
    <t>INE107J01016</t>
  </si>
  <si>
    <t>PHOTON</t>
  </si>
  <si>
    <t>MINOLTA FINANCE LTD.</t>
  </si>
  <si>
    <t>INE514C01018</t>
  </si>
  <si>
    <t>MINOLTAF</t>
  </si>
  <si>
    <t>INE178W01010</t>
  </si>
  <si>
    <t>VISISTH</t>
  </si>
  <si>
    <t>INE454E01013</t>
  </si>
  <si>
    <t>ABATEAS</t>
  </si>
  <si>
    <t>NET PIX SHORTS DIGITAL MEDIA LIMITED</t>
  </si>
  <si>
    <t>INE0D5F01013</t>
  </si>
  <si>
    <t>NETPIX</t>
  </si>
  <si>
    <t>S.I.CAPITAL AND FINANCIAL SERVICES</t>
  </si>
  <si>
    <t>INE417F01017</t>
  </si>
  <si>
    <t>SICAPIT</t>
  </si>
  <si>
    <t>R.J. SHAH &amp; CO. LTD.,</t>
  </si>
  <si>
    <t>INE712Z01019</t>
  </si>
  <si>
    <t>RJSHAH</t>
  </si>
  <si>
    <t>BERYL DRUGS LTD.</t>
  </si>
  <si>
    <t>INE415H01017</t>
  </si>
  <si>
    <t>BERLDRG</t>
  </si>
  <si>
    <t>INE368H01018</t>
  </si>
  <si>
    <t>INE565D01018</t>
  </si>
  <si>
    <t>DEEPJYOTI</t>
  </si>
  <si>
    <t>SUVIDHA INFRAESTATE CORPORATION LIMITED</t>
  </si>
  <si>
    <t>INE936N01010</t>
  </si>
  <si>
    <t>SICL</t>
  </si>
  <si>
    <t>ABHISHEK FINLEASE LIMITED</t>
  </si>
  <si>
    <t>INE723C01015</t>
  </si>
  <si>
    <t>ABHIFIN</t>
  </si>
  <si>
    <t>INE325P01011</t>
  </si>
  <si>
    <t>STELLAR</t>
  </si>
  <si>
    <t>INE418F01015</t>
  </si>
  <si>
    <t>SSF</t>
  </si>
  <si>
    <t>INE647W01014</t>
  </si>
  <si>
    <t>SHARPLINE</t>
  </si>
  <si>
    <t>INE603U01011</t>
  </si>
  <si>
    <t>BASANT</t>
  </si>
  <si>
    <t>PHOTOQUIP INDIA LTD.</t>
  </si>
  <si>
    <t>INE813B01016</t>
  </si>
  <si>
    <t>PHOTOQUP</t>
  </si>
  <si>
    <t>SHAH FOODS LTD</t>
  </si>
  <si>
    <t>INE455D01012</t>
  </si>
  <si>
    <t>SHAHFOOD</t>
  </si>
  <si>
    <t>UNITED LEASING &amp; INDUSTRIES LTD</t>
  </si>
  <si>
    <t>INE357P01014</t>
  </si>
  <si>
    <t>UNTTEMI</t>
  </si>
  <si>
    <t>INE272G01014</t>
  </si>
  <si>
    <t>PARLEIND</t>
  </si>
  <si>
    <t>AMALGAMATED ELECTRICITY CO. LTD.,</t>
  </si>
  <si>
    <t>INE492N01022</t>
  </si>
  <si>
    <t>AMALGAM</t>
  </si>
  <si>
    <t>ABHINAV LEASING &amp; FINANCE LIMITED</t>
  </si>
  <si>
    <t>INE211D01027</t>
  </si>
  <si>
    <t>ALFL</t>
  </si>
  <si>
    <t>INDO-GLOBAL ENTERPRISES LIMITED</t>
  </si>
  <si>
    <t>INE400S01016</t>
  </si>
  <si>
    <t>INDOGLOBAL</t>
  </si>
  <si>
    <t>LIBORD FINANCE LIMITED</t>
  </si>
  <si>
    <t>INE212B01011</t>
  </si>
  <si>
    <t>LIBORDFIN</t>
  </si>
  <si>
    <t>SIGRUN HOLDINGS LIMITED</t>
  </si>
  <si>
    <t>INE633D01022</t>
  </si>
  <si>
    <t>SIGRUN</t>
  </si>
  <si>
    <t>SAWACA BUSINESS MACHINES LTD.</t>
  </si>
  <si>
    <t>INE248B01023</t>
  </si>
  <si>
    <t>SAWABUSI</t>
  </si>
  <si>
    <t>BHARAT BHUSHAN SHARE &amp; COMMODITY BROKERS LTD.</t>
  </si>
  <si>
    <t>INE900A01013</t>
  </si>
  <si>
    <t>GALLOPS ENTERPRISE  LIMITED</t>
  </si>
  <si>
    <t>INE755J01012</t>
  </si>
  <si>
    <t>GALLOPENT</t>
  </si>
  <si>
    <t>GCM CAPITAL ADVISORS LIMITED</t>
  </si>
  <si>
    <t>INE191P01017</t>
  </si>
  <si>
    <t>GCMCAPI</t>
  </si>
  <si>
    <t>INE432N01010</t>
  </si>
  <si>
    <t>BHUDEVI</t>
  </si>
  <si>
    <t>INE919T01013</t>
  </si>
  <si>
    <t>JLL</t>
  </si>
  <si>
    <t>MIDWEST GOLD LTD</t>
  </si>
  <si>
    <t>INE519N01014</t>
  </si>
  <si>
    <t>MIDWEST</t>
  </si>
  <si>
    <t>BHARATI DEFENCE AND INFRASTRUCTURE LTD</t>
  </si>
  <si>
    <t>INE673G01013</t>
  </si>
  <si>
    <t>BHARATIDIL</t>
  </si>
  <si>
    <t>RAUNAQ EPC INTERNATIONAL LIMITED</t>
  </si>
  <si>
    <t>INE523K01012</t>
  </si>
  <si>
    <t>RAUNAQEPC</t>
  </si>
  <si>
    <t>TOKYO FINANCE LTD.</t>
  </si>
  <si>
    <t>INE546D01018</t>
  </si>
  <si>
    <t>TOKYOFIN</t>
  </si>
  <si>
    <t>KAY POWER AND PAPER LTD</t>
  </si>
  <si>
    <t>INE961B01013</t>
  </si>
  <si>
    <t>KAYPOWR</t>
  </si>
  <si>
    <t>PARENTERAL DRUG (INDIA) LTD.</t>
  </si>
  <si>
    <t>INE904D01019</t>
  </si>
  <si>
    <t>PARENTLD</t>
  </si>
  <si>
    <t>LIPPI SYSTEMS LTD.</t>
  </si>
  <si>
    <t>INE845B01018</t>
  </si>
  <si>
    <t>LIPPISYS</t>
  </si>
  <si>
    <t>FRONTIER CAPITAL LIMITED</t>
  </si>
  <si>
    <t>INE977E01013</t>
  </si>
  <si>
    <t>FRONTCAP</t>
  </si>
  <si>
    <t>VCU DATA MANAGEMENT LIMITED</t>
  </si>
  <si>
    <t>INE962O01014</t>
  </si>
  <si>
    <t>VCU</t>
  </si>
  <si>
    <t>MANBRO INDUSTRIES LIMITED</t>
  </si>
  <si>
    <t>INE348N01034</t>
  </si>
  <si>
    <t>MANBRO</t>
  </si>
  <si>
    <t>INE237S01012</t>
  </si>
  <si>
    <t>SAMYAK</t>
  </si>
  <si>
    <t>RISA INTERNATIONAL LIMITED</t>
  </si>
  <si>
    <t>INE001O01029</t>
  </si>
  <si>
    <t>RISAINTL</t>
  </si>
  <si>
    <t>TARAI FOODS LTD.</t>
  </si>
  <si>
    <t>INE906C01016</t>
  </si>
  <si>
    <t>TARAI</t>
  </si>
  <si>
    <t>CAMSON BIO TECHNOLOGIES LTD</t>
  </si>
  <si>
    <t>INE845E01012</t>
  </si>
  <si>
    <t>CAMSONBIO</t>
  </si>
  <si>
    <t>VSD CONFIN LTD.</t>
  </si>
  <si>
    <t>INE489F01016</t>
  </si>
  <si>
    <t>VSDCONF</t>
  </si>
  <si>
    <t>COLINZ LABORATORIES LTD.</t>
  </si>
  <si>
    <t>INE923C01011</t>
  </si>
  <si>
    <t>COLINZ</t>
  </si>
  <si>
    <t>TRIDENT TOOLS LIMITED</t>
  </si>
  <si>
    <t>INE179D01018</t>
  </si>
  <si>
    <t>TRIDETOOL</t>
  </si>
  <si>
    <t>MILLENNIUM ONLINE SOLUTIONS (INDIA) LTD</t>
  </si>
  <si>
    <t>INE570N01025</t>
  </si>
  <si>
    <t>MILLENNIUM</t>
  </si>
  <si>
    <t>TAMILNADU STEEL TUBES LTD.</t>
  </si>
  <si>
    <t>INE176E01012</t>
  </si>
  <si>
    <t>TNSTLTU</t>
  </si>
  <si>
    <t>INE305D01019</t>
  </si>
  <si>
    <t>SARUPINDUS</t>
  </si>
  <si>
    <t>AMRAWORLD AGRICO LTD.</t>
  </si>
  <si>
    <t>INE735C01027</t>
  </si>
  <si>
    <t>AMRAAGRI</t>
  </si>
  <si>
    <t>AHMEDABAD STEELCRAFT LTD.</t>
  </si>
  <si>
    <t>INE868C01018</t>
  </si>
  <si>
    <t>AHMDSTE</t>
  </si>
  <si>
    <t>ASIAN WAREHOUSING LIMITED</t>
  </si>
  <si>
    <t>INE04Z101016</t>
  </si>
  <si>
    <t>ASIAN</t>
  </si>
  <si>
    <t>INE276T01018</t>
  </si>
  <si>
    <t>ADLINE</t>
  </si>
  <si>
    <t>JHANDEWALAS FOODS LIMITED</t>
  </si>
  <si>
    <t>INE841Y01019</t>
  </si>
  <si>
    <t>JFL</t>
  </si>
  <si>
    <t>DUKE OFFSHORE LTD.</t>
  </si>
  <si>
    <t>INE397G01019</t>
  </si>
  <si>
    <t>DUKEOFS</t>
  </si>
  <si>
    <t>DECCAN BEARINGS LTD.,</t>
  </si>
  <si>
    <t>INE498D01012</t>
  </si>
  <si>
    <t>DECANBRG</t>
  </si>
  <si>
    <t>AAYUSH FOOD AND HERBS LIMITED</t>
  </si>
  <si>
    <t>INE430R01015</t>
  </si>
  <si>
    <t xml:space="preserve">AAYUSH </t>
  </si>
  <si>
    <t>AAYUSH</t>
  </si>
  <si>
    <t>KUWER INDUSTRIES LTD.</t>
  </si>
  <si>
    <t>INE430F01010</t>
  </si>
  <si>
    <t>KUWERIN</t>
  </si>
  <si>
    <t>MIVEN MACHINE TOOLS LTD.</t>
  </si>
  <si>
    <t>INE338P01014</t>
  </si>
  <si>
    <t>MIVENMACH</t>
  </si>
  <si>
    <t>MUKAT PIPES LIMITED</t>
  </si>
  <si>
    <t>INE862C01029</t>
  </si>
  <si>
    <t>MUKATPIP</t>
  </si>
  <si>
    <t>UNITY INFRAPROJECTS LIMITED</t>
  </si>
  <si>
    <t>INE466H01028</t>
  </si>
  <si>
    <t>UNITY</t>
  </si>
  <si>
    <t>TREND ELECTRONICS LIMITED</t>
  </si>
  <si>
    <t>INE219F01017</t>
  </si>
  <si>
    <t>TRENDELEC</t>
  </si>
  <si>
    <t>PASARI SPINNING MILLS LTD.</t>
  </si>
  <si>
    <t>INE604F01010</t>
  </si>
  <si>
    <t>PASARI</t>
  </si>
  <si>
    <t>ABC GAS (INTERNATIONAL) LTD.</t>
  </si>
  <si>
    <t>INE173M01012</t>
  </si>
  <si>
    <t>ABCGAS</t>
  </si>
  <si>
    <t>VIRGO GLOBAL LIMITED</t>
  </si>
  <si>
    <t>INE400B01020</t>
  </si>
  <si>
    <t>VIRGOGLOB</t>
  </si>
  <si>
    <t>STERLING POWERGENSYS LIMITED</t>
  </si>
  <si>
    <t>INE067E01013</t>
  </si>
  <si>
    <t>STERPOW</t>
  </si>
  <si>
    <t>RESURGERE MINES &amp; MINERALS INDIA LIMITED</t>
  </si>
  <si>
    <t>INE774I01031</t>
  </si>
  <si>
    <t>RMMIL</t>
  </si>
  <si>
    <t>INE195F01019</t>
  </si>
  <si>
    <t>SELLWIN</t>
  </si>
  <si>
    <t>INE321F01011</t>
  </si>
  <si>
    <t>JAGAT</t>
  </si>
  <si>
    <t>UNITED INTERACTIVE LIMITED</t>
  </si>
  <si>
    <t>INE706D01018</t>
  </si>
  <si>
    <t>UNITEDINT</t>
  </si>
  <si>
    <t>KOTIA ENTERPRISES LIMITED</t>
  </si>
  <si>
    <t>INE079C01012</t>
  </si>
  <si>
    <t>KEL</t>
  </si>
  <si>
    <t>DALAL STREET INVESTMENTS LTD.,</t>
  </si>
  <si>
    <t>INE422D01012</t>
  </si>
  <si>
    <t>DSINVEST</t>
  </si>
  <si>
    <t>TAVERNIER RESOURCES LIMITED</t>
  </si>
  <si>
    <t>INE355H01015</t>
  </si>
  <si>
    <t>TAVERNIER</t>
  </si>
  <si>
    <t>STONE INDIA LTD.,</t>
  </si>
  <si>
    <t>INE290C01015</t>
  </si>
  <si>
    <t>STONEIN</t>
  </si>
  <si>
    <t>KASHYAP TELE-MEDICINES LIMITED</t>
  </si>
  <si>
    <t>INE108B01029</t>
  </si>
  <si>
    <t>KASHYAP</t>
  </si>
  <si>
    <t>CUBICAL FINANCIAL SERVICES LTD.</t>
  </si>
  <si>
    <t>INE717D01023</t>
  </si>
  <si>
    <t>CUBIFIN</t>
  </si>
  <si>
    <t>INE147E01013</t>
  </si>
  <si>
    <t>CRESCENT</t>
  </si>
  <si>
    <t>CONFIDENCE FINANCE AND TRADING LIMITED</t>
  </si>
  <si>
    <t>INE180M01033</t>
  </si>
  <si>
    <t>CONFINT</t>
  </si>
  <si>
    <t>INE699F01010</t>
  </si>
  <si>
    <t>HARDOLI</t>
  </si>
  <si>
    <t>SVARAJ TRADING &amp; AGENCIES LTD.,</t>
  </si>
  <si>
    <t>INE406N01014</t>
  </si>
  <si>
    <t>ZSVARAJT</t>
  </si>
  <si>
    <t>INE537B01011</t>
  </si>
  <si>
    <t>CONSTRONIC</t>
  </si>
  <si>
    <t>GOLECHHA GLOBAL FINANCE LTD.</t>
  </si>
  <si>
    <t>INE427D01011</t>
  </si>
  <si>
    <t>GOLECHA</t>
  </si>
  <si>
    <t>NIJJER AGRO FOOD LTD.</t>
  </si>
  <si>
    <t>INE847B01014</t>
  </si>
  <si>
    <t>NIJJER</t>
  </si>
  <si>
    <t>JAMES HOTELS LTD.</t>
  </si>
  <si>
    <t>INE510D01014</t>
  </si>
  <si>
    <t>JAMEHOT</t>
  </si>
  <si>
    <t>ALLIED COMPUTERS INTERNATIONAL (ASIA) LIMITED</t>
  </si>
  <si>
    <t>INE335I01056</t>
  </si>
  <si>
    <t>ACIASIA</t>
  </si>
  <si>
    <t>SYMBIOX INVESTMENT &amp; TRADING CO. LTD.</t>
  </si>
  <si>
    <t>INE653R01012</t>
  </si>
  <si>
    <t xml:space="preserve">SYMBIOX </t>
  </si>
  <si>
    <t>SYMBIOX</t>
  </si>
  <si>
    <t>RANDER CORPORATION LTD.</t>
  </si>
  <si>
    <t>INE821D01031</t>
  </si>
  <si>
    <t>RANDER</t>
  </si>
  <si>
    <t>JYOTIRGAMYA ENTERPRISES LIMITED</t>
  </si>
  <si>
    <t>INE805R01018</t>
  </si>
  <si>
    <t>JEL</t>
  </si>
  <si>
    <t>MEHTA SECURITIES LTD.</t>
  </si>
  <si>
    <t>INE241B01010</t>
  </si>
  <si>
    <t>MEHSECU</t>
  </si>
  <si>
    <t>SUN RETAIL LIMITED</t>
  </si>
  <si>
    <t>INE206Z01020</t>
  </si>
  <si>
    <t>SUNRETAIL</t>
  </si>
  <si>
    <t>JONJUA OVERSEAS LIMITED</t>
  </si>
  <si>
    <t>INE793Z01027</t>
  </si>
  <si>
    <t>JONJUA</t>
  </si>
  <si>
    <t>NOUVEAU GLOBAL VENTURES LIMITED</t>
  </si>
  <si>
    <t>INE317B01042</t>
  </si>
  <si>
    <t>NOUVEAU</t>
  </si>
  <si>
    <t>GUJARAT INVESTA LTD.,</t>
  </si>
  <si>
    <t>INE373D01017</t>
  </si>
  <si>
    <t>GUJINV</t>
  </si>
  <si>
    <t>NARAINGARH SUGAR MILLS LTD.</t>
  </si>
  <si>
    <t>INE491E01015</t>
  </si>
  <si>
    <t>NARSM</t>
  </si>
  <si>
    <t>INE457H01027</t>
  </si>
  <si>
    <t>SIMPLXMIL</t>
  </si>
  <si>
    <t>OCTAL CREDIT CAPITAL LTD.</t>
  </si>
  <si>
    <t>INE513C01010</t>
  </si>
  <si>
    <t>OCTAL</t>
  </si>
  <si>
    <t>VASUDHAGAMA ENTERPRISES LIMITED</t>
  </si>
  <si>
    <t>INE583K01016</t>
  </si>
  <si>
    <t>VASUDHAGAM</t>
  </si>
  <si>
    <t>INE181C01016</t>
  </si>
  <si>
    <t>UPAL</t>
  </si>
  <si>
    <t>INE509T01012</t>
  </si>
  <si>
    <t>SHAKUMBHRI</t>
  </si>
  <si>
    <t>SHREE MANUFACTURING CO. LTD.,</t>
  </si>
  <si>
    <t>INE632A01012</t>
  </si>
  <si>
    <t>SHRMFGC</t>
  </si>
  <si>
    <t>VXL INSTRUMENTS LTD.</t>
  </si>
  <si>
    <t>INE756A01019</t>
  </si>
  <si>
    <t>VXLINSTR</t>
  </si>
  <si>
    <t>UNIMERS INDIA LTD.</t>
  </si>
  <si>
    <t>INE980B01039</t>
  </si>
  <si>
    <t>UNIMERQ</t>
  </si>
  <si>
    <t>LORDS ISHWAR HOTELS LIMITED</t>
  </si>
  <si>
    <t>INE689J01013</t>
  </si>
  <si>
    <t>LORDSHOTL</t>
  </si>
  <si>
    <t>RICH UNIVERSE NETWORK LTD</t>
  </si>
  <si>
    <t>INE652D01014</t>
  </si>
  <si>
    <t>RICHUNV</t>
  </si>
  <si>
    <t>NPR FINANCE LTD.</t>
  </si>
  <si>
    <t>INE446D01011</t>
  </si>
  <si>
    <t>NPRFIN</t>
  </si>
  <si>
    <t>INE146D01017</t>
  </si>
  <si>
    <t>RADICOFIN</t>
  </si>
  <si>
    <t>MADHUSUDAN SECURITIES LTD</t>
  </si>
  <si>
    <t>INE856D01011</t>
  </si>
  <si>
    <t>MADHUSE</t>
  </si>
  <si>
    <t>SHRI BHOLANATH CARPETS LIMITED</t>
  </si>
  <si>
    <t>INE151F01012</t>
  </si>
  <si>
    <t>SHRIBCL</t>
  </si>
  <si>
    <t>ANJANI FINANCE LTD</t>
  </si>
  <si>
    <t>INE283D01018</t>
  </si>
  <si>
    <t>ANJANIFIN</t>
  </si>
  <si>
    <t>VKJ INFRADEVELOPERS LIMITED</t>
  </si>
  <si>
    <t>INE211P01021</t>
  </si>
  <si>
    <t>VKJINFRA</t>
  </si>
  <si>
    <t>INE250S01015</t>
  </si>
  <si>
    <t>MEAPL</t>
  </si>
  <si>
    <t>AVON MERCANTILE LTD.</t>
  </si>
  <si>
    <t>INE471D01019</t>
  </si>
  <si>
    <t>AVONMERC</t>
  </si>
  <si>
    <t>UNITED CREDIT LTD.</t>
  </si>
  <si>
    <t>INE858C01027</t>
  </si>
  <si>
    <t>UNITDCR</t>
  </si>
  <si>
    <t>CHADHA PAPERS LTD.</t>
  </si>
  <si>
    <t>INE669W01018</t>
  </si>
  <si>
    <t>CHADPAP</t>
  </si>
  <si>
    <t>VALUE INDUSTRIES LIMITED</t>
  </si>
  <si>
    <t>INE352A01017</t>
  </si>
  <si>
    <t>VALUEIND</t>
  </si>
  <si>
    <t>KUSH INDUSTRIES LIMITED</t>
  </si>
  <si>
    <t>INE979D01011</t>
  </si>
  <si>
    <t>KUSHIND</t>
  </si>
  <si>
    <t>BHAGWATI OXYGEN LTD.,</t>
  </si>
  <si>
    <t>INE026I01010</t>
  </si>
  <si>
    <t>BHAGWOX</t>
  </si>
  <si>
    <t>SURYACHAKRA POWER CORPORATION LTD.</t>
  </si>
  <si>
    <t>INE274I01016</t>
  </si>
  <si>
    <t>SURYACHAKRA</t>
  </si>
  <si>
    <t>TAAZA INTERNATIONAL LIMITED</t>
  </si>
  <si>
    <t>INE392H01018</t>
  </si>
  <si>
    <t>TAAZAINT</t>
  </si>
  <si>
    <t>FLORA CORPORATION LIMITED</t>
  </si>
  <si>
    <t>INE318U01016</t>
  </si>
  <si>
    <t>FLORACORP</t>
  </si>
  <si>
    <t>JOY REALTY LIMITED</t>
  </si>
  <si>
    <t>INE433O01024</t>
  </si>
  <si>
    <t>JOYREALTY</t>
  </si>
  <si>
    <t>NAVIGANT CORPORATE ADVISORS LIMITED</t>
  </si>
  <si>
    <t>INE364T01012</t>
  </si>
  <si>
    <t>NAVIGANT</t>
  </si>
  <si>
    <t>INE444X01014</t>
  </si>
  <si>
    <t>MOUNT</t>
  </si>
  <si>
    <t>RAMSONS PROJECTS LTD.</t>
  </si>
  <si>
    <t>INE609D01014</t>
  </si>
  <si>
    <t>RAMSONS</t>
  </si>
  <si>
    <t>NAGARJUNA AGRITECH LTD.</t>
  </si>
  <si>
    <t>INE793H01017</t>
  </si>
  <si>
    <t>NAGTECH</t>
  </si>
  <si>
    <t>INDO-CITY INFOTECH LTD.</t>
  </si>
  <si>
    <t>INE456B01014</t>
  </si>
  <si>
    <t>INDOCITY</t>
  </si>
  <si>
    <t>CHD DEVELOPERS LTD</t>
  </si>
  <si>
    <t>INE659B01021</t>
  </si>
  <si>
    <t>CHDDLTD</t>
  </si>
  <si>
    <t>GLITTEK GRANITES LTD.</t>
  </si>
  <si>
    <t>INE741B01027</t>
  </si>
  <si>
    <t>GLITTEKG</t>
  </si>
  <si>
    <t>SPICE ISLANDS APPARELS LTD.</t>
  </si>
  <si>
    <t>INE882D01017</t>
  </si>
  <si>
    <t>SPICEISL</t>
  </si>
  <si>
    <t>TASHI INDIA LTD.</t>
  </si>
  <si>
    <t>INE552H01017</t>
  </si>
  <si>
    <t>TASHIND</t>
  </si>
  <si>
    <t>INE050S01019</t>
  </si>
  <si>
    <t>CREMICA</t>
  </si>
  <si>
    <t>SC AGROTECH LIMITED</t>
  </si>
  <si>
    <t>INE895E01017</t>
  </si>
  <si>
    <t>SCAGRO</t>
  </si>
  <si>
    <t>EURO LEDER FASHION LTD.</t>
  </si>
  <si>
    <t>INE940E01011</t>
  </si>
  <si>
    <t>EUROLED</t>
  </si>
  <si>
    <t>ASIA PACK LTD.</t>
  </si>
  <si>
    <t>INE784M01016</t>
  </si>
  <si>
    <t>ASIAPAK</t>
  </si>
  <si>
    <t>INE198N01017</t>
  </si>
  <si>
    <t>CDG</t>
  </si>
  <si>
    <t>INE316O01021</t>
  </si>
  <si>
    <t>APIL</t>
  </si>
  <si>
    <t>BINDAL EXPORTS LIMITED</t>
  </si>
  <si>
    <t>INE564V01013</t>
  </si>
  <si>
    <t>BINDALEXPO</t>
  </si>
  <si>
    <t>PRABHU STEEL INDUSTRIES LTD.,</t>
  </si>
  <si>
    <t>INE821R01015</t>
  </si>
  <si>
    <t>ZPRBHSTE</t>
  </si>
  <si>
    <t>MILESTONE GLOBAL LIMITED</t>
  </si>
  <si>
    <t>INE151H01018</t>
  </si>
  <si>
    <t>MILESTONE</t>
  </si>
  <si>
    <t>SUBHASH SILK MILLS LTD.</t>
  </si>
  <si>
    <t>INE690D01014</t>
  </si>
  <si>
    <t>SUBSM</t>
  </si>
  <si>
    <t>KONARK SYNTHETICS  LTD</t>
  </si>
  <si>
    <t>INE517D01019</t>
  </si>
  <si>
    <t>KONARKSY</t>
  </si>
  <si>
    <t>ANS LIMITED</t>
  </si>
  <si>
    <t>INE234J01018</t>
  </si>
  <si>
    <t>ANSINDUS</t>
  </si>
  <si>
    <t>ALKA SECURITIES LTD.</t>
  </si>
  <si>
    <t>INE921C01031</t>
  </si>
  <si>
    <t>ALKASEC</t>
  </si>
  <si>
    <t>TRANSPACT ENTERPRISES LIMITED</t>
  </si>
  <si>
    <t>INE06YD01010</t>
  </si>
  <si>
    <t>TRANSPACT</t>
  </si>
  <si>
    <t>PEETI SECURITIES LTD.</t>
  </si>
  <si>
    <t>INE328D01011</t>
  </si>
  <si>
    <t>PEETISEC</t>
  </si>
  <si>
    <t>INE786E01018</t>
  </si>
  <si>
    <t>IITLPROJ</t>
  </si>
  <si>
    <t>INE138S01012</t>
  </si>
  <si>
    <t>HILLRIDGE</t>
  </si>
  <si>
    <t>SUDAL INDUSTRIES LIMITED</t>
  </si>
  <si>
    <t>INE618D01015</t>
  </si>
  <si>
    <t>SUDAI</t>
  </si>
  <si>
    <t>INE239V01012</t>
  </si>
  <si>
    <t>OEGIL</t>
  </si>
  <si>
    <t>INE655P01029</t>
  </si>
  <si>
    <t>PANAFIC</t>
  </si>
  <si>
    <t>TRANWAY TECHNOLOGIES LIMITED</t>
  </si>
  <si>
    <t>INE0BIW01023</t>
  </si>
  <si>
    <t>TRANWAY</t>
  </si>
  <si>
    <t>INE936V01013</t>
  </si>
  <si>
    <t>RANJANPOLY</t>
  </si>
  <si>
    <t>SANTOSH FINE-FAB LTD.</t>
  </si>
  <si>
    <t>INE612D01018</t>
  </si>
  <si>
    <t>SANTOSHF</t>
  </si>
  <si>
    <t>DELTA INDUSTRIAL RESOURCES LIMITED</t>
  </si>
  <si>
    <t>INE681Q01015</t>
  </si>
  <si>
    <t>DELTA</t>
  </si>
  <si>
    <t>HINDUSTAN APPLIANCES LTD</t>
  </si>
  <si>
    <t>INE02XD01011</t>
  </si>
  <si>
    <t>HINDAPL</t>
  </si>
  <si>
    <t>SHOORA DESIGNS LIMITED</t>
  </si>
  <si>
    <t>INE0OJZ01019</t>
  </si>
  <si>
    <t>SHOORA</t>
  </si>
  <si>
    <t>SITA ENTERPRISES LTD.</t>
  </si>
  <si>
    <t>INE579D01019</t>
  </si>
  <si>
    <t>SITAENT</t>
  </si>
  <si>
    <t>BANGALORE FORT FARMS LIMITED</t>
  </si>
  <si>
    <t>INE578R01011</t>
  </si>
  <si>
    <t>BFFL</t>
  </si>
  <si>
    <t>RETRO GREEN REVOLUTION LIMITED</t>
  </si>
  <si>
    <t>INE601N01010</t>
  </si>
  <si>
    <t>RGRL</t>
  </si>
  <si>
    <t>INE611C01020</t>
  </si>
  <si>
    <t>IMEC</t>
  </si>
  <si>
    <t>KKALPANA PLASTICK LIMITED</t>
  </si>
  <si>
    <t>INE465K01016</t>
  </si>
  <si>
    <t>KKPLASTICK</t>
  </si>
  <si>
    <t>AA PLUS TRADELINK LIMITED</t>
  </si>
  <si>
    <t>INE0C5901014</t>
  </si>
  <si>
    <t>AAPLUSTRAD</t>
  </si>
  <si>
    <t>ANKA INDIA LTD.</t>
  </si>
  <si>
    <t>INE067C01025</t>
  </si>
  <si>
    <t>ANKIN</t>
  </si>
  <si>
    <t>A.F. ENTERPRISES LIMITED</t>
  </si>
  <si>
    <t>INE663P01015</t>
  </si>
  <si>
    <t>AFEL</t>
  </si>
  <si>
    <t>RAMASIGNS INDUSTRIES LIMITED</t>
  </si>
  <si>
    <t>INE650D01026</t>
  </si>
  <si>
    <t>RAMASIGNS</t>
  </si>
  <si>
    <t>JD ORGOCHEM LTD.</t>
  </si>
  <si>
    <t>INE263B01022</t>
  </si>
  <si>
    <t>JDORGOCHEM</t>
  </si>
  <si>
    <t>LWS KNITWEAR LTD</t>
  </si>
  <si>
    <t>INE281M01013</t>
  </si>
  <si>
    <t>LWSKNIT</t>
  </si>
  <si>
    <t>INE873S01022</t>
  </si>
  <si>
    <t>MUZALI</t>
  </si>
  <si>
    <t>DHANADA CORPORATIN LIMITED</t>
  </si>
  <si>
    <t>INE041F01015</t>
  </si>
  <si>
    <t>DHANADACO</t>
  </si>
  <si>
    <t>DQ ENTERTAINMENT (INTERNATIONAL) LIMITED</t>
  </si>
  <si>
    <t>INE656K01010</t>
  </si>
  <si>
    <t>DQE</t>
  </si>
  <si>
    <t>INE273R01019</t>
  </si>
  <si>
    <t>GDHL</t>
  </si>
  <si>
    <t>BLOOM DEKOR LTD.</t>
  </si>
  <si>
    <t>INE253C01013</t>
  </si>
  <si>
    <t>BLOOM</t>
  </si>
  <si>
    <t>GOWRA LEASING &amp; FINANCE LTD.</t>
  </si>
  <si>
    <t>INE225G01012</t>
  </si>
  <si>
    <t>GOWRALE</t>
  </si>
  <si>
    <t>GARWARE SYNTHETICS LTD.</t>
  </si>
  <si>
    <t>INE340D01016</t>
  </si>
  <si>
    <t>GARWSYN</t>
  </si>
  <si>
    <t>INE345U01019</t>
  </si>
  <si>
    <t>AMS</t>
  </si>
  <si>
    <t>KORE FOODS LIMITED</t>
  </si>
  <si>
    <t>INE601A01017</t>
  </si>
  <si>
    <t>KORE</t>
  </si>
  <si>
    <t>HINDUSTAN BIO SCIENCES LTD.</t>
  </si>
  <si>
    <t>INE597C01021</t>
  </si>
  <si>
    <t>HINDBIO</t>
  </si>
  <si>
    <t>INTERLINK PETROLEUM LTD.</t>
  </si>
  <si>
    <t>INE959G01016</t>
  </si>
  <si>
    <t>INTLNKP</t>
  </si>
  <si>
    <t>GOYAL ASSOCIATES LTD.</t>
  </si>
  <si>
    <t>INE912B01032</t>
  </si>
  <si>
    <t>GOYALASS</t>
  </si>
  <si>
    <t>INE407E01029</t>
  </si>
  <si>
    <t>MONIND</t>
  </si>
  <si>
    <t>JOINTECA EDUCATION SOLUTIONS LIMITED</t>
  </si>
  <si>
    <t>INE131N01018</t>
  </si>
  <si>
    <t>JOINTECAED</t>
  </si>
  <si>
    <t>RUSHABH PRECISION BEARINGS LTD.</t>
  </si>
  <si>
    <t>INE0I9K01010</t>
  </si>
  <si>
    <t>RUPEBAR</t>
  </si>
  <si>
    <t>TRITON CORP. LTD.</t>
  </si>
  <si>
    <t>INE982C01033</t>
  </si>
  <si>
    <t>TRITON</t>
  </si>
  <si>
    <t>SANCHAY FINVEST LTD</t>
  </si>
  <si>
    <t>INE654D01010</t>
  </si>
  <si>
    <t>SANCF</t>
  </si>
  <si>
    <t>RAMGOPAL POLYTEX LTD</t>
  </si>
  <si>
    <t>INE410D01017</t>
  </si>
  <si>
    <t>RAMGOPOLY</t>
  </si>
  <si>
    <t>INE377D01018</t>
  </si>
  <si>
    <t>ARUNIS</t>
  </si>
  <si>
    <t>INE193D01019</t>
  </si>
  <si>
    <t>DRL</t>
  </si>
  <si>
    <t>STEP TWO CORPORATION LTD.</t>
  </si>
  <si>
    <t>INE623D01015</t>
  </si>
  <si>
    <t>STEP2COR</t>
  </si>
  <si>
    <t>THIRDWAVE FINANCIAL INTERMEDIARIES</t>
  </si>
  <si>
    <t>INE528C01018</t>
  </si>
  <si>
    <t>THIRDFIN</t>
  </si>
  <si>
    <t>ADINATH EXIM RESOURCES LTD.</t>
  </si>
  <si>
    <t>INE398H01015</t>
  </si>
  <si>
    <t>ADIEXRE</t>
  </si>
  <si>
    <t>PREMIER SYNTHETICS LTD.,</t>
  </si>
  <si>
    <t>INE940N01012</t>
  </si>
  <si>
    <t>PREMSYN</t>
  </si>
  <si>
    <t>INTEGRA CAPITAL LIMITED</t>
  </si>
  <si>
    <t>INE366H01012</t>
  </si>
  <si>
    <t>INTCAPL</t>
  </si>
  <si>
    <t>BITS LTD</t>
  </si>
  <si>
    <t>INE839A01021</t>
  </si>
  <si>
    <t>BITS</t>
  </si>
  <si>
    <t>SIDDHA VENTURES LIMITED</t>
  </si>
  <si>
    <t>INE140C01012</t>
  </si>
  <si>
    <t>SIDDHA</t>
  </si>
  <si>
    <t>CATVISION LIMITED</t>
  </si>
  <si>
    <t>INE660B01011</t>
  </si>
  <si>
    <t>CATVISION</t>
  </si>
  <si>
    <t>SIROHIA &amp; SONS LIMITED</t>
  </si>
  <si>
    <t>INE785O01019</t>
  </si>
  <si>
    <t>SIROHIA</t>
  </si>
  <si>
    <t>SHREE SALASAR INVESTMENT LTD.,</t>
  </si>
  <si>
    <t>INE315N01017</t>
  </si>
  <si>
    <t>SALSAIN</t>
  </si>
  <si>
    <t>SHREE GANESH ELASTOPLAST LTD</t>
  </si>
  <si>
    <t>INE400N01017</t>
  </si>
  <si>
    <t>SHGANEL</t>
  </si>
  <si>
    <t>SHUKRA JEWELLERS LIMITED</t>
  </si>
  <si>
    <t>INE344E01016</t>
  </si>
  <si>
    <t>SHUKJEW</t>
  </si>
  <si>
    <t>SUPER BAKERS (INDIA) LTD.</t>
  </si>
  <si>
    <t>INE897A01011</t>
  </si>
  <si>
    <t>SUPERBAK</t>
  </si>
  <si>
    <t>INE985Q01010</t>
  </si>
  <si>
    <t>AMARNATH</t>
  </si>
  <si>
    <t>UNIROYAL MARINE EXPORTS LTD.</t>
  </si>
  <si>
    <t>INE602H01010</t>
  </si>
  <si>
    <t>UNRYLMA</t>
  </si>
  <si>
    <t>MOONGIPA CAPITAL FINANCE LTD.</t>
  </si>
  <si>
    <t>INE153K01018</t>
  </si>
  <si>
    <t>MONGIPA</t>
  </si>
  <si>
    <t>TRIMURTHI LIMITED</t>
  </si>
  <si>
    <t>INE314I01036</t>
  </si>
  <si>
    <t>TRIMURTHI</t>
  </si>
  <si>
    <t>INE767V01012</t>
  </si>
  <si>
    <t>ITLFIN</t>
  </si>
  <si>
    <t>SHAHI SHIPPING LIMITED</t>
  </si>
  <si>
    <t>INE825D01016</t>
  </si>
  <si>
    <t>SHAHISHIP</t>
  </si>
  <si>
    <t>AADHAAR VENTURES INDIA LIMITED</t>
  </si>
  <si>
    <t>INE063D01030</t>
  </si>
  <si>
    <t>AADHAARVEN</t>
  </si>
  <si>
    <t>INE268C01029</t>
  </si>
  <si>
    <t>EASUNREYRL</t>
  </si>
  <si>
    <t>SOUTHERN INFOSYS LIMITED</t>
  </si>
  <si>
    <t>INE298B01010</t>
  </si>
  <si>
    <t>SOUTHERNIN</t>
  </si>
  <si>
    <t>ROYAL INDIA CORPORATION LIMITED</t>
  </si>
  <si>
    <t>INE510H01015</t>
  </si>
  <si>
    <t>ROYALIND</t>
  </si>
  <si>
    <t>RAJPUTANA INVESTMENT AND FINANCE LTD.</t>
  </si>
  <si>
    <t>INE751R01014</t>
  </si>
  <si>
    <t>RAJPUTANA</t>
  </si>
  <si>
    <t>MINAXI TEXTILES LTD.</t>
  </si>
  <si>
    <t>INE952C01028</t>
  </si>
  <si>
    <t>MINAXI</t>
  </si>
  <si>
    <t>IGC INDUSTRIES LIMITED</t>
  </si>
  <si>
    <t>INE099S01016</t>
  </si>
  <si>
    <t>IGCIL</t>
  </si>
  <si>
    <t>INE733B01016</t>
  </si>
  <si>
    <t>DRMIND</t>
  </si>
  <si>
    <t>LONGVIEW TEA COMPANY LTD.</t>
  </si>
  <si>
    <t>INE696E01019</t>
  </si>
  <si>
    <t>LONTE</t>
  </si>
  <si>
    <t>SEVEN HILL INDUSTRIES LIMITED</t>
  </si>
  <si>
    <t>INE518D01025</t>
  </si>
  <si>
    <t>SEVENHILL</t>
  </si>
  <si>
    <t>RIGA SUGAR COMPANY LTD.</t>
  </si>
  <si>
    <t>INE909C01010</t>
  </si>
  <si>
    <t>RIGASUG</t>
  </si>
  <si>
    <t>POLYCON INTERNATIONAL LTD.</t>
  </si>
  <si>
    <t>INE262C01014</t>
  </si>
  <si>
    <t>POLYCON</t>
  </si>
  <si>
    <t>PACT INDUSTRIES LTD.</t>
  </si>
  <si>
    <t>INE494K01024</t>
  </si>
  <si>
    <t>PACT</t>
  </si>
  <si>
    <t>INE969E01010</t>
  </si>
  <si>
    <t>YAANENT</t>
  </si>
  <si>
    <t>INE469B01017</t>
  </si>
  <si>
    <t>OSWALMIN</t>
  </si>
  <si>
    <t>SPAN DIVERGENT LIMITED</t>
  </si>
  <si>
    <t>INE004E01016</t>
  </si>
  <si>
    <t>SDL</t>
  </si>
  <si>
    <t>RIDINGS CONSULTING ENGINEERS INDIA LIMITED</t>
  </si>
  <si>
    <t>INE314Z01014</t>
  </si>
  <si>
    <t>RIDINGS</t>
  </si>
  <si>
    <t>GOLKONDA ALUMINIUM EXTRUSIONS LTD</t>
  </si>
  <si>
    <t>INE327C01031</t>
  </si>
  <si>
    <t>GOLKONDA</t>
  </si>
  <si>
    <t>GOENKA BUSINESS &amp; FINANCE LIMITED</t>
  </si>
  <si>
    <t>INE997C01015</t>
  </si>
  <si>
    <t>GBFL</t>
  </si>
  <si>
    <t>STEELCO GUJARAT LTD</t>
  </si>
  <si>
    <t>INE629B01024</t>
  </si>
  <si>
    <t>STEELCO</t>
  </si>
  <si>
    <t>AGRIMONY COMMODITIES LIMITED</t>
  </si>
  <si>
    <t>INE567P01018</t>
  </si>
  <si>
    <t>AGRIMONY</t>
  </si>
  <si>
    <t>QUANTUM BUILD-TECH LIMITED</t>
  </si>
  <si>
    <t>INE222B01028</t>
  </si>
  <si>
    <t>QUANTBUILD</t>
  </si>
  <si>
    <t>INE193R01019</t>
  </si>
  <si>
    <t>SHESHAINDS</t>
  </si>
  <si>
    <t>RLF LTD.</t>
  </si>
  <si>
    <t>INE629C01014</t>
  </si>
  <si>
    <t>RLF</t>
  </si>
  <si>
    <t>INE385D01029</t>
  </si>
  <si>
    <t>TAHMARENT</t>
  </si>
  <si>
    <t>INE250D01017</t>
  </si>
  <si>
    <t>JAYIND</t>
  </si>
  <si>
    <t>KABRA COMMERCIAL LIMITED</t>
  </si>
  <si>
    <t>INE926E01010</t>
  </si>
  <si>
    <t>KCL</t>
  </si>
  <si>
    <t>HB LEASING &amp; FINANCE CO. LTD.,</t>
  </si>
  <si>
    <t>INE549B01016</t>
  </si>
  <si>
    <t>HBLEAS</t>
  </si>
  <si>
    <t>GALAXY AGRICO EXPORTS LTD.</t>
  </si>
  <si>
    <t>INE803L01016</t>
  </si>
  <si>
    <t>GALAGEX</t>
  </si>
  <si>
    <t>OTCO INTERNATIONAL LTD</t>
  </si>
  <si>
    <t>INE910B01028</t>
  </si>
  <si>
    <t>OTCO</t>
  </si>
  <si>
    <t>GAGAN GASES LTD.</t>
  </si>
  <si>
    <t>INE076D01016</t>
  </si>
  <si>
    <t>GAGAN</t>
  </si>
  <si>
    <t>SAVANI FINANCIALS LTD.</t>
  </si>
  <si>
    <t>INE304E01010</t>
  </si>
  <si>
    <t>SAVFI</t>
  </si>
  <si>
    <t>SARDA PROTEINS LTD</t>
  </si>
  <si>
    <t>INE995U01011</t>
  </si>
  <si>
    <t>SRDAPRT</t>
  </si>
  <si>
    <t>SHRI RAJIVLOCHAN OIL EXTRACTION LTD</t>
  </si>
  <si>
    <t>INE418K01015</t>
  </si>
  <si>
    <t>SHRAJOI</t>
  </si>
  <si>
    <t>RAJATH FINANCE LIMITED</t>
  </si>
  <si>
    <t>INE455H01013</t>
  </si>
  <si>
    <t>RAJATH</t>
  </si>
  <si>
    <t>DJS STOCK &amp; SHARES LTD.</t>
  </si>
  <si>
    <t>INE234E01027</t>
  </si>
  <si>
    <t>DJSSS</t>
  </si>
  <si>
    <t>INE581M01016</t>
  </si>
  <si>
    <t>VINAYAKPOL</t>
  </si>
  <si>
    <t>NAVODAY ENTERPRISES LIMITED</t>
  </si>
  <si>
    <t>INE0DB001013</t>
  </si>
  <si>
    <t>NAVODAYENT</t>
  </si>
  <si>
    <t>ARIHANTS SECURITIES LTD.</t>
  </si>
  <si>
    <t>INE190D01015</t>
  </si>
  <si>
    <t>ARISE</t>
  </si>
  <si>
    <t>INE510B01018</t>
  </si>
  <si>
    <t>AGARWAL</t>
  </si>
  <si>
    <t>ZICOM ELECTRONIC SECURITY SYSTEMS L</t>
  </si>
  <si>
    <t>INE871B01014</t>
  </si>
  <si>
    <t>ZICOM</t>
  </si>
  <si>
    <t>SRI NANDAA SPINNERS LIMITED</t>
  </si>
  <si>
    <t>INE836E01011</t>
  </si>
  <si>
    <t>SRINANDAA</t>
  </si>
  <si>
    <t>INE864T01011</t>
  </si>
  <si>
    <t>TIAANC</t>
  </si>
  <si>
    <t>DION GLOBAL SOLUTIONS LIMITED</t>
  </si>
  <si>
    <t>INE991C01034</t>
  </si>
  <si>
    <t>DION</t>
  </si>
  <si>
    <t>MEGA FIN (INDIA) LTD.</t>
  </si>
  <si>
    <t>INE524D01015</t>
  </si>
  <si>
    <t>MEGFI</t>
  </si>
  <si>
    <t>SHREE RAJASTHAN SYNTEX LTD.,</t>
  </si>
  <si>
    <t>INE796C01011</t>
  </si>
  <si>
    <t>SHRAJSYNQ</t>
  </si>
  <si>
    <t>INE333X01019</t>
  </si>
  <si>
    <t>SATYASHYAM</t>
  </si>
  <si>
    <t>INE509K01011</t>
  </si>
  <si>
    <t>TECHNOFAB</t>
  </si>
  <si>
    <t>NUTRAPLUS INDIA LIMITED</t>
  </si>
  <si>
    <t>INE230G01020</t>
  </si>
  <si>
    <t>NUTRA</t>
  </si>
  <si>
    <t>INE430B01019</t>
  </si>
  <si>
    <t>ZRINFRA</t>
  </si>
  <si>
    <t>INDIAN LINK CHAIN MNFRS. LTD.,</t>
  </si>
  <si>
    <t>INE359D01016</t>
  </si>
  <si>
    <t>INLCM</t>
  </si>
  <si>
    <t>IND RENEWABLE ENERGY LTD</t>
  </si>
  <si>
    <t>INE138O01029</t>
  </si>
  <si>
    <t>INDRENEW</t>
  </si>
  <si>
    <t>INE791C01012</t>
  </si>
  <si>
    <t>PAOS</t>
  </si>
  <si>
    <t>INE574D01010</t>
  </si>
  <si>
    <t>GVBL</t>
  </si>
  <si>
    <t>JATTASHANKAR INDUSTRIES LIMITED</t>
  </si>
  <si>
    <t>INE722N01014</t>
  </si>
  <si>
    <t>JATTAINDUS</t>
  </si>
  <si>
    <t>K.Z.LEASING &amp; FINANCE LTD.</t>
  </si>
  <si>
    <t>INE006C01015</t>
  </si>
  <si>
    <t>KZLFIN</t>
  </si>
  <si>
    <t>INE158Z01015</t>
  </si>
  <si>
    <t>NANDINI</t>
  </si>
  <si>
    <t>JAIN MARMO INDUSTRIES LTD.</t>
  </si>
  <si>
    <t>INE780Q01015</t>
  </si>
  <si>
    <t>JAINMARMO</t>
  </si>
  <si>
    <t>SHRI MAHALAXMI AGRICULTURAL DEVELOPMENT LIMITED</t>
  </si>
  <si>
    <t>INE317G01025</t>
  </si>
  <si>
    <t>SMADL</t>
  </si>
  <si>
    <t>MODERN SHARES AND STOCKBROKERS LTD.</t>
  </si>
  <si>
    <t>INE370A01019</t>
  </si>
  <si>
    <t>MODRNSH</t>
  </si>
  <si>
    <t>MUKTA AGRICULTURE LIMITED</t>
  </si>
  <si>
    <t>INE160O01031</t>
  </si>
  <si>
    <t>MUKTA</t>
  </si>
  <si>
    <t>BAZEL INTERNATIONAL LIMITED</t>
  </si>
  <si>
    <t>INE217E01014</t>
  </si>
  <si>
    <t>BAZELINTER</t>
  </si>
  <si>
    <t>UTL INDUSTRIES LIMITED</t>
  </si>
  <si>
    <t>INE184E01024</t>
  </si>
  <si>
    <t>UTLINDS</t>
  </si>
  <si>
    <t>INE679T01013</t>
  </si>
  <si>
    <t>ZMILGFIN</t>
  </si>
  <si>
    <t>HARIA APPARELS LIMITED</t>
  </si>
  <si>
    <t>INE493N01012</t>
  </si>
  <si>
    <t>HARIAAPL</t>
  </si>
  <si>
    <t>INE838S01017</t>
  </si>
  <si>
    <t>ACCUVANT</t>
  </si>
  <si>
    <t>UNIVERSAL OFFICE AUTOMATION LIMITED</t>
  </si>
  <si>
    <t>INE951C01012</t>
  </si>
  <si>
    <t>UNIOFFICE</t>
  </si>
  <si>
    <t>INE516E01019</t>
  </si>
  <si>
    <t>PANABYTE</t>
  </si>
  <si>
    <t>INE334E01017</t>
  </si>
  <si>
    <t>VBIND</t>
  </si>
  <si>
    <t>ALCHEMIST CORPORATION LTD</t>
  </si>
  <si>
    <t>INE057D01016</t>
  </si>
  <si>
    <t>ALCHCORP</t>
  </si>
  <si>
    <t>UNIWORTH TEXTILES LTD.</t>
  </si>
  <si>
    <t>INE486C01019</t>
  </si>
  <si>
    <t>UNIWORTHT</t>
  </si>
  <si>
    <t>PERFECT-OCTAVE MEDIA PROJECTS LTD</t>
  </si>
  <si>
    <t>INE814L01013</t>
  </si>
  <si>
    <t>OCTAVE</t>
  </si>
  <si>
    <t>GEMSTONE INVESTMENTS LTD.</t>
  </si>
  <si>
    <t>INE503D01027</t>
  </si>
  <si>
    <t>GEMSI</t>
  </si>
  <si>
    <t>FGP LTD</t>
  </si>
  <si>
    <t>INE512A01016</t>
  </si>
  <si>
    <t>FGP</t>
  </si>
  <si>
    <t>GSB FINANCE LTD.</t>
  </si>
  <si>
    <t>INE777C01011</t>
  </si>
  <si>
    <t>GSBFIN</t>
  </si>
  <si>
    <t>VITESSE AGRO LIMITED</t>
  </si>
  <si>
    <t>INE550U01014</t>
  </si>
  <si>
    <t>VITESSE</t>
  </si>
  <si>
    <t>UNJHA FORMULATIONS LTD.</t>
  </si>
  <si>
    <t>INE576D01015</t>
  </si>
  <si>
    <t>UNJHAFOR</t>
  </si>
  <si>
    <t>VIAAN INDUSTRIES LIMITED</t>
  </si>
  <si>
    <t>INE324N01027</t>
  </si>
  <si>
    <t>VIAANINDUS</t>
  </si>
  <si>
    <t>SHASHWAT FURNISHING SOLUTIONS LIMITED</t>
  </si>
  <si>
    <t>INE0JMN01019</t>
  </si>
  <si>
    <t>SFSL</t>
  </si>
  <si>
    <t>JAIN STUDIOS LTD.</t>
  </si>
  <si>
    <t>INE486B01011</t>
  </si>
  <si>
    <t>JAINSTUDIO</t>
  </si>
  <si>
    <t>ASHISH POLYPLAST LTD.</t>
  </si>
  <si>
    <t>INE831C01016</t>
  </si>
  <si>
    <t>ASHISHPO</t>
  </si>
  <si>
    <t>VAGHANI TECHNO-BUILD LIMITED</t>
  </si>
  <si>
    <t>INE554H01021</t>
  </si>
  <si>
    <t>VAGHANI</t>
  </si>
  <si>
    <t>INE0KQQ01011</t>
  </si>
  <si>
    <t>MAFIA</t>
  </si>
  <si>
    <t>INE431Z01016</t>
  </si>
  <si>
    <t>AGGARSAIN</t>
  </si>
  <si>
    <t>RCC CEMENTS LTD</t>
  </si>
  <si>
    <t>INE335N01015</t>
  </si>
  <si>
    <t>RCCEMEN</t>
  </si>
  <si>
    <t>MOHOTA INDUSTRIES LIMITED</t>
  </si>
  <si>
    <t>INE313D01013</t>
  </si>
  <si>
    <t>MOHOTAIND</t>
  </si>
  <si>
    <t>INE300F01023</t>
  </si>
  <si>
    <t>KRALEASING</t>
  </si>
  <si>
    <t>SATIATE AGRI LIMITED</t>
  </si>
  <si>
    <t>INE06DM01015</t>
  </si>
  <si>
    <t>SATAGRI</t>
  </si>
  <si>
    <t>HIRA AUTOMOBILES LTD.</t>
  </si>
  <si>
    <t>INE258Z01013</t>
  </si>
  <si>
    <t>HIRAUTO</t>
  </si>
  <si>
    <t>INE778N01016</t>
  </si>
  <si>
    <t>TRILIANCE</t>
  </si>
  <si>
    <t>NEO INFRACON LTD.</t>
  </si>
  <si>
    <t>INE216I01017</t>
  </si>
  <si>
    <t>NEOINFRA</t>
  </si>
  <si>
    <t>HASTI FINANCE LTD.</t>
  </si>
  <si>
    <t>INE671D01014</t>
  </si>
  <si>
    <t>HASTIFIN</t>
  </si>
  <si>
    <t>INE185D01015</t>
  </si>
  <si>
    <t>SERVOTEACH</t>
  </si>
  <si>
    <t>FONE4 COMMUNICATIONS (INDIA) LIMITED</t>
  </si>
  <si>
    <t>INE0L3H01014</t>
  </si>
  <si>
    <t>FONE4</t>
  </si>
  <si>
    <t>STURDY INDUSTRIES LTD.</t>
  </si>
  <si>
    <t>INE134F01026</t>
  </si>
  <si>
    <t>STURDY</t>
  </si>
  <si>
    <t>GLOBAL KNITFAB LTD.</t>
  </si>
  <si>
    <t>INE010901010</t>
  </si>
  <si>
    <t>GLOKNIT</t>
  </si>
  <si>
    <t>INDIA GREEN REALITY LIMITED</t>
  </si>
  <si>
    <t>INE373V01019</t>
  </si>
  <si>
    <t>IGRL</t>
  </si>
  <si>
    <t>INE881A01015</t>
  </si>
  <si>
    <t>KOBO</t>
  </si>
  <si>
    <t>PARKER AGRO CHEM EXPORT LTD.</t>
  </si>
  <si>
    <t>INE750B01010</t>
  </si>
  <si>
    <t>PARKERAC</t>
  </si>
  <si>
    <t>MAHIP INDUSTRIES LIMITED</t>
  </si>
  <si>
    <t>INE00CX01017</t>
  </si>
  <si>
    <t>MAHIP</t>
  </si>
  <si>
    <t>HITTCO TOOLS LTD.</t>
  </si>
  <si>
    <t>INE863C01019</t>
  </si>
  <si>
    <t>HITTCO</t>
  </si>
  <si>
    <t>GANESH FILMS INDIA LIMITED</t>
  </si>
  <si>
    <t>INE00WY01013</t>
  </si>
  <si>
    <t>GFIL</t>
  </si>
  <si>
    <t>EXCEL GLASSES LTD.,</t>
  </si>
  <si>
    <t>INE664C01029</t>
  </si>
  <si>
    <t>XCLGLASS</t>
  </si>
  <si>
    <t>SWORD-EDGE COMMERCIALS LIMITED</t>
  </si>
  <si>
    <t>INE093G01022</t>
  </si>
  <si>
    <t>SWORDEDGE</t>
  </si>
  <si>
    <t>ADVANCE SYNTEX LIMITED</t>
  </si>
  <si>
    <t>INE184U01012</t>
  </si>
  <si>
    <t>ASYL</t>
  </si>
  <si>
    <t>INFO-DRIVE SOFTWARE LTD.</t>
  </si>
  <si>
    <t>INE804D01029</t>
  </si>
  <si>
    <t>INFODRIVE</t>
  </si>
  <si>
    <t>GONTERMANN PEIPERS (INDIA) LTD.,</t>
  </si>
  <si>
    <t>INE530A01026</t>
  </si>
  <si>
    <t>GONTER</t>
  </si>
  <si>
    <t>KUMBHAT FINANCIAL SERVICES LTD.</t>
  </si>
  <si>
    <t>INE795E01019</t>
  </si>
  <si>
    <t>KUMPFIN</t>
  </si>
  <si>
    <t>GARODIA CHEMICALS LTD.</t>
  </si>
  <si>
    <t>INE236P01010</t>
  </si>
  <si>
    <t>GARODCH</t>
  </si>
  <si>
    <t>MODELLA WOOLLENS LTD.,</t>
  </si>
  <si>
    <t>INE380D01012</t>
  </si>
  <si>
    <t>MODWOOL</t>
  </si>
  <si>
    <t>TELECANOR GLOBAL LIMITED</t>
  </si>
  <si>
    <t>INE381G01013</t>
  </si>
  <si>
    <t>TELECANOR</t>
  </si>
  <si>
    <t>MINI DIAMONDS (INDIA) LTD.</t>
  </si>
  <si>
    <t>INE281E01010</t>
  </si>
  <si>
    <t>MINID</t>
  </si>
  <si>
    <t>THIRANI PROJECTS LIMITED</t>
  </si>
  <si>
    <t>INE901C01017</t>
  </si>
  <si>
    <t>TPROJECT</t>
  </si>
  <si>
    <t>YOGI SUNG-WON (INDIA) LTD.</t>
  </si>
  <si>
    <t>INE429B01011</t>
  </si>
  <si>
    <t>YOGISUNG</t>
  </si>
  <si>
    <t>SOPHIA TRAEXPO LIMITED</t>
  </si>
  <si>
    <t>INE268X01017</t>
  </si>
  <si>
    <t>STRAEXPO</t>
  </si>
  <si>
    <t>MFS INTERCORP LIMITED</t>
  </si>
  <si>
    <t>INE614F01019</t>
  </si>
  <si>
    <t>MFSINTRCRP</t>
  </si>
  <si>
    <t>SHRI NIWAS LEASING AND FINANCE LIMITED</t>
  </si>
  <si>
    <t>INE201F01015</t>
  </si>
  <si>
    <t>SHRINIWAS</t>
  </si>
  <si>
    <t>SPICY ENTERTAINMENT AND MEDIA LIMITED</t>
  </si>
  <si>
    <t>INE592O01019</t>
  </si>
  <si>
    <t>SPICY</t>
  </si>
  <si>
    <t>MIPCO SEAMLESS RINGS (GUJARAT) LTD.</t>
  </si>
  <si>
    <t>INE860N01012</t>
  </si>
  <si>
    <t>MPCOSEMB</t>
  </si>
  <si>
    <t>BIJOY HANS LTD</t>
  </si>
  <si>
    <t>INE491D01017</t>
  </si>
  <si>
    <t>BIJHANS</t>
  </si>
  <si>
    <t>CHEMIESYNTH (VAPI) LIMITED</t>
  </si>
  <si>
    <t>INE829R01018</t>
  </si>
  <si>
    <t>CHEMIESYNT</t>
  </si>
  <si>
    <t>VISION CINEMAS LIMITED</t>
  </si>
  <si>
    <t>INE515B01025</t>
  </si>
  <si>
    <t>VISIONCINE</t>
  </si>
  <si>
    <t>RELIC TECHNOLOGIES LTD.</t>
  </si>
  <si>
    <t>INE452B01013</t>
  </si>
  <si>
    <t>RELICTEC</t>
  </si>
  <si>
    <t>B&amp;B REALTY LIMITED</t>
  </si>
  <si>
    <t>INE314E01019</t>
  </si>
  <si>
    <t>BBREALTY</t>
  </si>
  <si>
    <t>NIHAR INFO GLOBAL LTD.</t>
  </si>
  <si>
    <t>INE876E01033</t>
  </si>
  <si>
    <t>NIHARINF</t>
  </si>
  <si>
    <t>UMIYA TUBES LIMITED</t>
  </si>
  <si>
    <t>INE173U01015</t>
  </si>
  <si>
    <t>UMIYA</t>
  </si>
  <si>
    <t>DEVINE IMPEX LIMITED</t>
  </si>
  <si>
    <t>INE455C01014</t>
  </si>
  <si>
    <t>DEVINE</t>
  </si>
  <si>
    <t>CHANDNI MACHINES LIMITED</t>
  </si>
  <si>
    <t>INE01GZ01011</t>
  </si>
  <si>
    <t>CHANDNIMACH</t>
  </si>
  <si>
    <t>SRM ENERGY LIMITED</t>
  </si>
  <si>
    <t>INE173J01018</t>
  </si>
  <si>
    <t>SRMENERGY</t>
  </si>
  <si>
    <t>INCON ENGINEERS LTD.</t>
  </si>
  <si>
    <t>INE507D01010</t>
  </si>
  <si>
    <t>INCON</t>
  </si>
  <si>
    <t>SILVER PEARL HOSPITALITY &amp; LUXURY SPACES LIMITED</t>
  </si>
  <si>
    <t>INE0KXN01014</t>
  </si>
  <si>
    <t>SILVERPRL</t>
  </si>
  <si>
    <t>FIRST CUSTODIAN FUND (INDIA) LTD.,</t>
  </si>
  <si>
    <t>INE609B01018</t>
  </si>
  <si>
    <t>1STCUS</t>
  </si>
  <si>
    <t>GUJARAT CREDIT CORPORATION LTD.</t>
  </si>
  <si>
    <t>INE034B01019</t>
  </si>
  <si>
    <t>GUJCRED</t>
  </si>
  <si>
    <t>KAARYA FACILITIES AND SERVICES LIMITED</t>
  </si>
  <si>
    <t>INE282Y01016</t>
  </si>
  <si>
    <t>KAARYAFSL</t>
  </si>
  <si>
    <t>PET PLASTICS LTD.,</t>
  </si>
  <si>
    <t>INE704F01018</t>
  </si>
  <si>
    <t>PETPLST</t>
  </si>
  <si>
    <t>MULTIPLUS HOLDINGS LTD.,</t>
  </si>
  <si>
    <t>INE886E01016</t>
  </si>
  <si>
    <t>MULTIIN</t>
  </si>
  <si>
    <t>OMEGA INTERACTIVE TECHNOLOGIES LTD.</t>
  </si>
  <si>
    <t>INE113B01029</t>
  </si>
  <si>
    <t>OMEGAIN</t>
  </si>
  <si>
    <t>UNITECH INTERNATIONAL LTD</t>
  </si>
  <si>
    <t>INE929K01011</t>
  </si>
  <si>
    <t>UNITINT</t>
  </si>
  <si>
    <t>BRAWN BIOTECH LIMITED</t>
  </si>
  <si>
    <t>INE899B01015</t>
  </si>
  <si>
    <t>BRAWN</t>
  </si>
  <si>
    <t>AMIT INTERNATIONAL LTD.</t>
  </si>
  <si>
    <t>INE053D01015</t>
  </si>
  <si>
    <t>AMITINT</t>
  </si>
  <si>
    <t>INE944E01013</t>
  </si>
  <si>
    <t>ANKUR</t>
  </si>
  <si>
    <t>INE807O01011</t>
  </si>
  <si>
    <t>SDC</t>
  </si>
  <si>
    <t>INE118R01024</t>
  </si>
  <si>
    <t>SHANGAR</t>
  </si>
  <si>
    <t>LYNX MACHINERY &amp; COMMERCIALS LTD.,</t>
  </si>
  <si>
    <t>INE732D01014</t>
  </si>
  <si>
    <t>LYNMC</t>
  </si>
  <si>
    <t>GOVIND RUBBER LTD</t>
  </si>
  <si>
    <t>INE011C01015</t>
  </si>
  <si>
    <t>GOVINDRU</t>
  </si>
  <si>
    <t>RCI INDUSTRIES &amp; TECHNOLOGIES LIMITED</t>
  </si>
  <si>
    <t>INE140B01014</t>
  </si>
  <si>
    <t>RCIIND</t>
  </si>
  <si>
    <t>AMBITION MICA LIMITED</t>
  </si>
  <si>
    <t>INE563S01011</t>
  </si>
  <si>
    <t>AMBITION</t>
  </si>
  <si>
    <t>MAFATLAL LUBRICANTS LTD.</t>
  </si>
  <si>
    <t>INE521D01011</t>
  </si>
  <si>
    <t>MAFLU</t>
  </si>
  <si>
    <t>NCC BLUEWATER PRODUCTS LTD.</t>
  </si>
  <si>
    <t>INE630N01019</t>
  </si>
  <si>
    <t>NCCBLUE</t>
  </si>
  <si>
    <t>CAT TECHNOLOGIES LTD</t>
  </si>
  <si>
    <t>INE170B01037</t>
  </si>
  <si>
    <t>CATECH</t>
  </si>
  <si>
    <t>SHREE PRECOATED STEELS LIMITED</t>
  </si>
  <si>
    <t>INE318K01025</t>
  </si>
  <si>
    <t>SPSL</t>
  </si>
  <si>
    <t>CORPORATE MERCHANT BANKERS LIMITED</t>
  </si>
  <si>
    <t>INE850R01014</t>
  </si>
  <si>
    <t>CMBL</t>
  </si>
  <si>
    <t>ENTERPRISE INTERNATIONAL LIMITED</t>
  </si>
  <si>
    <t>INE439G01019</t>
  </si>
  <si>
    <t>ENTRINT</t>
  </si>
  <si>
    <t>ARIS INTERNATIONAL LIMITED</t>
  </si>
  <si>
    <t>INE588E01026</t>
  </si>
  <si>
    <t>ARISINT</t>
  </si>
  <si>
    <t>C &amp; C CONSTRUCTIONS LTD.</t>
  </si>
  <si>
    <t>INE874H01015</t>
  </si>
  <si>
    <t>CANDC</t>
  </si>
  <si>
    <t>FENOPLAST LTD.</t>
  </si>
  <si>
    <t>INE138D01014</t>
  </si>
  <si>
    <t>FENOPLAS</t>
  </si>
  <si>
    <t>MARG PROJECTS AND INFRASTRUCTURE LIMITED</t>
  </si>
  <si>
    <t>INE942E01017</t>
  </si>
  <si>
    <t>MARGPROIN</t>
  </si>
  <si>
    <t>RAASI REFRACTORIES LIMITED.</t>
  </si>
  <si>
    <t>INE858D01017</t>
  </si>
  <si>
    <t>RASSIREF</t>
  </si>
  <si>
    <t>FABINO LIFE SCIENCES LIMITED</t>
  </si>
  <si>
    <t>INE0DRT01018</t>
  </si>
  <si>
    <t>FABINO</t>
  </si>
  <si>
    <t>SENTHIL INFOTEK LIMITED</t>
  </si>
  <si>
    <t>INE564B01015</t>
  </si>
  <si>
    <t>SENINFO</t>
  </si>
  <si>
    <t>GOLDEN CARPETS LIMITED.</t>
  </si>
  <si>
    <t>INE595D01015</t>
  </si>
  <si>
    <t>GOLCA</t>
  </si>
  <si>
    <t>INE671X01012</t>
  </si>
  <si>
    <t>RAMPURFERT</t>
  </si>
  <si>
    <t>INE771U01016</t>
  </si>
  <si>
    <t>ASIANLAKTO</t>
  </si>
  <si>
    <t>ESKAY K'N'IT (INDIA) LTD</t>
  </si>
  <si>
    <t>INE220A01032</t>
  </si>
  <si>
    <t>ESKAY</t>
  </si>
  <si>
    <t>SHARMA EAST INDIA HOSPITALS AND RES</t>
  </si>
  <si>
    <t>INE465H01012</t>
  </si>
  <si>
    <t>SHARMEH</t>
  </si>
  <si>
    <t>KANDAGIRI SPINNING MILLS LTD.</t>
  </si>
  <si>
    <t>INE292D01019</t>
  </si>
  <si>
    <t>KANDAGIRI</t>
  </si>
  <si>
    <t>SHREE TULSI ONLINE.COM LTD</t>
  </si>
  <si>
    <t>INE130D01037</t>
  </si>
  <si>
    <t>SHREETULSI</t>
  </si>
  <si>
    <t>KRISHNA CAPITAL AND SECURITIES LIMITED</t>
  </si>
  <si>
    <t>INE897B01019</t>
  </si>
  <si>
    <t>KRISHNACAP</t>
  </si>
  <si>
    <t>P.M. TELELINNKS LIMITED</t>
  </si>
  <si>
    <t>INE092C01015</t>
  </si>
  <si>
    <t>PMTELELIN</t>
  </si>
  <si>
    <t>ORGANIC COATINGS LTD.</t>
  </si>
  <si>
    <t>INE412E01011</t>
  </si>
  <si>
    <t>ORGCOAT</t>
  </si>
  <si>
    <t>JANUS CORPORATION LIMITED</t>
  </si>
  <si>
    <t>INE04OV01018</t>
  </si>
  <si>
    <t>JANUSCORP</t>
  </si>
  <si>
    <t>USHAKIRAN FINANCE LTD.</t>
  </si>
  <si>
    <t>INE697C01011</t>
  </si>
  <si>
    <t>USHAKIRA</t>
  </si>
  <si>
    <t>ANNA INFRASTRUCTURES LTD</t>
  </si>
  <si>
    <t>INE336D01014</t>
  </si>
  <si>
    <t>ANNAINFRA</t>
  </si>
  <si>
    <t>VAS INFRASTRUCTURE  LTD.</t>
  </si>
  <si>
    <t>INE192C01013</t>
  </si>
  <si>
    <t>VASINFRA</t>
  </si>
  <si>
    <t>INE372W01019</t>
  </si>
  <si>
    <t>MARYADACOM</t>
  </si>
  <si>
    <t>AGIO PAPER &amp; INDUSTRIES LIMITED</t>
  </si>
  <si>
    <t>INE112C01011</t>
  </si>
  <si>
    <t>AGIOPAPER</t>
  </si>
  <si>
    <t>NEO CORP INTERNATIONAL LTD</t>
  </si>
  <si>
    <t>INE851C01014</t>
  </si>
  <si>
    <t>NEOCORP</t>
  </si>
  <si>
    <t>INE370Q01015</t>
  </si>
  <si>
    <t>NEXUSSURGL</t>
  </si>
  <si>
    <t>FLORA TEXTILES LTD.</t>
  </si>
  <si>
    <t>INE161F01011</t>
  </si>
  <si>
    <t>FLORATX</t>
  </si>
  <si>
    <t>VARDHMAN CONCRETE LIMITED</t>
  </si>
  <si>
    <t>INE115C01014</t>
  </si>
  <si>
    <t>VARDHMAN</t>
  </si>
  <si>
    <t>LIBORD SECURITIES LTD.</t>
  </si>
  <si>
    <t>INE267E01019</t>
  </si>
  <si>
    <t>LIBORD</t>
  </si>
  <si>
    <t>OSWAL OVERSEAS LTD</t>
  </si>
  <si>
    <t>INE906K01027</t>
  </si>
  <si>
    <t>OSWALOR</t>
  </si>
  <si>
    <t>ASHRAM ONLINE.COM LTD</t>
  </si>
  <si>
    <t>INE293C01019</t>
  </si>
  <si>
    <t>ASHRAM</t>
  </si>
  <si>
    <t>NAKODA LIMITED</t>
  </si>
  <si>
    <t>INE559B01023</t>
  </si>
  <si>
    <t>NAKODA</t>
  </si>
  <si>
    <t>KMF BUILDERS &amp; DEVELOPERS LTD.</t>
  </si>
  <si>
    <t>INE580H01026</t>
  </si>
  <si>
    <t>KMFBLDR</t>
  </si>
  <si>
    <t>ONTIC FINSERVE LIMITED</t>
  </si>
  <si>
    <t>INE989S01042</t>
  </si>
  <si>
    <t>ONTIC</t>
  </si>
  <si>
    <t>EPIC ENERGY LTD.</t>
  </si>
  <si>
    <t>INE932F01015</t>
  </si>
  <si>
    <t>EPIC</t>
  </si>
  <si>
    <t>LOOKS HEALTH SERVICES LIMITED</t>
  </si>
  <si>
    <t>INE204N01013</t>
  </si>
  <si>
    <t>LOOKS</t>
  </si>
  <si>
    <t>TYPHOON FINANCIAL SERVICES LIMITED</t>
  </si>
  <si>
    <t>INE761R01013</t>
  </si>
  <si>
    <t>TFSL</t>
  </si>
  <si>
    <t>CHEMO PHARMA LABORATORIES LTD.,</t>
  </si>
  <si>
    <t>INE320M01019</t>
  </si>
  <si>
    <t>CHEMOPH</t>
  </si>
  <si>
    <t>KIDS MEDICAL SYSTEMS LIMITED</t>
  </si>
  <si>
    <t>INE457Y01014</t>
  </si>
  <si>
    <t>KMSL</t>
  </si>
  <si>
    <t>SGN TELECOMS LTD.</t>
  </si>
  <si>
    <t>INE266C01023</t>
  </si>
  <si>
    <t>SGNTE</t>
  </si>
  <si>
    <t>MANIPAL FINANCE CORPORATION LTD.,</t>
  </si>
  <si>
    <t>INE798E01013</t>
  </si>
  <si>
    <t>MNPLFIN</t>
  </si>
  <si>
    <t>UNION QUALITY PLASTICS LTD.</t>
  </si>
  <si>
    <t>INE338N01019</t>
  </si>
  <si>
    <t>UNQTYMI</t>
  </si>
  <si>
    <t>FACOR STEELS LIMITED</t>
  </si>
  <si>
    <t>INE829G01011</t>
  </si>
  <si>
    <t>FACORSTE</t>
  </si>
  <si>
    <t>SWAGTAM TRADING &amp; SERVICES LIMITED</t>
  </si>
  <si>
    <t>INE150R01019</t>
  </si>
  <si>
    <t>SWAGTAM</t>
  </si>
  <si>
    <t>QUEST FINANCIAL SERVICES LTD.</t>
  </si>
  <si>
    <t>INE064D01012</t>
  </si>
  <si>
    <t>QFSL</t>
  </si>
  <si>
    <t>PAE LTD.</t>
  </si>
  <si>
    <t>INE766A01018</t>
  </si>
  <si>
    <t>PAEL</t>
  </si>
  <si>
    <t>ARYAN SHARE &amp; STOCK BROKERS LTD.</t>
  </si>
  <si>
    <t>INE016X01010</t>
  </si>
  <si>
    <t>ARYAN</t>
  </si>
  <si>
    <t>NORTHLINK FISCAL AND CAPITAL SERVICES LTD.</t>
  </si>
  <si>
    <t>INE736P01019</t>
  </si>
  <si>
    <t>NORTHLINK</t>
  </si>
  <si>
    <t>NFCSL</t>
  </si>
  <si>
    <t>ARAVALI SECURITIES &amp; FINANCE LTD.,</t>
  </si>
  <si>
    <t>INE068C01015</t>
  </si>
  <si>
    <t>ARAVALIS</t>
  </si>
  <si>
    <t>NEYCER INDIA LTD.,</t>
  </si>
  <si>
    <t>INE275N01013</t>
  </si>
  <si>
    <t>NEYCERI</t>
  </si>
  <si>
    <t>STANPACKS (INDIA) LTD.</t>
  </si>
  <si>
    <t>INE457D01018</t>
  </si>
  <si>
    <t>STANPACK</t>
  </si>
  <si>
    <t>INE342U01016</t>
  </si>
  <si>
    <t>AIHL</t>
  </si>
  <si>
    <t>INE062F01011</t>
  </si>
  <si>
    <t>QUALITY</t>
  </si>
  <si>
    <t>SOUTHERN ONLINE BIO TECHNOLOGIES LTD.</t>
  </si>
  <si>
    <t>INE371B01023</t>
  </si>
  <si>
    <t>SBTL</t>
  </si>
  <si>
    <t>OMNIPOTENT INDUSTRIES LIMITED</t>
  </si>
  <si>
    <t>INE0JFE01012</t>
  </si>
  <si>
    <t>OMNIPOTENT</t>
  </si>
  <si>
    <t>OLYMPIC CARDS LIMITED</t>
  </si>
  <si>
    <t>INE550L01013</t>
  </si>
  <si>
    <t>OLPCL</t>
  </si>
  <si>
    <t>SRI KRISHNA CONSTRUCTIONS (INDIA) LIMITED</t>
  </si>
  <si>
    <t>INE094T01015</t>
  </si>
  <si>
    <t>SKC</t>
  </si>
  <si>
    <t>N.B. FOOTWEAR LTD.,</t>
  </si>
  <si>
    <t>INE006F01018</t>
  </si>
  <si>
    <t>NBFOOT</t>
  </si>
  <si>
    <t>B.J.DUPLEX BOARDS LTD.</t>
  </si>
  <si>
    <t>INE265C01025</t>
  </si>
  <si>
    <t>BJDUP</t>
  </si>
  <si>
    <t>HARIA EXPORTS LTD.</t>
  </si>
  <si>
    <t>INE772B01014</t>
  </si>
  <si>
    <t>HARIAEXPO</t>
  </si>
  <si>
    <t>HEERA ISPAT LTD.</t>
  </si>
  <si>
    <t>INE025D01013</t>
  </si>
  <si>
    <t>HEERAISP</t>
  </si>
  <si>
    <t>INE683B01047</t>
  </si>
  <si>
    <t>FIRSTFIN</t>
  </si>
  <si>
    <t>NUTRICIRCLE LIMITED</t>
  </si>
  <si>
    <t>INE536C01029</t>
  </si>
  <si>
    <t>NUTRICIRCLE</t>
  </si>
  <si>
    <t>VISION CORPORATION LTD.</t>
  </si>
  <si>
    <t>INE661D01015</t>
  </si>
  <si>
    <t>VISIONCO</t>
  </si>
  <si>
    <t>MODI HOOVER INTERNATIONAL LTD.</t>
  </si>
  <si>
    <t>INE259D01018</t>
  </si>
  <si>
    <t>MODIHOOV</t>
  </si>
  <si>
    <t>WHERRELZ IT SOLUTIONS LIMITED</t>
  </si>
  <si>
    <t>INE0IM001015</t>
  </si>
  <si>
    <t>WITS</t>
  </si>
  <si>
    <t>TAPARIA TOOLS LTD.,</t>
  </si>
  <si>
    <t>INE614R01014</t>
  </si>
  <si>
    <t>TAPARIA</t>
  </si>
  <si>
    <t>N.R.INTERNATIONAL LIMITED</t>
  </si>
  <si>
    <t>INE605F01017</t>
  </si>
  <si>
    <t>NRINTER</t>
  </si>
  <si>
    <t>MAYUR FLOORINGS LTD.</t>
  </si>
  <si>
    <t>INE262W01012</t>
  </si>
  <si>
    <t>MAYURFL</t>
  </si>
  <si>
    <t>PANTHER INDUSTRIAL PRODUCTS LTD.,</t>
  </si>
  <si>
    <t>INE181D01014</t>
  </si>
  <si>
    <t>PANIDPR</t>
  </si>
  <si>
    <t>INE246D01015</t>
  </si>
  <si>
    <t>JAYATMA</t>
  </si>
  <si>
    <t>OLYMPIC OIL INDUSTRIES LTD.,</t>
  </si>
  <si>
    <t>INE286E01019</t>
  </si>
  <si>
    <t>OLYOI</t>
  </si>
  <si>
    <t>SHRICON INDUSTRIES LTD.,</t>
  </si>
  <si>
    <t>INE753D01010</t>
  </si>
  <si>
    <t>SHRICON</t>
  </si>
  <si>
    <t>GRATEX INDUSTRIES LTD.</t>
  </si>
  <si>
    <t>INE915E01013</t>
  </si>
  <si>
    <t>GRATEXI</t>
  </si>
  <si>
    <t>INE064T01018</t>
  </si>
  <si>
    <t>IFINSER</t>
  </si>
  <si>
    <t>NEELKANTH ROCKMINERALS LTD.</t>
  </si>
  <si>
    <t>INE741D01015</t>
  </si>
  <si>
    <t>NEELKAN</t>
  </si>
  <si>
    <t>INE011201014</t>
  </si>
  <si>
    <t>JINAAM</t>
  </si>
  <si>
    <t>WELCURE DRUGS &amp; PHARMACEUTICALS LTD</t>
  </si>
  <si>
    <t>INE331C01017</t>
  </si>
  <si>
    <t>WELCURE</t>
  </si>
  <si>
    <t>INE0G1V01016</t>
  </si>
  <si>
    <t>AMANAYA</t>
  </si>
  <si>
    <t>INE936T01017</t>
  </si>
  <si>
    <t>LARK</t>
  </si>
  <si>
    <t>CLIO INFOTECH LTD.</t>
  </si>
  <si>
    <t>INE011B01017</t>
  </si>
  <si>
    <t>CLIOINFO</t>
  </si>
  <si>
    <t>SYBLY INDUSTRIES LTD.</t>
  </si>
  <si>
    <t>INE080D01042</t>
  </si>
  <si>
    <t>SYBLY</t>
  </si>
  <si>
    <t>SANTOWIN CORPORATION LIMITED</t>
  </si>
  <si>
    <t>INE386L01038</t>
  </si>
  <si>
    <t>SANPOLY</t>
  </si>
  <si>
    <t>WELTERMAN INTERNATIONAL LTD.</t>
  </si>
  <si>
    <t>INE662D01013</t>
  </si>
  <si>
    <t>WELTI</t>
  </si>
  <si>
    <t>AVI POLYMERS LTD.</t>
  </si>
  <si>
    <t>INE897N01014</t>
  </si>
  <si>
    <t>AVI</t>
  </si>
  <si>
    <t>CORAL NEWSPRINTS LTD.</t>
  </si>
  <si>
    <t>INE715D01019</t>
  </si>
  <si>
    <t>CORNE</t>
  </si>
  <si>
    <t>GANGA PHARMACEUTICALS LIMITED</t>
  </si>
  <si>
    <t>INE615T01017</t>
  </si>
  <si>
    <t>GANGAPHARM</t>
  </si>
  <si>
    <t>INE188R01019</t>
  </si>
  <si>
    <t>JCKINFRA</t>
  </si>
  <si>
    <t>MILESTONE FURNITURE LIMITED</t>
  </si>
  <si>
    <t>INE424Z01011</t>
  </si>
  <si>
    <t>MILEFUR</t>
  </si>
  <si>
    <t>INE888E01020</t>
  </si>
  <si>
    <t>ASISL</t>
  </si>
  <si>
    <t>INFRA INDUSTRIES LTD.</t>
  </si>
  <si>
    <t>INE287D01019</t>
  </si>
  <si>
    <t>INFRAIND</t>
  </si>
  <si>
    <t>NEWEVER TRADE WINGS LIMITED</t>
  </si>
  <si>
    <t>INE596O01010</t>
  </si>
  <si>
    <t>NEWEVER</t>
  </si>
  <si>
    <t>CONTAINERWAY INTERNATIONAL LIMITED</t>
  </si>
  <si>
    <t>INE319U01022</t>
  </si>
  <si>
    <t xml:space="preserve">CONTAINER </t>
  </si>
  <si>
    <t>GARWARE MARINE INDUSTRIES LTD.,</t>
  </si>
  <si>
    <t>INE925D01014</t>
  </si>
  <si>
    <t>GARWAMAR</t>
  </si>
  <si>
    <t>STARLIT POWER SYSTEMS LIMITED</t>
  </si>
  <si>
    <t>INE909P01012</t>
  </si>
  <si>
    <t>STARLIT</t>
  </si>
  <si>
    <t>DHANVANTRI JEEVAN REKHA LTD.</t>
  </si>
  <si>
    <t>INE239F01015</t>
  </si>
  <si>
    <t>ZDHJERK</t>
  </si>
  <si>
    <t>RAGHUNATH INTERNATIONAL LTD.</t>
  </si>
  <si>
    <t>INE753B01014</t>
  </si>
  <si>
    <t>RAGHUNAT</t>
  </si>
  <si>
    <t>PITHAMPUR POLY PRODUCTS LTD.</t>
  </si>
  <si>
    <t>INE747D01012</t>
  </si>
  <si>
    <t>PITHP</t>
  </si>
  <si>
    <t>INE131Q01011</t>
  </si>
  <si>
    <t>ASIACAP</t>
  </si>
  <si>
    <t>CHD CHEMICALS LIMITED</t>
  </si>
  <si>
    <t>INE043U01010</t>
  </si>
  <si>
    <t>CHDCHEM</t>
  </si>
  <si>
    <t>CITIPORT FINANCIAL SERVICES LTD.</t>
  </si>
  <si>
    <t>INE494D01011</t>
  </si>
  <si>
    <t>CITIPOR</t>
  </si>
  <si>
    <t>DECILLION FINANCE LTD.</t>
  </si>
  <si>
    <t>INE848N01017</t>
  </si>
  <si>
    <t>DFL</t>
  </si>
  <si>
    <t>KHANDELWAL EXTRACTION LTD.,</t>
  </si>
  <si>
    <t>INE687W01010</t>
  </si>
  <si>
    <t>ZKHANDEN</t>
  </si>
  <si>
    <t>SUNGOLD CAPITAL LTD.</t>
  </si>
  <si>
    <t>INE271D01013</t>
  </si>
  <si>
    <t>SUNGOLD</t>
  </si>
  <si>
    <t>INE01KG01013</t>
  </si>
  <si>
    <t>RICHNRICH</t>
  </si>
  <si>
    <t>TRIO MERCANTILE &amp; TRADING LIMITED</t>
  </si>
  <si>
    <t>INE234G01022</t>
  </si>
  <si>
    <t>TRIOMERC</t>
  </si>
  <si>
    <t>RICHIRICH INVENTURES LIMITED</t>
  </si>
  <si>
    <t>INE102C01020</t>
  </si>
  <si>
    <t>RICHIRICH</t>
  </si>
  <si>
    <t>INE818D01011</t>
  </si>
  <si>
    <t>PROMACT</t>
  </si>
  <si>
    <t>PRIME CAPITAL MARKET LIMITED</t>
  </si>
  <si>
    <t>INE748D01010</t>
  </si>
  <si>
    <t>PRIMECAPM</t>
  </si>
  <si>
    <t>INE277F01015</t>
  </si>
  <si>
    <t>USSGLOBAL</t>
  </si>
  <si>
    <t>RAINBOW PAPERS LTD.,</t>
  </si>
  <si>
    <t>INE028D01025</t>
  </si>
  <si>
    <t>RAINBOWPAP</t>
  </si>
  <si>
    <t>INE063F01019</t>
  </si>
  <si>
    <t>SRINARAYAN</t>
  </si>
  <si>
    <t>ADVIK LABORATORIES LTD.</t>
  </si>
  <si>
    <t>INE537C01019</t>
  </si>
  <si>
    <t>ADVIKLA</t>
  </si>
  <si>
    <t>QUANTUM DIGITAL VISION (INDIA) LTD.</t>
  </si>
  <si>
    <t>INE373C01019</t>
  </si>
  <si>
    <t>QUANTDIA</t>
  </si>
  <si>
    <t>DECOROUS INVESTMENT AND TRADING CO. LTD.</t>
  </si>
  <si>
    <t>INE183R01010</t>
  </si>
  <si>
    <t>DITCO</t>
  </si>
  <si>
    <t>SPACE INCUBATRICS TECHNOLOGIES LIMITED</t>
  </si>
  <si>
    <t>INE797Z01010</t>
  </si>
  <si>
    <t>SPACEINCUBA</t>
  </si>
  <si>
    <t>INE098D01010</t>
  </si>
  <si>
    <t>SUNFIN</t>
  </si>
  <si>
    <t>ADITYA ISPAT LTD.</t>
  </si>
  <si>
    <t>INE570B01012</t>
  </si>
  <si>
    <t>ADITYA</t>
  </si>
  <si>
    <t>MULTIPURPOSE TRADING &amp; AGENCIES LTD</t>
  </si>
  <si>
    <t>INE017P01014</t>
  </si>
  <si>
    <t>ZMULTIPU</t>
  </si>
  <si>
    <t>ATCOM TECHNOLOGIES LTD.</t>
  </si>
  <si>
    <t>INE834A01014</t>
  </si>
  <si>
    <t>ATCOM</t>
  </si>
  <si>
    <t>INE022S01018</t>
  </si>
  <si>
    <t>INDUENG</t>
  </si>
  <si>
    <t>INTEGRATED HI-TECH LTD.</t>
  </si>
  <si>
    <t>INE934A01012</t>
  </si>
  <si>
    <t>INTEGHIT</t>
  </si>
  <si>
    <t>INE173F01016</t>
  </si>
  <si>
    <t>JOTINDRA</t>
  </si>
  <si>
    <t>MAXIMAA SYSTEMS LTD.</t>
  </si>
  <si>
    <t>INE161B01036</t>
  </si>
  <si>
    <t>MAXIMAA</t>
  </si>
  <si>
    <t>INE473C01025</t>
  </si>
  <si>
    <t>STRATMONT</t>
  </si>
  <si>
    <t>CINDRELLA FINANCIAL SERVICES LTD.</t>
  </si>
  <si>
    <t>INE897D01015</t>
  </si>
  <si>
    <t>CINDRELL</t>
  </si>
  <si>
    <t>INE621O01016</t>
  </si>
  <si>
    <t>SRL</t>
  </si>
  <si>
    <t>KIRAN SYNTEX LTD.</t>
  </si>
  <si>
    <t>INE293D01017</t>
  </si>
  <si>
    <t>KIRANSY-B</t>
  </si>
  <si>
    <t>ISTREET NETWORK LIMITED</t>
  </si>
  <si>
    <t>INE532B01020</t>
  </si>
  <si>
    <t>ISTRNETWK</t>
  </si>
  <si>
    <t>INE550D01010</t>
  </si>
  <si>
    <t>WWALUM</t>
  </si>
  <si>
    <t>INE035401012</t>
  </si>
  <si>
    <t>ACEENGITEC</t>
  </si>
  <si>
    <t>PADMALAYA TELEFILMS LTD.</t>
  </si>
  <si>
    <t>INE243B01016</t>
  </si>
  <si>
    <t>PADMALAYAT</t>
  </si>
  <si>
    <t>SW INVESTMENTS LIMITED</t>
  </si>
  <si>
    <t>INE948K01011</t>
  </si>
  <si>
    <t>SW1</t>
  </si>
  <si>
    <t>JALPAC INDIA LTD.,</t>
  </si>
  <si>
    <t>INE976B01011</t>
  </si>
  <si>
    <t>JALPAC</t>
  </si>
  <si>
    <t>INTEGRATED PROTEINS LTD.</t>
  </si>
  <si>
    <t>INE177M01013</t>
  </si>
  <si>
    <t>INTEGFD</t>
  </si>
  <si>
    <t>UNISHIRE URBAN INFRA LIMITED</t>
  </si>
  <si>
    <t>INE210P01015</t>
  </si>
  <si>
    <t>UNISHIRE</t>
  </si>
  <si>
    <t>INE111C01013</t>
  </si>
  <si>
    <t>WINYCOMM</t>
  </si>
  <si>
    <t>ASAHI INFRASTRUCTURE &amp; PROJECTS LTD</t>
  </si>
  <si>
    <t>INE933C01036</t>
  </si>
  <si>
    <t>ASAHINFRA</t>
  </si>
  <si>
    <t>INE673U01014</t>
  </si>
  <si>
    <t>DATIWARE</t>
  </si>
  <si>
    <t>EAST BUILDTECH LIMITED</t>
  </si>
  <si>
    <t>INE706N01017</t>
  </si>
  <si>
    <t>EASTBUILD</t>
  </si>
  <si>
    <t>WOODSVILLA LIMITED</t>
  </si>
  <si>
    <t>INE374J01020</t>
  </si>
  <si>
    <t>WOODSVILA</t>
  </si>
  <si>
    <t>INE907D01012</t>
  </si>
  <si>
    <t>STSERV</t>
  </si>
  <si>
    <t>V.B.DESAI FINANCIAL SERVICES LTD</t>
  </si>
  <si>
    <t>INE848D01018</t>
  </si>
  <si>
    <t>VBDESAI</t>
  </si>
  <si>
    <t>J.J. FINANCE CORPORATION LTD.,</t>
  </si>
  <si>
    <t>INE584C01011</t>
  </si>
  <si>
    <t>JJFINCOR</t>
  </si>
  <si>
    <t>MONICA ELECTRONICS LTD.</t>
  </si>
  <si>
    <t>INE568C01014</t>
  </si>
  <si>
    <t>MONEL</t>
  </si>
  <si>
    <t>SHANTANU SHEOREY AQUAKULT LTD.</t>
  </si>
  <si>
    <t>INE545N01019</t>
  </si>
  <si>
    <t>SHAQUAK</t>
  </si>
  <si>
    <t>RELSTRUCT BUILDCON LIMITED</t>
  </si>
  <si>
    <t>INE792V01010</t>
  </si>
  <si>
    <t>RELSTRUCT</t>
  </si>
  <si>
    <t>VOLTAIRE LEASING &amp; FINANCE LTD.,</t>
  </si>
  <si>
    <t>INE763D01019</t>
  </si>
  <si>
    <t>VOLLF</t>
  </si>
  <si>
    <t>POLYTEX INDIA LTD.,</t>
  </si>
  <si>
    <t>INE012F01016</t>
  </si>
  <si>
    <t>POLYTEX</t>
  </si>
  <si>
    <t>TREKKINGTOES.COM LIMITED</t>
  </si>
  <si>
    <t>INE0DG401010</t>
  </si>
  <si>
    <t>HIPPOCABS</t>
  </si>
  <si>
    <t>BIO GREEN PAPERS LIMITED</t>
  </si>
  <si>
    <t>INE958L01018</t>
  </si>
  <si>
    <t>BGPL</t>
  </si>
  <si>
    <t>FRASER AND COMPANY LIMITED</t>
  </si>
  <si>
    <t>INE184Q01010</t>
  </si>
  <si>
    <t>FRASER</t>
  </si>
  <si>
    <t>SBL INFRATECH LIMITED</t>
  </si>
  <si>
    <t>INE0DLM01024</t>
  </si>
  <si>
    <t>SBLI</t>
  </si>
  <si>
    <t>ADISHAKTI LOHA AND ISPAT LIMITED</t>
  </si>
  <si>
    <t>INE0CWK01019</t>
  </si>
  <si>
    <t>ADISHAKTI</t>
  </si>
  <si>
    <t>METKORE ALLOYS &amp; INDUSTRIES LTD</t>
  </si>
  <si>
    <t>INE592I01029</t>
  </si>
  <si>
    <t>METKORE</t>
  </si>
  <si>
    <t>SUPERIOR FINLEASE LIMITED</t>
  </si>
  <si>
    <t>INE574R01028</t>
  </si>
  <si>
    <t>SUPERIOR</t>
  </si>
  <si>
    <t>SUPFIN</t>
  </si>
  <si>
    <t>G.K.CONSULTANTS LTD.</t>
  </si>
  <si>
    <t>INE131D01019</t>
  </si>
  <si>
    <t>GKCONS</t>
  </si>
  <si>
    <t>GUJARAT COTEX LTD</t>
  </si>
  <si>
    <t>INE004C01028</t>
  </si>
  <si>
    <t>GUJCOTEX</t>
  </si>
  <si>
    <t>MATHEW EASOW RESEARCH SECURITIES LT</t>
  </si>
  <si>
    <t>INE963B01019</t>
  </si>
  <si>
    <t>MATHEWE</t>
  </si>
  <si>
    <t>PRASHANT INDIA LTD</t>
  </si>
  <si>
    <t>INE100E01012</t>
  </si>
  <si>
    <t>PRSNTIN</t>
  </si>
  <si>
    <t>LORDS CHEMICALS LTD.</t>
  </si>
  <si>
    <t>INE554C01014</t>
  </si>
  <si>
    <t>LORDSCH</t>
  </si>
  <si>
    <t>ADVENT COMPUTER SERVICES LTD.</t>
  </si>
  <si>
    <t>INE101C01022</t>
  </si>
  <si>
    <t>ADVENT</t>
  </si>
  <si>
    <t>BACIL PHARMA LTD.</t>
  </si>
  <si>
    <t>INE711D01018</t>
  </si>
  <si>
    <t>BACPHAR</t>
  </si>
  <si>
    <t>EXPLICIT FINANCE LIMITED</t>
  </si>
  <si>
    <t>INE335G01019</t>
  </si>
  <si>
    <t>EXPLICITFIN</t>
  </si>
  <si>
    <t>KIRAN PRINT-PACK LTD.</t>
  </si>
  <si>
    <t>INE516D01011</t>
  </si>
  <si>
    <t>KIRANPR</t>
  </si>
  <si>
    <t>RAINBOW DENIM LTD.</t>
  </si>
  <si>
    <t>INE820D01025</t>
  </si>
  <si>
    <t>RAINBOWDQ</t>
  </si>
  <si>
    <t>INNOCORP LIMITED</t>
  </si>
  <si>
    <t>INE214B01017</t>
  </si>
  <si>
    <t>INNOCORP</t>
  </si>
  <si>
    <t>ATHARV ENTERPRISES LIMITED</t>
  </si>
  <si>
    <t>INE354E01031</t>
  </si>
  <si>
    <t>ATHARVENT</t>
  </si>
  <si>
    <t>MACHHAR INDUSTRIES LIMITED</t>
  </si>
  <si>
    <t>INE01BT01015</t>
  </si>
  <si>
    <t>MACIND</t>
  </si>
  <si>
    <t>GLOBAL INFRATECH &amp; FINANCE LIMITED</t>
  </si>
  <si>
    <t>INE377M01035</t>
  </si>
  <si>
    <t>GBLINFRA</t>
  </si>
  <si>
    <t>GUJARAT METALLIC COAL &amp; COKE LTD</t>
  </si>
  <si>
    <t>INE146F01020</t>
  </si>
  <si>
    <t>GMETCOAL</t>
  </si>
  <si>
    <t>RAJASTHAN GASES LTD.</t>
  </si>
  <si>
    <t>INE184D01026</t>
  </si>
  <si>
    <t>RAJGASES</t>
  </si>
  <si>
    <t>SURYO FOODS &amp; INDUSTRIES LTD.</t>
  </si>
  <si>
    <t>INE565E01016</t>
  </si>
  <si>
    <t>SURFI</t>
  </si>
  <si>
    <t>MARKET CREATORS LTD.</t>
  </si>
  <si>
    <t>INE944C01017</t>
  </si>
  <si>
    <t>MKTCREAT</t>
  </si>
  <si>
    <t>INE502K01016</t>
  </si>
  <si>
    <t>TALWALKARS</t>
  </si>
  <si>
    <t>JET INFRAVENTURE LIMITED</t>
  </si>
  <si>
    <t>INE155R01018</t>
  </si>
  <si>
    <t>JETINFRA</t>
  </si>
  <si>
    <t>JMG CORPORATION LTD</t>
  </si>
  <si>
    <t>INE745F01011</t>
  </si>
  <si>
    <t>JMGCORP</t>
  </si>
  <si>
    <t>INE971A01014</t>
  </si>
  <si>
    <t>KONNDOR</t>
  </si>
  <si>
    <t>NU TEK INDIA LIMITED</t>
  </si>
  <si>
    <t>INE318J01027</t>
  </si>
  <si>
    <t>NUTEK</t>
  </si>
  <si>
    <t>AVIVA INDUSTRIES LIMITED</t>
  </si>
  <si>
    <t>INE461H01011</t>
  </si>
  <si>
    <t>AVIVA</t>
  </si>
  <si>
    <t>PANKAJ PIYUSH TRADE &amp; INV. LTD</t>
  </si>
  <si>
    <t>INE820M01018</t>
  </si>
  <si>
    <t>PANKAJPIYUS</t>
  </si>
  <si>
    <t>GUJARAT INJECT (KERALA) LTD.</t>
  </si>
  <si>
    <t>INE659F01014</t>
  </si>
  <si>
    <t>GUJINJEC</t>
  </si>
  <si>
    <t>CHHABRA SPINNERS LTD.</t>
  </si>
  <si>
    <t>INE420D01016</t>
  </si>
  <si>
    <t>CHABRASP</t>
  </si>
  <si>
    <t>MEGA NIRMAN &amp; INDUSTRIES LIMITED</t>
  </si>
  <si>
    <t>INE216Q01010</t>
  </si>
  <si>
    <t>MNIL</t>
  </si>
  <si>
    <t>MAJESTIC RESEARCH SERVICES AND SOLUTIONS LIMITED</t>
  </si>
  <si>
    <t>INE196R01012</t>
  </si>
  <si>
    <t>MRSS</t>
  </si>
  <si>
    <t>RAMA PETROCHEMICALS LTD</t>
  </si>
  <si>
    <t>INE783A01013</t>
  </si>
  <si>
    <t>RAMAPETRO</t>
  </si>
  <si>
    <t>ASYA INFOSOFT LIMITED</t>
  </si>
  <si>
    <t>INE520G01016</t>
  </si>
  <si>
    <t>ASYAINFO</t>
  </si>
  <si>
    <t>R.B.GUPTA FINANCIALS LTD.</t>
  </si>
  <si>
    <t>INE056J01015</t>
  </si>
  <si>
    <t>RBGUPTA</t>
  </si>
  <si>
    <t>SAND PLAST (INDIA) LTD.</t>
  </si>
  <si>
    <t>INE122K01013</t>
  </si>
  <si>
    <t>SANDPLAST</t>
  </si>
  <si>
    <t>STANDARD SHOE SOLE AND MOULD (INDIA) LTD</t>
  </si>
  <si>
    <t>INE888N01013</t>
  </si>
  <si>
    <t>STDSHOE</t>
  </si>
  <si>
    <t>SABRIMALA INDUSTRIES INDIA LIMITED</t>
  </si>
  <si>
    <t>INE400R01018</t>
  </si>
  <si>
    <t>SIIL</t>
  </si>
  <si>
    <t>IMP POWER LTD.</t>
  </si>
  <si>
    <t>INE065B01013</t>
  </si>
  <si>
    <t>S.M. ENERGY TEKNIK &amp; ELECTRONICS LT</t>
  </si>
  <si>
    <t>INE540D01011</t>
  </si>
  <si>
    <t>SMENER</t>
  </si>
  <si>
    <t>SCINTILLA COMMERCIAL &amp; CREDIT  LIMITED</t>
  </si>
  <si>
    <t>INE892C01018</t>
  </si>
  <si>
    <t>SCC</t>
  </si>
  <si>
    <t>NICCO CORPORATION LTD.</t>
  </si>
  <si>
    <t>INE241C01026</t>
  </si>
  <si>
    <t>NICCO</t>
  </si>
  <si>
    <t>M.P. AGRO INDUSTRIES LTD.,</t>
  </si>
  <si>
    <t>INE468C01017</t>
  </si>
  <si>
    <t>MPAGI</t>
  </si>
  <si>
    <t>VENTURA GUARANTY LTD.,</t>
  </si>
  <si>
    <t>INE139J01019</t>
  </si>
  <si>
    <t>SHYAM</t>
  </si>
  <si>
    <t>PRECISION CONTAINEURS LIMITED.</t>
  </si>
  <si>
    <t>INE191C01015</t>
  </si>
  <si>
    <t>PRECISION</t>
  </si>
  <si>
    <t>VIRTUALSOFT SYSTEMS LTD.</t>
  </si>
  <si>
    <t>INE237C01016</t>
  </si>
  <si>
    <t>VIRTUALS</t>
  </si>
  <si>
    <t>MAHALAXMI SEAMLESS LTD.</t>
  </si>
  <si>
    <t>INE257F01017</t>
  </si>
  <si>
    <t>MAHALXSE</t>
  </si>
  <si>
    <t>WILLIAMSON FINANCIAL SERVICES LTD.</t>
  </si>
  <si>
    <t>INE188E01017</t>
  </si>
  <si>
    <t>WILLIMFI</t>
  </si>
  <si>
    <t>INE673C01020</t>
  </si>
  <si>
    <t>AMERISE</t>
  </si>
  <si>
    <t>CLASSIC LEASING &amp; FINANCE LTD.</t>
  </si>
  <si>
    <t>INE949C01016</t>
  </si>
  <si>
    <t>CLFL</t>
  </si>
  <si>
    <t>SURYA FUN CITY LTD.</t>
  </si>
  <si>
    <t>INE122F01013</t>
  </si>
  <si>
    <t>SURFUNC</t>
  </si>
  <si>
    <t>STARLITE COMPONENTS LTD.</t>
  </si>
  <si>
    <t>INE035C01022</t>
  </si>
  <si>
    <t>STARLITE</t>
  </si>
  <si>
    <t>ASHIANA AGRO INDUSTRIES LTD</t>
  </si>
  <si>
    <t>INE709D01012</t>
  </si>
  <si>
    <t>ASHAI</t>
  </si>
  <si>
    <t>SIKOZY REALTORS LIMITED</t>
  </si>
  <si>
    <t>INE528E01022</t>
  </si>
  <si>
    <t>SIKOZY</t>
  </si>
  <si>
    <t>CELESTIAL BIOLABS LIMITED</t>
  </si>
  <si>
    <t>INE221I01017</t>
  </si>
  <si>
    <t>CELESTIAL</t>
  </si>
  <si>
    <t>RAMCHANDRA LEASING &amp; FINANCE LIMITED</t>
  </si>
  <si>
    <t>INE516P01015</t>
  </si>
  <si>
    <t>RLFL</t>
  </si>
  <si>
    <t>CAPRICORN SYSTEMS GLOBAL SOLUTIONS LTD.</t>
  </si>
  <si>
    <t>INE968E01012</t>
  </si>
  <si>
    <t>CAPRICORN</t>
  </si>
  <si>
    <t>NARMADA MACPLAST DRIP IRRIGATION SY</t>
  </si>
  <si>
    <t>INE060D01010</t>
  </si>
  <si>
    <t>NARMP</t>
  </si>
  <si>
    <t>UNITED TEXTILES LTD.</t>
  </si>
  <si>
    <t>INE727E01012</t>
  </si>
  <si>
    <t>UNITEDTE</t>
  </si>
  <si>
    <t>KARNIMATA COLD STORAGE LIMITED</t>
  </si>
  <si>
    <t>INE576P01019</t>
  </si>
  <si>
    <t>KCSL</t>
  </si>
  <si>
    <t>INE482E01014</t>
  </si>
  <si>
    <t>SMCSL</t>
  </si>
  <si>
    <t>SHIVA SUITINGS LTD.,</t>
  </si>
  <si>
    <t>INE02Z901011</t>
  </si>
  <si>
    <t>SHVSUIT</t>
  </si>
  <si>
    <t>LEAD FINANCIAL SERVICES  LTD</t>
  </si>
  <si>
    <t>INE531D01010</t>
  </si>
  <si>
    <t>LEADFIN</t>
  </si>
  <si>
    <t>SYSTEMATIX SECURITIES LTD.</t>
  </si>
  <si>
    <t>INE07P301011</t>
  </si>
  <si>
    <t>SYTIXSE</t>
  </si>
  <si>
    <t>FUTURISTIC OFFSHORE SERVICES AND CHEMICAL LTD.</t>
  </si>
  <si>
    <t>INE418A01016</t>
  </si>
  <si>
    <t>FOSCL</t>
  </si>
  <si>
    <t>ALCHEMIST LIMITED</t>
  </si>
  <si>
    <t>INE964B01033</t>
  </si>
  <si>
    <t>ALCHEM</t>
  </si>
  <si>
    <t>RAHUL MERCHANDISING LTD.</t>
  </si>
  <si>
    <t>INE149D01011</t>
  </si>
  <si>
    <t>RAHME</t>
  </si>
  <si>
    <t>RAJKOT INVESTMENT TRUST LIMITED</t>
  </si>
  <si>
    <t>INE176R01014</t>
  </si>
  <si>
    <t>RAJKOTINV</t>
  </si>
  <si>
    <t>FUTURISTIC SECURITIES LTD</t>
  </si>
  <si>
    <t>INE425D01015</t>
  </si>
  <si>
    <t>FUTURSEC</t>
  </si>
  <si>
    <t>SUNCITY SYNTHETICS LTD.</t>
  </si>
  <si>
    <t>INE584D01019</t>
  </si>
  <si>
    <t>SUNCITYSY</t>
  </si>
  <si>
    <t>PATIDAR BUILDCON LIMITED</t>
  </si>
  <si>
    <t>INE637N01014</t>
  </si>
  <si>
    <t>PATIDAR</t>
  </si>
  <si>
    <t>MAHAVEER INFOWAY LIMITED</t>
  </si>
  <si>
    <t>INE019D01016</t>
  </si>
  <si>
    <t>MINFY</t>
  </si>
  <si>
    <t>INE835U01019</t>
  </si>
  <si>
    <t>NEWLIGHT</t>
  </si>
  <si>
    <t>INE594O01015</t>
  </si>
  <si>
    <t>RJBIOTECH</t>
  </si>
  <si>
    <t>SUNRAJ DIAMOND EXPORTS LTD.</t>
  </si>
  <si>
    <t>INE459D01014</t>
  </si>
  <si>
    <t>SUNRAJDI</t>
  </si>
  <si>
    <t>RICHFIELD FINANCIAL SERVICES LTD.</t>
  </si>
  <si>
    <t>INE201C01012</t>
  </si>
  <si>
    <t>RFSL</t>
  </si>
  <si>
    <t>INE072D01015</t>
  </si>
  <si>
    <t>MODEX</t>
  </si>
  <si>
    <t>INCEPTUM ENTERPRISES LIMITED</t>
  </si>
  <si>
    <t>INE784P01035</t>
  </si>
  <si>
    <t>INCEPTUM</t>
  </si>
  <si>
    <t>ACTION FINANCIAL SERVICES (INDIA) L</t>
  </si>
  <si>
    <t>INE357A01032</t>
  </si>
  <si>
    <t>ACTIONFI</t>
  </si>
  <si>
    <t>I POWER SOLUTIONS INDIA LTD.</t>
  </si>
  <si>
    <t>INE468F01010</t>
  </si>
  <si>
    <t>iPOWER</t>
  </si>
  <si>
    <t>CRIMSON METAL ENGINEERING COMPANY LTD</t>
  </si>
  <si>
    <t>INE318P01016</t>
  </si>
  <si>
    <t>CRIMSON</t>
  </si>
  <si>
    <t>JAINCO PROJECTS (INDIA) LTD.</t>
  </si>
  <si>
    <t>INE966C01010</t>
  </si>
  <si>
    <t>JAINCO</t>
  </si>
  <si>
    <t>PRIYA LIMITED.</t>
  </si>
  <si>
    <t>INE686C01014</t>
  </si>
  <si>
    <t>PRIYALT</t>
  </si>
  <si>
    <t>BRIDGE SECURITIES LTD.</t>
  </si>
  <si>
    <t>INE958C01017</t>
  </si>
  <si>
    <t>BRIDGESE</t>
  </si>
  <si>
    <t>JIK INDUSTRIES LTD</t>
  </si>
  <si>
    <t>INE026B01049</t>
  </si>
  <si>
    <t>JIKIND</t>
  </si>
  <si>
    <t>SHANTAI INDUSTRIES LIMITED</t>
  </si>
  <si>
    <t>INE408F01016</t>
  </si>
  <si>
    <t>SHANTAI</t>
  </si>
  <si>
    <t>SEA TV NETWORK LIMITED</t>
  </si>
  <si>
    <t>INE351L01016</t>
  </si>
  <si>
    <t>SEATV</t>
  </si>
  <si>
    <t>EDYNAMICS SOLUTIONS LIMITED</t>
  </si>
  <si>
    <t>INE899O01018</t>
  </si>
  <si>
    <t>EDSL</t>
  </si>
  <si>
    <t>INE039D01014</t>
  </si>
  <si>
    <t>HYPERSOFT</t>
  </si>
  <si>
    <t>INE927E01018</t>
  </si>
  <si>
    <t>KAMINI</t>
  </si>
  <si>
    <t>MAHESH DEVELOPERS LIMITED</t>
  </si>
  <si>
    <t>INE01MO01013</t>
  </si>
  <si>
    <t>MAHESH</t>
  </si>
  <si>
    <t>KUBERAN GLOBAL EDU SOLUTIONS LIMITED</t>
  </si>
  <si>
    <t>INE04CO01018</t>
  </si>
  <si>
    <t>KGES</t>
  </si>
  <si>
    <t>COMMEX TECHNOLOGY LIMITED</t>
  </si>
  <si>
    <t>INE354B01029</t>
  </si>
  <si>
    <t>COMMEXTECH</t>
  </si>
  <si>
    <t>BHARAT TEXTILES &amp; PROOFING INDUSTRI</t>
  </si>
  <si>
    <t>INE201N01019</t>
  </si>
  <si>
    <t>BHATEXT</t>
  </si>
  <si>
    <t>EPSOM PROPERTIES LIMITED</t>
  </si>
  <si>
    <t>INE601F01016</t>
  </si>
  <si>
    <t>EPSOMPRO</t>
  </si>
  <si>
    <t>ALPS MOTOR FINANCE LIMITED</t>
  </si>
  <si>
    <t>INE729P01022</t>
  </si>
  <si>
    <t>ALPSMOTOR</t>
  </si>
  <si>
    <t>KINETIC TRUST LTD.</t>
  </si>
  <si>
    <t>INE674M01019</t>
  </si>
  <si>
    <t>KINETRU</t>
  </si>
  <si>
    <t>GOPAL IRON &amp; STEELS CO.(GUJARAT) LT</t>
  </si>
  <si>
    <t>INE641H01018</t>
  </si>
  <si>
    <t>GOPAIST</t>
  </si>
  <si>
    <t>VINTAGE SECURITIES LTD.</t>
  </si>
  <si>
    <t>INE153C01015</t>
  </si>
  <si>
    <t>VINTAGES</t>
  </si>
  <si>
    <t>SHUKRA BULLIONS LIMITED</t>
  </si>
  <si>
    <t>INE561E01015</t>
  </si>
  <si>
    <t>SKRABUL</t>
  </si>
  <si>
    <t>SIDDHESWARI GARMENTS LTD.</t>
  </si>
  <si>
    <t>INE797C01019</t>
  </si>
  <si>
    <t>SIDDHEGA</t>
  </si>
  <si>
    <t>SCAN PROJECTS LTD</t>
  </si>
  <si>
    <t>INE393D01015</t>
  </si>
  <si>
    <t>SCANPRO</t>
  </si>
  <si>
    <t>DEVHARI EXPORTS (INDIA) LIMITED</t>
  </si>
  <si>
    <t>INE553P01018</t>
  </si>
  <si>
    <t>DEVHARI</t>
  </si>
  <si>
    <t>INERTIA STEEL LIMITED</t>
  </si>
  <si>
    <t>INE767M01011</t>
  </si>
  <si>
    <t>INERTIAST</t>
  </si>
  <si>
    <t>INE781X01019</t>
  </si>
  <si>
    <t>ACEEXPO</t>
  </si>
  <si>
    <t>CINERAD COMMUNICATIONS LTD.</t>
  </si>
  <si>
    <t>INE959B01017</t>
  </si>
  <si>
    <t>CINERAD</t>
  </si>
  <si>
    <t>NETRIPPLES SOFTWARE LIMITED</t>
  </si>
  <si>
    <t>INE478B01018</t>
  </si>
  <si>
    <t>NETRIPPLES</t>
  </si>
  <si>
    <t>EURO CEREMICS LTD</t>
  </si>
  <si>
    <t>INE649H01011</t>
  </si>
  <si>
    <t>EUROCERA</t>
  </si>
  <si>
    <t>INE948E01014</t>
  </si>
  <si>
    <t>SOPHIA</t>
  </si>
  <si>
    <t>WINSOME DIAMONDS AND JEWELLERY LIMITED</t>
  </si>
  <si>
    <t>INE664A01015</t>
  </si>
  <si>
    <t>WINSOMEDJ</t>
  </si>
  <si>
    <t>TIRTH PLASTIC LTD.</t>
  </si>
  <si>
    <t>INE008N01018</t>
  </si>
  <si>
    <t>TIRTPLS</t>
  </si>
  <si>
    <t>VIKALP SECURITIES LTD.</t>
  </si>
  <si>
    <t>INE186E01011</t>
  </si>
  <si>
    <t>VIKALPS</t>
  </si>
  <si>
    <t>GRAVITY (INDIA) LTD.</t>
  </si>
  <si>
    <t>INE995A01013</t>
  </si>
  <si>
    <t>GRAVITY</t>
  </si>
  <si>
    <t>INE403L01015</t>
  </si>
  <si>
    <t>SIDH</t>
  </si>
  <si>
    <t>AANANDA LAKSHMI SPINNING MILLS LIMITED</t>
  </si>
  <si>
    <t>INE197R01010</t>
  </si>
  <si>
    <t>AANANDALAK</t>
  </si>
  <si>
    <t>OMNI AXS SOFTWARE LTD.</t>
  </si>
  <si>
    <t>INE369B01019</t>
  </si>
  <si>
    <t>OMNIAX</t>
  </si>
  <si>
    <t>SASHWAT TECHNOCRATS LIMITED</t>
  </si>
  <si>
    <t>INE789D01014</t>
  </si>
  <si>
    <t>SASHWAT</t>
  </si>
  <si>
    <t>KARAN WOO-SIN LTD.</t>
  </si>
  <si>
    <t>INE327D01013</t>
  </si>
  <si>
    <t>KARANWO</t>
  </si>
  <si>
    <t>GCCL CONSTRUCTION AND REALITIES LTD</t>
  </si>
  <si>
    <t>INE775C01015</t>
  </si>
  <si>
    <t>GCCL</t>
  </si>
  <si>
    <t>INE438C01010</t>
  </si>
  <si>
    <t>PROCLB</t>
  </si>
  <si>
    <t>MARUTI SECURITIES LTD.</t>
  </si>
  <si>
    <t>INE368C01019</t>
  </si>
  <si>
    <t>MARUTISE</t>
  </si>
  <si>
    <t>SHYAMA INFOSYS LTD.</t>
  </si>
  <si>
    <t>INE861E01019</t>
  </si>
  <si>
    <t>SHYAMAINFO</t>
  </si>
  <si>
    <t>OMEGA AG-SEEDS (PUNJAB) LTD.</t>
  </si>
  <si>
    <t>INE112B01013</t>
  </si>
  <si>
    <t>OMEAG</t>
  </si>
  <si>
    <t>GALADA FINANCE LIMITED</t>
  </si>
  <si>
    <t>INE243E01010</t>
  </si>
  <si>
    <t>GALADAFIN</t>
  </si>
  <si>
    <t>INE773X01016</t>
  </si>
  <si>
    <t>SKYLINE</t>
  </si>
  <si>
    <t>INE513F01013</t>
  </si>
  <si>
    <t>ZEL</t>
  </si>
  <si>
    <t>DEVIKA PROTEINS LTD.</t>
  </si>
  <si>
    <t>INE248C01013</t>
  </si>
  <si>
    <t>DEVIKA</t>
  </si>
  <si>
    <t>INDRA INDUSTRIES LTD.</t>
  </si>
  <si>
    <t>INE924N01016</t>
  </si>
  <si>
    <t>INDRAIND</t>
  </si>
  <si>
    <t>SVAM SOFTWARE LTD</t>
  </si>
  <si>
    <t>INE119B01018</t>
  </si>
  <si>
    <t>SVAMSOF</t>
  </si>
  <si>
    <t>XO INFOTECH LTD.</t>
  </si>
  <si>
    <t>INE490B01013</t>
  </si>
  <si>
    <t>XOINFO</t>
  </si>
  <si>
    <t>PUROHIT CONSTRUCTION LIMITED</t>
  </si>
  <si>
    <t>INE147J01012</t>
  </si>
  <si>
    <t>PUROHITCON</t>
  </si>
  <si>
    <t>SPECTRA INDUSTRIES LTD.</t>
  </si>
  <si>
    <t>INE848B01012</t>
  </si>
  <si>
    <t>SPECTRA</t>
  </si>
  <si>
    <t>BANSISONS TEA INDUSTRIES LTD.</t>
  </si>
  <si>
    <t>INE856E01019</t>
  </si>
  <si>
    <t>BANSTEA</t>
  </si>
  <si>
    <t>INE518C01019</t>
  </si>
  <si>
    <t>ROADWAYS</t>
  </si>
  <si>
    <t>Hindustan Auto Finance Limited</t>
  </si>
  <si>
    <t>INE806Q01018</t>
  </si>
  <si>
    <t>HINDAUTO</t>
  </si>
  <si>
    <t>BEEYU OVERSEAS LTD.</t>
  </si>
  <si>
    <t>INE052B01011</t>
  </si>
  <si>
    <t>BEEYU</t>
  </si>
  <si>
    <t>PACHELI INDUSTRIAL FINANCE LIMITED</t>
  </si>
  <si>
    <t>INE926B01016</t>
  </si>
  <si>
    <t>PIFL</t>
  </si>
  <si>
    <t>AADI INDUSTRIES LTD</t>
  </si>
  <si>
    <t>INE563D01013</t>
  </si>
  <si>
    <t>AADIIND</t>
  </si>
  <si>
    <t>GHUSHINE FINTRRADE OCEAN LIMITED</t>
  </si>
  <si>
    <t>INE009U01011</t>
  </si>
  <si>
    <t>GHUSHINE</t>
  </si>
  <si>
    <t>HI-KLASS TRADING AND INVESTMENT LIMITED</t>
  </si>
  <si>
    <t>INE302R01024</t>
  </si>
  <si>
    <t>HIKLASS</t>
  </si>
  <si>
    <t>N2N TECHNOLOGIES LIMITED</t>
  </si>
  <si>
    <t>INE043F01011</t>
  </si>
  <si>
    <t>NNTL</t>
  </si>
  <si>
    <t>EKAM LEASING &amp; FINANCE CO. LTD.</t>
  </si>
  <si>
    <t>INE906L01025</t>
  </si>
  <si>
    <t>EKAMLEA</t>
  </si>
  <si>
    <t>WAGEND INFRA VENTURE LIMITED</t>
  </si>
  <si>
    <t>INE786K01023</t>
  </si>
  <si>
    <t>WAGEND</t>
  </si>
  <si>
    <t>WISEC GLOBAL LTD.</t>
  </si>
  <si>
    <t>INE638C01015</t>
  </si>
  <si>
    <t>WISEC</t>
  </si>
  <si>
    <t>PANKAJ POLYMERS LTD.</t>
  </si>
  <si>
    <t>INE698B01011</t>
  </si>
  <si>
    <t>PANKAJPO</t>
  </si>
  <si>
    <t>B.P.CAPITAL LTD.</t>
  </si>
  <si>
    <t>INE947C01010</t>
  </si>
  <si>
    <t>BPCAP</t>
  </si>
  <si>
    <t>RUBY CABLES LIMITED</t>
  </si>
  <si>
    <t>INE812T01010</t>
  </si>
  <si>
    <t>RUBY</t>
  </si>
  <si>
    <t>J.R. FOODS LIMITED,</t>
  </si>
  <si>
    <t>INE989E01018</t>
  </si>
  <si>
    <t>JRFOODS</t>
  </si>
  <si>
    <t>BIOPAC INDIA CORPORATION LTD</t>
  </si>
  <si>
    <t>INE998A01017</t>
  </si>
  <si>
    <t>BIOPAC</t>
  </si>
  <si>
    <t>IND-AGIV COMMERCE LTD.</t>
  </si>
  <si>
    <t>INE115E01010</t>
  </si>
  <si>
    <t>INDAGIV</t>
  </si>
  <si>
    <t>INE421E01012</t>
  </si>
  <si>
    <t>PROGREXV</t>
  </si>
  <si>
    <t>STEWARTS &amp; LLOYDS OF INDIA LTD.</t>
  </si>
  <si>
    <t>INE356D01012</t>
  </si>
  <si>
    <t>STEWARTQ</t>
  </si>
  <si>
    <t>KEN FINANCIAL SERVICES LTD.</t>
  </si>
  <si>
    <t>INE395E01018</t>
  </si>
  <si>
    <t>KENFIN</t>
  </si>
  <si>
    <t>SARTHAK GLOBAL LTD.</t>
  </si>
  <si>
    <t>INE075H01019</t>
  </si>
  <si>
    <t>SARTHAKGL</t>
  </si>
  <si>
    <t>KHATOR FIBRE &amp; FABRICS LTD.</t>
  </si>
  <si>
    <t>INE964G01016</t>
  </si>
  <si>
    <t>KHTRFIB</t>
  </si>
  <si>
    <t>EURO MULTIVISION LIMITED</t>
  </si>
  <si>
    <t>INE063J01011</t>
  </si>
  <si>
    <t>EUROMULTI</t>
  </si>
  <si>
    <t>INE428O01016</t>
  </si>
  <si>
    <t>AIFL</t>
  </si>
  <si>
    <t>GCM COMMODITY &amp; DERIVATIVES LIMITED</t>
  </si>
  <si>
    <t>INE200P01016</t>
  </si>
  <si>
    <t>GCMCOMM</t>
  </si>
  <si>
    <t>SOURCE INDUSTRIES (INDIA) LTD</t>
  </si>
  <si>
    <t>INE695C01015</t>
  </si>
  <si>
    <t>SOURCEIND</t>
  </si>
  <si>
    <t>INE456H01029</t>
  </si>
  <si>
    <t>SIMPLXPAP</t>
  </si>
  <si>
    <t>DYNAMIC MICROSTEPPERS LTD.</t>
  </si>
  <si>
    <t>INE443N01017</t>
  </si>
  <si>
    <t>DYNMICR</t>
  </si>
  <si>
    <t>RICHA INDUSTRIES LIMITED</t>
  </si>
  <si>
    <t>INE516H01012</t>
  </si>
  <si>
    <t>RICHAIND</t>
  </si>
  <si>
    <t>SKYLINE VENTURES INDIA  LIMITED</t>
  </si>
  <si>
    <t>INE055Q01012</t>
  </si>
  <si>
    <t>SKILVEN</t>
  </si>
  <si>
    <t>VALLABH STEELS LTD</t>
  </si>
  <si>
    <t>INE457E01016</t>
  </si>
  <si>
    <t>VALLABHSQ</t>
  </si>
  <si>
    <t>INE379Y01010</t>
  </si>
  <si>
    <t>JAINFARM</t>
  </si>
  <si>
    <t>J.J.EXPORTERS LTD.</t>
  </si>
  <si>
    <t>INE408B01015</t>
  </si>
  <si>
    <t>JJEXPO</t>
  </si>
  <si>
    <t>DHENU BUILDCON INFRA LIMITED</t>
  </si>
  <si>
    <t>INE758D01027</t>
  </si>
  <si>
    <t>DHENUBUILD</t>
  </si>
  <si>
    <t>PIONEER AGRO EXTRACTS LTD.</t>
  </si>
  <si>
    <t>INE062E01014</t>
  </si>
  <si>
    <t>PIONAGR</t>
  </si>
  <si>
    <t>INTEGRATED THERMOPLASTICS LTD.</t>
  </si>
  <si>
    <t>INE038N01015</t>
  </si>
  <si>
    <t>INTETHR</t>
  </si>
  <si>
    <t>ELANGO INDUSTRIES LTD</t>
  </si>
  <si>
    <t>INE594D01018</t>
  </si>
  <si>
    <t>ELANGO</t>
  </si>
  <si>
    <t>SHELTER INFRA PROJECTS LIMITED</t>
  </si>
  <si>
    <t>INE413C01013</t>
  </si>
  <si>
    <t>SIPL</t>
  </si>
  <si>
    <t>BLUEBLOOD VENTURES LIMITED</t>
  </si>
  <si>
    <t>INE562S01013</t>
  </si>
  <si>
    <t>BVL</t>
  </si>
  <si>
    <t>OSCAR GLOBAL LTD</t>
  </si>
  <si>
    <t>INE473F01010</t>
  </si>
  <si>
    <t>OSCARGLO</t>
  </si>
  <si>
    <t>SOFTRAK VENTURE INVESTMENTS LTD.</t>
  </si>
  <si>
    <t>INE562E01013</t>
  </si>
  <si>
    <t>SOFTRAKV</t>
  </si>
  <si>
    <t>INE447K01014</t>
  </si>
  <si>
    <t>PPML</t>
  </si>
  <si>
    <t>CHAMBAL BREWERIES &amp; DISTILLERIES LI</t>
  </si>
  <si>
    <t>INE417N01011</t>
  </si>
  <si>
    <t>CHMBBRW</t>
  </si>
  <si>
    <t>INTEGRA SWITCHGEAR LTD.</t>
  </si>
  <si>
    <t>INE0IPL01018</t>
  </si>
  <si>
    <t>INTEGSW</t>
  </si>
  <si>
    <t>INE166V01017</t>
  </si>
  <si>
    <t>NEWERA</t>
  </si>
  <si>
    <t>EUREKA INDUSTRIES LTD.</t>
  </si>
  <si>
    <t>INE958A01011</t>
  </si>
  <si>
    <t>EUREKAI</t>
  </si>
  <si>
    <t>ARCEE INDUSRTRIES LTD.</t>
  </si>
  <si>
    <t>INE276D01012</t>
  </si>
  <si>
    <t>ARCEEIN</t>
  </si>
  <si>
    <t>DECCAN POLYPACKS LTD</t>
  </si>
  <si>
    <t>INE132E01015</t>
  </si>
  <si>
    <t>DECPO</t>
  </si>
  <si>
    <t>OCEANAA BIOTEK INDUSTRIES LIMITED</t>
  </si>
  <si>
    <t>INE732P01018</t>
  </si>
  <si>
    <t>OBIL</t>
  </si>
  <si>
    <t>INE087J01028</t>
  </si>
  <si>
    <t>GBGLOBAL</t>
  </si>
  <si>
    <t>KOME-ON COMMUNICATION LIMITED</t>
  </si>
  <si>
    <t>INE833C01012</t>
  </si>
  <si>
    <t>KOCL</t>
  </si>
  <si>
    <t>CONTINENTAL CONTROLS LTD.</t>
  </si>
  <si>
    <t>INE545B01022</t>
  </si>
  <si>
    <t>CONTICON</t>
  </si>
  <si>
    <t>INE868D01016</t>
  </si>
  <si>
    <t>CITYGOLD</t>
  </si>
  <si>
    <t>INE157B01026</t>
  </si>
  <si>
    <t>CENTERAC</t>
  </si>
  <si>
    <t>ENNORE COKE LIMITED</t>
  </si>
  <si>
    <t>INE755H01016</t>
  </si>
  <si>
    <t>ENNORE</t>
  </si>
  <si>
    <t>INE095S01014</t>
  </si>
  <si>
    <t>TECHAINPOW</t>
  </si>
  <si>
    <t>AMBITIOUS PLASTOMAC LTD.</t>
  </si>
  <si>
    <t>INE267C01013</t>
  </si>
  <si>
    <t>AMBIT</t>
  </si>
  <si>
    <t>SAFFRON INDUSTRIES LIMITED</t>
  </si>
  <si>
    <t>INE474D01013</t>
  </si>
  <si>
    <t>SAFFRON</t>
  </si>
  <si>
    <t>CISTRO TELELINK LTD.</t>
  </si>
  <si>
    <t>INE365C01023</t>
  </si>
  <si>
    <t>CISTRO</t>
  </si>
  <si>
    <t>INE774R01016</t>
  </si>
  <si>
    <t>PRABHATSEC</t>
  </si>
  <si>
    <t>INE073A01019</t>
  </si>
  <si>
    <t>KRIFILIND</t>
  </si>
  <si>
    <t>CREDENCE SOUND &amp; VISION LTD.</t>
  </si>
  <si>
    <t>INE406C01025</t>
  </si>
  <si>
    <t>CREDENCE</t>
  </si>
  <si>
    <t>MAHASAGAR TRAVELS LTD.</t>
  </si>
  <si>
    <t>INE007G01014</t>
  </si>
  <si>
    <t>MHSGRMS</t>
  </si>
  <si>
    <t>SHRI KALYAN HOLDINGS LTD.</t>
  </si>
  <si>
    <t>INE079N01019</t>
  </si>
  <si>
    <t>SHKALYN</t>
  </si>
  <si>
    <t>INE050F01016</t>
  </si>
  <si>
    <t>AURUMCAP</t>
  </si>
  <si>
    <t>INE061D01018</t>
  </si>
  <si>
    <t>PKLEASING</t>
  </si>
  <si>
    <t>INE356R01020</t>
  </si>
  <si>
    <t>TARANGINI</t>
  </si>
  <si>
    <t>SHYAMKAMAL INVESTMENTS LTD.,</t>
  </si>
  <si>
    <t>INE203N01015</t>
  </si>
  <si>
    <t>SHYMINV</t>
  </si>
  <si>
    <t>RANE COMPUTERS CONSULTANCY LTD</t>
  </si>
  <si>
    <t>INE749C01010</t>
  </si>
  <si>
    <t>RANCC</t>
  </si>
  <si>
    <t>INE970W01010</t>
  </si>
  <si>
    <t>RFHL</t>
  </si>
  <si>
    <t>INE572B01018</t>
  </si>
  <si>
    <t>EBSL</t>
  </si>
  <si>
    <t>RSC INTERNATIONAL LIMITED</t>
  </si>
  <si>
    <t>INE015F01019</t>
  </si>
  <si>
    <t>RSCINT</t>
  </si>
  <si>
    <t>INE378Y01012</t>
  </si>
  <si>
    <t>JFRL</t>
  </si>
  <si>
    <t>DHAMPUR SUGAR (KASHIPUR) LTD.</t>
  </si>
  <si>
    <t>INE735A01013</t>
  </si>
  <si>
    <t>DHAMSUGR</t>
  </si>
  <si>
    <t>INE742R01013</t>
  </si>
  <si>
    <t>ACEWIN</t>
  </si>
  <si>
    <t>SUPERSTAR DISTILLERIES AND FOODS LT</t>
  </si>
  <si>
    <t>INE543D01015</t>
  </si>
  <si>
    <t>SUPDF</t>
  </si>
  <si>
    <t>INE413R01011</t>
  </si>
  <si>
    <t>PACEAUTO</t>
  </si>
  <si>
    <t>JYOTHI INFRAVENTURES LTD.</t>
  </si>
  <si>
    <t>INE681K01018</t>
  </si>
  <si>
    <t>JYOTHI</t>
  </si>
  <si>
    <t>MICROSE INDIA LIMITED,</t>
  </si>
  <si>
    <t>INE809F01015</t>
  </si>
  <si>
    <t>MICROSE</t>
  </si>
  <si>
    <t>DIKSHA GREENS LIMITED</t>
  </si>
  <si>
    <t>INE01GR01018</t>
  </si>
  <si>
    <t>DGL</t>
  </si>
  <si>
    <t>INE237E01012</t>
  </si>
  <si>
    <t>ELLORA</t>
  </si>
  <si>
    <t>DELTRON LTD</t>
  </si>
  <si>
    <t>INE272R01011</t>
  </si>
  <si>
    <t>DELTRON</t>
  </si>
  <si>
    <t>KOVALAM INV. &amp; TRADING CO.LTD.,</t>
  </si>
  <si>
    <t>INE735U01011</t>
  </si>
  <si>
    <t>ZKOVALIN</t>
  </si>
  <si>
    <t>SEASONS FURNISHINGS LTD.</t>
  </si>
  <si>
    <t>INE454D01015</t>
  </si>
  <si>
    <t>SEASONF</t>
  </si>
  <si>
    <t>FOUNDRY FUEL PRODUCTS LTD.</t>
  </si>
  <si>
    <t>INE617C01027</t>
  </si>
  <si>
    <t>FFPL</t>
  </si>
  <si>
    <t>VADILAL DAIRY INTERNATIONAL LTD.</t>
  </si>
  <si>
    <t>INE159T01016</t>
  </si>
  <si>
    <t>VADIDAI</t>
  </si>
  <si>
    <t>INE627Z01019</t>
  </si>
  <si>
    <t>TALWGYM</t>
  </si>
  <si>
    <t>SHIVOM INVESTMENT &amp; CONSULTANCY LIMITED</t>
  </si>
  <si>
    <t>INE074G01014</t>
  </si>
  <si>
    <t>SICLTD</t>
  </si>
  <si>
    <t>CYBERSCAPE MULTIMEDIA LTD.</t>
  </si>
  <si>
    <t>INE519B01019</t>
  </si>
  <si>
    <t>CYBERSC</t>
  </si>
  <si>
    <t>HIT KIT GLOBAL SOLUTIONS LTD</t>
  </si>
  <si>
    <t>INE309B01023</t>
  </si>
  <si>
    <t>HITKITGLO</t>
  </si>
  <si>
    <t>JAGSONPAL FINANCE &amp; LEASING LTD.</t>
  </si>
  <si>
    <t>INE582C01015</t>
  </si>
  <si>
    <t>JAGSONFI</t>
  </si>
  <si>
    <t>MAYUR LEATHER PRODUCTS LTD.</t>
  </si>
  <si>
    <t>INE799E01011</t>
  </si>
  <si>
    <t>MAYUR</t>
  </si>
  <si>
    <t>INE828D01010</t>
  </si>
  <si>
    <t>SUPRANEET</t>
  </si>
  <si>
    <t>DIAMANT INFRASTRUCTURE LIMITED</t>
  </si>
  <si>
    <t>INE206I01026</t>
  </si>
  <si>
    <t>DIAMANT</t>
  </si>
  <si>
    <t>INE439C01018</t>
  </si>
  <si>
    <t>ASEEMG</t>
  </si>
  <si>
    <t>AMIT SPINNING INDUSTRIES LTD.</t>
  </si>
  <si>
    <t>INE988A01026</t>
  </si>
  <si>
    <t>ASIL</t>
  </si>
  <si>
    <t>AMIT SECURITIES LTD.</t>
  </si>
  <si>
    <t>INE137E01014</t>
  </si>
  <si>
    <t>AMITSEC</t>
  </si>
  <si>
    <t>SHIVANSH FINSERV LIMITED</t>
  </si>
  <si>
    <t>INE728Q01014</t>
  </si>
  <si>
    <t>SHIVA</t>
  </si>
  <si>
    <t>S.R.INDUSTRIES LTD.</t>
  </si>
  <si>
    <t>INE329C01011</t>
  </si>
  <si>
    <t>SRIND</t>
  </si>
  <si>
    <t>SIP INDUSTRIES LTD</t>
  </si>
  <si>
    <t>INE186B01017</t>
  </si>
  <si>
    <t>SIPIND</t>
  </si>
  <si>
    <t>SHASHANK TRADERS LIMITED</t>
  </si>
  <si>
    <t>INE508R01018</t>
  </si>
  <si>
    <t>SHASHANK</t>
  </si>
  <si>
    <t>KANEL INDUSTRIES LIMITED</t>
  </si>
  <si>
    <t>INE252C01015</t>
  </si>
  <si>
    <t>KANELIND</t>
  </si>
  <si>
    <t>DHARANI FINANCE LTD.</t>
  </si>
  <si>
    <t>INE899D01011</t>
  </si>
  <si>
    <t>DHARFIN</t>
  </si>
  <si>
    <t>INTERNATIONAL DATA MANAGEMENTS LTD.</t>
  </si>
  <si>
    <t>INE649R01010</t>
  </si>
  <si>
    <t>IDM</t>
  </si>
  <si>
    <t>MODERN THREAD (INDIA) LTD.,</t>
  </si>
  <si>
    <t>INE794W01014</t>
  </si>
  <si>
    <t>MDRNTHR-B</t>
  </si>
  <si>
    <t>ESHA MEDIA RESEARCH LIMITED</t>
  </si>
  <si>
    <t>INE328F01016</t>
  </si>
  <si>
    <t>ESHAMEDIA</t>
  </si>
  <si>
    <t>ABHISHEK INFRAVENTURES LIMITED</t>
  </si>
  <si>
    <t>INE281P01016</t>
  </si>
  <si>
    <t>ABHIINFRA</t>
  </si>
  <si>
    <t>SAPTAK CHEM AND BUSINESS LIMITED</t>
  </si>
  <si>
    <t>INE467X01015</t>
  </si>
  <si>
    <t>SCBL</t>
  </si>
  <si>
    <t>I.C.S.A. (INDIA) LTD.</t>
  </si>
  <si>
    <t>INE306B01029</t>
  </si>
  <si>
    <t>ICSA</t>
  </si>
  <si>
    <t>THAKKERS GROUP LIMITED</t>
  </si>
  <si>
    <t>INE04VT01017</t>
  </si>
  <si>
    <t>THAKKERS</t>
  </si>
  <si>
    <t>DESH RAKSHAK AUSHDHALAYA LTD.</t>
  </si>
  <si>
    <t>INE971E01016</t>
  </si>
  <si>
    <t>DESHRAK</t>
  </si>
  <si>
    <t>PURPLE ENTERTAINMENT LIMITED</t>
  </si>
  <si>
    <t>INE905R01016</t>
  </si>
  <si>
    <t>PURPLE</t>
  </si>
  <si>
    <t>INE517E01017</t>
  </si>
  <si>
    <t>TULSI EXTRUSIONS LIMITED</t>
  </si>
  <si>
    <t>INE474I01012</t>
  </si>
  <si>
    <t>TULSI</t>
  </si>
  <si>
    <t>REKVINA LABORATORIES LTD</t>
  </si>
  <si>
    <t>INE092O01028</t>
  </si>
  <si>
    <t>VINRKLB</t>
  </si>
  <si>
    <t>SHAMROCK INDUSTRIAL CO. LTD.</t>
  </si>
  <si>
    <t>INE022F01015</t>
  </si>
  <si>
    <t>SHAMROIN</t>
  </si>
  <si>
    <t>INE177E01010</t>
  </si>
  <si>
    <t>SPVGLOBAL</t>
  </si>
  <si>
    <t>NATURA HUE CHEM LTD.</t>
  </si>
  <si>
    <t>INE487B01019</t>
  </si>
  <si>
    <t>NATHUEC</t>
  </si>
  <si>
    <t>CAMSON SEEDS LIMITED</t>
  </si>
  <si>
    <t>INE494T01017</t>
  </si>
  <si>
    <t>CAMSONSEEDS</t>
  </si>
  <si>
    <t>SVA INDIA LTD</t>
  </si>
  <si>
    <t>INE763K01014</t>
  </si>
  <si>
    <t>SVAINDIA</t>
  </si>
  <si>
    <t>ADJIA TECHNOLOGIES LIMITED</t>
  </si>
  <si>
    <t>INE0G0V01018</t>
  </si>
  <si>
    <t>ADJIA</t>
  </si>
  <si>
    <t>CHECKPOINT TRENDS LIMITED</t>
  </si>
  <si>
    <t>INE396H01019</t>
  </si>
  <si>
    <t>CHECKPOINT</t>
  </si>
  <si>
    <t>SHAKTI PRESS LTD.</t>
  </si>
  <si>
    <t>INE794C01016</t>
  </si>
  <si>
    <t>SHAKTIPR</t>
  </si>
  <si>
    <t>ENCHANTE JEWELLERY LTD.</t>
  </si>
  <si>
    <t>INE772C01012</t>
  </si>
  <si>
    <t>ENCHANTE</t>
  </si>
  <si>
    <t>HIGH STREET FILATEX LIMITED</t>
  </si>
  <si>
    <t>INE319M01011</t>
  </si>
  <si>
    <t>HIGHSTREE</t>
  </si>
  <si>
    <t>EMMSONS INTERNATIONAL LIMITED</t>
  </si>
  <si>
    <t>INE073C01015</t>
  </si>
  <si>
    <t>EMMSONS</t>
  </si>
  <si>
    <t>CHOKHANI INTERNATIONAL LTD.,</t>
  </si>
  <si>
    <t>INE772F01015</t>
  </si>
  <si>
    <t>CHOKINT</t>
  </si>
  <si>
    <t>GAJRA BEVEL GEARS LTD.,</t>
  </si>
  <si>
    <t>INE282D01010</t>
  </si>
  <si>
    <t>GAJRA</t>
  </si>
  <si>
    <t>FRONTLINE BUSINESS SOLUTIONS LTD.</t>
  </si>
  <si>
    <t>INE485D01035</t>
  </si>
  <si>
    <t>FRONTBUSS</t>
  </si>
  <si>
    <t>UNIWORTH LTD.,</t>
  </si>
  <si>
    <t>INE207A01013</t>
  </si>
  <si>
    <t>UNIWORTH</t>
  </si>
  <si>
    <t>MV COTSPIN LTD.</t>
  </si>
  <si>
    <t>INE586D01014</t>
  </si>
  <si>
    <t>MVCOTSP</t>
  </si>
  <si>
    <t>PFL INFOTECH LTD.</t>
  </si>
  <si>
    <t>INE600F01018</t>
  </si>
  <si>
    <t>PFLINFOTC</t>
  </si>
  <si>
    <t>S KUMARS.COM LTD.</t>
  </si>
  <si>
    <t>INE827A01018</t>
  </si>
  <si>
    <t>SKUMAR</t>
  </si>
  <si>
    <t>INDIAN BRIGHT STEEL CO. LTD.,</t>
  </si>
  <si>
    <t>INE566M01017</t>
  </si>
  <si>
    <t>IBRIGST</t>
  </si>
  <si>
    <t>TECHTREK INDIA LIMITED</t>
  </si>
  <si>
    <t>INE892N01015</t>
  </si>
  <si>
    <t>TECHTREK</t>
  </si>
  <si>
    <t>T. SPIRITUAL WORLD LTD.</t>
  </si>
  <si>
    <t>INE541C01037</t>
  </si>
  <si>
    <t>TSPIRITUAL</t>
  </si>
  <si>
    <t>INE453S01015</t>
  </si>
  <si>
    <t>KANUNGO</t>
  </si>
  <si>
    <t>BRIJLAXMI LEASING &amp; FINANCE LTD.</t>
  </si>
  <si>
    <t>INE957E01031</t>
  </si>
  <si>
    <t>BRIJLEAS</t>
  </si>
  <si>
    <t>CHPL INDUSTRIES LTD.</t>
  </si>
  <si>
    <t>INE714Q01014</t>
  </si>
  <si>
    <t>CHPLIND</t>
  </si>
  <si>
    <t>RADHAGOBIND COMMERCIAL LIMITED</t>
  </si>
  <si>
    <t>INE792P01020</t>
  </si>
  <si>
    <t>RCL</t>
  </si>
  <si>
    <t>GDL LEASING &amp; FINANCE LTD.</t>
  </si>
  <si>
    <t>INE545E01018</t>
  </si>
  <si>
    <t>GDLLEAS</t>
  </si>
  <si>
    <t>GAEKWAR MILLS LTD.,</t>
  </si>
  <si>
    <t>INE837X01027</t>
  </si>
  <si>
    <t>ZGAEKWAR</t>
  </si>
  <si>
    <t>VAX HOUSING FINANCE CORPORATION LTD</t>
  </si>
  <si>
    <t>INE761B01017</t>
  </si>
  <si>
    <t>VAXHS</t>
  </si>
  <si>
    <t>JAYABHARAT CREDIT LTD.,</t>
  </si>
  <si>
    <t>INE998D01011</t>
  </si>
  <si>
    <t>JAYBHCR</t>
  </si>
  <si>
    <t>DOLPHIN MEDICAL SERVICES LTD.</t>
  </si>
  <si>
    <t>INE796B01013</t>
  </si>
  <si>
    <t>DOLPHMED</t>
  </si>
  <si>
    <t>FILMCITY MEDIA LTD.</t>
  </si>
  <si>
    <t>INE600B01033</t>
  </si>
  <si>
    <t>FILME</t>
  </si>
  <si>
    <t>COX &amp; KINGS FINANCIAL SERVICE LIMITED</t>
  </si>
  <si>
    <t>INE391Z01012</t>
  </si>
  <si>
    <t>CKFSL</t>
  </si>
  <si>
    <t>INE081R01016</t>
  </si>
  <si>
    <t>KDLL</t>
  </si>
  <si>
    <t>EMPEE SUGARS &amp; CHEMICALS LTD.</t>
  </si>
  <si>
    <t>INE928B01012</t>
  </si>
  <si>
    <t>EMPEESUG</t>
  </si>
  <si>
    <t>EURO ASIA EXPORTS LTD.</t>
  </si>
  <si>
    <t>INE535P01015</t>
  </si>
  <si>
    <t>EUROASIA</t>
  </si>
  <si>
    <t>NICCO-UCO ALLIANCE CREDIT LTD.</t>
  </si>
  <si>
    <t>INE917B01023</t>
  </si>
  <si>
    <t>NICCOUCO</t>
  </si>
  <si>
    <t>CRESCENT LEASING LIMITED</t>
  </si>
  <si>
    <t>INE767G01013</t>
  </si>
  <si>
    <t>CLLIMITED</t>
  </si>
  <si>
    <t>JLA INFRAVILLE SHOPPERS LIMITED</t>
  </si>
  <si>
    <t>INE401Q01018</t>
  </si>
  <si>
    <t>JSHL</t>
  </si>
  <si>
    <t>OSWAL YARNS LTD.</t>
  </si>
  <si>
    <t>INE670H01017</t>
  </si>
  <si>
    <t>OSWAYRN</t>
  </si>
  <si>
    <t>BGIL FILMS &amp; TECHNOLOGIES LTD</t>
  </si>
  <si>
    <t>INE443D01018</t>
  </si>
  <si>
    <t>BGIL</t>
  </si>
  <si>
    <t>INE900O01014</t>
  </si>
  <si>
    <t>ENCODE</t>
  </si>
  <si>
    <t>NIKKI GLOBAL FINANCE LTD.</t>
  </si>
  <si>
    <t>INE526C01012</t>
  </si>
  <si>
    <t>NIKKIGL</t>
  </si>
  <si>
    <t>BHORUKA ALUMINIUM LTD.,</t>
  </si>
  <si>
    <t>INE866G01013</t>
  </si>
  <si>
    <t>BHRKALM</t>
  </si>
  <si>
    <t>HEMO ORGANIC LIMITED</t>
  </si>
  <si>
    <t>INE422G01015</t>
  </si>
  <si>
    <t>HEMORGANIC</t>
  </si>
  <si>
    <t>WELLNESS NONI LIMITED</t>
  </si>
  <si>
    <t>INE571H01017</t>
  </si>
  <si>
    <t>WELLNESS</t>
  </si>
  <si>
    <t>CLASSIC ELECTRICALS LTD.,</t>
  </si>
  <si>
    <t>INE02BR01017</t>
  </si>
  <si>
    <t>CLASELE</t>
  </si>
  <si>
    <t>JPT SECURITIES LTD.</t>
  </si>
  <si>
    <t>INE630C01012</t>
  </si>
  <si>
    <t>JPTSEC</t>
  </si>
  <si>
    <t>CARNATION INDUSTRIES LTD.</t>
  </si>
  <si>
    <t>INE081B01010</t>
  </si>
  <si>
    <t>CARNATIN</t>
  </si>
  <si>
    <t>INDIA INFRASPACE LTD</t>
  </si>
  <si>
    <t>INE954M01031</t>
  </si>
  <si>
    <t>INDINFRA</t>
  </si>
  <si>
    <t>VERONICA PRODUCTION LIMITED</t>
  </si>
  <si>
    <t>INE008M01044</t>
  </si>
  <si>
    <t>VERONICAPRO</t>
  </si>
  <si>
    <t>JAUSS POLYMERS LTD</t>
  </si>
  <si>
    <t>INE593O01017</t>
  </si>
  <si>
    <t>JAUSPOL</t>
  </si>
  <si>
    <t>INE715F01014</t>
  </si>
  <si>
    <t>ACEEDU</t>
  </si>
  <si>
    <t>VAISHNO CEMENT CO. LTD.</t>
  </si>
  <si>
    <t>INE116E01018</t>
  </si>
  <si>
    <t>VAICC</t>
  </si>
  <si>
    <t>GSL SECURITIES LTD.</t>
  </si>
  <si>
    <t>INE721D01017</t>
  </si>
  <si>
    <t>GSLSEC</t>
  </si>
  <si>
    <t>PRABHAV INDUSTRIES LIMITED</t>
  </si>
  <si>
    <t>INE538J01012</t>
  </si>
  <si>
    <t>PRABHAVIN</t>
  </si>
  <si>
    <t>SSPN FINANCE LIMITED</t>
  </si>
  <si>
    <t>INE820R01017</t>
  </si>
  <si>
    <t>SSPNFIN</t>
  </si>
  <si>
    <t>MODERN DENIM LIMITED</t>
  </si>
  <si>
    <t>INE01N301019</t>
  </si>
  <si>
    <t>MDRNSUT-B</t>
  </si>
  <si>
    <t>TWINSTAR INDUSTRIES LIMITED</t>
  </si>
  <si>
    <t>INE070B01013</t>
  </si>
  <si>
    <t>TWINSTAR</t>
  </si>
  <si>
    <t>GLOBUS CORPORATION LTD.</t>
  </si>
  <si>
    <t>INE774B01028</t>
  </si>
  <si>
    <t>GLOBUSCOR</t>
  </si>
  <si>
    <t>SOMA PAPERS &amp; INDUSTRIES LTD.,</t>
  </si>
  <si>
    <t>INE737E01011</t>
  </si>
  <si>
    <t>SOMAPPR</t>
  </si>
  <si>
    <t>ADARSH MERCANTILE LIMITED</t>
  </si>
  <si>
    <t>INE673E01018</t>
  </si>
  <si>
    <t>ADARSH</t>
  </si>
  <si>
    <t>INE315M01019</t>
  </si>
  <si>
    <t>SPANGLE</t>
  </si>
  <si>
    <t>KABRA DRUGS LTD</t>
  </si>
  <si>
    <t>INE323K01017</t>
  </si>
  <si>
    <t>KABRADG</t>
  </si>
  <si>
    <t>RAJESWARI INFRASTRUCTURE LIMITED</t>
  </si>
  <si>
    <t>INE016C01014</t>
  </si>
  <si>
    <t>RAJINFRA</t>
  </si>
  <si>
    <t>ASIAN BEARINGS LTD.,</t>
  </si>
  <si>
    <t>INE046C01011</t>
  </si>
  <si>
    <t>ASIANBRG</t>
  </si>
  <si>
    <t>VENMAX DRUGS AND PHARMACEUTICALS LTD</t>
  </si>
  <si>
    <t>INE154G01022</t>
  </si>
  <si>
    <t>VENMAX</t>
  </si>
  <si>
    <t>INE857P01021</t>
  </si>
  <si>
    <t>SBL</t>
  </si>
  <si>
    <t>INE163S01010</t>
  </si>
  <si>
    <t>NIDHISER</t>
  </si>
  <si>
    <t>UNIVERSAL ARTS LTD</t>
  </si>
  <si>
    <t>INE464B01018</t>
  </si>
  <si>
    <t>UNIVARTS</t>
  </si>
  <si>
    <t>AUTOMOBILE PRODUCTS OF INDIA LTD.,</t>
  </si>
  <si>
    <t>INE0NY101012</t>
  </si>
  <si>
    <t>AUTOPRD</t>
  </si>
  <si>
    <t>SANGUINE MEDIA LTD.</t>
  </si>
  <si>
    <t>INE617F01038</t>
  </si>
  <si>
    <t>SANGUI</t>
  </si>
  <si>
    <t>BRILLIANT PORTFOLIOS LTD.</t>
  </si>
  <si>
    <t>INE661F01010</t>
  </si>
  <si>
    <t>BRIPORT</t>
  </si>
  <si>
    <t>INE818R01011</t>
  </si>
  <si>
    <t>IISL</t>
  </si>
  <si>
    <t>GANESH HOLDING LTD.,</t>
  </si>
  <si>
    <t>INE932M01011</t>
  </si>
  <si>
    <t>GANHOLD</t>
  </si>
  <si>
    <t>INE982Q01017</t>
  </si>
  <si>
    <t>HANMAN</t>
  </si>
  <si>
    <t>SHAILJA COMMERCIAL TRADE FRENZY LIMITED</t>
  </si>
  <si>
    <t>INE195R01014</t>
  </si>
  <si>
    <t>SHAILJA</t>
  </si>
  <si>
    <t>NEOGEM INDIA LIMITED</t>
  </si>
  <si>
    <t>INE552E01014</t>
  </si>
  <si>
    <t>NOGMIND</t>
  </si>
  <si>
    <t>INE719G01014</t>
  </si>
  <si>
    <t>CONCRETE</t>
  </si>
  <si>
    <t>BIRLA TRANSASIA CARPETS LTD.,</t>
  </si>
  <si>
    <t>INE646O01013</t>
  </si>
  <si>
    <t>BIRLATR</t>
  </si>
  <si>
    <t>SHREE RAJESHWARANAND PAPER MILLS LT</t>
  </si>
  <si>
    <t>INE617D01017</t>
  </si>
  <si>
    <t>SRPML</t>
  </si>
  <si>
    <t>MID EAST PORTFOLIO MANAGEMENT LTD.</t>
  </si>
  <si>
    <t>INE033E01015</t>
  </si>
  <si>
    <t>MIDEASTP</t>
  </si>
  <si>
    <t>CORPORATE COURIER AND CARGO LTD</t>
  </si>
  <si>
    <t>INE871E01018</t>
  </si>
  <si>
    <t>CORPOCO</t>
  </si>
  <si>
    <t>BLUE BLENDS (INDIA) LTD</t>
  </si>
  <si>
    <t>INE113O01014</t>
  </si>
  <si>
    <t>BLUBLND-B</t>
  </si>
  <si>
    <t>R.R.SECURITIES LTD.</t>
  </si>
  <si>
    <t>INE474H01014</t>
  </si>
  <si>
    <t>RRSECUR</t>
  </si>
  <si>
    <t>CITY ONLINE SERVICES LIMITED</t>
  </si>
  <si>
    <t>INE158C01014</t>
  </si>
  <si>
    <t>CITYONLINE</t>
  </si>
  <si>
    <t>LINAKS MICROELECTRONICS LTD.</t>
  </si>
  <si>
    <t>INE028C01027</t>
  </si>
  <si>
    <t>LINAKS</t>
  </si>
  <si>
    <t>MAHAN INDUSTRIES LTD.</t>
  </si>
  <si>
    <t>INE735D01033</t>
  </si>
  <si>
    <t>MAHANIN</t>
  </si>
  <si>
    <t>INE253N01010</t>
  </si>
  <si>
    <t>MASL</t>
  </si>
  <si>
    <t>HRB FLOURICULTURE LTD.</t>
  </si>
  <si>
    <t>INE284D01016</t>
  </si>
  <si>
    <t>HRBFLOR</t>
  </si>
  <si>
    <t>MUDRA FINANCIAL SERVICES LTD.</t>
  </si>
  <si>
    <t>INE967S01014</t>
  </si>
  <si>
    <t>MUDRA</t>
  </si>
  <si>
    <t>NEHA INTERNATIONAL LTD.</t>
  </si>
  <si>
    <t>INE874D01022</t>
  </si>
  <si>
    <t>NEHAINT</t>
  </si>
  <si>
    <t>EMA INDIA LTD.</t>
  </si>
  <si>
    <t>INE279D01016</t>
  </si>
  <si>
    <t>EMAINDIA</t>
  </si>
  <si>
    <t>TIRUPATI INDUSTRIES (INDIA) LTD</t>
  </si>
  <si>
    <t>INE329E01017</t>
  </si>
  <si>
    <t>TIRIN</t>
  </si>
  <si>
    <t>GYAN DEVELOPERS &amp; BUILDERS LTD.</t>
  </si>
  <si>
    <t>INE487G01018</t>
  </si>
  <si>
    <t>GYANDEV</t>
  </si>
  <si>
    <t>SHRI KRISHNA PRASADAM LIMITED</t>
  </si>
  <si>
    <t>INE009Q01019</t>
  </si>
  <si>
    <t>SKP</t>
  </si>
  <si>
    <t>KUBER UDYOG LIMITED</t>
  </si>
  <si>
    <t>INE594R01018</t>
  </si>
  <si>
    <t>KUBERJI</t>
  </si>
  <si>
    <t>INE757Q01013</t>
  </si>
  <si>
    <t>SAANVI</t>
  </si>
  <si>
    <t>MADHUR INDUSTRIES LIMITED</t>
  </si>
  <si>
    <t>INE110C01015</t>
  </si>
  <si>
    <t>MADHURIND</t>
  </si>
  <si>
    <t>TRICOM FRUIT PRODUCTS LIMITED</t>
  </si>
  <si>
    <t>INE843F01014</t>
  </si>
  <si>
    <t>TRICOMFRU</t>
  </si>
  <si>
    <t>INE379R01014</t>
  </si>
  <si>
    <t>INE499F01015</t>
  </si>
  <si>
    <t>AMARVAN</t>
  </si>
  <si>
    <t>ANAND PROJECTS LTD</t>
  </si>
  <si>
    <t>INE134R01013</t>
  </si>
  <si>
    <t>ANANDPROJ</t>
  </si>
  <si>
    <t>TRILOGIC DIGITAL MEDIA LIMITED</t>
  </si>
  <si>
    <t>INE532D01018</t>
  </si>
  <si>
    <t>TRILOGIC</t>
  </si>
  <si>
    <t>INE752U01016</t>
  </si>
  <si>
    <t>PILLAR</t>
  </si>
  <si>
    <t>SAGAR SYSTECH LTD.</t>
  </si>
  <si>
    <t>INE771Z01015</t>
  </si>
  <si>
    <t>SAGARSYST</t>
  </si>
  <si>
    <t>INE088P01015</t>
  </si>
  <si>
    <t>IDINFO</t>
  </si>
  <si>
    <t>ARAMBHAN HOSPITALITY SERVICES LIMITED</t>
  </si>
  <si>
    <t>INE800S01017</t>
  </si>
  <si>
    <t>ARAMBHAN</t>
  </si>
  <si>
    <t>KLG CAPITAL SERVICES LTD.</t>
  </si>
  <si>
    <t>INE929C01018</t>
  </si>
  <si>
    <t>KLGCAP</t>
  </si>
  <si>
    <t>GALADA POWER &amp; COMMUNICATION LTD.</t>
  </si>
  <si>
    <t>INE255C01018</t>
  </si>
  <si>
    <t>GALADA</t>
  </si>
  <si>
    <t>HINDUSTHAN UDYOG LTD</t>
  </si>
  <si>
    <t>INE582K01018</t>
  </si>
  <si>
    <t>ZHINUDYP</t>
  </si>
  <si>
    <t>AUTORIDERS INTERNATIONAL LTD</t>
  </si>
  <si>
    <t>INE340U01010</t>
  </si>
  <si>
    <t>AUTOINT</t>
  </si>
  <si>
    <t>ASHOKA REFINERIES LTD.</t>
  </si>
  <si>
    <t>INE760M01016</t>
  </si>
  <si>
    <t>ASHOKRE</t>
  </si>
  <si>
    <t>INE179O01023</t>
  </si>
  <si>
    <t>TINEAGRO</t>
  </si>
  <si>
    <t>HARSHIL AGROTECH LIMITED</t>
  </si>
  <si>
    <t>INE098E01018</t>
  </si>
  <si>
    <t>HARSHILAGR</t>
  </si>
  <si>
    <t>PREMIER PIPES LIMITED</t>
  </si>
  <si>
    <t>INE448N01024</t>
  </si>
  <si>
    <t>PREMPIPES</t>
  </si>
  <si>
    <t>GOLDCOIN HEALTH FOODS LIMITED</t>
  </si>
  <si>
    <t>INE634J01019</t>
  </si>
  <si>
    <t>GOLDCOINHF</t>
  </si>
  <si>
    <t>INE160T01014</t>
  </si>
  <si>
    <t>PRHOLDING</t>
  </si>
  <si>
    <t>SWADESHI INDUSTRIES LEASING CO. LTD</t>
  </si>
  <si>
    <t>INE716M01034</t>
  </si>
  <si>
    <t>SWADEIN</t>
  </si>
  <si>
    <t>PADMANABH INDUSTRIES LIMITED</t>
  </si>
  <si>
    <t>INE743D01011</t>
  </si>
  <si>
    <t>PADMAIND</t>
  </si>
  <si>
    <t>REGENCY TRUST LTD.</t>
  </si>
  <si>
    <t>INE425F01028</t>
  </si>
  <si>
    <t>REGTRUS</t>
  </si>
  <si>
    <t>RKB AGRO INDUSTRIES LIMITED</t>
  </si>
  <si>
    <t>INE740A01013</t>
  </si>
  <si>
    <t>RKB</t>
  </si>
  <si>
    <t>OMKAR OVERSEAS LTD.</t>
  </si>
  <si>
    <t>INE680D01015</t>
  </si>
  <si>
    <t>OMKAR</t>
  </si>
  <si>
    <t>EASTERN SUGAR &amp; INDUSTRIES LTD.</t>
  </si>
  <si>
    <t>INE889B01016</t>
  </si>
  <si>
    <t>EASTSUGIND</t>
  </si>
  <si>
    <t>FILTRON ENGINEERS LTD.</t>
  </si>
  <si>
    <t>INE589N01017</t>
  </si>
  <si>
    <t>FILTRON</t>
  </si>
  <si>
    <t>GUPTA SYNTHETICS LTD.,</t>
  </si>
  <si>
    <t>INE957D01017</t>
  </si>
  <si>
    <t>GUPTSYN</t>
  </si>
  <si>
    <t>MAHAVIR INDUSTRIES LIMITED</t>
  </si>
  <si>
    <t>INE987M01023</t>
  </si>
  <si>
    <t>MAHAVIRIND</t>
  </si>
  <si>
    <t>CLASSIC GLOBAL FINANCE &amp; CAPITAL LTD.</t>
  </si>
  <si>
    <t>INE854P01028</t>
  </si>
  <si>
    <t>CCFCL</t>
  </si>
  <si>
    <t>VEGEPRO FOODS &amp; FEEDS LTD.,</t>
  </si>
  <si>
    <t>INE155O01015</t>
  </si>
  <si>
    <t>VGPRFOO</t>
  </si>
  <si>
    <t>GLEAM FABMAT LIMITED</t>
  </si>
  <si>
    <t>INE03CM01014</t>
  </si>
  <si>
    <t>GLEAM</t>
  </si>
  <si>
    <t>SER INDUSTRIES LTD</t>
  </si>
  <si>
    <t>INE358F01013</t>
  </si>
  <si>
    <t>SERIND</t>
  </si>
  <si>
    <t>REGAL ENTERTAINMENT &amp; CONSULTANTS LTD.</t>
  </si>
  <si>
    <t>INE101E01010</t>
  </si>
  <si>
    <t>REGAL</t>
  </si>
  <si>
    <t>WOMEN NETWORKS LTD.</t>
  </si>
  <si>
    <t>INE905B01010</t>
  </si>
  <si>
    <t>WOMENNET</t>
  </si>
  <si>
    <t>AAR SHYAM INDIA INVESTMENT COMPANY LIMITED</t>
  </si>
  <si>
    <t>INE512R01010</t>
  </si>
  <si>
    <t>AARSHYAM</t>
  </si>
  <si>
    <t>INE698V01019</t>
  </si>
  <si>
    <t>PFCSL</t>
  </si>
  <si>
    <t>ACHAL INVESTMENTS LIMITED</t>
  </si>
  <si>
    <t>INE860P01025</t>
  </si>
  <si>
    <t>ACHAL</t>
  </si>
  <si>
    <t>INE899M01012</t>
  </si>
  <si>
    <t>COVIDH</t>
  </si>
  <si>
    <t>SREE JAYALAKSHMI AUTOSPIN LTD.</t>
  </si>
  <si>
    <t>INE618F01010</t>
  </si>
  <si>
    <t>SREEJAYA</t>
  </si>
  <si>
    <t>KALPA COMMERCIAL LIMITED</t>
  </si>
  <si>
    <t>INE059Q01014</t>
  </si>
  <si>
    <t>KALPACOMME</t>
  </si>
  <si>
    <t>TRIUMPH INTERNATIONAL FINANCE INDIA</t>
  </si>
  <si>
    <t>INE382B01012</t>
  </si>
  <si>
    <t>TRIUMPIN</t>
  </si>
  <si>
    <t>IEC EDUCATION LIMITED</t>
  </si>
  <si>
    <t>INE172B01017</t>
  </si>
  <si>
    <t>IECEDU</t>
  </si>
  <si>
    <t>CHARMS INDUSTRIES LTD</t>
  </si>
  <si>
    <t>INE442C01012</t>
  </si>
  <si>
    <t>CHARMS</t>
  </si>
  <si>
    <t>SAVANT INFOCOMM LIMITED</t>
  </si>
  <si>
    <t>INE898E01011</t>
  </si>
  <si>
    <t>SAVINFOCO</t>
  </si>
  <si>
    <t>CURA TECHNOLOGIES LIMITED</t>
  </si>
  <si>
    <t>INE117B01012</t>
  </si>
  <si>
    <t>CURATECH</t>
  </si>
  <si>
    <t>BRONZE INFRA-TECH LIMITED</t>
  </si>
  <si>
    <t>INE830N01015</t>
  </si>
  <si>
    <t>BITL</t>
  </si>
  <si>
    <t>TELEPHONE CABLES LTD</t>
  </si>
  <si>
    <t>INE745C01018</t>
  </si>
  <si>
    <t>TELECABL</t>
  </si>
  <si>
    <t>SRI CHAKRA CEMENT LIMITED</t>
  </si>
  <si>
    <t>INE827D01020</t>
  </si>
  <si>
    <t>SRICC</t>
  </si>
  <si>
    <t>SUPER SYNCOTEX (INDIA) LTD.,</t>
  </si>
  <si>
    <t>INE542D01017</t>
  </si>
  <si>
    <t>SUPERSYN</t>
  </si>
  <si>
    <t>ADVANCE MULTITECH LTD.</t>
  </si>
  <si>
    <t>INE875S01019</t>
  </si>
  <si>
    <t>ADVMULT</t>
  </si>
  <si>
    <t>SESHACHAL TECHNOLOGIES LTD</t>
  </si>
  <si>
    <t>INE331F01010</t>
  </si>
  <si>
    <t>SESHACHAL</t>
  </si>
  <si>
    <t>VISU INTERNATIONAL LTD.</t>
  </si>
  <si>
    <t>INE965A01016</t>
  </si>
  <si>
    <t>VISUINTL</t>
  </si>
  <si>
    <t>JRI INDUSTRIES &amp; INFRASTRUCTURE LIMITED</t>
  </si>
  <si>
    <t>INE022M01029</t>
  </si>
  <si>
    <t>JRIIIL</t>
  </si>
  <si>
    <t>SUPRA TRENDS LIMITED</t>
  </si>
  <si>
    <t>INE533B01028</t>
  </si>
  <si>
    <t>SUPRATRE</t>
  </si>
  <si>
    <t>PALSOFT INFOSYSTEMS LTD.</t>
  </si>
  <si>
    <t>INE969B01016</t>
  </si>
  <si>
    <t>PALSOFT</t>
  </si>
  <si>
    <t>INE092S01011</t>
  </si>
  <si>
    <t>RITZ</t>
  </si>
  <si>
    <t>CES LIMITED</t>
  </si>
  <si>
    <t>INE396F01013</t>
  </si>
  <si>
    <t>CESL</t>
  </si>
  <si>
    <t>BMB MUSIC &amp; MAGNETICS LTD.</t>
  </si>
  <si>
    <t>INE644K01016</t>
  </si>
  <si>
    <t>BMBMUMG</t>
  </si>
  <si>
    <t>INE023F01013</t>
  </si>
  <si>
    <t>SCEL</t>
  </si>
  <si>
    <t>RATHI GRAPHICS TECHNOLOGIES LTD.</t>
  </si>
  <si>
    <t>INE886C01010</t>
  </si>
  <si>
    <t>RATHIGRA</t>
  </si>
  <si>
    <t>GUJARAT PERSTORP ELECTRONICS LTD.</t>
  </si>
  <si>
    <t>INE878D01015</t>
  </si>
  <si>
    <t>GUJPE</t>
  </si>
  <si>
    <t>EMGEE CABLES &amp; COMMUNICATIONS LTD.</t>
  </si>
  <si>
    <t>INE128F01010</t>
  </si>
  <si>
    <t>EMGEECA</t>
  </si>
  <si>
    <t>MARDIA SAMYOUNG CAPILLARY TUBES CO.</t>
  </si>
  <si>
    <t>INE277E01026</t>
  </si>
  <si>
    <t>MSCTC</t>
  </si>
  <si>
    <t>INE993L01015</t>
  </si>
  <si>
    <t>GENERAAGRI</t>
  </si>
  <si>
    <t>CUPID TRADES &amp; FINANCE LTD.,</t>
  </si>
  <si>
    <t>INE108G01010</t>
  </si>
  <si>
    <t>CUPIDTR</t>
  </si>
  <si>
    <t>ADVANCE POWERINFRA TECH LIMITED</t>
  </si>
  <si>
    <t>INE009D01017</t>
  </si>
  <si>
    <t>ADVPOWER</t>
  </si>
  <si>
    <t>GARLON POLYFAB INDUSTRIES LTD.</t>
  </si>
  <si>
    <t>INE875E01019</t>
  </si>
  <si>
    <t>GARLNIN</t>
  </si>
  <si>
    <t>LYONS CORPORATE MARKET LTD.</t>
  </si>
  <si>
    <t>INE100F01019</t>
  </si>
  <si>
    <t>LYONSCO</t>
  </si>
  <si>
    <t xml:space="preserve">CHANDRIMA MERCANTILES LIMITED </t>
  </si>
  <si>
    <t>INE371F01016</t>
  </si>
  <si>
    <t>CHANDRIMA</t>
  </si>
  <si>
    <t>KOTHARI INDUSTRIAL CORPN. LTD.,</t>
  </si>
  <si>
    <t>INE972A01020</t>
  </si>
  <si>
    <t>KOTIC</t>
  </si>
  <si>
    <t>VAISHNAVI GOLD LIMITED</t>
  </si>
  <si>
    <t>INE535B01015</t>
  </si>
  <si>
    <t>VAISHNAVI</t>
  </si>
  <si>
    <t>NIVI TRADING LTD.,</t>
  </si>
  <si>
    <t>INE552F01011</t>
  </si>
  <si>
    <t>ZNIVITRD</t>
  </si>
  <si>
    <t>JAGSON AIRLINES LTD.</t>
  </si>
  <si>
    <t>INE685B01018</t>
  </si>
  <si>
    <t>JAGSONAI</t>
  </si>
  <si>
    <t>FOURTH GENERATION INFORMATION SYSTEMS LTD</t>
  </si>
  <si>
    <t>INE739B01039</t>
  </si>
  <si>
    <t>4THGEN</t>
  </si>
  <si>
    <t>INE719C01013</t>
  </si>
  <si>
    <t>JECOEXP</t>
  </si>
  <si>
    <t>INE510L01017</t>
  </si>
  <si>
    <t>FIRL</t>
  </si>
  <si>
    <t>KEDIA CONSTRUCTION CO. LTD.,</t>
  </si>
  <si>
    <t>INE511J01027</t>
  </si>
  <si>
    <t>KEDIACN</t>
  </si>
  <si>
    <t>BENGAL STEEL INDUSTRIES LTD.,</t>
  </si>
  <si>
    <t>INE523W01017</t>
  </si>
  <si>
    <t>BENGALS</t>
  </si>
  <si>
    <t>ARIHANT INSTITUTE LIMITED</t>
  </si>
  <si>
    <t>INE997Z01016</t>
  </si>
  <si>
    <t>ARIHANTINS</t>
  </si>
  <si>
    <t>RAJASTHAN PETRO SYNTHETICS LTD.,</t>
  </si>
  <si>
    <t>INE374C01017</t>
  </si>
  <si>
    <t>RAJSPTR</t>
  </si>
  <si>
    <t>OSWAL LEASING LTD.,</t>
  </si>
  <si>
    <t>INE811Q01018</t>
  </si>
  <si>
    <t>OSWALEA</t>
  </si>
  <si>
    <t>KHYATI MULTIMEDIA-ENTERTAINMENT LTD</t>
  </si>
  <si>
    <t>INE593B01030</t>
  </si>
  <si>
    <t>KHYATI</t>
  </si>
  <si>
    <t>SOLIS MARKETING LIMITED</t>
  </si>
  <si>
    <t>INE717P01027</t>
  </si>
  <si>
    <t>SOLISMAR</t>
  </si>
  <si>
    <t>SOFTBPO GLOBAL SERVICES LTD.</t>
  </si>
  <si>
    <t>INE459E01012</t>
  </si>
  <si>
    <t>SOFTBPO</t>
  </si>
  <si>
    <t>GSL NOVA PETROCHEMICALS LIMITED</t>
  </si>
  <si>
    <t>INE787A01022</t>
  </si>
  <si>
    <t>GSLNOVA</t>
  </si>
  <si>
    <t>GBL INDUSTRIES LIMITED</t>
  </si>
  <si>
    <t>INE003Q01012</t>
  </si>
  <si>
    <t>GBLIL</t>
  </si>
  <si>
    <t>INE162S01012</t>
  </si>
  <si>
    <t>UDDHAV</t>
  </si>
  <si>
    <t>ZENITH COMPUTERS LTD.,</t>
  </si>
  <si>
    <t>INE598B01013</t>
  </si>
  <si>
    <t>ZENITHCOMP</t>
  </si>
  <si>
    <t>TMT (INDIA) LTD.</t>
  </si>
  <si>
    <t>INE182E01010</t>
  </si>
  <si>
    <t>TMTIND-B1</t>
  </si>
  <si>
    <t>ASHUTOSH PAPER MILLS LTD.</t>
  </si>
  <si>
    <t>INE723K01018</t>
  </si>
  <si>
    <t>ASHUTPM</t>
  </si>
  <si>
    <t>SHREENATH INVESTMENTS CO. LTD.,</t>
  </si>
  <si>
    <t>INE475V01012</t>
  </si>
  <si>
    <t>SHRENTI</t>
  </si>
  <si>
    <t>SHERATON PROPERTIES &amp; FINANCE LTD.,</t>
  </si>
  <si>
    <t>INE495M01019</t>
  </si>
  <si>
    <t>ZSHERAPR</t>
  </si>
  <si>
    <t>INE720D01019</t>
  </si>
  <si>
    <t>ANERI</t>
  </si>
  <si>
    <t>VALLEY MAGNESITE COMPANY LIMITED</t>
  </si>
  <si>
    <t>INE834E01016</t>
  </si>
  <si>
    <t>VALLEY</t>
  </si>
  <si>
    <t>SAMTEL (INDIA) LTD.,</t>
  </si>
  <si>
    <t>INE538C01017</t>
  </si>
  <si>
    <t>SAMTELIN</t>
  </si>
  <si>
    <t>ADITYA FORGE LTD</t>
  </si>
  <si>
    <t>INE281H01013</t>
  </si>
  <si>
    <t>ADTYFRG</t>
  </si>
  <si>
    <t>SRIVEN MULTI-TECH LTD</t>
  </si>
  <si>
    <t>INE004B01012</t>
  </si>
  <si>
    <t>SRIMT</t>
  </si>
  <si>
    <t>SINDU VALLEY TECHNOLOGIES LTD.</t>
  </si>
  <si>
    <t>INE809Q01012</t>
  </si>
  <si>
    <t>SINDUVA</t>
  </si>
  <si>
    <t>UNIPRO TECHNOLOGIES LIMITED</t>
  </si>
  <si>
    <t>INE448F01012</t>
  </si>
  <si>
    <t>UPROTECH</t>
  </si>
  <si>
    <t>TRANSGLOBE FOODS LTD.</t>
  </si>
  <si>
    <t>INE213P01027</t>
  </si>
  <si>
    <t>TRANSFD</t>
  </si>
  <si>
    <t>INE061Z01011</t>
  </si>
  <si>
    <t>DCL</t>
  </si>
  <si>
    <t>INE841E01011</t>
  </si>
  <si>
    <t>CRAZY INFOTECH LTD.</t>
  </si>
  <si>
    <t>INE664B01021</t>
  </si>
  <si>
    <t>CRAZYINF</t>
  </si>
  <si>
    <t>INE669R01018</t>
  </si>
  <si>
    <t>ELITECON</t>
  </si>
  <si>
    <t>DUGAR HOUSING DEVELOPMENTS LIMITED</t>
  </si>
  <si>
    <t>INE919M01018</t>
  </si>
  <si>
    <t>DUGARHOU</t>
  </si>
  <si>
    <t>SARVAMANGAL MERCANTILE CO. LTD.,</t>
  </si>
  <si>
    <t>INE978L01016</t>
  </si>
  <si>
    <t>ZSARVAMA</t>
  </si>
  <si>
    <t>UNIWORTH SECURITIES LIMITED</t>
  </si>
  <si>
    <t>INE728J01019</t>
  </si>
  <si>
    <t>UNIWSEC</t>
  </si>
  <si>
    <t>YASH TRADING &amp; FINANCE LTD.,</t>
  </si>
  <si>
    <t>INE745A01012</t>
  </si>
  <si>
    <t>YASTF</t>
  </si>
  <si>
    <t>INE630M01011</t>
  </si>
  <si>
    <t>MEPL</t>
  </si>
  <si>
    <t>DARJEELING ROPEWAY COMPANY LIMITED</t>
  </si>
  <si>
    <t>INE830S01014</t>
  </si>
  <si>
    <t>DARJEELING</t>
  </si>
  <si>
    <t>ESQUIRE MONEY GUARANTEES LTD</t>
  </si>
  <si>
    <t>INE0HMN01013</t>
  </si>
  <si>
    <t>ESQRMON</t>
  </si>
  <si>
    <t>INDO GULF INDUSTRIES  LTD.,</t>
  </si>
  <si>
    <t>INE684U01011</t>
  </si>
  <si>
    <t>IGLFXPL-B</t>
  </si>
  <si>
    <t>INDO CREDIT CAPITAL LTD.</t>
  </si>
  <si>
    <t>INE147D01015</t>
  </si>
  <si>
    <t>INDOCRED</t>
  </si>
  <si>
    <t>SRI VAJRA GRANITES LTD.</t>
  </si>
  <si>
    <t>INE047H01018</t>
  </si>
  <si>
    <t>SRIVAJRA</t>
  </si>
  <si>
    <t>KKRRAFTON DEVELOPERS LIMITED</t>
  </si>
  <si>
    <t>INE893C01032</t>
  </si>
  <si>
    <t>KDL</t>
  </si>
  <si>
    <t>VICTORIA ENTERPRISES LIMITED</t>
  </si>
  <si>
    <t>INE082E01012</t>
  </si>
  <si>
    <t>VICTENT</t>
  </si>
  <si>
    <t>INE956N01018</t>
  </si>
  <si>
    <t>DENIMDL</t>
  </si>
  <si>
    <t>MEGLON INFRA-REAL (INDIA) LTD.</t>
  </si>
  <si>
    <t>INE218B01018</t>
  </si>
  <si>
    <t>MEGLON</t>
  </si>
  <si>
    <t>INE691J01019</t>
  </si>
  <si>
    <t>HCLTD</t>
  </si>
  <si>
    <t>DHRUV ESTATES LTD.,</t>
  </si>
  <si>
    <t>INE780E01011</t>
  </si>
  <si>
    <t>DHRUVES</t>
  </si>
  <si>
    <t>NEW MARKETS ADVISORY LTD</t>
  </si>
  <si>
    <t>INE800K01014</t>
  </si>
  <si>
    <t>NEWMKTADV</t>
  </si>
  <si>
    <t>RANJIT SECURITIES LTD.</t>
  </si>
  <si>
    <t>INE863D01017</t>
  </si>
  <si>
    <t>RANJITSE</t>
  </si>
  <si>
    <t>SANMITRA COMMERCIAL LTD.,</t>
  </si>
  <si>
    <t>INE896J01014</t>
  </si>
  <si>
    <t>ZSANMCOM</t>
  </si>
  <si>
    <t>INE999D01019</t>
  </si>
  <si>
    <t>NAWRATAN</t>
  </si>
  <si>
    <t>PAWANSUT HOLDINGS LIMITED</t>
  </si>
  <si>
    <t>INE260M01017</t>
  </si>
  <si>
    <t>PAWANSUT</t>
  </si>
  <si>
    <t>OLYMPIC MANAGEMENT &amp; FINANCIAL SERV</t>
  </si>
  <si>
    <t>INE091N01014</t>
  </si>
  <si>
    <t>OLYMTFI</t>
  </si>
  <si>
    <t>GUJARAT CYPROMET LTD.</t>
  </si>
  <si>
    <t>INE673B01014</t>
  </si>
  <si>
    <t>GUJCYPROM</t>
  </si>
  <si>
    <t>INE844E01015</t>
  </si>
  <si>
    <t>SGETL</t>
  </si>
  <si>
    <t>FORTUNE FOODS LTD</t>
  </si>
  <si>
    <t>INE712V01018</t>
  </si>
  <si>
    <t>FORFOOD</t>
  </si>
  <si>
    <t>TECHNOJET CONSULTANTS LTD.,</t>
  </si>
  <si>
    <t>INE881P01013</t>
  </si>
  <si>
    <t>TECHCON</t>
  </si>
  <si>
    <t>INDITALIA REFCON LTD.</t>
  </si>
  <si>
    <t>INE149C01013</t>
  </si>
  <si>
    <t>INDITALIA</t>
  </si>
  <si>
    <t>RAYMED LABS. LTD.</t>
  </si>
  <si>
    <t>INE741C01017</t>
  </si>
  <si>
    <t>RAYLA</t>
  </si>
  <si>
    <t>FIVE X TRADECOM LIMITED</t>
  </si>
  <si>
    <t>INE750L01019</t>
  </si>
  <si>
    <t>FIVEXTRADE</t>
  </si>
  <si>
    <t>OASIS TRADELINK LIMITED</t>
  </si>
  <si>
    <t>INE189Q01019</t>
  </si>
  <si>
    <t>OASIS</t>
  </si>
  <si>
    <t>INE842E01019</t>
  </si>
  <si>
    <t>BHAIRAV</t>
  </si>
  <si>
    <t>INE843E01017</t>
  </si>
  <si>
    <t>RISHABHENT</t>
  </si>
  <si>
    <t>INE463R01016</t>
  </si>
  <si>
    <t>SHREYANS</t>
  </si>
  <si>
    <t>INE830R01016</t>
  </si>
  <si>
    <t>SKYWEB</t>
  </si>
  <si>
    <t>INE536R01019</t>
  </si>
  <si>
    <t>INE307I01014</t>
  </si>
  <si>
    <t>DHAVAL</t>
  </si>
  <si>
    <t>INE349T01013</t>
  </si>
  <si>
    <t>TRIDENTIND</t>
  </si>
  <si>
    <t>COSBOARD INDUSTRIES LTD.</t>
  </si>
  <si>
    <t>INE496D01016</t>
  </si>
  <si>
    <t>COSBOARD</t>
  </si>
  <si>
    <t>SAPAN CHEMICALS LIMITED</t>
  </si>
  <si>
    <t>INE823E01035</t>
  </si>
  <si>
    <t>SAPANCHEM</t>
  </si>
  <si>
    <t>OMANSH ENTERPRISES LIMITED</t>
  </si>
  <si>
    <t>INE378P01028</t>
  </si>
  <si>
    <t>OMANSH</t>
  </si>
  <si>
    <t>P. B. FILMS LIMITED</t>
  </si>
  <si>
    <t>INE212Q01019</t>
  </si>
  <si>
    <t>PBFL</t>
  </si>
  <si>
    <t>INE777R01019</t>
  </si>
  <si>
    <t>SNSPL</t>
  </si>
  <si>
    <t>INE395F01023</t>
  </si>
  <si>
    <t>STELLANT</t>
  </si>
  <si>
    <t>INE458T01012</t>
  </si>
  <si>
    <t>DDVENTURES</t>
  </si>
  <si>
    <t>BLUE PEARL TEXSPIN LIMITED</t>
  </si>
  <si>
    <t>INE439N01023</t>
  </si>
  <si>
    <t>BPTEX</t>
  </si>
  <si>
    <t>SHAH CONSTRUCTION CO. LTD.,</t>
  </si>
  <si>
    <t>INE02C301011</t>
  </si>
  <si>
    <t>SHAHCON</t>
  </si>
  <si>
    <t>SPEEDAGE COMMERCIALS LTD.,</t>
  </si>
  <si>
    <t>INE497M01015</t>
  </si>
  <si>
    <t>ZSPEEDCO</t>
  </si>
  <si>
    <t>ALANG MARINE LTD.</t>
  </si>
  <si>
    <t>INE0D6901011</t>
  </si>
  <si>
    <t>ALANGMR-B</t>
  </si>
  <si>
    <t>SURBHI INDUSTRIES LIMITED</t>
  </si>
  <si>
    <t>INE899E01019</t>
  </si>
  <si>
    <t>SURBHIN</t>
  </si>
  <si>
    <t>ASIAN FERTILISERS LTD.</t>
  </si>
  <si>
    <t>INE01OY01018</t>
  </si>
  <si>
    <t>ASIANFR</t>
  </si>
  <si>
    <t>ABHISHEK CORPORATION LTD</t>
  </si>
  <si>
    <t>INE004I01017</t>
  </si>
  <si>
    <t>ABHISHEK</t>
  </si>
  <si>
    <t>INE947R01018</t>
  </si>
  <si>
    <t>ASSOFIN</t>
  </si>
  <si>
    <t>G.R.CABLES LTD.</t>
  </si>
  <si>
    <t>INE769B01010</t>
  </si>
  <si>
    <t>GRCABLE</t>
  </si>
  <si>
    <t>INE465E01019</t>
  </si>
  <si>
    <t>WINMORE</t>
  </si>
  <si>
    <t>FRONTLINE FINANCIAL SERVICES LTD.</t>
  </si>
  <si>
    <t>INE776R01011</t>
  </si>
  <si>
    <t>FRONTFN</t>
  </si>
  <si>
    <t>GOLD ROCK INVESTMENTS LTD.,</t>
  </si>
  <si>
    <t>INE598F01014</t>
  </si>
  <si>
    <t>ZGOLDINV</t>
  </si>
  <si>
    <t>GAGAN POLYCOT INDIA LTD.</t>
  </si>
  <si>
    <t>INE297L01011</t>
  </si>
  <si>
    <t>GAGANPO</t>
  </si>
  <si>
    <t>INE173V01013</t>
  </si>
  <si>
    <t>HITECHWIND</t>
  </si>
  <si>
    <t>UNIWORTH INTERNATIONAL LTD.</t>
  </si>
  <si>
    <t>INE760D01015</t>
  </si>
  <si>
    <t>UNIIN</t>
  </si>
  <si>
    <t>BETALA GLOBAL SECURITIES LTD.</t>
  </si>
  <si>
    <t>INE658E01027</t>
  </si>
  <si>
    <t>BETALA</t>
  </si>
  <si>
    <t>GEETANJALI CREDIT AND CAPITAL LIMITED</t>
  </si>
  <si>
    <t>INE263R01010</t>
  </si>
  <si>
    <t>GEETANJ</t>
  </si>
  <si>
    <t>INE800E01017</t>
  </si>
  <si>
    <t>NKTEXTILE</t>
  </si>
  <si>
    <t>INE948R01016</t>
  </si>
  <si>
    <t>NEWAGE</t>
  </si>
  <si>
    <t>REVATI ORGANICS LTD.</t>
  </si>
  <si>
    <t>INE270D01015</t>
  </si>
  <si>
    <t>REVAORG</t>
  </si>
  <si>
    <t>TWIN ROSES TRADES &amp; AGENCIES LTD.,</t>
  </si>
  <si>
    <t>INE436U01016</t>
  </si>
  <si>
    <t>TWIROST</t>
  </si>
  <si>
    <t>INE310W01019</t>
  </si>
  <si>
    <t>MOLIND</t>
  </si>
  <si>
    <t>BARON INFOTECH LTD.</t>
  </si>
  <si>
    <t>INE228B01017</t>
  </si>
  <si>
    <t>BARONINF</t>
  </si>
  <si>
    <t>ATN INTERNATIONAL LTD.</t>
  </si>
  <si>
    <t>INE803A01027</t>
  </si>
  <si>
    <t>ATNINTER</t>
  </si>
  <si>
    <t>KILBURN OFFICE AUTOMATION LTD.</t>
  </si>
  <si>
    <t>INE793E01014</t>
  </si>
  <si>
    <t>KILBURN</t>
  </si>
  <si>
    <t>INE790U01016</t>
  </si>
  <si>
    <t>ATLANTIC</t>
  </si>
  <si>
    <t>MASTER CHEMICALS LTD.,</t>
  </si>
  <si>
    <t>INE523D01017</t>
  </si>
  <si>
    <t>MASCH</t>
  </si>
  <si>
    <t>SILVER OAK COMMERCIAL LTD.,</t>
  </si>
  <si>
    <t>INE798C01017</t>
  </si>
  <si>
    <t>SILVERO</t>
  </si>
  <si>
    <t>UNION BEARINGS (INDIA) LTD.</t>
  </si>
  <si>
    <t>INE670F01011</t>
  </si>
  <si>
    <t>UNIONBE</t>
  </si>
  <si>
    <t>BOBSHELL ELECTRODES LTD.</t>
  </si>
  <si>
    <t>INE896B01011</t>
  </si>
  <si>
    <t>BOBSHELL</t>
  </si>
  <si>
    <t>COVENTRY COIL-O-MATIC (HARYANA) LTD</t>
  </si>
  <si>
    <t>INE964D01013</t>
  </si>
  <si>
    <t>Coventry</t>
  </si>
  <si>
    <t>PREMIUM CAPITAL MARKET &amp; INVESTMENT</t>
  </si>
  <si>
    <t>INE555D01019</t>
  </si>
  <si>
    <t>PREMCAPM</t>
  </si>
  <si>
    <t>NACHMO KNITEX LTD.</t>
  </si>
  <si>
    <t>INE228C01015</t>
  </si>
  <si>
    <t>NACHKNIT</t>
  </si>
  <si>
    <t>SATYAM SILK MILLS LTD</t>
  </si>
  <si>
    <t>INE07MC01015</t>
  </si>
  <si>
    <t>ZSATYASL</t>
  </si>
  <si>
    <t>BAFFIN ENGINEERING PROJECTS LTD.</t>
  </si>
  <si>
    <t>INE786D01036</t>
  </si>
  <si>
    <t>BAFEG</t>
  </si>
  <si>
    <t>JUMBO FINANCE LTD.,</t>
  </si>
  <si>
    <t>INE122N01017</t>
  </si>
  <si>
    <t>JUMBFNL</t>
  </si>
  <si>
    <t>RAJVI LOGITRADE LIMITED</t>
  </si>
  <si>
    <t>INE381N01019</t>
  </si>
  <si>
    <t>RAJVI</t>
  </si>
  <si>
    <t>NCC FINANCE LTD.</t>
  </si>
  <si>
    <t>INE768B01012</t>
  </si>
  <si>
    <t>NCCFIN</t>
  </si>
  <si>
    <t>INE262V01014</t>
  </si>
  <si>
    <t>CASTLE</t>
  </si>
  <si>
    <t>DATASOFT APPLICATION SOFTWARE (I) L</t>
  </si>
  <si>
    <t>INE072B01027</t>
  </si>
  <si>
    <t>DATASOFT</t>
  </si>
  <si>
    <t>NOURITRANS EXIM LIMITED</t>
  </si>
  <si>
    <t>INE555X01017</t>
  </si>
  <si>
    <t>NEL</t>
  </si>
  <si>
    <t>TIVOLI CONSTRUCTION LTD.,</t>
  </si>
  <si>
    <t>INE747V01014</t>
  </si>
  <si>
    <t>TVOLCON</t>
  </si>
  <si>
    <t>ALNA TRADING &amp; EXPORTS LTD.,</t>
  </si>
  <si>
    <t>INE07I701011</t>
  </si>
  <si>
    <t>ALNATRD</t>
  </si>
  <si>
    <t>MAHASHREE TRADING LTD.,</t>
  </si>
  <si>
    <t>INE924T01013</t>
  </si>
  <si>
    <t>MAHSHRE</t>
  </si>
  <si>
    <t>MANGALYA SOFT-TECH LTD.</t>
  </si>
  <si>
    <t>INE820B01011</t>
  </si>
  <si>
    <t>MANGASOF</t>
  </si>
  <si>
    <t>INE808W01012</t>
  </si>
  <si>
    <t>MLINDLTD</t>
  </si>
  <si>
    <t>MANSOON TRADING CO. LTD.,</t>
  </si>
  <si>
    <t>INE776V01013</t>
  </si>
  <si>
    <t>ZMANSOON</t>
  </si>
  <si>
    <t>ASUTOSH ENTERPRISE LTD.</t>
  </si>
  <si>
    <t>INE508W01018</t>
  </si>
  <si>
    <t>ASUTENT</t>
  </si>
  <si>
    <t>INE847M01011</t>
  </si>
  <si>
    <t>JATALIA</t>
  </si>
  <si>
    <t>INE557E01013</t>
  </si>
  <si>
    <t>PRIYAINT</t>
  </si>
  <si>
    <t>SHIKHAR CONSULTANTS LTD.</t>
  </si>
  <si>
    <t>INE641B01011</t>
  </si>
  <si>
    <t>SHIKHAR</t>
  </si>
  <si>
    <t>INE530F01017</t>
  </si>
  <si>
    <t>SUPREMECOM</t>
  </si>
  <si>
    <t>ANSHUNI COMMERCIALS LTD.,</t>
  </si>
  <si>
    <t>INE425H01016</t>
  </si>
  <si>
    <t>ANSHNCO</t>
  </si>
  <si>
    <t>INE343T01016</t>
  </si>
  <si>
    <t>MORNMEDIA</t>
  </si>
  <si>
    <t>RIDHI SYNTHETICS LTD.</t>
  </si>
  <si>
    <t>INE07LK01010</t>
  </si>
  <si>
    <t>RIDHISYN</t>
  </si>
  <si>
    <t>INE353T01015</t>
  </si>
  <si>
    <t>JOML</t>
  </si>
  <si>
    <t>KENGOLD (INDIA) LTD.</t>
  </si>
  <si>
    <t>INE680C01025</t>
  </si>
  <si>
    <t>KENGI</t>
  </si>
  <si>
    <t>INE901E01021</t>
  </si>
  <si>
    <t>PATNAELECT</t>
  </si>
  <si>
    <t>ISHWARSHAKTI HOLDINGS &amp; TRADERS LTD</t>
  </si>
  <si>
    <t>INE073I01012</t>
  </si>
  <si>
    <t>ISHWATR</t>
  </si>
  <si>
    <t>KAJAL SYNTHETICS AND SILK MILLS LTD</t>
  </si>
  <si>
    <t>INE956V01011</t>
  </si>
  <si>
    <t>KAJALSY</t>
  </si>
  <si>
    <t>OXFORD INDUSTRIES LTD.</t>
  </si>
  <si>
    <t>INE114D01015</t>
  </si>
  <si>
    <t>OXFORDIN</t>
  </si>
  <si>
    <t>SAFAL SECURITIES LIMITED</t>
  </si>
  <si>
    <t>INE101L01031</t>
  </si>
  <si>
    <t>SAFALSEC</t>
  </si>
  <si>
    <t>MATRA REALTY LTD</t>
  </si>
  <si>
    <t>INE190E01021</t>
  </si>
  <si>
    <t>MATRAREAL</t>
  </si>
  <si>
    <t>G-TECH INFO-TRAINING LTD.</t>
  </si>
  <si>
    <t>INE634D01038</t>
  </si>
  <si>
    <t>GTEIT</t>
  </si>
  <si>
    <t>PASUPATI FINCAP LTD.</t>
  </si>
  <si>
    <t>INE527C01010</t>
  </si>
  <si>
    <t>PASUFIN</t>
  </si>
  <si>
    <t>AYOKI MERCANTILE LTD.,</t>
  </si>
  <si>
    <t>INE048E01013</t>
  </si>
  <si>
    <t>AYOME</t>
  </si>
  <si>
    <t>TRIOCHEM PRODUCTS LTD.,</t>
  </si>
  <si>
    <t>INE331E01013</t>
  </si>
  <si>
    <t>TRIPR</t>
  </si>
  <si>
    <t>DEVINSU TRADING LTD.,</t>
  </si>
  <si>
    <t>INE07LH01016</t>
  </si>
  <si>
    <t>DEVITRD</t>
  </si>
  <si>
    <t>INDIA RADIATORS LTD.,</t>
  </si>
  <si>
    <t>INE461Y01016</t>
  </si>
  <si>
    <t>INRADIA</t>
  </si>
  <si>
    <t>ATLANTA DEVCON LIMITED</t>
  </si>
  <si>
    <t>INE590F01029</t>
  </si>
  <si>
    <t>ATLANTADEV</t>
  </si>
  <si>
    <t>BENTLEY COMMERCIAL ENTERPRISES LTD.</t>
  </si>
  <si>
    <t>INE496M01017</t>
  </si>
  <si>
    <t>BENTCOM</t>
  </si>
  <si>
    <t>INE268D01019</t>
  </si>
  <si>
    <t>KABIRDAS</t>
  </si>
  <si>
    <t>SILICON VALLEY INFOTECH LTD.</t>
  </si>
  <si>
    <t>INE913A01024</t>
  </si>
  <si>
    <t>SILICON</t>
  </si>
  <si>
    <t>INE401L01019</t>
  </si>
  <si>
    <t>PATBACK</t>
  </si>
  <si>
    <t>INDSOYA LIMITED</t>
  </si>
  <si>
    <t>INE314N01028</t>
  </si>
  <si>
    <t>INDSOYA</t>
  </si>
  <si>
    <t>ANDHRA PRADESH TANNERIES LTD.,</t>
  </si>
  <si>
    <t>INE628Y01010</t>
  </si>
  <si>
    <t>APTANN</t>
  </si>
  <si>
    <t>MAGNANIMOUS TRADE &amp; FINANCE LTD.,</t>
  </si>
  <si>
    <t>INE664N01018</t>
  </si>
  <si>
    <t>MAGANTR</t>
  </si>
  <si>
    <t>VIRGO POLYMERS (INDIA) LTD.</t>
  </si>
  <si>
    <t>INE464H01015</t>
  </si>
  <si>
    <t>VIRPOLY</t>
  </si>
  <si>
    <t>INE001V01016</t>
  </si>
  <si>
    <t>NCCL</t>
  </si>
  <si>
    <t>SUNRISE INDUSTRIAL TRADERS LTD.,</t>
  </si>
  <si>
    <t>INE371U01015</t>
  </si>
  <si>
    <t>SUNRINV</t>
  </si>
  <si>
    <t>OSEASPRE CONSULTANTS LTD.,</t>
  </si>
  <si>
    <t>INE880P01015</t>
  </si>
  <si>
    <t>OSEASPR</t>
  </si>
  <si>
    <t>JYOTI OVERSEAS LTD</t>
  </si>
  <si>
    <t>INE432D01011</t>
  </si>
  <si>
    <t>JYOTIOVR</t>
  </si>
  <si>
    <t>NIRBHAY COLOURS INDIA LIMITED</t>
  </si>
  <si>
    <t>INE218T01010</t>
  </si>
  <si>
    <t>NIRBHAYIND</t>
  </si>
  <si>
    <t>JUPITER INDUSTRIES &amp; LEASING LTD.,</t>
  </si>
  <si>
    <t>INE990E01016</t>
  </si>
  <si>
    <t>JPTRLES</t>
  </si>
  <si>
    <t>TERRAFORM REALSTATE LIMITED</t>
  </si>
  <si>
    <t>INE123V01018</t>
  </si>
  <si>
    <t>TERRAREAL</t>
  </si>
  <si>
    <t>INE773R01026</t>
  </si>
  <si>
    <t>RAKAN</t>
  </si>
  <si>
    <t>SHIKHAR LEASING AND TRADING LTD.</t>
  </si>
  <si>
    <t>INE02BV01019</t>
  </si>
  <si>
    <t>SHIKHARLETR</t>
  </si>
  <si>
    <t>NILKANTH ENGINEERING LTD.,</t>
  </si>
  <si>
    <t>INE582V01015</t>
  </si>
  <si>
    <t>ZNILKENG</t>
  </si>
  <si>
    <t>INNOVATION SOFTWARE EXPORTS LTD.</t>
  </si>
  <si>
    <t>INE568B01016</t>
  </si>
  <si>
    <t>INSOE</t>
  </si>
  <si>
    <t>ALPHA HI-TECH FUEL LTD.</t>
  </si>
  <si>
    <t>INE506B01016</t>
  </si>
  <si>
    <t>ALPHA</t>
  </si>
  <si>
    <t>SOBHAGYA MERCHANTILE LTD.</t>
  </si>
  <si>
    <t>INE754D01018</t>
  </si>
  <si>
    <t>SOBME</t>
  </si>
  <si>
    <t>INE106W01011</t>
  </si>
  <si>
    <t>WELGA</t>
  </si>
  <si>
    <t>PEOPLES INVESTMENTS LTD.,</t>
  </si>
  <si>
    <t>INE644U01015</t>
  </si>
  <si>
    <t>PEOPLIN</t>
  </si>
  <si>
    <t>INE552V01018</t>
  </si>
  <si>
    <t>AYUSHMAN</t>
  </si>
  <si>
    <t>INE174E01017</t>
  </si>
  <si>
    <t>SUPRAIND</t>
  </si>
  <si>
    <t>INE183F01015</t>
  </si>
  <si>
    <t>MGLFL</t>
  </si>
  <si>
    <t>INE255S01014</t>
  </si>
  <si>
    <t>EIFL</t>
  </si>
  <si>
    <t>INE143F01019</t>
  </si>
  <si>
    <t>ALIROX</t>
  </si>
  <si>
    <t>MATHER &amp; PLATT FIRE SYSTEMS LTD.</t>
  </si>
  <si>
    <t>INE095E01022</t>
  </si>
  <si>
    <t>MPFSL</t>
  </si>
  <si>
    <t>BAJAJ GLOBAL LTD</t>
  </si>
  <si>
    <t>INE553H01015</t>
  </si>
  <si>
    <t>BAJGLOB</t>
  </si>
  <si>
    <t>LASER DIAMONDS LTD.</t>
  </si>
  <si>
    <t>INE995E01015</t>
  </si>
  <si>
    <t>LADIAMO</t>
  </si>
  <si>
    <t>VINAYAK VANIJYA LTD.,</t>
  </si>
  <si>
    <t>INE132V01019</t>
  </si>
  <si>
    <t>VINVANI</t>
  </si>
  <si>
    <t>COROMANDEL AGRO PRODUCTS &amp; OILS LTD</t>
  </si>
  <si>
    <t>INE495D01018</t>
  </si>
  <si>
    <t>CORAGRO</t>
  </si>
  <si>
    <t>VARUN MERCANTILE LTD.,</t>
  </si>
  <si>
    <t>INE442U01014</t>
  </si>
  <si>
    <t>VARUNME</t>
  </si>
  <si>
    <t>INE203Q01026</t>
  </si>
  <si>
    <t>NOBPOL</t>
  </si>
  <si>
    <t>INE477E01014</t>
  </si>
  <si>
    <t>CHAMPION</t>
  </si>
  <si>
    <t>INE171V01017</t>
  </si>
  <si>
    <t>MAYURBHANJ</t>
  </si>
  <si>
    <t>INE204V01016</t>
  </si>
  <si>
    <t>GOALPOST</t>
  </si>
  <si>
    <t>TERRAFORM MAGNUM LIMITED</t>
  </si>
  <si>
    <t>INE122V01010</t>
  </si>
  <si>
    <t>TERRAFORM</t>
  </si>
  <si>
    <t>PROCAL ELECTRONICS INDIA LTD</t>
  </si>
  <si>
    <t>INE700B01015</t>
  </si>
  <si>
    <t>PROCAL</t>
  </si>
  <si>
    <t>PB GLOBAL LIMITED</t>
  </si>
  <si>
    <t>INE615W01011</t>
  </si>
  <si>
    <t>PBGLOBAL</t>
  </si>
  <si>
    <t>PURITY FLEX PACK LTD</t>
  </si>
  <si>
    <t>INE898O01010</t>
  </si>
  <si>
    <t>PURITY</t>
  </si>
  <si>
    <t>SWASTIK SAFE DEPOSIT &amp; INVEST. LTD.</t>
  </si>
  <si>
    <t>INE094R01019</t>
  </si>
  <si>
    <t>ZSWASTSA</t>
  </si>
  <si>
    <t>SOUTHERN GAS LTD.,</t>
  </si>
  <si>
    <t>INE532U01012</t>
  </si>
  <si>
    <t>ZSOUTGAS</t>
  </si>
  <si>
    <t>Shree Vijay Industries Limited</t>
  </si>
  <si>
    <t>INE838R01019</t>
  </si>
  <si>
    <t>SHREEVIJAY</t>
  </si>
  <si>
    <t>JEET MACHINE TOOLS LTD.,</t>
  </si>
  <si>
    <t>INE987E01012</t>
  </si>
  <si>
    <t>ZJEETMAC</t>
  </si>
  <si>
    <t>INE419C01010</t>
  </si>
  <si>
    <t>RWCL</t>
  </si>
  <si>
    <t>KUSAM ELECTRICAL INDUSTIES LTD.,</t>
  </si>
  <si>
    <t>INE175Q01018</t>
  </si>
  <si>
    <t>KUSUMEL</t>
  </si>
  <si>
    <t>VIKSIT ENGINEERING LTD</t>
  </si>
  <si>
    <t>INE965V01012</t>
  </si>
  <si>
    <t>VIKSHEN</t>
  </si>
  <si>
    <t>PERVASIVE COMMODITIES LIMITED</t>
  </si>
  <si>
    <t>INE443P01020</t>
  </si>
  <si>
    <t>PERVASIVE</t>
  </si>
  <si>
    <t>MRUGESH TRADING LTD.,</t>
  </si>
  <si>
    <t>INE738D01011</t>
  </si>
  <si>
    <t>MRUTR</t>
  </si>
  <si>
    <t>UNIJOLLY INVESTMENTS CO. LTD.,</t>
  </si>
  <si>
    <t>INE130N01010</t>
  </si>
  <si>
    <t>UNIJOLL</t>
  </si>
  <si>
    <t>WESTERN MINISTIL LTD.,</t>
  </si>
  <si>
    <t>INE187U01015</t>
  </si>
  <si>
    <t>WMINIMT</t>
  </si>
  <si>
    <t>HINDUSTAN HOUSING CO. LTD.,</t>
  </si>
  <si>
    <t>INE083O01019</t>
  </si>
  <si>
    <t>ZHINDHSG</t>
  </si>
  <si>
    <t>INE150W01019</t>
  </si>
  <si>
    <t>SMMIL</t>
  </si>
  <si>
    <t>HEALTHY INVESTMENTS LTD.,</t>
  </si>
  <si>
    <t>INE160N01017</t>
  </si>
  <si>
    <t>HEALINV</t>
  </si>
  <si>
    <t>TRANSOCEANIC PROPERTIES LTD.,</t>
  </si>
  <si>
    <t>INE074J01018</t>
  </si>
  <si>
    <t>TRANOCE</t>
  </si>
  <si>
    <t>PH TRADING LTD.</t>
  </si>
  <si>
    <t>INE603D01017</t>
  </si>
  <si>
    <t>PHTRADING</t>
  </si>
  <si>
    <t>MERCURY TRADE LINKS LTD.,</t>
  </si>
  <si>
    <t>INE319T01016</t>
  </si>
  <si>
    <t>MERCTRD</t>
  </si>
  <si>
    <t>ELCID INVESTMENTS LTD.,</t>
  </si>
  <si>
    <t>INE927X01018</t>
  </si>
  <si>
    <t>ELCIDIN</t>
  </si>
  <si>
    <t>ARCO LEASING LTD.,</t>
  </si>
  <si>
    <t>INE955S01019</t>
  </si>
  <si>
    <t>ZARCOLEA</t>
  </si>
  <si>
    <t>HEM HOLDINGS AND TRADING LTD.,</t>
  </si>
  <si>
    <t>INE721U01011</t>
  </si>
  <si>
    <t>ZHEMHOLD</t>
  </si>
  <si>
    <t>INE825M01017</t>
  </si>
  <si>
    <t>ANTARIKSH</t>
  </si>
  <si>
    <t>SAGAR SOYA PRODUCTS LTD.,</t>
  </si>
  <si>
    <t>INE131O01024</t>
  </si>
  <si>
    <t>SAGRSOY-B</t>
  </si>
  <si>
    <t>WHITE HALL COMMERCIAL CO.LTD.,</t>
  </si>
  <si>
    <t>INE416X01012</t>
  </si>
  <si>
    <t>WHITHAL</t>
  </si>
  <si>
    <t>TTL ENTERPRISES LIMITED</t>
  </si>
  <si>
    <t>INE664X01025</t>
  </si>
  <si>
    <t>TTLEL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</si>
</sst>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dd&quot;-&quot;mmm&quot;-&quot;yyyy"/>
  </numFmts>
  <fonts count="12"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Calibri"/>
    </font>
    <font>
      <sz val="9"/>
      <color rgb="FF000000"/>
      <name val="&quot;Google Sans Mono&quot;"/>
    </font>
    <font>
      <sz val="11"/>
      <color theme="1"/>
      <name val="Calibri"/>
    </font>
    <font>
      <b/>
      <sz val="10"/>
      <color theme="1"/>
      <name val="Arial"/>
    </font>
    <font>
      <b/>
      <sz val="10"/>
      <color rgb="FF000000"/>
      <name val="Arial"/>
    </font>
    <font>
      <sz val="9"/>
      <color rgb="FF000000"/>
      <name val="Arial"/>
    </font>
    <font>
      <sz val="10"/>
      <color rgb="FF000000"/>
      <name val="Arial"/>
    </font>
    <font>
      <b/>
      <sz val="9"/>
      <color theme="1"/>
      <name val="Arial"/>
    </font>
    <font>
      <b/>
      <sz val="9"/>
      <color rgb="FF000000"/>
      <name val="Arial"/>
    </font>
    <font>
      <sz val="9"/>
      <color theme="1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BFBFBF"/>
        <bgColor rgb="FFBFBFBF"/>
      </patternFill>
    </fill>
    <fill>
      <patternFill patternType="solid">
        <fgColor rgb="FFA9D08E"/>
        <bgColor rgb="FFA9D08E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0" xfId="0" applyFont="1" applyFill="1"/>
    <xf numFmtId="164" fontId="2" fillId="2" borderId="0" xfId="0" applyNumberFormat="1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1" fillId="2" borderId="0" xfId="0" applyFont="1" applyFill="1" applyAlignment="1">
      <alignment horizontal="right"/>
    </xf>
    <xf numFmtId="43" fontId="1" fillId="2" borderId="0" xfId="0" applyNumberFormat="1" applyFont="1" applyFill="1" applyAlignment="1">
      <alignment horizontal="right"/>
    </xf>
    <xf numFmtId="10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1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10" fontId="1" fillId="4" borderId="0" xfId="0" applyNumberFormat="1" applyFont="1" applyFill="1" applyAlignment="1">
      <alignment horizontal="right"/>
    </xf>
    <xf numFmtId="3" fontId="1" fillId="5" borderId="0" xfId="0" applyNumberFormat="1" applyFont="1" applyFill="1" applyAlignment="1">
      <alignment horizontal="right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6" borderId="2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6" fillId="6" borderId="0" xfId="0" applyFont="1" applyFill="1" applyAlignment="1">
      <alignment horizontal="center"/>
    </xf>
    <xf numFmtId="0" fontId="7" fillId="0" borderId="2" xfId="0" applyFont="1" applyBorder="1"/>
    <xf numFmtId="0" fontId="8" fillId="0" borderId="3" xfId="0" applyFont="1" applyBorder="1" applyAlignment="1">
      <alignment horizontal="center"/>
    </xf>
    <xf numFmtId="0" fontId="7" fillId="0" borderId="0" xfId="0" applyFont="1"/>
    <xf numFmtId="0" fontId="7" fillId="7" borderId="2" xfId="0" applyFont="1" applyFill="1" applyBorder="1"/>
    <xf numFmtId="0" fontId="8" fillId="7" borderId="3" xfId="0" applyFont="1" applyFill="1" applyBorder="1" applyAlignment="1">
      <alignment horizontal="center"/>
    </xf>
    <xf numFmtId="0" fontId="7" fillId="7" borderId="0" xfId="0" applyFont="1" applyFill="1"/>
    <xf numFmtId="0" fontId="7" fillId="8" borderId="2" xfId="0" applyFont="1" applyFill="1" applyBorder="1"/>
    <xf numFmtId="0" fontId="8" fillId="8" borderId="3" xfId="0" applyFont="1" applyFill="1" applyBorder="1" applyAlignment="1">
      <alignment horizontal="center"/>
    </xf>
    <xf numFmtId="0" fontId="7" fillId="8" borderId="0" xfId="0" applyFont="1" applyFill="1"/>
    <xf numFmtId="0" fontId="3" fillId="9" borderId="0" xfId="0" applyFont="1" applyFill="1"/>
    <xf numFmtId="0" fontId="4" fillId="0" borderId="0" xfId="0" applyFont="1"/>
    <xf numFmtId="0" fontId="1" fillId="0" borderId="0" xfId="0" applyFont="1"/>
    <xf numFmtId="0" fontId="9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6" borderId="4" xfId="0" applyFont="1" applyFill="1" applyBorder="1" applyAlignment="1">
      <alignment horizontal="center" vertical="center"/>
    </xf>
    <xf numFmtId="43" fontId="9" fillId="6" borderId="4" xfId="0" applyNumberFormat="1" applyFont="1" applyFill="1" applyBorder="1" applyAlignment="1">
      <alignment horizontal="center" vertical="center" wrapText="1"/>
    </xf>
    <xf numFmtId="0" fontId="9" fillId="6" borderId="4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vertical="center" wrapText="1"/>
    </xf>
    <xf numFmtId="0" fontId="11" fillId="0" borderId="4" xfId="0" applyFont="1" applyBorder="1" applyAlignment="1">
      <alignment horizontal="center"/>
    </xf>
    <xf numFmtId="0" fontId="11" fillId="0" borderId="4" xfId="0" applyFont="1" applyBorder="1"/>
    <xf numFmtId="43" fontId="11" fillId="0" borderId="4" xfId="0" applyNumberFormat="1" applyFont="1" applyBorder="1"/>
    <xf numFmtId="0" fontId="7" fillId="0" borderId="4" xfId="0" applyFont="1" applyBorder="1"/>
    <xf numFmtId="0" fontId="11" fillId="7" borderId="4" xfId="0" applyFont="1" applyFill="1" applyBorder="1" applyAlignment="1">
      <alignment horizontal="center"/>
    </xf>
    <xf numFmtId="0" fontId="11" fillId="7" borderId="4" xfId="0" applyFont="1" applyFill="1" applyBorder="1"/>
    <xf numFmtId="43" fontId="11" fillId="7" borderId="4" xfId="0" applyNumberFormat="1" applyFont="1" applyFill="1" applyBorder="1"/>
    <xf numFmtId="43" fontId="7" fillId="7" borderId="4" xfId="0" applyNumberFormat="1" applyFont="1" applyFill="1" applyBorder="1"/>
    <xf numFmtId="0" fontId="11" fillId="8" borderId="4" xfId="0" applyFont="1" applyFill="1" applyBorder="1" applyAlignment="1">
      <alignment horizontal="center"/>
    </xf>
    <xf numFmtId="0" fontId="11" fillId="8" borderId="4" xfId="0" applyFont="1" applyFill="1" applyBorder="1"/>
    <xf numFmtId="43" fontId="11" fillId="8" borderId="4" xfId="0" applyNumberFormat="1" applyFont="1" applyFill="1" applyBorder="1"/>
    <xf numFmtId="43" fontId="7" fillId="8" borderId="4" xfId="0" applyNumberFormat="1" applyFont="1" applyFill="1" applyBorder="1"/>
    <xf numFmtId="0" fontId="7" fillId="7" borderId="4" xfId="0" applyFont="1" applyFill="1" applyBorder="1"/>
    <xf numFmtId="0" fontId="7" fillId="9" borderId="4" xfId="0" applyFont="1" applyFill="1" applyBorder="1" applyAlignment="1">
      <alignment horizontal="left"/>
    </xf>
    <xf numFmtId="43" fontId="7" fillId="9" borderId="4" xfId="0" applyNumberFormat="1" applyFont="1" applyFill="1" applyBorder="1" applyAlignment="1">
      <alignment horizontal="right"/>
    </xf>
    <xf numFmtId="0" fontId="11" fillId="0" borderId="4" xfId="0" applyFont="1" applyBorder="1" applyAlignment="1">
      <alignment horizontal="left" vertical="center"/>
    </xf>
  </cellXfs>
  <cellStyles count="1">
    <cellStyle name="Normal" xfId="0" builtinId="0"/>
  </cellStyles>
  <dxfs count="8"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67C73"/>
          <bgColor rgb="FFE67C7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U1928"/>
  <sheetViews>
    <sheetView tabSelected="1" workbookViewId="0">
      <pane ySplit="1" topLeftCell="A2" activePane="bottomLeft" state="frozen"/>
      <selection pane="bottomLeft" activeCell="B3" sqref="A1:AB1048576"/>
    </sheetView>
  </sheetViews>
  <sheetFormatPr defaultColWidth="12.6640625" defaultRowHeight="15.75" customHeight="1"/>
  <cols>
    <col min="1" max="1" width="8.21875" bestFit="1" customWidth="1"/>
    <col min="2" max="2" width="49.88671875" bestFit="1" customWidth="1"/>
    <col min="3" max="3" width="17.44140625" bestFit="1" customWidth="1"/>
    <col min="4" max="4" width="13.77734375" bestFit="1" customWidth="1"/>
    <col min="5" max="6" width="18.33203125" bestFit="1" customWidth="1"/>
    <col min="7" max="7" width="14.33203125" bestFit="1" customWidth="1"/>
    <col min="8" max="23" width="10.5546875" bestFit="1" customWidth="1"/>
    <col min="24" max="28" width="10.88671875" bestFit="1" customWidth="1"/>
    <col min="29" max="47" width="9.109375" customWidth="1"/>
  </cols>
  <sheetData>
    <row r="1" spans="1:4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>
        <v>45311</v>
      </c>
      <c r="I1" s="2">
        <v>45310</v>
      </c>
      <c r="J1" s="2">
        <v>45309</v>
      </c>
      <c r="K1" s="2">
        <v>45308</v>
      </c>
      <c r="L1" s="2">
        <v>45307</v>
      </c>
      <c r="M1" s="2">
        <v>45306</v>
      </c>
      <c r="N1" s="2">
        <v>45303</v>
      </c>
      <c r="O1" s="2">
        <v>45302</v>
      </c>
      <c r="P1" s="2">
        <v>45301</v>
      </c>
      <c r="Q1" s="2">
        <v>45300</v>
      </c>
      <c r="R1" s="2">
        <v>45299</v>
      </c>
      <c r="S1" s="2">
        <v>45296</v>
      </c>
      <c r="T1" s="2">
        <v>45295</v>
      </c>
      <c r="U1" s="2">
        <v>45294</v>
      </c>
      <c r="V1" s="2">
        <v>45293</v>
      </c>
      <c r="W1" s="2">
        <v>45292</v>
      </c>
      <c r="X1" s="2">
        <v>45289</v>
      </c>
      <c r="Y1" s="2">
        <v>45288</v>
      </c>
      <c r="Z1" s="2">
        <v>45287</v>
      </c>
      <c r="AA1" s="2">
        <v>45286</v>
      </c>
      <c r="AB1" s="2">
        <v>45282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75" customHeight="1">
      <c r="A2" s="3">
        <f>LOOKUP(D2,'AMFI DATA_2023H2'!F:L,'AMFI DATA_2023H2'!L:L)</f>
        <v>1</v>
      </c>
      <c r="B2" s="4" t="s">
        <v>7</v>
      </c>
      <c r="C2" s="4" t="s">
        <v>8</v>
      </c>
      <c r="D2" s="5" t="s">
        <v>9</v>
      </c>
      <c r="E2" s="5">
        <v>1632378.37</v>
      </c>
      <c r="F2" s="6">
        <f>LOOKUP(D2,'AMFI DATA_2023H2'!F:J,'AMFI DATA_2023H2'!J:J)</f>
        <v>1639089.5007000002</v>
      </c>
      <c r="G2" s="7">
        <f t="shared" ref="G2:G256" si="0">H2/F2-1</f>
        <v>-1</v>
      </c>
      <c r="H2" s="8"/>
      <c r="I2" s="8">
        <v>1850448</v>
      </c>
      <c r="J2" s="8">
        <v>1851023</v>
      </c>
      <c r="K2" s="8">
        <v>1842160</v>
      </c>
      <c r="L2" s="8">
        <v>1858973</v>
      </c>
      <c r="M2" s="8">
        <v>1886442</v>
      </c>
      <c r="N2" s="8">
        <v>1854778</v>
      </c>
      <c r="O2" s="8">
        <v>1839183</v>
      </c>
      <c r="P2" s="8">
        <v>1792872</v>
      </c>
      <c r="Q2" s="8">
        <v>1745952</v>
      </c>
      <c r="R2" s="8">
        <v>1749673</v>
      </c>
      <c r="S2" s="8">
        <v>1764287</v>
      </c>
      <c r="T2" s="8">
        <v>1756811</v>
      </c>
      <c r="U2" s="8">
        <v>1747542</v>
      </c>
      <c r="V2" s="8">
        <v>1766452</v>
      </c>
      <c r="W2" s="8">
        <v>1752211</v>
      </c>
      <c r="X2" s="8">
        <v>1748827</v>
      </c>
      <c r="Y2" s="8">
        <v>1763002</v>
      </c>
      <c r="Z2" s="8">
        <v>1749842</v>
      </c>
      <c r="AA2" s="8">
        <v>1744465</v>
      </c>
      <c r="AB2" s="8">
        <v>1735431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</row>
    <row r="3" spans="1:47" ht="15.75" customHeight="1">
      <c r="A3" s="3">
        <f>LOOKUP(D3,'AMFI DATA_2023H2'!F:L,'AMFI DATA_2023H2'!L:L)</f>
        <v>2</v>
      </c>
      <c r="B3" s="4" t="s">
        <v>10</v>
      </c>
      <c r="C3" s="4" t="s">
        <v>11</v>
      </c>
      <c r="D3" s="5" t="s">
        <v>12</v>
      </c>
      <c r="E3" s="5">
        <v>1203827.8999999999</v>
      </c>
      <c r="F3" s="6">
        <f>LOOKUP(D3,'AMFI DATA_2023H2'!F:J,'AMFI DATA_2023H2'!J:J)</f>
        <v>1276552.7747</v>
      </c>
      <c r="G3" s="7">
        <f t="shared" si="0"/>
        <v>-1</v>
      </c>
      <c r="H3" s="8"/>
      <c r="I3" s="8">
        <v>1442490</v>
      </c>
      <c r="J3" s="8">
        <v>1427981</v>
      </c>
      <c r="K3" s="8">
        <v>1421230</v>
      </c>
      <c r="L3" s="8">
        <v>1412760</v>
      </c>
      <c r="M3" s="8">
        <v>1428420</v>
      </c>
      <c r="N3" s="8">
        <v>1420736</v>
      </c>
      <c r="O3" s="8">
        <v>1367095</v>
      </c>
      <c r="P3" s="8">
        <v>1358624</v>
      </c>
      <c r="Q3" s="8">
        <v>1350153</v>
      </c>
      <c r="R3" s="8">
        <v>1345689</v>
      </c>
      <c r="S3" s="8">
        <v>1367717</v>
      </c>
      <c r="T3" s="8">
        <v>1341701</v>
      </c>
      <c r="U3" s="8">
        <v>1350757</v>
      </c>
      <c r="V3" s="8">
        <v>1384292</v>
      </c>
      <c r="W3" s="8">
        <v>1394318</v>
      </c>
      <c r="X3" s="8">
        <v>1388592</v>
      </c>
      <c r="Y3" s="8">
        <v>1390824</v>
      </c>
      <c r="Z3" s="8">
        <v>1394538</v>
      </c>
      <c r="AA3" s="8">
        <v>1388339</v>
      </c>
      <c r="AB3" s="8">
        <v>1399221</v>
      </c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</row>
    <row r="4" spans="1:47" ht="15.75" customHeight="1">
      <c r="A4" s="3">
        <f>LOOKUP(D4,'AMFI DATA_2023H2'!F:L,'AMFI DATA_2023H2'!L:L)</f>
        <v>3</v>
      </c>
      <c r="B4" s="4" t="s">
        <v>13</v>
      </c>
      <c r="C4" s="4" t="s">
        <v>14</v>
      </c>
      <c r="D4" s="5" t="s">
        <v>15</v>
      </c>
      <c r="E4" s="5">
        <v>908769.9</v>
      </c>
      <c r="F4" s="6">
        <f>LOOKUP(D4,'AMFI DATA_2023H2'!F:J,'AMFI DATA_2023H2'!J:J)</f>
        <v>1179521.8052000001</v>
      </c>
      <c r="G4" s="7">
        <f t="shared" si="0"/>
        <v>-1</v>
      </c>
      <c r="H4" s="8"/>
      <c r="I4" s="8">
        <v>1116627</v>
      </c>
      <c r="J4" s="8">
        <v>1128357</v>
      </c>
      <c r="K4" s="8">
        <v>1167028</v>
      </c>
      <c r="L4" s="8">
        <v>1274740</v>
      </c>
      <c r="M4" s="8">
        <v>1269350</v>
      </c>
      <c r="N4" s="8">
        <v>1244826</v>
      </c>
      <c r="O4" s="8">
        <v>1252001</v>
      </c>
      <c r="P4" s="8">
        <v>1257315</v>
      </c>
      <c r="Q4" s="8">
        <v>1253064</v>
      </c>
      <c r="R4" s="8">
        <v>1263200</v>
      </c>
      <c r="S4" s="8">
        <v>1277436</v>
      </c>
      <c r="T4" s="8">
        <v>1283775</v>
      </c>
      <c r="U4" s="8">
        <v>1270109</v>
      </c>
      <c r="V4" s="8">
        <v>1290153</v>
      </c>
      <c r="W4" s="8">
        <v>1291139</v>
      </c>
      <c r="X4" s="8">
        <v>1297972</v>
      </c>
      <c r="Y4" s="8">
        <v>1294594</v>
      </c>
      <c r="Z4" s="8">
        <v>1292809</v>
      </c>
      <c r="AA4" s="8">
        <v>1277436</v>
      </c>
      <c r="AB4" s="8">
        <v>1268515</v>
      </c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spans="1:47" ht="15.75" customHeight="1">
      <c r="A5" s="3">
        <f>LOOKUP(D5,'AMFI DATA_2023H2'!F:L,'AMFI DATA_2023H2'!L:L)</f>
        <v>4</v>
      </c>
      <c r="B5" s="4" t="s">
        <v>16</v>
      </c>
      <c r="C5" s="4" t="s">
        <v>17</v>
      </c>
      <c r="D5" s="5" t="s">
        <v>18</v>
      </c>
      <c r="E5" s="5">
        <v>621984.89</v>
      </c>
      <c r="F5" s="6">
        <f>LOOKUP(D5,'AMFI DATA_2023H2'!F:J,'AMFI DATA_2023H2'!J:J)</f>
        <v>674293.85074999998</v>
      </c>
      <c r="G5" s="7">
        <f t="shared" si="0"/>
        <v>-1</v>
      </c>
      <c r="H5" s="8"/>
      <c r="I5" s="8">
        <v>700919</v>
      </c>
      <c r="J5" s="8">
        <v>691975</v>
      </c>
      <c r="K5" s="8">
        <v>687741</v>
      </c>
      <c r="L5" s="8">
        <v>707945</v>
      </c>
      <c r="M5" s="8">
        <v>708261</v>
      </c>
      <c r="N5" s="8">
        <v>704210</v>
      </c>
      <c r="O5" s="8">
        <v>695157</v>
      </c>
      <c r="P5" s="8">
        <v>696630</v>
      </c>
      <c r="Q5" s="8">
        <v>686984</v>
      </c>
      <c r="R5" s="8">
        <v>688878</v>
      </c>
      <c r="S5" s="8">
        <v>697357</v>
      </c>
      <c r="T5" s="8">
        <v>692469</v>
      </c>
      <c r="U5" s="8">
        <v>690434</v>
      </c>
      <c r="V5" s="8">
        <v>688926</v>
      </c>
      <c r="W5" s="8">
        <v>702325</v>
      </c>
      <c r="X5" s="8">
        <v>698958</v>
      </c>
      <c r="Y5" s="8">
        <v>705236</v>
      </c>
      <c r="Z5" s="8">
        <v>702637</v>
      </c>
      <c r="AA5" s="8">
        <v>698288</v>
      </c>
      <c r="AB5" s="8">
        <v>697411</v>
      </c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</row>
    <row r="6" spans="1:47" ht="15.75" customHeight="1">
      <c r="A6" s="3">
        <f>LOOKUP(D6,'AMFI DATA_2023H2'!F:L,'AMFI DATA_2023H2'!L:L)</f>
        <v>5</v>
      </c>
      <c r="B6" s="4" t="s">
        <v>19</v>
      </c>
      <c r="C6" s="4" t="s">
        <v>20</v>
      </c>
      <c r="D6" s="5" t="s">
        <v>21</v>
      </c>
      <c r="E6" s="5">
        <v>604267.54</v>
      </c>
      <c r="F6" s="6">
        <f>LOOKUP(D6,'AMFI DATA_2023H2'!F:J,'AMFI DATA_2023H2'!J:J)</f>
        <v>598299.63269999996</v>
      </c>
      <c r="G6" s="7">
        <f t="shared" si="0"/>
        <v>-1</v>
      </c>
      <c r="H6" s="8"/>
      <c r="I6" s="8">
        <v>602611</v>
      </c>
      <c r="J6" s="8">
        <v>598676</v>
      </c>
      <c r="K6" s="8">
        <v>602388</v>
      </c>
      <c r="L6" s="8">
        <v>603387</v>
      </c>
      <c r="M6" s="8">
        <v>604585</v>
      </c>
      <c r="N6" s="8">
        <v>598030</v>
      </c>
      <c r="O6" s="8">
        <v>596103</v>
      </c>
      <c r="P6" s="8">
        <v>605584</v>
      </c>
      <c r="Q6" s="8">
        <v>606453</v>
      </c>
      <c r="R6" s="8">
        <v>605924</v>
      </c>
      <c r="S6" s="8">
        <v>615663</v>
      </c>
      <c r="T6" s="8">
        <v>609143</v>
      </c>
      <c r="U6" s="8">
        <v>612139</v>
      </c>
      <c r="V6" s="8">
        <v>614066</v>
      </c>
      <c r="W6" s="8">
        <v>623981</v>
      </c>
      <c r="X6" s="8">
        <v>625778</v>
      </c>
      <c r="Y6" s="8">
        <v>618847</v>
      </c>
      <c r="Z6" s="8">
        <v>613067</v>
      </c>
      <c r="AA6" s="8">
        <v>607429</v>
      </c>
      <c r="AB6" s="8">
        <v>605161</v>
      </c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 ht="15.75" customHeight="1">
      <c r="A7" s="3">
        <f>LOOKUP(D7,'AMFI DATA_2023H2'!F:L,'AMFI DATA_2023H2'!L:L)</f>
        <v>6</v>
      </c>
      <c r="B7" s="4" t="s">
        <v>22</v>
      </c>
      <c r="C7" s="4" t="s">
        <v>23</v>
      </c>
      <c r="D7" s="5" t="s">
        <v>24</v>
      </c>
      <c r="E7" s="5">
        <v>585251.79</v>
      </c>
      <c r="F7" s="6">
        <f>LOOKUP(D7,'AMFI DATA_2023H2'!F:J,'AMFI DATA_2023H2'!J:J)</f>
        <v>594536.14959999989</v>
      </c>
      <c r="G7" s="7">
        <f t="shared" si="0"/>
        <v>-1</v>
      </c>
      <c r="H7" s="8"/>
      <c r="I7" s="8">
        <v>688538</v>
      </c>
      <c r="J7" s="8">
        <v>681753</v>
      </c>
      <c r="K7" s="8">
        <v>680632</v>
      </c>
      <c r="L7" s="8">
        <v>676917</v>
      </c>
      <c r="M7" s="8">
        <v>685654</v>
      </c>
      <c r="N7" s="8">
        <v>669363</v>
      </c>
      <c r="O7" s="8">
        <v>620492</v>
      </c>
      <c r="P7" s="8">
        <v>630826</v>
      </c>
      <c r="Q7" s="8">
        <v>634666</v>
      </c>
      <c r="R7" s="8">
        <v>632092</v>
      </c>
      <c r="S7" s="8">
        <v>636222</v>
      </c>
      <c r="T7" s="8">
        <v>627838</v>
      </c>
      <c r="U7" s="8">
        <v>618500</v>
      </c>
      <c r="V7" s="8">
        <v>637073</v>
      </c>
      <c r="W7" s="8">
        <v>643838</v>
      </c>
      <c r="X7" s="8">
        <v>640352</v>
      </c>
      <c r="Y7" s="8">
        <v>648715</v>
      </c>
      <c r="Z7" s="8">
        <v>650168</v>
      </c>
      <c r="AA7" s="8">
        <v>641176</v>
      </c>
      <c r="AB7" s="8">
        <v>648672</v>
      </c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</row>
    <row r="8" spans="1:47" ht="15.75" customHeight="1">
      <c r="A8" s="3">
        <f>LOOKUP(D8,'AMFI DATA_2023H2'!F:L,'AMFI DATA_2023H2'!L:L)</f>
        <v>7</v>
      </c>
      <c r="B8" s="4" t="s">
        <v>25</v>
      </c>
      <c r="C8" s="4" t="s">
        <v>26</v>
      </c>
      <c r="D8" s="5" t="s">
        <v>27</v>
      </c>
      <c r="E8" s="5">
        <v>491395.14</v>
      </c>
      <c r="F8" s="6">
        <f>LOOKUP(D8,'AMFI DATA_2023H2'!F:J,'AMFI DATA_2023H2'!J:J)</f>
        <v>560828.16244999995</v>
      </c>
      <c r="G8" s="7">
        <f t="shared" si="0"/>
        <v>-1</v>
      </c>
      <c r="H8" s="8"/>
      <c r="I8" s="8">
        <v>588350</v>
      </c>
      <c r="J8" s="8">
        <v>580802</v>
      </c>
      <c r="K8" s="8">
        <v>582424</v>
      </c>
      <c r="L8" s="8">
        <v>589036</v>
      </c>
      <c r="M8" s="8">
        <v>583172</v>
      </c>
      <c r="N8" s="8">
        <v>582299</v>
      </c>
      <c r="O8" s="8">
        <v>577122</v>
      </c>
      <c r="P8" s="8">
        <v>577870</v>
      </c>
      <c r="Q8" s="8">
        <v>579305</v>
      </c>
      <c r="R8" s="8">
        <v>580552</v>
      </c>
      <c r="S8" s="8">
        <v>591219</v>
      </c>
      <c r="T8" s="8">
        <v>594338</v>
      </c>
      <c r="U8" s="8">
        <v>595461</v>
      </c>
      <c r="V8" s="8">
        <v>586541</v>
      </c>
      <c r="W8" s="8">
        <v>582923</v>
      </c>
      <c r="X8" s="8">
        <v>576810</v>
      </c>
      <c r="Y8" s="8">
        <v>579118</v>
      </c>
      <c r="Z8" s="8">
        <v>569886</v>
      </c>
      <c r="AA8" s="8">
        <v>569574</v>
      </c>
      <c r="AB8" s="8">
        <v>567890</v>
      </c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15.75" customHeight="1">
      <c r="A9" s="3">
        <f>LOOKUP(D9,'AMFI DATA_2023H2'!F:L,'AMFI DATA_2023H2'!L:L)</f>
        <v>8</v>
      </c>
      <c r="B9" s="4" t="s">
        <v>28</v>
      </c>
      <c r="C9" s="4" t="s">
        <v>29</v>
      </c>
      <c r="D9" s="5" t="s">
        <v>30</v>
      </c>
      <c r="E9" s="5">
        <v>455232.75</v>
      </c>
      <c r="F9" s="6">
        <f>LOOKUP(D9,'AMFI DATA_2023H2'!F:J,'AMFI DATA_2023H2'!J:J)</f>
        <v>538207.54390051076</v>
      </c>
      <c r="G9" s="7">
        <f t="shared" si="0"/>
        <v>-1</v>
      </c>
      <c r="H9" s="8"/>
      <c r="I9" s="8">
        <v>660848</v>
      </c>
      <c r="J9" s="8">
        <v>638471</v>
      </c>
      <c r="K9" s="8">
        <v>637588</v>
      </c>
      <c r="L9" s="8">
        <v>644078</v>
      </c>
      <c r="M9" s="8">
        <v>647039</v>
      </c>
      <c r="N9" s="8">
        <v>632007</v>
      </c>
      <c r="O9" s="8">
        <v>624168</v>
      </c>
      <c r="P9" s="8">
        <v>624067</v>
      </c>
      <c r="Q9" s="8">
        <v>625180</v>
      </c>
      <c r="R9" s="8">
        <v>616100</v>
      </c>
      <c r="S9" s="8">
        <v>614605</v>
      </c>
      <c r="T9" s="8">
        <v>615000</v>
      </c>
      <c r="U9" s="8">
        <v>606245</v>
      </c>
      <c r="V9" s="8">
        <v>600148</v>
      </c>
      <c r="W9" s="8">
        <v>594072</v>
      </c>
      <c r="X9" s="8">
        <v>605700</v>
      </c>
      <c r="Y9" s="8">
        <v>607630</v>
      </c>
      <c r="Z9" s="8">
        <v>598164</v>
      </c>
      <c r="AA9" s="8">
        <v>585732</v>
      </c>
      <c r="AB9" s="8">
        <v>579523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spans="1:47" ht="15.75" customHeight="1">
      <c r="A10" s="3">
        <f>LOOKUP(D10,'AMFI DATA_2023H2'!F:L,'AMFI DATA_2023H2'!L:L)</f>
        <v>9</v>
      </c>
      <c r="B10" s="4" t="s">
        <v>31</v>
      </c>
      <c r="C10" s="4" t="s">
        <v>32</v>
      </c>
      <c r="D10" s="5" t="s">
        <v>33</v>
      </c>
      <c r="E10" s="5">
        <v>499461.33</v>
      </c>
      <c r="F10" s="6">
        <f>LOOKUP(D10,'AMFI DATA_2023H2'!F:J,'AMFI DATA_2023H2'!J:J)</f>
        <v>525981.53894999996</v>
      </c>
      <c r="G10" s="7">
        <f t="shared" si="0"/>
        <v>-1</v>
      </c>
      <c r="H10" s="8"/>
      <c r="I10" s="8">
        <v>560198</v>
      </c>
      <c r="J10" s="8">
        <v>560733</v>
      </c>
      <c r="K10" s="8">
        <v>558815</v>
      </c>
      <c r="L10" s="8">
        <v>568319</v>
      </c>
      <c r="M10" s="8">
        <v>571264</v>
      </c>
      <c r="N10" s="8">
        <v>565463</v>
      </c>
      <c r="O10" s="8">
        <v>553594</v>
      </c>
      <c r="P10" s="8">
        <v>554888</v>
      </c>
      <c r="Q10" s="8">
        <v>558145</v>
      </c>
      <c r="R10" s="8">
        <v>559618</v>
      </c>
      <c r="S10" s="8">
        <v>572826</v>
      </c>
      <c r="T10" s="8">
        <v>573629</v>
      </c>
      <c r="U10" s="8">
        <v>574209</v>
      </c>
      <c r="V10" s="8">
        <v>570684</v>
      </c>
      <c r="W10" s="8">
        <v>572915</v>
      </c>
      <c r="X10" s="8">
        <v>572915</v>
      </c>
      <c r="Y10" s="8">
        <v>581081</v>
      </c>
      <c r="Z10" s="8">
        <v>578806</v>
      </c>
      <c r="AA10" s="8">
        <v>569524</v>
      </c>
      <c r="AB10" s="8">
        <v>568275</v>
      </c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</row>
    <row r="11" spans="1:47" ht="15.75" customHeight="1">
      <c r="A11" s="3">
        <f>LOOKUP(D11,'AMFI DATA_2023H2'!F:L,'AMFI DATA_2023H2'!L:L)</f>
        <v>10</v>
      </c>
      <c r="B11" s="4" t="s">
        <v>34</v>
      </c>
      <c r="C11" s="4" t="s">
        <v>35</v>
      </c>
      <c r="D11" s="5" t="s">
        <v>36</v>
      </c>
      <c r="E11" s="5">
        <v>382541.49</v>
      </c>
      <c r="F11" s="6">
        <f>LOOKUP(D11,'AMFI DATA_2023H2'!F:J,'AMFI DATA_2023H2'!J:J)</f>
        <v>452097.75065</v>
      </c>
      <c r="G11" s="7">
        <f t="shared" si="0"/>
        <v>-1</v>
      </c>
      <c r="H11" s="8"/>
      <c r="I11" s="8">
        <v>452415</v>
      </c>
      <c r="J11" s="8">
        <v>449028</v>
      </c>
      <c r="K11" s="8">
        <v>454689</v>
      </c>
      <c r="L11" s="8">
        <v>461830</v>
      </c>
      <c r="M11" s="8">
        <v>462065</v>
      </c>
      <c r="N11" s="8">
        <v>473471</v>
      </c>
      <c r="O11" s="8">
        <v>474008</v>
      </c>
      <c r="P11" s="8">
        <v>474676</v>
      </c>
      <c r="Q11" s="8">
        <v>477191</v>
      </c>
      <c r="R11" s="8">
        <v>478350</v>
      </c>
      <c r="S11" s="8">
        <v>476171</v>
      </c>
      <c r="T11" s="8">
        <v>476221</v>
      </c>
      <c r="U11" s="8">
        <v>456234</v>
      </c>
      <c r="V11" s="8">
        <v>459018</v>
      </c>
      <c r="W11" s="8">
        <v>451061</v>
      </c>
      <c r="X11" s="8">
        <v>451963</v>
      </c>
      <c r="Y11" s="8">
        <v>448543</v>
      </c>
      <c r="Z11" s="8">
        <v>447174</v>
      </c>
      <c r="AA11" s="8">
        <v>442650</v>
      </c>
      <c r="AB11" s="8">
        <v>450866</v>
      </c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</row>
    <row r="12" spans="1:47" ht="15.75" customHeight="1">
      <c r="A12" s="3">
        <f>LOOKUP(D12,'AMFI DATA_2023H2'!F:L,'AMFI DATA_2023H2'!L:L)</f>
        <v>11</v>
      </c>
      <c r="B12" s="4" t="s">
        <v>37</v>
      </c>
      <c r="C12" s="4" t="s">
        <v>38</v>
      </c>
      <c r="D12" s="5" t="s">
        <v>39</v>
      </c>
      <c r="E12" s="5">
        <v>381651.79</v>
      </c>
      <c r="F12" s="6">
        <f>LOOKUP(D12,'AMFI DATA_2023H2'!F:J,'AMFI DATA_2023H2'!J:J)</f>
        <v>417589.6115</v>
      </c>
      <c r="G12" s="7">
        <f t="shared" si="0"/>
        <v>-1</v>
      </c>
      <c r="H12" s="8"/>
      <c r="I12" s="8">
        <v>570578</v>
      </c>
      <c r="J12" s="8">
        <v>570009</v>
      </c>
      <c r="K12" s="8">
        <v>560964</v>
      </c>
      <c r="L12" s="8">
        <v>564506</v>
      </c>
      <c r="M12" s="8">
        <v>540629</v>
      </c>
      <c r="N12" s="8">
        <v>524532</v>
      </c>
      <c r="O12" s="8">
        <v>527505</v>
      </c>
      <c r="P12" s="8">
        <v>530193</v>
      </c>
      <c r="Q12" s="8">
        <v>526777</v>
      </c>
      <c r="R12" s="8">
        <v>521243</v>
      </c>
      <c r="S12" s="8">
        <v>534083</v>
      </c>
      <c r="T12" s="8">
        <v>528295</v>
      </c>
      <c r="U12" s="8">
        <v>530446</v>
      </c>
      <c r="V12" s="8">
        <v>529845</v>
      </c>
      <c r="W12" s="8">
        <v>543159</v>
      </c>
      <c r="X12" s="8">
        <v>527062</v>
      </c>
      <c r="Y12" s="8">
        <v>522951</v>
      </c>
      <c r="Z12" s="8">
        <v>518840</v>
      </c>
      <c r="AA12" s="8">
        <v>493985</v>
      </c>
      <c r="AB12" s="8">
        <v>501446</v>
      </c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</row>
    <row r="13" spans="1:47" ht="15.75" customHeight="1">
      <c r="A13" s="3">
        <f>LOOKUP(D13,'AMFI DATA_2023H2'!F:L,'AMFI DATA_2023H2'!L:L)</f>
        <v>12</v>
      </c>
      <c r="B13" s="4" t="s">
        <v>40</v>
      </c>
      <c r="C13" s="4" t="s">
        <v>41</v>
      </c>
      <c r="D13" s="5" t="s">
        <v>42</v>
      </c>
      <c r="E13" s="5">
        <v>312871.87</v>
      </c>
      <c r="F13" s="6">
        <f>LOOKUP(D13,'AMFI DATA_2023H2'!F:J,'AMFI DATA_2023H2'!J:J)</f>
        <v>409898.5551</v>
      </c>
      <c r="G13" s="7">
        <f t="shared" si="0"/>
        <v>-1</v>
      </c>
      <c r="H13" s="8"/>
      <c r="I13" s="8">
        <v>501147</v>
      </c>
      <c r="J13" s="8">
        <v>494288</v>
      </c>
      <c r="K13" s="8">
        <v>490947</v>
      </c>
      <c r="L13" s="8">
        <v>491236</v>
      </c>
      <c r="M13" s="8">
        <v>486934</v>
      </c>
      <c r="N13" s="8">
        <v>490549</v>
      </c>
      <c r="O13" s="8">
        <v>481807</v>
      </c>
      <c r="P13" s="8">
        <v>487559</v>
      </c>
      <c r="Q13" s="8">
        <v>488563</v>
      </c>
      <c r="R13" s="8">
        <v>482274</v>
      </c>
      <c r="S13" s="8">
        <v>483161</v>
      </c>
      <c r="T13" s="8">
        <v>475415</v>
      </c>
      <c r="U13" s="8">
        <v>472989</v>
      </c>
      <c r="V13" s="8">
        <v>472721</v>
      </c>
      <c r="W13" s="8">
        <v>484164</v>
      </c>
      <c r="X13" s="8">
        <v>484810</v>
      </c>
      <c r="Y13" s="8">
        <v>483573</v>
      </c>
      <c r="Z13" s="8">
        <v>487016</v>
      </c>
      <c r="AA13" s="8">
        <v>479952</v>
      </c>
      <c r="AB13" s="8">
        <v>478061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</row>
    <row r="14" spans="1:47" ht="15.75" customHeight="1">
      <c r="A14" s="3">
        <f>LOOKUP(D14,'AMFI DATA_2023H2'!F:L,'AMFI DATA_2023H2'!L:L)</f>
        <v>13</v>
      </c>
      <c r="B14" s="4" t="s">
        <v>43</v>
      </c>
      <c r="C14" s="4" t="s">
        <v>44</v>
      </c>
      <c r="D14" s="5" t="s">
        <v>45</v>
      </c>
      <c r="E14" s="5">
        <v>361214.52</v>
      </c>
      <c r="F14" s="6">
        <f>LOOKUP(D14,'AMFI DATA_2023H2'!F:J,'AMFI DATA_2023H2'!J:J)</f>
        <v>357596.08805000002</v>
      </c>
      <c r="G14" s="7">
        <f t="shared" si="0"/>
        <v>-1</v>
      </c>
      <c r="H14" s="8"/>
      <c r="I14" s="8">
        <v>350970</v>
      </c>
      <c r="J14" s="8">
        <v>353256</v>
      </c>
      <c r="K14" s="8">
        <v>353782</v>
      </c>
      <c r="L14" s="8">
        <v>367318</v>
      </c>
      <c r="M14" s="8">
        <v>367765</v>
      </c>
      <c r="N14" s="8">
        <v>364275</v>
      </c>
      <c r="O14" s="8">
        <v>362089</v>
      </c>
      <c r="P14" s="8">
        <v>361771</v>
      </c>
      <c r="Q14" s="8">
        <v>362814</v>
      </c>
      <c r="R14" s="8">
        <v>362963</v>
      </c>
      <c r="S14" s="8">
        <v>367276</v>
      </c>
      <c r="T14" s="8">
        <v>370396</v>
      </c>
      <c r="U14" s="8">
        <v>370675</v>
      </c>
      <c r="V14" s="8">
        <v>370655</v>
      </c>
      <c r="W14" s="8">
        <v>379797</v>
      </c>
      <c r="X14" s="8">
        <v>378565</v>
      </c>
      <c r="Y14" s="8">
        <v>381586</v>
      </c>
      <c r="Z14" s="8">
        <v>378148</v>
      </c>
      <c r="AA14" s="8">
        <v>374856</v>
      </c>
      <c r="AB14" s="8">
        <v>369780</v>
      </c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</row>
    <row r="15" spans="1:47" ht="15.75" customHeight="1">
      <c r="A15" s="3">
        <f>LOOKUP(D15,'AMFI DATA_2023H2'!F:L,'AMFI DATA_2023H2'!L:L)</f>
        <v>14</v>
      </c>
      <c r="B15" s="4" t="s">
        <v>46</v>
      </c>
      <c r="C15" s="4" t="s">
        <v>47</v>
      </c>
      <c r="D15" s="5" t="s">
        <v>48</v>
      </c>
      <c r="E15" s="5">
        <v>299146.53999999998</v>
      </c>
      <c r="F15" s="6">
        <f>LOOKUP(D15,'AMFI DATA_2023H2'!F:J,'AMFI DATA_2023H2'!J:J)</f>
        <v>339443.17555000004</v>
      </c>
      <c r="G15" s="7">
        <f t="shared" si="0"/>
        <v>-1</v>
      </c>
      <c r="H15" s="8"/>
      <c r="I15" s="8">
        <v>425774</v>
      </c>
      <c r="J15" s="8">
        <v>425381</v>
      </c>
      <c r="K15" s="8">
        <v>427687</v>
      </c>
      <c r="L15" s="8">
        <v>422029</v>
      </c>
      <c r="M15" s="8">
        <v>430849</v>
      </c>
      <c r="N15" s="8">
        <v>418718</v>
      </c>
      <c r="O15" s="8">
        <v>403183</v>
      </c>
      <c r="P15" s="8">
        <v>404811</v>
      </c>
      <c r="Q15" s="8">
        <v>396304</v>
      </c>
      <c r="R15" s="8">
        <v>392789</v>
      </c>
      <c r="S15" s="8">
        <v>389587</v>
      </c>
      <c r="T15" s="8">
        <v>385327</v>
      </c>
      <c r="U15" s="8">
        <v>390089</v>
      </c>
      <c r="V15" s="8">
        <v>398678</v>
      </c>
      <c r="W15" s="8">
        <v>402477</v>
      </c>
      <c r="X15" s="8">
        <v>397850</v>
      </c>
      <c r="Y15" s="8">
        <v>399967</v>
      </c>
      <c r="Z15" s="8">
        <v>399343</v>
      </c>
      <c r="AA15" s="8">
        <v>395883</v>
      </c>
      <c r="AB15" s="8">
        <v>396928</v>
      </c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</row>
    <row r="16" spans="1:47" ht="15.75" customHeight="1">
      <c r="A16" s="3">
        <f>LOOKUP(D16,'AMFI DATA_2023H2'!F:L,'AMFI DATA_2023H2'!L:L)</f>
        <v>15</v>
      </c>
      <c r="B16" s="4" t="s">
        <v>49</v>
      </c>
      <c r="C16" s="4" t="s">
        <v>50</v>
      </c>
      <c r="D16" s="5" t="s">
        <v>51</v>
      </c>
      <c r="E16" s="5">
        <v>275693.59000000003</v>
      </c>
      <c r="F16" s="6">
        <f>LOOKUP(D16,'AMFI DATA_2023H2'!F:J,'AMFI DATA_2023H2'!J:J)</f>
        <v>310547.04205000005</v>
      </c>
      <c r="G16" s="7">
        <f t="shared" si="0"/>
        <v>-1</v>
      </c>
      <c r="H16" s="8"/>
      <c r="I16" s="8">
        <v>344214</v>
      </c>
      <c r="J16" s="8">
        <v>338508</v>
      </c>
      <c r="K16" s="8">
        <v>334164</v>
      </c>
      <c r="L16" s="8">
        <v>345160</v>
      </c>
      <c r="M16" s="8">
        <v>345360</v>
      </c>
      <c r="N16" s="8">
        <v>345545</v>
      </c>
      <c r="O16" s="8">
        <v>347211</v>
      </c>
      <c r="P16" s="8">
        <v>341422</v>
      </c>
      <c r="Q16" s="8">
        <v>344367</v>
      </c>
      <c r="R16" s="8">
        <v>346017</v>
      </c>
      <c r="S16" s="8">
        <v>350705</v>
      </c>
      <c r="T16" s="8">
        <v>346480</v>
      </c>
      <c r="U16" s="8">
        <v>339211</v>
      </c>
      <c r="V16" s="8">
        <v>337037</v>
      </c>
      <c r="W16" s="8">
        <v>338641</v>
      </c>
      <c r="X16" s="8">
        <v>340152</v>
      </c>
      <c r="Y16" s="8">
        <v>341709</v>
      </c>
      <c r="Z16" s="8">
        <v>341226</v>
      </c>
      <c r="AA16" s="8">
        <v>337532</v>
      </c>
      <c r="AB16" s="8">
        <v>335558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spans="1:47" ht="15.75" customHeight="1">
      <c r="A17" s="3">
        <f>LOOKUP(D17,'AMFI DATA_2023H2'!F:L,'AMFI DATA_2023H2'!L:L)</f>
        <v>16</v>
      </c>
      <c r="B17" s="4" t="s">
        <v>52</v>
      </c>
      <c r="C17" s="4" t="s">
        <v>53</v>
      </c>
      <c r="D17" s="5" t="s">
        <v>54</v>
      </c>
      <c r="E17" s="5">
        <v>283339.38</v>
      </c>
      <c r="F17" s="6">
        <f>LOOKUP(D17,'AMFI DATA_2023H2'!F:J,'AMFI DATA_2023H2'!J:J)</f>
        <v>310185.9056</v>
      </c>
      <c r="G17" s="7">
        <f t="shared" si="0"/>
        <v>-1</v>
      </c>
      <c r="H17" s="8"/>
      <c r="I17" s="8">
        <v>303644</v>
      </c>
      <c r="J17" s="8">
        <v>303476</v>
      </c>
      <c r="K17" s="8">
        <v>311001</v>
      </c>
      <c r="L17" s="8">
        <v>316296</v>
      </c>
      <c r="M17" s="8">
        <v>314046</v>
      </c>
      <c r="N17" s="8">
        <v>314406</v>
      </c>
      <c r="O17" s="8">
        <v>315403</v>
      </c>
      <c r="P17" s="8">
        <v>315274</v>
      </c>
      <c r="Q17" s="8">
        <v>313356</v>
      </c>
      <c r="R17" s="8">
        <v>316195</v>
      </c>
      <c r="S17" s="8">
        <v>321859</v>
      </c>
      <c r="T17" s="8">
        <v>324204</v>
      </c>
      <c r="U17" s="8">
        <v>323403</v>
      </c>
      <c r="V17" s="8">
        <v>324784</v>
      </c>
      <c r="W17" s="8">
        <v>325456</v>
      </c>
      <c r="X17" s="8">
        <v>326357</v>
      </c>
      <c r="Y17" s="8">
        <v>325571</v>
      </c>
      <c r="Z17" s="8">
        <v>326415</v>
      </c>
      <c r="AA17" s="8">
        <v>324506</v>
      </c>
      <c r="AB17" s="8">
        <v>320497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spans="1:47" ht="15.75" customHeight="1">
      <c r="A18" s="3">
        <f>LOOKUP(D18,'AMFI DATA_2023H2'!F:L,'AMFI DATA_2023H2'!L:L)</f>
        <v>17</v>
      </c>
      <c r="B18" s="4" t="s">
        <v>55</v>
      </c>
      <c r="C18" s="4" t="s">
        <v>56</v>
      </c>
      <c r="D18" s="5" t="s">
        <v>57</v>
      </c>
      <c r="E18" s="5">
        <v>266990.65999999997</v>
      </c>
      <c r="F18" s="6">
        <f>LOOKUP(D18,'AMFI DATA_2023H2'!F:J,'AMFI DATA_2023H2'!J:J)</f>
        <v>307283.98135000002</v>
      </c>
      <c r="G18" s="7">
        <f t="shared" si="0"/>
        <v>-1</v>
      </c>
      <c r="H18" s="8"/>
      <c r="I18" s="8">
        <v>315578</v>
      </c>
      <c r="J18" s="8">
        <v>312029</v>
      </c>
      <c r="K18" s="8">
        <v>316048</v>
      </c>
      <c r="L18" s="8">
        <v>320691</v>
      </c>
      <c r="M18" s="8">
        <v>317135</v>
      </c>
      <c r="N18" s="8">
        <v>313217</v>
      </c>
      <c r="O18" s="8">
        <v>314656</v>
      </c>
      <c r="P18" s="8">
        <v>314467</v>
      </c>
      <c r="Q18" s="8">
        <v>315127</v>
      </c>
      <c r="R18" s="8">
        <v>312831</v>
      </c>
      <c r="S18" s="8">
        <v>314937</v>
      </c>
      <c r="T18" s="8">
        <v>314884</v>
      </c>
      <c r="U18" s="8">
        <v>316775</v>
      </c>
      <c r="V18" s="8">
        <v>320587</v>
      </c>
      <c r="W18" s="8">
        <v>322954</v>
      </c>
      <c r="X18" s="8">
        <v>323816</v>
      </c>
      <c r="Y18" s="8">
        <v>323927</v>
      </c>
      <c r="Z18" s="8">
        <v>323376</v>
      </c>
      <c r="AA18" s="8">
        <v>310324</v>
      </c>
      <c r="AB18" s="8">
        <v>308640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spans="1:47" ht="15.75" customHeight="1">
      <c r="A19" s="3">
        <f>LOOKUP(D19,'AMFI DATA_2023H2'!F:L,'AMFI DATA_2023H2'!L:L)</f>
        <v>18</v>
      </c>
      <c r="B19" s="4" t="s">
        <v>58</v>
      </c>
      <c r="C19" s="4" t="s">
        <v>59</v>
      </c>
      <c r="D19" s="5" t="s">
        <v>60</v>
      </c>
      <c r="E19" s="5">
        <v>230809.34</v>
      </c>
      <c r="F19" s="6">
        <f>LOOKUP(D19,'AMFI DATA_2023H2'!F:J,'AMFI DATA_2023H2'!J:J)</f>
        <v>287192.75569999998</v>
      </c>
      <c r="G19" s="7">
        <f t="shared" si="0"/>
        <v>-1</v>
      </c>
      <c r="H19" s="8"/>
      <c r="I19" s="8">
        <v>338211</v>
      </c>
      <c r="J19" s="8">
        <v>331561</v>
      </c>
      <c r="K19" s="8">
        <v>338602</v>
      </c>
      <c r="L19" s="8">
        <v>339072</v>
      </c>
      <c r="M19" s="8">
        <v>333697</v>
      </c>
      <c r="N19" s="8">
        <v>330789</v>
      </c>
      <c r="O19" s="8">
        <v>328303</v>
      </c>
      <c r="P19" s="8">
        <v>329764</v>
      </c>
      <c r="Q19" s="8">
        <v>327757</v>
      </c>
      <c r="R19" s="8">
        <v>329564</v>
      </c>
      <c r="S19" s="8">
        <v>329373</v>
      </c>
      <c r="T19" s="8">
        <v>330230</v>
      </c>
      <c r="U19" s="8">
        <v>327908</v>
      </c>
      <c r="V19" s="8">
        <v>328343</v>
      </c>
      <c r="W19" s="8">
        <v>326705</v>
      </c>
      <c r="X19" s="8">
        <v>326346</v>
      </c>
      <c r="Y19" s="8">
        <v>329941</v>
      </c>
      <c r="Z19" s="8">
        <v>327527</v>
      </c>
      <c r="AA19" s="8">
        <v>324914</v>
      </c>
      <c r="AB19" s="8">
        <v>322031</v>
      </c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</row>
    <row r="20" spans="1:47" ht="15.75" customHeight="1">
      <c r="A20" s="3">
        <f>LOOKUP(D20,'AMFI DATA_2023H2'!F:L,'AMFI DATA_2023H2'!L:L)</f>
        <v>19</v>
      </c>
      <c r="B20" s="4" t="s">
        <v>61</v>
      </c>
      <c r="C20" s="4" t="s">
        <v>62</v>
      </c>
      <c r="D20" s="5" t="s">
        <v>63</v>
      </c>
      <c r="E20" s="5">
        <v>255987.28</v>
      </c>
      <c r="F20" s="6">
        <f>LOOKUP(D20,'AMFI DATA_2023H2'!F:J,'AMFI DATA_2023H2'!J:J)</f>
        <v>282708.67330000002</v>
      </c>
      <c r="G20" s="7">
        <f t="shared" si="0"/>
        <v>-1</v>
      </c>
      <c r="H20" s="8"/>
      <c r="I20" s="8">
        <v>332419</v>
      </c>
      <c r="J20" s="8">
        <v>332755</v>
      </c>
      <c r="K20" s="8">
        <v>338666</v>
      </c>
      <c r="L20" s="8">
        <v>348533</v>
      </c>
      <c r="M20" s="8">
        <v>352203</v>
      </c>
      <c r="N20" s="8">
        <v>353868</v>
      </c>
      <c r="O20" s="8">
        <v>351172</v>
      </c>
      <c r="P20" s="8">
        <v>353195</v>
      </c>
      <c r="Q20" s="8">
        <v>343699</v>
      </c>
      <c r="R20" s="8">
        <v>337845</v>
      </c>
      <c r="S20" s="8">
        <v>342764</v>
      </c>
      <c r="T20" s="8">
        <v>341807</v>
      </c>
      <c r="U20" s="8">
        <v>342451</v>
      </c>
      <c r="V20" s="8">
        <v>334254</v>
      </c>
      <c r="W20" s="8">
        <v>332527</v>
      </c>
      <c r="X20" s="8">
        <v>324786</v>
      </c>
      <c r="Y20" s="8">
        <v>320625</v>
      </c>
      <c r="Z20" s="8">
        <v>324080</v>
      </c>
      <c r="AA20" s="8">
        <v>326772</v>
      </c>
      <c r="AB20" s="8">
        <v>320152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</row>
    <row r="21" spans="1:47" ht="15.75" customHeight="1">
      <c r="A21" s="3">
        <f>LOOKUP(D21,'AMFI DATA_2023H2'!F:L,'AMFI DATA_2023H2'!L:L)</f>
        <v>20</v>
      </c>
      <c r="B21" s="4" t="s">
        <v>64</v>
      </c>
      <c r="C21" s="4" t="s">
        <v>65</v>
      </c>
      <c r="D21" s="5" t="s">
        <v>66</v>
      </c>
      <c r="E21" s="5">
        <v>237246.3</v>
      </c>
      <c r="F21" s="6">
        <f>LOOKUP(D21,'AMFI DATA_2023H2'!F:J,'AMFI DATA_2023H2'!J:J)</f>
        <v>275688.43229999999</v>
      </c>
      <c r="G21" s="7">
        <f t="shared" si="0"/>
        <v>-1</v>
      </c>
      <c r="H21" s="8"/>
      <c r="I21" s="8">
        <v>320455</v>
      </c>
      <c r="J21" s="8">
        <v>320491</v>
      </c>
      <c r="K21" s="8">
        <v>311734</v>
      </c>
      <c r="L21" s="8">
        <v>314841</v>
      </c>
      <c r="M21" s="8">
        <v>318956</v>
      </c>
      <c r="N21" s="8">
        <v>318140</v>
      </c>
      <c r="O21" s="8">
        <v>315920</v>
      </c>
      <c r="P21" s="8">
        <v>317876</v>
      </c>
      <c r="Q21" s="8">
        <v>317036</v>
      </c>
      <c r="R21" s="8">
        <v>313257</v>
      </c>
      <c r="S21" s="8">
        <v>312489</v>
      </c>
      <c r="T21" s="8">
        <v>315021</v>
      </c>
      <c r="U21" s="8">
        <v>311458</v>
      </c>
      <c r="V21" s="8">
        <v>310894</v>
      </c>
      <c r="W21" s="8">
        <v>302184</v>
      </c>
      <c r="X21" s="8">
        <v>302676</v>
      </c>
      <c r="Y21" s="8">
        <v>302796</v>
      </c>
      <c r="Z21" s="8">
        <v>300613</v>
      </c>
      <c r="AA21" s="8">
        <v>299293</v>
      </c>
      <c r="AB21" s="8">
        <v>298393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</row>
    <row r="22" spans="1:47" ht="15.75" customHeight="1">
      <c r="A22" s="3">
        <f>LOOKUP(D22,'AMFI DATA_2023H2'!F:L,'AMFI DATA_2023H2'!L:L)</f>
        <v>21</v>
      </c>
      <c r="B22" s="4" t="s">
        <v>67</v>
      </c>
      <c r="C22" s="4" t="s">
        <v>68</v>
      </c>
      <c r="D22" s="5" t="s">
        <v>69</v>
      </c>
      <c r="E22" s="5">
        <v>220562.71</v>
      </c>
      <c r="F22" s="6">
        <f>LOOKUP(D22,'AMFI DATA_2023H2'!F:J,'AMFI DATA_2023H2'!J:J)</f>
        <v>253669.44889999999</v>
      </c>
      <c r="G22" s="7">
        <f t="shared" si="0"/>
        <v>-1</v>
      </c>
      <c r="H22" s="8"/>
      <c r="I22" s="8">
        <v>255342</v>
      </c>
      <c r="J22" s="8">
        <v>252271</v>
      </c>
      <c r="K22" s="8">
        <v>252877</v>
      </c>
      <c r="L22" s="8">
        <v>259028</v>
      </c>
      <c r="M22" s="8">
        <v>260440</v>
      </c>
      <c r="N22" s="8">
        <v>263559</v>
      </c>
      <c r="O22" s="8">
        <v>266327</v>
      </c>
      <c r="P22" s="8">
        <v>266742</v>
      </c>
      <c r="Q22" s="8">
        <v>268337</v>
      </c>
      <c r="R22" s="8">
        <v>270651</v>
      </c>
      <c r="S22" s="8">
        <v>272749</v>
      </c>
      <c r="T22" s="8">
        <v>271544</v>
      </c>
      <c r="U22" s="8">
        <v>267595</v>
      </c>
      <c r="V22" s="8">
        <v>268999</v>
      </c>
      <c r="W22" s="8">
        <v>267125</v>
      </c>
      <c r="X22" s="8">
        <v>268944</v>
      </c>
      <c r="Y22" s="8">
        <v>268066</v>
      </c>
      <c r="Z22" s="8">
        <v>266359</v>
      </c>
      <c r="AA22" s="8">
        <v>262600</v>
      </c>
      <c r="AB22" s="8">
        <v>266774</v>
      </c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ht="15.75" customHeight="1">
      <c r="A23" s="3">
        <f>LOOKUP(D23,'AMFI DATA_2023H2'!F:L,'AMFI DATA_2023H2'!L:L)</f>
        <v>22</v>
      </c>
      <c r="B23" s="4" t="s">
        <v>70</v>
      </c>
      <c r="C23" s="4" t="s">
        <v>71</v>
      </c>
      <c r="D23" s="5" t="s">
        <v>72</v>
      </c>
      <c r="E23" s="5">
        <v>216431.84</v>
      </c>
      <c r="F23" s="6">
        <f>LOOKUP(D23,'AMFI DATA_2023H2'!F:J,'AMFI DATA_2023H2'!J:J)</f>
        <v>248392.3934</v>
      </c>
      <c r="G23" s="7">
        <f t="shared" si="0"/>
        <v>-1</v>
      </c>
      <c r="H23" s="8"/>
      <c r="I23" s="8">
        <v>291488</v>
      </c>
      <c r="J23" s="8">
        <v>285577</v>
      </c>
      <c r="K23" s="8">
        <v>284906</v>
      </c>
      <c r="L23" s="8">
        <v>287718</v>
      </c>
      <c r="M23" s="8">
        <v>287376</v>
      </c>
      <c r="N23" s="8">
        <v>283158</v>
      </c>
      <c r="O23" s="8">
        <v>285906</v>
      </c>
      <c r="P23" s="8">
        <v>282227</v>
      </c>
      <c r="Q23" s="8">
        <v>285772</v>
      </c>
      <c r="R23" s="8">
        <v>286739</v>
      </c>
      <c r="S23" s="8">
        <v>289417</v>
      </c>
      <c r="T23" s="8">
        <v>289114</v>
      </c>
      <c r="U23" s="8">
        <v>291800</v>
      </c>
      <c r="V23" s="8">
        <v>294569</v>
      </c>
      <c r="W23" s="8">
        <v>302004</v>
      </c>
      <c r="X23" s="8">
        <v>302796</v>
      </c>
      <c r="Y23" s="8">
        <v>300661</v>
      </c>
      <c r="Z23" s="8">
        <v>301538</v>
      </c>
      <c r="AA23" s="8">
        <v>289367</v>
      </c>
      <c r="AB23" s="8">
        <v>287792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ht="15.75" customHeight="1">
      <c r="A24" s="3">
        <f>LOOKUP(D24,'AMFI DATA_2023H2'!F:L,'AMFI DATA_2023H2'!L:L)</f>
        <v>23</v>
      </c>
      <c r="B24" s="4" t="s">
        <v>73</v>
      </c>
      <c r="C24" s="4" t="s">
        <v>74</v>
      </c>
      <c r="D24" s="5" t="s">
        <v>75</v>
      </c>
      <c r="E24" s="5">
        <v>231087.57</v>
      </c>
      <c r="F24" s="6">
        <f>LOOKUP(D24,'AMFI DATA_2023H2'!F:J,'AMFI DATA_2023H2'!J:J)</f>
        <v>245952.54930000001</v>
      </c>
      <c r="G24" s="7">
        <f t="shared" si="0"/>
        <v>-1</v>
      </c>
      <c r="H24" s="8"/>
      <c r="I24" s="8">
        <v>242763</v>
      </c>
      <c r="J24" s="8">
        <v>243950</v>
      </c>
      <c r="K24" s="8">
        <v>246303</v>
      </c>
      <c r="L24" s="8">
        <v>249013</v>
      </c>
      <c r="M24" s="8">
        <v>250861</v>
      </c>
      <c r="N24" s="8">
        <v>249947</v>
      </c>
      <c r="O24" s="8">
        <v>248661</v>
      </c>
      <c r="P24" s="8">
        <v>248710</v>
      </c>
      <c r="Q24" s="8">
        <v>247867</v>
      </c>
      <c r="R24" s="8">
        <v>247311</v>
      </c>
      <c r="S24" s="8">
        <v>251440</v>
      </c>
      <c r="T24" s="8">
        <v>253646</v>
      </c>
      <c r="U24" s="8">
        <v>255989</v>
      </c>
      <c r="V24" s="8">
        <v>267149</v>
      </c>
      <c r="W24" s="8">
        <v>264507</v>
      </c>
      <c r="X24" s="8">
        <v>265418</v>
      </c>
      <c r="Y24" s="8">
        <v>262636</v>
      </c>
      <c r="Z24" s="8">
        <v>261526</v>
      </c>
      <c r="AA24" s="8">
        <v>261477</v>
      </c>
      <c r="AB24" s="8">
        <v>260811</v>
      </c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spans="1:47" ht="15.75" customHeight="1">
      <c r="A25" s="3">
        <f>LOOKUP(D25,'AMFI DATA_2023H2'!F:L,'AMFI DATA_2023H2'!L:L)</f>
        <v>24</v>
      </c>
      <c r="B25" s="4" t="s">
        <v>76</v>
      </c>
      <c r="C25" s="4" t="s">
        <v>77</v>
      </c>
      <c r="D25" s="5" t="s">
        <v>78</v>
      </c>
      <c r="E25" s="5">
        <v>168081.48</v>
      </c>
      <c r="F25" s="6">
        <f>LOOKUP(D25,'AMFI DATA_2023H2'!F:J,'AMFI DATA_2023H2'!J:J)</f>
        <v>236483.45680000001</v>
      </c>
      <c r="G25" s="7">
        <f t="shared" si="0"/>
        <v>-1</v>
      </c>
      <c r="H25" s="8"/>
      <c r="I25" s="8">
        <v>301404</v>
      </c>
      <c r="J25" s="8">
        <v>299919</v>
      </c>
      <c r="K25" s="8">
        <v>294815</v>
      </c>
      <c r="L25" s="8">
        <v>299903</v>
      </c>
      <c r="M25" s="8">
        <v>297487</v>
      </c>
      <c r="N25" s="8">
        <v>298976</v>
      </c>
      <c r="O25" s="8">
        <v>298756</v>
      </c>
      <c r="P25" s="8">
        <v>296006</v>
      </c>
      <c r="Q25" s="8">
        <v>292817</v>
      </c>
      <c r="R25" s="8">
        <v>288898</v>
      </c>
      <c r="S25" s="8">
        <v>289601</v>
      </c>
      <c r="T25" s="8">
        <v>291274</v>
      </c>
      <c r="U25" s="8">
        <v>285998</v>
      </c>
      <c r="V25" s="8">
        <v>287150</v>
      </c>
      <c r="W25" s="8">
        <v>289406</v>
      </c>
      <c r="X25" s="8">
        <v>286046</v>
      </c>
      <c r="Y25" s="8">
        <v>276181</v>
      </c>
      <c r="Z25" s="8">
        <v>271502</v>
      </c>
      <c r="AA25" s="8">
        <v>263688</v>
      </c>
      <c r="AB25" s="8">
        <v>265539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ht="15.75" customHeight="1">
      <c r="A26" s="3">
        <f>LOOKUP(D26,'AMFI DATA_2023H2'!F:L,'AMFI DATA_2023H2'!L:L)</f>
        <v>24</v>
      </c>
      <c r="B26" s="4" t="s">
        <v>76</v>
      </c>
      <c r="C26" s="4" t="s">
        <v>79</v>
      </c>
      <c r="D26" s="5" t="s">
        <v>80</v>
      </c>
      <c r="E26" s="5">
        <v>168081.48</v>
      </c>
      <c r="F26" s="6">
        <f>LOOKUP(D26,'AMFI DATA_2023H2'!F:J,'AMFI DATA_2023H2'!J:J)</f>
        <v>236483.45680000001</v>
      </c>
      <c r="G26" s="7">
        <f t="shared" si="0"/>
        <v>-1</v>
      </c>
      <c r="H26" s="8"/>
      <c r="I26" s="8">
        <v>27787</v>
      </c>
      <c r="J26" s="8">
        <v>27691</v>
      </c>
      <c r="K26" s="8">
        <v>27263</v>
      </c>
      <c r="L26" s="8">
        <v>27594</v>
      </c>
      <c r="M26" s="8">
        <v>27576</v>
      </c>
      <c r="N26" s="8">
        <v>27663</v>
      </c>
      <c r="O26" s="8">
        <v>27622</v>
      </c>
      <c r="P26" s="8">
        <v>27411</v>
      </c>
      <c r="Q26" s="8">
        <v>27037</v>
      </c>
      <c r="R26" s="8">
        <v>26671</v>
      </c>
      <c r="S26" s="8">
        <v>26808</v>
      </c>
      <c r="T26" s="8">
        <v>26943</v>
      </c>
      <c r="U26" s="8">
        <v>26335</v>
      </c>
      <c r="V26" s="8">
        <v>26457</v>
      </c>
      <c r="W26" s="8">
        <v>26724</v>
      </c>
      <c r="X26" s="8">
        <v>26412</v>
      </c>
      <c r="Y26" s="8">
        <v>25710</v>
      </c>
      <c r="Z26" s="8">
        <v>25128</v>
      </c>
      <c r="AA26" s="8">
        <v>24627</v>
      </c>
      <c r="AB26" s="8">
        <v>24759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ht="15.75" customHeight="1">
      <c r="A27" s="3">
        <f>LOOKUP(D27,'AMFI DATA_2023H2'!F:L,'AMFI DATA_2023H2'!L:L)</f>
        <v>25</v>
      </c>
      <c r="B27" s="4" t="s">
        <v>81</v>
      </c>
      <c r="C27" s="4" t="s">
        <v>82</v>
      </c>
      <c r="D27" s="5" t="s">
        <v>83</v>
      </c>
      <c r="E27" s="5">
        <v>195025.78</v>
      </c>
      <c r="F27" s="6">
        <f>LOOKUP(D27,'AMFI DATA_2023H2'!F:J,'AMFI DATA_2023H2'!J:J)</f>
        <v>231916.18034999998</v>
      </c>
      <c r="G27" s="7">
        <f t="shared" si="0"/>
        <v>-1</v>
      </c>
      <c r="H27" s="8"/>
      <c r="I27" s="8">
        <v>304443</v>
      </c>
      <c r="J27" s="8">
        <v>293812</v>
      </c>
      <c r="K27" s="8">
        <v>292240</v>
      </c>
      <c r="L27" s="8">
        <v>295762</v>
      </c>
      <c r="M27" s="8">
        <v>293749</v>
      </c>
      <c r="N27" s="8">
        <v>281043</v>
      </c>
      <c r="O27" s="8">
        <v>266387</v>
      </c>
      <c r="P27" s="8">
        <v>266828</v>
      </c>
      <c r="Q27" s="8">
        <v>272552</v>
      </c>
      <c r="R27" s="8">
        <v>273998</v>
      </c>
      <c r="S27" s="8">
        <v>272237</v>
      </c>
      <c r="T27" s="8">
        <v>270036</v>
      </c>
      <c r="U27" s="8">
        <v>261921</v>
      </c>
      <c r="V27" s="8">
        <v>260475</v>
      </c>
      <c r="W27" s="8">
        <v>258210</v>
      </c>
      <c r="X27" s="8">
        <v>257959</v>
      </c>
      <c r="Y27" s="8">
        <v>262047</v>
      </c>
      <c r="Z27" s="8">
        <v>258336</v>
      </c>
      <c r="AA27" s="8">
        <v>260916</v>
      </c>
      <c r="AB27" s="8">
        <v>256575</v>
      </c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ht="15.75" customHeight="1">
      <c r="A28" s="3">
        <f>LOOKUP(D28,'AMFI DATA_2023H2'!F:L,'AMFI DATA_2023H2'!L:L)</f>
        <v>26</v>
      </c>
      <c r="B28" s="4" t="s">
        <v>84</v>
      </c>
      <c r="C28" s="4" t="s">
        <v>85</v>
      </c>
      <c r="D28" s="5" t="s">
        <v>86</v>
      </c>
      <c r="E28" s="5">
        <v>168716.62</v>
      </c>
      <c r="F28" s="6">
        <f>LOOKUP(D28,'AMFI DATA_2023H2'!F:J,'AMFI DATA_2023H2'!J:J)</f>
        <v>230695.80804999999</v>
      </c>
      <c r="G28" s="7">
        <f t="shared" si="0"/>
        <v>-1</v>
      </c>
      <c r="H28" s="8"/>
      <c r="I28" s="8">
        <v>299094</v>
      </c>
      <c r="J28" s="8">
        <v>290221</v>
      </c>
      <c r="K28" s="8">
        <v>299966</v>
      </c>
      <c r="L28" s="8">
        <v>302100</v>
      </c>
      <c r="M28" s="8">
        <v>307772</v>
      </c>
      <c r="N28" s="8">
        <v>303166</v>
      </c>
      <c r="O28" s="8">
        <v>303409</v>
      </c>
      <c r="P28" s="8">
        <v>303845</v>
      </c>
      <c r="Q28" s="8">
        <v>310051</v>
      </c>
      <c r="R28" s="8">
        <v>306754</v>
      </c>
      <c r="S28" s="8">
        <v>305445</v>
      </c>
      <c r="T28" s="8">
        <v>307481</v>
      </c>
      <c r="U28" s="8">
        <v>296960</v>
      </c>
      <c r="V28" s="8">
        <v>296718</v>
      </c>
      <c r="W28" s="8">
        <v>300112</v>
      </c>
      <c r="X28" s="8">
        <v>301712</v>
      </c>
      <c r="Y28" s="8">
        <v>304621</v>
      </c>
      <c r="Z28" s="8">
        <v>296669</v>
      </c>
      <c r="AA28" s="8">
        <v>300258</v>
      </c>
      <c r="AB28" s="8">
        <v>293615</v>
      </c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ht="15.75" customHeight="1">
      <c r="A29" s="3">
        <f>LOOKUP(D29,'AMFI DATA_2023H2'!F:L,'AMFI DATA_2023H2'!L:L)</f>
        <v>27</v>
      </c>
      <c r="B29" s="4" t="s">
        <v>87</v>
      </c>
      <c r="C29" s="4" t="s">
        <v>88</v>
      </c>
      <c r="D29" s="5" t="s">
        <v>89</v>
      </c>
      <c r="E29" s="5">
        <v>4060.08</v>
      </c>
      <c r="F29" s="6">
        <f>LOOKUP(D29,'AMFI DATA_2023H2'!F:J,'AMFI DATA_2023H2'!J:J)</f>
        <v>224983.16574999999</v>
      </c>
      <c r="G29" s="7">
        <f t="shared" si="0"/>
        <v>-1</v>
      </c>
      <c r="H29" s="8"/>
      <c r="I29" s="8">
        <v>242500</v>
      </c>
      <c r="J29" s="8">
        <v>241232</v>
      </c>
      <c r="K29" s="8">
        <v>245209</v>
      </c>
      <c r="L29" s="8">
        <v>245021</v>
      </c>
      <c r="M29" s="8">
        <v>245696</v>
      </c>
      <c r="N29" s="8">
        <v>245821</v>
      </c>
      <c r="O29" s="8">
        <v>246607</v>
      </c>
      <c r="P29" s="8">
        <v>248526</v>
      </c>
      <c r="Q29" s="8">
        <v>249967</v>
      </c>
      <c r="R29" s="8">
        <v>252532</v>
      </c>
      <c r="S29" s="8">
        <v>257083</v>
      </c>
      <c r="T29" s="8">
        <v>261445</v>
      </c>
      <c r="U29" s="8">
        <v>256855</v>
      </c>
      <c r="V29" s="8">
        <v>262549</v>
      </c>
      <c r="W29" s="8">
        <v>263845</v>
      </c>
      <c r="X29" s="8">
        <v>256422</v>
      </c>
      <c r="Y29" s="8">
        <v>253001</v>
      </c>
      <c r="Z29" s="8">
        <v>248174</v>
      </c>
      <c r="AA29" s="8">
        <v>246504</v>
      </c>
      <c r="AB29" s="8">
        <v>244592</v>
      </c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ht="15.75" customHeight="1">
      <c r="A30" s="3">
        <f>LOOKUP(D30,'AMFI DATA_2023H2'!F:L,'AMFI DATA_2023H2'!L:L)</f>
        <v>28</v>
      </c>
      <c r="B30" s="4" t="s">
        <v>90</v>
      </c>
      <c r="C30" s="4" t="s">
        <v>91</v>
      </c>
      <c r="D30" s="5" t="s">
        <v>92</v>
      </c>
      <c r="E30" s="5">
        <v>212996.82</v>
      </c>
      <c r="F30" s="6">
        <f>LOOKUP(D30,'AMFI DATA_2023H2'!F:J,'AMFI DATA_2023H2'!J:J)</f>
        <v>218284.78019999998</v>
      </c>
      <c r="G30" s="7">
        <f t="shared" si="0"/>
        <v>-1</v>
      </c>
      <c r="H30" s="8"/>
      <c r="I30" s="8">
        <v>253384</v>
      </c>
      <c r="J30" s="8">
        <v>252156</v>
      </c>
      <c r="K30" s="8">
        <v>251973</v>
      </c>
      <c r="L30" s="8">
        <v>253383</v>
      </c>
      <c r="M30" s="8">
        <v>258396</v>
      </c>
      <c r="N30" s="8">
        <v>243167</v>
      </c>
      <c r="O30" s="8">
        <v>234077</v>
      </c>
      <c r="P30" s="8">
        <v>236971</v>
      </c>
      <c r="Q30" s="8">
        <v>235482</v>
      </c>
      <c r="R30" s="8">
        <v>235143</v>
      </c>
      <c r="S30" s="8">
        <v>238617</v>
      </c>
      <c r="T30" s="8">
        <v>236344</v>
      </c>
      <c r="U30" s="8">
        <v>238173</v>
      </c>
      <c r="V30" s="8">
        <v>245121</v>
      </c>
      <c r="W30" s="8">
        <v>249274</v>
      </c>
      <c r="X30" s="8">
        <v>246427</v>
      </c>
      <c r="Y30" s="8">
        <v>245121</v>
      </c>
      <c r="Z30" s="8">
        <v>246035</v>
      </c>
      <c r="AA30" s="8">
        <v>245538</v>
      </c>
      <c r="AB30" s="8">
        <v>241673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</row>
    <row r="31" spans="1:47" ht="15.75" customHeight="1">
      <c r="A31" s="3">
        <f>LOOKUP(D31,'AMFI DATA_2023H2'!F:L,'AMFI DATA_2023H2'!L:L)</f>
        <v>29</v>
      </c>
      <c r="B31" s="4" t="s">
        <v>93</v>
      </c>
      <c r="C31" s="4" t="s">
        <v>94</v>
      </c>
      <c r="D31" s="5" t="s">
        <v>95</v>
      </c>
      <c r="E31" s="5">
        <v>159795.85</v>
      </c>
      <c r="F31" s="6">
        <f>LOOKUP(D31,'AMFI DATA_2023H2'!F:J,'AMFI DATA_2023H2'!J:J)</f>
        <v>194699.63430000001</v>
      </c>
      <c r="G31" s="7">
        <f t="shared" si="0"/>
        <v>-1</v>
      </c>
      <c r="H31" s="8"/>
      <c r="I31" s="8">
        <v>205879</v>
      </c>
      <c r="J31" s="8">
        <v>201110</v>
      </c>
      <c r="K31" s="8">
        <v>198865</v>
      </c>
      <c r="L31" s="8">
        <v>201508</v>
      </c>
      <c r="M31" s="8">
        <v>203448</v>
      </c>
      <c r="N31" s="8">
        <v>201806</v>
      </c>
      <c r="O31" s="8">
        <v>202670</v>
      </c>
      <c r="P31" s="8">
        <v>202851</v>
      </c>
      <c r="Q31" s="8">
        <v>203168</v>
      </c>
      <c r="R31" s="8">
        <v>200861</v>
      </c>
      <c r="S31" s="8">
        <v>204187</v>
      </c>
      <c r="T31" s="8">
        <v>204150</v>
      </c>
      <c r="U31" s="8">
        <v>205860</v>
      </c>
      <c r="V31" s="8">
        <v>205966</v>
      </c>
      <c r="W31" s="8">
        <v>211586</v>
      </c>
      <c r="X31" s="8">
        <v>214652</v>
      </c>
      <c r="Y31" s="8">
        <v>215703</v>
      </c>
      <c r="Z31" s="8">
        <v>209162</v>
      </c>
      <c r="AA31" s="8">
        <v>206636</v>
      </c>
      <c r="AB31" s="8">
        <v>203224</v>
      </c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</row>
    <row r="32" spans="1:47" ht="15.75" customHeight="1">
      <c r="A32" s="3">
        <f>LOOKUP(D32,'AMFI DATA_2023H2'!F:L,'AMFI DATA_2023H2'!L:L)</f>
        <v>30</v>
      </c>
      <c r="B32" s="4" t="s">
        <v>96</v>
      </c>
      <c r="C32" s="4" t="s">
        <v>97</v>
      </c>
      <c r="D32" s="5" t="s">
        <v>98</v>
      </c>
      <c r="E32" s="5">
        <v>173445.72</v>
      </c>
      <c r="F32" s="6">
        <f>LOOKUP(D32,'AMFI DATA_2023H2'!F:J,'AMFI DATA_2023H2'!J:J)</f>
        <v>193609.94409999999</v>
      </c>
      <c r="G32" s="7">
        <f t="shared" si="0"/>
        <v>-1</v>
      </c>
      <c r="H32" s="8"/>
      <c r="I32" s="8">
        <v>199549</v>
      </c>
      <c r="J32" s="8">
        <v>196529</v>
      </c>
      <c r="K32" s="8">
        <v>198681</v>
      </c>
      <c r="L32" s="8">
        <v>203572</v>
      </c>
      <c r="M32" s="8">
        <v>201713</v>
      </c>
      <c r="N32" s="8">
        <v>201946</v>
      </c>
      <c r="O32" s="8">
        <v>200955</v>
      </c>
      <c r="P32" s="8">
        <v>202447</v>
      </c>
      <c r="Q32" s="8">
        <v>200796</v>
      </c>
      <c r="R32" s="8">
        <v>201114</v>
      </c>
      <c r="S32" s="8">
        <v>202484</v>
      </c>
      <c r="T32" s="8">
        <v>204709</v>
      </c>
      <c r="U32" s="8">
        <v>204770</v>
      </c>
      <c r="V32" s="8">
        <v>212779</v>
      </c>
      <c r="W32" s="8">
        <v>214552</v>
      </c>
      <c r="X32" s="8">
        <v>215298</v>
      </c>
      <c r="Y32" s="8">
        <v>215298</v>
      </c>
      <c r="Z32" s="8">
        <v>214197</v>
      </c>
      <c r="AA32" s="8">
        <v>208536</v>
      </c>
      <c r="AB32" s="8">
        <v>209160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ht="15.75" customHeight="1">
      <c r="A33" s="3">
        <f>LOOKUP(D33,'AMFI DATA_2023H2'!F:L,'AMFI DATA_2023H2'!L:L)</f>
        <v>31</v>
      </c>
      <c r="B33" s="4" t="s">
        <v>99</v>
      </c>
      <c r="C33" s="4" t="s">
        <v>100</v>
      </c>
      <c r="D33" s="5" t="s">
        <v>101</v>
      </c>
      <c r="E33" s="5">
        <v>159466.71</v>
      </c>
      <c r="F33" s="6">
        <f>LOOKUP(D33,'AMFI DATA_2023H2'!F:J,'AMFI DATA_2023H2'!J:J)</f>
        <v>186895.63190000001</v>
      </c>
      <c r="G33" s="7">
        <f t="shared" si="0"/>
        <v>-1</v>
      </c>
      <c r="H33" s="8"/>
      <c r="I33" s="8">
        <v>218983</v>
      </c>
      <c r="J33" s="8">
        <v>217123</v>
      </c>
      <c r="K33" s="8">
        <v>222377</v>
      </c>
      <c r="L33" s="8">
        <v>222517</v>
      </c>
      <c r="M33" s="8">
        <v>224284</v>
      </c>
      <c r="N33" s="8">
        <v>222749</v>
      </c>
      <c r="O33" s="8">
        <v>224703</v>
      </c>
      <c r="P33" s="8">
        <v>222285</v>
      </c>
      <c r="Q33" s="8">
        <v>225307</v>
      </c>
      <c r="R33" s="8">
        <v>225307</v>
      </c>
      <c r="S33" s="8">
        <v>224424</v>
      </c>
      <c r="T33" s="8">
        <v>224563</v>
      </c>
      <c r="U33" s="8">
        <v>220378</v>
      </c>
      <c r="V33" s="8">
        <v>221215</v>
      </c>
      <c r="W33" s="8">
        <v>221122</v>
      </c>
      <c r="X33" s="8">
        <v>220145</v>
      </c>
      <c r="Y33" s="8">
        <v>222005</v>
      </c>
      <c r="Z33" s="8">
        <v>217681</v>
      </c>
      <c r="AA33" s="8">
        <v>217076</v>
      </c>
      <c r="AB33" s="8">
        <v>215541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ht="15.75" customHeight="1">
      <c r="A34" s="3">
        <f>LOOKUP(D34,'AMFI DATA_2023H2'!F:L,'AMFI DATA_2023H2'!L:L)</f>
        <v>32</v>
      </c>
      <c r="B34" s="4" t="s">
        <v>102</v>
      </c>
      <c r="C34" s="4" t="s">
        <v>103</v>
      </c>
      <c r="D34" s="5" t="s">
        <v>104</v>
      </c>
      <c r="E34" s="5">
        <v>147253.79999999999</v>
      </c>
      <c r="F34" s="6">
        <f>LOOKUP(D34,'AMFI DATA_2023H2'!F:J,'AMFI DATA_2023H2'!J:J)</f>
        <v>179510.63815000001</v>
      </c>
      <c r="G34" s="7">
        <f t="shared" si="0"/>
        <v>-1</v>
      </c>
      <c r="H34" s="8"/>
      <c r="I34" s="8">
        <v>248870</v>
      </c>
      <c r="J34" s="8">
        <v>249291</v>
      </c>
      <c r="K34" s="8">
        <v>252326</v>
      </c>
      <c r="L34" s="8">
        <v>257769</v>
      </c>
      <c r="M34" s="8">
        <v>259843</v>
      </c>
      <c r="N34" s="8">
        <v>260750</v>
      </c>
      <c r="O34" s="8">
        <v>259843</v>
      </c>
      <c r="P34" s="8">
        <v>262316</v>
      </c>
      <c r="Q34" s="8">
        <v>258515</v>
      </c>
      <c r="R34" s="8">
        <v>252455</v>
      </c>
      <c r="S34" s="8">
        <v>249302</v>
      </c>
      <c r="T34" s="8">
        <v>242627</v>
      </c>
      <c r="U34" s="8">
        <v>236211</v>
      </c>
      <c r="V34" s="8">
        <v>232982</v>
      </c>
      <c r="W34" s="8">
        <v>226393</v>
      </c>
      <c r="X34" s="8">
        <v>221231</v>
      </c>
      <c r="Y34" s="8">
        <v>219697</v>
      </c>
      <c r="Z34" s="8">
        <v>221263</v>
      </c>
      <c r="AA34" s="8">
        <v>222213</v>
      </c>
      <c r="AB34" s="8">
        <v>221954</v>
      </c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ht="15.75" customHeight="1">
      <c r="A35" s="3">
        <f>LOOKUP(D35,'AMFI DATA_2023H2'!F:L,'AMFI DATA_2023H2'!L:L)</f>
        <v>33</v>
      </c>
      <c r="B35" s="4" t="s">
        <v>105</v>
      </c>
      <c r="C35" s="4" t="s">
        <v>106</v>
      </c>
      <c r="D35" s="5" t="s">
        <v>107</v>
      </c>
      <c r="E35" s="5">
        <v>138621.73000000001</v>
      </c>
      <c r="F35" s="6">
        <f>LOOKUP(D35,'AMFI DATA_2023H2'!F:J,'AMFI DATA_2023H2'!J:J)</f>
        <v>177195.5833</v>
      </c>
      <c r="G35" s="7">
        <f t="shared" si="0"/>
        <v>-1</v>
      </c>
      <c r="H35" s="8"/>
      <c r="I35" s="8">
        <v>236464</v>
      </c>
      <c r="J35" s="8">
        <v>231503</v>
      </c>
      <c r="K35" s="8">
        <v>234122</v>
      </c>
      <c r="L35" s="8">
        <v>235139</v>
      </c>
      <c r="M35" s="8">
        <v>237265</v>
      </c>
      <c r="N35" s="8">
        <v>234862</v>
      </c>
      <c r="O35" s="8">
        <v>236741</v>
      </c>
      <c r="P35" s="8">
        <v>235447</v>
      </c>
      <c r="Q35" s="8">
        <v>237419</v>
      </c>
      <c r="R35" s="8">
        <v>234523</v>
      </c>
      <c r="S35" s="8">
        <v>236864</v>
      </c>
      <c r="T35" s="8">
        <v>237111</v>
      </c>
      <c r="U35" s="8">
        <v>237019</v>
      </c>
      <c r="V35" s="8">
        <v>242134</v>
      </c>
      <c r="W35" s="8">
        <v>235293</v>
      </c>
      <c r="X35" s="8">
        <v>231688</v>
      </c>
      <c r="Y35" s="8">
        <v>234708</v>
      </c>
      <c r="Z35" s="8">
        <v>225248</v>
      </c>
      <c r="AA35" s="8">
        <v>225618</v>
      </c>
      <c r="AB35" s="8">
        <v>223861</v>
      </c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ht="15.75" customHeight="1">
      <c r="A36" s="3">
        <f>LOOKUP(D36,'AMFI DATA_2023H2'!F:L,'AMFI DATA_2023H2'!L:L)</f>
        <v>34</v>
      </c>
      <c r="B36" s="4" t="s">
        <v>108</v>
      </c>
      <c r="C36" s="4" t="s">
        <v>109</v>
      </c>
      <c r="D36" s="5" t="s">
        <v>110</v>
      </c>
      <c r="E36" s="5">
        <v>162786.70000000001</v>
      </c>
      <c r="F36" s="6">
        <f>LOOKUP(D36,'AMFI DATA_2023H2'!F:J,'AMFI DATA_2023H2'!J:J)</f>
        <v>166925.08669999999</v>
      </c>
      <c r="G36" s="7">
        <f t="shared" si="0"/>
        <v>-1</v>
      </c>
      <c r="H36" s="8"/>
      <c r="I36" s="8">
        <v>248701</v>
      </c>
      <c r="J36" s="8">
        <v>251584</v>
      </c>
      <c r="K36" s="8">
        <v>256019</v>
      </c>
      <c r="L36" s="8">
        <v>263805</v>
      </c>
      <c r="M36" s="8">
        <v>268137</v>
      </c>
      <c r="N36" s="8">
        <v>270980</v>
      </c>
      <c r="O36" s="8">
        <v>271614</v>
      </c>
      <c r="P36" s="8">
        <v>272968</v>
      </c>
      <c r="Q36" s="8">
        <v>266656</v>
      </c>
      <c r="R36" s="8">
        <v>266323</v>
      </c>
      <c r="S36" s="8">
        <v>265119</v>
      </c>
      <c r="T36" s="8">
        <v>268098</v>
      </c>
      <c r="U36" s="8">
        <v>269087</v>
      </c>
      <c r="V36" s="8">
        <v>253857</v>
      </c>
      <c r="W36" s="8">
        <v>253184</v>
      </c>
      <c r="X36" s="8">
        <v>252978</v>
      </c>
      <c r="Y36" s="8">
        <v>247347</v>
      </c>
      <c r="Z36" s="8">
        <v>253334</v>
      </c>
      <c r="AA36" s="8">
        <v>253336</v>
      </c>
      <c r="AB36" s="8">
        <v>242848</v>
      </c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ht="15.75" customHeight="1">
      <c r="A37" s="3">
        <f>LOOKUP(D37,'AMFI DATA_2023H2'!F:L,'AMFI DATA_2023H2'!L:L)</f>
        <v>35</v>
      </c>
      <c r="B37" s="4" t="s">
        <v>111</v>
      </c>
      <c r="C37" s="4" t="s">
        <v>112</v>
      </c>
      <c r="D37" s="5" t="s">
        <v>113</v>
      </c>
      <c r="E37" s="5">
        <v>137613.41</v>
      </c>
      <c r="F37" s="6">
        <f>LOOKUP(D37,'AMFI DATA_2023H2'!F:J,'AMFI DATA_2023H2'!J:J)</f>
        <v>157662.45144999999</v>
      </c>
      <c r="G37" s="7">
        <f t="shared" si="0"/>
        <v>-1</v>
      </c>
      <c r="H37" s="8"/>
      <c r="I37" s="8">
        <v>167362</v>
      </c>
      <c r="J37" s="8">
        <v>165940</v>
      </c>
      <c r="K37" s="8">
        <v>185826</v>
      </c>
      <c r="L37" s="8">
        <v>184871</v>
      </c>
      <c r="M37" s="8">
        <v>186731</v>
      </c>
      <c r="N37" s="8">
        <v>184719</v>
      </c>
      <c r="O37" s="8">
        <v>176550</v>
      </c>
      <c r="P37" s="8">
        <v>176011</v>
      </c>
      <c r="Q37" s="8">
        <v>175268</v>
      </c>
      <c r="R37" s="8">
        <v>172962</v>
      </c>
      <c r="S37" s="8">
        <v>175870</v>
      </c>
      <c r="T37" s="8">
        <v>173630</v>
      </c>
      <c r="U37" s="8">
        <v>176400</v>
      </c>
      <c r="V37" s="8">
        <v>181806</v>
      </c>
      <c r="W37" s="8">
        <v>185395</v>
      </c>
      <c r="X37" s="8">
        <v>186175</v>
      </c>
      <c r="Y37" s="8">
        <v>184794</v>
      </c>
      <c r="Z37" s="8">
        <v>186011</v>
      </c>
      <c r="AA37" s="8">
        <v>185322</v>
      </c>
      <c r="AB37" s="8">
        <v>184329</v>
      </c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ht="15.75" customHeight="1">
      <c r="A38" s="3">
        <f>LOOKUP(D38,'AMFI DATA_2023H2'!F:L,'AMFI DATA_2023H2'!L:L)</f>
        <v>36</v>
      </c>
      <c r="B38" s="4" t="s">
        <v>114</v>
      </c>
      <c r="C38" s="4" t="s">
        <v>115</v>
      </c>
      <c r="D38" s="5" t="s">
        <v>116</v>
      </c>
      <c r="E38" s="5">
        <v>135001.24</v>
      </c>
      <c r="F38" s="6">
        <f>LOOKUP(D38,'AMFI DATA_2023H2'!F:J,'AMFI DATA_2023H2'!J:J)</f>
        <v>151562.7268</v>
      </c>
      <c r="G38" s="7">
        <f t="shared" si="0"/>
        <v>-1</v>
      </c>
      <c r="H38" s="8"/>
      <c r="I38" s="8">
        <v>165030</v>
      </c>
      <c r="J38" s="8">
        <v>161095</v>
      </c>
      <c r="K38" s="8">
        <v>161894</v>
      </c>
      <c r="L38" s="8">
        <v>168781</v>
      </c>
      <c r="M38" s="8">
        <v>165891</v>
      </c>
      <c r="N38" s="8">
        <v>166383</v>
      </c>
      <c r="O38" s="8">
        <v>165891</v>
      </c>
      <c r="P38" s="8">
        <v>164907</v>
      </c>
      <c r="Q38" s="8">
        <v>164354</v>
      </c>
      <c r="R38" s="8">
        <v>162386</v>
      </c>
      <c r="S38" s="8">
        <v>164354</v>
      </c>
      <c r="T38" s="8">
        <v>165092</v>
      </c>
      <c r="U38" s="8">
        <v>166383</v>
      </c>
      <c r="V38" s="8">
        <v>171671</v>
      </c>
      <c r="W38" s="8">
        <v>172040</v>
      </c>
      <c r="X38" s="8">
        <v>171548</v>
      </c>
      <c r="Y38" s="8">
        <v>169888</v>
      </c>
      <c r="Z38" s="8">
        <v>168719</v>
      </c>
      <c r="AA38" s="8">
        <v>166322</v>
      </c>
      <c r="AB38" s="8">
        <v>164231</v>
      </c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ht="15.75" customHeight="1">
      <c r="A39" s="3">
        <f>LOOKUP(D39,'AMFI DATA_2023H2'!F:L,'AMFI DATA_2023H2'!L:L)</f>
        <v>37</v>
      </c>
      <c r="B39" s="4" t="s">
        <v>117</v>
      </c>
      <c r="C39" s="4" t="s">
        <v>118</v>
      </c>
      <c r="D39" s="5" t="s">
        <v>119</v>
      </c>
      <c r="E39" s="5">
        <v>117150.65</v>
      </c>
      <c r="F39" s="6">
        <f>LOOKUP(D39,'AMFI DATA_2023H2'!F:J,'AMFI DATA_2023H2'!J:J)</f>
        <v>148424.88125000001</v>
      </c>
      <c r="G39" s="7">
        <f t="shared" si="0"/>
        <v>-1</v>
      </c>
      <c r="H39" s="8"/>
      <c r="I39" s="8">
        <v>202112</v>
      </c>
      <c r="J39" s="8">
        <v>200593</v>
      </c>
      <c r="K39" s="8">
        <v>202908</v>
      </c>
      <c r="L39" s="8">
        <v>206553</v>
      </c>
      <c r="M39" s="8">
        <v>207663</v>
      </c>
      <c r="N39" s="8">
        <v>206776</v>
      </c>
      <c r="O39" s="8">
        <v>206565</v>
      </c>
      <c r="P39" s="8">
        <v>199748</v>
      </c>
      <c r="Q39" s="8">
        <v>200881</v>
      </c>
      <c r="R39" s="8">
        <v>197821</v>
      </c>
      <c r="S39" s="8">
        <v>197617</v>
      </c>
      <c r="T39" s="8">
        <v>196021</v>
      </c>
      <c r="U39" s="8">
        <v>197926</v>
      </c>
      <c r="V39" s="8">
        <v>188741</v>
      </c>
      <c r="W39" s="8">
        <v>189746</v>
      </c>
      <c r="X39" s="8">
        <v>192333</v>
      </c>
      <c r="Y39" s="8">
        <v>189675</v>
      </c>
      <c r="Z39" s="8">
        <v>190091</v>
      </c>
      <c r="AA39" s="8">
        <v>183100</v>
      </c>
      <c r="AB39" s="8">
        <v>180303</v>
      </c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ht="14.4">
      <c r="A40" s="3">
        <f>LOOKUP(D40,'AMFI DATA_2023H2'!F:L,'AMFI DATA_2023H2'!L:L)</f>
        <v>38</v>
      </c>
      <c r="B40" s="4" t="s">
        <v>120</v>
      </c>
      <c r="C40" s="4" t="s">
        <v>121</v>
      </c>
      <c r="D40" s="5" t="s">
        <v>122</v>
      </c>
      <c r="E40" s="5">
        <v>7016.05</v>
      </c>
      <c r="F40" s="6">
        <f>LOOKUP(D40,'AMFI DATA_2023H2'!F:J,'AMFI DATA_2023H2'!J:J)</f>
        <v>146441.38039999999</v>
      </c>
      <c r="G40" s="7">
        <f t="shared" si="0"/>
        <v>-1</v>
      </c>
      <c r="H40" s="9"/>
      <c r="I40" s="9">
        <v>66.599999999999994</v>
      </c>
      <c r="J40" s="9">
        <v>62.4</v>
      </c>
      <c r="K40" s="9">
        <v>62.7</v>
      </c>
      <c r="L40" s="9">
        <v>63.4</v>
      </c>
      <c r="M40" s="9">
        <v>65.7</v>
      </c>
      <c r="N40" s="9">
        <v>64</v>
      </c>
      <c r="O40" s="9">
        <v>65</v>
      </c>
      <c r="P40" s="9">
        <v>63.7</v>
      </c>
      <c r="Q40" s="9">
        <v>63.4</v>
      </c>
      <c r="R40" s="9">
        <v>62.9</v>
      </c>
      <c r="S40" s="9">
        <v>64.8</v>
      </c>
      <c r="T40" s="9">
        <v>64.099999999999994</v>
      </c>
      <c r="U40" s="9">
        <v>64.2</v>
      </c>
      <c r="V40" s="9">
        <v>64.099999999999994</v>
      </c>
      <c r="W40" s="9">
        <v>64.599999999999994</v>
      </c>
      <c r="X40" s="9">
        <v>63.7</v>
      </c>
      <c r="Y40" s="9">
        <v>64.099999999999994</v>
      </c>
      <c r="Z40" s="9">
        <v>65.3</v>
      </c>
      <c r="AA40" s="9">
        <v>63.7</v>
      </c>
      <c r="AB40" s="9">
        <v>64.900000000000006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ht="14.4">
      <c r="A41" s="3">
        <f>LOOKUP(D41,'AMFI DATA_2023H2'!F:L,'AMFI DATA_2023H2'!L:L)</f>
        <v>38</v>
      </c>
      <c r="B41" s="4" t="s">
        <v>123</v>
      </c>
      <c r="C41" s="4" t="s">
        <v>124</v>
      </c>
      <c r="D41" s="5" t="s">
        <v>125</v>
      </c>
      <c r="E41" s="5">
        <v>7016.05</v>
      </c>
      <c r="F41" s="6">
        <f>LOOKUP(D41,'AMFI DATA_2023H2'!F:J,'AMFI DATA_2023H2'!J:J)</f>
        <v>146441.38039999999</v>
      </c>
      <c r="G41" s="7">
        <f t="shared" si="0"/>
        <v>-1</v>
      </c>
      <c r="H41" s="8"/>
      <c r="I41" s="8">
        <v>156481</v>
      </c>
      <c r="J41" s="8">
        <v>154544</v>
      </c>
      <c r="K41" s="8">
        <v>154131</v>
      </c>
      <c r="L41" s="8">
        <v>158133</v>
      </c>
      <c r="M41" s="8">
        <v>169506</v>
      </c>
      <c r="N41" s="8">
        <v>162041</v>
      </c>
      <c r="O41" s="8">
        <v>159785</v>
      </c>
      <c r="P41" s="8">
        <v>152701</v>
      </c>
      <c r="Q41" s="8">
        <v>153845</v>
      </c>
      <c r="R41" s="8">
        <v>154067</v>
      </c>
      <c r="S41" s="8">
        <v>154798</v>
      </c>
      <c r="T41" s="8">
        <v>153368</v>
      </c>
      <c r="U41" s="8">
        <v>148953</v>
      </c>
      <c r="V41" s="8">
        <v>149493</v>
      </c>
      <c r="W41" s="8">
        <v>149048</v>
      </c>
      <c r="X41" s="8">
        <v>148063</v>
      </c>
      <c r="Y41" s="8">
        <v>148254</v>
      </c>
      <c r="Z41" s="8">
        <v>148667</v>
      </c>
      <c r="AA41" s="8">
        <v>149112</v>
      </c>
      <c r="AB41" s="8">
        <v>150414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ht="14.4">
      <c r="A42" s="3">
        <f>LOOKUP(D42,'AMFI DATA_2023H2'!F:L,'AMFI DATA_2023H2'!L:L)</f>
        <v>39</v>
      </c>
      <c r="B42" s="4" t="s">
        <v>126</v>
      </c>
      <c r="C42" s="4" t="s">
        <v>127</v>
      </c>
      <c r="D42" s="5" t="s">
        <v>128</v>
      </c>
      <c r="E42" s="5">
        <v>116534.94</v>
      </c>
      <c r="F42" s="6">
        <f>LOOKUP(D42,'AMFI DATA_2023H2'!F:J,'AMFI DATA_2023H2'!J:J)</f>
        <v>139826.90594999999</v>
      </c>
      <c r="G42" s="7">
        <f t="shared" si="0"/>
        <v>-1</v>
      </c>
      <c r="H42" s="8"/>
      <c r="I42" s="8">
        <v>209842</v>
      </c>
      <c r="J42" s="8">
        <v>204052</v>
      </c>
      <c r="K42" s="8">
        <v>203487</v>
      </c>
      <c r="L42" s="8">
        <v>202852</v>
      </c>
      <c r="M42" s="8">
        <v>194379</v>
      </c>
      <c r="N42" s="8">
        <v>191060</v>
      </c>
      <c r="O42" s="8">
        <v>188166</v>
      </c>
      <c r="P42" s="8">
        <v>184353</v>
      </c>
      <c r="Q42" s="8">
        <v>186330</v>
      </c>
      <c r="R42" s="8">
        <v>187389</v>
      </c>
      <c r="S42" s="8">
        <v>187248</v>
      </c>
      <c r="T42" s="8">
        <v>185271</v>
      </c>
      <c r="U42" s="8">
        <v>187530</v>
      </c>
      <c r="V42" s="8">
        <v>184212</v>
      </c>
      <c r="W42" s="8">
        <v>184070</v>
      </c>
      <c r="X42" s="8">
        <v>183294</v>
      </c>
      <c r="Y42" s="8">
        <v>188236</v>
      </c>
      <c r="Z42" s="8">
        <v>178916</v>
      </c>
      <c r="AA42" s="8">
        <v>180822</v>
      </c>
      <c r="AB42" s="8">
        <v>174680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ht="14.4">
      <c r="A43" s="3">
        <f>LOOKUP(D43,'AMFI DATA_2023H2'!F:L,'AMFI DATA_2023H2'!L:L)</f>
        <v>40</v>
      </c>
      <c r="B43" s="4" t="s">
        <v>129</v>
      </c>
      <c r="C43" s="4" t="s">
        <v>130</v>
      </c>
      <c r="D43" s="5" t="s">
        <v>131</v>
      </c>
      <c r="E43" s="5">
        <v>95787.07</v>
      </c>
      <c r="F43" s="6">
        <f>LOOKUP(D43,'AMFI DATA_2023H2'!F:J,'AMFI DATA_2023H2'!J:J)</f>
        <v>139518.6684</v>
      </c>
      <c r="G43" s="7">
        <f t="shared" si="0"/>
        <v>-1</v>
      </c>
      <c r="H43" s="8"/>
      <c r="I43" s="8">
        <v>202495</v>
      </c>
      <c r="J43" s="8">
        <v>198466</v>
      </c>
      <c r="K43" s="8">
        <v>197857</v>
      </c>
      <c r="L43" s="8">
        <v>200248</v>
      </c>
      <c r="M43" s="8">
        <v>202686</v>
      </c>
      <c r="N43" s="8">
        <v>200749</v>
      </c>
      <c r="O43" s="8">
        <v>202024</v>
      </c>
      <c r="P43" s="8">
        <v>201790</v>
      </c>
      <c r="Q43" s="8">
        <v>201325</v>
      </c>
      <c r="R43" s="8">
        <v>200305</v>
      </c>
      <c r="S43" s="8">
        <v>200569</v>
      </c>
      <c r="T43" s="8">
        <v>194229</v>
      </c>
      <c r="U43" s="8">
        <v>191945</v>
      </c>
      <c r="V43" s="8">
        <v>186672</v>
      </c>
      <c r="W43" s="8">
        <v>189059</v>
      </c>
      <c r="X43" s="8">
        <v>187491</v>
      </c>
      <c r="Y43" s="8">
        <v>187658</v>
      </c>
      <c r="Z43" s="8">
        <v>187795</v>
      </c>
      <c r="AA43" s="8">
        <v>188659</v>
      </c>
      <c r="AB43" s="8">
        <v>180817</v>
      </c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</row>
    <row r="44" spans="1:47" ht="14.4">
      <c r="A44" s="3">
        <f>LOOKUP(D44,'AMFI DATA_2023H2'!F:L,'AMFI DATA_2023H2'!L:L)</f>
        <v>41</v>
      </c>
      <c r="B44" s="4" t="s">
        <v>132</v>
      </c>
      <c r="C44" s="4" t="s">
        <v>133</v>
      </c>
      <c r="D44" s="5" t="s">
        <v>134</v>
      </c>
      <c r="E44" s="5">
        <v>86184.17</v>
      </c>
      <c r="F44" s="6">
        <f>LOOKUP(D44,'AMFI DATA_2023H2'!F:J,'AMFI DATA_2023H2'!J:J)</f>
        <v>139457.42365000001</v>
      </c>
      <c r="G44" s="7">
        <f t="shared" si="0"/>
        <v>-1</v>
      </c>
      <c r="H44" s="8"/>
      <c r="I44" s="8">
        <v>200387</v>
      </c>
      <c r="J44" s="8">
        <v>201930</v>
      </c>
      <c r="K44" s="8">
        <v>200734</v>
      </c>
      <c r="L44" s="8">
        <v>205922</v>
      </c>
      <c r="M44" s="8">
        <v>208834</v>
      </c>
      <c r="N44" s="8">
        <v>208718</v>
      </c>
      <c r="O44" s="8">
        <v>208506</v>
      </c>
      <c r="P44" s="8">
        <v>209162</v>
      </c>
      <c r="Q44" s="8">
        <v>208043</v>
      </c>
      <c r="R44" s="8">
        <v>208892</v>
      </c>
      <c r="S44" s="8">
        <v>212845</v>
      </c>
      <c r="T44" s="8">
        <v>215429</v>
      </c>
      <c r="U44" s="8">
        <v>210068</v>
      </c>
      <c r="V44" s="8">
        <v>200079</v>
      </c>
      <c r="W44" s="8">
        <v>202605</v>
      </c>
      <c r="X44" s="8">
        <v>202431</v>
      </c>
      <c r="Y44" s="8">
        <v>201043</v>
      </c>
      <c r="Z44" s="8">
        <v>201159</v>
      </c>
      <c r="AA44" s="8">
        <v>197649</v>
      </c>
      <c r="AB44" s="8">
        <v>197687</v>
      </c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ht="14.4">
      <c r="A45" s="3">
        <f>LOOKUP(D45,'AMFI DATA_2023H2'!F:L,'AMFI DATA_2023H2'!L:L)</f>
        <v>42</v>
      </c>
      <c r="B45" s="4" t="s">
        <v>135</v>
      </c>
      <c r="C45" s="4" t="s">
        <v>136</v>
      </c>
      <c r="D45" s="5" t="s">
        <v>137</v>
      </c>
      <c r="E45" s="5">
        <v>117683.12</v>
      </c>
      <c r="F45" s="6">
        <f>LOOKUP(D45,'AMFI DATA_2023H2'!F:J,'AMFI DATA_2023H2'!J:J)</f>
        <v>138974.86044999998</v>
      </c>
      <c r="G45" s="7">
        <f t="shared" si="0"/>
        <v>-1</v>
      </c>
      <c r="H45" s="8"/>
      <c r="I45" s="8">
        <v>132449</v>
      </c>
      <c r="J45" s="8">
        <v>130728</v>
      </c>
      <c r="K45" s="8">
        <v>130427</v>
      </c>
      <c r="L45" s="8">
        <v>131481</v>
      </c>
      <c r="M45" s="8">
        <v>132169</v>
      </c>
      <c r="N45" s="8">
        <v>137190</v>
      </c>
      <c r="O45" s="8">
        <v>138373</v>
      </c>
      <c r="P45" s="8">
        <v>138707</v>
      </c>
      <c r="Q45" s="8">
        <v>137427</v>
      </c>
      <c r="R45" s="8">
        <v>138718</v>
      </c>
      <c r="S45" s="8">
        <v>139019</v>
      </c>
      <c r="T45" s="8">
        <v>139352</v>
      </c>
      <c r="U45" s="8">
        <v>137212</v>
      </c>
      <c r="V45" s="8">
        <v>138782</v>
      </c>
      <c r="W45" s="8">
        <v>139363</v>
      </c>
      <c r="X45" s="8">
        <v>139158</v>
      </c>
      <c r="Y45" s="8">
        <v>139373</v>
      </c>
      <c r="Z45" s="8">
        <v>138126</v>
      </c>
      <c r="AA45" s="8">
        <v>137223</v>
      </c>
      <c r="AB45" s="8">
        <v>137610</v>
      </c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ht="14.4">
      <c r="A46" s="3">
        <f>LOOKUP(D46,'AMFI DATA_2023H2'!F:L,'AMFI DATA_2023H2'!L:L)</f>
        <v>43</v>
      </c>
      <c r="B46" s="4" t="s">
        <v>138</v>
      </c>
      <c r="C46" s="4" t="s">
        <v>139</v>
      </c>
      <c r="D46" s="5" t="s">
        <v>140</v>
      </c>
      <c r="E46" s="5">
        <v>100573.3</v>
      </c>
      <c r="F46" s="6">
        <f>LOOKUP(D46,'AMFI DATA_2023H2'!F:J,'AMFI DATA_2023H2'!J:J)</f>
        <v>138167.74955000001</v>
      </c>
      <c r="G46" s="7">
        <f t="shared" si="0"/>
        <v>-1</v>
      </c>
      <c r="H46" s="8"/>
      <c r="I46" s="8">
        <v>194337</v>
      </c>
      <c r="J46" s="8">
        <v>191948</v>
      </c>
      <c r="K46" s="8">
        <v>191899</v>
      </c>
      <c r="L46" s="8">
        <v>194758</v>
      </c>
      <c r="M46" s="8">
        <v>199646</v>
      </c>
      <c r="N46" s="8">
        <v>198161</v>
      </c>
      <c r="O46" s="8">
        <v>197530</v>
      </c>
      <c r="P46" s="8">
        <v>197047</v>
      </c>
      <c r="Q46" s="8">
        <v>195401</v>
      </c>
      <c r="R46" s="8">
        <v>187827</v>
      </c>
      <c r="S46" s="8">
        <v>186379</v>
      </c>
      <c r="T46" s="8">
        <v>188470</v>
      </c>
      <c r="U46" s="8">
        <v>177146</v>
      </c>
      <c r="V46" s="8">
        <v>176638</v>
      </c>
      <c r="W46" s="8">
        <v>179163</v>
      </c>
      <c r="X46" s="8">
        <v>179336</v>
      </c>
      <c r="Y46" s="8">
        <v>180153</v>
      </c>
      <c r="Z46" s="8">
        <v>178309</v>
      </c>
      <c r="AA46" s="8">
        <v>176972</v>
      </c>
      <c r="AB46" s="8">
        <v>177220</v>
      </c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</row>
    <row r="47" spans="1:47" ht="14.4">
      <c r="A47" s="3">
        <f>LOOKUP(D47,'AMFI DATA_2023H2'!F:L,'AMFI DATA_2023H2'!L:L)</f>
        <v>44</v>
      </c>
      <c r="B47" s="4" t="s">
        <v>141</v>
      </c>
      <c r="C47" s="4" t="s">
        <v>142</v>
      </c>
      <c r="D47" s="5" t="s">
        <v>143</v>
      </c>
      <c r="E47" s="5">
        <v>118339.34</v>
      </c>
      <c r="F47" s="6">
        <f>LOOKUP(D47,'AMFI DATA_2023H2'!F:J,'AMFI DATA_2023H2'!J:J)</f>
        <v>134326.60550000001</v>
      </c>
      <c r="G47" s="7">
        <f t="shared" si="0"/>
        <v>-1</v>
      </c>
      <c r="H47" s="8"/>
      <c r="I47" s="8">
        <v>144564</v>
      </c>
      <c r="J47" s="8">
        <v>140664</v>
      </c>
      <c r="K47" s="8">
        <v>142281</v>
      </c>
      <c r="L47" s="8">
        <v>141100</v>
      </c>
      <c r="M47" s="8">
        <v>143242</v>
      </c>
      <c r="N47" s="8">
        <v>143678</v>
      </c>
      <c r="O47" s="8">
        <v>143227</v>
      </c>
      <c r="P47" s="8">
        <v>145325</v>
      </c>
      <c r="Q47" s="8">
        <v>145716</v>
      </c>
      <c r="R47" s="8">
        <v>142186</v>
      </c>
      <c r="S47" s="8">
        <v>145766</v>
      </c>
      <c r="T47" s="8">
        <v>143338</v>
      </c>
      <c r="U47" s="8">
        <v>142326</v>
      </c>
      <c r="V47" s="8">
        <v>143778</v>
      </c>
      <c r="W47" s="8">
        <v>142707</v>
      </c>
      <c r="X47" s="8">
        <v>143152</v>
      </c>
      <c r="Y47" s="8">
        <v>143277</v>
      </c>
      <c r="Z47" s="8">
        <v>142101</v>
      </c>
      <c r="AA47" s="8">
        <v>139553</v>
      </c>
      <c r="AB47" s="8">
        <v>139603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spans="1:47" ht="14.4">
      <c r="A48" s="3">
        <f>LOOKUP(D48,'AMFI DATA_2023H2'!F:L,'AMFI DATA_2023H2'!L:L)</f>
        <v>45</v>
      </c>
      <c r="B48" s="4" t="s">
        <v>144</v>
      </c>
      <c r="C48" s="4" t="s">
        <v>145</v>
      </c>
      <c r="D48" s="5" t="s">
        <v>146</v>
      </c>
      <c r="E48" s="5">
        <v>134580.91</v>
      </c>
      <c r="F48" s="6">
        <f>LOOKUP(D48,'AMFI DATA_2023H2'!F:J,'AMFI DATA_2023H2'!J:J)</f>
        <v>132519.37780000002</v>
      </c>
      <c r="G48" s="7">
        <f t="shared" si="0"/>
        <v>-1</v>
      </c>
      <c r="H48" s="8"/>
      <c r="I48" s="8">
        <v>133310</v>
      </c>
      <c r="J48" s="8">
        <v>131851</v>
      </c>
      <c r="K48" s="8">
        <v>133605</v>
      </c>
      <c r="L48" s="8">
        <v>135379</v>
      </c>
      <c r="M48" s="8">
        <v>135928</v>
      </c>
      <c r="N48" s="8">
        <v>133922</v>
      </c>
      <c r="O48" s="8">
        <v>133879</v>
      </c>
      <c r="P48" s="8">
        <v>134048</v>
      </c>
      <c r="Q48" s="8">
        <v>132590</v>
      </c>
      <c r="R48" s="8">
        <v>133330</v>
      </c>
      <c r="S48" s="8">
        <v>134534</v>
      </c>
      <c r="T48" s="8">
        <v>134471</v>
      </c>
      <c r="U48" s="8">
        <v>134661</v>
      </c>
      <c r="V48" s="8">
        <v>134048</v>
      </c>
      <c r="W48" s="8">
        <v>134534</v>
      </c>
      <c r="X48" s="8">
        <v>134365</v>
      </c>
      <c r="Y48" s="8">
        <v>132253</v>
      </c>
      <c r="Z48" s="8">
        <v>131724</v>
      </c>
      <c r="AA48" s="8">
        <v>131703</v>
      </c>
      <c r="AB48" s="8">
        <v>130943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</row>
    <row r="49" spans="1:47" ht="14.4">
      <c r="A49" s="3">
        <f>LOOKUP(D49,'AMFI DATA_2023H2'!F:L,'AMFI DATA_2023H2'!L:L)</f>
        <v>46</v>
      </c>
      <c r="B49" s="4" t="s">
        <v>147</v>
      </c>
      <c r="C49" s="4" t="s">
        <v>148</v>
      </c>
      <c r="D49" s="5" t="s">
        <v>149</v>
      </c>
      <c r="E49" s="5">
        <v>119151.09</v>
      </c>
      <c r="F49" s="6">
        <f>LOOKUP(D49,'AMFI DATA_2023H2'!F:J,'AMFI DATA_2023H2'!J:J)</f>
        <v>131726.15210000001</v>
      </c>
      <c r="G49" s="7">
        <f t="shared" si="0"/>
        <v>-1</v>
      </c>
      <c r="H49" s="8"/>
      <c r="I49" s="8">
        <v>147434</v>
      </c>
      <c r="J49" s="8">
        <v>143937</v>
      </c>
      <c r="K49" s="8">
        <v>146308</v>
      </c>
      <c r="L49" s="8">
        <v>146036</v>
      </c>
      <c r="M49" s="8">
        <v>148502</v>
      </c>
      <c r="N49" s="8">
        <v>148146</v>
      </c>
      <c r="O49" s="8">
        <v>147434</v>
      </c>
      <c r="P49" s="8">
        <v>148885</v>
      </c>
      <c r="Q49" s="8">
        <v>148931</v>
      </c>
      <c r="R49" s="8">
        <v>142952</v>
      </c>
      <c r="S49" s="8">
        <v>145012</v>
      </c>
      <c r="T49" s="8">
        <v>145605</v>
      </c>
      <c r="U49" s="8">
        <v>145689</v>
      </c>
      <c r="V49" s="8">
        <v>143522</v>
      </c>
      <c r="W49" s="8">
        <v>142867</v>
      </c>
      <c r="X49" s="8">
        <v>143196</v>
      </c>
      <c r="Y49" s="8">
        <v>141909</v>
      </c>
      <c r="Z49" s="8">
        <v>141551</v>
      </c>
      <c r="AA49" s="8">
        <v>142746</v>
      </c>
      <c r="AB49" s="8">
        <v>140865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spans="1:47" ht="14.4">
      <c r="A50" s="3">
        <f>LOOKUP(D50,'AMFI DATA_2023H2'!F:L,'AMFI DATA_2023H2'!L:L)</f>
        <v>47</v>
      </c>
      <c r="B50" s="4" t="s">
        <v>150</v>
      </c>
      <c r="C50" s="4" t="s">
        <v>151</v>
      </c>
      <c r="D50" s="5" t="s">
        <v>152</v>
      </c>
      <c r="E50" s="5">
        <v>124318.25</v>
      </c>
      <c r="F50" s="6">
        <f>LOOKUP(D50,'AMFI DATA_2023H2'!F:J,'AMFI DATA_2023H2'!J:J)</f>
        <v>128535.26345</v>
      </c>
      <c r="G50" s="7">
        <f t="shared" si="0"/>
        <v>-1</v>
      </c>
      <c r="H50" s="8"/>
      <c r="I50" s="8">
        <v>136620</v>
      </c>
      <c r="J50" s="8">
        <v>137243</v>
      </c>
      <c r="K50" s="8">
        <v>140391</v>
      </c>
      <c r="L50" s="8">
        <v>142106</v>
      </c>
      <c r="M50" s="8">
        <v>140046</v>
      </c>
      <c r="N50" s="8">
        <v>139110</v>
      </c>
      <c r="O50" s="8">
        <v>139359</v>
      </c>
      <c r="P50" s="8">
        <v>137749</v>
      </c>
      <c r="Q50" s="8">
        <v>138850</v>
      </c>
      <c r="R50" s="8">
        <v>138100</v>
      </c>
      <c r="S50" s="8">
        <v>138690</v>
      </c>
      <c r="T50" s="8">
        <v>140836</v>
      </c>
      <c r="U50" s="8">
        <v>140986</v>
      </c>
      <c r="V50" s="8">
        <v>139201</v>
      </c>
      <c r="W50" s="8">
        <v>137190</v>
      </c>
      <c r="X50" s="8">
        <v>138197</v>
      </c>
      <c r="Y50" s="8">
        <v>137759</v>
      </c>
      <c r="Z50" s="8">
        <v>137365</v>
      </c>
      <c r="AA50" s="8">
        <v>135774</v>
      </c>
      <c r="AB50" s="8">
        <v>134448</v>
      </c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ht="14.4">
      <c r="A51" s="3">
        <f>LOOKUP(D51,'AMFI DATA_2023H2'!F:L,'AMFI DATA_2023H2'!L:L)</f>
        <v>48</v>
      </c>
      <c r="B51" s="4" t="s">
        <v>153</v>
      </c>
      <c r="C51" s="4" t="s">
        <v>154</v>
      </c>
      <c r="D51" s="5" t="s">
        <v>155</v>
      </c>
      <c r="E51" s="5">
        <v>110044.86</v>
      </c>
      <c r="F51" s="6">
        <f>LOOKUP(D51,'AMFI DATA_2023H2'!F:J,'AMFI DATA_2023H2'!J:J)</f>
        <v>125591.68455000001</v>
      </c>
      <c r="G51" s="7">
        <f t="shared" si="0"/>
        <v>-1</v>
      </c>
      <c r="H51" s="8"/>
      <c r="I51" s="8">
        <v>141596</v>
      </c>
      <c r="J51" s="8">
        <v>139755</v>
      </c>
      <c r="K51" s="8">
        <v>140987</v>
      </c>
      <c r="L51" s="8">
        <v>143317</v>
      </c>
      <c r="M51" s="8">
        <v>143042</v>
      </c>
      <c r="N51" s="8">
        <v>143695</v>
      </c>
      <c r="O51" s="8">
        <v>141994</v>
      </c>
      <c r="P51" s="8">
        <v>136745</v>
      </c>
      <c r="Q51" s="8">
        <v>136003</v>
      </c>
      <c r="R51" s="8">
        <v>136628</v>
      </c>
      <c r="S51" s="8">
        <v>136898</v>
      </c>
      <c r="T51" s="8">
        <v>136312</v>
      </c>
      <c r="U51" s="8">
        <v>136345</v>
      </c>
      <c r="V51" s="8">
        <v>138261</v>
      </c>
      <c r="W51" s="8">
        <v>140006</v>
      </c>
      <c r="X51" s="8">
        <v>140516</v>
      </c>
      <c r="Y51" s="8">
        <v>140813</v>
      </c>
      <c r="Z51" s="8">
        <v>139598</v>
      </c>
      <c r="AA51" s="8">
        <v>136516</v>
      </c>
      <c r="AB51" s="8">
        <v>134732</v>
      </c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ht="14.4">
      <c r="A52" s="3">
        <f>LOOKUP(D52,'AMFI DATA_2023H2'!F:L,'AMFI DATA_2023H2'!L:L)</f>
        <v>49</v>
      </c>
      <c r="B52" s="4" t="s">
        <v>156</v>
      </c>
      <c r="C52" s="4" t="s">
        <v>157</v>
      </c>
      <c r="D52" s="5" t="s">
        <v>158</v>
      </c>
      <c r="E52" s="5">
        <v>91870.51</v>
      </c>
      <c r="F52" s="6">
        <f>LOOKUP(D52,'AMFI DATA_2023H2'!F:J,'AMFI DATA_2023H2'!J:J)</f>
        <v>122903.07755</v>
      </c>
      <c r="G52" s="7">
        <f t="shared" si="0"/>
        <v>-1</v>
      </c>
      <c r="H52" s="8"/>
      <c r="I52" s="8">
        <v>164734</v>
      </c>
      <c r="J52" s="8">
        <v>159823</v>
      </c>
      <c r="K52" s="8">
        <v>162369</v>
      </c>
      <c r="L52" s="8">
        <v>164344</v>
      </c>
      <c r="M52" s="8">
        <v>165221</v>
      </c>
      <c r="N52" s="8">
        <v>164357</v>
      </c>
      <c r="O52" s="8">
        <v>166020</v>
      </c>
      <c r="P52" s="8">
        <v>164831</v>
      </c>
      <c r="Q52" s="8">
        <v>168326</v>
      </c>
      <c r="R52" s="8">
        <v>164948</v>
      </c>
      <c r="S52" s="8">
        <v>166189</v>
      </c>
      <c r="T52" s="8">
        <v>163701</v>
      </c>
      <c r="U52" s="8">
        <v>159225</v>
      </c>
      <c r="V52" s="8">
        <v>161103</v>
      </c>
      <c r="W52" s="8">
        <v>161362</v>
      </c>
      <c r="X52" s="8">
        <v>160713</v>
      </c>
      <c r="Y52" s="8">
        <v>161096</v>
      </c>
      <c r="Z52" s="8">
        <v>160654</v>
      </c>
      <c r="AA52" s="8">
        <v>162599</v>
      </c>
      <c r="AB52" s="8">
        <v>160921</v>
      </c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spans="1:47" ht="14.4">
      <c r="A53" s="3">
        <f>LOOKUP(D53,'AMFI DATA_2023H2'!F:L,'AMFI DATA_2023H2'!L:L)</f>
        <v>50</v>
      </c>
      <c r="B53" s="4" t="s">
        <v>159</v>
      </c>
      <c r="C53" s="4" t="s">
        <v>160</v>
      </c>
      <c r="D53" s="5" t="s">
        <v>161</v>
      </c>
      <c r="E53" s="5">
        <v>104119.02</v>
      </c>
      <c r="F53" s="6">
        <f>LOOKUP(D53,'AMFI DATA_2023H2'!F:J,'AMFI DATA_2023H2'!J:J)</f>
        <v>117663.09825</v>
      </c>
      <c r="G53" s="7">
        <f t="shared" si="0"/>
        <v>-1</v>
      </c>
      <c r="H53" s="8"/>
      <c r="I53" s="8">
        <v>135689</v>
      </c>
      <c r="J53" s="8">
        <v>132287</v>
      </c>
      <c r="K53" s="8">
        <v>129508</v>
      </c>
      <c r="L53" s="8">
        <v>129093</v>
      </c>
      <c r="M53" s="8">
        <v>130621</v>
      </c>
      <c r="N53" s="8">
        <v>127687</v>
      </c>
      <c r="O53" s="8">
        <v>121942</v>
      </c>
      <c r="P53" s="8">
        <v>121132</v>
      </c>
      <c r="Q53" s="8">
        <v>120937</v>
      </c>
      <c r="R53" s="8">
        <v>119780</v>
      </c>
      <c r="S53" s="8">
        <v>121928</v>
      </c>
      <c r="T53" s="8">
        <v>121776</v>
      </c>
      <c r="U53" s="8">
        <v>121454</v>
      </c>
      <c r="V53" s="8">
        <v>124744</v>
      </c>
      <c r="W53" s="8">
        <v>126716</v>
      </c>
      <c r="X53" s="8">
        <v>124227</v>
      </c>
      <c r="Y53" s="8">
        <v>125549</v>
      </c>
      <c r="Z53" s="8">
        <v>124964</v>
      </c>
      <c r="AA53" s="8">
        <v>125208</v>
      </c>
      <c r="AB53" s="8">
        <v>124476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spans="1:47" ht="14.4">
      <c r="A54" s="3">
        <f>LOOKUP(D54,'AMFI DATA_2023H2'!F:L,'AMFI DATA_2023H2'!L:L)</f>
        <v>51</v>
      </c>
      <c r="B54" s="4" t="s">
        <v>162</v>
      </c>
      <c r="C54" s="4" t="s">
        <v>163</v>
      </c>
      <c r="D54" s="5" t="s">
        <v>164</v>
      </c>
      <c r="E54" s="5">
        <v>108510.48</v>
      </c>
      <c r="F54" s="6">
        <f>LOOKUP(D54,'AMFI DATA_2023H2'!F:J,'AMFI DATA_2023H2'!J:J)</f>
        <v>113982.88925000001</v>
      </c>
      <c r="G54" s="7">
        <f t="shared" si="0"/>
        <v>-1</v>
      </c>
      <c r="H54" s="8"/>
      <c r="I54" s="8">
        <v>123774</v>
      </c>
      <c r="J54" s="8">
        <v>120799</v>
      </c>
      <c r="K54" s="8">
        <v>121920</v>
      </c>
      <c r="L54" s="8">
        <v>123580</v>
      </c>
      <c r="M54" s="8">
        <v>125162</v>
      </c>
      <c r="N54" s="8">
        <v>124074</v>
      </c>
      <c r="O54" s="8">
        <v>123727</v>
      </c>
      <c r="P54" s="8">
        <v>122521</v>
      </c>
      <c r="Q54" s="8">
        <v>123208</v>
      </c>
      <c r="R54" s="8">
        <v>124706</v>
      </c>
      <c r="S54" s="8">
        <v>126994</v>
      </c>
      <c r="T54" s="8">
        <v>129137</v>
      </c>
      <c r="U54" s="8">
        <v>126547</v>
      </c>
      <c r="V54" s="8">
        <v>127392</v>
      </c>
      <c r="W54" s="8">
        <v>128085</v>
      </c>
      <c r="X54" s="8">
        <v>128598</v>
      </c>
      <c r="Y54" s="8">
        <v>127227</v>
      </c>
      <c r="Z54" s="8">
        <v>125425</v>
      </c>
      <c r="AA54" s="8">
        <v>126159</v>
      </c>
      <c r="AB54" s="8">
        <v>124315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spans="1:47" ht="14.4">
      <c r="A55" s="3">
        <f>LOOKUP(D55,'AMFI DATA_2023H2'!F:L,'AMFI DATA_2023H2'!L:L)</f>
        <v>52</v>
      </c>
      <c r="B55" s="4" t="s">
        <v>165</v>
      </c>
      <c r="C55" s="4" t="s">
        <v>166</v>
      </c>
      <c r="D55" s="5" t="s">
        <v>167</v>
      </c>
      <c r="E55" s="5">
        <v>90877.4</v>
      </c>
      <c r="F55" s="6">
        <f>LOOKUP(D55,'AMFI DATA_2023H2'!F:J,'AMFI DATA_2023H2'!J:J)</f>
        <v>112367.52875</v>
      </c>
      <c r="G55" s="7">
        <f t="shared" si="0"/>
        <v>-1</v>
      </c>
      <c r="H55" s="8"/>
      <c r="I55" s="8">
        <v>121392</v>
      </c>
      <c r="J55" s="8">
        <v>125440</v>
      </c>
      <c r="K55" s="8">
        <v>127587</v>
      </c>
      <c r="L55" s="8">
        <v>129648</v>
      </c>
      <c r="M55" s="8">
        <v>131343</v>
      </c>
      <c r="N55" s="8">
        <v>130192</v>
      </c>
      <c r="O55" s="8">
        <v>129104</v>
      </c>
      <c r="P55" s="8">
        <v>127560</v>
      </c>
      <c r="Q55" s="8">
        <v>126308</v>
      </c>
      <c r="R55" s="8">
        <v>126518</v>
      </c>
      <c r="S55" s="8">
        <v>127424</v>
      </c>
      <c r="T55" s="8">
        <v>128213</v>
      </c>
      <c r="U55" s="8">
        <v>124562</v>
      </c>
      <c r="V55" s="8">
        <v>122493</v>
      </c>
      <c r="W55" s="8">
        <v>124177</v>
      </c>
      <c r="X55" s="8">
        <v>123936</v>
      </c>
      <c r="Y55" s="8">
        <v>125230</v>
      </c>
      <c r="Z55" s="8">
        <v>124196</v>
      </c>
      <c r="AA55" s="8">
        <v>122174</v>
      </c>
      <c r="AB55" s="8">
        <v>121509</v>
      </c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</row>
    <row r="56" spans="1:47" ht="14.4">
      <c r="A56" s="3">
        <f>LOOKUP(D56,'AMFI DATA_2023H2'!F:L,'AMFI DATA_2023H2'!L:L)</f>
        <v>53</v>
      </c>
      <c r="B56" s="4" t="s">
        <v>168</v>
      </c>
      <c r="C56" s="4" t="s">
        <v>169</v>
      </c>
      <c r="D56" s="5" t="s">
        <v>170</v>
      </c>
      <c r="E56" s="5">
        <v>96624.21</v>
      </c>
      <c r="F56" s="6">
        <f>LOOKUP(D56,'AMFI DATA_2023H2'!F:J,'AMFI DATA_2023H2'!J:J)</f>
        <v>108103.6118</v>
      </c>
      <c r="G56" s="7">
        <f t="shared" si="0"/>
        <v>-1</v>
      </c>
      <c r="H56" s="8"/>
      <c r="I56" s="8">
        <v>125170</v>
      </c>
      <c r="J56" s="8">
        <v>124698</v>
      </c>
      <c r="K56" s="8">
        <v>126069</v>
      </c>
      <c r="L56" s="8">
        <v>130181</v>
      </c>
      <c r="M56" s="8">
        <v>129249</v>
      </c>
      <c r="N56" s="8">
        <v>130799</v>
      </c>
      <c r="O56" s="8">
        <v>129664</v>
      </c>
      <c r="P56" s="8">
        <v>130597</v>
      </c>
      <c r="Q56" s="8">
        <v>129417</v>
      </c>
      <c r="R56" s="8">
        <v>129844</v>
      </c>
      <c r="S56" s="8">
        <v>131934</v>
      </c>
      <c r="T56" s="8">
        <v>132698</v>
      </c>
      <c r="U56" s="8">
        <v>133294</v>
      </c>
      <c r="V56" s="8">
        <v>138867</v>
      </c>
      <c r="W56" s="8">
        <v>136900</v>
      </c>
      <c r="X56" s="8">
        <v>138181</v>
      </c>
      <c r="Y56" s="8">
        <v>137900</v>
      </c>
      <c r="Z56" s="8">
        <v>136069</v>
      </c>
      <c r="AA56" s="8">
        <v>130408</v>
      </c>
      <c r="AB56" s="8">
        <v>128192</v>
      </c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</row>
    <row r="57" spans="1:47" ht="14.4">
      <c r="A57" s="3">
        <f>LOOKUP(D57,'AMFI DATA_2023H2'!F:L,'AMFI DATA_2023H2'!L:L)</f>
        <v>54</v>
      </c>
      <c r="B57" s="4" t="s">
        <v>171</v>
      </c>
      <c r="C57" s="4" t="s">
        <v>172</v>
      </c>
      <c r="D57" s="5" t="s">
        <v>173</v>
      </c>
      <c r="E57" s="5">
        <v>90957.8</v>
      </c>
      <c r="F57" s="6">
        <f>LOOKUP(D57,'AMFI DATA_2023H2'!F:J,'AMFI DATA_2023H2'!J:J)</f>
        <v>104972.91665</v>
      </c>
      <c r="G57" s="7">
        <f t="shared" si="0"/>
        <v>-1</v>
      </c>
      <c r="H57" s="8"/>
      <c r="I57" s="8">
        <v>119226</v>
      </c>
      <c r="J57" s="8">
        <v>117752</v>
      </c>
      <c r="K57" s="8">
        <v>116614</v>
      </c>
      <c r="L57" s="8">
        <v>119562</v>
      </c>
      <c r="M57" s="8">
        <v>119510</v>
      </c>
      <c r="N57" s="8">
        <v>118890</v>
      </c>
      <c r="O57" s="8">
        <v>116899</v>
      </c>
      <c r="P57" s="8">
        <v>115761</v>
      </c>
      <c r="Q57" s="8">
        <v>115399</v>
      </c>
      <c r="R57" s="8">
        <v>115554</v>
      </c>
      <c r="S57" s="8">
        <v>121243</v>
      </c>
      <c r="T57" s="8">
        <v>122949</v>
      </c>
      <c r="U57" s="8">
        <v>120467</v>
      </c>
      <c r="V57" s="8">
        <v>119226</v>
      </c>
      <c r="W57" s="8">
        <v>120958</v>
      </c>
      <c r="X57" s="8">
        <v>119510</v>
      </c>
      <c r="Y57" s="8">
        <v>120493</v>
      </c>
      <c r="Z57" s="8">
        <v>119976</v>
      </c>
      <c r="AA57" s="8">
        <v>116537</v>
      </c>
      <c r="AB57" s="8">
        <v>115632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spans="1:47" ht="14.4">
      <c r="A58" s="3">
        <f>LOOKUP(D58,'AMFI DATA_2023H2'!F:L,'AMFI DATA_2023H2'!L:L)</f>
        <v>55</v>
      </c>
      <c r="B58" s="4" t="s">
        <v>174</v>
      </c>
      <c r="C58" s="4" t="s">
        <v>175</v>
      </c>
      <c r="D58" s="5" t="s">
        <v>176</v>
      </c>
      <c r="E58" s="5">
        <v>98946.61</v>
      </c>
      <c r="F58" s="6">
        <f>LOOKUP(D58,'AMFI DATA_2023H2'!F:J,'AMFI DATA_2023H2'!J:J)</f>
        <v>104290.04195</v>
      </c>
      <c r="G58" s="7">
        <f t="shared" si="0"/>
        <v>-1</v>
      </c>
      <c r="H58" s="8"/>
      <c r="I58" s="8">
        <v>117576</v>
      </c>
      <c r="J58" s="8">
        <v>112902</v>
      </c>
      <c r="K58" s="8">
        <v>112488</v>
      </c>
      <c r="L58" s="8">
        <v>114856</v>
      </c>
      <c r="M58" s="8">
        <v>115771</v>
      </c>
      <c r="N58" s="8">
        <v>118180</v>
      </c>
      <c r="O58" s="8">
        <v>118180</v>
      </c>
      <c r="P58" s="8">
        <v>116727</v>
      </c>
      <c r="Q58" s="8">
        <v>118824</v>
      </c>
      <c r="R58" s="8">
        <v>120159</v>
      </c>
      <c r="S58" s="8">
        <v>124761</v>
      </c>
      <c r="T58" s="8">
        <v>122936</v>
      </c>
      <c r="U58" s="8">
        <v>119361</v>
      </c>
      <c r="V58" s="8">
        <v>118507</v>
      </c>
      <c r="W58" s="8">
        <v>117070</v>
      </c>
      <c r="X58" s="8">
        <v>115664</v>
      </c>
      <c r="Y58" s="8">
        <v>113915</v>
      </c>
      <c r="Z58" s="8">
        <v>113204</v>
      </c>
      <c r="AA58" s="8">
        <v>111829</v>
      </c>
      <c r="AB58" s="8">
        <v>109870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spans="1:47" ht="14.4">
      <c r="A59" s="3">
        <f>LOOKUP(D59,'AMFI DATA_2023H2'!F:L,'AMFI DATA_2023H2'!L:L)</f>
        <v>56</v>
      </c>
      <c r="B59" s="4" t="s">
        <v>177</v>
      </c>
      <c r="C59" s="4" t="s">
        <v>178</v>
      </c>
      <c r="D59" s="5" t="s">
        <v>179</v>
      </c>
      <c r="E59" s="5">
        <v>75404.289999999994</v>
      </c>
      <c r="F59" s="6">
        <f>LOOKUP(D59,'AMFI DATA_2023H2'!F:J,'AMFI DATA_2023H2'!J:J)</f>
        <v>101875.76944999999</v>
      </c>
      <c r="G59" s="7">
        <f t="shared" si="0"/>
        <v>-1</v>
      </c>
      <c r="H59" s="8"/>
      <c r="I59" s="8">
        <v>140202</v>
      </c>
      <c r="J59" s="8">
        <v>137570</v>
      </c>
      <c r="K59" s="8">
        <v>135743</v>
      </c>
      <c r="L59" s="8">
        <v>136510</v>
      </c>
      <c r="M59" s="8">
        <v>137899</v>
      </c>
      <c r="N59" s="8">
        <v>134134</v>
      </c>
      <c r="O59" s="8">
        <v>134756</v>
      </c>
      <c r="P59" s="8">
        <v>135670</v>
      </c>
      <c r="Q59" s="8">
        <v>134975</v>
      </c>
      <c r="R59" s="8">
        <v>134244</v>
      </c>
      <c r="S59" s="8">
        <v>135925</v>
      </c>
      <c r="T59" s="8">
        <v>136620</v>
      </c>
      <c r="U59" s="8">
        <v>133294</v>
      </c>
      <c r="V59" s="8">
        <v>133184</v>
      </c>
      <c r="W59" s="8">
        <v>135267</v>
      </c>
      <c r="X59" s="8">
        <v>134573</v>
      </c>
      <c r="Y59" s="8">
        <v>133550</v>
      </c>
      <c r="Z59" s="8">
        <v>131686</v>
      </c>
      <c r="AA59" s="8">
        <v>132963</v>
      </c>
      <c r="AB59" s="8">
        <v>127775</v>
      </c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</row>
    <row r="60" spans="1:47" ht="14.4">
      <c r="A60" s="3">
        <f>LOOKUP(D60,'AMFI DATA_2023H2'!F:L,'AMFI DATA_2023H2'!L:L)</f>
        <v>57</v>
      </c>
      <c r="B60" s="4" t="s">
        <v>180</v>
      </c>
      <c r="C60" s="4" t="s">
        <v>181</v>
      </c>
      <c r="D60" s="5" t="s">
        <v>182</v>
      </c>
      <c r="E60" s="5">
        <v>80990.679999999993</v>
      </c>
      <c r="F60" s="6">
        <f>LOOKUP(D60,'AMFI DATA_2023H2'!F:J,'AMFI DATA_2023H2'!J:J)</f>
        <v>99904.481999999989</v>
      </c>
      <c r="G60" s="7">
        <f t="shared" si="0"/>
        <v>-1</v>
      </c>
      <c r="H60" s="8"/>
      <c r="I60" s="8">
        <v>116934</v>
      </c>
      <c r="J60" s="8">
        <v>117814</v>
      </c>
      <c r="K60" s="8">
        <v>118215</v>
      </c>
      <c r="L60" s="8">
        <v>117677</v>
      </c>
      <c r="M60" s="8">
        <v>120403</v>
      </c>
      <c r="N60" s="8">
        <v>118485</v>
      </c>
      <c r="O60" s="8">
        <v>117763</v>
      </c>
      <c r="P60" s="8">
        <v>0</v>
      </c>
      <c r="Q60" s="8">
        <v>116476</v>
      </c>
      <c r="R60" s="8">
        <v>113887</v>
      </c>
      <c r="S60" s="8">
        <v>113740</v>
      </c>
      <c r="T60" s="8">
        <v>115623</v>
      </c>
      <c r="U60" s="8">
        <v>115689</v>
      </c>
      <c r="V60" s="8">
        <v>113132</v>
      </c>
      <c r="W60" s="8">
        <v>114844</v>
      </c>
      <c r="X60" s="8">
        <v>114058</v>
      </c>
      <c r="Y60" s="8">
        <v>113095</v>
      </c>
      <c r="Z60" s="8">
        <v>113314</v>
      </c>
      <c r="AA60" s="8">
        <v>112790</v>
      </c>
      <c r="AB60" s="8">
        <v>110820</v>
      </c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spans="1:47" ht="14.4">
      <c r="A61" s="3">
        <f>LOOKUP(D61,'AMFI DATA_2023H2'!F:L,'AMFI DATA_2023H2'!L:L)</f>
        <v>58</v>
      </c>
      <c r="B61" s="4" t="s">
        <v>183</v>
      </c>
      <c r="C61" s="4" t="s">
        <v>184</v>
      </c>
      <c r="D61" s="5" t="s">
        <v>185</v>
      </c>
      <c r="E61" s="5">
        <v>95932.51</v>
      </c>
      <c r="F61" s="6">
        <f>LOOKUP(D61,'AMFI DATA_2023H2'!F:J,'AMFI DATA_2023H2'!J:J)</f>
        <v>97973.34844999999</v>
      </c>
      <c r="G61" s="7">
        <f t="shared" si="0"/>
        <v>-1</v>
      </c>
      <c r="H61" s="8"/>
      <c r="I61" s="8">
        <v>96036</v>
      </c>
      <c r="J61" s="8">
        <v>95593</v>
      </c>
      <c r="K61" s="8">
        <v>97365</v>
      </c>
      <c r="L61" s="8">
        <v>99048</v>
      </c>
      <c r="M61" s="8">
        <v>98153</v>
      </c>
      <c r="N61" s="8">
        <v>97409</v>
      </c>
      <c r="O61" s="8">
        <v>97852</v>
      </c>
      <c r="P61" s="8">
        <v>96992</v>
      </c>
      <c r="Q61" s="8">
        <v>97081</v>
      </c>
      <c r="R61" s="8">
        <v>98020</v>
      </c>
      <c r="S61" s="8">
        <v>100625</v>
      </c>
      <c r="T61" s="8">
        <v>100342</v>
      </c>
      <c r="U61" s="8">
        <v>97657</v>
      </c>
      <c r="V61" s="8">
        <v>98640</v>
      </c>
      <c r="W61" s="8">
        <v>98676</v>
      </c>
      <c r="X61" s="8">
        <v>98694</v>
      </c>
      <c r="Y61" s="8">
        <v>96257</v>
      </c>
      <c r="Z61" s="8">
        <v>94804</v>
      </c>
      <c r="AA61" s="8">
        <v>94015</v>
      </c>
      <c r="AB61" s="8">
        <v>93794</v>
      </c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spans="1:47" ht="14.4">
      <c r="A62" s="3">
        <f>LOOKUP(D62,'AMFI DATA_2023H2'!F:L,'AMFI DATA_2023H2'!L:L)</f>
        <v>59</v>
      </c>
      <c r="B62" s="4" t="s">
        <v>186</v>
      </c>
      <c r="C62" s="4" t="s">
        <v>187</v>
      </c>
      <c r="D62" s="5" t="s">
        <v>188</v>
      </c>
      <c r="E62" s="5">
        <v>84517.97</v>
      </c>
      <c r="F62" s="6">
        <f>LOOKUP(D62,'AMFI DATA_2023H2'!F:J,'AMFI DATA_2023H2'!J:J)</f>
        <v>97400.486750000011</v>
      </c>
      <c r="G62" s="7">
        <f t="shared" si="0"/>
        <v>-1</v>
      </c>
      <c r="H62" s="8"/>
      <c r="I62" s="8">
        <v>98027</v>
      </c>
      <c r="J62" s="8">
        <v>98229</v>
      </c>
      <c r="K62" s="8">
        <v>98976</v>
      </c>
      <c r="L62" s="8">
        <v>101617</v>
      </c>
      <c r="M62" s="8">
        <v>103738</v>
      </c>
      <c r="N62" s="8">
        <v>103107</v>
      </c>
      <c r="O62" s="8">
        <v>103716</v>
      </c>
      <c r="P62" s="8">
        <v>103603</v>
      </c>
      <c r="Q62" s="8">
        <v>105760</v>
      </c>
      <c r="R62" s="8">
        <v>104390</v>
      </c>
      <c r="S62" s="8">
        <v>106514</v>
      </c>
      <c r="T62" s="8">
        <v>107306</v>
      </c>
      <c r="U62" s="8">
        <v>106968</v>
      </c>
      <c r="V62" s="8">
        <v>106984</v>
      </c>
      <c r="W62" s="8">
        <v>104086</v>
      </c>
      <c r="X62" s="8">
        <v>103581</v>
      </c>
      <c r="Y62" s="8">
        <v>104556</v>
      </c>
      <c r="Z62" s="8">
        <v>103127</v>
      </c>
      <c r="AA62" s="8">
        <v>102580</v>
      </c>
      <c r="AB62" s="8">
        <v>98089</v>
      </c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</row>
    <row r="63" spans="1:47" ht="14.4">
      <c r="A63" s="3">
        <f>LOOKUP(D63,'AMFI DATA_2023H2'!F:L,'AMFI DATA_2023H2'!L:L)</f>
        <v>60</v>
      </c>
      <c r="B63" s="4" t="s">
        <v>189</v>
      </c>
      <c r="C63" s="4" t="s">
        <v>190</v>
      </c>
      <c r="D63" s="5" t="s">
        <v>191</v>
      </c>
      <c r="E63" s="5">
        <v>90216</v>
      </c>
      <c r="F63" s="6">
        <f>LOOKUP(D63,'AMFI DATA_2023H2'!F:J,'AMFI DATA_2023H2'!J:J)</f>
        <v>96865.446250000008</v>
      </c>
      <c r="G63" s="7">
        <f t="shared" si="0"/>
        <v>-1</v>
      </c>
      <c r="H63" s="8"/>
      <c r="I63" s="8">
        <v>101297</v>
      </c>
      <c r="J63" s="8">
        <v>101055</v>
      </c>
      <c r="K63" s="8">
        <v>102714</v>
      </c>
      <c r="L63" s="8">
        <v>103851</v>
      </c>
      <c r="M63" s="8">
        <v>104872</v>
      </c>
      <c r="N63" s="8">
        <v>105974</v>
      </c>
      <c r="O63" s="8">
        <v>106251</v>
      </c>
      <c r="P63" s="8">
        <v>105200</v>
      </c>
      <c r="Q63" s="8">
        <v>105911</v>
      </c>
      <c r="R63" s="8">
        <v>106496</v>
      </c>
      <c r="S63" s="8">
        <v>106130</v>
      </c>
      <c r="T63" s="8">
        <v>105705</v>
      </c>
      <c r="U63" s="8">
        <v>106403</v>
      </c>
      <c r="V63" s="8">
        <v>106567</v>
      </c>
      <c r="W63" s="8">
        <v>110477</v>
      </c>
      <c r="X63" s="8">
        <v>113131</v>
      </c>
      <c r="Y63" s="8">
        <v>112058</v>
      </c>
      <c r="Z63" s="8">
        <v>112467</v>
      </c>
      <c r="AA63" s="8">
        <v>110663</v>
      </c>
      <c r="AB63" s="8">
        <v>109676</v>
      </c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</row>
    <row r="64" spans="1:47" ht="14.4">
      <c r="A64" s="3">
        <f>LOOKUP(D64,'AMFI DATA_2023H2'!F:L,'AMFI DATA_2023H2'!L:L)</f>
        <v>61</v>
      </c>
      <c r="B64" s="4" t="s">
        <v>192</v>
      </c>
      <c r="C64" s="4" t="s">
        <v>193</v>
      </c>
      <c r="D64" s="5" t="s">
        <v>194</v>
      </c>
      <c r="E64" s="5">
        <v>77782.45</v>
      </c>
      <c r="F64" s="6">
        <f>LOOKUP(D64,'AMFI DATA_2023H2'!F:J,'AMFI DATA_2023H2'!J:J)</f>
        <v>95823.534050000002</v>
      </c>
      <c r="G64" s="7">
        <f t="shared" si="0"/>
        <v>-1</v>
      </c>
      <c r="H64" s="8"/>
      <c r="I64" s="8">
        <v>107237</v>
      </c>
      <c r="J64" s="8">
        <v>106809</v>
      </c>
      <c r="K64" s="8">
        <v>104472</v>
      </c>
      <c r="L64" s="8">
        <v>105074</v>
      </c>
      <c r="M64" s="8">
        <v>105986</v>
      </c>
      <c r="N64" s="8">
        <v>105602</v>
      </c>
      <c r="O64" s="8">
        <v>106995</v>
      </c>
      <c r="P64" s="8">
        <v>107314</v>
      </c>
      <c r="Q64" s="8">
        <v>104097</v>
      </c>
      <c r="R64" s="8">
        <v>102619</v>
      </c>
      <c r="S64" s="8">
        <v>103867</v>
      </c>
      <c r="T64" s="8">
        <v>104685</v>
      </c>
      <c r="U64" s="8">
        <v>104935</v>
      </c>
      <c r="V64" s="8">
        <v>103466</v>
      </c>
      <c r="W64" s="8">
        <v>101004</v>
      </c>
      <c r="X64" s="8">
        <v>100656</v>
      </c>
      <c r="Y64" s="8">
        <v>101758</v>
      </c>
      <c r="Z64" s="8">
        <v>100067</v>
      </c>
      <c r="AA64" s="8">
        <v>100531</v>
      </c>
      <c r="AB64" s="8">
        <v>99756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spans="1:47" ht="14.4">
      <c r="A65" s="3">
        <f>LOOKUP(D65,'AMFI DATA_2023H2'!F:L,'AMFI DATA_2023H2'!L:L)</f>
        <v>62</v>
      </c>
      <c r="B65" s="4" t="s">
        <v>195</v>
      </c>
      <c r="C65" s="4" t="s">
        <v>196</v>
      </c>
      <c r="D65" s="5" t="s">
        <v>197</v>
      </c>
      <c r="E65" s="5">
        <v>70890.12</v>
      </c>
      <c r="F65" s="6">
        <f>LOOKUP(D65,'AMFI DATA_2023H2'!F:J,'AMFI DATA_2023H2'!J:J)</f>
        <v>95521.390050000002</v>
      </c>
      <c r="G65" s="7">
        <f t="shared" si="0"/>
        <v>-1</v>
      </c>
      <c r="H65" s="8"/>
      <c r="I65" s="8">
        <v>106272</v>
      </c>
      <c r="J65" s="8">
        <v>108455</v>
      </c>
      <c r="K65" s="8">
        <v>108157</v>
      </c>
      <c r="L65" s="8">
        <v>109110</v>
      </c>
      <c r="M65" s="8">
        <v>107330</v>
      </c>
      <c r="N65" s="8">
        <v>104664</v>
      </c>
      <c r="O65" s="8">
        <v>103392</v>
      </c>
      <c r="P65" s="8">
        <v>102124</v>
      </c>
      <c r="Q65" s="8">
        <v>103338</v>
      </c>
      <c r="R65" s="8">
        <v>103375</v>
      </c>
      <c r="S65" s="8">
        <v>105559</v>
      </c>
      <c r="T65" s="8">
        <v>108926</v>
      </c>
      <c r="U65" s="8">
        <v>104307</v>
      </c>
      <c r="V65" s="8">
        <v>102443</v>
      </c>
      <c r="W65" s="8">
        <v>102804</v>
      </c>
      <c r="X65" s="8">
        <v>105882</v>
      </c>
      <c r="Y65" s="8">
        <v>103757</v>
      </c>
      <c r="Z65" s="8">
        <v>105382</v>
      </c>
      <c r="AA65" s="8">
        <v>104599</v>
      </c>
      <c r="AB65" s="8">
        <v>105019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spans="1:47" ht="14.4">
      <c r="A66" s="3">
        <f>LOOKUP(D66,'AMFI DATA_2023H2'!F:L,'AMFI DATA_2023H2'!L:L)</f>
        <v>63</v>
      </c>
      <c r="B66" s="4" t="s">
        <v>198</v>
      </c>
      <c r="C66" s="4" t="s">
        <v>199</v>
      </c>
      <c r="D66" s="5" t="s">
        <v>200</v>
      </c>
      <c r="E66" s="5">
        <v>494.76</v>
      </c>
      <c r="F66" s="6">
        <f>LOOKUP(D66,'AMFI DATA_2023H2'!F:J,'AMFI DATA_2023H2'!J:J)</f>
        <v>93803.466849999997</v>
      </c>
      <c r="G66" s="7">
        <f t="shared" si="0"/>
        <v>-1</v>
      </c>
      <c r="H66" s="8"/>
      <c r="I66" s="8">
        <v>117244</v>
      </c>
      <c r="J66" s="8">
        <v>118856</v>
      </c>
      <c r="K66" s="8">
        <v>121366</v>
      </c>
      <c r="L66" s="8">
        <v>125532</v>
      </c>
      <c r="M66" s="8">
        <v>128075</v>
      </c>
      <c r="N66" s="8">
        <v>128527</v>
      </c>
      <c r="O66" s="8">
        <v>129380</v>
      </c>
      <c r="P66" s="8">
        <v>130546</v>
      </c>
      <c r="Q66" s="8">
        <v>129810</v>
      </c>
      <c r="R66" s="8">
        <v>127629</v>
      </c>
      <c r="S66" s="8">
        <v>129776</v>
      </c>
      <c r="T66" s="8">
        <v>131606</v>
      </c>
      <c r="U66" s="8">
        <v>132063</v>
      </c>
      <c r="V66" s="8">
        <v>118337</v>
      </c>
      <c r="W66" s="8">
        <v>117584</v>
      </c>
      <c r="X66" s="8">
        <v>116681</v>
      </c>
      <c r="Y66" s="8">
        <v>114288</v>
      </c>
      <c r="Z66" s="8">
        <v>118081</v>
      </c>
      <c r="AA66" s="8">
        <v>116156</v>
      </c>
      <c r="AB66" s="8">
        <v>114661</v>
      </c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</row>
    <row r="67" spans="1:47" ht="14.4">
      <c r="A67" s="3">
        <f>LOOKUP(D67,'AMFI DATA_2023H2'!F:L,'AMFI DATA_2023H2'!L:L)</f>
        <v>64</v>
      </c>
      <c r="B67" s="4" t="s">
        <v>201</v>
      </c>
      <c r="C67" s="4" t="s">
        <v>202</v>
      </c>
      <c r="D67" s="5" t="s">
        <v>203</v>
      </c>
      <c r="E67" s="5">
        <v>76108.83</v>
      </c>
      <c r="F67" s="6">
        <f>LOOKUP(D67,'AMFI DATA_2023H2'!F:J,'AMFI DATA_2023H2'!J:J)</f>
        <v>92635.327900000004</v>
      </c>
      <c r="G67" s="7">
        <f t="shared" si="0"/>
        <v>-1</v>
      </c>
      <c r="H67" s="8"/>
      <c r="I67" s="8">
        <v>94676</v>
      </c>
      <c r="J67" s="8">
        <v>94247</v>
      </c>
      <c r="K67" s="8">
        <v>94171</v>
      </c>
      <c r="L67" s="8">
        <v>96082</v>
      </c>
      <c r="M67" s="8">
        <v>96460</v>
      </c>
      <c r="N67" s="8">
        <v>94895</v>
      </c>
      <c r="O67" s="8">
        <v>95031</v>
      </c>
      <c r="P67" s="8">
        <v>96536</v>
      </c>
      <c r="Q67" s="8">
        <v>95915</v>
      </c>
      <c r="R67" s="8">
        <v>96199</v>
      </c>
      <c r="S67" s="8">
        <v>97525</v>
      </c>
      <c r="T67" s="8">
        <v>97453</v>
      </c>
      <c r="U67" s="8">
        <v>98901</v>
      </c>
      <c r="V67" s="8">
        <v>98880</v>
      </c>
      <c r="W67" s="8">
        <v>97067</v>
      </c>
      <c r="X67" s="8">
        <v>96714</v>
      </c>
      <c r="Y67" s="8">
        <v>97553</v>
      </c>
      <c r="Z67" s="8">
        <v>95382</v>
      </c>
      <c r="AA67" s="8">
        <v>93855</v>
      </c>
      <c r="AB67" s="8">
        <v>93875</v>
      </c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</row>
    <row r="68" spans="1:47" ht="14.4">
      <c r="A68" s="3">
        <f>LOOKUP(D68,'AMFI DATA_2023H2'!F:L,'AMFI DATA_2023H2'!L:L)</f>
        <v>65</v>
      </c>
      <c r="B68" s="4" t="s">
        <v>204</v>
      </c>
      <c r="C68" s="4" t="s">
        <v>205</v>
      </c>
      <c r="D68" s="5" t="s">
        <v>206</v>
      </c>
      <c r="E68" s="5">
        <v>89674.59</v>
      </c>
      <c r="F68" s="6">
        <f>LOOKUP(D68,'AMFI DATA_2023H2'!F:J,'AMFI DATA_2023H2'!J:J)</f>
        <v>92629.748250000004</v>
      </c>
      <c r="G68" s="7">
        <f t="shared" si="0"/>
        <v>-1</v>
      </c>
      <c r="H68" s="8"/>
      <c r="I68" s="8">
        <v>96061</v>
      </c>
      <c r="J68" s="8">
        <v>95532</v>
      </c>
      <c r="K68" s="8">
        <v>94243</v>
      </c>
      <c r="L68" s="8">
        <v>97792</v>
      </c>
      <c r="M68" s="8">
        <v>96873</v>
      </c>
      <c r="N68" s="8">
        <v>96976</v>
      </c>
      <c r="O68" s="8">
        <v>96676</v>
      </c>
      <c r="P68" s="8">
        <v>96848</v>
      </c>
      <c r="Q68" s="8">
        <v>98547</v>
      </c>
      <c r="R68" s="8">
        <v>98433</v>
      </c>
      <c r="S68" s="8">
        <v>97418</v>
      </c>
      <c r="T68" s="8">
        <v>102317</v>
      </c>
      <c r="U68" s="8">
        <v>101566</v>
      </c>
      <c r="V68" s="8">
        <v>101037</v>
      </c>
      <c r="W68" s="8">
        <v>102292</v>
      </c>
      <c r="X68" s="8">
        <v>103149</v>
      </c>
      <c r="Y68" s="8">
        <v>102922</v>
      </c>
      <c r="Z68" s="8">
        <v>103353</v>
      </c>
      <c r="AA68" s="8">
        <v>103286</v>
      </c>
      <c r="AB68" s="8">
        <v>101699</v>
      </c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</row>
    <row r="69" spans="1:47" ht="14.4">
      <c r="A69" s="3">
        <f>LOOKUP(D69,'AMFI DATA_2023H2'!F:L,'AMFI DATA_2023H2'!L:L)</f>
        <v>66</v>
      </c>
      <c r="B69" s="4" t="s">
        <v>207</v>
      </c>
      <c r="C69" s="4" t="s">
        <v>208</v>
      </c>
      <c r="D69" s="5" t="s">
        <v>209</v>
      </c>
      <c r="E69" s="5">
        <v>73163.05</v>
      </c>
      <c r="F69" s="6">
        <f>LOOKUP(D69,'AMFI DATA_2023H2'!F:J,'AMFI DATA_2023H2'!J:J)</f>
        <v>92476.04084999999</v>
      </c>
      <c r="G69" s="7">
        <f t="shared" si="0"/>
        <v>-1</v>
      </c>
      <c r="H69" s="8"/>
      <c r="I69" s="8">
        <v>102149</v>
      </c>
      <c r="J69" s="8">
        <v>99816</v>
      </c>
      <c r="K69" s="8">
        <v>101115</v>
      </c>
      <c r="L69" s="8">
        <v>101858</v>
      </c>
      <c r="M69" s="8">
        <v>101116</v>
      </c>
      <c r="N69" s="8">
        <v>101376</v>
      </c>
      <c r="O69" s="8">
        <v>103192</v>
      </c>
      <c r="P69" s="8">
        <v>104592</v>
      </c>
      <c r="Q69" s="8">
        <v>104242</v>
      </c>
      <c r="R69" s="8">
        <v>100495</v>
      </c>
      <c r="S69" s="8">
        <v>102157</v>
      </c>
      <c r="T69" s="8">
        <v>102240</v>
      </c>
      <c r="U69" s="8">
        <v>101198</v>
      </c>
      <c r="V69" s="8">
        <v>99511</v>
      </c>
      <c r="W69" s="8">
        <v>99142</v>
      </c>
      <c r="X69" s="8">
        <v>99037</v>
      </c>
      <c r="Y69" s="8">
        <v>98434</v>
      </c>
      <c r="Z69" s="8">
        <v>100619</v>
      </c>
      <c r="AA69" s="8">
        <v>101060</v>
      </c>
      <c r="AB69" s="8">
        <v>100847</v>
      </c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</row>
    <row r="70" spans="1:47" ht="14.4">
      <c r="A70" s="3">
        <f>LOOKUP(D70,'AMFI DATA_2023H2'!F:L,'AMFI DATA_2023H2'!L:L)</f>
        <v>66</v>
      </c>
      <c r="B70" s="4" t="s">
        <v>210</v>
      </c>
      <c r="C70" s="4" t="s">
        <v>211</v>
      </c>
      <c r="D70" s="5" t="s">
        <v>212</v>
      </c>
      <c r="E70" s="5">
        <v>73163.05</v>
      </c>
      <c r="F70" s="6">
        <f>LOOKUP(D70,'AMFI DATA_2023H2'!F:J,'AMFI DATA_2023H2'!J:J)</f>
        <v>92476.04084999999</v>
      </c>
      <c r="G70" s="7">
        <f t="shared" si="0"/>
        <v>-1</v>
      </c>
      <c r="H70" s="8"/>
      <c r="I70" s="8">
        <v>54967</v>
      </c>
      <c r="J70" s="8">
        <v>54692</v>
      </c>
      <c r="K70" s="8">
        <v>54678</v>
      </c>
      <c r="L70" s="8">
        <v>54839</v>
      </c>
      <c r="M70" s="8">
        <v>55697</v>
      </c>
      <c r="N70" s="8">
        <v>54716</v>
      </c>
      <c r="O70" s="8">
        <v>53847</v>
      </c>
      <c r="P70" s="8">
        <v>52295</v>
      </c>
      <c r="Q70" s="8">
        <v>51493</v>
      </c>
      <c r="R70" s="8">
        <v>50273</v>
      </c>
      <c r="S70" s="8">
        <v>50755</v>
      </c>
      <c r="T70" s="8">
        <v>50086</v>
      </c>
      <c r="U70" s="8">
        <v>50164</v>
      </c>
      <c r="V70" s="8">
        <v>49703</v>
      </c>
      <c r="W70" s="8">
        <v>48285</v>
      </c>
      <c r="X70" s="8">
        <v>48663</v>
      </c>
      <c r="Y70" s="8">
        <v>48131</v>
      </c>
      <c r="Z70" s="8">
        <v>48085</v>
      </c>
      <c r="AA70" s="8">
        <v>47766</v>
      </c>
      <c r="AB70" s="8">
        <v>48034</v>
      </c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</row>
    <row r="71" spans="1:47" ht="14.4">
      <c r="A71" s="3">
        <f>LOOKUP(D71,'AMFI DATA_2023H2'!F:L,'AMFI DATA_2023H2'!L:L)</f>
        <v>67</v>
      </c>
      <c r="B71" s="4" t="s">
        <v>213</v>
      </c>
      <c r="C71" s="4" t="s">
        <v>214</v>
      </c>
      <c r="D71" s="5" t="s">
        <v>215</v>
      </c>
      <c r="E71" s="5">
        <v>108408.8</v>
      </c>
      <c r="F71" s="6">
        <f>LOOKUP(D71,'AMFI DATA_2023H2'!F:J,'AMFI DATA_2023H2'!J:J)</f>
        <v>90717.803899999999</v>
      </c>
      <c r="G71" s="7">
        <f t="shared" si="0"/>
        <v>-1</v>
      </c>
      <c r="H71" s="8"/>
      <c r="I71" s="8">
        <v>98952</v>
      </c>
      <c r="J71" s="8">
        <v>99454</v>
      </c>
      <c r="K71" s="8">
        <v>98673</v>
      </c>
      <c r="L71" s="8">
        <v>101498</v>
      </c>
      <c r="M71" s="8">
        <v>101480</v>
      </c>
      <c r="N71" s="8">
        <v>101312</v>
      </c>
      <c r="O71" s="8">
        <v>102074</v>
      </c>
      <c r="P71" s="8">
        <v>99268</v>
      </c>
      <c r="Q71" s="8">
        <v>96796</v>
      </c>
      <c r="R71" s="8">
        <v>96108</v>
      </c>
      <c r="S71" s="8">
        <v>98822</v>
      </c>
      <c r="T71" s="8">
        <v>98933</v>
      </c>
      <c r="U71" s="8">
        <v>98004</v>
      </c>
      <c r="V71" s="8">
        <v>95960</v>
      </c>
      <c r="W71" s="8">
        <v>95588</v>
      </c>
      <c r="X71" s="8">
        <v>96090</v>
      </c>
      <c r="Y71" s="8">
        <v>95718</v>
      </c>
      <c r="Z71" s="8">
        <v>93822</v>
      </c>
      <c r="AA71" s="8">
        <v>97279</v>
      </c>
      <c r="AB71" s="8">
        <v>96554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</row>
    <row r="72" spans="1:47" ht="14.4">
      <c r="A72" s="3">
        <f>LOOKUP(D72,'AMFI DATA_2023H2'!F:L,'AMFI DATA_2023H2'!L:L)</f>
        <v>68</v>
      </c>
      <c r="B72" s="4" t="s">
        <v>216</v>
      </c>
      <c r="C72" s="4" t="s">
        <v>217</v>
      </c>
      <c r="D72" s="5" t="s">
        <v>218</v>
      </c>
      <c r="E72" s="5">
        <v>50363.01</v>
      </c>
      <c r="F72" s="6">
        <f>LOOKUP(D72,'AMFI DATA_2023H2'!F:J,'AMFI DATA_2023H2'!J:J)</f>
        <v>88796.760500000004</v>
      </c>
      <c r="G72" s="7">
        <f t="shared" si="0"/>
        <v>-1</v>
      </c>
      <c r="H72" s="8"/>
      <c r="I72" s="8">
        <v>117597</v>
      </c>
      <c r="J72" s="8">
        <v>112763</v>
      </c>
      <c r="K72" s="8">
        <v>110890</v>
      </c>
      <c r="L72" s="8">
        <v>116334</v>
      </c>
      <c r="M72" s="8">
        <v>116204</v>
      </c>
      <c r="N72" s="8">
        <v>121561</v>
      </c>
      <c r="O72" s="8">
        <v>120428</v>
      </c>
      <c r="P72" s="8">
        <v>117293</v>
      </c>
      <c r="Q72" s="8">
        <v>117118</v>
      </c>
      <c r="R72" s="8">
        <v>115681</v>
      </c>
      <c r="S72" s="8">
        <v>116117</v>
      </c>
      <c r="T72" s="8">
        <v>113024</v>
      </c>
      <c r="U72" s="8">
        <v>111108</v>
      </c>
      <c r="V72" s="8">
        <v>112197</v>
      </c>
      <c r="W72" s="8">
        <v>108451</v>
      </c>
      <c r="X72" s="8">
        <v>107754</v>
      </c>
      <c r="Y72" s="8">
        <v>107318</v>
      </c>
      <c r="Z72" s="8">
        <v>110672</v>
      </c>
      <c r="AA72" s="8">
        <v>108929</v>
      </c>
      <c r="AB72" s="8">
        <v>111935</v>
      </c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</row>
    <row r="73" spans="1:47" ht="14.4">
      <c r="A73" s="3">
        <f>LOOKUP(D73,'AMFI DATA_2023H2'!F:L,'AMFI DATA_2023H2'!L:L)</f>
        <v>69</v>
      </c>
      <c r="B73" s="4" t="s">
        <v>219</v>
      </c>
      <c r="C73" s="4" t="s">
        <v>220</v>
      </c>
      <c r="D73" s="5" t="s">
        <v>221</v>
      </c>
      <c r="E73" s="5">
        <v>81731.11</v>
      </c>
      <c r="F73" s="6">
        <f>LOOKUP(D73,'AMFI DATA_2023H2'!F:J,'AMFI DATA_2023H2'!J:J)</f>
        <v>88454.048050000012</v>
      </c>
      <c r="G73" s="7">
        <f t="shared" si="0"/>
        <v>-1</v>
      </c>
      <c r="H73" s="8"/>
      <c r="I73" s="8">
        <v>106659</v>
      </c>
      <c r="J73" s="8">
        <v>104078</v>
      </c>
      <c r="K73" s="8">
        <v>103353</v>
      </c>
      <c r="L73" s="8">
        <v>105061</v>
      </c>
      <c r="M73" s="8">
        <v>105547</v>
      </c>
      <c r="N73" s="8">
        <v>105716</v>
      </c>
      <c r="O73" s="8">
        <v>106987</v>
      </c>
      <c r="P73" s="8">
        <v>104475</v>
      </c>
      <c r="Q73" s="8">
        <v>104296</v>
      </c>
      <c r="R73" s="8">
        <v>105239</v>
      </c>
      <c r="S73" s="8">
        <v>107473</v>
      </c>
      <c r="T73" s="8">
        <v>109101</v>
      </c>
      <c r="U73" s="8">
        <v>106351</v>
      </c>
      <c r="V73" s="8">
        <v>105358</v>
      </c>
      <c r="W73" s="8">
        <v>106172</v>
      </c>
      <c r="X73" s="8">
        <v>103442</v>
      </c>
      <c r="Y73" s="8">
        <v>102112</v>
      </c>
      <c r="Z73" s="8">
        <v>102559</v>
      </c>
      <c r="AA73" s="8">
        <v>100345</v>
      </c>
      <c r="AB73" s="8">
        <v>100037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spans="1:47" ht="14.4">
      <c r="A74" s="3">
        <f>LOOKUP(D74,'AMFI DATA_2023H2'!F:L,'AMFI DATA_2023H2'!L:L)</f>
        <v>70</v>
      </c>
      <c r="B74" s="4" t="s">
        <v>222</v>
      </c>
      <c r="C74" s="4" t="s">
        <v>223</v>
      </c>
      <c r="D74" s="5" t="s">
        <v>224</v>
      </c>
      <c r="E74" s="5">
        <v>43343.54</v>
      </c>
      <c r="F74" s="6">
        <f>LOOKUP(D74,'AMFI DATA_2023H2'!F:J,'AMFI DATA_2023H2'!J:J)</f>
        <v>85471.842999999993</v>
      </c>
      <c r="G74" s="7">
        <f t="shared" si="0"/>
        <v>-1</v>
      </c>
      <c r="H74" s="8"/>
      <c r="I74" s="8">
        <v>136063</v>
      </c>
      <c r="J74" s="8">
        <v>129595</v>
      </c>
      <c r="K74" s="8">
        <v>129562</v>
      </c>
      <c r="L74" s="8">
        <v>132169</v>
      </c>
      <c r="M74" s="8">
        <v>135139</v>
      </c>
      <c r="N74" s="8">
        <v>132598</v>
      </c>
      <c r="O74" s="8">
        <v>130519</v>
      </c>
      <c r="P74" s="8">
        <v>128836</v>
      </c>
      <c r="Q74" s="8">
        <v>129958</v>
      </c>
      <c r="R74" s="8">
        <v>134001</v>
      </c>
      <c r="S74" s="8">
        <v>133324</v>
      </c>
      <c r="T74" s="8">
        <v>133902</v>
      </c>
      <c r="U74" s="8">
        <v>129711</v>
      </c>
      <c r="V74" s="8">
        <v>128588</v>
      </c>
      <c r="W74" s="8">
        <v>130371</v>
      </c>
      <c r="X74" s="8">
        <v>126212</v>
      </c>
      <c r="Y74" s="8">
        <v>127087</v>
      </c>
      <c r="Z74" s="8">
        <v>127021</v>
      </c>
      <c r="AA74" s="8">
        <v>129446</v>
      </c>
      <c r="AB74" s="8">
        <v>127681</v>
      </c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</row>
    <row r="75" spans="1:47" ht="14.4">
      <c r="A75" s="3">
        <f>LOOKUP(D75,'AMFI DATA_2023H2'!F:L,'AMFI DATA_2023H2'!L:L)</f>
        <v>71</v>
      </c>
      <c r="B75" s="4" t="s">
        <v>225</v>
      </c>
      <c r="C75" s="4" t="s">
        <v>226</v>
      </c>
      <c r="D75" s="5" t="s">
        <v>227</v>
      </c>
      <c r="E75" s="5">
        <v>40196.47</v>
      </c>
      <c r="F75" s="6">
        <f>LOOKUP(D75,'AMFI DATA_2023H2'!F:J,'AMFI DATA_2023H2'!J:J)</f>
        <v>85277.269499999995</v>
      </c>
      <c r="G75" s="7">
        <f t="shared" si="0"/>
        <v>-1</v>
      </c>
      <c r="H75" s="8"/>
      <c r="I75" s="8">
        <v>209567</v>
      </c>
      <c r="J75" s="8">
        <v>191127</v>
      </c>
      <c r="K75" s="8">
        <v>194786</v>
      </c>
      <c r="L75" s="8">
        <v>185272</v>
      </c>
      <c r="M75" s="8">
        <v>170034</v>
      </c>
      <c r="N75" s="8">
        <v>148197</v>
      </c>
      <c r="O75" s="8">
        <v>139663</v>
      </c>
      <c r="P75" s="8">
        <v>134671</v>
      </c>
      <c r="Q75" s="8">
        <v>130790</v>
      </c>
      <c r="R75" s="8">
        <v>130646</v>
      </c>
      <c r="S75" s="8">
        <v>131665</v>
      </c>
      <c r="T75" s="8">
        <v>132384</v>
      </c>
      <c r="U75" s="8">
        <v>131914</v>
      </c>
      <c r="V75" s="8">
        <v>130672</v>
      </c>
      <c r="W75" s="8">
        <v>131169</v>
      </c>
      <c r="X75" s="8">
        <v>129796</v>
      </c>
      <c r="Y75" s="8">
        <v>126046</v>
      </c>
      <c r="Z75" s="8">
        <v>126425</v>
      </c>
      <c r="AA75" s="8">
        <v>127274</v>
      </c>
      <c r="AB75" s="8">
        <v>127745</v>
      </c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</row>
    <row r="76" spans="1:47" ht="14.4">
      <c r="A76" s="3">
        <f>LOOKUP(D76,'AMFI DATA_2023H2'!F:L,'AMFI DATA_2023H2'!L:L)</f>
        <v>72</v>
      </c>
      <c r="B76" s="4" t="s">
        <v>228</v>
      </c>
      <c r="C76" s="4" t="s">
        <v>229</v>
      </c>
      <c r="D76" s="5" t="s">
        <v>230</v>
      </c>
      <c r="E76" s="5">
        <v>77125.7</v>
      </c>
      <c r="F76" s="6">
        <f>LOOKUP(D76,'AMFI DATA_2023H2'!F:J,'AMFI DATA_2023H2'!J:J)</f>
        <v>83278.469599999997</v>
      </c>
      <c r="G76" s="7">
        <f t="shared" si="0"/>
        <v>-1</v>
      </c>
      <c r="H76" s="8"/>
      <c r="I76" s="8">
        <v>86451</v>
      </c>
      <c r="J76" s="8">
        <v>87754</v>
      </c>
      <c r="K76" s="8">
        <v>89531</v>
      </c>
      <c r="L76" s="8">
        <v>89559</v>
      </c>
      <c r="M76" s="8">
        <v>90242</v>
      </c>
      <c r="N76" s="8">
        <v>89744</v>
      </c>
      <c r="O76" s="8">
        <v>89603</v>
      </c>
      <c r="P76" s="8">
        <v>87153</v>
      </c>
      <c r="Q76" s="8">
        <v>86426</v>
      </c>
      <c r="R76" s="8">
        <v>86423</v>
      </c>
      <c r="S76" s="8">
        <v>87961</v>
      </c>
      <c r="T76" s="8">
        <v>87733</v>
      </c>
      <c r="U76" s="8">
        <v>87526</v>
      </c>
      <c r="V76" s="8">
        <v>86501</v>
      </c>
      <c r="W76" s="8">
        <v>85144</v>
      </c>
      <c r="X76" s="8">
        <v>85852</v>
      </c>
      <c r="Y76" s="8">
        <v>85511</v>
      </c>
      <c r="Z76" s="8">
        <v>85448</v>
      </c>
      <c r="AA76" s="8">
        <v>85320</v>
      </c>
      <c r="AB76" s="8">
        <v>84715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spans="1:47" ht="14.4">
      <c r="A77" s="3">
        <f>LOOKUP(D77,'AMFI DATA_2023H2'!F:L,'AMFI DATA_2023H2'!L:L)</f>
        <v>73</v>
      </c>
      <c r="B77" s="4" t="s">
        <v>231</v>
      </c>
      <c r="C77" s="4" t="s">
        <v>232</v>
      </c>
      <c r="D77" s="5" t="s">
        <v>233</v>
      </c>
      <c r="E77" s="5">
        <v>70102</v>
      </c>
      <c r="F77" s="6">
        <f>LOOKUP(D77,'AMFI DATA_2023H2'!F:J,'AMFI DATA_2023H2'!J:J)</f>
        <v>82804.961200000005</v>
      </c>
      <c r="G77" s="7">
        <f t="shared" si="0"/>
        <v>-1</v>
      </c>
      <c r="H77" s="8"/>
      <c r="I77" s="8">
        <v>107905</v>
      </c>
      <c r="J77" s="8">
        <v>106539</v>
      </c>
      <c r="K77" s="8">
        <v>105726</v>
      </c>
      <c r="L77" s="8">
        <v>106260</v>
      </c>
      <c r="M77" s="8">
        <v>106911</v>
      </c>
      <c r="N77" s="8">
        <v>107672</v>
      </c>
      <c r="O77" s="8">
        <v>104021</v>
      </c>
      <c r="P77" s="8">
        <v>103487</v>
      </c>
      <c r="Q77" s="8">
        <v>103301</v>
      </c>
      <c r="R77" s="8">
        <v>102591</v>
      </c>
      <c r="S77" s="8">
        <v>104049</v>
      </c>
      <c r="T77" s="8">
        <v>104565</v>
      </c>
      <c r="U77" s="8">
        <v>100840</v>
      </c>
      <c r="V77" s="8">
        <v>101959</v>
      </c>
      <c r="W77" s="8">
        <v>100319</v>
      </c>
      <c r="X77" s="8">
        <v>100965</v>
      </c>
      <c r="Y77" s="8">
        <v>96812</v>
      </c>
      <c r="Z77" s="8">
        <v>95521</v>
      </c>
      <c r="AA77" s="8">
        <v>93678</v>
      </c>
      <c r="AB77" s="8">
        <v>92232</v>
      </c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spans="1:47" ht="14.4">
      <c r="A78" s="3">
        <f>LOOKUP(D78,'AMFI DATA_2023H2'!F:L,'AMFI DATA_2023H2'!L:L)</f>
        <v>74</v>
      </c>
      <c r="B78" s="4" t="s">
        <v>234</v>
      </c>
      <c r="C78" s="4" t="s">
        <v>235</v>
      </c>
      <c r="D78" s="5" t="s">
        <v>236</v>
      </c>
      <c r="E78" s="5">
        <v>75336.19</v>
      </c>
      <c r="F78" s="6">
        <f>LOOKUP(D78,'AMFI DATA_2023H2'!F:J,'AMFI DATA_2023H2'!J:J)</f>
        <v>82517.060100000002</v>
      </c>
      <c r="G78" s="7">
        <f t="shared" si="0"/>
        <v>-1</v>
      </c>
      <c r="H78" s="8"/>
      <c r="I78" s="8">
        <v>104352</v>
      </c>
      <c r="J78" s="8">
        <v>102649</v>
      </c>
      <c r="K78" s="8">
        <v>102313</v>
      </c>
      <c r="L78" s="8">
        <v>102638</v>
      </c>
      <c r="M78" s="8">
        <v>99796</v>
      </c>
      <c r="N78" s="8">
        <v>99406</v>
      </c>
      <c r="O78" s="8">
        <v>99504</v>
      </c>
      <c r="P78" s="8">
        <v>97888</v>
      </c>
      <c r="Q78" s="8">
        <v>99699</v>
      </c>
      <c r="R78" s="8">
        <v>98701</v>
      </c>
      <c r="S78" s="8">
        <v>98256</v>
      </c>
      <c r="T78" s="8">
        <v>98191</v>
      </c>
      <c r="U78" s="8">
        <v>100035</v>
      </c>
      <c r="V78" s="8">
        <v>98972</v>
      </c>
      <c r="W78" s="8">
        <v>98029</v>
      </c>
      <c r="X78" s="8">
        <v>97736</v>
      </c>
      <c r="Y78" s="8">
        <v>101098</v>
      </c>
      <c r="Z78" s="8">
        <v>98614</v>
      </c>
      <c r="AA78" s="8">
        <v>98018</v>
      </c>
      <c r="AB78" s="8">
        <v>96890</v>
      </c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spans="1:47" ht="14.4">
      <c r="A79" s="3">
        <f>LOOKUP(D79,'AMFI DATA_2023H2'!F:L,'AMFI DATA_2023H2'!L:L)</f>
        <v>75</v>
      </c>
      <c r="B79" s="4" t="s">
        <v>237</v>
      </c>
      <c r="C79" s="4" t="s">
        <v>238</v>
      </c>
      <c r="D79" s="5" t="s">
        <v>239</v>
      </c>
      <c r="E79" s="5">
        <v>65958.62</v>
      </c>
      <c r="F79" s="6">
        <f>LOOKUP(D79,'AMFI DATA_2023H2'!F:J,'AMFI DATA_2023H2'!J:J)</f>
        <v>82412.960099999997</v>
      </c>
      <c r="G79" s="7">
        <f t="shared" si="0"/>
        <v>-1</v>
      </c>
      <c r="H79" s="8"/>
      <c r="I79" s="8">
        <v>111406</v>
      </c>
      <c r="J79" s="8">
        <v>110415</v>
      </c>
      <c r="K79" s="8">
        <v>111453</v>
      </c>
      <c r="L79" s="8">
        <v>112987</v>
      </c>
      <c r="M79" s="8">
        <v>114681</v>
      </c>
      <c r="N79" s="8">
        <v>114313</v>
      </c>
      <c r="O79" s="8">
        <v>114154</v>
      </c>
      <c r="P79" s="8">
        <v>110703</v>
      </c>
      <c r="Q79" s="8">
        <v>108673</v>
      </c>
      <c r="R79" s="8">
        <v>108258</v>
      </c>
      <c r="S79" s="8">
        <v>108881</v>
      </c>
      <c r="T79" s="8">
        <v>107955</v>
      </c>
      <c r="U79" s="8">
        <v>104296</v>
      </c>
      <c r="V79" s="8">
        <v>105398</v>
      </c>
      <c r="W79" s="8">
        <v>105430</v>
      </c>
      <c r="X79" s="8">
        <v>106101</v>
      </c>
      <c r="Y79" s="8">
        <v>105318</v>
      </c>
      <c r="Z79" s="8">
        <v>103801</v>
      </c>
      <c r="AA79" s="8">
        <v>103992</v>
      </c>
      <c r="AB79" s="8">
        <v>104376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</row>
    <row r="80" spans="1:47" ht="14.4">
      <c r="A80" s="3">
        <f>LOOKUP(D80,'AMFI DATA_2023H2'!F:L,'AMFI DATA_2023H2'!L:L)</f>
        <v>76</v>
      </c>
      <c r="B80" s="4" t="s">
        <v>240</v>
      </c>
      <c r="C80" s="4" t="s">
        <v>241</v>
      </c>
      <c r="D80" s="5" t="s">
        <v>242</v>
      </c>
      <c r="E80" s="5">
        <v>68221.37</v>
      </c>
      <c r="F80" s="6">
        <f>LOOKUP(D80,'AMFI DATA_2023H2'!F:J,'AMFI DATA_2023H2'!J:J)</f>
        <v>81450.902713946416</v>
      </c>
      <c r="G80" s="7">
        <f t="shared" si="0"/>
        <v>-1</v>
      </c>
      <c r="H80" s="8"/>
      <c r="I80" s="8">
        <v>110659</v>
      </c>
      <c r="J80" s="8">
        <v>107536</v>
      </c>
      <c r="K80" s="8">
        <v>107930</v>
      </c>
      <c r="L80" s="8">
        <v>109673</v>
      </c>
      <c r="M80" s="8">
        <v>108686</v>
      </c>
      <c r="N80" s="8">
        <v>106780</v>
      </c>
      <c r="O80" s="8">
        <v>104544</v>
      </c>
      <c r="P80" s="8">
        <v>105202</v>
      </c>
      <c r="Q80" s="8">
        <v>105925</v>
      </c>
      <c r="R80" s="8">
        <v>105596</v>
      </c>
      <c r="S80" s="8">
        <v>107536</v>
      </c>
      <c r="T80" s="8">
        <v>107273</v>
      </c>
      <c r="U80" s="8">
        <v>106582</v>
      </c>
      <c r="V80" s="8">
        <v>107733</v>
      </c>
      <c r="W80" s="8">
        <v>109344</v>
      </c>
      <c r="X80" s="8">
        <v>106550</v>
      </c>
      <c r="Y80" s="8">
        <v>103295</v>
      </c>
      <c r="Z80" s="8">
        <v>99810</v>
      </c>
      <c r="AA80" s="8">
        <v>101290</v>
      </c>
      <c r="AB80" s="8">
        <v>99613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spans="1:47" ht="14.4">
      <c r="A81" s="3">
        <f>LOOKUP(D81,'AMFI DATA_2023H2'!F:L,'AMFI DATA_2023H2'!L:L)</f>
        <v>77</v>
      </c>
      <c r="B81" s="4" t="s">
        <v>243</v>
      </c>
      <c r="C81" s="4" t="s">
        <v>244</v>
      </c>
      <c r="D81" s="5" t="s">
        <v>245</v>
      </c>
      <c r="E81" s="5">
        <v>70421.59</v>
      </c>
      <c r="F81" s="6">
        <f>LOOKUP(D81,'AMFI DATA_2023H2'!F:J,'AMFI DATA_2023H2'!J:J)</f>
        <v>81162.36795</v>
      </c>
      <c r="G81" s="7">
        <f t="shared" si="0"/>
        <v>-1</v>
      </c>
      <c r="H81" s="8"/>
      <c r="I81" s="8">
        <v>94178</v>
      </c>
      <c r="J81" s="8">
        <v>89025</v>
      </c>
      <c r="K81" s="8">
        <v>89744</v>
      </c>
      <c r="L81" s="8">
        <v>90924</v>
      </c>
      <c r="M81" s="8">
        <v>91512</v>
      </c>
      <c r="N81" s="8">
        <v>89606</v>
      </c>
      <c r="O81" s="8">
        <v>89490</v>
      </c>
      <c r="P81" s="8">
        <v>89388</v>
      </c>
      <c r="Q81" s="8">
        <v>89125</v>
      </c>
      <c r="R81" s="8">
        <v>89424</v>
      </c>
      <c r="S81" s="8">
        <v>89768</v>
      </c>
      <c r="T81" s="8">
        <v>91369</v>
      </c>
      <c r="U81" s="8">
        <v>88364</v>
      </c>
      <c r="V81" s="8">
        <v>87004</v>
      </c>
      <c r="W81" s="8">
        <v>86402</v>
      </c>
      <c r="X81" s="8">
        <v>85411</v>
      </c>
      <c r="Y81" s="8">
        <v>85935</v>
      </c>
      <c r="Z81" s="8">
        <v>88157</v>
      </c>
      <c r="AA81" s="8">
        <v>87804</v>
      </c>
      <c r="AB81" s="8">
        <v>87225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spans="1:47" ht="14.4">
      <c r="A82" s="3">
        <f>LOOKUP(D82,'AMFI DATA_2023H2'!F:L,'AMFI DATA_2023H2'!L:L)</f>
        <v>78</v>
      </c>
      <c r="B82" s="4" t="s">
        <v>246</v>
      </c>
      <c r="C82" s="4" t="s">
        <v>247</v>
      </c>
      <c r="D82" s="5" t="s">
        <v>248</v>
      </c>
      <c r="E82" s="5">
        <v>56007.62</v>
      </c>
      <c r="F82" s="6">
        <f>LOOKUP(D82,'AMFI DATA_2023H2'!F:J,'AMFI DATA_2023H2'!J:J)</f>
        <v>79773.787849999993</v>
      </c>
      <c r="G82" s="7">
        <f t="shared" si="0"/>
        <v>-1</v>
      </c>
      <c r="H82" s="8"/>
      <c r="I82" s="8">
        <v>112467</v>
      </c>
      <c r="J82" s="8">
        <v>108459</v>
      </c>
      <c r="K82" s="8">
        <v>107071</v>
      </c>
      <c r="L82" s="8">
        <v>108216</v>
      </c>
      <c r="M82" s="8">
        <v>108128</v>
      </c>
      <c r="N82" s="8">
        <v>107578</v>
      </c>
      <c r="O82" s="8">
        <v>104373</v>
      </c>
      <c r="P82" s="8">
        <v>103944</v>
      </c>
      <c r="Q82" s="8">
        <v>104561</v>
      </c>
      <c r="R82" s="8">
        <v>104605</v>
      </c>
      <c r="S82" s="8">
        <v>107082</v>
      </c>
      <c r="T82" s="8">
        <v>107247</v>
      </c>
      <c r="U82" s="8">
        <v>106223</v>
      </c>
      <c r="V82" s="8">
        <v>106807</v>
      </c>
      <c r="W82" s="8">
        <v>107699</v>
      </c>
      <c r="X82" s="8">
        <v>105475</v>
      </c>
      <c r="Y82" s="8">
        <v>105298</v>
      </c>
      <c r="Z82" s="8">
        <v>101048</v>
      </c>
      <c r="AA82" s="8">
        <v>97480</v>
      </c>
      <c r="AB82" s="8">
        <v>98273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spans="1:47" ht="14.4">
      <c r="A83" s="3">
        <f>LOOKUP(D83,'AMFI DATA_2023H2'!F:L,'AMFI DATA_2023H2'!L:L)</f>
        <v>79</v>
      </c>
      <c r="B83" s="4" t="s">
        <v>249</v>
      </c>
      <c r="C83" s="4" t="s">
        <v>250</v>
      </c>
      <c r="D83" s="5" t="s">
        <v>251</v>
      </c>
      <c r="E83" s="5">
        <v>65035.29</v>
      </c>
      <c r="F83" s="6">
        <f>LOOKUP(D83,'AMFI DATA_2023H2'!F:J,'AMFI DATA_2023H2'!J:J)</f>
        <v>79455.182700000005</v>
      </c>
      <c r="G83" s="7">
        <f t="shared" si="0"/>
        <v>-1</v>
      </c>
      <c r="H83" s="8"/>
      <c r="I83" s="8">
        <v>71189</v>
      </c>
      <c r="J83" s="8">
        <v>70016</v>
      </c>
      <c r="K83" s="8">
        <v>74372</v>
      </c>
      <c r="L83" s="8">
        <v>74681</v>
      </c>
      <c r="M83" s="8">
        <v>75272</v>
      </c>
      <c r="N83" s="8">
        <v>76316</v>
      </c>
      <c r="O83" s="8">
        <v>77943</v>
      </c>
      <c r="P83" s="8">
        <v>77943</v>
      </c>
      <c r="Q83" s="8">
        <v>77720</v>
      </c>
      <c r="R83" s="8">
        <v>77972</v>
      </c>
      <c r="S83" s="8">
        <v>78195</v>
      </c>
      <c r="T83" s="8">
        <v>77741</v>
      </c>
      <c r="U83" s="8">
        <v>77158</v>
      </c>
      <c r="V83" s="8">
        <v>76971</v>
      </c>
      <c r="W83" s="8">
        <v>76654</v>
      </c>
      <c r="X83" s="8">
        <v>77043</v>
      </c>
      <c r="Y83" s="8">
        <v>76280</v>
      </c>
      <c r="Z83" s="8">
        <v>75826</v>
      </c>
      <c r="AA83" s="8">
        <v>75408</v>
      </c>
      <c r="AB83" s="8">
        <v>74732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spans="1:47" ht="14.4">
      <c r="A84" s="3">
        <f>LOOKUP(D84,'AMFI DATA_2023H2'!F:L,'AMFI DATA_2023H2'!L:L)</f>
        <v>80</v>
      </c>
      <c r="B84" s="4" t="s">
        <v>252</v>
      </c>
      <c r="C84" s="4" t="s">
        <v>253</v>
      </c>
      <c r="D84" s="5" t="s">
        <v>254</v>
      </c>
      <c r="E84" s="5">
        <v>49686.95</v>
      </c>
      <c r="F84" s="6">
        <f>LOOKUP(D84,'AMFI DATA_2023H2'!F:J,'AMFI DATA_2023H2'!J:J)</f>
        <v>78002.578349999996</v>
      </c>
      <c r="G84" s="7">
        <f t="shared" si="0"/>
        <v>-1</v>
      </c>
      <c r="H84" s="8"/>
      <c r="I84" s="8">
        <v>113964</v>
      </c>
      <c r="J84" s="8">
        <v>112041</v>
      </c>
      <c r="K84" s="8">
        <v>111836</v>
      </c>
      <c r="L84" s="8">
        <v>112501</v>
      </c>
      <c r="M84" s="8">
        <v>113530</v>
      </c>
      <c r="N84" s="8">
        <v>114188</v>
      </c>
      <c r="O84" s="8">
        <v>112849</v>
      </c>
      <c r="P84" s="8">
        <v>112817</v>
      </c>
      <c r="Q84" s="8">
        <v>110765</v>
      </c>
      <c r="R84" s="8">
        <v>108246</v>
      </c>
      <c r="S84" s="8">
        <v>109135</v>
      </c>
      <c r="T84" s="8">
        <v>109058</v>
      </c>
      <c r="U84" s="8">
        <v>108786</v>
      </c>
      <c r="V84" s="8">
        <v>106500</v>
      </c>
      <c r="W84" s="8">
        <v>106653</v>
      </c>
      <c r="X84" s="8">
        <v>108626</v>
      </c>
      <c r="Y84" s="8">
        <v>107482</v>
      </c>
      <c r="Z84" s="8">
        <v>107119</v>
      </c>
      <c r="AA84" s="8">
        <v>105626</v>
      </c>
      <c r="AB84" s="8">
        <v>105420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spans="1:47" ht="14.4">
      <c r="A85" s="3">
        <f>LOOKUP(D85,'AMFI DATA_2023H2'!F:L,'AMFI DATA_2023H2'!L:L)</f>
        <v>81</v>
      </c>
      <c r="B85" s="4" t="s">
        <v>255</v>
      </c>
      <c r="C85" s="4" t="s">
        <v>256</v>
      </c>
      <c r="D85" s="5" t="s">
        <v>257</v>
      </c>
      <c r="E85" s="5">
        <v>48506.9</v>
      </c>
      <c r="F85" s="6">
        <f>LOOKUP(D85,'AMFI DATA_2023H2'!F:J,'AMFI DATA_2023H2'!J:J)</f>
        <v>76089.048750000002</v>
      </c>
      <c r="G85" s="7">
        <f t="shared" si="0"/>
        <v>-1</v>
      </c>
      <c r="H85" s="8"/>
      <c r="I85" s="8">
        <v>109482</v>
      </c>
      <c r="J85" s="8">
        <v>108739</v>
      </c>
      <c r="K85" s="8">
        <v>109086</v>
      </c>
      <c r="L85" s="8">
        <v>113793</v>
      </c>
      <c r="M85" s="8">
        <v>117251</v>
      </c>
      <c r="N85" s="8">
        <v>116513</v>
      </c>
      <c r="O85" s="8">
        <v>109641</v>
      </c>
      <c r="P85" s="8">
        <v>109684</v>
      </c>
      <c r="Q85" s="8">
        <v>109028</v>
      </c>
      <c r="R85" s="8">
        <v>108450</v>
      </c>
      <c r="S85" s="8">
        <v>105388</v>
      </c>
      <c r="T85" s="8">
        <v>105812</v>
      </c>
      <c r="U85" s="8">
        <v>96770</v>
      </c>
      <c r="V85" s="8">
        <v>97788</v>
      </c>
      <c r="W85" s="8">
        <v>101293</v>
      </c>
      <c r="X85" s="8">
        <v>98618</v>
      </c>
      <c r="Y85" s="8">
        <v>94901</v>
      </c>
      <c r="Z85" s="8">
        <v>93261</v>
      </c>
      <c r="AA85" s="8">
        <v>91838</v>
      </c>
      <c r="AB85" s="8">
        <v>90387</v>
      </c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</row>
    <row r="86" spans="1:47" ht="14.4">
      <c r="A86" s="3">
        <f>LOOKUP(D86,'AMFI DATA_2023H2'!F:L,'AMFI DATA_2023H2'!L:L)</f>
        <v>82</v>
      </c>
      <c r="B86" s="4" t="s">
        <v>258</v>
      </c>
      <c r="C86" s="4" t="s">
        <v>259</v>
      </c>
      <c r="D86" s="5" t="s">
        <v>260</v>
      </c>
      <c r="E86" s="5">
        <v>75351.429999999993</v>
      </c>
      <c r="F86" s="6">
        <f>LOOKUP(D86,'AMFI DATA_2023H2'!F:J,'AMFI DATA_2023H2'!J:J)</f>
        <v>76027.199649999995</v>
      </c>
      <c r="G86" s="7">
        <f t="shared" si="0"/>
        <v>-1</v>
      </c>
      <c r="H86" s="8"/>
      <c r="I86" s="8">
        <v>71245</v>
      </c>
      <c r="J86" s="8">
        <v>71331</v>
      </c>
      <c r="K86" s="8">
        <v>71525</v>
      </c>
      <c r="L86" s="8">
        <v>72985</v>
      </c>
      <c r="M86" s="8">
        <v>72999</v>
      </c>
      <c r="N86" s="8">
        <v>72895</v>
      </c>
      <c r="O86" s="8">
        <v>72467</v>
      </c>
      <c r="P86" s="8">
        <v>72776</v>
      </c>
      <c r="Q86" s="8">
        <v>72471</v>
      </c>
      <c r="R86" s="8">
        <v>72971</v>
      </c>
      <c r="S86" s="8">
        <v>73360</v>
      </c>
      <c r="T86" s="8">
        <v>73218</v>
      </c>
      <c r="U86" s="8">
        <v>73175</v>
      </c>
      <c r="V86" s="8">
        <v>73508</v>
      </c>
      <c r="W86" s="8">
        <v>72842</v>
      </c>
      <c r="X86" s="8">
        <v>72243</v>
      </c>
      <c r="Y86" s="8">
        <v>72313</v>
      </c>
      <c r="Z86" s="8">
        <v>72702</v>
      </c>
      <c r="AA86" s="8">
        <v>73054</v>
      </c>
      <c r="AB86" s="8">
        <v>73501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spans="1:47" ht="14.4">
      <c r="A87" s="3">
        <f>LOOKUP(D87,'AMFI DATA_2023H2'!F:L,'AMFI DATA_2023H2'!L:L)</f>
        <v>83</v>
      </c>
      <c r="B87" s="4" t="s">
        <v>261</v>
      </c>
      <c r="C87" s="4" t="s">
        <v>262</v>
      </c>
      <c r="D87" s="5" t="s">
        <v>263</v>
      </c>
      <c r="E87" s="5">
        <v>46542.82</v>
      </c>
      <c r="F87" s="6">
        <f>LOOKUP(D87,'AMFI DATA_2023H2'!F:J,'AMFI DATA_2023H2'!J:J)</f>
        <v>74892.543300000005</v>
      </c>
      <c r="G87" s="7">
        <f t="shared" si="0"/>
        <v>-1</v>
      </c>
      <c r="H87" s="8"/>
      <c r="I87" s="8">
        <v>66283</v>
      </c>
      <c r="J87" s="8">
        <v>66614</v>
      </c>
      <c r="K87" s="8">
        <v>66675</v>
      </c>
      <c r="L87" s="8">
        <v>65162</v>
      </c>
      <c r="M87" s="8">
        <v>63044</v>
      </c>
      <c r="N87" s="8">
        <v>59780</v>
      </c>
      <c r="O87" s="8">
        <v>58226</v>
      </c>
      <c r="P87" s="8">
        <v>73779</v>
      </c>
      <c r="Q87" s="8">
        <v>73094</v>
      </c>
      <c r="R87" s="8">
        <v>80541</v>
      </c>
      <c r="S87" s="8">
        <v>81083</v>
      </c>
      <c r="T87" s="8">
        <v>81009</v>
      </c>
      <c r="U87" s="8">
        <v>81125</v>
      </c>
      <c r="V87" s="8">
        <v>80339</v>
      </c>
      <c r="W87" s="8">
        <v>82064</v>
      </c>
      <c r="X87" s="8">
        <v>82462</v>
      </c>
      <c r="Y87" s="8">
        <v>81944</v>
      </c>
      <c r="Z87" s="8">
        <v>81691</v>
      </c>
      <c r="AA87" s="8">
        <v>80994</v>
      </c>
      <c r="AB87" s="8">
        <v>80479</v>
      </c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</row>
    <row r="88" spans="1:47" ht="14.4">
      <c r="A88" s="3">
        <f>LOOKUP(D88,'AMFI DATA_2023H2'!F:L,'AMFI DATA_2023H2'!L:L)</f>
        <v>84</v>
      </c>
      <c r="B88" s="4" t="s">
        <v>264</v>
      </c>
      <c r="C88" s="4" t="s">
        <v>265</v>
      </c>
      <c r="D88" s="5" t="s">
        <v>266</v>
      </c>
      <c r="E88" s="5">
        <v>146818.6</v>
      </c>
      <c r="F88" s="6">
        <f>LOOKUP(D88,'AMFI DATA_2023H2'!F:J,'AMFI DATA_2023H2'!J:J)</f>
        <v>74736.486050000007</v>
      </c>
      <c r="G88" s="7">
        <f t="shared" si="0"/>
        <v>-1</v>
      </c>
      <c r="H88" s="8"/>
      <c r="I88" s="8">
        <v>108898</v>
      </c>
      <c r="J88" s="8">
        <v>108122</v>
      </c>
      <c r="K88" s="8">
        <v>110382</v>
      </c>
      <c r="L88" s="8">
        <v>112813</v>
      </c>
      <c r="M88" s="8">
        <v>114298</v>
      </c>
      <c r="N88" s="8">
        <v>116415</v>
      </c>
      <c r="O88" s="8">
        <v>116783</v>
      </c>
      <c r="P88" s="8">
        <v>117564</v>
      </c>
      <c r="Q88" s="8">
        <v>117289</v>
      </c>
      <c r="R88" s="8">
        <v>117460</v>
      </c>
      <c r="S88" s="8">
        <v>119918</v>
      </c>
      <c r="T88" s="8">
        <v>122640</v>
      </c>
      <c r="U88" s="8">
        <v>120875</v>
      </c>
      <c r="V88" s="8">
        <v>110047</v>
      </c>
      <c r="W88" s="8">
        <v>110091</v>
      </c>
      <c r="X88" s="8">
        <v>108733</v>
      </c>
      <c r="Y88" s="8">
        <v>107787</v>
      </c>
      <c r="Z88" s="8">
        <v>109910</v>
      </c>
      <c r="AA88" s="8">
        <v>108999</v>
      </c>
      <c r="AB88" s="8">
        <v>109574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spans="1:47" ht="14.4">
      <c r="A89" s="3">
        <f>LOOKUP(D89,'AMFI DATA_2023H2'!F:L,'AMFI DATA_2023H2'!L:L)</f>
        <v>85</v>
      </c>
      <c r="B89" s="4" t="s">
        <v>267</v>
      </c>
      <c r="C89" s="4" t="s">
        <v>268</v>
      </c>
      <c r="D89" s="5" t="s">
        <v>269</v>
      </c>
      <c r="E89" s="5">
        <v>58627.13</v>
      </c>
      <c r="F89" s="6">
        <f>LOOKUP(D89,'AMFI DATA_2023H2'!F:J,'AMFI DATA_2023H2'!J:J)</f>
        <v>74659.073149999997</v>
      </c>
      <c r="G89" s="7">
        <f t="shared" si="0"/>
        <v>-1</v>
      </c>
      <c r="H89" s="8"/>
      <c r="I89" s="8">
        <v>78790</v>
      </c>
      <c r="J89" s="8">
        <v>77787</v>
      </c>
      <c r="K89" s="8">
        <v>79681</v>
      </c>
      <c r="L89" s="8">
        <v>80583</v>
      </c>
      <c r="M89" s="8">
        <v>80434</v>
      </c>
      <c r="N89" s="8">
        <v>80845</v>
      </c>
      <c r="O89" s="8">
        <v>81136</v>
      </c>
      <c r="P89" s="8">
        <v>81270</v>
      </c>
      <c r="Q89" s="8">
        <v>79758</v>
      </c>
      <c r="R89" s="8">
        <v>79819</v>
      </c>
      <c r="S89" s="8">
        <v>80154</v>
      </c>
      <c r="T89" s="8">
        <v>80634</v>
      </c>
      <c r="U89" s="8">
        <v>79903</v>
      </c>
      <c r="V89" s="8">
        <v>79529</v>
      </c>
      <c r="W89" s="8">
        <v>80365</v>
      </c>
      <c r="X89" s="8">
        <v>81282</v>
      </c>
      <c r="Y89" s="8">
        <v>79427</v>
      </c>
      <c r="Z89" s="8">
        <v>78765</v>
      </c>
      <c r="AA89" s="8">
        <v>78358</v>
      </c>
      <c r="AB89" s="8">
        <v>78263</v>
      </c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</row>
    <row r="90" spans="1:47" ht="14.4">
      <c r="A90" s="3">
        <f>LOOKUP(D90,'AMFI DATA_2023H2'!F:L,'AMFI DATA_2023H2'!L:L)</f>
        <v>86</v>
      </c>
      <c r="B90" s="4" t="s">
        <v>270</v>
      </c>
      <c r="C90" s="4" t="s">
        <v>271</v>
      </c>
      <c r="D90" s="5" t="s">
        <v>272</v>
      </c>
      <c r="E90" s="5">
        <v>54308.97</v>
      </c>
      <c r="F90" s="6">
        <f>LOOKUP(D90,'AMFI DATA_2023H2'!F:J,'AMFI DATA_2023H2'!J:J)</f>
        <v>74341.805850000004</v>
      </c>
      <c r="G90" s="7">
        <f t="shared" si="0"/>
        <v>-1</v>
      </c>
      <c r="H90" s="8"/>
      <c r="I90" s="8">
        <v>96794</v>
      </c>
      <c r="J90" s="8">
        <v>95566</v>
      </c>
      <c r="K90" s="8">
        <v>95735</v>
      </c>
      <c r="L90" s="8">
        <v>96581</v>
      </c>
      <c r="M90" s="8">
        <v>96080</v>
      </c>
      <c r="N90" s="8">
        <v>99096</v>
      </c>
      <c r="O90" s="8">
        <v>99187</v>
      </c>
      <c r="P90" s="8">
        <v>95982</v>
      </c>
      <c r="Q90" s="8">
        <v>95920</v>
      </c>
      <c r="R90" s="8">
        <v>96837</v>
      </c>
      <c r="S90" s="8">
        <v>94037</v>
      </c>
      <c r="T90" s="8">
        <v>94193</v>
      </c>
      <c r="U90" s="8">
        <v>94949</v>
      </c>
      <c r="V90" s="8">
        <v>93554</v>
      </c>
      <c r="W90" s="8">
        <v>95716</v>
      </c>
      <c r="X90" s="8">
        <v>96398</v>
      </c>
      <c r="Y90" s="8">
        <v>95590</v>
      </c>
      <c r="Z90" s="8">
        <v>95657</v>
      </c>
      <c r="AA90" s="8">
        <v>94813</v>
      </c>
      <c r="AB90" s="8">
        <v>93476</v>
      </c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</row>
    <row r="91" spans="1:47" ht="14.4">
      <c r="A91" s="3">
        <f>LOOKUP(D91,'AMFI DATA_2023H2'!F:L,'AMFI DATA_2023H2'!L:L)</f>
        <v>87</v>
      </c>
      <c r="B91" s="4" t="s">
        <v>273</v>
      </c>
      <c r="C91" s="4" t="s">
        <v>274</v>
      </c>
      <c r="D91" s="5" t="s">
        <v>275</v>
      </c>
      <c r="E91" s="5">
        <v>64907.67</v>
      </c>
      <c r="F91" s="6">
        <f>LOOKUP(D91,'AMFI DATA_2023H2'!F:J,'AMFI DATA_2023H2'!J:J)</f>
        <v>74148.219899999996</v>
      </c>
      <c r="G91" s="7">
        <f t="shared" si="0"/>
        <v>-1</v>
      </c>
      <c r="H91" s="8"/>
      <c r="I91" s="8">
        <v>87762</v>
      </c>
      <c r="J91" s="8">
        <v>86139</v>
      </c>
      <c r="K91" s="8">
        <v>85142</v>
      </c>
      <c r="L91" s="8">
        <v>84898</v>
      </c>
      <c r="M91" s="8">
        <v>84737</v>
      </c>
      <c r="N91" s="8">
        <v>83333</v>
      </c>
      <c r="O91" s="8">
        <v>84400</v>
      </c>
      <c r="P91" s="8">
        <v>83408</v>
      </c>
      <c r="Q91" s="8">
        <v>83362</v>
      </c>
      <c r="R91" s="8">
        <v>81704</v>
      </c>
      <c r="S91" s="8">
        <v>82737</v>
      </c>
      <c r="T91" s="8">
        <v>82852</v>
      </c>
      <c r="U91" s="8">
        <v>82939</v>
      </c>
      <c r="V91" s="8">
        <v>82624</v>
      </c>
      <c r="W91" s="8">
        <v>82677</v>
      </c>
      <c r="X91" s="8">
        <v>81974</v>
      </c>
      <c r="Y91" s="8">
        <v>82659</v>
      </c>
      <c r="Z91" s="8">
        <v>81710</v>
      </c>
      <c r="AA91" s="8">
        <v>81022</v>
      </c>
      <c r="AB91" s="8">
        <v>79677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</row>
    <row r="92" spans="1:47" ht="14.4">
      <c r="A92" s="3">
        <f>LOOKUP(D92,'AMFI DATA_2023H2'!F:L,'AMFI DATA_2023H2'!L:L)</f>
        <v>88</v>
      </c>
      <c r="B92" s="4" t="s">
        <v>276</v>
      </c>
      <c r="C92" s="4" t="s">
        <v>277</v>
      </c>
      <c r="D92" s="5" t="s">
        <v>278</v>
      </c>
      <c r="E92" s="5">
        <v>33709.58</v>
      </c>
      <c r="F92" s="6">
        <f>LOOKUP(D92,'AMFI DATA_2023H2'!F:J,'AMFI DATA_2023H2'!J:J)</f>
        <v>73241.105849999993</v>
      </c>
      <c r="G92" s="7">
        <f t="shared" si="0"/>
        <v>-1</v>
      </c>
      <c r="H92" s="8"/>
      <c r="I92" s="8">
        <v>118969</v>
      </c>
      <c r="J92" s="8">
        <v>111728</v>
      </c>
      <c r="K92" s="8">
        <v>112294</v>
      </c>
      <c r="L92" s="8">
        <v>115348</v>
      </c>
      <c r="M92" s="8">
        <v>115967</v>
      </c>
      <c r="N92" s="8">
        <v>112847</v>
      </c>
      <c r="O92" s="8">
        <v>111346</v>
      </c>
      <c r="P92" s="8">
        <v>110832</v>
      </c>
      <c r="Q92" s="8">
        <v>112913</v>
      </c>
      <c r="R92" s="8">
        <v>114572</v>
      </c>
      <c r="S92" s="8">
        <v>114361</v>
      </c>
      <c r="T92" s="8">
        <v>114756</v>
      </c>
      <c r="U92" s="8">
        <v>111728</v>
      </c>
      <c r="V92" s="8">
        <v>110516</v>
      </c>
      <c r="W92" s="8">
        <v>111754</v>
      </c>
      <c r="X92" s="8">
        <v>108673</v>
      </c>
      <c r="Y92" s="8">
        <v>108041</v>
      </c>
      <c r="Z92" s="8">
        <v>108094</v>
      </c>
      <c r="AA92" s="8">
        <v>110332</v>
      </c>
      <c r="AB92" s="8">
        <v>107067</v>
      </c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ht="14.4">
      <c r="A93" s="3">
        <f>LOOKUP(D93,'AMFI DATA_2023H2'!F:L,'AMFI DATA_2023H2'!L:L)</f>
        <v>89</v>
      </c>
      <c r="B93" s="4" t="s">
        <v>279</v>
      </c>
      <c r="C93" s="4" t="s">
        <v>280</v>
      </c>
      <c r="D93" s="5" t="s">
        <v>281</v>
      </c>
      <c r="E93" s="5">
        <v>59524.41</v>
      </c>
      <c r="F93" s="6">
        <f>LOOKUP(D93,'AMFI DATA_2023H2'!F:J,'AMFI DATA_2023H2'!J:J)</f>
        <v>73114.383600000001</v>
      </c>
      <c r="G93" s="7">
        <f t="shared" si="0"/>
        <v>-1</v>
      </c>
      <c r="H93" s="8"/>
      <c r="I93" s="8">
        <v>86419</v>
      </c>
      <c r="J93" s="8">
        <v>85838</v>
      </c>
      <c r="K93" s="8">
        <v>88490</v>
      </c>
      <c r="L93" s="8">
        <v>90132</v>
      </c>
      <c r="M93" s="8">
        <v>87643</v>
      </c>
      <c r="N93" s="8">
        <v>88730</v>
      </c>
      <c r="O93" s="8">
        <v>88564</v>
      </c>
      <c r="P93" s="8">
        <v>86147</v>
      </c>
      <c r="Q93" s="8">
        <v>82137</v>
      </c>
      <c r="R93" s="8">
        <v>80134</v>
      </c>
      <c r="S93" s="8">
        <v>82221</v>
      </c>
      <c r="T93" s="8">
        <v>83084</v>
      </c>
      <c r="U93" s="8">
        <v>86347</v>
      </c>
      <c r="V93" s="8">
        <v>84250</v>
      </c>
      <c r="W93" s="8">
        <v>79052</v>
      </c>
      <c r="X93" s="8">
        <v>79477</v>
      </c>
      <c r="Y93" s="8">
        <v>79317</v>
      </c>
      <c r="Z93" s="8">
        <v>80118</v>
      </c>
      <c r="AA93" s="8">
        <v>77205</v>
      </c>
      <c r="AB93" s="8">
        <v>77446</v>
      </c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ht="14.4">
      <c r="A94" s="3">
        <f>LOOKUP(D94,'AMFI DATA_2023H2'!F:L,'AMFI DATA_2023H2'!L:L)</f>
        <v>90</v>
      </c>
      <c r="B94" s="4" t="s">
        <v>282</v>
      </c>
      <c r="C94" s="4" t="s">
        <v>283</v>
      </c>
      <c r="D94" s="5" t="s">
        <v>284</v>
      </c>
      <c r="E94" s="5">
        <v>48214.27</v>
      </c>
      <c r="F94" s="6">
        <f>LOOKUP(D94,'AMFI DATA_2023H2'!F:J,'AMFI DATA_2023H2'!J:J)</f>
        <v>71501.892200000002</v>
      </c>
      <c r="G94" s="7">
        <f t="shared" si="0"/>
        <v>-1</v>
      </c>
      <c r="H94" s="8"/>
      <c r="I94" s="8">
        <v>86511</v>
      </c>
      <c r="J94" s="8">
        <v>84712</v>
      </c>
      <c r="K94" s="8">
        <v>86034</v>
      </c>
      <c r="L94" s="8">
        <v>86789</v>
      </c>
      <c r="M94" s="8">
        <v>87112</v>
      </c>
      <c r="N94" s="8">
        <v>86116</v>
      </c>
      <c r="O94" s="8">
        <v>85593</v>
      </c>
      <c r="P94" s="8">
        <v>80753</v>
      </c>
      <c r="Q94" s="8">
        <v>81416</v>
      </c>
      <c r="R94" s="8">
        <v>82255</v>
      </c>
      <c r="S94" s="8">
        <v>81619</v>
      </c>
      <c r="T94" s="8">
        <v>80683</v>
      </c>
      <c r="U94" s="8">
        <v>78330</v>
      </c>
      <c r="V94" s="8">
        <v>76405</v>
      </c>
      <c r="W94" s="8">
        <v>76772</v>
      </c>
      <c r="X94" s="8">
        <v>76999</v>
      </c>
      <c r="Y94" s="8">
        <v>76946</v>
      </c>
      <c r="Z94" s="8">
        <v>77283</v>
      </c>
      <c r="AA94" s="8">
        <v>76406</v>
      </c>
      <c r="AB94" s="8">
        <v>77170</v>
      </c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</row>
    <row r="95" spans="1:47" ht="14.4">
      <c r="A95" s="3">
        <f>LOOKUP(D95,'AMFI DATA_2023H2'!F:L,'AMFI DATA_2023H2'!L:L)</f>
        <v>91</v>
      </c>
      <c r="B95" s="4" t="s">
        <v>285</v>
      </c>
      <c r="C95" s="4" t="s">
        <v>286</v>
      </c>
      <c r="D95" s="5" t="s">
        <v>287</v>
      </c>
      <c r="E95" s="5">
        <v>49232.7</v>
      </c>
      <c r="F95" s="6">
        <f>LOOKUP(D95,'AMFI DATA_2023H2'!F:J,'AMFI DATA_2023H2'!J:J)</f>
        <v>71498.349199999997</v>
      </c>
      <c r="G95" s="7">
        <f t="shared" si="0"/>
        <v>-1</v>
      </c>
      <c r="H95" s="8"/>
      <c r="I95" s="8">
        <v>100884</v>
      </c>
      <c r="J95" s="8">
        <v>98548</v>
      </c>
      <c r="K95" s="8">
        <v>97844</v>
      </c>
      <c r="L95" s="8">
        <v>100735</v>
      </c>
      <c r="M95" s="8">
        <v>99401</v>
      </c>
      <c r="N95" s="8">
        <v>97251</v>
      </c>
      <c r="O95" s="8">
        <v>91433</v>
      </c>
      <c r="P95" s="8">
        <v>91470</v>
      </c>
      <c r="Q95" s="8">
        <v>91062</v>
      </c>
      <c r="R95" s="8">
        <v>90803</v>
      </c>
      <c r="S95" s="8">
        <v>92100</v>
      </c>
      <c r="T95" s="8">
        <v>91951</v>
      </c>
      <c r="U95" s="8">
        <v>91210</v>
      </c>
      <c r="V95" s="8">
        <v>89617</v>
      </c>
      <c r="W95" s="8">
        <v>89542</v>
      </c>
      <c r="X95" s="8">
        <v>88282</v>
      </c>
      <c r="Y95" s="8">
        <v>87430</v>
      </c>
      <c r="Z95" s="8">
        <v>88208</v>
      </c>
      <c r="AA95" s="8">
        <v>86837</v>
      </c>
      <c r="AB95" s="8">
        <v>87652</v>
      </c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</row>
    <row r="96" spans="1:47" ht="14.4">
      <c r="A96" s="3">
        <f>LOOKUP(D96,'AMFI DATA_2023H2'!F:L,'AMFI DATA_2023H2'!L:L)</f>
        <v>92</v>
      </c>
      <c r="B96" s="4" t="s">
        <v>288</v>
      </c>
      <c r="C96" s="4" t="s">
        <v>289</v>
      </c>
      <c r="D96" s="5" t="s">
        <v>290</v>
      </c>
      <c r="E96" s="5">
        <v>65586.350000000006</v>
      </c>
      <c r="F96" s="6">
        <f>LOOKUP(D96,'AMFI DATA_2023H2'!F:J,'AMFI DATA_2023H2'!J:J)</f>
        <v>70881.733600000007</v>
      </c>
      <c r="G96" s="7">
        <f t="shared" si="0"/>
        <v>-1</v>
      </c>
      <c r="H96" s="8"/>
      <c r="I96" s="8">
        <v>68535</v>
      </c>
      <c r="J96" s="8">
        <v>67863</v>
      </c>
      <c r="K96" s="8">
        <v>68244</v>
      </c>
      <c r="L96" s="8">
        <v>68833</v>
      </c>
      <c r="M96" s="8">
        <v>68594</v>
      </c>
      <c r="N96" s="8">
        <v>68949</v>
      </c>
      <c r="O96" s="8">
        <v>68399</v>
      </c>
      <c r="P96" s="8">
        <v>68665</v>
      </c>
      <c r="Q96" s="8">
        <v>68652</v>
      </c>
      <c r="R96" s="8">
        <v>67720</v>
      </c>
      <c r="S96" s="8">
        <v>70618</v>
      </c>
      <c r="T96" s="8">
        <v>71647</v>
      </c>
      <c r="U96" s="8">
        <v>70450</v>
      </c>
      <c r="V96" s="8">
        <v>70767</v>
      </c>
      <c r="W96" s="8">
        <v>70237</v>
      </c>
      <c r="X96" s="8">
        <v>70754</v>
      </c>
      <c r="Y96" s="8">
        <v>70321</v>
      </c>
      <c r="Z96" s="8">
        <v>68942</v>
      </c>
      <c r="AA96" s="8">
        <v>68489</v>
      </c>
      <c r="AB96" s="8">
        <v>67648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ht="14.4">
      <c r="A97" s="3">
        <f>LOOKUP(D97,'AMFI DATA_2023H2'!F:L,'AMFI DATA_2023H2'!L:L)</f>
        <v>93</v>
      </c>
      <c r="B97" s="4" t="s">
        <v>291</v>
      </c>
      <c r="C97" s="4" t="s">
        <v>292</v>
      </c>
      <c r="D97" s="5" t="s">
        <v>293</v>
      </c>
      <c r="E97" s="5">
        <v>48161.8</v>
      </c>
      <c r="F97" s="6">
        <f>LOOKUP(D97,'AMFI DATA_2023H2'!F:J,'AMFI DATA_2023H2'!J:J)</f>
        <v>69083.438049999997</v>
      </c>
      <c r="G97" s="7">
        <f t="shared" si="0"/>
        <v>-1</v>
      </c>
      <c r="H97" s="8"/>
      <c r="I97" s="8">
        <v>83549</v>
      </c>
      <c r="J97" s="8">
        <v>83549</v>
      </c>
      <c r="K97" s="8">
        <v>82396</v>
      </c>
      <c r="L97" s="8">
        <v>84097</v>
      </c>
      <c r="M97" s="8">
        <v>84154</v>
      </c>
      <c r="N97" s="8">
        <v>83019</v>
      </c>
      <c r="O97" s="8">
        <v>81318</v>
      </c>
      <c r="P97" s="8">
        <v>80713</v>
      </c>
      <c r="Q97" s="8">
        <v>81545</v>
      </c>
      <c r="R97" s="8">
        <v>81564</v>
      </c>
      <c r="S97" s="8">
        <v>82944</v>
      </c>
      <c r="T97" s="8">
        <v>83360</v>
      </c>
      <c r="U97" s="8">
        <v>83019</v>
      </c>
      <c r="V97" s="8">
        <v>82301</v>
      </c>
      <c r="W97" s="8">
        <v>82358</v>
      </c>
      <c r="X97" s="8">
        <v>81885</v>
      </c>
      <c r="Y97" s="8">
        <v>81810</v>
      </c>
      <c r="Z97" s="8">
        <v>81847</v>
      </c>
      <c r="AA97" s="8">
        <v>81129</v>
      </c>
      <c r="AB97" s="8">
        <v>81186</v>
      </c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</row>
    <row r="98" spans="1:47" ht="14.4">
      <c r="A98" s="3">
        <f>LOOKUP(D98,'AMFI DATA_2023H2'!F:L,'AMFI DATA_2023H2'!L:L)</f>
        <v>94</v>
      </c>
      <c r="B98" s="4" t="s">
        <v>294</v>
      </c>
      <c r="C98" s="4" t="s">
        <v>295</v>
      </c>
      <c r="D98" s="5" t="s">
        <v>296</v>
      </c>
      <c r="E98" s="5">
        <v>55687.31</v>
      </c>
      <c r="F98" s="6">
        <f>LOOKUP(D98,'AMFI DATA_2023H2'!F:J,'AMFI DATA_2023H2'!J:J)</f>
        <v>68890.162799999991</v>
      </c>
      <c r="G98" s="7">
        <f t="shared" si="0"/>
        <v>-1</v>
      </c>
      <c r="H98" s="8"/>
      <c r="I98" s="8">
        <v>74912</v>
      </c>
      <c r="J98" s="8">
        <v>74514</v>
      </c>
      <c r="K98" s="8">
        <v>73837</v>
      </c>
      <c r="L98" s="8">
        <v>75718</v>
      </c>
      <c r="M98" s="8">
        <v>74170</v>
      </c>
      <c r="N98" s="8">
        <v>73923</v>
      </c>
      <c r="O98" s="8">
        <v>71815</v>
      </c>
      <c r="P98" s="8">
        <v>71880</v>
      </c>
      <c r="Q98" s="8">
        <v>72514</v>
      </c>
      <c r="R98" s="8">
        <v>72353</v>
      </c>
      <c r="S98" s="8">
        <v>73772</v>
      </c>
      <c r="T98" s="8">
        <v>74514</v>
      </c>
      <c r="U98" s="8">
        <v>73020</v>
      </c>
      <c r="V98" s="8">
        <v>72428</v>
      </c>
      <c r="W98" s="8">
        <v>72611</v>
      </c>
      <c r="X98" s="8">
        <v>72482</v>
      </c>
      <c r="Y98" s="8">
        <v>71235</v>
      </c>
      <c r="Z98" s="8">
        <v>70805</v>
      </c>
      <c r="AA98" s="8">
        <v>70417</v>
      </c>
      <c r="AB98" s="8">
        <v>70912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spans="1:47" ht="14.4">
      <c r="A99" s="3">
        <f>LOOKUP(D99,'AMFI DATA_2023H2'!F:L,'AMFI DATA_2023H2'!L:L)</f>
        <v>95</v>
      </c>
      <c r="B99" s="4" t="s">
        <v>297</v>
      </c>
      <c r="C99" s="4" t="s">
        <v>298</v>
      </c>
      <c r="D99" s="5" t="s">
        <v>299</v>
      </c>
      <c r="E99" s="5">
        <v>69795.289999999994</v>
      </c>
      <c r="F99" s="6">
        <f>LOOKUP(D99,'AMFI DATA_2023H2'!F:J,'AMFI DATA_2023H2'!J:J)</f>
        <v>68383.545849999995</v>
      </c>
      <c r="G99" s="7">
        <f t="shared" si="0"/>
        <v>-1</v>
      </c>
      <c r="H99" s="8"/>
      <c r="I99" s="8">
        <v>68487</v>
      </c>
      <c r="J99" s="8">
        <v>68001</v>
      </c>
      <c r="K99" s="8">
        <v>68671</v>
      </c>
      <c r="L99" s="8">
        <v>69903</v>
      </c>
      <c r="M99" s="8">
        <v>69421</v>
      </c>
      <c r="N99" s="8">
        <v>69480</v>
      </c>
      <c r="O99" s="8">
        <v>68997</v>
      </c>
      <c r="P99" s="8">
        <v>68026</v>
      </c>
      <c r="Q99" s="8">
        <v>68514</v>
      </c>
      <c r="R99" s="8">
        <v>71041</v>
      </c>
      <c r="S99" s="8">
        <v>73531</v>
      </c>
      <c r="T99" s="8">
        <v>74286</v>
      </c>
      <c r="U99" s="8">
        <v>74299</v>
      </c>
      <c r="V99" s="8">
        <v>73619</v>
      </c>
      <c r="W99" s="8">
        <v>73124</v>
      </c>
      <c r="X99" s="8">
        <v>73576</v>
      </c>
      <c r="Y99" s="8">
        <v>73084</v>
      </c>
      <c r="Z99" s="8">
        <v>73248</v>
      </c>
      <c r="AA99" s="8">
        <v>73876</v>
      </c>
      <c r="AB99" s="8">
        <v>72750</v>
      </c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</row>
    <row r="100" spans="1:47" ht="14.4">
      <c r="A100" s="3">
        <f>LOOKUP(D100,'AMFI DATA_2023H2'!F:L,'AMFI DATA_2023H2'!L:L)</f>
        <v>96</v>
      </c>
      <c r="B100" s="4" t="s">
        <v>300</v>
      </c>
      <c r="C100" s="4" t="s">
        <v>301</v>
      </c>
      <c r="D100" s="5" t="s">
        <v>302</v>
      </c>
      <c r="E100" s="5">
        <v>57937.91</v>
      </c>
      <c r="F100" s="6">
        <f>LOOKUP(D100,'AMFI DATA_2023H2'!F:J,'AMFI DATA_2023H2'!J:J)</f>
        <v>68263.759649999993</v>
      </c>
      <c r="G100" s="7">
        <f t="shared" si="0"/>
        <v>-1</v>
      </c>
      <c r="H100" s="8"/>
      <c r="I100" s="8">
        <v>74451</v>
      </c>
      <c r="J100" s="8">
        <v>73416</v>
      </c>
      <c r="K100" s="8">
        <v>73666</v>
      </c>
      <c r="L100" s="8">
        <v>76512</v>
      </c>
      <c r="M100" s="8">
        <v>75002</v>
      </c>
      <c r="N100" s="8">
        <v>75068</v>
      </c>
      <c r="O100" s="8">
        <v>74701</v>
      </c>
      <c r="P100" s="8">
        <v>74466</v>
      </c>
      <c r="Q100" s="8">
        <v>74273</v>
      </c>
      <c r="R100" s="8">
        <v>73130</v>
      </c>
      <c r="S100" s="8">
        <v>75027</v>
      </c>
      <c r="T100" s="8">
        <v>75991</v>
      </c>
      <c r="U100" s="8">
        <v>74650</v>
      </c>
      <c r="V100" s="8">
        <v>75854</v>
      </c>
      <c r="W100" s="8">
        <v>75808</v>
      </c>
      <c r="X100" s="8">
        <v>76277</v>
      </c>
      <c r="Y100" s="8">
        <v>75145</v>
      </c>
      <c r="Z100" s="8">
        <v>74803</v>
      </c>
      <c r="AA100" s="8">
        <v>74390</v>
      </c>
      <c r="AB100" s="8">
        <v>74099</v>
      </c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</row>
    <row r="101" spans="1:47" ht="14.4">
      <c r="A101" s="3">
        <f>LOOKUP(D101,'AMFI DATA_2023H2'!F:L,'AMFI DATA_2023H2'!L:L)</f>
        <v>97</v>
      </c>
      <c r="B101" s="4" t="s">
        <v>303</v>
      </c>
      <c r="C101" s="4" t="s">
        <v>304</v>
      </c>
      <c r="D101" s="5" t="s">
        <v>305</v>
      </c>
      <c r="E101" s="5">
        <v>58273</v>
      </c>
      <c r="F101" s="6">
        <f>LOOKUP(D101,'AMFI DATA_2023H2'!F:J,'AMFI DATA_2023H2'!J:J)</f>
        <v>67507.958199999994</v>
      </c>
      <c r="G101" s="7">
        <f t="shared" si="0"/>
        <v>-1</v>
      </c>
      <c r="H101" s="8"/>
      <c r="I101" s="8">
        <v>67561</v>
      </c>
      <c r="J101" s="8">
        <v>67188</v>
      </c>
      <c r="K101" s="8">
        <v>69391</v>
      </c>
      <c r="L101" s="8">
        <v>70551</v>
      </c>
      <c r="M101" s="8">
        <v>70347</v>
      </c>
      <c r="N101" s="8">
        <v>69455</v>
      </c>
      <c r="O101" s="8">
        <v>69204</v>
      </c>
      <c r="P101" s="8">
        <v>69086</v>
      </c>
      <c r="Q101" s="8">
        <v>68310</v>
      </c>
      <c r="R101" s="8">
        <v>67477</v>
      </c>
      <c r="S101" s="8">
        <v>69465</v>
      </c>
      <c r="T101" s="8">
        <v>69762</v>
      </c>
      <c r="U101" s="8">
        <v>69703</v>
      </c>
      <c r="V101" s="8">
        <v>70525</v>
      </c>
      <c r="W101" s="8">
        <v>69989</v>
      </c>
      <c r="X101" s="8">
        <v>70246</v>
      </c>
      <c r="Y101" s="8">
        <v>69488</v>
      </c>
      <c r="Z101" s="8">
        <v>68194</v>
      </c>
      <c r="AA101" s="8">
        <v>68591</v>
      </c>
      <c r="AB101" s="8">
        <v>67978</v>
      </c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spans="1:47" ht="14.4">
      <c r="A102" s="3">
        <f>LOOKUP(D102,'AMFI DATA_2023H2'!F:L,'AMFI DATA_2023H2'!L:L)</f>
        <v>98</v>
      </c>
      <c r="B102" s="4" t="s">
        <v>306</v>
      </c>
      <c r="C102" s="4" t="s">
        <v>307</v>
      </c>
      <c r="D102" s="5" t="s">
        <v>308</v>
      </c>
      <c r="E102" s="5">
        <v>56235</v>
      </c>
      <c r="F102" s="6">
        <f>LOOKUP(D102,'AMFI DATA_2023H2'!F:J,'AMFI DATA_2023H2'!J:J)</f>
        <v>67463.404150000002</v>
      </c>
      <c r="G102" s="7">
        <f t="shared" si="0"/>
        <v>-1</v>
      </c>
      <c r="H102" s="8"/>
      <c r="I102" s="8">
        <v>73166</v>
      </c>
      <c r="J102" s="8">
        <v>70891</v>
      </c>
      <c r="K102" s="8">
        <v>71640</v>
      </c>
      <c r="L102" s="8">
        <v>67564</v>
      </c>
      <c r="M102" s="8">
        <v>67551</v>
      </c>
      <c r="N102" s="8">
        <v>68629</v>
      </c>
      <c r="O102" s="8">
        <v>68615</v>
      </c>
      <c r="P102" s="8">
        <v>68332</v>
      </c>
      <c r="Q102" s="8">
        <v>68666</v>
      </c>
      <c r="R102" s="8">
        <v>68460</v>
      </c>
      <c r="S102" s="8">
        <v>68602</v>
      </c>
      <c r="T102" s="8">
        <v>68585</v>
      </c>
      <c r="U102" s="8">
        <v>68058</v>
      </c>
      <c r="V102" s="8">
        <v>69840</v>
      </c>
      <c r="W102" s="8">
        <v>70776</v>
      </c>
      <c r="X102" s="8">
        <v>69813</v>
      </c>
      <c r="Y102" s="8">
        <v>70791</v>
      </c>
      <c r="Z102" s="8">
        <v>69474</v>
      </c>
      <c r="AA102" s="8">
        <v>69714</v>
      </c>
      <c r="AB102" s="8">
        <v>70019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ht="14.4">
      <c r="A103" s="3">
        <f>LOOKUP(D103,'AMFI DATA_2023H2'!F:L,'AMFI DATA_2023H2'!L:L)</f>
        <v>99</v>
      </c>
      <c r="B103" s="4" t="s">
        <v>309</v>
      </c>
      <c r="C103" s="4" t="s">
        <v>310</v>
      </c>
      <c r="D103" s="5" t="s">
        <v>311</v>
      </c>
      <c r="E103" s="5">
        <v>54523.72</v>
      </c>
      <c r="F103" s="6">
        <f>LOOKUP(D103,'AMFI DATA_2023H2'!F:J,'AMFI DATA_2023H2'!J:J)</f>
        <v>67063.565050000005</v>
      </c>
      <c r="G103" s="7">
        <f t="shared" si="0"/>
        <v>-1</v>
      </c>
      <c r="H103" s="8"/>
      <c r="I103" s="8">
        <v>84647</v>
      </c>
      <c r="J103" s="8">
        <v>83132</v>
      </c>
      <c r="K103" s="8">
        <v>82833</v>
      </c>
      <c r="L103" s="8">
        <v>84348</v>
      </c>
      <c r="M103" s="8">
        <v>84430</v>
      </c>
      <c r="N103" s="8">
        <v>83858</v>
      </c>
      <c r="O103" s="8">
        <v>82452</v>
      </c>
      <c r="P103" s="8">
        <v>81409</v>
      </c>
      <c r="Q103" s="8">
        <v>81663</v>
      </c>
      <c r="R103" s="8">
        <v>81699</v>
      </c>
      <c r="S103" s="8">
        <v>83813</v>
      </c>
      <c r="T103" s="8">
        <v>84411</v>
      </c>
      <c r="U103" s="8">
        <v>83123</v>
      </c>
      <c r="V103" s="8">
        <v>80556</v>
      </c>
      <c r="W103" s="8">
        <v>80357</v>
      </c>
      <c r="X103" s="8">
        <v>79404</v>
      </c>
      <c r="Y103" s="8">
        <v>79985</v>
      </c>
      <c r="Z103" s="8">
        <v>78443</v>
      </c>
      <c r="AA103" s="8">
        <v>77164</v>
      </c>
      <c r="AB103" s="8">
        <v>77291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ht="14.4">
      <c r="A104" s="3">
        <f>LOOKUP(D104,'AMFI DATA_2023H2'!F:L,'AMFI DATA_2023H2'!L:L)</f>
        <v>100</v>
      </c>
      <c r="B104" s="4" t="s">
        <v>312</v>
      </c>
      <c r="C104" s="4" t="s">
        <v>313</v>
      </c>
      <c r="D104" s="5" t="s">
        <v>314</v>
      </c>
      <c r="E104" s="5">
        <v>54799.49</v>
      </c>
      <c r="F104" s="6">
        <f>LOOKUP(D104,'AMFI DATA_2023H2'!F:J,'AMFI DATA_2023H2'!J:J)</f>
        <v>67017.693700000003</v>
      </c>
      <c r="G104" s="7">
        <f t="shared" si="0"/>
        <v>-1</v>
      </c>
      <c r="H104" s="8"/>
      <c r="I104" s="8">
        <v>83337</v>
      </c>
      <c r="J104" s="8">
        <v>83258</v>
      </c>
      <c r="K104" s="8">
        <v>83359</v>
      </c>
      <c r="L104" s="8">
        <v>83095</v>
      </c>
      <c r="M104" s="8">
        <v>83770</v>
      </c>
      <c r="N104" s="8">
        <v>83510</v>
      </c>
      <c r="O104" s="8">
        <v>83224</v>
      </c>
      <c r="P104" s="8">
        <v>79633</v>
      </c>
      <c r="Q104" s="8">
        <v>79247</v>
      </c>
      <c r="R104" s="8">
        <v>78858</v>
      </c>
      <c r="S104" s="8">
        <v>79636</v>
      </c>
      <c r="T104" s="8">
        <v>80269</v>
      </c>
      <c r="U104" s="8">
        <v>79670</v>
      </c>
      <c r="V104" s="8">
        <v>78557</v>
      </c>
      <c r="W104" s="8">
        <v>77780</v>
      </c>
      <c r="X104" s="8">
        <v>78030</v>
      </c>
      <c r="Y104" s="8">
        <v>76695</v>
      </c>
      <c r="Z104" s="8">
        <v>76616</v>
      </c>
      <c r="AA104" s="8">
        <v>77500</v>
      </c>
      <c r="AB104" s="8">
        <v>75220</v>
      </c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ht="14.4">
      <c r="A105" s="3">
        <f>LOOKUP(D105,'AMFI DATA_2023H2'!F:L,'AMFI DATA_2023H2'!L:L)</f>
        <v>101</v>
      </c>
      <c r="B105" s="4" t="s">
        <v>315</v>
      </c>
      <c r="C105" s="4" t="s">
        <v>316</v>
      </c>
      <c r="D105" s="5" t="s">
        <v>317</v>
      </c>
      <c r="E105" s="5">
        <v>52342.96</v>
      </c>
      <c r="F105" s="6">
        <f>LOOKUP(D105,'AMFI DATA_2023H2'!F:J,'AMFI DATA_2023H2'!J:J)</f>
        <v>64425.150450000001</v>
      </c>
      <c r="G105" s="7">
        <f t="shared" si="0"/>
        <v>-1</v>
      </c>
      <c r="H105" s="8"/>
      <c r="I105" s="8">
        <v>88049</v>
      </c>
      <c r="J105" s="8">
        <v>87830</v>
      </c>
      <c r="K105" s="8">
        <v>87378</v>
      </c>
      <c r="L105" s="8">
        <v>87718</v>
      </c>
      <c r="M105" s="8">
        <v>87358</v>
      </c>
      <c r="N105" s="8">
        <v>87614</v>
      </c>
      <c r="O105" s="8">
        <v>86749</v>
      </c>
      <c r="P105" s="8">
        <v>82714</v>
      </c>
      <c r="Q105" s="8">
        <v>82354</v>
      </c>
      <c r="R105" s="8">
        <v>80214</v>
      </c>
      <c r="S105" s="8">
        <v>79743</v>
      </c>
      <c r="T105" s="8">
        <v>78894</v>
      </c>
      <c r="U105" s="8">
        <v>79875</v>
      </c>
      <c r="V105" s="8">
        <v>81867</v>
      </c>
      <c r="W105" s="8">
        <v>82240</v>
      </c>
      <c r="X105" s="8">
        <v>82777</v>
      </c>
      <c r="Y105" s="8">
        <v>83435</v>
      </c>
      <c r="Z105" s="8">
        <v>81343</v>
      </c>
      <c r="AA105" s="8">
        <v>81295</v>
      </c>
      <c r="AB105" s="8">
        <v>78670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ht="14.4">
      <c r="A106" s="3">
        <f>LOOKUP(D106,'AMFI DATA_2023H2'!F:L,'AMFI DATA_2023H2'!L:L)</f>
        <v>102</v>
      </c>
      <c r="B106" s="4" t="s">
        <v>318</v>
      </c>
      <c r="C106" s="4" t="s">
        <v>319</v>
      </c>
      <c r="D106" s="5" t="s">
        <v>320</v>
      </c>
      <c r="E106" s="5">
        <v>51915.81</v>
      </c>
      <c r="F106" s="6">
        <f>LOOKUP(D106,'AMFI DATA_2023H2'!F:J,'AMFI DATA_2023H2'!J:J)</f>
        <v>64251.791599999997</v>
      </c>
      <c r="G106" s="7">
        <f t="shared" si="0"/>
        <v>-1</v>
      </c>
      <c r="H106" s="8"/>
      <c r="I106" s="8">
        <v>74202</v>
      </c>
      <c r="J106" s="8">
        <v>73084</v>
      </c>
      <c r="K106" s="8">
        <v>73185</v>
      </c>
      <c r="L106" s="8">
        <v>74032</v>
      </c>
      <c r="M106" s="8">
        <v>74303</v>
      </c>
      <c r="N106" s="8">
        <v>72779</v>
      </c>
      <c r="O106" s="8">
        <v>74439</v>
      </c>
      <c r="P106" s="8">
        <v>73931</v>
      </c>
      <c r="Q106" s="8">
        <v>72576</v>
      </c>
      <c r="R106" s="8">
        <v>71661</v>
      </c>
      <c r="S106" s="8">
        <v>70509</v>
      </c>
      <c r="T106" s="8">
        <v>70102</v>
      </c>
      <c r="U106" s="8">
        <v>68984</v>
      </c>
      <c r="V106" s="8">
        <v>71152</v>
      </c>
      <c r="W106" s="8">
        <v>71661</v>
      </c>
      <c r="X106" s="8">
        <v>69119</v>
      </c>
      <c r="Y106" s="8">
        <v>66138</v>
      </c>
      <c r="Z106" s="8">
        <v>65284</v>
      </c>
      <c r="AA106" s="8">
        <v>65128</v>
      </c>
      <c r="AB106" s="8">
        <v>64240</v>
      </c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ht="14.4">
      <c r="A107" s="3">
        <f>LOOKUP(D107,'AMFI DATA_2023H2'!F:L,'AMFI DATA_2023H2'!L:L)</f>
        <v>103</v>
      </c>
      <c r="B107" s="4" t="s">
        <v>321</v>
      </c>
      <c r="C107" s="4" t="s">
        <v>322</v>
      </c>
      <c r="D107" s="5" t="s">
        <v>323</v>
      </c>
      <c r="E107" s="5">
        <v>49110.36</v>
      </c>
      <c r="F107" s="6">
        <f>LOOKUP(D107,'AMFI DATA_2023H2'!F:J,'AMFI DATA_2023H2'!J:J)</f>
        <v>63871.426399999997</v>
      </c>
      <c r="G107" s="7">
        <f t="shared" si="0"/>
        <v>-1</v>
      </c>
      <c r="H107" s="8"/>
      <c r="I107" s="8">
        <v>69377</v>
      </c>
      <c r="J107" s="8">
        <v>69194</v>
      </c>
      <c r="K107" s="8">
        <v>70751</v>
      </c>
      <c r="L107" s="8">
        <v>69339</v>
      </c>
      <c r="M107" s="8">
        <v>69927</v>
      </c>
      <c r="N107" s="8">
        <v>70354</v>
      </c>
      <c r="O107" s="8">
        <v>70805</v>
      </c>
      <c r="P107" s="8">
        <v>71546</v>
      </c>
      <c r="Q107" s="8">
        <v>71935</v>
      </c>
      <c r="R107" s="8">
        <v>71637</v>
      </c>
      <c r="S107" s="8">
        <v>71339</v>
      </c>
      <c r="T107" s="8">
        <v>70881</v>
      </c>
      <c r="U107" s="8">
        <v>68934</v>
      </c>
      <c r="V107" s="8">
        <v>69064</v>
      </c>
      <c r="W107" s="8">
        <v>68628</v>
      </c>
      <c r="X107" s="8">
        <v>69446</v>
      </c>
      <c r="Y107" s="8">
        <v>69117</v>
      </c>
      <c r="Z107" s="8">
        <v>70011</v>
      </c>
      <c r="AA107" s="8">
        <v>71133</v>
      </c>
      <c r="AB107" s="8">
        <v>71278</v>
      </c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</row>
    <row r="108" spans="1:47" ht="14.4">
      <c r="A108" s="3">
        <f>LOOKUP(D108,'AMFI DATA_2023H2'!F:L,'AMFI DATA_2023H2'!L:L)</f>
        <v>104</v>
      </c>
      <c r="B108" s="4" t="s">
        <v>324</v>
      </c>
      <c r="C108" s="4" t="s">
        <v>325</v>
      </c>
      <c r="D108" s="5" t="s">
        <v>326</v>
      </c>
      <c r="E108" s="5">
        <v>49546.83</v>
      </c>
      <c r="F108" s="6">
        <f>LOOKUP(D108,'AMFI DATA_2023H2'!F:J,'AMFI DATA_2023H2'!J:J)</f>
        <v>63049.380250000002</v>
      </c>
      <c r="G108" s="7">
        <f t="shared" si="0"/>
        <v>-1</v>
      </c>
      <c r="H108" s="8"/>
      <c r="I108" s="8">
        <v>72661</v>
      </c>
      <c r="J108" s="8">
        <v>71786</v>
      </c>
      <c r="K108" s="8">
        <v>71978</v>
      </c>
      <c r="L108" s="8">
        <v>71319</v>
      </c>
      <c r="M108" s="8">
        <v>72550</v>
      </c>
      <c r="N108" s="8">
        <v>71264</v>
      </c>
      <c r="O108" s="8">
        <v>71457</v>
      </c>
      <c r="P108" s="8">
        <v>71593</v>
      </c>
      <c r="Q108" s="8">
        <v>72256</v>
      </c>
      <c r="R108" s="8">
        <v>71917</v>
      </c>
      <c r="S108" s="8">
        <v>72256</v>
      </c>
      <c r="T108" s="8">
        <v>71841</v>
      </c>
      <c r="U108" s="8">
        <v>71892</v>
      </c>
      <c r="V108" s="8">
        <v>72187</v>
      </c>
      <c r="W108" s="8">
        <v>70566</v>
      </c>
      <c r="X108" s="8">
        <v>69726</v>
      </c>
      <c r="Y108" s="8">
        <v>69533</v>
      </c>
      <c r="Z108" s="8">
        <v>69711</v>
      </c>
      <c r="AA108" s="8">
        <v>68445</v>
      </c>
      <c r="AB108" s="8">
        <v>68825</v>
      </c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</row>
    <row r="109" spans="1:47" ht="14.4">
      <c r="A109" s="3">
        <f>LOOKUP(D109,'AMFI DATA_2023H2'!F:L,'AMFI DATA_2023H2'!L:L)</f>
        <v>105</v>
      </c>
      <c r="B109" s="4" t="s">
        <v>327</v>
      </c>
      <c r="C109" s="4" t="s">
        <v>328</v>
      </c>
      <c r="D109" s="5" t="s">
        <v>329</v>
      </c>
      <c r="E109" s="5">
        <v>41406.97</v>
      </c>
      <c r="F109" s="6">
        <f>LOOKUP(D109,'AMFI DATA_2023H2'!F:J,'AMFI DATA_2023H2'!J:J)</f>
        <v>61813.476500000004</v>
      </c>
      <c r="G109" s="7">
        <f t="shared" si="0"/>
        <v>-1</v>
      </c>
      <c r="H109" s="8"/>
      <c r="I109" s="8">
        <v>82341</v>
      </c>
      <c r="J109" s="8">
        <v>78739</v>
      </c>
      <c r="K109" s="8">
        <v>77670</v>
      </c>
      <c r="L109" s="8">
        <v>76568</v>
      </c>
      <c r="M109" s="8">
        <v>77818</v>
      </c>
      <c r="N109" s="8">
        <v>79520</v>
      </c>
      <c r="O109" s="8">
        <v>79027</v>
      </c>
      <c r="P109" s="8">
        <v>76370</v>
      </c>
      <c r="Q109" s="8">
        <v>74742</v>
      </c>
      <c r="R109" s="8">
        <v>68994</v>
      </c>
      <c r="S109" s="8">
        <v>69076</v>
      </c>
      <c r="T109" s="8">
        <v>70113</v>
      </c>
      <c r="U109" s="8">
        <v>67555</v>
      </c>
      <c r="V109" s="8">
        <v>67317</v>
      </c>
      <c r="W109" s="8">
        <v>67440</v>
      </c>
      <c r="X109" s="8">
        <v>67284</v>
      </c>
      <c r="Y109" s="8">
        <v>67103</v>
      </c>
      <c r="Z109" s="8">
        <v>67572</v>
      </c>
      <c r="AA109" s="8">
        <v>68237</v>
      </c>
      <c r="AB109" s="8">
        <v>67317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</row>
    <row r="110" spans="1:47" ht="14.4">
      <c r="A110" s="3">
        <f>LOOKUP(D110,'AMFI DATA_2023H2'!F:L,'AMFI DATA_2023H2'!L:L)</f>
        <v>106</v>
      </c>
      <c r="B110" s="4" t="s">
        <v>330</v>
      </c>
      <c r="C110" s="4" t="s">
        <v>331</v>
      </c>
      <c r="D110" s="5" t="s">
        <v>332</v>
      </c>
      <c r="E110" s="5">
        <v>52078.89</v>
      </c>
      <c r="F110" s="6">
        <f>LOOKUP(D110,'AMFI DATA_2023H2'!F:J,'AMFI DATA_2023H2'!J:J)</f>
        <v>61590.004699999998</v>
      </c>
      <c r="G110" s="7">
        <f t="shared" si="0"/>
        <v>-1</v>
      </c>
      <c r="H110" s="8"/>
      <c r="I110" s="8">
        <v>73996</v>
      </c>
      <c r="J110" s="8">
        <v>74441</v>
      </c>
      <c r="K110" s="8">
        <v>74181</v>
      </c>
      <c r="L110" s="8">
        <v>76189</v>
      </c>
      <c r="M110" s="8">
        <v>77386</v>
      </c>
      <c r="N110" s="8">
        <v>75364</v>
      </c>
      <c r="O110" s="8">
        <v>75407</v>
      </c>
      <c r="P110" s="8">
        <v>75647</v>
      </c>
      <c r="Q110" s="8">
        <v>73087</v>
      </c>
      <c r="R110" s="8">
        <v>72942</v>
      </c>
      <c r="S110" s="8">
        <v>72289</v>
      </c>
      <c r="T110" s="8">
        <v>68835</v>
      </c>
      <c r="U110" s="8">
        <v>68351</v>
      </c>
      <c r="V110" s="8">
        <v>69650</v>
      </c>
      <c r="W110" s="8">
        <v>69140</v>
      </c>
      <c r="X110" s="8">
        <v>68435</v>
      </c>
      <c r="Y110" s="8">
        <v>68448</v>
      </c>
      <c r="Z110" s="8">
        <v>70594</v>
      </c>
      <c r="AA110" s="8">
        <v>69978</v>
      </c>
      <c r="AB110" s="8">
        <v>69384</v>
      </c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</row>
    <row r="111" spans="1:47" ht="14.4">
      <c r="A111" s="3">
        <f>LOOKUP(D111,'AMFI DATA_2023H2'!F:L,'AMFI DATA_2023H2'!L:L)</f>
        <v>107</v>
      </c>
      <c r="B111" s="4" t="s">
        <v>333</v>
      </c>
      <c r="C111" s="4" t="s">
        <v>334</v>
      </c>
      <c r="D111" s="5" t="s">
        <v>335</v>
      </c>
      <c r="E111" s="5">
        <v>39831.269999999997</v>
      </c>
      <c r="F111" s="6">
        <f>LOOKUP(D111,'AMFI DATA_2023H2'!F:J,'AMFI DATA_2023H2'!J:J)</f>
        <v>59484.290349999996</v>
      </c>
      <c r="G111" s="7">
        <f t="shared" si="0"/>
        <v>-1</v>
      </c>
      <c r="H111" s="8"/>
      <c r="I111" s="8">
        <v>60577</v>
      </c>
      <c r="J111" s="8">
        <v>61057</v>
      </c>
      <c r="K111" s="8">
        <v>60231</v>
      </c>
      <c r="L111" s="8">
        <v>62393</v>
      </c>
      <c r="M111" s="8">
        <v>61340</v>
      </c>
      <c r="N111" s="8">
        <v>61587</v>
      </c>
      <c r="O111" s="8">
        <v>61213</v>
      </c>
      <c r="P111" s="8">
        <v>59291</v>
      </c>
      <c r="Q111" s="8">
        <v>59538</v>
      </c>
      <c r="R111" s="8">
        <v>60428</v>
      </c>
      <c r="S111" s="8">
        <v>61241</v>
      </c>
      <c r="T111" s="8">
        <v>61517</v>
      </c>
      <c r="U111" s="8">
        <v>60845</v>
      </c>
      <c r="V111" s="8">
        <v>60874</v>
      </c>
      <c r="W111" s="8">
        <v>62061</v>
      </c>
      <c r="X111" s="8">
        <v>62817</v>
      </c>
      <c r="Y111" s="8">
        <v>62718</v>
      </c>
      <c r="Z111" s="8">
        <v>62803</v>
      </c>
      <c r="AA111" s="8">
        <v>62548</v>
      </c>
      <c r="AB111" s="8">
        <v>62506</v>
      </c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</row>
    <row r="112" spans="1:47" ht="14.4">
      <c r="A112" s="3">
        <f>LOOKUP(D112,'AMFI DATA_2023H2'!F:L,'AMFI DATA_2023H2'!L:L)</f>
        <v>108</v>
      </c>
      <c r="B112" s="4" t="s">
        <v>336</v>
      </c>
      <c r="C112" s="4" t="s">
        <v>337</v>
      </c>
      <c r="D112" s="5" t="s">
        <v>338</v>
      </c>
      <c r="E112" s="5">
        <v>54021.440000000002</v>
      </c>
      <c r="F112" s="6">
        <f>LOOKUP(D112,'AMFI DATA_2023H2'!F:J,'AMFI DATA_2023H2'!J:J)</f>
        <v>58208.627999999997</v>
      </c>
      <c r="G112" s="7">
        <f t="shared" si="0"/>
        <v>-1</v>
      </c>
      <c r="H112" s="8"/>
      <c r="I112" s="8">
        <v>68379</v>
      </c>
      <c r="J112" s="8">
        <v>67287</v>
      </c>
      <c r="K112" s="8">
        <v>67598</v>
      </c>
      <c r="L112" s="8">
        <v>68187</v>
      </c>
      <c r="M112" s="8">
        <v>69016</v>
      </c>
      <c r="N112" s="8">
        <v>68513</v>
      </c>
      <c r="O112" s="8">
        <v>68075</v>
      </c>
      <c r="P112" s="8">
        <v>66700</v>
      </c>
      <c r="Q112" s="8">
        <v>67112</v>
      </c>
      <c r="R112" s="8">
        <v>66262</v>
      </c>
      <c r="S112" s="8">
        <v>66932</v>
      </c>
      <c r="T112" s="8">
        <v>66328</v>
      </c>
      <c r="U112" s="8">
        <v>65739</v>
      </c>
      <c r="V112" s="8">
        <v>65872</v>
      </c>
      <c r="W112" s="8">
        <v>66164</v>
      </c>
      <c r="X112" s="8">
        <v>65487</v>
      </c>
      <c r="Y112" s="8">
        <v>65189</v>
      </c>
      <c r="Z112" s="8">
        <v>64688</v>
      </c>
      <c r="AA112" s="8">
        <v>64644</v>
      </c>
      <c r="AB112" s="8">
        <v>63806</v>
      </c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ht="14.4">
      <c r="A113" s="3">
        <f>LOOKUP(D113,'AMFI DATA_2023H2'!F:L,'AMFI DATA_2023H2'!L:L)</f>
        <v>109</v>
      </c>
      <c r="B113" s="4" t="s">
        <v>339</v>
      </c>
      <c r="C113" s="4" t="s">
        <v>340</v>
      </c>
      <c r="D113" s="5" t="s">
        <v>341</v>
      </c>
      <c r="E113" s="5">
        <v>46649.13</v>
      </c>
      <c r="F113" s="6">
        <f>LOOKUP(D113,'AMFI DATA_2023H2'!F:J,'AMFI DATA_2023H2'!J:J)</f>
        <v>58145.257550000002</v>
      </c>
      <c r="G113" s="7">
        <f t="shared" si="0"/>
        <v>-1</v>
      </c>
      <c r="H113" s="8"/>
      <c r="I113" s="8">
        <v>70730</v>
      </c>
      <c r="J113" s="8">
        <v>68504</v>
      </c>
      <c r="K113" s="8">
        <v>70943</v>
      </c>
      <c r="L113" s="8">
        <v>69816</v>
      </c>
      <c r="M113" s="8">
        <v>70730</v>
      </c>
      <c r="N113" s="8">
        <v>71658</v>
      </c>
      <c r="O113" s="8">
        <v>72080</v>
      </c>
      <c r="P113" s="8">
        <v>71138</v>
      </c>
      <c r="Q113" s="8">
        <v>69767</v>
      </c>
      <c r="R113" s="8">
        <v>68805</v>
      </c>
      <c r="S113" s="8">
        <v>69418</v>
      </c>
      <c r="T113" s="8">
        <v>71696</v>
      </c>
      <c r="U113" s="8">
        <v>67129</v>
      </c>
      <c r="V113" s="8">
        <v>65900</v>
      </c>
      <c r="W113" s="8">
        <v>66886</v>
      </c>
      <c r="X113" s="8">
        <v>66823</v>
      </c>
      <c r="Y113" s="8">
        <v>65987</v>
      </c>
      <c r="Z113" s="8">
        <v>66055</v>
      </c>
      <c r="AA113" s="8">
        <v>65589</v>
      </c>
      <c r="AB113" s="8">
        <v>63062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ht="14.4">
      <c r="A114" s="3">
        <f>LOOKUP(D114,'AMFI DATA_2023H2'!F:L,'AMFI DATA_2023H2'!L:L)</f>
        <v>110</v>
      </c>
      <c r="B114" s="4" t="s">
        <v>342</v>
      </c>
      <c r="C114" s="4" t="s">
        <v>343</v>
      </c>
      <c r="D114" s="5" t="s">
        <v>344</v>
      </c>
      <c r="E114" s="5">
        <v>49101.91</v>
      </c>
      <c r="F114" s="6">
        <f>LOOKUP(D114,'AMFI DATA_2023H2'!F:J,'AMFI DATA_2023H2'!J:J)</f>
        <v>58124.204100000003</v>
      </c>
      <c r="G114" s="7">
        <f t="shared" si="0"/>
        <v>-1</v>
      </c>
      <c r="H114" s="8"/>
      <c r="I114" s="8">
        <v>65946</v>
      </c>
      <c r="J114" s="8">
        <v>66100</v>
      </c>
      <c r="K114" s="8">
        <v>66762</v>
      </c>
      <c r="L114" s="8">
        <v>67422</v>
      </c>
      <c r="M114" s="8">
        <v>69026</v>
      </c>
      <c r="N114" s="8">
        <v>68681</v>
      </c>
      <c r="O114" s="8">
        <v>66950</v>
      </c>
      <c r="P114" s="8">
        <v>67841</v>
      </c>
      <c r="Q114" s="8">
        <v>67159</v>
      </c>
      <c r="R114" s="8">
        <v>66477</v>
      </c>
      <c r="S114" s="8">
        <v>67942</v>
      </c>
      <c r="T114" s="8">
        <v>65798</v>
      </c>
      <c r="U114" s="8">
        <v>65831</v>
      </c>
      <c r="V114" s="8">
        <v>66263</v>
      </c>
      <c r="W114" s="8">
        <v>66567</v>
      </c>
      <c r="X114" s="8">
        <v>66326</v>
      </c>
      <c r="Y114" s="8">
        <v>66516</v>
      </c>
      <c r="Z114" s="8">
        <v>66632</v>
      </c>
      <c r="AA114" s="8">
        <v>65762</v>
      </c>
      <c r="AB114" s="8">
        <v>64776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ht="14.4">
      <c r="A115" s="3">
        <f>LOOKUP(D115,'AMFI DATA_2023H2'!F:L,'AMFI DATA_2023H2'!L:L)</f>
        <v>111</v>
      </c>
      <c r="B115" s="4" t="s">
        <v>345</v>
      </c>
      <c r="C115" s="4" t="s">
        <v>346</v>
      </c>
      <c r="D115" s="5" t="s">
        <v>347</v>
      </c>
      <c r="E115" s="5">
        <v>48137.83</v>
      </c>
      <c r="F115" s="6">
        <f>LOOKUP(D115,'AMFI DATA_2023H2'!F:J,'AMFI DATA_2023H2'!J:J)</f>
        <v>57990.794349999996</v>
      </c>
      <c r="G115" s="7">
        <f t="shared" si="0"/>
        <v>-1</v>
      </c>
      <c r="H115" s="8"/>
      <c r="I115" s="8">
        <v>68616</v>
      </c>
      <c r="J115" s="8">
        <v>65850</v>
      </c>
      <c r="K115" s="8">
        <v>65580</v>
      </c>
      <c r="L115" s="8">
        <v>66546</v>
      </c>
      <c r="M115" s="8">
        <v>67746</v>
      </c>
      <c r="N115" s="8">
        <v>65559</v>
      </c>
      <c r="O115" s="8">
        <v>65239</v>
      </c>
      <c r="P115" s="8">
        <v>65111</v>
      </c>
      <c r="Q115" s="8">
        <v>65147</v>
      </c>
      <c r="R115" s="8">
        <v>64323</v>
      </c>
      <c r="S115" s="8">
        <v>64792</v>
      </c>
      <c r="T115" s="8">
        <v>65736</v>
      </c>
      <c r="U115" s="8">
        <v>64152</v>
      </c>
      <c r="V115" s="8">
        <v>62050</v>
      </c>
      <c r="W115" s="8">
        <v>61958</v>
      </c>
      <c r="X115" s="8">
        <v>62242</v>
      </c>
      <c r="Y115" s="8">
        <v>61681</v>
      </c>
      <c r="Z115" s="8">
        <v>62050</v>
      </c>
      <c r="AA115" s="8">
        <v>61972</v>
      </c>
      <c r="AB115" s="8">
        <v>62384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ht="14.4">
      <c r="A116" s="3">
        <f>LOOKUP(D116,'AMFI DATA_2023H2'!F:L,'AMFI DATA_2023H2'!L:L)</f>
        <v>112</v>
      </c>
      <c r="B116" s="4" t="s">
        <v>348</v>
      </c>
      <c r="C116" s="4" t="s">
        <v>349</v>
      </c>
      <c r="D116" s="5" t="s">
        <v>350</v>
      </c>
      <c r="E116" s="5">
        <v>40131.96</v>
      </c>
      <c r="F116" s="6">
        <f>LOOKUP(D116,'AMFI DATA_2023H2'!F:J,'AMFI DATA_2023H2'!J:J)</f>
        <v>57384.742050000001</v>
      </c>
      <c r="G116" s="7">
        <f t="shared" si="0"/>
        <v>-1</v>
      </c>
      <c r="H116" s="8"/>
      <c r="I116" s="8">
        <v>74307</v>
      </c>
      <c r="J116" s="8">
        <v>72639</v>
      </c>
      <c r="K116" s="8">
        <v>71090</v>
      </c>
      <c r="L116" s="8">
        <v>73236</v>
      </c>
      <c r="M116" s="8">
        <v>74720</v>
      </c>
      <c r="N116" s="8">
        <v>73758</v>
      </c>
      <c r="O116" s="8">
        <v>74762</v>
      </c>
      <c r="P116" s="8">
        <v>72962</v>
      </c>
      <c r="Q116" s="8">
        <v>72777</v>
      </c>
      <c r="R116" s="8">
        <v>71538</v>
      </c>
      <c r="S116" s="8">
        <v>70484</v>
      </c>
      <c r="T116" s="8">
        <v>71012</v>
      </c>
      <c r="U116" s="8">
        <v>69200</v>
      </c>
      <c r="V116" s="8">
        <v>69546</v>
      </c>
      <c r="W116" s="8">
        <v>68817</v>
      </c>
      <c r="X116" s="8">
        <v>68452</v>
      </c>
      <c r="Y116" s="8">
        <v>68654</v>
      </c>
      <c r="Z116" s="8">
        <v>68442</v>
      </c>
      <c r="AA116" s="8">
        <v>68245</v>
      </c>
      <c r="AB116" s="8">
        <v>68774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</row>
    <row r="117" spans="1:47" ht="14.4">
      <c r="A117" s="3">
        <f>LOOKUP(D117,'AMFI DATA_2023H2'!F:L,'AMFI DATA_2023H2'!L:L)</f>
        <v>113</v>
      </c>
      <c r="B117" s="4" t="s">
        <v>351</v>
      </c>
      <c r="C117" s="4" t="s">
        <v>352</v>
      </c>
      <c r="D117" s="5" t="s">
        <v>353</v>
      </c>
      <c r="E117" s="5">
        <v>41955.5</v>
      </c>
      <c r="F117" s="6">
        <f>LOOKUP(D117,'AMFI DATA_2023H2'!F:J,'AMFI DATA_2023H2'!J:J)</f>
        <v>56061.301200000002</v>
      </c>
      <c r="G117" s="7">
        <f t="shared" si="0"/>
        <v>-1</v>
      </c>
      <c r="H117" s="8"/>
      <c r="I117" s="8">
        <v>67735</v>
      </c>
      <c r="J117" s="8">
        <v>67866</v>
      </c>
      <c r="K117" s="8">
        <v>67988</v>
      </c>
      <c r="L117" s="8">
        <v>68093</v>
      </c>
      <c r="M117" s="8">
        <v>67640</v>
      </c>
      <c r="N117" s="8">
        <v>66673</v>
      </c>
      <c r="O117" s="8">
        <v>66783</v>
      </c>
      <c r="P117" s="8">
        <v>65175</v>
      </c>
      <c r="Q117" s="8">
        <v>66499</v>
      </c>
      <c r="R117" s="8">
        <v>68015</v>
      </c>
      <c r="S117" s="8">
        <v>68391</v>
      </c>
      <c r="T117" s="8">
        <v>68063</v>
      </c>
      <c r="U117" s="8">
        <v>67817</v>
      </c>
      <c r="V117" s="8">
        <v>68067</v>
      </c>
      <c r="W117" s="8">
        <v>67618</v>
      </c>
      <c r="X117" s="8">
        <v>68804</v>
      </c>
      <c r="Y117" s="8">
        <v>68781</v>
      </c>
      <c r="Z117" s="8">
        <v>66866</v>
      </c>
      <c r="AA117" s="8">
        <v>66819</v>
      </c>
      <c r="AB117" s="8">
        <v>65457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ht="14.4">
      <c r="A118" s="3">
        <f>LOOKUP(D118,'AMFI DATA_2023H2'!F:L,'AMFI DATA_2023H2'!L:L)</f>
        <v>114</v>
      </c>
      <c r="B118" s="4" t="s">
        <v>354</v>
      </c>
      <c r="C118" s="4" t="s">
        <v>355</v>
      </c>
      <c r="D118" s="5" t="s">
        <v>356</v>
      </c>
      <c r="E118" s="5">
        <v>49907.360000000001</v>
      </c>
      <c r="F118" s="6">
        <f>LOOKUP(D118,'AMFI DATA_2023H2'!F:J,'AMFI DATA_2023H2'!J:J)</f>
        <v>55227.836949999997</v>
      </c>
      <c r="G118" s="7">
        <f t="shared" si="0"/>
        <v>-1</v>
      </c>
      <c r="H118" s="8"/>
      <c r="I118" s="8">
        <v>78700</v>
      </c>
      <c r="J118" s="8">
        <v>74180</v>
      </c>
      <c r="K118" s="8">
        <v>74764</v>
      </c>
      <c r="L118" s="8">
        <v>75984</v>
      </c>
      <c r="M118" s="8">
        <v>77384</v>
      </c>
      <c r="N118" s="8">
        <v>76096</v>
      </c>
      <c r="O118" s="8">
        <v>75216</v>
      </c>
      <c r="P118" s="8">
        <v>75336</v>
      </c>
      <c r="Q118" s="8">
        <v>73548</v>
      </c>
      <c r="R118" s="8">
        <v>73296</v>
      </c>
      <c r="S118" s="8">
        <v>72492</v>
      </c>
      <c r="T118" s="8">
        <v>72124</v>
      </c>
      <c r="U118" s="8">
        <v>71924</v>
      </c>
      <c r="V118" s="8">
        <v>70856</v>
      </c>
      <c r="W118" s="8">
        <v>71352</v>
      </c>
      <c r="X118" s="8">
        <v>70932</v>
      </c>
      <c r="Y118" s="8">
        <v>69100</v>
      </c>
      <c r="Z118" s="8">
        <v>69420</v>
      </c>
      <c r="AA118" s="8">
        <v>69580</v>
      </c>
      <c r="AB118" s="8">
        <v>68872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ht="14.4">
      <c r="A119" s="3">
        <f>LOOKUP(D119,'AMFI DATA_2023H2'!F:L,'AMFI DATA_2023H2'!L:L)</f>
        <v>115</v>
      </c>
      <c r="B119" s="4" t="s">
        <v>357</v>
      </c>
      <c r="C119" s="4" t="s">
        <v>358</v>
      </c>
      <c r="D119" s="5" t="s">
        <v>359</v>
      </c>
      <c r="E119" s="5">
        <v>49772.53</v>
      </c>
      <c r="F119" s="6">
        <f>LOOKUP(D119,'AMFI DATA_2023H2'!F:J,'AMFI DATA_2023H2'!J:J)</f>
        <v>54709.708449999998</v>
      </c>
      <c r="G119" s="7">
        <f t="shared" si="0"/>
        <v>-1</v>
      </c>
      <c r="H119" s="8"/>
      <c r="I119" s="8">
        <v>51554</v>
      </c>
      <c r="J119" s="8">
        <v>50921</v>
      </c>
      <c r="K119" s="8">
        <v>51676</v>
      </c>
      <c r="L119" s="8">
        <v>52815</v>
      </c>
      <c r="M119" s="8">
        <v>52570</v>
      </c>
      <c r="N119" s="8">
        <v>52327</v>
      </c>
      <c r="O119" s="8">
        <v>52848</v>
      </c>
      <c r="P119" s="8">
        <v>52443</v>
      </c>
      <c r="Q119" s="8">
        <v>52205</v>
      </c>
      <c r="R119" s="8">
        <v>51660</v>
      </c>
      <c r="S119" s="8">
        <v>52444</v>
      </c>
      <c r="T119" s="8">
        <v>52161</v>
      </c>
      <c r="U119" s="8">
        <v>52691</v>
      </c>
      <c r="V119" s="8">
        <v>52950</v>
      </c>
      <c r="W119" s="8">
        <v>52724</v>
      </c>
      <c r="X119" s="8">
        <v>53290</v>
      </c>
      <c r="Y119" s="8">
        <v>52904</v>
      </c>
      <c r="Z119" s="8">
        <v>52525</v>
      </c>
      <c r="AA119" s="8">
        <v>52307</v>
      </c>
      <c r="AB119" s="8">
        <v>52008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ht="14.4">
      <c r="A120" s="3">
        <f>LOOKUP(D120,'AMFI DATA_2023H2'!F:L,'AMFI DATA_2023H2'!L:L)</f>
        <v>116</v>
      </c>
      <c r="B120" s="4" t="s">
        <v>360</v>
      </c>
      <c r="C120" s="4" t="s">
        <v>361</v>
      </c>
      <c r="D120" s="5" t="s">
        <v>362</v>
      </c>
      <c r="E120" s="5">
        <v>44906.92</v>
      </c>
      <c r="F120" s="6">
        <f>LOOKUP(D120,'AMFI DATA_2023H2'!F:J,'AMFI DATA_2023H2'!J:J)</f>
        <v>54344.356650000002</v>
      </c>
      <c r="G120" s="7">
        <f t="shared" si="0"/>
        <v>-1</v>
      </c>
      <c r="H120" s="8"/>
      <c r="I120" s="8">
        <v>55832</v>
      </c>
      <c r="J120" s="8">
        <v>56191</v>
      </c>
      <c r="K120" s="8">
        <v>55564</v>
      </c>
      <c r="L120" s="8">
        <v>55638</v>
      </c>
      <c r="M120" s="8">
        <v>56050</v>
      </c>
      <c r="N120" s="8">
        <v>55183</v>
      </c>
      <c r="O120" s="8">
        <v>55832</v>
      </c>
      <c r="P120" s="8">
        <v>55574</v>
      </c>
      <c r="Q120" s="8">
        <v>55670</v>
      </c>
      <c r="R120" s="8">
        <v>55843</v>
      </c>
      <c r="S120" s="8">
        <v>55945</v>
      </c>
      <c r="T120" s="8">
        <v>55490</v>
      </c>
      <c r="U120" s="8">
        <v>55618</v>
      </c>
      <c r="V120" s="8">
        <v>56251</v>
      </c>
      <c r="W120" s="8">
        <v>56546</v>
      </c>
      <c r="X120" s="8">
        <v>56298</v>
      </c>
      <c r="Y120" s="8">
        <v>55670</v>
      </c>
      <c r="Z120" s="8">
        <v>56677</v>
      </c>
      <c r="AA120" s="8">
        <v>55676</v>
      </c>
      <c r="AB120" s="8">
        <v>55187</v>
      </c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ht="14.4">
      <c r="A121" s="3">
        <f>LOOKUP(D121,'AMFI DATA_2023H2'!F:L,'AMFI DATA_2023H2'!L:L)</f>
        <v>117</v>
      </c>
      <c r="B121" s="4" t="s">
        <v>363</v>
      </c>
      <c r="C121" s="4" t="s">
        <v>364</v>
      </c>
      <c r="D121" s="5" t="s">
        <v>365</v>
      </c>
      <c r="E121" s="5">
        <v>42350.98</v>
      </c>
      <c r="F121" s="6">
        <f>LOOKUP(D121,'AMFI DATA_2023H2'!F:J,'AMFI DATA_2023H2'!J:J)</f>
        <v>53617.984949999998</v>
      </c>
      <c r="G121" s="7">
        <f t="shared" si="0"/>
        <v>-1</v>
      </c>
      <c r="H121" s="8"/>
      <c r="I121" s="8">
        <v>73801</v>
      </c>
      <c r="J121" s="8">
        <v>71420</v>
      </c>
      <c r="K121" s="8">
        <v>73389</v>
      </c>
      <c r="L121" s="8">
        <v>72736</v>
      </c>
      <c r="M121" s="8">
        <v>72776</v>
      </c>
      <c r="N121" s="8">
        <v>69461</v>
      </c>
      <c r="O121" s="8">
        <v>69421</v>
      </c>
      <c r="P121" s="8">
        <v>69441</v>
      </c>
      <c r="Q121" s="8">
        <v>70817</v>
      </c>
      <c r="R121" s="8">
        <v>70878</v>
      </c>
      <c r="S121" s="8">
        <v>72274</v>
      </c>
      <c r="T121" s="8">
        <v>69361</v>
      </c>
      <c r="U121" s="8">
        <v>67804</v>
      </c>
      <c r="V121" s="8">
        <v>68346</v>
      </c>
      <c r="W121" s="8">
        <v>66448</v>
      </c>
      <c r="X121" s="8">
        <v>64911</v>
      </c>
      <c r="Y121" s="8">
        <v>65283</v>
      </c>
      <c r="Z121" s="8">
        <v>64459</v>
      </c>
      <c r="AA121" s="8">
        <v>64831</v>
      </c>
      <c r="AB121" s="8">
        <v>64991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</row>
    <row r="122" spans="1:47" ht="14.4">
      <c r="A122" s="3">
        <f>LOOKUP(D122,'AMFI DATA_2023H2'!F:L,'AMFI DATA_2023H2'!L:L)</f>
        <v>118</v>
      </c>
      <c r="B122" s="4" t="s">
        <v>366</v>
      </c>
      <c r="C122" s="4" t="s">
        <v>367</v>
      </c>
      <c r="D122" s="5" t="s">
        <v>368</v>
      </c>
      <c r="E122" s="5">
        <v>42054.27</v>
      </c>
      <c r="F122" s="6">
        <f>LOOKUP(D122,'AMFI DATA_2023H2'!F:J,'AMFI DATA_2023H2'!J:J)</f>
        <v>53326.916949999999</v>
      </c>
      <c r="G122" s="7">
        <f t="shared" si="0"/>
        <v>-1</v>
      </c>
      <c r="H122" s="8"/>
      <c r="I122" s="8">
        <v>49149</v>
      </c>
      <c r="J122" s="8">
        <v>47904</v>
      </c>
      <c r="K122" s="8">
        <v>46713</v>
      </c>
      <c r="L122" s="8">
        <v>47443</v>
      </c>
      <c r="M122" s="8">
        <v>45339</v>
      </c>
      <c r="N122" s="8">
        <v>43958</v>
      </c>
      <c r="O122" s="8">
        <v>43450</v>
      </c>
      <c r="P122" s="8">
        <v>43473</v>
      </c>
      <c r="Q122" s="8">
        <v>43482</v>
      </c>
      <c r="R122" s="8">
        <v>43834</v>
      </c>
      <c r="S122" s="8">
        <v>43495</v>
      </c>
      <c r="T122" s="8">
        <v>42451</v>
      </c>
      <c r="U122" s="8">
        <v>42689</v>
      </c>
      <c r="V122" s="8">
        <v>41343</v>
      </c>
      <c r="W122" s="8">
        <v>41016</v>
      </c>
      <c r="X122" s="8">
        <v>40330</v>
      </c>
      <c r="Y122" s="8">
        <v>40245</v>
      </c>
      <c r="Z122" s="8">
        <v>40280</v>
      </c>
      <c r="AA122" s="8">
        <v>40127</v>
      </c>
      <c r="AB122" s="8">
        <v>40768</v>
      </c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ht="14.4">
      <c r="A123" s="3">
        <f>LOOKUP(D123,'AMFI DATA_2023H2'!F:L,'AMFI DATA_2023H2'!L:L)</f>
        <v>119</v>
      </c>
      <c r="B123" s="4" t="s">
        <v>369</v>
      </c>
      <c r="C123" s="4" t="s">
        <v>370</v>
      </c>
      <c r="D123" s="5" t="s">
        <v>371</v>
      </c>
      <c r="E123" s="5">
        <v>30988.15</v>
      </c>
      <c r="F123" s="6">
        <f>LOOKUP(D123,'AMFI DATA_2023H2'!F:J,'AMFI DATA_2023H2'!J:J)</f>
        <v>52987.058449999997</v>
      </c>
      <c r="G123" s="7">
        <f t="shared" si="0"/>
        <v>-1</v>
      </c>
      <c r="H123" s="8"/>
      <c r="I123" s="8">
        <v>73409</v>
      </c>
      <c r="J123" s="8">
        <v>73506</v>
      </c>
      <c r="K123" s="8">
        <v>73458</v>
      </c>
      <c r="L123" s="8">
        <v>76622</v>
      </c>
      <c r="M123" s="8">
        <v>80175</v>
      </c>
      <c r="N123" s="8">
        <v>77157</v>
      </c>
      <c r="O123" s="8">
        <v>78180</v>
      </c>
      <c r="P123" s="8">
        <v>78618</v>
      </c>
      <c r="Q123" s="8">
        <v>78861</v>
      </c>
      <c r="R123" s="8">
        <v>83486</v>
      </c>
      <c r="S123" s="8">
        <v>83242</v>
      </c>
      <c r="T123" s="8">
        <v>81782</v>
      </c>
      <c r="U123" s="8">
        <v>77352</v>
      </c>
      <c r="V123" s="8">
        <v>78131</v>
      </c>
      <c r="W123" s="8">
        <v>82755</v>
      </c>
      <c r="X123" s="8">
        <v>77985</v>
      </c>
      <c r="Y123" s="8">
        <v>64452</v>
      </c>
      <c r="Z123" s="8">
        <v>65474</v>
      </c>
      <c r="AA123" s="8">
        <v>64940</v>
      </c>
      <c r="AB123" s="8">
        <v>66204</v>
      </c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ht="14.4">
      <c r="A124" s="3">
        <f>LOOKUP(D124,'AMFI DATA_2023H2'!F:L,'AMFI DATA_2023H2'!L:L)</f>
        <v>120</v>
      </c>
      <c r="B124" s="4" t="s">
        <v>372</v>
      </c>
      <c r="C124" s="4" t="s">
        <v>373</v>
      </c>
      <c r="D124" s="5" t="s">
        <v>374</v>
      </c>
      <c r="E124" s="5">
        <v>42091.62</v>
      </c>
      <c r="F124" s="6">
        <f>LOOKUP(D124,'AMFI DATA_2023H2'!F:J,'AMFI DATA_2023H2'!J:J)</f>
        <v>52908.412349999999</v>
      </c>
      <c r="G124" s="7">
        <f t="shared" si="0"/>
        <v>-1</v>
      </c>
      <c r="H124" s="8"/>
      <c r="I124" s="8">
        <v>57276</v>
      </c>
      <c r="J124" s="8">
        <v>55413</v>
      </c>
      <c r="K124" s="8">
        <v>56879</v>
      </c>
      <c r="L124" s="8">
        <v>57706</v>
      </c>
      <c r="M124" s="8">
        <v>58272</v>
      </c>
      <c r="N124" s="8">
        <v>59183</v>
      </c>
      <c r="O124" s="8">
        <v>59617</v>
      </c>
      <c r="P124" s="8">
        <v>58870</v>
      </c>
      <c r="Q124" s="8">
        <v>59139</v>
      </c>
      <c r="R124" s="8">
        <v>59456</v>
      </c>
      <c r="S124" s="8">
        <v>60183</v>
      </c>
      <c r="T124" s="8">
        <v>60933</v>
      </c>
      <c r="U124" s="8">
        <v>59203</v>
      </c>
      <c r="V124" s="8">
        <v>58308</v>
      </c>
      <c r="W124" s="8">
        <v>58930</v>
      </c>
      <c r="X124" s="8">
        <v>59468</v>
      </c>
      <c r="Y124" s="8">
        <v>60179</v>
      </c>
      <c r="Z124" s="8">
        <v>59165</v>
      </c>
      <c r="AA124" s="8">
        <v>58265</v>
      </c>
      <c r="AB124" s="8">
        <v>59219</v>
      </c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ht="14.4">
      <c r="A125" s="3">
        <f>LOOKUP(D125,'AMFI DATA_2023H2'!F:L,'AMFI DATA_2023H2'!L:L)</f>
        <v>121</v>
      </c>
      <c r="B125" s="4" t="s">
        <v>375</v>
      </c>
      <c r="C125" s="4" t="s">
        <v>376</v>
      </c>
      <c r="D125" s="5" t="s">
        <v>377</v>
      </c>
      <c r="E125" s="5">
        <v>34108.06</v>
      </c>
      <c r="F125" s="6">
        <f>LOOKUP(D125,'AMFI DATA_2023H2'!F:J,'AMFI DATA_2023H2'!J:J)</f>
        <v>52528.382749999997</v>
      </c>
      <c r="G125" s="7">
        <f t="shared" si="0"/>
        <v>-1</v>
      </c>
      <c r="H125" s="8"/>
      <c r="I125" s="8">
        <v>52157</v>
      </c>
      <c r="J125" s="8">
        <v>49852</v>
      </c>
      <c r="K125" s="8">
        <v>51575</v>
      </c>
      <c r="L125" s="8">
        <v>52860</v>
      </c>
      <c r="M125" s="8">
        <v>52834</v>
      </c>
      <c r="N125" s="8">
        <v>53564</v>
      </c>
      <c r="O125" s="8">
        <v>53705</v>
      </c>
      <c r="P125" s="8">
        <v>54699</v>
      </c>
      <c r="Q125" s="8">
        <v>54448</v>
      </c>
      <c r="R125" s="8">
        <v>55394</v>
      </c>
      <c r="S125" s="8">
        <v>55758</v>
      </c>
      <c r="T125" s="8">
        <v>55872</v>
      </c>
      <c r="U125" s="8">
        <v>56147</v>
      </c>
      <c r="V125" s="8">
        <v>56828</v>
      </c>
      <c r="W125" s="8">
        <v>56763</v>
      </c>
      <c r="X125" s="8">
        <v>57274</v>
      </c>
      <c r="Y125" s="8">
        <v>57200</v>
      </c>
      <c r="Z125" s="8">
        <v>58851</v>
      </c>
      <c r="AA125" s="8">
        <v>58318</v>
      </c>
      <c r="AB125" s="8">
        <v>57674</v>
      </c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ht="14.4">
      <c r="A126" s="3">
        <f>LOOKUP(D126,'AMFI DATA_2023H2'!F:L,'AMFI DATA_2023H2'!L:L)</f>
        <v>122</v>
      </c>
      <c r="B126" s="4" t="s">
        <v>378</v>
      </c>
      <c r="C126" s="4" t="s">
        <v>379</v>
      </c>
      <c r="D126" s="5" t="s">
        <v>380</v>
      </c>
      <c r="E126" s="5">
        <v>31609.88</v>
      </c>
      <c r="F126" s="6">
        <f>LOOKUP(D126,'AMFI DATA_2023H2'!F:J,'AMFI DATA_2023H2'!J:J)</f>
        <v>52449.809249999998</v>
      </c>
      <c r="G126" s="7">
        <f t="shared" si="0"/>
        <v>-1</v>
      </c>
      <c r="H126" s="8"/>
      <c r="I126" s="8">
        <v>67307</v>
      </c>
      <c r="J126" s="8">
        <v>65906</v>
      </c>
      <c r="K126" s="8">
        <v>63867</v>
      </c>
      <c r="L126" s="8">
        <v>65555</v>
      </c>
      <c r="M126" s="8">
        <v>67383</v>
      </c>
      <c r="N126" s="8">
        <v>64152</v>
      </c>
      <c r="O126" s="8">
        <v>64860</v>
      </c>
      <c r="P126" s="8">
        <v>65801</v>
      </c>
      <c r="Q126" s="8">
        <v>65602</v>
      </c>
      <c r="R126" s="8">
        <v>65274</v>
      </c>
      <c r="S126" s="8">
        <v>65857</v>
      </c>
      <c r="T126" s="8">
        <v>65534</v>
      </c>
      <c r="U126" s="8">
        <v>63943</v>
      </c>
      <c r="V126" s="8">
        <v>64061</v>
      </c>
      <c r="W126" s="8">
        <v>63126</v>
      </c>
      <c r="X126" s="8">
        <v>63507</v>
      </c>
      <c r="Y126" s="8">
        <v>63832</v>
      </c>
      <c r="Z126" s="8">
        <v>62666</v>
      </c>
      <c r="AA126" s="8">
        <v>62338</v>
      </c>
      <c r="AB126" s="8">
        <v>62484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</row>
    <row r="127" spans="1:47" ht="14.4">
      <c r="A127" s="3">
        <f>LOOKUP(D127,'AMFI DATA_2023H2'!F:L,'AMFI DATA_2023H2'!L:L)</f>
        <v>123</v>
      </c>
      <c r="B127" s="4" t="s">
        <v>381</v>
      </c>
      <c r="C127" s="4" t="s">
        <v>382</v>
      </c>
      <c r="D127" s="5" t="s">
        <v>383</v>
      </c>
      <c r="E127" s="5">
        <v>43197.71</v>
      </c>
      <c r="F127" s="6">
        <f>LOOKUP(D127,'AMFI DATA_2023H2'!F:J,'AMFI DATA_2023H2'!J:J)</f>
        <v>51977.97565</v>
      </c>
      <c r="G127" s="7">
        <f t="shared" si="0"/>
        <v>-1</v>
      </c>
      <c r="H127" s="8"/>
      <c r="I127" s="8">
        <v>50634</v>
      </c>
      <c r="J127" s="8">
        <v>50956</v>
      </c>
      <c r="K127" s="8">
        <v>50311</v>
      </c>
      <c r="L127" s="8">
        <v>51500</v>
      </c>
      <c r="M127" s="8">
        <v>51749</v>
      </c>
      <c r="N127" s="8">
        <v>51867</v>
      </c>
      <c r="O127" s="8">
        <v>51837</v>
      </c>
      <c r="P127" s="8">
        <v>51485</v>
      </c>
      <c r="Q127" s="8">
        <v>52087</v>
      </c>
      <c r="R127" s="8">
        <v>52307</v>
      </c>
      <c r="S127" s="8">
        <v>52689</v>
      </c>
      <c r="T127" s="8">
        <v>52821</v>
      </c>
      <c r="U127" s="8">
        <v>52762</v>
      </c>
      <c r="V127" s="8">
        <v>52982</v>
      </c>
      <c r="W127" s="8">
        <v>54641</v>
      </c>
      <c r="X127" s="8">
        <v>53247</v>
      </c>
      <c r="Y127" s="8">
        <v>51441</v>
      </c>
      <c r="Z127" s="8">
        <v>51118</v>
      </c>
      <c r="AA127" s="8">
        <v>51074</v>
      </c>
      <c r="AB127" s="8">
        <v>50501</v>
      </c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</row>
    <row r="128" spans="1:47" ht="14.4">
      <c r="A128" s="3">
        <f>LOOKUP(D128,'AMFI DATA_2023H2'!F:L,'AMFI DATA_2023H2'!L:L)</f>
        <v>124</v>
      </c>
      <c r="B128" s="4" t="s">
        <v>384</v>
      </c>
      <c r="C128" s="4" t="s">
        <v>385</v>
      </c>
      <c r="D128" s="5" t="s">
        <v>386</v>
      </c>
      <c r="E128" s="5">
        <v>48018.99</v>
      </c>
      <c r="F128" s="6">
        <f>LOOKUP(D128,'AMFI DATA_2023H2'!F:J,'AMFI DATA_2023H2'!J:J)</f>
        <v>51888.841350000002</v>
      </c>
      <c r="G128" s="7">
        <f t="shared" si="0"/>
        <v>-1</v>
      </c>
      <c r="H128" s="8"/>
      <c r="I128" s="8">
        <v>72393</v>
      </c>
      <c r="J128" s="8">
        <v>71760</v>
      </c>
      <c r="K128" s="8">
        <v>71214</v>
      </c>
      <c r="L128" s="8">
        <v>73831</v>
      </c>
      <c r="M128" s="8">
        <v>71185</v>
      </c>
      <c r="N128" s="8">
        <v>71616</v>
      </c>
      <c r="O128" s="8">
        <v>73457</v>
      </c>
      <c r="P128" s="8">
        <v>73342</v>
      </c>
      <c r="Q128" s="8">
        <v>69603</v>
      </c>
      <c r="R128" s="8">
        <v>69718</v>
      </c>
      <c r="S128" s="8">
        <v>69028</v>
      </c>
      <c r="T128" s="8">
        <v>66871</v>
      </c>
      <c r="U128" s="8">
        <v>65835</v>
      </c>
      <c r="V128" s="8">
        <v>66727</v>
      </c>
      <c r="W128" s="8">
        <v>65145</v>
      </c>
      <c r="X128" s="8">
        <v>61722</v>
      </c>
      <c r="Y128" s="8">
        <v>60054</v>
      </c>
      <c r="Z128" s="8">
        <v>60256</v>
      </c>
      <c r="AA128" s="8">
        <v>60227</v>
      </c>
      <c r="AB128" s="8">
        <v>60543</v>
      </c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</row>
    <row r="129" spans="1:47" ht="14.4">
      <c r="A129" s="3">
        <f>LOOKUP(D129,'AMFI DATA_2023H2'!F:L,'AMFI DATA_2023H2'!L:L)</f>
        <v>125</v>
      </c>
      <c r="B129" s="4" t="s">
        <v>387</v>
      </c>
      <c r="C129" s="4" t="s">
        <v>388</v>
      </c>
      <c r="D129" s="5" t="s">
        <v>389</v>
      </c>
      <c r="E129" s="5">
        <v>42036.83</v>
      </c>
      <c r="F129" s="6">
        <f>LOOKUP(D129,'AMFI DATA_2023H2'!F:J,'AMFI DATA_2023H2'!J:J)</f>
        <v>51380.524799999999</v>
      </c>
      <c r="G129" s="7">
        <f t="shared" si="0"/>
        <v>-1</v>
      </c>
      <c r="H129" s="8"/>
      <c r="I129" s="8">
        <v>49650</v>
      </c>
      <c r="J129" s="8">
        <v>48122</v>
      </c>
      <c r="K129" s="8">
        <v>47697</v>
      </c>
      <c r="L129" s="8">
        <v>48155</v>
      </c>
      <c r="M129" s="8">
        <v>48427</v>
      </c>
      <c r="N129" s="8">
        <v>48671</v>
      </c>
      <c r="O129" s="8">
        <v>48706</v>
      </c>
      <c r="P129" s="8">
        <v>48647</v>
      </c>
      <c r="Q129" s="8">
        <v>48928</v>
      </c>
      <c r="R129" s="8">
        <v>48675</v>
      </c>
      <c r="S129" s="8">
        <v>49458</v>
      </c>
      <c r="T129" s="8">
        <v>49785</v>
      </c>
      <c r="U129" s="8">
        <v>49992</v>
      </c>
      <c r="V129" s="8">
        <v>51031</v>
      </c>
      <c r="W129" s="8">
        <v>51172</v>
      </c>
      <c r="X129" s="8">
        <v>51229</v>
      </c>
      <c r="Y129" s="8">
        <v>50878</v>
      </c>
      <c r="Z129" s="8">
        <v>51415</v>
      </c>
      <c r="AA129" s="8">
        <v>51645</v>
      </c>
      <c r="AB129" s="8">
        <v>51950</v>
      </c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</row>
    <row r="130" spans="1:47" ht="14.4">
      <c r="A130" s="3">
        <f>LOOKUP(D130,'AMFI DATA_2023H2'!F:L,'AMFI DATA_2023H2'!L:L)</f>
        <v>126</v>
      </c>
      <c r="B130" s="4" t="s">
        <v>390</v>
      </c>
      <c r="C130" s="4" t="s">
        <v>391</v>
      </c>
      <c r="D130" s="5" t="s">
        <v>392</v>
      </c>
      <c r="E130" s="5">
        <v>33373.42</v>
      </c>
      <c r="F130" s="6">
        <f>LOOKUP(D130,'AMFI DATA_2023H2'!F:J,'AMFI DATA_2023H2'!J:J)</f>
        <v>51259.703649999996</v>
      </c>
      <c r="G130" s="7">
        <f t="shared" si="0"/>
        <v>-1</v>
      </c>
      <c r="H130" s="8"/>
      <c r="I130" s="8">
        <v>65050</v>
      </c>
      <c r="J130" s="8">
        <v>64914</v>
      </c>
      <c r="K130" s="8">
        <v>63864</v>
      </c>
      <c r="L130" s="8">
        <v>63063</v>
      </c>
      <c r="M130" s="8">
        <v>64328</v>
      </c>
      <c r="N130" s="8">
        <v>63643</v>
      </c>
      <c r="O130" s="8">
        <v>63712</v>
      </c>
      <c r="P130" s="8">
        <v>64042</v>
      </c>
      <c r="Q130" s="8">
        <v>63566</v>
      </c>
      <c r="R130" s="8">
        <v>63290</v>
      </c>
      <c r="S130" s="8">
        <v>63290</v>
      </c>
      <c r="T130" s="8">
        <v>63700</v>
      </c>
      <c r="U130" s="8">
        <v>64021</v>
      </c>
      <c r="V130" s="8">
        <v>63523</v>
      </c>
      <c r="W130" s="8">
        <v>59768</v>
      </c>
      <c r="X130" s="8">
        <v>60242</v>
      </c>
      <c r="Y130" s="8">
        <v>60977</v>
      </c>
      <c r="Z130" s="8">
        <v>58687</v>
      </c>
      <c r="AA130" s="8">
        <v>58444</v>
      </c>
      <c r="AB130" s="8">
        <v>57599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</row>
    <row r="131" spans="1:47" ht="14.4">
      <c r="A131" s="3">
        <f>LOOKUP(D131,'AMFI DATA_2023H2'!F:L,'AMFI DATA_2023H2'!L:L)</f>
        <v>127</v>
      </c>
      <c r="B131" s="4" t="s">
        <v>393</v>
      </c>
      <c r="C131" s="4" t="s">
        <v>394</v>
      </c>
      <c r="D131" s="5" t="s">
        <v>395</v>
      </c>
      <c r="E131" s="5">
        <v>44734.54</v>
      </c>
      <c r="F131" s="6">
        <f>LOOKUP(D131,'AMFI DATA_2023H2'!F:J,'AMFI DATA_2023H2'!J:J)</f>
        <v>50165.254650000003</v>
      </c>
      <c r="G131" s="7">
        <f t="shared" si="0"/>
        <v>-1</v>
      </c>
      <c r="H131" s="8"/>
      <c r="I131" s="8">
        <v>58557</v>
      </c>
      <c r="J131" s="8">
        <v>56294</v>
      </c>
      <c r="K131" s="8">
        <v>55509</v>
      </c>
      <c r="L131" s="8">
        <v>55710</v>
      </c>
      <c r="M131" s="8">
        <v>56719</v>
      </c>
      <c r="N131" s="8">
        <v>56755</v>
      </c>
      <c r="O131" s="8">
        <v>56430</v>
      </c>
      <c r="P131" s="8">
        <v>56719</v>
      </c>
      <c r="Q131" s="8">
        <v>55997</v>
      </c>
      <c r="R131" s="8">
        <v>55559</v>
      </c>
      <c r="S131" s="8">
        <v>55246</v>
      </c>
      <c r="T131" s="8">
        <v>55238</v>
      </c>
      <c r="U131" s="8">
        <v>54662</v>
      </c>
      <c r="V131" s="8">
        <v>54355</v>
      </c>
      <c r="W131" s="8">
        <v>54069</v>
      </c>
      <c r="X131" s="8">
        <v>54279</v>
      </c>
      <c r="Y131" s="8">
        <v>54026</v>
      </c>
      <c r="Z131" s="8">
        <v>55055</v>
      </c>
      <c r="AA131" s="8">
        <v>56197</v>
      </c>
      <c r="AB131" s="8">
        <v>55805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spans="1:47" ht="14.4">
      <c r="A132" s="3">
        <f>LOOKUP(D132,'AMFI DATA_2023H2'!F:L,'AMFI DATA_2023H2'!L:L)</f>
        <v>128</v>
      </c>
      <c r="B132" s="4" t="s">
        <v>396</v>
      </c>
      <c r="C132" s="4" t="s">
        <v>397</v>
      </c>
      <c r="D132" s="5" t="s">
        <v>398</v>
      </c>
      <c r="E132" s="5">
        <v>37104.959999999999</v>
      </c>
      <c r="F132" s="6">
        <f>LOOKUP(D132,'AMFI DATA_2023H2'!F:J,'AMFI DATA_2023H2'!J:J)</f>
        <v>49523.630399999995</v>
      </c>
      <c r="G132" s="7">
        <f t="shared" si="0"/>
        <v>-1</v>
      </c>
      <c r="H132" s="8"/>
      <c r="I132" s="8">
        <v>49536</v>
      </c>
      <c r="J132" s="8">
        <v>50453</v>
      </c>
      <c r="K132" s="8">
        <v>48360</v>
      </c>
      <c r="L132" s="8">
        <v>49391</v>
      </c>
      <c r="M132" s="8">
        <v>49961</v>
      </c>
      <c r="N132" s="8">
        <v>49713</v>
      </c>
      <c r="O132" s="8">
        <v>48863</v>
      </c>
      <c r="P132" s="8">
        <v>48974</v>
      </c>
      <c r="Q132" s="8">
        <v>49346</v>
      </c>
      <c r="R132" s="8">
        <v>48990</v>
      </c>
      <c r="S132" s="8">
        <v>50123</v>
      </c>
      <c r="T132" s="8">
        <v>50342</v>
      </c>
      <c r="U132" s="8">
        <v>49710</v>
      </c>
      <c r="V132" s="8">
        <v>49583</v>
      </c>
      <c r="W132" s="8">
        <v>50352</v>
      </c>
      <c r="X132" s="8">
        <v>50438</v>
      </c>
      <c r="Y132" s="8">
        <v>51568</v>
      </c>
      <c r="Z132" s="8">
        <v>49316</v>
      </c>
      <c r="AA132" s="8">
        <v>49479</v>
      </c>
      <c r="AB132" s="8">
        <v>49309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spans="1:47" ht="14.4">
      <c r="A133" s="3">
        <f>LOOKUP(D133,'AMFI DATA_2023H2'!F:L,'AMFI DATA_2023H2'!L:L)</f>
        <v>129</v>
      </c>
      <c r="B133" s="4" t="s">
        <v>399</v>
      </c>
      <c r="C133" s="4" t="s">
        <v>400</v>
      </c>
      <c r="D133" s="5" t="s">
        <v>401</v>
      </c>
      <c r="E133" s="5">
        <v>35864.720000000001</v>
      </c>
      <c r="F133" s="6">
        <f>LOOKUP(D133,'AMFI DATA_2023H2'!F:J,'AMFI DATA_2023H2'!J:J)</f>
        <v>49391.545749999997</v>
      </c>
      <c r="G133" s="7">
        <f t="shared" si="0"/>
        <v>-1</v>
      </c>
      <c r="H133" s="8"/>
      <c r="I133" s="8">
        <v>59630</v>
      </c>
      <c r="J133" s="8">
        <v>59745</v>
      </c>
      <c r="K133" s="8">
        <v>59468</v>
      </c>
      <c r="L133" s="8">
        <v>59266</v>
      </c>
      <c r="M133" s="8">
        <v>58499</v>
      </c>
      <c r="N133" s="8">
        <v>58344</v>
      </c>
      <c r="O133" s="8">
        <v>57259</v>
      </c>
      <c r="P133" s="8">
        <v>56983</v>
      </c>
      <c r="Q133" s="8">
        <v>56714</v>
      </c>
      <c r="R133" s="8">
        <v>57132</v>
      </c>
      <c r="S133" s="8">
        <v>58593</v>
      </c>
      <c r="T133" s="8">
        <v>58243</v>
      </c>
      <c r="U133" s="8">
        <v>56727</v>
      </c>
      <c r="V133" s="8">
        <v>56088</v>
      </c>
      <c r="W133" s="8">
        <v>56828</v>
      </c>
      <c r="X133" s="8">
        <v>56680</v>
      </c>
      <c r="Y133" s="8">
        <v>56882</v>
      </c>
      <c r="Z133" s="8">
        <v>56088</v>
      </c>
      <c r="AA133" s="8">
        <v>55199</v>
      </c>
      <c r="AB133" s="8">
        <v>55522</v>
      </c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</row>
    <row r="134" spans="1:47" ht="14.4">
      <c r="A134" s="3">
        <f>LOOKUP(D134,'AMFI DATA_2023H2'!F:L,'AMFI DATA_2023H2'!L:L)</f>
        <v>130</v>
      </c>
      <c r="B134" s="4" t="s">
        <v>402</v>
      </c>
      <c r="C134" s="4" t="s">
        <v>403</v>
      </c>
      <c r="D134" s="5" t="s">
        <v>404</v>
      </c>
      <c r="E134" s="5">
        <v>2984.81</v>
      </c>
      <c r="F134" s="6">
        <f>LOOKUP(D134,'AMFI DATA_2023H2'!F:J,'AMFI DATA_2023H2'!J:J)</f>
        <v>49338.132299999997</v>
      </c>
      <c r="G134" s="7">
        <f t="shared" si="0"/>
        <v>-1</v>
      </c>
      <c r="H134" s="8"/>
      <c r="I134" s="8">
        <v>46295</v>
      </c>
      <c r="J134" s="8">
        <v>46668</v>
      </c>
      <c r="K134" s="8">
        <v>46928</v>
      </c>
      <c r="L134" s="8">
        <v>47175</v>
      </c>
      <c r="M134" s="8">
        <v>47534</v>
      </c>
      <c r="N134" s="8">
        <v>47360</v>
      </c>
      <c r="O134" s="8">
        <v>47053</v>
      </c>
      <c r="P134" s="8">
        <v>47189</v>
      </c>
      <c r="Q134" s="8">
        <v>47327</v>
      </c>
      <c r="R134" s="8">
        <v>47500</v>
      </c>
      <c r="S134" s="8">
        <v>47518</v>
      </c>
      <c r="T134" s="8">
        <v>47518</v>
      </c>
      <c r="U134" s="8">
        <v>47557</v>
      </c>
      <c r="V134" s="8">
        <v>47948</v>
      </c>
      <c r="W134" s="8">
        <v>47885</v>
      </c>
      <c r="X134" s="8">
        <v>47887</v>
      </c>
      <c r="Y134" s="8">
        <v>47733</v>
      </c>
      <c r="Z134" s="8">
        <v>48664</v>
      </c>
      <c r="AA134" s="8">
        <v>48786</v>
      </c>
      <c r="AB134" s="8">
        <v>49035</v>
      </c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</row>
    <row r="135" spans="1:47" ht="14.4">
      <c r="A135" s="3">
        <f>LOOKUP(D135,'AMFI DATA_2023H2'!F:L,'AMFI DATA_2023H2'!L:L)</f>
        <v>132</v>
      </c>
      <c r="B135" s="4" t="s">
        <v>405</v>
      </c>
      <c r="C135" s="4" t="s">
        <v>406</v>
      </c>
      <c r="D135" s="5" t="s">
        <v>407</v>
      </c>
      <c r="E135" s="5">
        <v>44179.95</v>
      </c>
      <c r="F135" s="6">
        <f>LOOKUP(D135,'AMFI DATA_2023H2'!F:J,'AMFI DATA_2023H2'!J:J)</f>
        <v>48721.26715</v>
      </c>
      <c r="G135" s="7">
        <f t="shared" si="0"/>
        <v>-1</v>
      </c>
      <c r="H135" s="8"/>
      <c r="I135" s="8">
        <v>48864</v>
      </c>
      <c r="J135" s="8">
        <v>49095</v>
      </c>
      <c r="K135" s="8">
        <v>50653</v>
      </c>
      <c r="L135" s="8">
        <v>51713</v>
      </c>
      <c r="M135" s="8">
        <v>51646</v>
      </c>
      <c r="N135" s="8">
        <v>52723</v>
      </c>
      <c r="O135" s="8">
        <v>51937</v>
      </c>
      <c r="P135" s="8">
        <v>51660</v>
      </c>
      <c r="Q135" s="8">
        <v>51984</v>
      </c>
      <c r="R135" s="8">
        <v>53616</v>
      </c>
      <c r="S135" s="8">
        <v>53572</v>
      </c>
      <c r="T135" s="8">
        <v>53325</v>
      </c>
      <c r="U135" s="8">
        <v>51425</v>
      </c>
      <c r="V135" s="8">
        <v>51101</v>
      </c>
      <c r="W135" s="8">
        <v>52566</v>
      </c>
      <c r="X135" s="8">
        <v>52633</v>
      </c>
      <c r="Y135" s="8">
        <v>52743</v>
      </c>
      <c r="Z135" s="8">
        <v>51623</v>
      </c>
      <c r="AA135" s="8">
        <v>51456</v>
      </c>
      <c r="AB135" s="8">
        <v>51169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</row>
    <row r="136" spans="1:47" ht="14.4">
      <c r="A136" s="3">
        <f>LOOKUP(D136,'AMFI DATA_2023H2'!F:L,'AMFI DATA_2023H2'!L:L)</f>
        <v>133</v>
      </c>
      <c r="B136" s="4" t="s">
        <v>408</v>
      </c>
      <c r="C136" s="4" t="s">
        <v>409</v>
      </c>
      <c r="D136" s="5" t="s">
        <v>410</v>
      </c>
      <c r="E136" s="5">
        <v>36715.5</v>
      </c>
      <c r="F136" s="6">
        <f>LOOKUP(D136,'AMFI DATA_2023H2'!F:J,'AMFI DATA_2023H2'!J:J)</f>
        <v>48707.102650000001</v>
      </c>
      <c r="G136" s="7">
        <f t="shared" si="0"/>
        <v>-1</v>
      </c>
      <c r="H136" s="8"/>
      <c r="I136" s="8">
        <v>57278</v>
      </c>
      <c r="J136" s="8">
        <v>56469</v>
      </c>
      <c r="K136" s="8">
        <v>56730</v>
      </c>
      <c r="L136" s="8">
        <v>57984</v>
      </c>
      <c r="M136" s="8">
        <v>59150</v>
      </c>
      <c r="N136" s="8">
        <v>59380</v>
      </c>
      <c r="O136" s="8">
        <v>59476</v>
      </c>
      <c r="P136" s="8">
        <v>60267</v>
      </c>
      <c r="Q136" s="8">
        <v>60974</v>
      </c>
      <c r="R136" s="8">
        <v>57630</v>
      </c>
      <c r="S136" s="8">
        <v>57459</v>
      </c>
      <c r="T136" s="8">
        <v>57984</v>
      </c>
      <c r="U136" s="8">
        <v>57762</v>
      </c>
      <c r="V136" s="8">
        <v>56580</v>
      </c>
      <c r="W136" s="8">
        <v>56757</v>
      </c>
      <c r="X136" s="8">
        <v>56996</v>
      </c>
      <c r="Y136" s="8">
        <v>56314</v>
      </c>
      <c r="Z136" s="8">
        <v>57597</v>
      </c>
      <c r="AA136" s="8">
        <v>58513</v>
      </c>
      <c r="AB136" s="8">
        <v>58703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</row>
    <row r="137" spans="1:47" ht="14.4">
      <c r="A137" s="3">
        <f>LOOKUP(D137,'AMFI DATA_2023H2'!F:L,'AMFI DATA_2023H2'!L:L)</f>
        <v>134</v>
      </c>
      <c r="B137" s="4" t="s">
        <v>411</v>
      </c>
      <c r="C137" s="4" t="s">
        <v>412</v>
      </c>
      <c r="D137" s="5" t="s">
        <v>413</v>
      </c>
      <c r="E137" s="5">
        <v>37953.019999999997</v>
      </c>
      <c r="F137" s="6">
        <f>LOOKUP(D137,'AMFI DATA_2023H2'!F:J,'AMFI DATA_2023H2'!J:J)</f>
        <v>48597.61535</v>
      </c>
      <c r="G137" s="7">
        <f t="shared" si="0"/>
        <v>-1</v>
      </c>
      <c r="H137" s="8"/>
      <c r="I137" s="8">
        <v>57551</v>
      </c>
      <c r="J137" s="8">
        <v>56935</v>
      </c>
      <c r="K137" s="8">
        <v>56124</v>
      </c>
      <c r="L137" s="8">
        <v>57039</v>
      </c>
      <c r="M137" s="8">
        <v>58511</v>
      </c>
      <c r="N137" s="8">
        <v>58348</v>
      </c>
      <c r="O137" s="8">
        <v>59349</v>
      </c>
      <c r="P137" s="8">
        <v>59775</v>
      </c>
      <c r="Q137" s="8">
        <v>59223</v>
      </c>
      <c r="R137" s="8">
        <v>58541</v>
      </c>
      <c r="S137" s="8">
        <v>58992</v>
      </c>
      <c r="T137" s="8">
        <v>58701</v>
      </c>
      <c r="U137" s="8">
        <v>57519</v>
      </c>
      <c r="V137" s="8">
        <v>57870</v>
      </c>
      <c r="W137" s="8">
        <v>58068</v>
      </c>
      <c r="X137" s="8">
        <v>57677</v>
      </c>
      <c r="Y137" s="8">
        <v>57984</v>
      </c>
      <c r="Z137" s="8">
        <v>56751</v>
      </c>
      <c r="AA137" s="8">
        <v>57135</v>
      </c>
      <c r="AB137" s="8">
        <v>55952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spans="1:47" ht="14.4">
      <c r="A138" s="3">
        <f>LOOKUP(D138,'AMFI DATA_2023H2'!F:L,'AMFI DATA_2023H2'!L:L)</f>
        <v>135</v>
      </c>
      <c r="B138" s="4" t="s">
        <v>414</v>
      </c>
      <c r="C138" s="4" t="s">
        <v>415</v>
      </c>
      <c r="D138" s="5" t="s">
        <v>416</v>
      </c>
      <c r="E138" s="5">
        <v>42619.1</v>
      </c>
      <c r="F138" s="6">
        <f>LOOKUP(D138,'AMFI DATA_2023H2'!F:J,'AMFI DATA_2023H2'!J:J)</f>
        <v>48506.2572</v>
      </c>
      <c r="G138" s="7">
        <f t="shared" si="0"/>
        <v>-1</v>
      </c>
      <c r="H138" s="8"/>
      <c r="I138" s="8">
        <v>59383</v>
      </c>
      <c r="J138" s="8">
        <v>58197</v>
      </c>
      <c r="K138" s="8">
        <v>56877</v>
      </c>
      <c r="L138" s="8">
        <v>59194</v>
      </c>
      <c r="M138" s="8">
        <v>58628</v>
      </c>
      <c r="N138" s="8">
        <v>58305</v>
      </c>
      <c r="O138" s="8">
        <v>57820</v>
      </c>
      <c r="P138" s="8">
        <v>57739</v>
      </c>
      <c r="Q138" s="8">
        <v>56971</v>
      </c>
      <c r="R138" s="8">
        <v>57429</v>
      </c>
      <c r="S138" s="8">
        <v>59908</v>
      </c>
      <c r="T138" s="8">
        <v>58332</v>
      </c>
      <c r="U138" s="8">
        <v>55960</v>
      </c>
      <c r="V138" s="8">
        <v>54532</v>
      </c>
      <c r="W138" s="8">
        <v>54680</v>
      </c>
      <c r="X138" s="8">
        <v>53683</v>
      </c>
      <c r="Y138" s="8">
        <v>50395</v>
      </c>
      <c r="Z138" s="8">
        <v>50234</v>
      </c>
      <c r="AA138" s="8">
        <v>50018</v>
      </c>
      <c r="AB138" s="8">
        <v>50072</v>
      </c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</row>
    <row r="139" spans="1:47" ht="14.4">
      <c r="A139" s="3">
        <f>LOOKUP(D139,'AMFI DATA_2023H2'!F:L,'AMFI DATA_2023H2'!L:L)</f>
        <v>136</v>
      </c>
      <c r="B139" s="4" t="s">
        <v>417</v>
      </c>
      <c r="C139" s="4" t="s">
        <v>418</v>
      </c>
      <c r="D139" s="5" t="s">
        <v>419</v>
      </c>
      <c r="E139" s="5">
        <v>41798.050000000003</v>
      </c>
      <c r="F139" s="6">
        <f>LOOKUP(D139,'AMFI DATA_2023H2'!F:J,'AMFI DATA_2023H2'!J:J)</f>
        <v>48198.39875</v>
      </c>
      <c r="G139" s="7">
        <f t="shared" si="0"/>
        <v>-1</v>
      </c>
      <c r="H139" s="8"/>
      <c r="I139" s="8">
        <v>50935</v>
      </c>
      <c r="J139" s="8">
        <v>49537</v>
      </c>
      <c r="K139" s="8">
        <v>49409</v>
      </c>
      <c r="L139" s="8">
        <v>50395</v>
      </c>
      <c r="M139" s="8">
        <v>51792</v>
      </c>
      <c r="N139" s="8">
        <v>50879</v>
      </c>
      <c r="O139" s="8">
        <v>51529</v>
      </c>
      <c r="P139" s="8">
        <v>51225</v>
      </c>
      <c r="Q139" s="8">
        <v>50717</v>
      </c>
      <c r="R139" s="8">
        <v>49018</v>
      </c>
      <c r="S139" s="8">
        <v>49848</v>
      </c>
      <c r="T139" s="8">
        <v>48331</v>
      </c>
      <c r="U139" s="8">
        <v>48343</v>
      </c>
      <c r="V139" s="8">
        <v>48750</v>
      </c>
      <c r="W139" s="8">
        <v>49803</v>
      </c>
      <c r="X139" s="8">
        <v>49654</v>
      </c>
      <c r="Y139" s="8">
        <v>48745</v>
      </c>
      <c r="Z139" s="8">
        <v>49061</v>
      </c>
      <c r="AA139" s="8">
        <v>48661</v>
      </c>
      <c r="AB139" s="8">
        <v>48360</v>
      </c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ht="14.4">
      <c r="A140" s="3">
        <f>LOOKUP(D140,'AMFI DATA_2023H2'!F:L,'AMFI DATA_2023H2'!L:L)</f>
        <v>137</v>
      </c>
      <c r="B140" s="4" t="s">
        <v>420</v>
      </c>
      <c r="C140" s="4" t="s">
        <v>421</v>
      </c>
      <c r="D140" s="5" t="s">
        <v>422</v>
      </c>
      <c r="E140" s="5">
        <v>32821.410000000003</v>
      </c>
      <c r="F140" s="6">
        <f>LOOKUP(D140,'AMFI DATA_2023H2'!F:J,'AMFI DATA_2023H2'!J:J)</f>
        <v>48135.842550000001</v>
      </c>
      <c r="G140" s="7">
        <f t="shared" si="0"/>
        <v>-1</v>
      </c>
      <c r="H140" s="8"/>
      <c r="I140" s="8">
        <v>49646</v>
      </c>
      <c r="J140" s="8">
        <v>46140</v>
      </c>
      <c r="K140" s="8">
        <v>46665</v>
      </c>
      <c r="L140" s="8">
        <v>47337</v>
      </c>
      <c r="M140" s="8">
        <v>47232</v>
      </c>
      <c r="N140" s="8">
        <v>47305</v>
      </c>
      <c r="O140" s="8">
        <v>47191</v>
      </c>
      <c r="P140" s="8">
        <v>47303</v>
      </c>
      <c r="Q140" s="8">
        <v>47427</v>
      </c>
      <c r="R140" s="8">
        <v>47757</v>
      </c>
      <c r="S140" s="8">
        <v>47608</v>
      </c>
      <c r="T140" s="8">
        <v>47877</v>
      </c>
      <c r="U140" s="8">
        <v>47006</v>
      </c>
      <c r="V140" s="8">
        <v>47757</v>
      </c>
      <c r="W140" s="8">
        <v>48114</v>
      </c>
      <c r="X140" s="8">
        <v>48158</v>
      </c>
      <c r="Y140" s="8">
        <v>48784</v>
      </c>
      <c r="Z140" s="8">
        <v>47534</v>
      </c>
      <c r="AA140" s="8">
        <v>48503</v>
      </c>
      <c r="AB140" s="8">
        <v>48784</v>
      </c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spans="1:47" ht="14.4">
      <c r="A141" s="3">
        <f>LOOKUP(D141,'AMFI DATA_2023H2'!F:L,'AMFI DATA_2023H2'!L:L)</f>
        <v>138</v>
      </c>
      <c r="B141" s="4" t="s">
        <v>423</v>
      </c>
      <c r="C141" s="4" t="s">
        <v>424</v>
      </c>
      <c r="D141" s="5" t="s">
        <v>425</v>
      </c>
      <c r="E141" s="5">
        <v>41725.46</v>
      </c>
      <c r="F141" s="6">
        <f>LOOKUP(D141,'AMFI DATA_2023H2'!F:J,'AMFI DATA_2023H2'!J:J)</f>
        <v>47910.05745</v>
      </c>
      <c r="G141" s="7">
        <f t="shared" si="0"/>
        <v>-1</v>
      </c>
      <c r="H141" s="8"/>
      <c r="I141" s="8">
        <v>51764</v>
      </c>
      <c r="J141" s="8">
        <v>51756</v>
      </c>
      <c r="K141" s="8">
        <v>53794</v>
      </c>
      <c r="L141" s="8">
        <v>53600</v>
      </c>
      <c r="M141" s="8">
        <v>54306</v>
      </c>
      <c r="N141" s="8">
        <v>54412</v>
      </c>
      <c r="O141" s="8">
        <v>54357</v>
      </c>
      <c r="P141" s="8">
        <v>54526</v>
      </c>
      <c r="Q141" s="8">
        <v>53829</v>
      </c>
      <c r="R141" s="8">
        <v>53511</v>
      </c>
      <c r="S141" s="8">
        <v>53796</v>
      </c>
      <c r="T141" s="8">
        <v>53805</v>
      </c>
      <c r="U141" s="8">
        <v>53558</v>
      </c>
      <c r="V141" s="8">
        <v>54252</v>
      </c>
      <c r="W141" s="8">
        <v>54471</v>
      </c>
      <c r="X141" s="8">
        <v>54540</v>
      </c>
      <c r="Y141" s="8">
        <v>54522</v>
      </c>
      <c r="Z141" s="8">
        <v>54813</v>
      </c>
      <c r="AA141" s="8">
        <v>55179</v>
      </c>
      <c r="AB141" s="8">
        <v>55243</v>
      </c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ht="14.4">
      <c r="A142" s="3">
        <f>LOOKUP(D142,'AMFI DATA_2023H2'!F:L,'AMFI DATA_2023H2'!L:L)</f>
        <v>139</v>
      </c>
      <c r="B142" s="4" t="s">
        <v>426</v>
      </c>
      <c r="C142" s="4" t="s">
        <v>427</v>
      </c>
      <c r="D142" s="5" t="s">
        <v>428</v>
      </c>
      <c r="E142" s="5">
        <v>44754.58</v>
      </c>
      <c r="F142" s="6">
        <f>LOOKUP(D142,'AMFI DATA_2023H2'!F:J,'AMFI DATA_2023H2'!J:J)</f>
        <v>47746.563999999998</v>
      </c>
      <c r="G142" s="7">
        <f t="shared" si="0"/>
        <v>-1</v>
      </c>
      <c r="H142" s="8"/>
      <c r="I142" s="8">
        <v>50830</v>
      </c>
      <c r="J142" s="8">
        <v>51346</v>
      </c>
      <c r="K142" s="8">
        <v>52552</v>
      </c>
      <c r="L142" s="8">
        <v>51745</v>
      </c>
      <c r="M142" s="8">
        <v>52893</v>
      </c>
      <c r="N142" s="8">
        <v>52459</v>
      </c>
      <c r="O142" s="8">
        <v>51475</v>
      </c>
      <c r="P142" s="8">
        <v>51107</v>
      </c>
      <c r="Q142" s="8">
        <v>50173</v>
      </c>
      <c r="R142" s="8">
        <v>49626</v>
      </c>
      <c r="S142" s="8">
        <v>50431</v>
      </c>
      <c r="T142" s="8">
        <v>48674</v>
      </c>
      <c r="U142" s="8">
        <v>48535</v>
      </c>
      <c r="V142" s="8">
        <v>49892</v>
      </c>
      <c r="W142" s="8">
        <v>50221</v>
      </c>
      <c r="X142" s="8">
        <v>49972</v>
      </c>
      <c r="Y142" s="8">
        <v>50135</v>
      </c>
      <c r="Z142" s="8">
        <v>50095</v>
      </c>
      <c r="AA142" s="8">
        <v>50037</v>
      </c>
      <c r="AB142" s="8">
        <v>49653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ht="14.4">
      <c r="A143" s="3">
        <f>LOOKUP(D143,'AMFI DATA_2023H2'!F:L,'AMFI DATA_2023H2'!L:L)</f>
        <v>140</v>
      </c>
      <c r="B143" s="4" t="s">
        <v>429</v>
      </c>
      <c r="C143" s="4" t="s">
        <v>430</v>
      </c>
      <c r="D143" s="5" t="s">
        <v>431</v>
      </c>
      <c r="E143" s="5">
        <v>39033.769999999997</v>
      </c>
      <c r="F143" s="6">
        <f>LOOKUP(D143,'AMFI DATA_2023H2'!F:J,'AMFI DATA_2023H2'!J:J)</f>
        <v>47638.356599999999</v>
      </c>
      <c r="G143" s="7">
        <f t="shared" si="0"/>
        <v>-1</v>
      </c>
      <c r="H143" s="8"/>
      <c r="I143" s="8">
        <v>59297</v>
      </c>
      <c r="J143" s="8">
        <v>58992</v>
      </c>
      <c r="K143" s="8">
        <v>60454</v>
      </c>
      <c r="L143" s="8">
        <v>60507</v>
      </c>
      <c r="M143" s="8">
        <v>60232</v>
      </c>
      <c r="N143" s="8">
        <v>60365</v>
      </c>
      <c r="O143" s="8">
        <v>60355</v>
      </c>
      <c r="P143" s="8">
        <v>61215</v>
      </c>
      <c r="Q143" s="8">
        <v>61917</v>
      </c>
      <c r="R143" s="8">
        <v>62171</v>
      </c>
      <c r="S143" s="8">
        <v>62635</v>
      </c>
      <c r="T143" s="8">
        <v>63004</v>
      </c>
      <c r="U143" s="8">
        <v>62760</v>
      </c>
      <c r="V143" s="8">
        <v>62006</v>
      </c>
      <c r="W143" s="8">
        <v>61217</v>
      </c>
      <c r="X143" s="8">
        <v>62101</v>
      </c>
      <c r="Y143" s="8">
        <v>61379</v>
      </c>
      <c r="Z143" s="8">
        <v>60799</v>
      </c>
      <c r="AA143" s="8">
        <v>59530</v>
      </c>
      <c r="AB143" s="8">
        <v>58759</v>
      </c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</row>
    <row r="144" spans="1:47" ht="14.4">
      <c r="A144" s="3">
        <f>LOOKUP(D144,'AMFI DATA_2023H2'!F:L,'AMFI DATA_2023H2'!L:L)</f>
        <v>141</v>
      </c>
      <c r="B144" s="4" t="s">
        <v>432</v>
      </c>
      <c r="C144" s="4" t="s">
        <v>433</v>
      </c>
      <c r="D144" s="5" t="s">
        <v>434</v>
      </c>
      <c r="E144" s="5">
        <v>35072.21</v>
      </c>
      <c r="F144" s="6">
        <f>LOOKUP(D144,'AMFI DATA_2023H2'!F:J,'AMFI DATA_2023H2'!J:J)</f>
        <v>47484.212400000004</v>
      </c>
      <c r="G144" s="7">
        <f t="shared" si="0"/>
        <v>-1</v>
      </c>
      <c r="H144" s="8"/>
      <c r="I144" s="8">
        <v>64887</v>
      </c>
      <c r="J144" s="8">
        <v>64383</v>
      </c>
      <c r="K144" s="8">
        <v>64505</v>
      </c>
      <c r="L144" s="8">
        <v>63942</v>
      </c>
      <c r="M144" s="8">
        <v>64205</v>
      </c>
      <c r="N144" s="8">
        <v>63221</v>
      </c>
      <c r="O144" s="8">
        <v>62492</v>
      </c>
      <c r="P144" s="8">
        <v>61472</v>
      </c>
      <c r="Q144" s="8">
        <v>62254</v>
      </c>
      <c r="R144" s="8">
        <v>60209</v>
      </c>
      <c r="S144" s="8">
        <v>62309</v>
      </c>
      <c r="T144" s="8">
        <v>61618</v>
      </c>
      <c r="U144" s="8">
        <v>57026</v>
      </c>
      <c r="V144" s="8">
        <v>55975</v>
      </c>
      <c r="W144" s="8">
        <v>55719</v>
      </c>
      <c r="X144" s="8">
        <v>55953</v>
      </c>
      <c r="Y144" s="8">
        <v>55502</v>
      </c>
      <c r="Z144" s="8">
        <v>55690</v>
      </c>
      <c r="AA144" s="8">
        <v>55153</v>
      </c>
      <c r="AB144" s="8">
        <v>54821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spans="1:47" ht="14.4">
      <c r="A145" s="3">
        <f>LOOKUP(D145,'AMFI DATA_2023H2'!F:L,'AMFI DATA_2023H2'!L:L)</f>
        <v>142</v>
      </c>
      <c r="B145" s="4" t="s">
        <v>435</v>
      </c>
      <c r="C145" s="4" t="s">
        <v>436</v>
      </c>
      <c r="D145" s="5" t="s">
        <v>437</v>
      </c>
      <c r="E145" s="5">
        <v>38548.230000000003</v>
      </c>
      <c r="F145" s="6">
        <f>LOOKUP(D145,'AMFI DATA_2023H2'!F:J,'AMFI DATA_2023H2'!J:J)</f>
        <v>47220.772599999997</v>
      </c>
      <c r="G145" s="7">
        <f t="shared" si="0"/>
        <v>-1</v>
      </c>
      <c r="H145" s="8"/>
      <c r="I145" s="8">
        <v>56968</v>
      </c>
      <c r="J145" s="8">
        <v>57152</v>
      </c>
      <c r="K145" s="8">
        <v>58611</v>
      </c>
      <c r="L145" s="8">
        <v>56516</v>
      </c>
      <c r="M145" s="8">
        <v>57654</v>
      </c>
      <c r="N145" s="8">
        <v>57843</v>
      </c>
      <c r="O145" s="8">
        <v>56506</v>
      </c>
      <c r="P145" s="8">
        <v>56461</v>
      </c>
      <c r="Q145" s="8">
        <v>55402</v>
      </c>
      <c r="R145" s="8">
        <v>54518</v>
      </c>
      <c r="S145" s="8">
        <v>55087</v>
      </c>
      <c r="T145" s="8">
        <v>55276</v>
      </c>
      <c r="U145" s="8">
        <v>54037</v>
      </c>
      <c r="V145" s="8">
        <v>54725</v>
      </c>
      <c r="W145" s="8">
        <v>55033</v>
      </c>
      <c r="X145" s="8">
        <v>55559</v>
      </c>
      <c r="Y145" s="8">
        <v>54904</v>
      </c>
      <c r="Z145" s="8">
        <v>55020</v>
      </c>
      <c r="AA145" s="8">
        <v>55011</v>
      </c>
      <c r="AB145" s="8">
        <v>55012</v>
      </c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ht="14.4">
      <c r="A146" s="3">
        <f>LOOKUP(D146,'AMFI DATA_2023H2'!F:L,'AMFI DATA_2023H2'!L:L)</f>
        <v>143</v>
      </c>
      <c r="B146" s="4" t="s">
        <v>438</v>
      </c>
      <c r="C146" s="4" t="s">
        <v>439</v>
      </c>
      <c r="D146" s="5" t="s">
        <v>440</v>
      </c>
      <c r="E146" s="5">
        <v>57003.72</v>
      </c>
      <c r="F146" s="6">
        <f>LOOKUP(D146,'AMFI DATA_2023H2'!F:J,'AMFI DATA_2023H2'!J:J)</f>
        <v>46631.865299999998</v>
      </c>
      <c r="G146" s="7">
        <f t="shared" si="0"/>
        <v>-1</v>
      </c>
      <c r="H146" s="8"/>
      <c r="I146" s="8">
        <v>46099</v>
      </c>
      <c r="J146" s="8">
        <v>46346</v>
      </c>
      <c r="K146" s="8">
        <v>46236</v>
      </c>
      <c r="L146" s="8">
        <v>46886</v>
      </c>
      <c r="M146" s="8">
        <v>47230</v>
      </c>
      <c r="N146" s="8">
        <v>47776</v>
      </c>
      <c r="O146" s="8">
        <v>47971</v>
      </c>
      <c r="P146" s="8">
        <v>48043</v>
      </c>
      <c r="Q146" s="8">
        <v>48393</v>
      </c>
      <c r="R146" s="8">
        <v>48166</v>
      </c>
      <c r="S146" s="8">
        <v>49121</v>
      </c>
      <c r="T146" s="8">
        <v>49596</v>
      </c>
      <c r="U146" s="8">
        <v>49524</v>
      </c>
      <c r="V146" s="8">
        <v>47633</v>
      </c>
      <c r="W146" s="8">
        <v>47698</v>
      </c>
      <c r="X146" s="8">
        <v>46126</v>
      </c>
      <c r="Y146" s="8">
        <v>46041</v>
      </c>
      <c r="Z146" s="8">
        <v>46554</v>
      </c>
      <c r="AA146" s="8">
        <v>47198</v>
      </c>
      <c r="AB146" s="8">
        <v>47471</v>
      </c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</row>
    <row r="147" spans="1:47" ht="14.4">
      <c r="A147" s="3">
        <f>LOOKUP(D147,'AMFI DATA_2023H2'!F:L,'AMFI DATA_2023H2'!L:L)</f>
        <v>144</v>
      </c>
      <c r="B147" s="4" t="s">
        <v>441</v>
      </c>
      <c r="C147" s="4" t="s">
        <v>442</v>
      </c>
      <c r="D147" s="5" t="s">
        <v>443</v>
      </c>
      <c r="E147" s="5">
        <v>38151.32</v>
      </c>
      <c r="F147" s="6">
        <f>LOOKUP(D147,'AMFI DATA_2023H2'!F:J,'AMFI DATA_2023H2'!J:J)</f>
        <v>46297.746299999999</v>
      </c>
      <c r="G147" s="7">
        <f t="shared" si="0"/>
        <v>-1</v>
      </c>
      <c r="H147" s="8"/>
      <c r="I147" s="8">
        <v>45403</v>
      </c>
      <c r="J147" s="8">
        <v>45520</v>
      </c>
      <c r="K147" s="8">
        <v>45546</v>
      </c>
      <c r="L147" s="8">
        <v>46560</v>
      </c>
      <c r="M147" s="8">
        <v>46560</v>
      </c>
      <c r="N147" s="8">
        <v>46625</v>
      </c>
      <c r="O147" s="8">
        <v>46885</v>
      </c>
      <c r="P147" s="8">
        <v>45052</v>
      </c>
      <c r="Q147" s="8">
        <v>45546</v>
      </c>
      <c r="R147" s="8">
        <v>45583</v>
      </c>
      <c r="S147" s="8">
        <v>45518</v>
      </c>
      <c r="T147" s="8">
        <v>45258</v>
      </c>
      <c r="U147" s="8">
        <v>44297</v>
      </c>
      <c r="V147" s="8">
        <v>44349</v>
      </c>
      <c r="W147" s="8">
        <v>43101</v>
      </c>
      <c r="X147" s="8">
        <v>43244</v>
      </c>
      <c r="Y147" s="8">
        <v>42035</v>
      </c>
      <c r="Z147" s="8">
        <v>42048</v>
      </c>
      <c r="AA147" s="8">
        <v>41541</v>
      </c>
      <c r="AB147" s="8">
        <v>41515</v>
      </c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spans="1:47" ht="14.4">
      <c r="A148" s="3">
        <f>LOOKUP(D148,'AMFI DATA_2023H2'!F:L,'AMFI DATA_2023H2'!L:L)</f>
        <v>145</v>
      </c>
      <c r="B148" s="4" t="s">
        <v>444</v>
      </c>
      <c r="C148" s="4" t="s">
        <v>445</v>
      </c>
      <c r="D148" s="5" t="s">
        <v>446</v>
      </c>
      <c r="E148" s="5">
        <v>38623.360000000001</v>
      </c>
      <c r="F148" s="6">
        <f>LOOKUP(D148,'AMFI DATA_2023H2'!F:J,'AMFI DATA_2023H2'!J:J)</f>
        <v>46269.675900000002</v>
      </c>
      <c r="G148" s="7">
        <f t="shared" si="0"/>
        <v>-1</v>
      </c>
      <c r="H148" s="8"/>
      <c r="I148" s="8">
        <v>59146</v>
      </c>
      <c r="J148" s="8">
        <v>58337</v>
      </c>
      <c r="K148" s="8">
        <v>57227</v>
      </c>
      <c r="L148" s="8">
        <v>58088</v>
      </c>
      <c r="M148" s="8">
        <v>57643</v>
      </c>
      <c r="N148" s="8">
        <v>56965</v>
      </c>
      <c r="O148" s="8">
        <v>56385</v>
      </c>
      <c r="P148" s="8">
        <v>55813</v>
      </c>
      <c r="Q148" s="8">
        <v>55911</v>
      </c>
      <c r="R148" s="8">
        <v>55866</v>
      </c>
      <c r="S148" s="8">
        <v>56303</v>
      </c>
      <c r="T148" s="8">
        <v>55760</v>
      </c>
      <c r="U148" s="8">
        <v>55296</v>
      </c>
      <c r="V148" s="8">
        <v>54993</v>
      </c>
      <c r="W148" s="8">
        <v>54697</v>
      </c>
      <c r="X148" s="8">
        <v>54806</v>
      </c>
      <c r="Y148" s="8">
        <v>53594</v>
      </c>
      <c r="Z148" s="8">
        <v>50995</v>
      </c>
      <c r="AA148" s="8">
        <v>50983</v>
      </c>
      <c r="AB148" s="8">
        <v>50687</v>
      </c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spans="1:47" ht="14.4">
      <c r="A149" s="3">
        <f>LOOKUP(D149,'AMFI DATA_2023H2'!F:L,'AMFI DATA_2023H2'!L:L)</f>
        <v>146</v>
      </c>
      <c r="B149" s="4" t="s">
        <v>447</v>
      </c>
      <c r="C149" s="4" t="s">
        <v>448</v>
      </c>
      <c r="D149" s="5" t="s">
        <v>449</v>
      </c>
      <c r="E149" s="5">
        <v>35224.660000000003</v>
      </c>
      <c r="F149" s="6">
        <f>LOOKUP(D149,'AMFI DATA_2023H2'!F:J,'AMFI DATA_2023H2'!J:J)</f>
        <v>46159.628049999999</v>
      </c>
      <c r="G149" s="7">
        <f t="shared" si="0"/>
        <v>-1</v>
      </c>
      <c r="H149" s="8"/>
      <c r="I149" s="8">
        <v>62402</v>
      </c>
      <c r="J149" s="8">
        <v>62563</v>
      </c>
      <c r="K149" s="8">
        <v>61341</v>
      </c>
      <c r="L149" s="8">
        <v>63304</v>
      </c>
      <c r="M149" s="8">
        <v>64574</v>
      </c>
      <c r="N149" s="8">
        <v>66058</v>
      </c>
      <c r="O149" s="8">
        <v>66459</v>
      </c>
      <c r="P149" s="8">
        <v>62219</v>
      </c>
      <c r="Q149" s="8">
        <v>61714</v>
      </c>
      <c r="R149" s="8">
        <v>59988</v>
      </c>
      <c r="S149" s="8">
        <v>60689</v>
      </c>
      <c r="T149" s="8">
        <v>60933</v>
      </c>
      <c r="U149" s="8">
        <v>60745</v>
      </c>
      <c r="V149" s="8">
        <v>60357</v>
      </c>
      <c r="W149" s="8">
        <v>61381</v>
      </c>
      <c r="X149" s="8">
        <v>60909</v>
      </c>
      <c r="Y149" s="8">
        <v>61470</v>
      </c>
      <c r="Z149" s="8">
        <v>61055</v>
      </c>
      <c r="AA149" s="8">
        <v>61578</v>
      </c>
      <c r="AB149" s="8">
        <v>59677</v>
      </c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</row>
    <row r="150" spans="1:47" ht="14.4">
      <c r="A150" s="3">
        <f>LOOKUP(D150,'AMFI DATA_2023H2'!F:L,'AMFI DATA_2023H2'!L:L)</f>
        <v>147</v>
      </c>
      <c r="B150" s="4" t="s">
        <v>450</v>
      </c>
      <c r="C150" s="4" t="s">
        <v>451</v>
      </c>
      <c r="D150" s="5" t="s">
        <v>452</v>
      </c>
      <c r="E150" s="5">
        <v>53947.53</v>
      </c>
      <c r="F150" s="6">
        <f>LOOKUP(D150,'AMFI DATA_2023H2'!F:J,'AMFI DATA_2023H2'!J:J)</f>
        <v>45467.2572</v>
      </c>
      <c r="G150" s="7">
        <f t="shared" si="0"/>
        <v>-1</v>
      </c>
      <c r="H150" s="8"/>
      <c r="I150" s="8">
        <v>41535</v>
      </c>
      <c r="J150" s="8">
        <v>40848</v>
      </c>
      <c r="K150" s="8">
        <v>41366</v>
      </c>
      <c r="L150" s="8">
        <v>42375</v>
      </c>
      <c r="M150" s="8">
        <v>42612</v>
      </c>
      <c r="N150" s="8">
        <v>42417</v>
      </c>
      <c r="O150" s="8">
        <v>42199</v>
      </c>
      <c r="P150" s="8">
        <v>41929</v>
      </c>
      <c r="Q150" s="8">
        <v>41891</v>
      </c>
      <c r="R150" s="8">
        <v>42109</v>
      </c>
      <c r="S150" s="8">
        <v>43629</v>
      </c>
      <c r="T150" s="8">
        <v>44109</v>
      </c>
      <c r="U150" s="8">
        <v>44128</v>
      </c>
      <c r="V150" s="8">
        <v>44620</v>
      </c>
      <c r="W150" s="8">
        <v>44443</v>
      </c>
      <c r="X150" s="8">
        <v>44106</v>
      </c>
      <c r="Y150" s="8">
        <v>44233</v>
      </c>
      <c r="Z150" s="8">
        <v>43775</v>
      </c>
      <c r="AA150" s="8">
        <v>43989</v>
      </c>
      <c r="AB150" s="8">
        <v>43659</v>
      </c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spans="1:47" ht="14.4">
      <c r="A151" s="3">
        <f>LOOKUP(D151,'AMFI DATA_2023H2'!F:L,'AMFI DATA_2023H2'!L:L)</f>
        <v>148</v>
      </c>
      <c r="B151" s="4" t="s">
        <v>453</v>
      </c>
      <c r="C151" s="4" t="s">
        <v>454</v>
      </c>
      <c r="D151" s="5" t="s">
        <v>455</v>
      </c>
      <c r="E151" s="5">
        <v>27150.32</v>
      </c>
      <c r="F151" s="6">
        <f>LOOKUP(D151,'AMFI DATA_2023H2'!F:J,'AMFI DATA_2023H2'!J:J)</f>
        <v>44812.553099999997</v>
      </c>
      <c r="G151" s="7">
        <f t="shared" si="0"/>
        <v>-1</v>
      </c>
      <c r="H151" s="8"/>
      <c r="I151" s="8">
        <v>77371</v>
      </c>
      <c r="J151" s="8">
        <v>73872</v>
      </c>
      <c r="K151" s="8">
        <v>71957</v>
      </c>
      <c r="L151" s="8">
        <v>70651</v>
      </c>
      <c r="M151" s="8">
        <v>70059</v>
      </c>
      <c r="N151" s="8">
        <v>68405</v>
      </c>
      <c r="O151" s="8">
        <v>68858</v>
      </c>
      <c r="P151" s="8">
        <v>69519</v>
      </c>
      <c r="Q151" s="8">
        <v>68092</v>
      </c>
      <c r="R151" s="8">
        <v>67952</v>
      </c>
      <c r="S151" s="8">
        <v>68179</v>
      </c>
      <c r="T151" s="8">
        <v>67918</v>
      </c>
      <c r="U151" s="8">
        <v>67726</v>
      </c>
      <c r="V151" s="8">
        <v>70355</v>
      </c>
      <c r="W151" s="8">
        <v>69067</v>
      </c>
      <c r="X151" s="8">
        <v>67361</v>
      </c>
      <c r="Y151" s="8">
        <v>67065</v>
      </c>
      <c r="Z151" s="8">
        <v>63374</v>
      </c>
      <c r="AA151" s="8">
        <v>63461</v>
      </c>
      <c r="AB151" s="8">
        <v>62085</v>
      </c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</row>
    <row r="152" spans="1:47" ht="14.4">
      <c r="A152" s="3">
        <f>LOOKUP(D152,'AMFI DATA_2023H2'!F:L,'AMFI DATA_2023H2'!L:L)</f>
        <v>149</v>
      </c>
      <c r="B152" s="4" t="s">
        <v>456</v>
      </c>
      <c r="C152" s="4" t="s">
        <v>457</v>
      </c>
      <c r="D152" s="5" t="s">
        <v>458</v>
      </c>
      <c r="E152" s="5">
        <v>35676.620000000003</v>
      </c>
      <c r="F152" s="6">
        <f>LOOKUP(D152,'AMFI DATA_2023H2'!F:J,'AMFI DATA_2023H2'!J:J)</f>
        <v>44304.223299999998</v>
      </c>
      <c r="G152" s="7">
        <f t="shared" si="0"/>
        <v>-1</v>
      </c>
      <c r="H152" s="8"/>
      <c r="I152" s="8">
        <v>60473</v>
      </c>
      <c r="J152" s="8">
        <v>59718</v>
      </c>
      <c r="K152" s="8">
        <v>59035</v>
      </c>
      <c r="L152" s="8">
        <v>58655</v>
      </c>
      <c r="M152" s="8">
        <v>59043</v>
      </c>
      <c r="N152" s="8">
        <v>58887</v>
      </c>
      <c r="O152" s="8">
        <v>56856</v>
      </c>
      <c r="P152" s="8">
        <v>56848</v>
      </c>
      <c r="Q152" s="8">
        <v>56137</v>
      </c>
      <c r="R152" s="8">
        <v>55894</v>
      </c>
      <c r="S152" s="8">
        <v>56570</v>
      </c>
      <c r="T152" s="8">
        <v>55888</v>
      </c>
      <c r="U152" s="8">
        <v>56068</v>
      </c>
      <c r="V152" s="8">
        <v>56360</v>
      </c>
      <c r="W152" s="8">
        <v>56324</v>
      </c>
      <c r="X152" s="8">
        <v>56827</v>
      </c>
      <c r="Y152" s="8">
        <v>58078</v>
      </c>
      <c r="Z152" s="8">
        <v>56805</v>
      </c>
      <c r="AA152" s="8">
        <v>56604</v>
      </c>
      <c r="AB152" s="8">
        <v>57166</v>
      </c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</row>
    <row r="153" spans="1:47" ht="14.4">
      <c r="A153" s="3">
        <f>LOOKUP(D153,'AMFI DATA_2023H2'!F:L,'AMFI DATA_2023H2'!L:L)</f>
        <v>150</v>
      </c>
      <c r="B153" s="4" t="s">
        <v>459</v>
      </c>
      <c r="C153" s="4" t="s">
        <v>460</v>
      </c>
      <c r="D153" s="5" t="s">
        <v>461</v>
      </c>
      <c r="E153" s="5">
        <v>38709.919999999998</v>
      </c>
      <c r="F153" s="6">
        <f>LOOKUP(D153,'AMFI DATA_2023H2'!F:J,'AMFI DATA_2023H2'!J:J)</f>
        <v>44179.258199999997</v>
      </c>
      <c r="G153" s="7">
        <f t="shared" si="0"/>
        <v>-1</v>
      </c>
      <c r="H153" s="8"/>
      <c r="I153" s="8">
        <v>52472</v>
      </c>
      <c r="J153" s="8">
        <v>51403</v>
      </c>
      <c r="K153" s="8">
        <v>51909</v>
      </c>
      <c r="L153" s="8">
        <v>53782</v>
      </c>
      <c r="M153" s="8">
        <v>54903</v>
      </c>
      <c r="N153" s="8">
        <v>54209</v>
      </c>
      <c r="O153" s="8">
        <v>54977</v>
      </c>
      <c r="P153" s="8">
        <v>54002</v>
      </c>
      <c r="Q153" s="8">
        <v>53923</v>
      </c>
      <c r="R153" s="8">
        <v>53042</v>
      </c>
      <c r="S153" s="8">
        <v>54587</v>
      </c>
      <c r="T153" s="8">
        <v>55647</v>
      </c>
      <c r="U153" s="8">
        <v>53670</v>
      </c>
      <c r="V153" s="8">
        <v>53597</v>
      </c>
      <c r="W153" s="8">
        <v>52369</v>
      </c>
      <c r="X153" s="8">
        <v>52369</v>
      </c>
      <c r="Y153" s="8">
        <v>52198</v>
      </c>
      <c r="Z153" s="8">
        <v>51038</v>
      </c>
      <c r="AA153" s="8">
        <v>51238</v>
      </c>
      <c r="AB153" s="8">
        <v>50718</v>
      </c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</row>
    <row r="154" spans="1:47" ht="14.4">
      <c r="A154" s="3">
        <f>LOOKUP(D154,'AMFI DATA_2023H2'!F:L,'AMFI DATA_2023H2'!L:L)</f>
        <v>151</v>
      </c>
      <c r="B154" s="4" t="s">
        <v>462</v>
      </c>
      <c r="C154" s="4" t="s">
        <v>463</v>
      </c>
      <c r="D154" s="5" t="s">
        <v>464</v>
      </c>
      <c r="E154" s="5">
        <v>36649.31</v>
      </c>
      <c r="F154" s="6">
        <f>LOOKUP(D154,'AMFI DATA_2023H2'!F:J,'AMFI DATA_2023H2'!J:J)</f>
        <v>43968.6299</v>
      </c>
      <c r="G154" s="7">
        <f t="shared" si="0"/>
        <v>-1</v>
      </c>
      <c r="H154" s="8"/>
      <c r="I154" s="8">
        <v>48021</v>
      </c>
      <c r="J154" s="8">
        <v>47457</v>
      </c>
      <c r="K154" s="8">
        <v>49632</v>
      </c>
      <c r="L154" s="8">
        <v>49181</v>
      </c>
      <c r="M154" s="8">
        <v>49685</v>
      </c>
      <c r="N154" s="8">
        <v>50546</v>
      </c>
      <c r="O154" s="8">
        <v>48570</v>
      </c>
      <c r="P154" s="8">
        <v>48537</v>
      </c>
      <c r="Q154" s="8">
        <v>48183</v>
      </c>
      <c r="R154" s="8">
        <v>48717</v>
      </c>
      <c r="S154" s="8">
        <v>49664</v>
      </c>
      <c r="T154" s="8">
        <v>49053</v>
      </c>
      <c r="U154" s="8">
        <v>48655</v>
      </c>
      <c r="V154" s="8">
        <v>50452</v>
      </c>
      <c r="W154" s="8">
        <v>51579</v>
      </c>
      <c r="X154" s="8">
        <v>51593</v>
      </c>
      <c r="Y154" s="8">
        <v>51469</v>
      </c>
      <c r="Z154" s="8">
        <v>51609</v>
      </c>
      <c r="AA154" s="8">
        <v>51203</v>
      </c>
      <c r="AB154" s="8">
        <v>51691</v>
      </c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ht="14.4">
      <c r="A155" s="3">
        <f>LOOKUP(D155,'AMFI DATA_2023H2'!F:L,'AMFI DATA_2023H2'!L:L)</f>
        <v>152</v>
      </c>
      <c r="B155" s="4" t="s">
        <v>465</v>
      </c>
      <c r="C155" s="4" t="s">
        <v>466</v>
      </c>
      <c r="D155" s="5" t="s">
        <v>467</v>
      </c>
      <c r="E155" s="5">
        <v>33286.589999999997</v>
      </c>
      <c r="F155" s="6">
        <f>LOOKUP(D155,'AMFI DATA_2023H2'!F:J,'AMFI DATA_2023H2'!J:J)</f>
        <v>43949.262600000002</v>
      </c>
      <c r="G155" s="7">
        <f t="shared" si="0"/>
        <v>-1</v>
      </c>
      <c r="H155" s="8"/>
      <c r="I155" s="8">
        <v>43013</v>
      </c>
      <c r="J155" s="8">
        <v>41805</v>
      </c>
      <c r="K155" s="8">
        <v>41917</v>
      </c>
      <c r="L155" s="8">
        <v>43016</v>
      </c>
      <c r="M155" s="8">
        <v>43044</v>
      </c>
      <c r="N155" s="8">
        <v>43095</v>
      </c>
      <c r="O155" s="8">
        <v>43566</v>
      </c>
      <c r="P155" s="8">
        <v>43459</v>
      </c>
      <c r="Q155" s="8">
        <v>42743</v>
      </c>
      <c r="R155" s="8">
        <v>42014</v>
      </c>
      <c r="S155" s="8">
        <v>42048</v>
      </c>
      <c r="T155" s="8">
        <v>40265</v>
      </c>
      <c r="U155" s="8">
        <v>40789</v>
      </c>
      <c r="V155" s="8">
        <v>41865</v>
      </c>
      <c r="W155" s="8">
        <v>42338</v>
      </c>
      <c r="X155" s="8">
        <v>42669</v>
      </c>
      <c r="Y155" s="8">
        <v>42850</v>
      </c>
      <c r="Z155" s="8">
        <v>43899</v>
      </c>
      <c r="AA155" s="8">
        <v>44084</v>
      </c>
      <c r="AB155" s="8">
        <v>44073</v>
      </c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ht="14.4">
      <c r="A156" s="3">
        <f>LOOKUP(D156,'AMFI DATA_2023H2'!F:L,'AMFI DATA_2023H2'!L:L)</f>
        <v>153</v>
      </c>
      <c r="B156" s="4" t="s">
        <v>468</v>
      </c>
      <c r="C156" s="4" t="s">
        <v>469</v>
      </c>
      <c r="D156" s="5" t="s">
        <v>470</v>
      </c>
      <c r="E156" s="5">
        <v>32548.76</v>
      </c>
      <c r="F156" s="6">
        <f>LOOKUP(D156,'AMFI DATA_2023H2'!F:J,'AMFI DATA_2023H2'!J:J)</f>
        <v>43287.236100000002</v>
      </c>
      <c r="G156" s="7">
        <f t="shared" si="0"/>
        <v>-1</v>
      </c>
      <c r="H156" s="8"/>
      <c r="I156" s="8">
        <v>55053</v>
      </c>
      <c r="J156" s="8">
        <v>55011</v>
      </c>
      <c r="K156" s="8">
        <v>55569</v>
      </c>
      <c r="L156" s="8">
        <v>55538</v>
      </c>
      <c r="M156" s="8">
        <v>57126</v>
      </c>
      <c r="N156" s="8">
        <v>56024</v>
      </c>
      <c r="O156" s="8">
        <v>56206</v>
      </c>
      <c r="P156" s="8">
        <v>55340</v>
      </c>
      <c r="Q156" s="8">
        <v>55842</v>
      </c>
      <c r="R156" s="8">
        <v>54199</v>
      </c>
      <c r="S156" s="8">
        <v>55229</v>
      </c>
      <c r="T156" s="8">
        <v>55751</v>
      </c>
      <c r="U156" s="8">
        <v>53268</v>
      </c>
      <c r="V156" s="8">
        <v>52410</v>
      </c>
      <c r="W156" s="8">
        <v>52361</v>
      </c>
      <c r="X156" s="8">
        <v>51850</v>
      </c>
      <c r="Y156" s="8">
        <v>52391</v>
      </c>
      <c r="Z156" s="8">
        <v>51519</v>
      </c>
      <c r="AA156" s="8">
        <v>51002</v>
      </c>
      <c r="AB156" s="8">
        <v>51161</v>
      </c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</row>
    <row r="157" spans="1:47" ht="14.4">
      <c r="A157" s="3">
        <f>LOOKUP(D157,'AMFI DATA_2023H2'!F:L,'AMFI DATA_2023H2'!L:L)</f>
        <v>154</v>
      </c>
      <c r="B157" s="4" t="s">
        <v>471</v>
      </c>
      <c r="C157" s="4" t="s">
        <v>472</v>
      </c>
      <c r="D157" s="5" t="s">
        <v>473</v>
      </c>
      <c r="E157" s="5">
        <v>33266.28</v>
      </c>
      <c r="F157" s="6">
        <f>LOOKUP(D157,'AMFI DATA_2023H2'!F:J,'AMFI DATA_2023H2'!J:J)</f>
        <v>43081.444499999998</v>
      </c>
      <c r="G157" s="7">
        <f t="shared" si="0"/>
        <v>-1</v>
      </c>
      <c r="H157" s="8"/>
      <c r="I157" s="8">
        <v>61792</v>
      </c>
      <c r="J157" s="8">
        <v>59667</v>
      </c>
      <c r="K157" s="8">
        <v>60458</v>
      </c>
      <c r="L157" s="8">
        <v>62349</v>
      </c>
      <c r="M157" s="8">
        <v>61338</v>
      </c>
      <c r="N157" s="8">
        <v>61938</v>
      </c>
      <c r="O157" s="8">
        <v>61411</v>
      </c>
      <c r="P157" s="8">
        <v>61821</v>
      </c>
      <c r="Q157" s="8">
        <v>63741</v>
      </c>
      <c r="R157" s="8">
        <v>63125</v>
      </c>
      <c r="S157" s="8">
        <v>65250</v>
      </c>
      <c r="T157" s="8">
        <v>65514</v>
      </c>
      <c r="U157" s="8">
        <v>63741</v>
      </c>
      <c r="V157" s="8">
        <v>63814</v>
      </c>
      <c r="W157" s="8">
        <v>61997</v>
      </c>
      <c r="X157" s="8">
        <v>61352</v>
      </c>
      <c r="Y157" s="8">
        <v>60722</v>
      </c>
      <c r="Z157" s="8">
        <v>59022</v>
      </c>
      <c r="AA157" s="8">
        <v>59185</v>
      </c>
      <c r="AB157" s="8">
        <v>57264</v>
      </c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</row>
    <row r="158" spans="1:47" ht="14.4">
      <c r="A158" s="3">
        <f>LOOKUP(D158,'AMFI DATA_2023H2'!F:L,'AMFI DATA_2023H2'!L:L)</f>
        <v>155</v>
      </c>
      <c r="B158" s="4" t="s">
        <v>474</v>
      </c>
      <c r="C158" s="4" t="s">
        <v>475</v>
      </c>
      <c r="D158" s="5" t="s">
        <v>476</v>
      </c>
      <c r="E158" s="5">
        <v>38892.42</v>
      </c>
      <c r="F158" s="6">
        <f>LOOKUP(D158,'AMFI DATA_2023H2'!F:J,'AMFI DATA_2023H2'!J:J)</f>
        <v>42935.064549999996</v>
      </c>
      <c r="G158" s="7">
        <f t="shared" si="0"/>
        <v>-1</v>
      </c>
      <c r="H158" s="8"/>
      <c r="I158" s="8">
        <v>49220</v>
      </c>
      <c r="J158" s="8">
        <v>47378</v>
      </c>
      <c r="K158" s="8">
        <v>48006</v>
      </c>
      <c r="L158" s="8">
        <v>49448</v>
      </c>
      <c r="M158" s="8">
        <v>51318</v>
      </c>
      <c r="N158" s="8">
        <v>53559</v>
      </c>
      <c r="O158" s="8">
        <v>55301</v>
      </c>
      <c r="P158" s="8">
        <v>54387</v>
      </c>
      <c r="Q158" s="8">
        <v>53573</v>
      </c>
      <c r="R158" s="8">
        <v>50490</v>
      </c>
      <c r="S158" s="8">
        <v>49505</v>
      </c>
      <c r="T158" s="8">
        <v>48549</v>
      </c>
      <c r="U158" s="8">
        <v>47949</v>
      </c>
      <c r="V158" s="8">
        <v>48277</v>
      </c>
      <c r="W158" s="8">
        <v>48991</v>
      </c>
      <c r="X158" s="8">
        <v>49648</v>
      </c>
      <c r="Y158" s="8">
        <v>49348</v>
      </c>
      <c r="Z158" s="8">
        <v>49476</v>
      </c>
      <c r="AA158" s="8">
        <v>48848</v>
      </c>
      <c r="AB158" s="8">
        <v>49305</v>
      </c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ht="14.4">
      <c r="A159" s="3">
        <f>LOOKUP(D159,'AMFI DATA_2023H2'!F:L,'AMFI DATA_2023H2'!L:L)</f>
        <v>156</v>
      </c>
      <c r="B159" s="4" t="s">
        <v>477</v>
      </c>
      <c r="C159" s="4" t="s">
        <v>478</v>
      </c>
      <c r="D159" s="5" t="s">
        <v>479</v>
      </c>
      <c r="E159" s="5">
        <v>43732.07</v>
      </c>
      <c r="F159" s="6">
        <f>LOOKUP(D159,'AMFI DATA_2023H2'!F:J,'AMFI DATA_2023H2'!J:J)</f>
        <v>42852.723050000001</v>
      </c>
      <c r="G159" s="7">
        <f t="shared" si="0"/>
        <v>-1</v>
      </c>
      <c r="H159" s="8"/>
      <c r="I159" s="8">
        <v>41913</v>
      </c>
      <c r="J159" s="8">
        <v>42067</v>
      </c>
      <c r="K159" s="8">
        <v>42131</v>
      </c>
      <c r="L159" s="8">
        <v>42524</v>
      </c>
      <c r="M159" s="8">
        <v>41921</v>
      </c>
      <c r="N159" s="8">
        <v>41098</v>
      </c>
      <c r="O159" s="8">
        <v>41077</v>
      </c>
      <c r="P159" s="8">
        <v>41421</v>
      </c>
      <c r="Q159" s="8">
        <v>40645</v>
      </c>
      <c r="R159" s="8">
        <v>42118</v>
      </c>
      <c r="S159" s="8">
        <v>43334</v>
      </c>
      <c r="T159" s="8">
        <v>43568</v>
      </c>
      <c r="U159" s="8">
        <v>43151</v>
      </c>
      <c r="V159" s="8">
        <v>43713</v>
      </c>
      <c r="W159" s="8">
        <v>43039</v>
      </c>
      <c r="X159" s="8">
        <v>42944</v>
      </c>
      <c r="Y159" s="8">
        <v>42682</v>
      </c>
      <c r="Z159" s="8">
        <v>42344</v>
      </c>
      <c r="AA159" s="8">
        <v>41927</v>
      </c>
      <c r="AB159" s="8">
        <v>41938</v>
      </c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ht="14.4">
      <c r="A160" s="3">
        <f>LOOKUP(D160,'AMFI DATA_2023H2'!F:L,'AMFI DATA_2023H2'!L:L)</f>
        <v>157</v>
      </c>
      <c r="B160" s="4" t="s">
        <v>480</v>
      </c>
      <c r="C160" s="4" t="s">
        <v>481</v>
      </c>
      <c r="D160" s="5" t="s">
        <v>482</v>
      </c>
      <c r="E160" s="5">
        <v>32657.99</v>
      </c>
      <c r="F160" s="6">
        <f>LOOKUP(D160,'AMFI DATA_2023H2'!F:J,'AMFI DATA_2023H2'!J:J)</f>
        <v>42748.867549999995</v>
      </c>
      <c r="G160" s="7">
        <f t="shared" si="0"/>
        <v>-1</v>
      </c>
      <c r="H160" s="8"/>
      <c r="I160" s="8">
        <v>49617</v>
      </c>
      <c r="J160" s="8">
        <v>49498</v>
      </c>
      <c r="K160" s="8">
        <v>48900</v>
      </c>
      <c r="L160" s="8">
        <v>50119</v>
      </c>
      <c r="M160" s="8">
        <v>49797</v>
      </c>
      <c r="N160" s="8">
        <v>49557</v>
      </c>
      <c r="O160" s="8">
        <v>47943</v>
      </c>
      <c r="P160" s="8">
        <v>47704</v>
      </c>
      <c r="Q160" s="8">
        <v>48266</v>
      </c>
      <c r="R160" s="8">
        <v>48469</v>
      </c>
      <c r="S160" s="8">
        <v>49474</v>
      </c>
      <c r="T160" s="8">
        <v>49856</v>
      </c>
      <c r="U160" s="8">
        <v>49091</v>
      </c>
      <c r="V160" s="8">
        <v>47644</v>
      </c>
      <c r="W160" s="8">
        <v>47824</v>
      </c>
      <c r="X160" s="8">
        <v>47513</v>
      </c>
      <c r="Y160" s="8">
        <v>47537</v>
      </c>
      <c r="Z160" s="8">
        <v>47704</v>
      </c>
      <c r="AA160" s="8">
        <v>46844</v>
      </c>
      <c r="AB160" s="8">
        <v>47226</v>
      </c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ht="14.4">
      <c r="A161" s="3">
        <f>LOOKUP(D161,'AMFI DATA_2023H2'!F:L,'AMFI DATA_2023H2'!L:L)</f>
        <v>158</v>
      </c>
      <c r="B161" s="4" t="s">
        <v>483</v>
      </c>
      <c r="C161" s="4" t="s">
        <v>484</v>
      </c>
      <c r="D161" s="5" t="s">
        <v>485</v>
      </c>
      <c r="E161" s="5">
        <v>39237.620000000003</v>
      </c>
      <c r="F161" s="6">
        <f>LOOKUP(D161,'AMFI DATA_2023H2'!F:J,'AMFI DATA_2023H2'!J:J)</f>
        <v>42002.710749999998</v>
      </c>
      <c r="G161" s="7">
        <f t="shared" si="0"/>
        <v>-1</v>
      </c>
      <c r="H161" s="8"/>
      <c r="I161" s="8">
        <v>48717</v>
      </c>
      <c r="J161" s="8">
        <v>48745</v>
      </c>
      <c r="K161" s="8">
        <v>48338</v>
      </c>
      <c r="L161" s="8">
        <v>48340</v>
      </c>
      <c r="M161" s="8">
        <v>48314</v>
      </c>
      <c r="N161" s="8">
        <v>47469</v>
      </c>
      <c r="O161" s="8">
        <v>47427</v>
      </c>
      <c r="P161" s="8">
        <v>47934</v>
      </c>
      <c r="Q161" s="8">
        <v>47889</v>
      </c>
      <c r="R161" s="8">
        <v>49055</v>
      </c>
      <c r="S161" s="8">
        <v>49805</v>
      </c>
      <c r="T161" s="8">
        <v>50035</v>
      </c>
      <c r="U161" s="8">
        <v>48320</v>
      </c>
      <c r="V161" s="8">
        <v>47921</v>
      </c>
      <c r="W161" s="8">
        <v>47376</v>
      </c>
      <c r="X161" s="8">
        <v>47248</v>
      </c>
      <c r="Y161" s="8">
        <v>46349</v>
      </c>
      <c r="Z161" s="8">
        <v>45096</v>
      </c>
      <c r="AA161" s="8">
        <v>45279</v>
      </c>
      <c r="AB161" s="8">
        <v>44541</v>
      </c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spans="1:47" ht="14.4">
      <c r="A162" s="3">
        <f>LOOKUP(D162,'AMFI DATA_2023H2'!F:L,'AMFI DATA_2023H2'!L:L)</f>
        <v>159</v>
      </c>
      <c r="B162" s="4" t="s">
        <v>486</v>
      </c>
      <c r="C162" s="4" t="s">
        <v>487</v>
      </c>
      <c r="D162" s="5" t="s">
        <v>488</v>
      </c>
      <c r="E162" s="5">
        <v>4585.9799999999996</v>
      </c>
      <c r="F162" s="6">
        <f>LOOKUP(D162,'AMFI DATA_2023H2'!F:J,'AMFI DATA_2023H2'!J:J)</f>
        <v>41589.7552</v>
      </c>
      <c r="G162" s="7">
        <f t="shared" si="0"/>
        <v>-1</v>
      </c>
      <c r="H162" s="8"/>
      <c r="I162" s="8">
        <v>44510</v>
      </c>
      <c r="J162" s="8">
        <v>44079</v>
      </c>
      <c r="K162" s="8">
        <v>43691</v>
      </c>
      <c r="L162" s="8">
        <v>44594</v>
      </c>
      <c r="M162" s="8">
        <v>44258</v>
      </c>
      <c r="N162" s="8">
        <v>44489</v>
      </c>
      <c r="O162" s="8">
        <v>44573</v>
      </c>
      <c r="P162" s="8">
        <v>45192</v>
      </c>
      <c r="Q162" s="8">
        <v>45749</v>
      </c>
      <c r="R162" s="8">
        <v>45413</v>
      </c>
      <c r="S162" s="8">
        <v>45980</v>
      </c>
      <c r="T162" s="8">
        <v>45003</v>
      </c>
      <c r="U162" s="8">
        <v>44877</v>
      </c>
      <c r="V162" s="8">
        <v>44153</v>
      </c>
      <c r="W162" s="8">
        <v>44258</v>
      </c>
      <c r="X162" s="8">
        <v>43743</v>
      </c>
      <c r="Y162" s="8">
        <v>44289</v>
      </c>
      <c r="Z162" s="8">
        <v>44562</v>
      </c>
      <c r="AA162" s="8">
        <v>46400</v>
      </c>
      <c r="AB162" s="8">
        <v>46305</v>
      </c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spans="1:47" ht="14.4">
      <c r="A163" s="3">
        <f>LOOKUP(D163,'AMFI DATA_2023H2'!F:L,'AMFI DATA_2023H2'!L:L)</f>
        <v>160</v>
      </c>
      <c r="B163" s="4" t="s">
        <v>489</v>
      </c>
      <c r="C163" s="4" t="s">
        <v>490</v>
      </c>
      <c r="D163" s="5" t="s">
        <v>491</v>
      </c>
      <c r="E163" s="5">
        <v>34806.959999999999</v>
      </c>
      <c r="F163" s="6">
        <f>LOOKUP(D163,'AMFI DATA_2023H2'!F:J,'AMFI DATA_2023H2'!J:J)</f>
        <v>41254.815699999999</v>
      </c>
      <c r="G163" s="7">
        <f t="shared" si="0"/>
        <v>-1</v>
      </c>
      <c r="H163" s="8"/>
      <c r="I163" s="8">
        <v>66062</v>
      </c>
      <c r="J163" s="8">
        <v>64487</v>
      </c>
      <c r="K163" s="8">
        <v>63700</v>
      </c>
      <c r="L163" s="8">
        <v>64218</v>
      </c>
      <c r="M163" s="8">
        <v>63778</v>
      </c>
      <c r="N163" s="8">
        <v>63863</v>
      </c>
      <c r="O163" s="8">
        <v>63097</v>
      </c>
      <c r="P163" s="8">
        <v>61090</v>
      </c>
      <c r="Q163" s="8">
        <v>62310</v>
      </c>
      <c r="R163" s="8">
        <v>60863</v>
      </c>
      <c r="S163" s="8">
        <v>59544</v>
      </c>
      <c r="T163" s="8">
        <v>58926</v>
      </c>
      <c r="U163" s="8">
        <v>59842</v>
      </c>
      <c r="V163" s="8">
        <v>57962</v>
      </c>
      <c r="W163" s="8">
        <v>56714</v>
      </c>
      <c r="X163" s="8">
        <v>56565</v>
      </c>
      <c r="Y163" s="8">
        <v>59267</v>
      </c>
      <c r="Z163" s="8">
        <v>54160</v>
      </c>
      <c r="AA163" s="8">
        <v>54516</v>
      </c>
      <c r="AB163" s="8">
        <v>52387</v>
      </c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</row>
    <row r="164" spans="1:47" ht="14.4">
      <c r="A164" s="3">
        <f>LOOKUP(D164,'AMFI DATA_2023H2'!F:L,'AMFI DATA_2023H2'!L:L)</f>
        <v>161</v>
      </c>
      <c r="B164" s="4" t="s">
        <v>492</v>
      </c>
      <c r="C164" s="4" t="s">
        <v>493</v>
      </c>
      <c r="D164" s="5" t="s">
        <v>494</v>
      </c>
      <c r="E164" s="5">
        <v>28773.64</v>
      </c>
      <c r="F164" s="6">
        <f>LOOKUP(D164,'AMFI DATA_2023H2'!F:J,'AMFI DATA_2023H2'!J:J)</f>
        <v>41087.304600000003</v>
      </c>
      <c r="G164" s="7">
        <f t="shared" si="0"/>
        <v>-1</v>
      </c>
      <c r="H164" s="8"/>
      <c r="I164" s="8">
        <v>62685</v>
      </c>
      <c r="J164" s="8">
        <v>53632</v>
      </c>
      <c r="K164" s="8">
        <v>54299</v>
      </c>
      <c r="L164" s="8">
        <v>54536</v>
      </c>
      <c r="M164" s="8">
        <v>54658</v>
      </c>
      <c r="N164" s="8">
        <v>53588</v>
      </c>
      <c r="O164" s="8">
        <v>53167</v>
      </c>
      <c r="P164" s="8">
        <v>53465</v>
      </c>
      <c r="Q164" s="8">
        <v>54167</v>
      </c>
      <c r="R164" s="8">
        <v>54597</v>
      </c>
      <c r="S164" s="8">
        <v>55141</v>
      </c>
      <c r="T164" s="8">
        <v>55544</v>
      </c>
      <c r="U164" s="8">
        <v>54527</v>
      </c>
      <c r="V164" s="8">
        <v>54299</v>
      </c>
      <c r="W164" s="8">
        <v>54702</v>
      </c>
      <c r="X164" s="8">
        <v>54027</v>
      </c>
      <c r="Y164" s="8">
        <v>55185</v>
      </c>
      <c r="Z164" s="8">
        <v>55079</v>
      </c>
      <c r="AA164" s="8">
        <v>54842</v>
      </c>
      <c r="AB164" s="8">
        <v>55114</v>
      </c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</row>
    <row r="165" spans="1:47" ht="14.4">
      <c r="A165" s="3">
        <f>LOOKUP(D165,'AMFI DATA_2023H2'!F:L,'AMFI DATA_2023H2'!L:L)</f>
        <v>162</v>
      </c>
      <c r="B165" s="4" t="s">
        <v>495</v>
      </c>
      <c r="C165" s="4" t="s">
        <v>496</v>
      </c>
      <c r="D165" s="5" t="s">
        <v>497</v>
      </c>
      <c r="E165" s="5">
        <v>36850.86</v>
      </c>
      <c r="F165" s="6">
        <f>LOOKUP(D165,'AMFI DATA_2023H2'!F:J,'AMFI DATA_2023H2'!J:J)</f>
        <v>40584.754849999998</v>
      </c>
      <c r="G165" s="7">
        <f t="shared" si="0"/>
        <v>-1</v>
      </c>
      <c r="H165" s="8"/>
      <c r="I165" s="8">
        <v>41531</v>
      </c>
      <c r="J165" s="8">
        <v>40913</v>
      </c>
      <c r="K165" s="8">
        <v>41054</v>
      </c>
      <c r="L165" s="8">
        <v>42461</v>
      </c>
      <c r="M165" s="8">
        <v>42960</v>
      </c>
      <c r="N165" s="8">
        <v>43202</v>
      </c>
      <c r="O165" s="8">
        <v>43230</v>
      </c>
      <c r="P165" s="8">
        <v>42922</v>
      </c>
      <c r="Q165" s="8">
        <v>43289</v>
      </c>
      <c r="R165" s="8">
        <v>43988</v>
      </c>
      <c r="S165" s="8">
        <v>44825</v>
      </c>
      <c r="T165" s="8">
        <v>44280</v>
      </c>
      <c r="U165" s="8">
        <v>43279</v>
      </c>
      <c r="V165" s="8">
        <v>43521</v>
      </c>
      <c r="W165" s="8">
        <v>44285</v>
      </c>
      <c r="X165" s="8">
        <v>42734</v>
      </c>
      <c r="Y165" s="8">
        <v>42981</v>
      </c>
      <c r="Z165" s="8">
        <v>43564</v>
      </c>
      <c r="AA165" s="8">
        <v>42000</v>
      </c>
      <c r="AB165" s="8">
        <v>41152</v>
      </c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</row>
    <row r="166" spans="1:47" ht="14.4">
      <c r="A166" s="3">
        <f>LOOKUP(D166,'AMFI DATA_2023H2'!F:L,'AMFI DATA_2023H2'!L:L)</f>
        <v>163</v>
      </c>
      <c r="B166" s="4" t="s">
        <v>498</v>
      </c>
      <c r="C166" s="4" t="s">
        <v>499</v>
      </c>
      <c r="D166" s="5" t="s">
        <v>500</v>
      </c>
      <c r="E166" s="5">
        <v>32197.77</v>
      </c>
      <c r="F166" s="6">
        <f>LOOKUP(D166,'AMFI DATA_2023H2'!F:J,'AMFI DATA_2023H2'!J:J)</f>
        <v>40376.393150000004</v>
      </c>
      <c r="G166" s="7">
        <f t="shared" si="0"/>
        <v>-1</v>
      </c>
      <c r="H166" s="8"/>
      <c r="I166" s="8">
        <v>61507</v>
      </c>
      <c r="J166" s="8">
        <v>61165</v>
      </c>
      <c r="K166" s="8">
        <v>60414</v>
      </c>
      <c r="L166" s="8">
        <v>61211</v>
      </c>
      <c r="M166" s="8">
        <v>59594</v>
      </c>
      <c r="N166" s="8">
        <v>58775</v>
      </c>
      <c r="O166" s="8">
        <v>55133</v>
      </c>
      <c r="P166" s="8">
        <v>53813</v>
      </c>
      <c r="Q166" s="8">
        <v>54108</v>
      </c>
      <c r="R166" s="8">
        <v>53790</v>
      </c>
      <c r="S166" s="8">
        <v>54086</v>
      </c>
      <c r="T166" s="8">
        <v>54017</v>
      </c>
      <c r="U166" s="8">
        <v>52925</v>
      </c>
      <c r="V166" s="8">
        <v>52060</v>
      </c>
      <c r="W166" s="8">
        <v>51536</v>
      </c>
      <c r="X166" s="8">
        <v>51263</v>
      </c>
      <c r="Y166" s="8">
        <v>51627</v>
      </c>
      <c r="Z166" s="8">
        <v>50512</v>
      </c>
      <c r="AA166" s="8">
        <v>49829</v>
      </c>
      <c r="AB166" s="8">
        <v>50899</v>
      </c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</row>
    <row r="167" spans="1:47" ht="14.4">
      <c r="A167" s="3">
        <f>LOOKUP(D167,'AMFI DATA_2023H2'!F:L,'AMFI DATA_2023H2'!L:L)</f>
        <v>164</v>
      </c>
      <c r="B167" s="4" t="s">
        <v>501</v>
      </c>
      <c r="C167" s="4" t="s">
        <v>502</v>
      </c>
      <c r="D167" s="5" t="s">
        <v>503</v>
      </c>
      <c r="E167" s="5">
        <v>16168.62</v>
      </c>
      <c r="F167" s="6">
        <f>LOOKUP(D167,'AMFI DATA_2023H2'!F:J,'AMFI DATA_2023H2'!J:J)</f>
        <v>39643.818400000004</v>
      </c>
      <c r="G167" s="7">
        <f t="shared" si="0"/>
        <v>-1</v>
      </c>
      <c r="H167" s="8"/>
      <c r="I167" s="8">
        <v>46642</v>
      </c>
      <c r="J167" s="8">
        <v>46783</v>
      </c>
      <c r="K167" s="8">
        <v>48172</v>
      </c>
      <c r="L167" s="8">
        <v>46923</v>
      </c>
      <c r="M167" s="8">
        <v>47359</v>
      </c>
      <c r="N167" s="8">
        <v>46236</v>
      </c>
      <c r="O167" s="8">
        <v>46285</v>
      </c>
      <c r="P167" s="8">
        <v>46403</v>
      </c>
      <c r="Q167" s="8">
        <v>44977</v>
      </c>
      <c r="R167" s="8">
        <v>44765</v>
      </c>
      <c r="S167" s="8">
        <v>45596</v>
      </c>
      <c r="T167" s="8">
        <v>45508</v>
      </c>
      <c r="U167" s="8">
        <v>46038</v>
      </c>
      <c r="V167" s="8">
        <v>45316</v>
      </c>
      <c r="W167" s="8">
        <v>46127</v>
      </c>
      <c r="X167" s="8">
        <v>45991</v>
      </c>
      <c r="Y167" s="8">
        <v>46078</v>
      </c>
      <c r="Z167" s="8">
        <v>47227</v>
      </c>
      <c r="AA167" s="8">
        <v>46177</v>
      </c>
      <c r="AB167" s="8">
        <v>42787</v>
      </c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ht="14.4">
      <c r="A168" s="3">
        <f>LOOKUP(D168,'AMFI DATA_2023H2'!F:L,'AMFI DATA_2023H2'!L:L)</f>
        <v>165</v>
      </c>
      <c r="B168" s="4" t="s">
        <v>504</v>
      </c>
      <c r="C168" s="4" t="s">
        <v>505</v>
      </c>
      <c r="D168" s="5" t="s">
        <v>506</v>
      </c>
      <c r="E168" s="5">
        <v>19335.21</v>
      </c>
      <c r="F168" s="6">
        <f>LOOKUP(D168,'AMFI DATA_2023H2'!F:J,'AMFI DATA_2023H2'!J:J)</f>
        <v>38593.770799999998</v>
      </c>
      <c r="G168" s="7">
        <f t="shared" si="0"/>
        <v>-1</v>
      </c>
      <c r="H168" s="8"/>
      <c r="I168" s="8">
        <v>52740</v>
      </c>
      <c r="J168" s="8">
        <v>52439</v>
      </c>
      <c r="K168" s="8">
        <v>52144</v>
      </c>
      <c r="L168" s="8">
        <v>51960</v>
      </c>
      <c r="M168" s="8">
        <v>51721</v>
      </c>
      <c r="N168" s="8">
        <v>52400</v>
      </c>
      <c r="O168" s="8">
        <v>52481</v>
      </c>
      <c r="P168" s="8">
        <v>52215</v>
      </c>
      <c r="Q168" s="8">
        <v>52448</v>
      </c>
      <c r="R168" s="8">
        <v>52135</v>
      </c>
      <c r="S168" s="8">
        <v>52471</v>
      </c>
      <c r="T168" s="8">
        <v>53173</v>
      </c>
      <c r="U168" s="8">
        <v>53034</v>
      </c>
      <c r="V168" s="8">
        <v>53131</v>
      </c>
      <c r="W168" s="8">
        <v>53079</v>
      </c>
      <c r="X168" s="8">
        <v>52170</v>
      </c>
      <c r="Y168" s="8">
        <v>52342</v>
      </c>
      <c r="Z168" s="8">
        <v>51999</v>
      </c>
      <c r="AA168" s="8">
        <v>51850</v>
      </c>
      <c r="AB168" s="8">
        <v>51420</v>
      </c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ht="14.4">
      <c r="A169" s="3">
        <f>LOOKUP(D169,'AMFI DATA_2023H2'!F:L,'AMFI DATA_2023H2'!L:L)</f>
        <v>166</v>
      </c>
      <c r="B169" s="4" t="s">
        <v>507</v>
      </c>
      <c r="C169" s="4" t="s">
        <v>508</v>
      </c>
      <c r="D169" s="5" t="s">
        <v>509</v>
      </c>
      <c r="E169" s="5">
        <v>35121.230000000003</v>
      </c>
      <c r="F169" s="6">
        <f>LOOKUP(D169,'AMFI DATA_2023H2'!F:J,'AMFI DATA_2023H2'!J:J)</f>
        <v>38380.709499999997</v>
      </c>
      <c r="G169" s="7">
        <f t="shared" si="0"/>
        <v>-1</v>
      </c>
      <c r="H169" s="8"/>
      <c r="I169" s="8">
        <v>47109</v>
      </c>
      <c r="J169" s="8">
        <v>46696</v>
      </c>
      <c r="K169" s="8">
        <v>46716</v>
      </c>
      <c r="L169" s="8">
        <v>49360</v>
      </c>
      <c r="M169" s="8">
        <v>47356</v>
      </c>
      <c r="N169" s="8">
        <v>47460</v>
      </c>
      <c r="O169" s="8">
        <v>46861</v>
      </c>
      <c r="P169" s="8">
        <v>47522</v>
      </c>
      <c r="Q169" s="8">
        <v>47171</v>
      </c>
      <c r="R169" s="8">
        <v>47191</v>
      </c>
      <c r="S169" s="8">
        <v>48307</v>
      </c>
      <c r="T169" s="8">
        <v>49009</v>
      </c>
      <c r="U169" s="8">
        <v>49195</v>
      </c>
      <c r="V169" s="8">
        <v>50805</v>
      </c>
      <c r="W169" s="8">
        <v>51487</v>
      </c>
      <c r="X169" s="8">
        <v>51053</v>
      </c>
      <c r="Y169" s="8">
        <v>50772</v>
      </c>
      <c r="Z169" s="8">
        <v>47687</v>
      </c>
      <c r="AA169" s="8">
        <v>46890</v>
      </c>
      <c r="AB169" s="8">
        <v>46572</v>
      </c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ht="14.4">
      <c r="A170" s="3">
        <f>LOOKUP(D170,'AMFI DATA_2023H2'!F:L,'AMFI DATA_2023H2'!L:L)</f>
        <v>167</v>
      </c>
      <c r="B170" s="4" t="s">
        <v>510</v>
      </c>
      <c r="C170" s="4" t="s">
        <v>511</v>
      </c>
      <c r="D170" s="5" t="s">
        <v>512</v>
      </c>
      <c r="E170" s="5">
        <v>18441.79</v>
      </c>
      <c r="F170" s="6">
        <f>LOOKUP(D170,'AMFI DATA_2023H2'!F:J,'AMFI DATA_2023H2'!J:J)</f>
        <v>37726.519899999999</v>
      </c>
      <c r="G170" s="7">
        <f t="shared" si="0"/>
        <v>-1</v>
      </c>
      <c r="H170" s="8"/>
      <c r="I170" s="8">
        <v>47751</v>
      </c>
      <c r="J170" s="8">
        <v>46714</v>
      </c>
      <c r="K170" s="8">
        <v>48056</v>
      </c>
      <c r="L170" s="8">
        <v>49678</v>
      </c>
      <c r="M170" s="8">
        <v>48607</v>
      </c>
      <c r="N170" s="8">
        <v>50299</v>
      </c>
      <c r="O170" s="8">
        <v>50493</v>
      </c>
      <c r="P170" s="8">
        <v>50765</v>
      </c>
      <c r="Q170" s="8">
        <v>51041</v>
      </c>
      <c r="R170" s="8">
        <v>49987</v>
      </c>
      <c r="S170" s="8">
        <v>50221</v>
      </c>
      <c r="T170" s="8">
        <v>49521</v>
      </c>
      <c r="U170" s="8">
        <v>49151</v>
      </c>
      <c r="V170" s="8">
        <v>48941</v>
      </c>
      <c r="W170" s="8">
        <v>47216</v>
      </c>
      <c r="X170" s="8">
        <v>47142</v>
      </c>
      <c r="Y170" s="8">
        <v>46816</v>
      </c>
      <c r="Z170" s="8">
        <v>45989</v>
      </c>
      <c r="AA170" s="8">
        <v>45911</v>
      </c>
      <c r="AB170" s="8">
        <v>45215</v>
      </c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ht="14.4">
      <c r="A171" s="3">
        <f>LOOKUP(D171,'AMFI DATA_2023H2'!F:L,'AMFI DATA_2023H2'!L:L)</f>
        <v>168</v>
      </c>
      <c r="B171" s="4" t="s">
        <v>513</v>
      </c>
      <c r="C171" s="4" t="s">
        <v>514</v>
      </c>
      <c r="D171" s="5" t="s">
        <v>515</v>
      </c>
      <c r="E171" s="5">
        <v>10634.65</v>
      </c>
      <c r="F171" s="6">
        <f>LOOKUP(D171,'AMFI DATA_2023H2'!F:J,'AMFI DATA_2023H2'!J:J)</f>
        <v>37519.146500000003</v>
      </c>
      <c r="G171" s="7">
        <f t="shared" si="0"/>
        <v>-1</v>
      </c>
      <c r="H171" s="8"/>
      <c r="I171" s="8">
        <v>56484</v>
      </c>
      <c r="J171" s="8">
        <v>57777</v>
      </c>
      <c r="K171" s="8">
        <v>55083</v>
      </c>
      <c r="L171" s="8">
        <v>56659</v>
      </c>
      <c r="M171" s="8">
        <v>59056</v>
      </c>
      <c r="N171" s="8">
        <v>60470</v>
      </c>
      <c r="O171" s="8">
        <v>58625</v>
      </c>
      <c r="P171" s="8">
        <v>58652</v>
      </c>
      <c r="Q171" s="8">
        <v>58652</v>
      </c>
      <c r="R171" s="8">
        <v>57453</v>
      </c>
      <c r="S171" s="8">
        <v>54679</v>
      </c>
      <c r="T171" s="8">
        <v>52115</v>
      </c>
      <c r="U171" s="8">
        <v>50944</v>
      </c>
      <c r="V171" s="8">
        <v>51509</v>
      </c>
      <c r="W171" s="8">
        <v>51819</v>
      </c>
      <c r="X171" s="8">
        <v>51415</v>
      </c>
      <c r="Y171" s="8">
        <v>51428</v>
      </c>
      <c r="Z171" s="8">
        <v>49893</v>
      </c>
      <c r="AA171" s="8">
        <v>49745</v>
      </c>
      <c r="AB171" s="8">
        <v>50163</v>
      </c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spans="1:47" ht="14.4">
      <c r="A172" s="3">
        <f>LOOKUP(D172,'AMFI DATA_2023H2'!F:L,'AMFI DATA_2023H2'!L:L)</f>
        <v>169</v>
      </c>
      <c r="B172" s="4" t="s">
        <v>516</v>
      </c>
      <c r="C172" s="4" t="s">
        <v>517</v>
      </c>
      <c r="D172" s="5" t="s">
        <v>518</v>
      </c>
      <c r="E172" s="5">
        <v>37710.589999999997</v>
      </c>
      <c r="F172" s="6">
        <f>LOOKUP(D172,'AMFI DATA_2023H2'!F:J,'AMFI DATA_2023H2'!J:J)</f>
        <v>37238.623900000006</v>
      </c>
      <c r="G172" s="7">
        <f t="shared" si="0"/>
        <v>-1</v>
      </c>
      <c r="H172" s="8"/>
      <c r="I172" s="8">
        <v>36439</v>
      </c>
      <c r="J172" s="8">
        <v>36664</v>
      </c>
      <c r="K172" s="8">
        <v>36785</v>
      </c>
      <c r="L172" s="8">
        <v>37011</v>
      </c>
      <c r="M172" s="8">
        <v>37220</v>
      </c>
      <c r="N172" s="8">
        <v>37075</v>
      </c>
      <c r="O172" s="8">
        <v>37494</v>
      </c>
      <c r="P172" s="8">
        <v>37220</v>
      </c>
      <c r="Q172" s="8">
        <v>37840</v>
      </c>
      <c r="R172" s="8">
        <v>37542</v>
      </c>
      <c r="S172" s="8">
        <v>40538</v>
      </c>
      <c r="T172" s="8">
        <v>42012</v>
      </c>
      <c r="U172" s="8">
        <v>40917</v>
      </c>
      <c r="V172" s="8">
        <v>39032</v>
      </c>
      <c r="W172" s="8">
        <v>39322</v>
      </c>
      <c r="X172" s="8">
        <v>38879</v>
      </c>
      <c r="Y172" s="8">
        <v>38541</v>
      </c>
      <c r="Z172" s="8">
        <v>38372</v>
      </c>
      <c r="AA172" s="8">
        <v>37856</v>
      </c>
      <c r="AB172" s="8">
        <v>37824</v>
      </c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</row>
    <row r="173" spans="1:47" ht="14.4">
      <c r="A173" s="3">
        <f>LOOKUP(D173,'AMFI DATA_2023H2'!F:L,'AMFI DATA_2023H2'!L:L)</f>
        <v>170</v>
      </c>
      <c r="B173" s="4" t="s">
        <v>519</v>
      </c>
      <c r="C173" s="4" t="s">
        <v>520</v>
      </c>
      <c r="D173" s="5" t="s">
        <v>521</v>
      </c>
      <c r="E173" s="5">
        <v>35284.449999999997</v>
      </c>
      <c r="F173" s="6">
        <f>LOOKUP(D173,'AMFI DATA_2023H2'!F:J,'AMFI DATA_2023H2'!J:J)</f>
        <v>36883.025399999999</v>
      </c>
      <c r="G173" s="7">
        <f t="shared" si="0"/>
        <v>-1</v>
      </c>
      <c r="H173" s="8"/>
      <c r="I173" s="8">
        <v>42778</v>
      </c>
      <c r="J173" s="8">
        <v>42442</v>
      </c>
      <c r="K173" s="8">
        <v>42307</v>
      </c>
      <c r="L173" s="8">
        <v>43087</v>
      </c>
      <c r="M173" s="8">
        <v>43659</v>
      </c>
      <c r="N173" s="8">
        <v>43800</v>
      </c>
      <c r="O173" s="8">
        <v>43632</v>
      </c>
      <c r="P173" s="8">
        <v>43315</v>
      </c>
      <c r="Q173" s="8">
        <v>43307</v>
      </c>
      <c r="R173" s="8">
        <v>44219</v>
      </c>
      <c r="S173" s="8">
        <v>44731</v>
      </c>
      <c r="T173" s="8">
        <v>44284</v>
      </c>
      <c r="U173" s="8">
        <v>42628</v>
      </c>
      <c r="V173" s="8">
        <v>42486</v>
      </c>
      <c r="W173" s="8">
        <v>42126</v>
      </c>
      <c r="X173" s="8">
        <v>41480</v>
      </c>
      <c r="Y173" s="8">
        <v>40763</v>
      </c>
      <c r="Z173" s="8">
        <v>40709</v>
      </c>
      <c r="AA173" s="8">
        <v>39682</v>
      </c>
      <c r="AB173" s="8">
        <v>39262</v>
      </c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</row>
    <row r="174" spans="1:47" ht="14.4">
      <c r="A174" s="3">
        <f>LOOKUP(D174,'AMFI DATA_2023H2'!F:L,'AMFI DATA_2023H2'!L:L)</f>
        <v>171</v>
      </c>
      <c r="B174" s="4" t="s">
        <v>522</v>
      </c>
      <c r="C174" s="4" t="s">
        <v>523</v>
      </c>
      <c r="D174" s="5" t="s">
        <v>524</v>
      </c>
      <c r="E174" s="5">
        <v>23809.93</v>
      </c>
      <c r="F174" s="6">
        <f>LOOKUP(D174,'AMFI DATA_2023H2'!F:J,'AMFI DATA_2023H2'!J:J)</f>
        <v>35836.914049999999</v>
      </c>
      <c r="G174" s="7">
        <f t="shared" si="0"/>
        <v>-1</v>
      </c>
      <c r="H174" s="8"/>
      <c r="I174" s="8">
        <v>47372</v>
      </c>
      <c r="J174" s="8">
        <v>45835</v>
      </c>
      <c r="K174" s="8">
        <v>44724</v>
      </c>
      <c r="L174" s="8">
        <v>46070</v>
      </c>
      <c r="M174" s="8">
        <v>45592</v>
      </c>
      <c r="N174" s="8">
        <v>45054</v>
      </c>
      <c r="O174" s="8">
        <v>43943</v>
      </c>
      <c r="P174" s="8">
        <v>43405</v>
      </c>
      <c r="Q174" s="8">
        <v>43344</v>
      </c>
      <c r="R174" s="8">
        <v>43778</v>
      </c>
      <c r="S174" s="8">
        <v>45037</v>
      </c>
      <c r="T174" s="8">
        <v>45575</v>
      </c>
      <c r="U174" s="8">
        <v>45115</v>
      </c>
      <c r="V174" s="8">
        <v>44290</v>
      </c>
      <c r="W174" s="8">
        <v>43778</v>
      </c>
      <c r="X174" s="8">
        <v>43465</v>
      </c>
      <c r="Y174" s="8">
        <v>43570</v>
      </c>
      <c r="Z174" s="8">
        <v>42580</v>
      </c>
      <c r="AA174" s="8">
        <v>42337</v>
      </c>
      <c r="AB174" s="8">
        <v>42276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</row>
    <row r="175" spans="1:47" ht="14.4">
      <c r="A175" s="3">
        <f>LOOKUP(D175,'AMFI DATA_2023H2'!F:L,'AMFI DATA_2023H2'!L:L)</f>
        <v>172</v>
      </c>
      <c r="B175" s="4" t="s">
        <v>525</v>
      </c>
      <c r="C175" s="4" t="s">
        <v>526</v>
      </c>
      <c r="D175" s="5" t="s">
        <v>527</v>
      </c>
      <c r="E175" s="5">
        <v>32421.47</v>
      </c>
      <c r="F175" s="6">
        <f>LOOKUP(D175,'AMFI DATA_2023H2'!F:J,'AMFI DATA_2023H2'!J:J)</f>
        <v>35725.22135</v>
      </c>
      <c r="G175" s="7">
        <f t="shared" si="0"/>
        <v>-1</v>
      </c>
      <c r="H175" s="8"/>
      <c r="I175" s="8">
        <v>34887</v>
      </c>
      <c r="J175" s="8">
        <v>34325</v>
      </c>
      <c r="K175" s="8">
        <v>34529</v>
      </c>
      <c r="L175" s="8">
        <v>34905</v>
      </c>
      <c r="M175" s="8">
        <v>34918</v>
      </c>
      <c r="N175" s="8">
        <v>34603</v>
      </c>
      <c r="O175" s="8">
        <v>34312</v>
      </c>
      <c r="P175" s="8">
        <v>33299</v>
      </c>
      <c r="Q175" s="8">
        <v>33830</v>
      </c>
      <c r="R175" s="8">
        <v>34053</v>
      </c>
      <c r="S175" s="8">
        <v>34183</v>
      </c>
      <c r="T175" s="8">
        <v>34349</v>
      </c>
      <c r="U175" s="8">
        <v>34022</v>
      </c>
      <c r="V175" s="8">
        <v>33756</v>
      </c>
      <c r="W175" s="8">
        <v>33997</v>
      </c>
      <c r="X175" s="8">
        <v>34244</v>
      </c>
      <c r="Y175" s="8">
        <v>33849</v>
      </c>
      <c r="Z175" s="8">
        <v>34201</v>
      </c>
      <c r="AA175" s="8">
        <v>33429</v>
      </c>
      <c r="AB175" s="8">
        <v>33040</v>
      </c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spans="1:47" ht="14.4">
      <c r="A176" s="3">
        <f>LOOKUP(D176,'AMFI DATA_2023H2'!F:L,'AMFI DATA_2023H2'!L:L)</f>
        <v>173</v>
      </c>
      <c r="B176" s="4" t="s">
        <v>528</v>
      </c>
      <c r="C176" s="4" t="s">
        <v>529</v>
      </c>
      <c r="D176" s="5" t="s">
        <v>530</v>
      </c>
      <c r="E176" s="5">
        <v>25596.36</v>
      </c>
      <c r="F176" s="6">
        <f>LOOKUP(D176,'AMFI DATA_2023H2'!F:J,'AMFI DATA_2023H2'!J:J)</f>
        <v>35646.117150000005</v>
      </c>
      <c r="G176" s="7">
        <f t="shared" si="0"/>
        <v>-1</v>
      </c>
      <c r="H176" s="8"/>
      <c r="I176" s="8">
        <v>47394</v>
      </c>
      <c r="J176" s="8">
        <v>47922</v>
      </c>
      <c r="K176" s="8">
        <v>48110</v>
      </c>
      <c r="L176" s="8">
        <v>48415</v>
      </c>
      <c r="M176" s="8">
        <v>48749</v>
      </c>
      <c r="N176" s="8">
        <v>48713</v>
      </c>
      <c r="O176" s="8">
        <v>48977</v>
      </c>
      <c r="P176" s="8">
        <v>49112</v>
      </c>
      <c r="Q176" s="8">
        <v>48783</v>
      </c>
      <c r="R176" s="8">
        <v>48747</v>
      </c>
      <c r="S176" s="8">
        <v>49878</v>
      </c>
      <c r="T176" s="8">
        <v>48763</v>
      </c>
      <c r="U176" s="8">
        <v>45313</v>
      </c>
      <c r="V176" s="8">
        <v>45082</v>
      </c>
      <c r="W176" s="8">
        <v>45286</v>
      </c>
      <c r="X176" s="8">
        <v>44890</v>
      </c>
      <c r="Y176" s="8">
        <v>44169</v>
      </c>
      <c r="Z176" s="8">
        <v>43195</v>
      </c>
      <c r="AA176" s="8">
        <v>43808</v>
      </c>
      <c r="AB176" s="8">
        <v>43904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</row>
    <row r="177" spans="1:47" ht="14.4">
      <c r="A177" s="3">
        <f>LOOKUP(D177,'AMFI DATA_2023H2'!F:L,'AMFI DATA_2023H2'!L:L)</f>
        <v>174</v>
      </c>
      <c r="B177" s="4" t="s">
        <v>531</v>
      </c>
      <c r="C177" s="4" t="s">
        <v>532</v>
      </c>
      <c r="D177" s="5" t="s">
        <v>533</v>
      </c>
      <c r="E177" s="5">
        <v>29857.88</v>
      </c>
      <c r="F177" s="6">
        <f>LOOKUP(D177,'AMFI DATA_2023H2'!F:J,'AMFI DATA_2023H2'!J:J)</f>
        <v>35063.516900000002</v>
      </c>
      <c r="G177" s="7">
        <f t="shared" si="0"/>
        <v>-1</v>
      </c>
      <c r="H177" s="8"/>
      <c r="I177" s="8">
        <v>39566</v>
      </c>
      <c r="J177" s="8">
        <v>39019</v>
      </c>
      <c r="K177" s="8">
        <v>39761</v>
      </c>
      <c r="L177" s="8">
        <v>40206</v>
      </c>
      <c r="M177" s="8">
        <v>40272</v>
      </c>
      <c r="N177" s="8">
        <v>41143</v>
      </c>
      <c r="O177" s="8">
        <v>41415</v>
      </c>
      <c r="P177" s="8">
        <v>40713</v>
      </c>
      <c r="Q177" s="8">
        <v>40985</v>
      </c>
      <c r="R177" s="8">
        <v>40432</v>
      </c>
      <c r="S177" s="8">
        <v>40228</v>
      </c>
      <c r="T177" s="8">
        <v>39263</v>
      </c>
      <c r="U177" s="8">
        <v>38105</v>
      </c>
      <c r="V177" s="8">
        <v>38821</v>
      </c>
      <c r="W177" s="8">
        <v>39257</v>
      </c>
      <c r="X177" s="8">
        <v>39354</v>
      </c>
      <c r="Y177" s="8">
        <v>38509</v>
      </c>
      <c r="Z177" s="8">
        <v>38515</v>
      </c>
      <c r="AA177" s="8">
        <v>38084</v>
      </c>
      <c r="AB177" s="8">
        <v>38351</v>
      </c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spans="1:47" ht="14.4">
      <c r="A178" s="3">
        <f>LOOKUP(D178,'AMFI DATA_2023H2'!F:L,'AMFI DATA_2023H2'!L:L)</f>
        <v>175</v>
      </c>
      <c r="B178" s="4" t="s">
        <v>534</v>
      </c>
      <c r="C178" s="4" t="s">
        <v>535</v>
      </c>
      <c r="D178" s="5" t="s">
        <v>536</v>
      </c>
      <c r="E178" s="5">
        <v>28973.54</v>
      </c>
      <c r="F178" s="6">
        <f>LOOKUP(D178,'AMFI DATA_2023H2'!F:J,'AMFI DATA_2023H2'!J:J)</f>
        <v>35021.0815</v>
      </c>
      <c r="G178" s="7">
        <f t="shared" si="0"/>
        <v>-1</v>
      </c>
      <c r="H178" s="8"/>
      <c r="I178" s="8">
        <v>59543</v>
      </c>
      <c r="J178" s="8">
        <v>56707</v>
      </c>
      <c r="K178" s="8">
        <v>44075</v>
      </c>
      <c r="L178" s="8">
        <v>42568</v>
      </c>
      <c r="M178" s="8">
        <v>43998</v>
      </c>
      <c r="N178" s="8">
        <v>40344</v>
      </c>
      <c r="O178" s="8">
        <v>37539</v>
      </c>
      <c r="P178" s="8">
        <v>37549</v>
      </c>
      <c r="Q178" s="8">
        <v>37676</v>
      </c>
      <c r="R178" s="8">
        <v>37703</v>
      </c>
      <c r="S178" s="8">
        <v>38614</v>
      </c>
      <c r="T178" s="8">
        <v>37580</v>
      </c>
      <c r="U178" s="8">
        <v>37625</v>
      </c>
      <c r="V178" s="8">
        <v>38724</v>
      </c>
      <c r="W178" s="8">
        <v>37565</v>
      </c>
      <c r="X178" s="8">
        <v>36569</v>
      </c>
      <c r="Y178" s="8">
        <v>36335</v>
      </c>
      <c r="Z178" s="8">
        <v>36332</v>
      </c>
      <c r="AA178" s="8">
        <v>36006</v>
      </c>
      <c r="AB178" s="8">
        <v>36485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spans="1:47" ht="14.4">
      <c r="A179" s="3">
        <f>LOOKUP(D179,'AMFI DATA_2023H2'!F:L,'AMFI DATA_2023H2'!L:L)</f>
        <v>176</v>
      </c>
      <c r="B179" s="4" t="s">
        <v>537</v>
      </c>
      <c r="C179" s="4" t="s">
        <v>538</v>
      </c>
      <c r="D179" s="5" t="s">
        <v>539</v>
      </c>
      <c r="E179" s="5">
        <v>25068.89</v>
      </c>
      <c r="F179" s="6">
        <f>LOOKUP(D179,'AMFI DATA_2023H2'!F:J,'AMFI DATA_2023H2'!J:J)</f>
        <v>35004.977850000003</v>
      </c>
      <c r="G179" s="7">
        <f t="shared" si="0"/>
        <v>-1</v>
      </c>
      <c r="H179" s="8"/>
      <c r="I179" s="8">
        <v>49778</v>
      </c>
      <c r="J179" s="8">
        <v>50521</v>
      </c>
      <c r="K179" s="8">
        <v>50328</v>
      </c>
      <c r="L179" s="8">
        <v>50853</v>
      </c>
      <c r="M179" s="8">
        <v>50225</v>
      </c>
      <c r="N179" s="8">
        <v>50883</v>
      </c>
      <c r="O179" s="8">
        <v>51438</v>
      </c>
      <c r="P179" s="8">
        <v>52090</v>
      </c>
      <c r="Q179" s="8">
        <v>51197</v>
      </c>
      <c r="R179" s="8">
        <v>52507</v>
      </c>
      <c r="S179" s="8">
        <v>50648</v>
      </c>
      <c r="T179" s="8">
        <v>50974</v>
      </c>
      <c r="U179" s="8">
        <v>49398</v>
      </c>
      <c r="V179" s="8">
        <v>48070</v>
      </c>
      <c r="W179" s="8">
        <v>48457</v>
      </c>
      <c r="X179" s="8">
        <v>48662</v>
      </c>
      <c r="Y179" s="8">
        <v>46054</v>
      </c>
      <c r="Z179" s="8">
        <v>44256</v>
      </c>
      <c r="AA179" s="8">
        <v>44636</v>
      </c>
      <c r="AB179" s="8">
        <v>45058</v>
      </c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spans="1:47" ht="14.4">
      <c r="A180" s="3">
        <f>LOOKUP(D180,'AMFI DATA_2023H2'!F:L,'AMFI DATA_2023H2'!L:L)</f>
        <v>177</v>
      </c>
      <c r="B180" s="4" t="s">
        <v>540</v>
      </c>
      <c r="C180" s="4" t="s">
        <v>541</v>
      </c>
      <c r="D180" s="5" t="s">
        <v>542</v>
      </c>
      <c r="E180" s="5">
        <v>32400.73</v>
      </c>
      <c r="F180" s="6">
        <f>LOOKUP(D180,'AMFI DATA_2023H2'!F:J,'AMFI DATA_2023H2'!J:J)</f>
        <v>34646.212200000002</v>
      </c>
      <c r="G180" s="7">
        <f t="shared" si="0"/>
        <v>-1</v>
      </c>
      <c r="H180" s="8"/>
      <c r="I180" s="8">
        <v>33015</v>
      </c>
      <c r="J180" s="8">
        <v>33272</v>
      </c>
      <c r="K180" s="8">
        <v>32552</v>
      </c>
      <c r="L180" s="8">
        <v>32710</v>
      </c>
      <c r="M180" s="8">
        <v>32588</v>
      </c>
      <c r="N180" s="8">
        <v>32512</v>
      </c>
      <c r="O180" s="8">
        <v>32532</v>
      </c>
      <c r="P180" s="8">
        <v>32319</v>
      </c>
      <c r="Q180" s="8">
        <v>32097</v>
      </c>
      <c r="R180" s="8">
        <v>32150</v>
      </c>
      <c r="S180" s="8">
        <v>32085</v>
      </c>
      <c r="T180" s="8">
        <v>32599</v>
      </c>
      <c r="U180" s="8">
        <v>32141</v>
      </c>
      <c r="V180" s="8">
        <v>32182</v>
      </c>
      <c r="W180" s="8">
        <v>31814</v>
      </c>
      <c r="X180" s="8">
        <v>31142</v>
      </c>
      <c r="Y180" s="8">
        <v>31551</v>
      </c>
      <c r="Z180" s="8">
        <v>31361</v>
      </c>
      <c r="AA180" s="8">
        <v>31191</v>
      </c>
      <c r="AB180" s="8">
        <v>30522</v>
      </c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spans="1:47" ht="14.4">
      <c r="A181" s="3">
        <f>LOOKUP(D181,'AMFI DATA_2023H2'!F:L,'AMFI DATA_2023H2'!L:L)</f>
        <v>178</v>
      </c>
      <c r="B181" s="4" t="s">
        <v>543</v>
      </c>
      <c r="C181" s="4" t="s">
        <v>544</v>
      </c>
      <c r="D181" s="5" t="s">
        <v>545</v>
      </c>
      <c r="E181" s="5">
        <v>33770.32</v>
      </c>
      <c r="F181" s="6">
        <f>LOOKUP(D181,'AMFI DATA_2023H2'!F:J,'AMFI DATA_2023H2'!J:J)</f>
        <v>34586.189700000003</v>
      </c>
      <c r="G181" s="7">
        <f t="shared" si="0"/>
        <v>-1</v>
      </c>
      <c r="H181" s="8"/>
      <c r="I181" s="8">
        <v>33122</v>
      </c>
      <c r="J181" s="8">
        <v>33068</v>
      </c>
      <c r="K181" s="8">
        <v>32914</v>
      </c>
      <c r="L181" s="8">
        <v>32876</v>
      </c>
      <c r="M181" s="8">
        <v>32708</v>
      </c>
      <c r="N181" s="8">
        <v>32472</v>
      </c>
      <c r="O181" s="8">
        <v>32618</v>
      </c>
      <c r="P181" s="8">
        <v>32545</v>
      </c>
      <c r="Q181" s="8">
        <v>33328</v>
      </c>
      <c r="R181" s="8">
        <v>33048</v>
      </c>
      <c r="S181" s="8">
        <v>32553</v>
      </c>
      <c r="T181" s="8">
        <v>32427</v>
      </c>
      <c r="U181" s="8">
        <v>32475</v>
      </c>
      <c r="V181" s="8">
        <v>32664</v>
      </c>
      <c r="W181" s="8">
        <v>32996</v>
      </c>
      <c r="X181" s="8">
        <v>32619</v>
      </c>
      <c r="Y181" s="8">
        <v>32531</v>
      </c>
      <c r="Z181" s="8">
        <v>31223</v>
      </c>
      <c r="AA181" s="8">
        <v>31636</v>
      </c>
      <c r="AB181" s="8">
        <v>31037</v>
      </c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</row>
    <row r="182" spans="1:47" ht="14.4">
      <c r="A182" s="3">
        <f>LOOKUP(D182,'AMFI DATA_2023H2'!F:L,'AMFI DATA_2023H2'!L:L)</f>
        <v>179</v>
      </c>
      <c r="B182" s="4" t="s">
        <v>546</v>
      </c>
      <c r="C182" s="4" t="s">
        <v>547</v>
      </c>
      <c r="D182" s="5" t="s">
        <v>548</v>
      </c>
      <c r="E182" s="5">
        <v>30760.55</v>
      </c>
      <c r="F182" s="6">
        <f>LOOKUP(D182,'AMFI DATA_2023H2'!F:J,'AMFI DATA_2023H2'!J:J)</f>
        <v>34230.333400000003</v>
      </c>
      <c r="G182" s="7">
        <f t="shared" si="0"/>
        <v>-1</v>
      </c>
      <c r="H182" s="8"/>
      <c r="I182" s="8">
        <v>35058</v>
      </c>
      <c r="J182" s="8">
        <v>34596</v>
      </c>
      <c r="K182" s="8">
        <v>34820</v>
      </c>
      <c r="L182" s="8">
        <v>34985</v>
      </c>
      <c r="M182" s="8">
        <v>35166</v>
      </c>
      <c r="N182" s="8">
        <v>34685</v>
      </c>
      <c r="O182" s="8">
        <v>34827</v>
      </c>
      <c r="P182" s="8">
        <v>34523</v>
      </c>
      <c r="Q182" s="8">
        <v>34744</v>
      </c>
      <c r="R182" s="8">
        <v>35252</v>
      </c>
      <c r="S182" s="8">
        <v>36648</v>
      </c>
      <c r="T182" s="8">
        <v>37027</v>
      </c>
      <c r="U182" s="8">
        <v>36536</v>
      </c>
      <c r="V182" s="8">
        <v>36753</v>
      </c>
      <c r="W182" s="8">
        <v>36994</v>
      </c>
      <c r="X182" s="8">
        <v>37166</v>
      </c>
      <c r="Y182" s="8">
        <v>37614</v>
      </c>
      <c r="Z182" s="8">
        <v>37413</v>
      </c>
      <c r="AA182" s="8">
        <v>37654</v>
      </c>
      <c r="AB182" s="8">
        <v>38367</v>
      </c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</row>
    <row r="183" spans="1:47" ht="14.4">
      <c r="A183" s="3">
        <f>LOOKUP(D183,'AMFI DATA_2023H2'!F:L,'AMFI DATA_2023H2'!L:L)</f>
        <v>180</v>
      </c>
      <c r="B183" s="4" t="s">
        <v>549</v>
      </c>
      <c r="C183" s="4" t="s">
        <v>550</v>
      </c>
      <c r="D183" s="5" t="s">
        <v>551</v>
      </c>
      <c r="E183" s="5">
        <v>27057.94</v>
      </c>
      <c r="F183" s="6">
        <f>LOOKUP(D183,'AMFI DATA_2023H2'!F:J,'AMFI DATA_2023H2'!J:J)</f>
        <v>34174.994350000001</v>
      </c>
      <c r="G183" s="7">
        <f t="shared" si="0"/>
        <v>-1</v>
      </c>
      <c r="H183" s="8"/>
      <c r="I183" s="8">
        <v>32973</v>
      </c>
      <c r="J183" s="8">
        <v>32131</v>
      </c>
      <c r="K183" s="8">
        <v>32067</v>
      </c>
      <c r="L183" s="8">
        <v>32667</v>
      </c>
      <c r="M183" s="8">
        <v>32051</v>
      </c>
      <c r="N183" s="8">
        <v>31783</v>
      </c>
      <c r="O183" s="8">
        <v>31556</v>
      </c>
      <c r="P183" s="8">
        <v>31326</v>
      </c>
      <c r="Q183" s="8">
        <v>31091</v>
      </c>
      <c r="R183" s="8">
        <v>31504</v>
      </c>
      <c r="S183" s="8">
        <v>30997</v>
      </c>
      <c r="T183" s="8">
        <v>31585</v>
      </c>
      <c r="U183" s="8">
        <v>31707</v>
      </c>
      <c r="V183" s="8">
        <v>31909</v>
      </c>
      <c r="W183" s="8">
        <v>32787</v>
      </c>
      <c r="X183" s="8">
        <v>32994</v>
      </c>
      <c r="Y183" s="8">
        <v>32725</v>
      </c>
      <c r="Z183" s="8">
        <v>32663</v>
      </c>
      <c r="AA183" s="8">
        <v>32905</v>
      </c>
      <c r="AB183" s="8">
        <v>32784</v>
      </c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</row>
    <row r="184" spans="1:47" ht="14.4">
      <c r="A184" s="3">
        <f>LOOKUP(D184,'AMFI DATA_2023H2'!F:L,'AMFI DATA_2023H2'!L:L)</f>
        <v>181</v>
      </c>
      <c r="B184" s="4" t="s">
        <v>552</v>
      </c>
      <c r="C184" s="4" t="s">
        <v>553</v>
      </c>
      <c r="D184" s="5" t="s">
        <v>554</v>
      </c>
      <c r="E184" s="5">
        <v>25113</v>
      </c>
      <c r="F184" s="6">
        <f>LOOKUP(D184,'AMFI DATA_2023H2'!F:J,'AMFI DATA_2023H2'!J:J)</f>
        <v>34146.387950000004</v>
      </c>
      <c r="G184" s="7">
        <f t="shared" si="0"/>
        <v>-1</v>
      </c>
      <c r="H184" s="8"/>
      <c r="I184" s="8">
        <v>45802</v>
      </c>
      <c r="J184" s="8">
        <v>44456</v>
      </c>
      <c r="K184" s="8">
        <v>43344</v>
      </c>
      <c r="L184" s="8">
        <v>43642</v>
      </c>
      <c r="M184" s="8">
        <v>44325</v>
      </c>
      <c r="N184" s="8">
        <v>44696</v>
      </c>
      <c r="O184" s="8">
        <v>43683</v>
      </c>
      <c r="P184" s="8">
        <v>45955</v>
      </c>
      <c r="Q184" s="8">
        <v>46362</v>
      </c>
      <c r="R184" s="8">
        <v>44760</v>
      </c>
      <c r="S184" s="8">
        <v>44060</v>
      </c>
      <c r="T184" s="8">
        <v>42245</v>
      </c>
      <c r="U184" s="8">
        <v>41003</v>
      </c>
      <c r="V184" s="8">
        <v>39931</v>
      </c>
      <c r="W184" s="8">
        <v>40104</v>
      </c>
      <c r="X184" s="8">
        <v>40074</v>
      </c>
      <c r="Y184" s="8">
        <v>40136</v>
      </c>
      <c r="Z184" s="8">
        <v>39891</v>
      </c>
      <c r="AA184" s="8">
        <v>41162</v>
      </c>
      <c r="AB184" s="8">
        <v>41066</v>
      </c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spans="1:47" ht="14.4">
      <c r="A185" s="3">
        <f>LOOKUP(D185,'AMFI DATA_2023H2'!F:L,'AMFI DATA_2023H2'!L:L)</f>
        <v>182</v>
      </c>
      <c r="B185" s="4" t="s">
        <v>555</v>
      </c>
      <c r="C185" s="4" t="s">
        <v>556</v>
      </c>
      <c r="D185" s="5" t="s">
        <v>557</v>
      </c>
      <c r="E185" s="5">
        <v>26633.53</v>
      </c>
      <c r="F185" s="6">
        <f>LOOKUP(D185,'AMFI DATA_2023H2'!F:J,'AMFI DATA_2023H2'!J:J)</f>
        <v>34136.063150000002</v>
      </c>
      <c r="G185" s="7">
        <f t="shared" si="0"/>
        <v>-1</v>
      </c>
      <c r="H185" s="8"/>
      <c r="I185" s="8">
        <v>38223</v>
      </c>
      <c r="J185" s="8">
        <v>38423</v>
      </c>
      <c r="K185" s="8">
        <v>38707</v>
      </c>
      <c r="L185" s="8">
        <v>38696</v>
      </c>
      <c r="M185" s="8">
        <v>38898</v>
      </c>
      <c r="N185" s="8">
        <v>38421</v>
      </c>
      <c r="O185" s="8">
        <v>38429</v>
      </c>
      <c r="P185" s="8">
        <v>38371</v>
      </c>
      <c r="Q185" s="8">
        <v>38493</v>
      </c>
      <c r="R185" s="8">
        <v>38222</v>
      </c>
      <c r="S185" s="8">
        <v>39103</v>
      </c>
      <c r="T185" s="8">
        <v>38681</v>
      </c>
      <c r="U185" s="8">
        <v>38543</v>
      </c>
      <c r="V185" s="8">
        <v>40159</v>
      </c>
      <c r="W185" s="8">
        <v>41316</v>
      </c>
      <c r="X185" s="8">
        <v>41586</v>
      </c>
      <c r="Y185" s="8">
        <v>39554</v>
      </c>
      <c r="Z185" s="8">
        <v>40984</v>
      </c>
      <c r="AA185" s="8">
        <v>35390</v>
      </c>
      <c r="AB185" s="8">
        <v>35142</v>
      </c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spans="1:47" ht="14.4">
      <c r="A186" s="3">
        <f>LOOKUP(D186,'AMFI DATA_2023H2'!F:L,'AMFI DATA_2023H2'!L:L)</f>
        <v>183</v>
      </c>
      <c r="B186" s="4" t="s">
        <v>558</v>
      </c>
      <c r="C186" s="4" t="s">
        <v>559</v>
      </c>
      <c r="D186" s="5" t="s">
        <v>560</v>
      </c>
      <c r="E186" s="5">
        <v>25303.68</v>
      </c>
      <c r="F186" s="6">
        <f>LOOKUP(D186,'AMFI DATA_2023H2'!F:J,'AMFI DATA_2023H2'!J:J)</f>
        <v>34041.97395</v>
      </c>
      <c r="G186" s="7">
        <f t="shared" si="0"/>
        <v>-1</v>
      </c>
      <c r="H186" s="8"/>
      <c r="I186" s="8">
        <v>40410</v>
      </c>
      <c r="J186" s="8">
        <v>38937</v>
      </c>
      <c r="K186" s="8">
        <v>39668</v>
      </c>
      <c r="L186" s="8">
        <v>39713</v>
      </c>
      <c r="M186" s="8">
        <v>38979</v>
      </c>
      <c r="N186" s="8">
        <v>38428</v>
      </c>
      <c r="O186" s="8">
        <v>37596</v>
      </c>
      <c r="P186" s="8">
        <v>37307</v>
      </c>
      <c r="Q186" s="8">
        <v>37253</v>
      </c>
      <c r="R186" s="8">
        <v>36651</v>
      </c>
      <c r="S186" s="8">
        <v>35961</v>
      </c>
      <c r="T186" s="8">
        <v>35350</v>
      </c>
      <c r="U186" s="8">
        <v>35492</v>
      </c>
      <c r="V186" s="8">
        <v>35658</v>
      </c>
      <c r="W186" s="8">
        <v>36139</v>
      </c>
      <c r="X186" s="8">
        <v>35812</v>
      </c>
      <c r="Y186" s="8">
        <v>35235</v>
      </c>
      <c r="Z186" s="8">
        <v>35250</v>
      </c>
      <c r="AA186" s="8">
        <v>35592</v>
      </c>
      <c r="AB186" s="8">
        <v>34876</v>
      </c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spans="1:47" ht="14.4">
      <c r="A187" s="3">
        <f>LOOKUP(D187,'AMFI DATA_2023H2'!F:L,'AMFI DATA_2023H2'!L:L)</f>
        <v>184</v>
      </c>
      <c r="B187" s="4" t="s">
        <v>561</v>
      </c>
      <c r="C187" s="4" t="s">
        <v>562</v>
      </c>
      <c r="D187" s="5" t="s">
        <v>563</v>
      </c>
      <c r="E187" s="5">
        <v>24090.03</v>
      </c>
      <c r="F187" s="6">
        <f>LOOKUP(D187,'AMFI DATA_2023H2'!F:J,'AMFI DATA_2023H2'!J:J)</f>
        <v>33820.351150000002</v>
      </c>
      <c r="G187" s="7">
        <f t="shared" si="0"/>
        <v>-1</v>
      </c>
      <c r="H187" s="8"/>
      <c r="I187" s="8">
        <v>42378</v>
      </c>
      <c r="J187" s="8">
        <v>42002</v>
      </c>
      <c r="K187" s="8">
        <v>42161</v>
      </c>
      <c r="L187" s="8">
        <v>42398</v>
      </c>
      <c r="M187" s="8">
        <v>42150</v>
      </c>
      <c r="N187" s="8">
        <v>42501</v>
      </c>
      <c r="O187" s="8">
        <v>42218</v>
      </c>
      <c r="P187" s="8">
        <v>41951</v>
      </c>
      <c r="Q187" s="8">
        <v>41648</v>
      </c>
      <c r="R187" s="8">
        <v>41275</v>
      </c>
      <c r="S187" s="8">
        <v>41308</v>
      </c>
      <c r="T187" s="8">
        <v>40365</v>
      </c>
      <c r="U187" s="8">
        <v>40113</v>
      </c>
      <c r="V187" s="8">
        <v>40228</v>
      </c>
      <c r="W187" s="8">
        <v>40876</v>
      </c>
      <c r="X187" s="8">
        <v>41498</v>
      </c>
      <c r="Y187" s="8">
        <v>41283</v>
      </c>
      <c r="Z187" s="8">
        <v>41592</v>
      </c>
      <c r="AA187" s="8">
        <v>41870</v>
      </c>
      <c r="AB187" s="8">
        <v>42200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</row>
    <row r="188" spans="1:47" ht="14.4">
      <c r="A188" s="3">
        <f>LOOKUP(D188,'AMFI DATA_2023H2'!F:L,'AMFI DATA_2023H2'!L:L)</f>
        <v>185</v>
      </c>
      <c r="B188" s="4" t="s">
        <v>564</v>
      </c>
      <c r="C188" s="4" t="s">
        <v>565</v>
      </c>
      <c r="D188" s="5" t="s">
        <v>566</v>
      </c>
      <c r="E188" s="5">
        <v>23582.639999999999</v>
      </c>
      <c r="F188" s="6">
        <f>LOOKUP(D188,'AMFI DATA_2023H2'!F:J,'AMFI DATA_2023H2'!J:J)</f>
        <v>33735.748250000004</v>
      </c>
      <c r="G188" s="7">
        <f t="shared" si="0"/>
        <v>-1</v>
      </c>
      <c r="H188" s="8"/>
      <c r="I188" s="8">
        <v>41854</v>
      </c>
      <c r="J188" s="8">
        <v>41406</v>
      </c>
      <c r="K188" s="8">
        <v>42202</v>
      </c>
      <c r="L188" s="8">
        <v>41667</v>
      </c>
      <c r="M188" s="8">
        <v>42239</v>
      </c>
      <c r="N188" s="8">
        <v>41580</v>
      </c>
      <c r="O188" s="8">
        <v>41928</v>
      </c>
      <c r="P188" s="8">
        <v>41232</v>
      </c>
      <c r="Q188" s="8">
        <v>41393</v>
      </c>
      <c r="R188" s="8">
        <v>41866</v>
      </c>
      <c r="S188" s="8">
        <v>42488</v>
      </c>
      <c r="T188" s="8">
        <v>42687</v>
      </c>
      <c r="U188" s="8">
        <v>41294</v>
      </c>
      <c r="V188" s="8">
        <v>40349</v>
      </c>
      <c r="W188" s="8">
        <v>40672</v>
      </c>
      <c r="X188" s="8">
        <v>41070</v>
      </c>
      <c r="Y188" s="8">
        <v>40336</v>
      </c>
      <c r="Z188" s="8">
        <v>38819</v>
      </c>
      <c r="AA188" s="8">
        <v>38060</v>
      </c>
      <c r="AB188" s="8">
        <v>38010</v>
      </c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</row>
    <row r="189" spans="1:47" ht="14.4">
      <c r="A189" s="3">
        <f>LOOKUP(D189,'AMFI DATA_2023H2'!F:L,'AMFI DATA_2023H2'!L:L)</f>
        <v>186</v>
      </c>
      <c r="B189" s="4" t="s">
        <v>567</v>
      </c>
      <c r="C189" s="4" t="s">
        <v>568</v>
      </c>
      <c r="D189" s="5" t="s">
        <v>569</v>
      </c>
      <c r="E189" s="5">
        <v>27450.74</v>
      </c>
      <c r="F189" s="6">
        <f>LOOKUP(D189,'AMFI DATA_2023H2'!F:J,'AMFI DATA_2023H2'!J:J)</f>
        <v>33549.671849999999</v>
      </c>
      <c r="G189" s="7">
        <f t="shared" si="0"/>
        <v>-1</v>
      </c>
      <c r="H189" s="8"/>
      <c r="I189" s="8">
        <v>35679</v>
      </c>
      <c r="J189" s="8">
        <v>35739</v>
      </c>
      <c r="K189" s="8">
        <v>35508</v>
      </c>
      <c r="L189" s="8">
        <v>36421</v>
      </c>
      <c r="M189" s="8">
        <v>37224</v>
      </c>
      <c r="N189" s="8">
        <v>36774</v>
      </c>
      <c r="O189" s="8">
        <v>36577</v>
      </c>
      <c r="P189" s="8">
        <v>36930</v>
      </c>
      <c r="Q189" s="8">
        <v>36857</v>
      </c>
      <c r="R189" s="8">
        <v>36553</v>
      </c>
      <c r="S189" s="8">
        <v>37624</v>
      </c>
      <c r="T189" s="8">
        <v>37681</v>
      </c>
      <c r="U189" s="8">
        <v>36927</v>
      </c>
      <c r="V189" s="8">
        <v>36963</v>
      </c>
      <c r="W189" s="8">
        <v>38082</v>
      </c>
      <c r="X189" s="8">
        <v>38070</v>
      </c>
      <c r="Y189" s="8">
        <v>37825</v>
      </c>
      <c r="Z189" s="8">
        <v>37447</v>
      </c>
      <c r="AA189" s="8">
        <v>37472</v>
      </c>
      <c r="AB189" s="8">
        <v>37472</v>
      </c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</row>
    <row r="190" spans="1:47" ht="14.4">
      <c r="A190" s="3">
        <f>LOOKUP(D190,'AMFI DATA_2023H2'!F:L,'AMFI DATA_2023H2'!L:L)</f>
        <v>187</v>
      </c>
      <c r="B190" s="4" t="s">
        <v>570</v>
      </c>
      <c r="C190" s="4" t="s">
        <v>571</v>
      </c>
      <c r="D190" s="5" t="s">
        <v>572</v>
      </c>
      <c r="E190" s="5">
        <v>26683.72</v>
      </c>
      <c r="F190" s="6">
        <f>LOOKUP(D190,'AMFI DATA_2023H2'!F:J,'AMFI DATA_2023H2'!J:J)</f>
        <v>33364.796699999999</v>
      </c>
      <c r="G190" s="7">
        <f t="shared" si="0"/>
        <v>-1</v>
      </c>
      <c r="H190" s="8"/>
      <c r="I190" s="8">
        <v>35024</v>
      </c>
      <c r="J190" s="8">
        <v>34409</v>
      </c>
      <c r="K190" s="8">
        <v>35066</v>
      </c>
      <c r="L190" s="8">
        <v>35049</v>
      </c>
      <c r="M190" s="8">
        <v>34785</v>
      </c>
      <c r="N190" s="8">
        <v>35345</v>
      </c>
      <c r="O190" s="8">
        <v>34991</v>
      </c>
      <c r="P190" s="8">
        <v>35425</v>
      </c>
      <c r="Q190" s="8">
        <v>34202</v>
      </c>
      <c r="R190" s="8">
        <v>34039</v>
      </c>
      <c r="S190" s="8">
        <v>34185</v>
      </c>
      <c r="T190" s="8">
        <v>33983</v>
      </c>
      <c r="U190" s="8">
        <v>33617</v>
      </c>
      <c r="V190" s="8">
        <v>34241</v>
      </c>
      <c r="W190" s="8">
        <v>34729</v>
      </c>
      <c r="X190" s="8">
        <v>34800</v>
      </c>
      <c r="Y190" s="8">
        <v>0</v>
      </c>
      <c r="Z190" s="8">
        <v>34055</v>
      </c>
      <c r="AA190" s="8">
        <v>33921</v>
      </c>
      <c r="AB190" s="8">
        <v>33713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spans="1:47" ht="14.4">
      <c r="A191" s="3">
        <f>LOOKUP(D191,'AMFI DATA_2023H2'!F:L,'AMFI DATA_2023H2'!L:L)</f>
        <v>188</v>
      </c>
      <c r="B191" s="4" t="s">
        <v>573</v>
      </c>
      <c r="C191" s="4" t="s">
        <v>574</v>
      </c>
      <c r="D191" s="5" t="s">
        <v>575</v>
      </c>
      <c r="E191" s="5">
        <v>27487.58</v>
      </c>
      <c r="F191" s="6">
        <f>LOOKUP(D191,'AMFI DATA_2023H2'!F:J,'AMFI DATA_2023H2'!J:J)</f>
        <v>33214.455799999996</v>
      </c>
      <c r="G191" s="7">
        <f t="shared" si="0"/>
        <v>-1</v>
      </c>
      <c r="H191" s="8"/>
      <c r="I191" s="8">
        <v>34275</v>
      </c>
      <c r="J191" s="8">
        <v>33835</v>
      </c>
      <c r="K191" s="8">
        <v>33902</v>
      </c>
      <c r="L191" s="8">
        <v>34574</v>
      </c>
      <c r="M191" s="8">
        <v>35145</v>
      </c>
      <c r="N191" s="8">
        <v>35500</v>
      </c>
      <c r="O191" s="8">
        <v>35577</v>
      </c>
      <c r="P191" s="8">
        <v>36049</v>
      </c>
      <c r="Q191" s="8">
        <v>37386</v>
      </c>
      <c r="R191" s="8">
        <v>37471</v>
      </c>
      <c r="S191" s="8">
        <v>37949</v>
      </c>
      <c r="T191" s="8">
        <v>38031</v>
      </c>
      <c r="U191" s="8">
        <v>37377</v>
      </c>
      <c r="V191" s="8">
        <v>37608</v>
      </c>
      <c r="W191" s="8">
        <v>37840</v>
      </c>
      <c r="X191" s="8">
        <v>37796</v>
      </c>
      <c r="Y191" s="8">
        <v>37110</v>
      </c>
      <c r="Z191" s="8">
        <v>36037</v>
      </c>
      <c r="AA191" s="8">
        <v>33931</v>
      </c>
      <c r="AB191" s="8">
        <v>33838</v>
      </c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</row>
    <row r="192" spans="1:47" ht="14.4">
      <c r="A192" s="3">
        <f>LOOKUP(D192,'AMFI DATA_2023H2'!F:L,'AMFI DATA_2023H2'!L:L)</f>
        <v>189</v>
      </c>
      <c r="B192" s="4" t="s">
        <v>576</v>
      </c>
      <c r="C192" s="4" t="s">
        <v>577</v>
      </c>
      <c r="D192" s="5" t="s">
        <v>578</v>
      </c>
      <c r="E192" s="5">
        <v>26395.439999999999</v>
      </c>
      <c r="F192" s="6">
        <f>LOOKUP(D192,'AMFI DATA_2023H2'!F:J,'AMFI DATA_2023H2'!J:J)</f>
        <v>33163.218500000003</v>
      </c>
      <c r="G192" s="7">
        <f t="shared" si="0"/>
        <v>-1</v>
      </c>
      <c r="H192" s="8"/>
      <c r="I192" s="8">
        <v>39894</v>
      </c>
      <c r="J192" s="8">
        <v>40366</v>
      </c>
      <c r="K192" s="8">
        <v>39930</v>
      </c>
      <c r="L192" s="8">
        <v>40265</v>
      </c>
      <c r="M192" s="8">
        <v>40442</v>
      </c>
      <c r="N192" s="8">
        <v>41762</v>
      </c>
      <c r="O192" s="8">
        <v>40859</v>
      </c>
      <c r="P192" s="8">
        <v>40788</v>
      </c>
      <c r="Q192" s="8">
        <v>40553</v>
      </c>
      <c r="R192" s="8">
        <v>41385</v>
      </c>
      <c r="S192" s="8">
        <v>40149</v>
      </c>
      <c r="T192" s="8">
        <v>40142</v>
      </c>
      <c r="U192" s="8">
        <v>40044</v>
      </c>
      <c r="V192" s="8">
        <v>39219</v>
      </c>
      <c r="W192" s="8">
        <v>38646</v>
      </c>
      <c r="X192" s="8">
        <v>38994</v>
      </c>
      <c r="Y192" s="8">
        <v>39446</v>
      </c>
      <c r="Z192" s="8">
        <v>39859</v>
      </c>
      <c r="AA192" s="8">
        <v>38912</v>
      </c>
      <c r="AB192" s="8">
        <v>39273</v>
      </c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</row>
    <row r="193" spans="1:47" ht="14.4">
      <c r="A193" s="3">
        <f>LOOKUP(D193,'AMFI DATA_2023H2'!F:L,'AMFI DATA_2023H2'!L:L)</f>
        <v>190</v>
      </c>
      <c r="B193" s="4" t="s">
        <v>579</v>
      </c>
      <c r="C193" s="4" t="s">
        <v>580</v>
      </c>
      <c r="D193" s="5" t="s">
        <v>581</v>
      </c>
      <c r="E193" s="5">
        <v>33790.910000000003</v>
      </c>
      <c r="F193" s="6">
        <f>LOOKUP(D193,'AMFI DATA_2023H2'!F:J,'AMFI DATA_2023H2'!J:J)</f>
        <v>33056.405249999996</v>
      </c>
      <c r="G193" s="7">
        <f t="shared" si="0"/>
        <v>-1</v>
      </c>
      <c r="H193" s="8"/>
      <c r="I193" s="8">
        <v>36518</v>
      </c>
      <c r="J193" s="8">
        <v>36030</v>
      </c>
      <c r="K193" s="8">
        <v>35085</v>
      </c>
      <c r="L193" s="8">
        <v>35438</v>
      </c>
      <c r="M193" s="8">
        <v>34845</v>
      </c>
      <c r="N193" s="8">
        <v>34432</v>
      </c>
      <c r="O193" s="8">
        <v>34545</v>
      </c>
      <c r="P193" s="8">
        <v>35108</v>
      </c>
      <c r="Q193" s="8">
        <v>34560</v>
      </c>
      <c r="R193" s="8">
        <v>33960</v>
      </c>
      <c r="S193" s="8">
        <v>34282</v>
      </c>
      <c r="T193" s="8">
        <v>34808</v>
      </c>
      <c r="U193" s="8">
        <v>34268</v>
      </c>
      <c r="V193" s="8">
        <v>33998</v>
      </c>
      <c r="W193" s="8">
        <v>33855</v>
      </c>
      <c r="X193" s="8">
        <v>33412</v>
      </c>
      <c r="Y193" s="8">
        <v>33352</v>
      </c>
      <c r="Z193" s="8">
        <v>32445</v>
      </c>
      <c r="AA193" s="8">
        <v>32355</v>
      </c>
      <c r="AB193" s="8">
        <v>32130</v>
      </c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</row>
    <row r="194" spans="1:47" ht="14.4">
      <c r="A194" s="3">
        <f>LOOKUP(D194,'AMFI DATA_2023H2'!F:L,'AMFI DATA_2023H2'!L:L)</f>
        <v>191</v>
      </c>
      <c r="B194" s="4" t="s">
        <v>582</v>
      </c>
      <c r="C194" s="4" t="s">
        <v>583</v>
      </c>
      <c r="D194" s="5" t="s">
        <v>584</v>
      </c>
      <c r="E194" s="5">
        <v>26152.79</v>
      </c>
      <c r="F194" s="6">
        <f>LOOKUP(D194,'AMFI DATA_2023H2'!F:J,'AMFI DATA_2023H2'!J:J)</f>
        <v>32803.751900000003</v>
      </c>
      <c r="G194" s="7">
        <f t="shared" si="0"/>
        <v>-1</v>
      </c>
      <c r="H194" s="8"/>
      <c r="I194" s="8">
        <v>36521</v>
      </c>
      <c r="J194" s="8">
        <v>36627</v>
      </c>
      <c r="K194" s="8">
        <v>36835</v>
      </c>
      <c r="L194" s="8">
        <v>37773</v>
      </c>
      <c r="M194" s="8">
        <v>37832</v>
      </c>
      <c r="N194" s="8">
        <v>38296</v>
      </c>
      <c r="O194" s="8">
        <v>38067</v>
      </c>
      <c r="P194" s="8">
        <v>38031</v>
      </c>
      <c r="Q194" s="8">
        <v>37975</v>
      </c>
      <c r="R194" s="8">
        <v>38142</v>
      </c>
      <c r="S194" s="8">
        <v>38258</v>
      </c>
      <c r="T194" s="8">
        <v>37984</v>
      </c>
      <c r="U194" s="8">
        <v>37773</v>
      </c>
      <c r="V194" s="8">
        <v>36607</v>
      </c>
      <c r="W194" s="8">
        <v>36748</v>
      </c>
      <c r="X194" s="8">
        <v>36720</v>
      </c>
      <c r="Y194" s="8">
        <v>36778</v>
      </c>
      <c r="Z194" s="8">
        <v>35997</v>
      </c>
      <c r="AA194" s="8">
        <v>36532</v>
      </c>
      <c r="AB194" s="8">
        <v>37459</v>
      </c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spans="1:47" ht="14.4">
      <c r="A195" s="3">
        <f>LOOKUP(D195,'AMFI DATA_2023H2'!F:L,'AMFI DATA_2023H2'!L:L)</f>
        <v>192</v>
      </c>
      <c r="B195" s="4" t="s">
        <v>585</v>
      </c>
      <c r="C195" s="4" t="s">
        <v>586</v>
      </c>
      <c r="D195" s="5" t="s">
        <v>587</v>
      </c>
      <c r="E195" s="5">
        <v>26930.95</v>
      </c>
      <c r="F195" s="6">
        <f>LOOKUP(D195,'AMFI DATA_2023H2'!F:J,'AMFI DATA_2023H2'!J:J)</f>
        <v>32449.4542</v>
      </c>
      <c r="G195" s="7">
        <f t="shared" si="0"/>
        <v>-1</v>
      </c>
      <c r="H195" s="8"/>
      <c r="I195" s="8">
        <v>34819</v>
      </c>
      <c r="J195" s="8">
        <v>33936</v>
      </c>
      <c r="K195" s="8">
        <v>34213</v>
      </c>
      <c r="L195" s="8">
        <v>34966</v>
      </c>
      <c r="M195" s="8">
        <v>35490</v>
      </c>
      <c r="N195" s="8">
        <v>34768</v>
      </c>
      <c r="O195" s="8">
        <v>34974</v>
      </c>
      <c r="P195" s="8">
        <v>34347</v>
      </c>
      <c r="Q195" s="8">
        <v>34457</v>
      </c>
      <c r="R195" s="8">
        <v>35340</v>
      </c>
      <c r="S195" s="8">
        <v>36681</v>
      </c>
      <c r="T195" s="8">
        <v>36943</v>
      </c>
      <c r="U195" s="8">
        <v>36764</v>
      </c>
      <c r="V195" s="8">
        <v>36237</v>
      </c>
      <c r="W195" s="8">
        <v>36731</v>
      </c>
      <c r="X195" s="8">
        <v>36849</v>
      </c>
      <c r="Y195" s="8">
        <v>36485</v>
      </c>
      <c r="Z195" s="8">
        <v>36705</v>
      </c>
      <c r="AA195" s="8">
        <v>37219</v>
      </c>
      <c r="AB195" s="8">
        <v>36242</v>
      </c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spans="1:47" ht="14.4">
      <c r="A196" s="3">
        <f>LOOKUP(D196,'AMFI DATA_2023H2'!F:L,'AMFI DATA_2023H2'!L:L)</f>
        <v>193</v>
      </c>
      <c r="B196" s="4" t="s">
        <v>588</v>
      </c>
      <c r="C196" s="4" t="s">
        <v>589</v>
      </c>
      <c r="D196" s="5" t="s">
        <v>590</v>
      </c>
      <c r="E196" s="5">
        <v>25549.81</v>
      </c>
      <c r="F196" s="6">
        <f>LOOKUP(D196,'AMFI DATA_2023H2'!F:J,'AMFI DATA_2023H2'!J:J)</f>
        <v>32339.996749999998</v>
      </c>
      <c r="G196" s="7">
        <f t="shared" si="0"/>
        <v>-1</v>
      </c>
      <c r="H196" s="8"/>
      <c r="I196" s="8">
        <v>39627</v>
      </c>
      <c r="J196" s="8">
        <v>40056</v>
      </c>
      <c r="K196" s="8">
        <v>40923</v>
      </c>
      <c r="L196" s="8">
        <v>40645</v>
      </c>
      <c r="M196" s="8">
        <v>40831</v>
      </c>
      <c r="N196" s="8">
        <v>40712</v>
      </c>
      <c r="O196" s="8">
        <v>38516</v>
      </c>
      <c r="P196" s="8">
        <v>37992</v>
      </c>
      <c r="Q196" s="8">
        <v>37470</v>
      </c>
      <c r="R196" s="8">
        <v>37425</v>
      </c>
      <c r="S196" s="8">
        <v>37523</v>
      </c>
      <c r="T196" s="8">
        <v>36768</v>
      </c>
      <c r="U196" s="8">
        <v>36608</v>
      </c>
      <c r="V196" s="8">
        <v>37231</v>
      </c>
      <c r="W196" s="8">
        <v>38173</v>
      </c>
      <c r="X196" s="8">
        <v>38699</v>
      </c>
      <c r="Y196" s="8">
        <v>38681</v>
      </c>
      <c r="Z196" s="8">
        <v>38848</v>
      </c>
      <c r="AA196" s="8">
        <v>38711</v>
      </c>
      <c r="AB196" s="8">
        <v>38791</v>
      </c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spans="1:47" ht="14.4">
      <c r="A197" s="3">
        <f>LOOKUP(D197,'AMFI DATA_2023H2'!F:L,'AMFI DATA_2023H2'!L:L)</f>
        <v>194</v>
      </c>
      <c r="B197" s="4" t="s">
        <v>591</v>
      </c>
      <c r="C197" s="4" t="s">
        <v>592</v>
      </c>
      <c r="D197" s="5" t="s">
        <v>593</v>
      </c>
      <c r="E197" s="5">
        <v>33982.300000000003</v>
      </c>
      <c r="F197" s="6">
        <f>LOOKUP(D197,'AMFI DATA_2023H2'!F:J,'AMFI DATA_2023H2'!J:J)</f>
        <v>32040.665699999998</v>
      </c>
      <c r="G197" s="7">
        <f t="shared" si="0"/>
        <v>-1</v>
      </c>
      <c r="H197" s="8"/>
      <c r="I197" s="8">
        <v>40771</v>
      </c>
      <c r="J197" s="8">
        <v>38618</v>
      </c>
      <c r="K197" s="8">
        <v>37394</v>
      </c>
      <c r="L197" s="8">
        <v>37432</v>
      </c>
      <c r="M197" s="8">
        <v>37566</v>
      </c>
      <c r="N197" s="8">
        <v>38291</v>
      </c>
      <c r="O197" s="8">
        <v>38542</v>
      </c>
      <c r="P197" s="8">
        <v>37041</v>
      </c>
      <c r="Q197" s="8">
        <v>37618</v>
      </c>
      <c r="R197" s="8">
        <v>38502</v>
      </c>
      <c r="S197" s="8">
        <v>39766</v>
      </c>
      <c r="T197" s="8">
        <v>42012</v>
      </c>
      <c r="U197" s="8">
        <v>42684</v>
      </c>
      <c r="V197" s="8">
        <v>42590</v>
      </c>
      <c r="W197" s="8">
        <v>41875</v>
      </c>
      <c r="X197" s="8">
        <v>40205</v>
      </c>
      <c r="Y197" s="8">
        <v>40206</v>
      </c>
      <c r="Z197" s="8">
        <v>39394</v>
      </c>
      <c r="AA197" s="8">
        <v>39617</v>
      </c>
      <c r="AB197" s="8">
        <v>39206</v>
      </c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spans="1:47" ht="14.4">
      <c r="A198" s="3">
        <f>LOOKUP(D198,'AMFI DATA_2023H2'!F:L,'AMFI DATA_2023H2'!L:L)</f>
        <v>195</v>
      </c>
      <c r="B198" s="4" t="s">
        <v>594</v>
      </c>
      <c r="C198" s="4" t="s">
        <v>595</v>
      </c>
      <c r="D198" s="5" t="s">
        <v>596</v>
      </c>
      <c r="E198" s="5">
        <v>26932.76</v>
      </c>
      <c r="F198" s="6">
        <f>LOOKUP(D198,'AMFI DATA_2023H2'!F:J,'AMFI DATA_2023H2'!J:J)</f>
        <v>32040.063200000001</v>
      </c>
      <c r="G198" s="7">
        <f t="shared" si="0"/>
        <v>-1</v>
      </c>
      <c r="H198" s="8"/>
      <c r="I198" s="8">
        <v>44705</v>
      </c>
      <c r="J198" s="8">
        <v>42883</v>
      </c>
      <c r="K198" s="8">
        <v>41262</v>
      </c>
      <c r="L198" s="8">
        <v>42216</v>
      </c>
      <c r="M198" s="8">
        <v>42997</v>
      </c>
      <c r="N198" s="8">
        <v>40665</v>
      </c>
      <c r="O198" s="8">
        <v>40481</v>
      </c>
      <c r="P198" s="8">
        <v>39581</v>
      </c>
      <c r="Q198" s="8">
        <v>40551</v>
      </c>
      <c r="R198" s="8">
        <v>40562</v>
      </c>
      <c r="S198" s="8">
        <v>41289</v>
      </c>
      <c r="T198" s="8">
        <v>41506</v>
      </c>
      <c r="U198" s="8">
        <v>41750</v>
      </c>
      <c r="V198" s="8">
        <v>41560</v>
      </c>
      <c r="W198" s="8">
        <v>41023</v>
      </c>
      <c r="X198" s="8">
        <v>40378</v>
      </c>
      <c r="Y198" s="8">
        <v>41500</v>
      </c>
      <c r="Z198" s="8">
        <v>41457</v>
      </c>
      <c r="AA198" s="8">
        <v>41403</v>
      </c>
      <c r="AB198" s="8">
        <v>40475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spans="1:47" ht="14.4">
      <c r="A199" s="3">
        <f>LOOKUP(D199,'AMFI DATA_2023H2'!F:L,'AMFI DATA_2023H2'!L:L)</f>
        <v>196</v>
      </c>
      <c r="B199" s="4" t="s">
        <v>597</v>
      </c>
      <c r="C199" s="4" t="s">
        <v>598</v>
      </c>
      <c r="D199" s="5" t="s">
        <v>599</v>
      </c>
      <c r="E199" s="5">
        <v>18709.25</v>
      </c>
      <c r="F199" s="6">
        <f>LOOKUP(D199,'AMFI DATA_2023H2'!F:J,'AMFI DATA_2023H2'!J:J)</f>
        <v>31653.883450000001</v>
      </c>
      <c r="G199" s="7">
        <f t="shared" si="0"/>
        <v>-1</v>
      </c>
      <c r="H199" s="8"/>
      <c r="I199" s="8">
        <v>60799</v>
      </c>
      <c r="J199" s="8">
        <v>50791</v>
      </c>
      <c r="K199" s="8">
        <v>50186</v>
      </c>
      <c r="L199" s="8">
        <v>46600</v>
      </c>
      <c r="M199" s="8">
        <v>46006</v>
      </c>
      <c r="N199" s="8">
        <v>42378</v>
      </c>
      <c r="O199" s="8">
        <v>41669</v>
      </c>
      <c r="P199" s="8">
        <v>41148</v>
      </c>
      <c r="Q199" s="8">
        <v>38625</v>
      </c>
      <c r="R199" s="8">
        <v>37958</v>
      </c>
      <c r="S199" s="8">
        <v>38500</v>
      </c>
      <c r="T199" s="8">
        <v>38677</v>
      </c>
      <c r="U199" s="8">
        <v>38625</v>
      </c>
      <c r="V199" s="8">
        <v>37697</v>
      </c>
      <c r="W199" s="8">
        <v>37947</v>
      </c>
      <c r="X199" s="8">
        <v>37843</v>
      </c>
      <c r="Y199" s="8">
        <v>36999</v>
      </c>
      <c r="Z199" s="8">
        <v>37061</v>
      </c>
      <c r="AA199" s="8">
        <v>37259</v>
      </c>
      <c r="AB199" s="8">
        <v>36884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spans="1:47" ht="14.4">
      <c r="A200" s="3">
        <f>LOOKUP(D200,'AMFI DATA_2023H2'!F:L,'AMFI DATA_2023H2'!L:L)</f>
        <v>197</v>
      </c>
      <c r="B200" s="4" t="s">
        <v>600</v>
      </c>
      <c r="C200" s="4" t="s">
        <v>601</v>
      </c>
      <c r="D200" s="5" t="s">
        <v>602</v>
      </c>
      <c r="E200" s="5">
        <v>23416.06</v>
      </c>
      <c r="F200" s="6">
        <f>LOOKUP(D200,'AMFI DATA_2023H2'!F:J,'AMFI DATA_2023H2'!J:J)</f>
        <v>31544.63895</v>
      </c>
      <c r="G200" s="7">
        <f t="shared" si="0"/>
        <v>-1</v>
      </c>
      <c r="H200" s="8"/>
      <c r="I200" s="8">
        <v>31808</v>
      </c>
      <c r="J200" s="8">
        <v>32979</v>
      </c>
      <c r="K200" s="8">
        <v>33339</v>
      </c>
      <c r="L200" s="8">
        <v>34237</v>
      </c>
      <c r="M200" s="8">
        <v>34180</v>
      </c>
      <c r="N200" s="8">
        <v>34568</v>
      </c>
      <c r="O200" s="8">
        <v>34119</v>
      </c>
      <c r="P200" s="8">
        <v>34255</v>
      </c>
      <c r="Q200" s="8">
        <v>34135</v>
      </c>
      <c r="R200" s="8">
        <v>34989</v>
      </c>
      <c r="S200" s="8">
        <v>34255</v>
      </c>
      <c r="T200" s="8">
        <v>34261</v>
      </c>
      <c r="U200" s="8">
        <v>34391</v>
      </c>
      <c r="V200" s="8">
        <v>33789</v>
      </c>
      <c r="W200" s="8">
        <v>33766</v>
      </c>
      <c r="X200" s="8">
        <v>34123</v>
      </c>
      <c r="Y200" s="8">
        <v>34092</v>
      </c>
      <c r="Z200" s="8">
        <v>34751</v>
      </c>
      <c r="AA200" s="8">
        <v>35300</v>
      </c>
      <c r="AB200" s="8">
        <v>35332</v>
      </c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spans="1:47" ht="14.4">
      <c r="A201" s="3">
        <f>LOOKUP(D201,'AMFI DATA_2023H2'!F:L,'AMFI DATA_2023H2'!L:L)</f>
        <v>198</v>
      </c>
      <c r="B201" s="4" t="s">
        <v>603</v>
      </c>
      <c r="C201" s="4" t="s">
        <v>604</v>
      </c>
      <c r="D201" s="5" t="s">
        <v>605</v>
      </c>
      <c r="E201" s="5">
        <v>29960</v>
      </c>
      <c r="F201" s="6">
        <f>LOOKUP(D201,'AMFI DATA_2023H2'!F:J,'AMFI DATA_2023H2'!J:J)</f>
        <v>31440.962149999999</v>
      </c>
      <c r="G201" s="7">
        <f t="shared" si="0"/>
        <v>-1</v>
      </c>
      <c r="H201" s="8"/>
      <c r="I201" s="8">
        <v>26471</v>
      </c>
      <c r="J201" s="8">
        <v>27207</v>
      </c>
      <c r="K201" s="8">
        <v>28245</v>
      </c>
      <c r="L201" s="8">
        <v>29137</v>
      </c>
      <c r="M201" s="8">
        <v>29674</v>
      </c>
      <c r="N201" s="8">
        <v>29131</v>
      </c>
      <c r="O201" s="8">
        <v>29857</v>
      </c>
      <c r="P201" s="8">
        <v>29788</v>
      </c>
      <c r="Q201" s="8">
        <v>29228</v>
      </c>
      <c r="R201" s="8">
        <v>29394</v>
      </c>
      <c r="S201" s="8">
        <v>29390</v>
      </c>
      <c r="T201" s="8">
        <v>30078</v>
      </c>
      <c r="U201" s="8">
        <v>30559</v>
      </c>
      <c r="V201" s="8">
        <v>31000</v>
      </c>
      <c r="W201" s="8">
        <v>31017</v>
      </c>
      <c r="X201" s="8">
        <v>30951</v>
      </c>
      <c r="Y201" s="8">
        <v>30642</v>
      </c>
      <c r="Z201" s="8">
        <v>31422</v>
      </c>
      <c r="AA201" s="8">
        <v>31220</v>
      </c>
      <c r="AB201" s="8">
        <v>31042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spans="1:47" ht="14.4">
      <c r="A202" s="3">
        <f>LOOKUP(D202,'AMFI DATA_2023H2'!F:L,'AMFI DATA_2023H2'!L:L)</f>
        <v>199</v>
      </c>
      <c r="B202" s="4" t="s">
        <v>606</v>
      </c>
      <c r="C202" s="4" t="s">
        <v>607</v>
      </c>
      <c r="D202" s="5" t="s">
        <v>608</v>
      </c>
      <c r="E202" s="5">
        <v>24125.99</v>
      </c>
      <c r="F202" s="6">
        <f>LOOKUP(D202,'AMFI DATA_2023H2'!F:J,'AMFI DATA_2023H2'!J:J)</f>
        <v>31263.3187</v>
      </c>
      <c r="G202" s="7">
        <f t="shared" si="0"/>
        <v>-1</v>
      </c>
      <c r="H202" s="8"/>
      <c r="I202" s="8">
        <v>31233</v>
      </c>
      <c r="J202" s="8">
        <v>31024</v>
      </c>
      <c r="K202" s="8">
        <v>32013</v>
      </c>
      <c r="L202" s="8">
        <v>31725</v>
      </c>
      <c r="M202" s="8">
        <v>31999</v>
      </c>
      <c r="N202" s="8">
        <v>32361</v>
      </c>
      <c r="O202" s="8">
        <v>32627</v>
      </c>
      <c r="P202" s="8">
        <v>32275</v>
      </c>
      <c r="Q202" s="8">
        <v>32651</v>
      </c>
      <c r="R202" s="8">
        <v>31423</v>
      </c>
      <c r="S202" s="8">
        <v>32707</v>
      </c>
      <c r="T202" s="8">
        <v>32430</v>
      </c>
      <c r="U202" s="8">
        <v>32356</v>
      </c>
      <c r="V202" s="8">
        <v>32244</v>
      </c>
      <c r="W202" s="8">
        <v>32915</v>
      </c>
      <c r="X202" s="8">
        <v>32941</v>
      </c>
      <c r="Y202" s="8">
        <v>32903</v>
      </c>
      <c r="Z202" s="8">
        <v>32957</v>
      </c>
      <c r="AA202" s="8">
        <v>32111</v>
      </c>
      <c r="AB202" s="8">
        <v>32418</v>
      </c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</row>
    <row r="203" spans="1:47" ht="14.4">
      <c r="A203" s="3">
        <f>LOOKUP(D203,'AMFI DATA_2023H2'!F:L,'AMFI DATA_2023H2'!L:L)</f>
        <v>200</v>
      </c>
      <c r="B203" s="4" t="s">
        <v>609</v>
      </c>
      <c r="C203" s="4" t="s">
        <v>610</v>
      </c>
      <c r="D203" s="5" t="s">
        <v>611</v>
      </c>
      <c r="E203" s="5">
        <v>31715.4</v>
      </c>
      <c r="F203" s="6">
        <f>LOOKUP(D203,'AMFI DATA_2023H2'!F:J,'AMFI DATA_2023H2'!J:J)</f>
        <v>30698.762549999999</v>
      </c>
      <c r="G203" s="7">
        <f t="shared" si="0"/>
        <v>-1</v>
      </c>
      <c r="H203" s="8"/>
      <c r="I203" s="8">
        <v>31224</v>
      </c>
      <c r="J203" s="8">
        <v>30660</v>
      </c>
      <c r="K203" s="8">
        <v>30275</v>
      </c>
      <c r="L203" s="8">
        <v>30349</v>
      </c>
      <c r="M203" s="8">
        <v>30296</v>
      </c>
      <c r="N203" s="8">
        <v>29946</v>
      </c>
      <c r="O203" s="8">
        <v>29757</v>
      </c>
      <c r="P203" s="8">
        <v>29246</v>
      </c>
      <c r="Q203" s="8">
        <v>30034</v>
      </c>
      <c r="R203" s="8">
        <v>29680</v>
      </c>
      <c r="S203" s="8">
        <v>30125</v>
      </c>
      <c r="T203" s="8">
        <v>29708</v>
      </c>
      <c r="U203" s="8">
        <v>29547</v>
      </c>
      <c r="V203" s="8">
        <v>29750</v>
      </c>
      <c r="W203" s="8">
        <v>29435</v>
      </c>
      <c r="X203" s="8">
        <v>29267</v>
      </c>
      <c r="Y203" s="8">
        <v>28970</v>
      </c>
      <c r="Z203" s="8">
        <v>28753</v>
      </c>
      <c r="AA203" s="8">
        <v>28822</v>
      </c>
      <c r="AB203" s="8">
        <v>28564</v>
      </c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spans="1:47" ht="14.4">
      <c r="A204" s="3">
        <f>LOOKUP(D204,'AMFI DATA_2023H2'!F:L,'AMFI DATA_2023H2'!L:L)</f>
        <v>201</v>
      </c>
      <c r="B204" s="4" t="s">
        <v>612</v>
      </c>
      <c r="C204" s="4" t="s">
        <v>613</v>
      </c>
      <c r="D204" s="5" t="s">
        <v>614</v>
      </c>
      <c r="E204" s="5">
        <v>19447</v>
      </c>
      <c r="F204" s="6">
        <f>LOOKUP(D204,'AMFI DATA_2023H2'!F:J,'AMFI DATA_2023H2'!J:J)</f>
        <v>30671.55845</v>
      </c>
      <c r="G204" s="7">
        <f t="shared" si="0"/>
        <v>-1</v>
      </c>
      <c r="H204" s="8"/>
      <c r="I204" s="8">
        <v>36486</v>
      </c>
      <c r="J204" s="8">
        <v>37701</v>
      </c>
      <c r="K204" s="8">
        <v>38130</v>
      </c>
      <c r="L204" s="8">
        <v>37862</v>
      </c>
      <c r="M204" s="8">
        <v>37873</v>
      </c>
      <c r="N204" s="8">
        <v>39201</v>
      </c>
      <c r="O204" s="8">
        <v>38808</v>
      </c>
      <c r="P204" s="8">
        <v>37843</v>
      </c>
      <c r="Q204" s="8">
        <v>38011</v>
      </c>
      <c r="R204" s="8">
        <v>37839</v>
      </c>
      <c r="S204" s="8">
        <v>38133</v>
      </c>
      <c r="T204" s="8">
        <v>38260</v>
      </c>
      <c r="U204" s="8">
        <v>37957</v>
      </c>
      <c r="V204" s="8">
        <v>37781</v>
      </c>
      <c r="W204" s="8">
        <v>38560</v>
      </c>
      <c r="X204" s="8">
        <v>39053</v>
      </c>
      <c r="Y204" s="8">
        <v>38597</v>
      </c>
      <c r="Z204" s="8">
        <v>38615</v>
      </c>
      <c r="AA204" s="8">
        <v>38653</v>
      </c>
      <c r="AB204" s="8">
        <v>38749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</row>
    <row r="205" spans="1:47" ht="14.4">
      <c r="A205" s="3">
        <f>LOOKUP(D205,'AMFI DATA_2023H2'!F:L,'AMFI DATA_2023H2'!L:L)</f>
        <v>202</v>
      </c>
      <c r="B205" s="4" t="s">
        <v>615</v>
      </c>
      <c r="C205" s="4" t="s">
        <v>616</v>
      </c>
      <c r="D205" s="5" t="s">
        <v>617</v>
      </c>
      <c r="E205" s="5">
        <v>25494.09</v>
      </c>
      <c r="F205" s="6">
        <f>LOOKUP(D205,'AMFI DATA_2023H2'!F:J,'AMFI DATA_2023H2'!J:J)</f>
        <v>30553.1558</v>
      </c>
      <c r="G205" s="7">
        <f t="shared" si="0"/>
        <v>-1</v>
      </c>
      <c r="H205" s="8"/>
      <c r="I205" s="8">
        <v>28035</v>
      </c>
      <c r="J205" s="8">
        <v>28006</v>
      </c>
      <c r="K205" s="8">
        <v>28300</v>
      </c>
      <c r="L205" s="8">
        <v>28744</v>
      </c>
      <c r="M205" s="8">
        <v>29496</v>
      </c>
      <c r="N205" s="8">
        <v>29423</v>
      </c>
      <c r="O205" s="8">
        <v>29801</v>
      </c>
      <c r="P205" s="8">
        <v>28778</v>
      </c>
      <c r="Q205" s="8">
        <v>29017</v>
      </c>
      <c r="R205" s="8">
        <v>28648</v>
      </c>
      <c r="S205" s="8">
        <v>29046</v>
      </c>
      <c r="T205" s="8">
        <v>29303</v>
      </c>
      <c r="U205" s="8">
        <v>29084</v>
      </c>
      <c r="V205" s="8">
        <v>29013</v>
      </c>
      <c r="W205" s="8">
        <v>28543</v>
      </c>
      <c r="X205" s="8">
        <v>28187</v>
      </c>
      <c r="Y205" s="8">
        <v>28143</v>
      </c>
      <c r="Z205" s="8">
        <v>28018</v>
      </c>
      <c r="AA205" s="8">
        <v>28141</v>
      </c>
      <c r="AB205" s="8">
        <v>28348</v>
      </c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</row>
    <row r="206" spans="1:47" ht="14.4">
      <c r="A206" s="3">
        <f>LOOKUP(D206,'AMFI DATA_2023H2'!F:L,'AMFI DATA_2023H2'!L:L)</f>
        <v>203</v>
      </c>
      <c r="B206" s="4" t="s">
        <v>618</v>
      </c>
      <c r="C206" s="4" t="s">
        <v>619</v>
      </c>
      <c r="D206" s="5" t="s">
        <v>620</v>
      </c>
      <c r="E206" s="5">
        <v>32989.19</v>
      </c>
      <c r="F206" s="6">
        <f>LOOKUP(D206,'AMFI DATA_2023H2'!F:J,'AMFI DATA_2023H2'!J:J)</f>
        <v>30546.313999999998</v>
      </c>
      <c r="G206" s="7">
        <f t="shared" si="0"/>
        <v>-1</v>
      </c>
      <c r="H206" s="8"/>
      <c r="I206" s="8">
        <v>38092</v>
      </c>
      <c r="J206" s="8">
        <v>38391</v>
      </c>
      <c r="K206" s="8">
        <v>38240</v>
      </c>
      <c r="L206" s="8">
        <v>38278</v>
      </c>
      <c r="M206" s="8">
        <v>37448</v>
      </c>
      <c r="N206" s="8">
        <v>36801</v>
      </c>
      <c r="O206" s="8">
        <v>37266</v>
      </c>
      <c r="P206" s="8">
        <v>35466</v>
      </c>
      <c r="Q206" s="8">
        <v>35366</v>
      </c>
      <c r="R206" s="8">
        <v>34967</v>
      </c>
      <c r="S206" s="8">
        <v>34891</v>
      </c>
      <c r="T206" s="8">
        <v>34846</v>
      </c>
      <c r="U206" s="8">
        <v>34258</v>
      </c>
      <c r="V206" s="8">
        <v>34309</v>
      </c>
      <c r="W206" s="8">
        <v>33322</v>
      </c>
      <c r="X206" s="8">
        <v>31755</v>
      </c>
      <c r="Y206" s="8">
        <v>31139</v>
      </c>
      <c r="Z206" s="8">
        <v>30978</v>
      </c>
      <c r="AA206" s="8">
        <v>31067</v>
      </c>
      <c r="AB206" s="8">
        <v>30795</v>
      </c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spans="1:47" ht="14.4">
      <c r="A207" s="3">
        <f>LOOKUP(D207,'AMFI DATA_2023H2'!F:L,'AMFI DATA_2023H2'!L:L)</f>
        <v>204</v>
      </c>
      <c r="B207" s="4" t="s">
        <v>621</v>
      </c>
      <c r="C207" s="4" t="s">
        <v>622</v>
      </c>
      <c r="D207" s="5" t="s">
        <v>623</v>
      </c>
      <c r="E207" s="5">
        <v>28236.02</v>
      </c>
      <c r="F207" s="6">
        <f>LOOKUP(D207,'AMFI DATA_2023H2'!F:J,'AMFI DATA_2023H2'!J:J)</f>
        <v>30157.403299999998</v>
      </c>
      <c r="G207" s="7">
        <f t="shared" si="0"/>
        <v>-1</v>
      </c>
      <c r="H207" s="8"/>
      <c r="I207" s="8">
        <v>33191</v>
      </c>
      <c r="J207" s="8">
        <v>33653</v>
      </c>
      <c r="K207" s="8">
        <v>33593</v>
      </c>
      <c r="L207" s="8">
        <v>34379</v>
      </c>
      <c r="M207" s="8">
        <v>33731</v>
      </c>
      <c r="N207" s="8">
        <v>32920</v>
      </c>
      <c r="O207" s="8">
        <v>33857</v>
      </c>
      <c r="P207" s="8">
        <v>33791</v>
      </c>
      <c r="Q207" s="8">
        <v>33761</v>
      </c>
      <c r="R207" s="8">
        <v>33677</v>
      </c>
      <c r="S207" s="8">
        <v>34985</v>
      </c>
      <c r="T207" s="8">
        <v>34049</v>
      </c>
      <c r="U207" s="8">
        <v>33935</v>
      </c>
      <c r="V207" s="8">
        <v>31948</v>
      </c>
      <c r="W207" s="8">
        <v>30681</v>
      </c>
      <c r="X207" s="8">
        <v>29985</v>
      </c>
      <c r="Y207" s="8">
        <v>29697</v>
      </c>
      <c r="Z207" s="8">
        <v>30309</v>
      </c>
      <c r="AA207" s="8">
        <v>30105</v>
      </c>
      <c r="AB207" s="8">
        <v>29571</v>
      </c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</row>
    <row r="208" spans="1:47" ht="14.4">
      <c r="A208" s="3">
        <f>LOOKUP(D208,'AMFI DATA_2023H2'!F:L,'AMFI DATA_2023H2'!L:L)</f>
        <v>205</v>
      </c>
      <c r="B208" s="4" t="s">
        <v>624</v>
      </c>
      <c r="C208" s="4" t="s">
        <v>625</v>
      </c>
      <c r="D208" s="5" t="s">
        <v>626</v>
      </c>
      <c r="E208" s="5">
        <v>23858.2</v>
      </c>
      <c r="F208" s="6">
        <f>LOOKUP(D208,'AMFI DATA_2023H2'!F:J,'AMFI DATA_2023H2'!J:J)</f>
        <v>30129.307049999999</v>
      </c>
      <c r="G208" s="7">
        <f t="shared" si="0"/>
        <v>-1</v>
      </c>
      <c r="H208" s="8"/>
      <c r="I208" s="8">
        <v>38829</v>
      </c>
      <c r="J208" s="8">
        <v>37699</v>
      </c>
      <c r="K208" s="8">
        <v>37184</v>
      </c>
      <c r="L208" s="8">
        <v>37949</v>
      </c>
      <c r="M208" s="8">
        <v>38556</v>
      </c>
      <c r="N208" s="8">
        <v>38149</v>
      </c>
      <c r="O208" s="8">
        <v>37780</v>
      </c>
      <c r="P208" s="8">
        <v>37003</v>
      </c>
      <c r="Q208" s="8">
        <v>36500</v>
      </c>
      <c r="R208" s="8">
        <v>35293</v>
      </c>
      <c r="S208" s="8">
        <v>35278</v>
      </c>
      <c r="T208" s="8">
        <v>34624</v>
      </c>
      <c r="U208" s="8">
        <v>33117</v>
      </c>
      <c r="V208" s="8">
        <v>33113</v>
      </c>
      <c r="W208" s="8">
        <v>33648</v>
      </c>
      <c r="X208" s="8">
        <v>33532</v>
      </c>
      <c r="Y208" s="8">
        <v>33094</v>
      </c>
      <c r="Z208" s="8">
        <v>33423</v>
      </c>
      <c r="AA208" s="8">
        <v>33868</v>
      </c>
      <c r="AB208" s="8">
        <v>34003</v>
      </c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spans="1:47" ht="14.4">
      <c r="A209" s="3">
        <f>LOOKUP(D209,'AMFI DATA_2023H2'!F:L,'AMFI DATA_2023H2'!L:L)</f>
        <v>206</v>
      </c>
      <c r="B209" s="4" t="s">
        <v>627</v>
      </c>
      <c r="C209" s="4" t="s">
        <v>628</v>
      </c>
      <c r="D209" s="5" t="s">
        <v>629</v>
      </c>
      <c r="E209" s="5">
        <v>24967.26</v>
      </c>
      <c r="F209" s="6">
        <f>LOOKUP(D209,'AMFI DATA_2023H2'!F:J,'AMFI DATA_2023H2'!J:J)</f>
        <v>29927.80315</v>
      </c>
      <c r="G209" s="7">
        <f t="shared" si="0"/>
        <v>-1</v>
      </c>
      <c r="H209" s="8"/>
      <c r="I209" s="8">
        <v>29242</v>
      </c>
      <c r="J209" s="8">
        <v>29489</v>
      </c>
      <c r="K209" s="8">
        <v>29824</v>
      </c>
      <c r="L209" s="8">
        <v>30218</v>
      </c>
      <c r="M209" s="8">
        <v>30207</v>
      </c>
      <c r="N209" s="8">
        <v>30170</v>
      </c>
      <c r="O209" s="8">
        <v>30287</v>
      </c>
      <c r="P209" s="8">
        <v>31034</v>
      </c>
      <c r="Q209" s="8">
        <v>29387</v>
      </c>
      <c r="R209" s="8">
        <v>29619</v>
      </c>
      <c r="S209" s="8">
        <v>29666</v>
      </c>
      <c r="T209" s="8">
        <v>29696</v>
      </c>
      <c r="U209" s="8">
        <v>29148</v>
      </c>
      <c r="V209" s="8">
        <v>28564</v>
      </c>
      <c r="W209" s="8">
        <v>28251</v>
      </c>
      <c r="X209" s="8">
        <v>28600</v>
      </c>
      <c r="Y209" s="8">
        <v>28259</v>
      </c>
      <c r="Z209" s="8">
        <v>28251</v>
      </c>
      <c r="AA209" s="8">
        <v>28487</v>
      </c>
      <c r="AB209" s="8">
        <v>28479</v>
      </c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spans="1:47" ht="14.4">
      <c r="A210" s="3">
        <f>LOOKUP(D210,'AMFI DATA_2023H2'!F:L,'AMFI DATA_2023H2'!L:L)</f>
        <v>207</v>
      </c>
      <c r="B210" s="4" t="s">
        <v>630</v>
      </c>
      <c r="C210" s="4" t="s">
        <v>631</v>
      </c>
      <c r="D210" s="5" t="s">
        <v>632</v>
      </c>
      <c r="E210" s="5">
        <v>18447.97</v>
      </c>
      <c r="F210" s="6">
        <f>LOOKUP(D210,'AMFI DATA_2023H2'!F:J,'AMFI DATA_2023H2'!J:J)</f>
        <v>29776.633999999998</v>
      </c>
      <c r="G210" s="7">
        <f t="shared" si="0"/>
        <v>-1</v>
      </c>
      <c r="H210" s="8"/>
      <c r="I210" s="8">
        <v>51346</v>
      </c>
      <c r="J210" s="8">
        <v>52196</v>
      </c>
      <c r="K210" s="8">
        <v>51741</v>
      </c>
      <c r="L210" s="8">
        <v>53431</v>
      </c>
      <c r="M210" s="8">
        <v>54283</v>
      </c>
      <c r="N210" s="8">
        <v>55507</v>
      </c>
      <c r="O210" s="8">
        <v>55207</v>
      </c>
      <c r="P210" s="8">
        <v>54914</v>
      </c>
      <c r="Q210" s="8">
        <v>53673</v>
      </c>
      <c r="R210" s="8">
        <v>53313</v>
      </c>
      <c r="S210" s="8">
        <v>53435</v>
      </c>
      <c r="T210" s="8">
        <v>54331</v>
      </c>
      <c r="U210" s="8">
        <v>50797</v>
      </c>
      <c r="V210" s="8">
        <v>47953</v>
      </c>
      <c r="W210" s="8">
        <v>47512</v>
      </c>
      <c r="X210" s="8">
        <v>46388</v>
      </c>
      <c r="Y210" s="8">
        <v>46121</v>
      </c>
      <c r="Z210" s="8">
        <v>45716</v>
      </c>
      <c r="AA210" s="8">
        <v>44914</v>
      </c>
      <c r="AB210" s="8">
        <v>44692</v>
      </c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</row>
    <row r="211" spans="1:47" ht="14.4">
      <c r="A211" s="3">
        <f>LOOKUP(D211,'AMFI DATA_2023H2'!F:L,'AMFI DATA_2023H2'!L:L)</f>
        <v>208</v>
      </c>
      <c r="B211" s="4" t="s">
        <v>633</v>
      </c>
      <c r="C211" s="4" t="s">
        <v>634</v>
      </c>
      <c r="D211" s="5" t="s">
        <v>635</v>
      </c>
      <c r="E211" s="5">
        <v>19200.810000000001</v>
      </c>
      <c r="F211" s="6">
        <f>LOOKUP(D211,'AMFI DATA_2023H2'!F:J,'AMFI DATA_2023H2'!J:J)</f>
        <v>29343.957649999997</v>
      </c>
      <c r="G211" s="7">
        <f t="shared" si="0"/>
        <v>-1</v>
      </c>
      <c r="H211" s="8"/>
      <c r="I211" s="8">
        <v>36582</v>
      </c>
      <c r="J211" s="8">
        <v>36788</v>
      </c>
      <c r="K211" s="8">
        <v>35301</v>
      </c>
      <c r="L211" s="8">
        <v>35386</v>
      </c>
      <c r="M211" s="8">
        <v>35711</v>
      </c>
      <c r="N211" s="8">
        <v>34203</v>
      </c>
      <c r="O211" s="8">
        <v>32560</v>
      </c>
      <c r="P211" s="8">
        <v>32043</v>
      </c>
      <c r="Q211" s="8">
        <v>32525</v>
      </c>
      <c r="R211" s="8">
        <v>32504</v>
      </c>
      <c r="S211" s="8">
        <v>33084</v>
      </c>
      <c r="T211" s="8">
        <v>33424</v>
      </c>
      <c r="U211" s="8">
        <v>33516</v>
      </c>
      <c r="V211" s="8">
        <v>32178</v>
      </c>
      <c r="W211" s="8">
        <v>32355</v>
      </c>
      <c r="X211" s="8">
        <v>31965</v>
      </c>
      <c r="Y211" s="8">
        <v>32128</v>
      </c>
      <c r="Z211" s="8">
        <v>32206</v>
      </c>
      <c r="AA211" s="8">
        <v>32043</v>
      </c>
      <c r="AB211" s="8">
        <v>32291</v>
      </c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spans="1:47" ht="14.4">
      <c r="A212" s="3">
        <f>LOOKUP(D212,'AMFI DATA_2023H2'!F:L,'AMFI DATA_2023H2'!L:L)</f>
        <v>209</v>
      </c>
      <c r="B212" s="4" t="s">
        <v>636</v>
      </c>
      <c r="C212" s="4" t="s">
        <v>637</v>
      </c>
      <c r="D212" s="5" t="s">
        <v>638</v>
      </c>
      <c r="E212" s="5">
        <v>24715.11</v>
      </c>
      <c r="F212" s="6">
        <f>LOOKUP(D212,'AMFI DATA_2023H2'!F:J,'AMFI DATA_2023H2'!J:J)</f>
        <v>29341.130799999999</v>
      </c>
      <c r="G212" s="7">
        <f t="shared" si="0"/>
        <v>-1</v>
      </c>
      <c r="H212" s="8"/>
      <c r="I212" s="8">
        <v>29787</v>
      </c>
      <c r="J212" s="8">
        <v>29991</v>
      </c>
      <c r="K212" s="8">
        <v>30028</v>
      </c>
      <c r="L212" s="8">
        <v>29722</v>
      </c>
      <c r="M212" s="8">
        <v>29794</v>
      </c>
      <c r="N212" s="8">
        <v>29905</v>
      </c>
      <c r="O212" s="8">
        <v>30032</v>
      </c>
      <c r="P212" s="8">
        <v>30087</v>
      </c>
      <c r="Q212" s="8">
        <v>29898</v>
      </c>
      <c r="R212" s="8">
        <v>29774</v>
      </c>
      <c r="S212" s="8">
        <v>30128</v>
      </c>
      <c r="T212" s="8">
        <v>30343</v>
      </c>
      <c r="U212" s="8">
        <v>30334</v>
      </c>
      <c r="V212" s="8">
        <v>30855</v>
      </c>
      <c r="W212" s="8">
        <v>31271</v>
      </c>
      <c r="X212" s="8">
        <v>31728</v>
      </c>
      <c r="Y212" s="8">
        <v>31178</v>
      </c>
      <c r="Z212" s="8">
        <v>31586</v>
      </c>
      <c r="AA212" s="8">
        <v>32108</v>
      </c>
      <c r="AB212" s="8">
        <v>31830</v>
      </c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ht="14.4">
      <c r="A213" s="3">
        <f>LOOKUP(D213,'AMFI DATA_2023H2'!F:L,'AMFI DATA_2023H2'!L:L)</f>
        <v>210</v>
      </c>
      <c r="B213" s="4" t="s">
        <v>639</v>
      </c>
      <c r="C213" s="4" t="s">
        <v>640</v>
      </c>
      <c r="D213" s="5" t="s">
        <v>641</v>
      </c>
      <c r="E213" s="5">
        <v>26204.400000000001</v>
      </c>
      <c r="F213" s="6">
        <f>LOOKUP(D213,'AMFI DATA_2023H2'!F:J,'AMFI DATA_2023H2'!J:J)</f>
        <v>29017.8259</v>
      </c>
      <c r="G213" s="7">
        <f t="shared" si="0"/>
        <v>-1</v>
      </c>
      <c r="H213" s="8"/>
      <c r="I213" s="8">
        <v>32144</v>
      </c>
      <c r="J213" s="8">
        <v>31276</v>
      </c>
      <c r="K213" s="8">
        <v>31713</v>
      </c>
      <c r="L213" s="8">
        <v>32736</v>
      </c>
      <c r="M213" s="8">
        <v>33180</v>
      </c>
      <c r="N213" s="8">
        <v>33191</v>
      </c>
      <c r="O213" s="8">
        <v>33602</v>
      </c>
      <c r="P213" s="8">
        <v>33137</v>
      </c>
      <c r="Q213" s="8">
        <v>33324</v>
      </c>
      <c r="R213" s="8">
        <v>33165</v>
      </c>
      <c r="S213" s="8">
        <v>33362</v>
      </c>
      <c r="T213" s="8">
        <v>33921</v>
      </c>
      <c r="U213" s="8">
        <v>33826</v>
      </c>
      <c r="V213" s="8">
        <v>33791</v>
      </c>
      <c r="W213" s="8">
        <v>33742</v>
      </c>
      <c r="X213" s="8">
        <v>33856</v>
      </c>
      <c r="Y213" s="8">
        <v>33190</v>
      </c>
      <c r="Z213" s="8">
        <v>33637</v>
      </c>
      <c r="AA213" s="8">
        <v>33737</v>
      </c>
      <c r="AB213" s="8">
        <v>32454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</row>
    <row r="214" spans="1:47" ht="14.4">
      <c r="A214" s="3">
        <f>LOOKUP(D214,'AMFI DATA_2023H2'!F:L,'AMFI DATA_2023H2'!L:L)</f>
        <v>211</v>
      </c>
      <c r="B214" s="4" t="s">
        <v>642</v>
      </c>
      <c r="C214" s="4" t="s">
        <v>643</v>
      </c>
      <c r="D214" s="5" t="s">
        <v>644</v>
      </c>
      <c r="E214" s="5">
        <v>32821.410000000003</v>
      </c>
      <c r="F214" s="6">
        <f>LOOKUP(D214,'AMFI DATA_2023H2'!F:J,'AMFI DATA_2023H2'!J:J)</f>
        <v>28528.964500000002</v>
      </c>
      <c r="G214" s="7">
        <f t="shared" si="0"/>
        <v>-1</v>
      </c>
      <c r="H214" s="8"/>
      <c r="I214" s="8">
        <v>29482</v>
      </c>
      <c r="J214" s="8">
        <v>29269</v>
      </c>
      <c r="K214" s="8">
        <v>29209</v>
      </c>
      <c r="L214" s="8">
        <v>29835</v>
      </c>
      <c r="M214" s="8">
        <v>29062</v>
      </c>
      <c r="N214" s="8">
        <v>29350</v>
      </c>
      <c r="O214" s="8">
        <v>29421</v>
      </c>
      <c r="P214" s="8">
        <v>29269</v>
      </c>
      <c r="Q214" s="8">
        <v>29178</v>
      </c>
      <c r="R214" s="8">
        <v>29125</v>
      </c>
      <c r="S214" s="8">
        <v>30012</v>
      </c>
      <c r="T214" s="8">
        <v>29727</v>
      </c>
      <c r="U214" s="8">
        <v>30290</v>
      </c>
      <c r="V214" s="8">
        <v>30363</v>
      </c>
      <c r="W214" s="8">
        <v>30517</v>
      </c>
      <c r="X214" s="8">
        <v>30229</v>
      </c>
      <c r="Y214" s="8">
        <v>30492</v>
      </c>
      <c r="Z214" s="8">
        <v>31149</v>
      </c>
      <c r="AA214" s="8">
        <v>31614</v>
      </c>
      <c r="AB214" s="8">
        <v>31136</v>
      </c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ht="14.4">
      <c r="A215" s="3">
        <f>LOOKUP(D215,'AMFI DATA_2023H2'!F:L,'AMFI DATA_2023H2'!L:L)</f>
        <v>212</v>
      </c>
      <c r="B215" s="4" t="s">
        <v>645</v>
      </c>
      <c r="C215" s="4" t="s">
        <v>646</v>
      </c>
      <c r="D215" s="5" t="s">
        <v>647</v>
      </c>
      <c r="E215" s="5">
        <v>19506.11</v>
      </c>
      <c r="F215" s="6">
        <f>LOOKUP(D215,'AMFI DATA_2023H2'!F:J,'AMFI DATA_2023H2'!J:J)</f>
        <v>27907.59835</v>
      </c>
      <c r="G215" s="7">
        <f t="shared" si="0"/>
        <v>-1</v>
      </c>
      <c r="H215" s="8"/>
      <c r="I215" s="8">
        <v>32268</v>
      </c>
      <c r="J215" s="8">
        <v>32152</v>
      </c>
      <c r="K215" s="8">
        <v>31227</v>
      </c>
      <c r="L215" s="8">
        <v>31390</v>
      </c>
      <c r="M215" s="8">
        <v>30957</v>
      </c>
      <c r="N215" s="8">
        <v>30775</v>
      </c>
      <c r="O215" s="8">
        <v>29998</v>
      </c>
      <c r="P215" s="8">
        <v>30304</v>
      </c>
      <c r="Q215" s="8">
        <v>30867</v>
      </c>
      <c r="R215" s="8">
        <v>30813</v>
      </c>
      <c r="S215" s="8">
        <v>30526</v>
      </c>
      <c r="T215" s="8">
        <v>30104</v>
      </c>
      <c r="U215" s="8">
        <v>30298</v>
      </c>
      <c r="V215" s="8">
        <v>30885</v>
      </c>
      <c r="W215" s="8">
        <v>30977</v>
      </c>
      <c r="X215" s="8">
        <v>30374</v>
      </c>
      <c r="Y215" s="8">
        <v>29388</v>
      </c>
      <c r="Z215" s="8">
        <v>29113</v>
      </c>
      <c r="AA215" s="8">
        <v>28977</v>
      </c>
      <c r="AB215" s="8">
        <v>29457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ht="14.4">
      <c r="A216" s="3">
        <f>LOOKUP(D216,'AMFI DATA_2023H2'!F:L,'AMFI DATA_2023H2'!L:L)</f>
        <v>213</v>
      </c>
      <c r="B216" s="4" t="s">
        <v>648</v>
      </c>
      <c r="C216" s="4" t="s">
        <v>649</v>
      </c>
      <c r="D216" s="5" t="s">
        <v>650</v>
      </c>
      <c r="E216" s="5">
        <v>27277.58</v>
      </c>
      <c r="F216" s="6">
        <f>LOOKUP(D216,'AMFI DATA_2023H2'!F:J,'AMFI DATA_2023H2'!J:J)</f>
        <v>27742.757750000001</v>
      </c>
      <c r="G216" s="7">
        <f t="shared" si="0"/>
        <v>-1</v>
      </c>
      <c r="H216" s="8"/>
      <c r="I216" s="8">
        <v>34594</v>
      </c>
      <c r="J216" s="8">
        <v>34288</v>
      </c>
      <c r="K216" s="8">
        <v>34875</v>
      </c>
      <c r="L216" s="8">
        <v>34769</v>
      </c>
      <c r="M216" s="8">
        <v>35102</v>
      </c>
      <c r="N216" s="8">
        <v>34917</v>
      </c>
      <c r="O216" s="8">
        <v>34923</v>
      </c>
      <c r="P216" s="8">
        <v>33491</v>
      </c>
      <c r="Q216" s="8">
        <v>32862</v>
      </c>
      <c r="R216" s="8">
        <v>32739</v>
      </c>
      <c r="S216" s="8">
        <v>33395</v>
      </c>
      <c r="T216" s="8">
        <v>33555</v>
      </c>
      <c r="U216" s="8">
        <v>32817</v>
      </c>
      <c r="V216" s="8">
        <v>32920</v>
      </c>
      <c r="W216" s="8">
        <v>32281</v>
      </c>
      <c r="X216" s="8">
        <v>32375</v>
      </c>
      <c r="Y216" s="8">
        <v>32167</v>
      </c>
      <c r="Z216" s="8">
        <v>32600</v>
      </c>
      <c r="AA216" s="8">
        <v>31982</v>
      </c>
      <c r="AB216" s="8">
        <v>31355</v>
      </c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ht="14.4">
      <c r="A217" s="3">
        <f>LOOKUP(D217,'AMFI DATA_2023H2'!F:L,'AMFI DATA_2023H2'!L:L)</f>
        <v>214</v>
      </c>
      <c r="B217" s="4" t="s">
        <v>651</v>
      </c>
      <c r="C217" s="4" t="s">
        <v>652</v>
      </c>
      <c r="D217" s="5" t="s">
        <v>653</v>
      </c>
      <c r="E217" s="5">
        <v>13558.25</v>
      </c>
      <c r="F217" s="6">
        <f>LOOKUP(D217,'AMFI DATA_2023H2'!F:J,'AMFI DATA_2023H2'!J:J)</f>
        <v>27218.631950000003</v>
      </c>
      <c r="G217" s="7">
        <f t="shared" si="0"/>
        <v>-1</v>
      </c>
      <c r="H217" s="8"/>
      <c r="I217" s="8">
        <v>41467</v>
      </c>
      <c r="J217" s="8">
        <v>39534</v>
      </c>
      <c r="K217" s="8">
        <v>39852</v>
      </c>
      <c r="L217" s="8">
        <v>39223</v>
      </c>
      <c r="M217" s="8">
        <v>40280</v>
      </c>
      <c r="N217" s="8">
        <v>36999</v>
      </c>
      <c r="O217" s="8">
        <v>36626</v>
      </c>
      <c r="P217" s="8">
        <v>35722</v>
      </c>
      <c r="Q217" s="8">
        <v>36979</v>
      </c>
      <c r="R217" s="8">
        <v>37133</v>
      </c>
      <c r="S217" s="8">
        <v>37282</v>
      </c>
      <c r="T217" s="8">
        <v>36960</v>
      </c>
      <c r="U217" s="8">
        <v>36492</v>
      </c>
      <c r="V217" s="8">
        <v>36665</v>
      </c>
      <c r="W217" s="8">
        <v>36539</v>
      </c>
      <c r="X217" s="8">
        <v>35738</v>
      </c>
      <c r="Y217" s="8">
        <v>35887</v>
      </c>
      <c r="Z217" s="8">
        <v>36508</v>
      </c>
      <c r="AA217" s="8">
        <v>36021</v>
      </c>
      <c r="AB217" s="8">
        <v>35250</v>
      </c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</row>
    <row r="218" spans="1:47" ht="14.4">
      <c r="A218" s="3">
        <f>LOOKUP(D218,'AMFI DATA_2023H2'!F:L,'AMFI DATA_2023H2'!L:L)</f>
        <v>215</v>
      </c>
      <c r="B218" s="4" t="s">
        <v>654</v>
      </c>
      <c r="C218" s="4" t="s">
        <v>655</v>
      </c>
      <c r="D218" s="5" t="s">
        <v>656</v>
      </c>
      <c r="E218" s="5">
        <v>23358.9</v>
      </c>
      <c r="F218" s="6">
        <f>LOOKUP(D218,'AMFI DATA_2023H2'!F:J,'AMFI DATA_2023H2'!J:J)</f>
        <v>26966.243699999999</v>
      </c>
      <c r="G218" s="7">
        <f t="shared" si="0"/>
        <v>-1</v>
      </c>
      <c r="H218" s="8"/>
      <c r="I218" s="8">
        <v>27256</v>
      </c>
      <c r="J218" s="8">
        <v>27212</v>
      </c>
      <c r="K218" s="8">
        <v>27376</v>
      </c>
      <c r="L218" s="8">
        <v>27782</v>
      </c>
      <c r="M218" s="8">
        <v>28096</v>
      </c>
      <c r="N218" s="8">
        <v>27897</v>
      </c>
      <c r="O218" s="8">
        <v>28127</v>
      </c>
      <c r="P218" s="8">
        <v>28432</v>
      </c>
      <c r="Q218" s="8">
        <v>28689</v>
      </c>
      <c r="R218" s="8">
        <v>28591</v>
      </c>
      <c r="S218" s="8">
        <v>29025</v>
      </c>
      <c r="T218" s="8">
        <v>27411</v>
      </c>
      <c r="U218" s="8">
        <v>27221</v>
      </c>
      <c r="V218" s="8">
        <v>27230</v>
      </c>
      <c r="W218" s="8">
        <v>27490</v>
      </c>
      <c r="X218" s="8">
        <v>27323</v>
      </c>
      <c r="Y218" s="8">
        <v>27022</v>
      </c>
      <c r="Z218" s="8">
        <v>27004</v>
      </c>
      <c r="AA218" s="8">
        <v>26867</v>
      </c>
      <c r="AB218" s="8">
        <v>27168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</row>
    <row r="219" spans="1:47" ht="14.4">
      <c r="A219" s="3">
        <f>LOOKUP(D219,'AMFI DATA_2023H2'!F:L,'AMFI DATA_2023H2'!L:L)</f>
        <v>216</v>
      </c>
      <c r="B219" s="4" t="s">
        <v>657</v>
      </c>
      <c r="C219" s="4" t="s">
        <v>658</v>
      </c>
      <c r="D219" s="5" t="s">
        <v>659</v>
      </c>
      <c r="E219" s="5">
        <v>20205.36</v>
      </c>
      <c r="F219" s="6">
        <f>LOOKUP(D219,'AMFI DATA_2023H2'!F:J,'AMFI DATA_2023H2'!J:J)</f>
        <v>26708.250700000001</v>
      </c>
      <c r="G219" s="7">
        <f t="shared" si="0"/>
        <v>-1</v>
      </c>
      <c r="H219" s="8"/>
      <c r="I219" s="8">
        <v>31063</v>
      </c>
      <c r="J219" s="8">
        <v>30602</v>
      </c>
      <c r="K219" s="8">
        <v>30209</v>
      </c>
      <c r="L219" s="8">
        <v>30676</v>
      </c>
      <c r="M219" s="8">
        <v>30717</v>
      </c>
      <c r="N219" s="8">
        <v>30195</v>
      </c>
      <c r="O219" s="8">
        <v>28995</v>
      </c>
      <c r="P219" s="8">
        <v>28873</v>
      </c>
      <c r="Q219" s="8">
        <v>29043</v>
      </c>
      <c r="R219" s="8">
        <v>29266</v>
      </c>
      <c r="S219" s="8">
        <v>30073</v>
      </c>
      <c r="T219" s="8">
        <v>30398</v>
      </c>
      <c r="U219" s="8">
        <v>29978</v>
      </c>
      <c r="V219" s="8">
        <v>29551</v>
      </c>
      <c r="W219" s="8">
        <v>29700</v>
      </c>
      <c r="X219" s="8">
        <v>29110</v>
      </c>
      <c r="Y219" s="8">
        <v>29314</v>
      </c>
      <c r="Z219" s="8">
        <v>29551</v>
      </c>
      <c r="AA219" s="8">
        <v>29592</v>
      </c>
      <c r="AB219" s="8">
        <v>29212</v>
      </c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ht="14.4">
      <c r="A220" s="3">
        <f>LOOKUP(D220,'AMFI DATA_2023H2'!F:L,'AMFI DATA_2023H2'!L:L)</f>
        <v>217</v>
      </c>
      <c r="B220" s="4" t="s">
        <v>660</v>
      </c>
      <c r="C220" s="4" t="s">
        <v>661</v>
      </c>
      <c r="D220" s="5" t="s">
        <v>662</v>
      </c>
      <c r="E220" s="5">
        <v>11685.06</v>
      </c>
      <c r="F220" s="6">
        <f>LOOKUP(D220,'AMFI DATA_2023H2'!F:J,'AMFI DATA_2023H2'!J:J)</f>
        <v>26220.7487</v>
      </c>
      <c r="G220" s="7">
        <f t="shared" si="0"/>
        <v>-1</v>
      </c>
      <c r="H220" s="8"/>
      <c r="I220" s="8">
        <v>37592</v>
      </c>
      <c r="J220" s="8">
        <v>37283</v>
      </c>
      <c r="K220" s="8">
        <v>37283</v>
      </c>
      <c r="L220" s="8">
        <v>37947</v>
      </c>
      <c r="M220" s="8">
        <v>39636</v>
      </c>
      <c r="N220" s="8">
        <v>40110</v>
      </c>
      <c r="O220" s="8">
        <v>40296</v>
      </c>
      <c r="P220" s="8">
        <v>38977</v>
      </c>
      <c r="Q220" s="8">
        <v>39369</v>
      </c>
      <c r="R220" s="8">
        <v>38339</v>
      </c>
      <c r="S220" s="8">
        <v>36907</v>
      </c>
      <c r="T220" s="8">
        <v>37473</v>
      </c>
      <c r="U220" s="8">
        <v>37066</v>
      </c>
      <c r="V220" s="8">
        <v>37489</v>
      </c>
      <c r="W220" s="8">
        <v>37252</v>
      </c>
      <c r="X220" s="8">
        <v>36510</v>
      </c>
      <c r="Y220" s="8">
        <v>35733</v>
      </c>
      <c r="Z220" s="8">
        <v>36273</v>
      </c>
      <c r="AA220" s="8">
        <v>35341</v>
      </c>
      <c r="AB220" s="8">
        <v>34373</v>
      </c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</row>
    <row r="221" spans="1:47" ht="14.4">
      <c r="A221" s="3">
        <f>LOOKUP(D221,'AMFI DATA_2023H2'!F:L,'AMFI DATA_2023H2'!L:L)</f>
        <v>218</v>
      </c>
      <c r="B221" s="4" t="s">
        <v>663</v>
      </c>
      <c r="C221" s="4" t="s">
        <v>664</v>
      </c>
      <c r="D221" s="5" t="s">
        <v>665</v>
      </c>
      <c r="E221" s="5">
        <v>21740.02</v>
      </c>
      <c r="F221" s="6">
        <f>LOOKUP(D221,'AMFI DATA_2023H2'!F:J,'AMFI DATA_2023H2'!J:J)</f>
        <v>26218.102800000001</v>
      </c>
      <c r="G221" s="7">
        <f t="shared" si="0"/>
        <v>-1</v>
      </c>
      <c r="H221" s="8"/>
      <c r="I221" s="8">
        <v>26602</v>
      </c>
      <c r="J221" s="8">
        <v>26808</v>
      </c>
      <c r="K221" s="8">
        <v>26780</v>
      </c>
      <c r="L221" s="8">
        <v>26498</v>
      </c>
      <c r="M221" s="8">
        <v>26453</v>
      </c>
      <c r="N221" s="8">
        <v>26372</v>
      </c>
      <c r="O221" s="8">
        <v>26728</v>
      </c>
      <c r="P221" s="8">
        <v>26528</v>
      </c>
      <c r="Q221" s="8">
        <v>26358</v>
      </c>
      <c r="R221" s="8">
        <v>26034</v>
      </c>
      <c r="S221" s="8">
        <v>26344</v>
      </c>
      <c r="T221" s="8">
        <v>26194</v>
      </c>
      <c r="U221" s="8">
        <v>26146</v>
      </c>
      <c r="V221" s="8">
        <v>25756</v>
      </c>
      <c r="W221" s="8">
        <v>26161</v>
      </c>
      <c r="X221" s="8">
        <v>26100</v>
      </c>
      <c r="Y221" s="8">
        <v>25938</v>
      </c>
      <c r="Z221" s="8">
        <v>25951</v>
      </c>
      <c r="AA221" s="8">
        <v>26161</v>
      </c>
      <c r="AB221" s="8">
        <v>26467</v>
      </c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</row>
    <row r="222" spans="1:47" ht="14.4">
      <c r="A222" s="3">
        <f>LOOKUP(D222,'AMFI DATA_2023H2'!F:L,'AMFI DATA_2023H2'!L:L)</f>
        <v>219</v>
      </c>
      <c r="B222" s="4" t="s">
        <v>666</v>
      </c>
      <c r="C222" s="4" t="s">
        <v>667</v>
      </c>
      <c r="D222" s="5" t="s">
        <v>668</v>
      </c>
      <c r="E222" s="5">
        <v>22182.83</v>
      </c>
      <c r="F222" s="6">
        <f>LOOKUP(D222,'AMFI DATA_2023H2'!F:J,'AMFI DATA_2023H2'!J:J)</f>
        <v>26083.642650000002</v>
      </c>
      <c r="G222" s="7">
        <f t="shared" si="0"/>
        <v>-1</v>
      </c>
      <c r="H222" s="8"/>
      <c r="I222" s="8">
        <v>27752</v>
      </c>
      <c r="J222" s="8">
        <v>27574</v>
      </c>
      <c r="K222" s="8">
        <v>27513</v>
      </c>
      <c r="L222" s="8">
        <v>27699</v>
      </c>
      <c r="M222" s="8">
        <v>27339</v>
      </c>
      <c r="N222" s="8">
        <v>26806</v>
      </c>
      <c r="O222" s="8">
        <v>27327</v>
      </c>
      <c r="P222" s="8">
        <v>27283</v>
      </c>
      <c r="Q222" s="8">
        <v>27368</v>
      </c>
      <c r="R222" s="8">
        <v>27166</v>
      </c>
      <c r="S222" s="8">
        <v>27230</v>
      </c>
      <c r="T222" s="8">
        <v>26963</v>
      </c>
      <c r="U222" s="8">
        <v>27060</v>
      </c>
      <c r="V222" s="8">
        <v>27259</v>
      </c>
      <c r="W222" s="8">
        <v>26850</v>
      </c>
      <c r="X222" s="8">
        <v>26903</v>
      </c>
      <c r="Y222" s="8">
        <v>26976</v>
      </c>
      <c r="Z222" s="8">
        <v>27279</v>
      </c>
      <c r="AA222" s="8">
        <v>26313</v>
      </c>
      <c r="AB222" s="8">
        <v>26066</v>
      </c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ht="14.4">
      <c r="A223" s="3">
        <f>LOOKUP(D223,'AMFI DATA_2023H2'!F:L,'AMFI DATA_2023H2'!L:L)</f>
        <v>220</v>
      </c>
      <c r="B223" s="4" t="s">
        <v>669</v>
      </c>
      <c r="C223" s="4" t="s">
        <v>670</v>
      </c>
      <c r="D223" s="5" t="s">
        <v>671</v>
      </c>
      <c r="E223" s="5">
        <v>20856.169999999998</v>
      </c>
      <c r="F223" s="6">
        <f>LOOKUP(D223,'AMFI DATA_2023H2'!F:J,'AMFI DATA_2023H2'!J:J)</f>
        <v>26042.359100000001</v>
      </c>
      <c r="G223" s="7">
        <f t="shared" si="0"/>
        <v>-1</v>
      </c>
      <c r="H223" s="8"/>
      <c r="I223" s="8">
        <v>31976</v>
      </c>
      <c r="J223" s="8">
        <v>31799</v>
      </c>
      <c r="K223" s="8">
        <v>31595</v>
      </c>
      <c r="L223" s="8">
        <v>31255</v>
      </c>
      <c r="M223" s="8">
        <v>31331</v>
      </c>
      <c r="N223" s="8">
        <v>31799</v>
      </c>
      <c r="O223" s="8">
        <v>32712</v>
      </c>
      <c r="P223" s="8">
        <v>32033</v>
      </c>
      <c r="Q223" s="8">
        <v>32233</v>
      </c>
      <c r="R223" s="8">
        <v>32361</v>
      </c>
      <c r="S223" s="8">
        <v>32829</v>
      </c>
      <c r="T223" s="8">
        <v>32380</v>
      </c>
      <c r="U223" s="8">
        <v>32373</v>
      </c>
      <c r="V223" s="8">
        <v>32901</v>
      </c>
      <c r="W223" s="8">
        <v>33143</v>
      </c>
      <c r="X223" s="8">
        <v>31731</v>
      </c>
      <c r="Y223" s="8">
        <v>30727</v>
      </c>
      <c r="Z223" s="8">
        <v>30244</v>
      </c>
      <c r="AA223" s="8">
        <v>29885</v>
      </c>
      <c r="AB223" s="8">
        <v>29496</v>
      </c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</row>
    <row r="224" spans="1:47" ht="14.4">
      <c r="A224" s="3">
        <f>LOOKUP(D224,'AMFI DATA_2023H2'!F:L,'AMFI DATA_2023H2'!L:L)</f>
        <v>221</v>
      </c>
      <c r="B224" s="4" t="s">
        <v>672</v>
      </c>
      <c r="C224" s="4" t="s">
        <v>673</v>
      </c>
      <c r="D224" s="5" t="s">
        <v>674</v>
      </c>
      <c r="E224" s="5">
        <v>22855.09</v>
      </c>
      <c r="F224" s="6">
        <f>LOOKUP(D224,'AMFI DATA_2023H2'!F:J,'AMFI DATA_2023H2'!J:J)</f>
        <v>25948.6204</v>
      </c>
      <c r="G224" s="7">
        <f t="shared" si="0"/>
        <v>-1</v>
      </c>
      <c r="H224" s="8"/>
      <c r="I224" s="8">
        <v>31252</v>
      </c>
      <c r="J224" s="8">
        <v>30861</v>
      </c>
      <c r="K224" s="8">
        <v>31262</v>
      </c>
      <c r="L224" s="8">
        <v>31892</v>
      </c>
      <c r="M224" s="8">
        <v>31546</v>
      </c>
      <c r="N224" s="8">
        <v>31232</v>
      </c>
      <c r="O224" s="8">
        <v>31175</v>
      </c>
      <c r="P224" s="8">
        <v>31267</v>
      </c>
      <c r="Q224" s="8">
        <v>31141</v>
      </c>
      <c r="R224" s="8">
        <v>31046</v>
      </c>
      <c r="S224" s="8">
        <v>30207</v>
      </c>
      <c r="T224" s="8">
        <v>30135</v>
      </c>
      <c r="U224" s="8">
        <v>29597</v>
      </c>
      <c r="V224" s="8">
        <v>29851</v>
      </c>
      <c r="W224" s="8">
        <v>29357</v>
      </c>
      <c r="X224" s="8">
        <v>29215</v>
      </c>
      <c r="Y224" s="8">
        <v>29188</v>
      </c>
      <c r="Z224" s="8">
        <v>29185</v>
      </c>
      <c r="AA224" s="8">
        <v>29093</v>
      </c>
      <c r="AB224" s="8">
        <v>29224</v>
      </c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ht="14.4">
      <c r="A225" s="3">
        <f>LOOKUP(D225,'AMFI DATA_2023H2'!F:L,'AMFI DATA_2023H2'!L:L)</f>
        <v>222</v>
      </c>
      <c r="B225" s="4" t="s">
        <v>675</v>
      </c>
      <c r="C225" s="4" t="s">
        <v>676</v>
      </c>
      <c r="D225" s="5" t="s">
        <v>677</v>
      </c>
      <c r="E225" s="5">
        <v>20506.939999999999</v>
      </c>
      <c r="F225" s="6">
        <f>LOOKUP(D225,'AMFI DATA_2023H2'!F:J,'AMFI DATA_2023H2'!J:J)</f>
        <v>25908.835650000001</v>
      </c>
      <c r="G225" s="7">
        <f t="shared" si="0"/>
        <v>-1</v>
      </c>
      <c r="H225" s="8"/>
      <c r="I225" s="8">
        <v>32479</v>
      </c>
      <c r="J225" s="8">
        <v>32121</v>
      </c>
      <c r="K225" s="8">
        <v>32174</v>
      </c>
      <c r="L225" s="8">
        <v>31765</v>
      </c>
      <c r="M225" s="8">
        <v>32175</v>
      </c>
      <c r="N225" s="8">
        <v>32378</v>
      </c>
      <c r="O225" s="8">
        <v>32272</v>
      </c>
      <c r="P225" s="8">
        <v>31437</v>
      </c>
      <c r="Q225" s="8">
        <v>32002</v>
      </c>
      <c r="R225" s="8">
        <v>31777</v>
      </c>
      <c r="S225" s="8">
        <v>32739</v>
      </c>
      <c r="T225" s="8">
        <v>32534</v>
      </c>
      <c r="U225" s="8">
        <v>33423</v>
      </c>
      <c r="V225" s="8">
        <v>32561</v>
      </c>
      <c r="W225" s="8">
        <v>31392</v>
      </c>
      <c r="X225" s="8">
        <v>31639</v>
      </c>
      <c r="Y225" s="8">
        <v>31857</v>
      </c>
      <c r="Z225" s="8">
        <v>32078</v>
      </c>
      <c r="AA225" s="8">
        <v>31127</v>
      </c>
      <c r="AB225" s="8">
        <v>30756</v>
      </c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ht="14.4">
      <c r="A226" s="3">
        <f>LOOKUP(D226,'AMFI DATA_2023H2'!F:L,'AMFI DATA_2023H2'!L:L)</f>
        <v>223</v>
      </c>
      <c r="B226" s="4" t="s">
        <v>678</v>
      </c>
      <c r="C226" s="4" t="s">
        <v>679</v>
      </c>
      <c r="D226" s="5" t="s">
        <v>680</v>
      </c>
      <c r="E226" s="5">
        <v>21953.16</v>
      </c>
      <c r="F226" s="6">
        <f>LOOKUP(D226,'AMFI DATA_2023H2'!F:J,'AMFI DATA_2023H2'!J:J)</f>
        <v>25861.325349999999</v>
      </c>
      <c r="G226" s="7">
        <f t="shared" si="0"/>
        <v>-1</v>
      </c>
      <c r="H226" s="8"/>
      <c r="I226" s="8">
        <v>31981</v>
      </c>
      <c r="J226" s="8">
        <v>31758</v>
      </c>
      <c r="K226" s="8">
        <v>29958</v>
      </c>
      <c r="L226" s="8">
        <v>30015</v>
      </c>
      <c r="M226" s="8">
        <v>29977</v>
      </c>
      <c r="N226" s="8">
        <v>29764</v>
      </c>
      <c r="O226" s="8">
        <v>29780</v>
      </c>
      <c r="P226" s="8">
        <v>29640</v>
      </c>
      <c r="Q226" s="8">
        <v>29745</v>
      </c>
      <c r="R226" s="8">
        <v>28707</v>
      </c>
      <c r="S226" s="8">
        <v>29246</v>
      </c>
      <c r="T226" s="8">
        <v>28510</v>
      </c>
      <c r="U226" s="8">
        <v>29043</v>
      </c>
      <c r="V226" s="8">
        <v>29024</v>
      </c>
      <c r="W226" s="8">
        <v>28742</v>
      </c>
      <c r="X226" s="8">
        <v>28802</v>
      </c>
      <c r="Y226" s="8">
        <v>27897</v>
      </c>
      <c r="Z226" s="8">
        <v>27671</v>
      </c>
      <c r="AA226" s="8">
        <v>27335</v>
      </c>
      <c r="AB226" s="8">
        <v>27154</v>
      </c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ht="14.4">
      <c r="A227" s="3">
        <f>LOOKUP(D227,'AMFI DATA_2023H2'!F:L,'AMFI DATA_2023H2'!L:L)</f>
        <v>224</v>
      </c>
      <c r="B227" s="4" t="s">
        <v>681</v>
      </c>
      <c r="C227" s="4" t="s">
        <v>682</v>
      </c>
      <c r="D227" s="5" t="s">
        <v>683</v>
      </c>
      <c r="E227" s="5">
        <v>24916.7</v>
      </c>
      <c r="F227" s="6">
        <f>LOOKUP(D227,'AMFI DATA_2023H2'!F:J,'AMFI DATA_2023H2'!J:J)</f>
        <v>25784.76355</v>
      </c>
      <c r="G227" s="7">
        <f t="shared" si="0"/>
        <v>-1</v>
      </c>
      <c r="H227" s="8"/>
      <c r="I227" s="8">
        <v>27438</v>
      </c>
      <c r="J227" s="8">
        <v>27164</v>
      </c>
      <c r="K227" s="8">
        <v>27578</v>
      </c>
      <c r="L227" s="8">
        <v>28071</v>
      </c>
      <c r="M227" s="8">
        <v>28334</v>
      </c>
      <c r="N227" s="8">
        <v>28334</v>
      </c>
      <c r="O227" s="8">
        <v>28146</v>
      </c>
      <c r="P227" s="8">
        <v>27956</v>
      </c>
      <c r="Q227" s="8">
        <v>28092</v>
      </c>
      <c r="R227" s="8">
        <v>27961</v>
      </c>
      <c r="S227" s="8">
        <v>28143</v>
      </c>
      <c r="T227" s="8">
        <v>28827</v>
      </c>
      <c r="U227" s="8">
        <v>28355</v>
      </c>
      <c r="V227" s="8">
        <v>28588</v>
      </c>
      <c r="W227" s="8">
        <v>28478</v>
      </c>
      <c r="X227" s="8">
        <v>28118</v>
      </c>
      <c r="Y227" s="8">
        <v>27641</v>
      </c>
      <c r="Z227" s="8">
        <v>27752</v>
      </c>
      <c r="AA227" s="8">
        <v>27873</v>
      </c>
      <c r="AB227" s="8">
        <v>26038</v>
      </c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ht="14.4">
      <c r="A228" s="3">
        <f>LOOKUP(D228,'AMFI DATA_2023H2'!F:L,'AMFI DATA_2023H2'!L:L)</f>
        <v>225</v>
      </c>
      <c r="B228" s="4" t="s">
        <v>684</v>
      </c>
      <c r="C228" s="4" t="s">
        <v>685</v>
      </c>
      <c r="D228" s="5" t="s">
        <v>686</v>
      </c>
      <c r="E228" s="5">
        <v>22053</v>
      </c>
      <c r="F228" s="6">
        <f>LOOKUP(D228,'AMFI DATA_2023H2'!F:J,'AMFI DATA_2023H2'!J:J)</f>
        <v>25689.722150000001</v>
      </c>
      <c r="G228" s="7">
        <f t="shared" si="0"/>
        <v>-1</v>
      </c>
      <c r="H228" s="8"/>
      <c r="I228" s="8">
        <v>38940</v>
      </c>
      <c r="J228" s="8">
        <v>39470</v>
      </c>
      <c r="K228" s="8">
        <v>38504</v>
      </c>
      <c r="L228" s="8">
        <v>38116</v>
      </c>
      <c r="M228" s="8">
        <v>38286</v>
      </c>
      <c r="N228" s="8">
        <v>38235</v>
      </c>
      <c r="O228" s="8">
        <v>37298</v>
      </c>
      <c r="P228" s="8">
        <v>37299</v>
      </c>
      <c r="Q228" s="8">
        <v>35362</v>
      </c>
      <c r="R228" s="8">
        <v>35712</v>
      </c>
      <c r="S228" s="8">
        <v>36299</v>
      </c>
      <c r="T228" s="8">
        <v>35408</v>
      </c>
      <c r="U228" s="8">
        <v>34997</v>
      </c>
      <c r="V228" s="8">
        <v>34722</v>
      </c>
      <c r="W228" s="8">
        <v>33022</v>
      </c>
      <c r="X228" s="8">
        <v>32143</v>
      </c>
      <c r="Y228" s="8">
        <v>31317</v>
      </c>
      <c r="Z228" s="8">
        <v>30685</v>
      </c>
      <c r="AA228" s="8">
        <v>29908</v>
      </c>
      <c r="AB228" s="8">
        <v>29715</v>
      </c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</row>
    <row r="229" spans="1:47" ht="14.4">
      <c r="A229" s="3">
        <f>LOOKUP(D229,'AMFI DATA_2023H2'!F:L,'AMFI DATA_2023H2'!L:L)</f>
        <v>226</v>
      </c>
      <c r="B229" s="4" t="s">
        <v>687</v>
      </c>
      <c r="C229" s="4" t="s">
        <v>688</v>
      </c>
      <c r="D229" s="5" t="s">
        <v>689</v>
      </c>
      <c r="E229" s="5">
        <v>19841.62</v>
      </c>
      <c r="F229" s="6">
        <f>LOOKUP(D229,'AMFI DATA_2023H2'!F:J,'AMFI DATA_2023H2'!J:J)</f>
        <v>25575.579149999998</v>
      </c>
      <c r="G229" s="7">
        <f t="shared" si="0"/>
        <v>-1</v>
      </c>
      <c r="H229" s="8"/>
      <c r="I229" s="8">
        <v>26342</v>
      </c>
      <c r="J229" s="8">
        <v>26349</v>
      </c>
      <c r="K229" s="8">
        <v>27174</v>
      </c>
      <c r="L229" s="8">
        <v>26662</v>
      </c>
      <c r="M229" s="8">
        <v>26627</v>
      </c>
      <c r="N229" s="8">
        <v>26935</v>
      </c>
      <c r="O229" s="8">
        <v>26796</v>
      </c>
      <c r="P229" s="8">
        <v>26472</v>
      </c>
      <c r="Q229" s="8">
        <v>26727</v>
      </c>
      <c r="R229" s="8">
        <v>26627</v>
      </c>
      <c r="S229" s="8">
        <v>25927</v>
      </c>
      <c r="T229" s="8">
        <v>26128</v>
      </c>
      <c r="U229" s="8">
        <v>26491</v>
      </c>
      <c r="V229" s="8">
        <v>27104</v>
      </c>
      <c r="W229" s="8">
        <v>27721</v>
      </c>
      <c r="X229" s="8">
        <v>28234</v>
      </c>
      <c r="Y229" s="8">
        <v>28196</v>
      </c>
      <c r="Z229" s="8">
        <v>27943</v>
      </c>
      <c r="AA229" s="8">
        <v>28221</v>
      </c>
      <c r="AB229" s="8">
        <v>28482</v>
      </c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</row>
    <row r="230" spans="1:47" ht="14.4">
      <c r="A230" s="3">
        <f>LOOKUP(D230,'AMFI DATA_2023H2'!F:L,'AMFI DATA_2023H2'!L:L)</f>
        <v>227</v>
      </c>
      <c r="B230" s="4" t="s">
        <v>690</v>
      </c>
      <c r="C230" s="4" t="s">
        <v>691</v>
      </c>
      <c r="D230" s="5" t="s">
        <v>692</v>
      </c>
      <c r="E230" s="5">
        <v>18537.38</v>
      </c>
      <c r="F230" s="6">
        <f>LOOKUP(D230,'AMFI DATA_2023H2'!F:J,'AMFI DATA_2023H2'!J:J)</f>
        <v>24910.016950000001</v>
      </c>
      <c r="G230" s="7">
        <f t="shared" si="0"/>
        <v>-1</v>
      </c>
      <c r="H230" s="8"/>
      <c r="I230" s="8">
        <v>39948</v>
      </c>
      <c r="J230" s="8">
        <v>36454</v>
      </c>
      <c r="K230" s="8">
        <v>36586</v>
      </c>
      <c r="L230" s="8">
        <v>36882</v>
      </c>
      <c r="M230" s="8">
        <v>35836</v>
      </c>
      <c r="N230" s="8">
        <v>35448</v>
      </c>
      <c r="O230" s="8">
        <v>35127</v>
      </c>
      <c r="P230" s="8">
        <v>35531</v>
      </c>
      <c r="Q230" s="8">
        <v>36231</v>
      </c>
      <c r="R230" s="8">
        <v>36734</v>
      </c>
      <c r="S230" s="8">
        <v>37772</v>
      </c>
      <c r="T230" s="8">
        <v>37566</v>
      </c>
      <c r="U230" s="8">
        <v>35992</v>
      </c>
      <c r="V230" s="8">
        <v>35234</v>
      </c>
      <c r="W230" s="8">
        <v>35671</v>
      </c>
      <c r="X230" s="8">
        <v>34649</v>
      </c>
      <c r="Y230" s="8">
        <v>35160</v>
      </c>
      <c r="Z230" s="8">
        <v>35259</v>
      </c>
      <c r="AA230" s="8">
        <v>35037</v>
      </c>
      <c r="AB230" s="8">
        <v>35852</v>
      </c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</row>
    <row r="231" spans="1:47" ht="14.4">
      <c r="A231" s="3">
        <f>LOOKUP(D231,'AMFI DATA_2023H2'!F:L,'AMFI DATA_2023H2'!L:L)</f>
        <v>228</v>
      </c>
      <c r="B231" s="4" t="s">
        <v>693</v>
      </c>
      <c r="C231" s="4" t="s">
        <v>694</v>
      </c>
      <c r="D231" s="5" t="s">
        <v>695</v>
      </c>
      <c r="E231" s="5">
        <v>20270.96</v>
      </c>
      <c r="F231" s="6">
        <f>LOOKUP(D231,'AMFI DATA_2023H2'!F:J,'AMFI DATA_2023H2'!J:J)</f>
        <v>24843.195350000002</v>
      </c>
      <c r="G231" s="7">
        <f t="shared" si="0"/>
        <v>-1</v>
      </c>
      <c r="H231" s="8"/>
      <c r="I231" s="8">
        <v>32143</v>
      </c>
      <c r="J231" s="8">
        <v>31692</v>
      </c>
      <c r="K231" s="8">
        <v>31640</v>
      </c>
      <c r="L231" s="8">
        <v>32104</v>
      </c>
      <c r="M231" s="8">
        <v>31662</v>
      </c>
      <c r="N231" s="8">
        <v>31563</v>
      </c>
      <c r="O231" s="8">
        <v>31862</v>
      </c>
      <c r="P231" s="8">
        <v>31205</v>
      </c>
      <c r="Q231" s="8">
        <v>30908</v>
      </c>
      <c r="R231" s="8">
        <v>30883</v>
      </c>
      <c r="S231" s="8">
        <v>31620</v>
      </c>
      <c r="T231" s="8">
        <v>31464</v>
      </c>
      <c r="U231" s="8">
        <v>30652</v>
      </c>
      <c r="V231" s="8">
        <v>30768</v>
      </c>
      <c r="W231" s="8">
        <v>30927</v>
      </c>
      <c r="X231" s="8">
        <v>29478</v>
      </c>
      <c r="Y231" s="8">
        <v>29065</v>
      </c>
      <c r="Z231" s="8">
        <v>28818</v>
      </c>
      <c r="AA231" s="8">
        <v>28270</v>
      </c>
      <c r="AB231" s="8">
        <v>28455</v>
      </c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spans="1:47" ht="14.4">
      <c r="A232" s="3">
        <f>LOOKUP(D232,'AMFI DATA_2023H2'!F:L,'AMFI DATA_2023H2'!L:L)</f>
        <v>229</v>
      </c>
      <c r="B232" s="4" t="s">
        <v>696</v>
      </c>
      <c r="C232" s="4" t="s">
        <v>697</v>
      </c>
      <c r="D232" s="5" t="s">
        <v>698</v>
      </c>
      <c r="E232" s="5">
        <v>21981.86</v>
      </c>
      <c r="F232" s="6">
        <f>LOOKUP(D232,'AMFI DATA_2023H2'!F:J,'AMFI DATA_2023H2'!J:J)</f>
        <v>24680.197</v>
      </c>
      <c r="G232" s="7">
        <f t="shared" si="0"/>
        <v>-1</v>
      </c>
      <c r="H232" s="8"/>
      <c r="I232" s="8">
        <v>22908</v>
      </c>
      <c r="J232" s="8">
        <v>22792</v>
      </c>
      <c r="K232" s="8">
        <v>23020</v>
      </c>
      <c r="L232" s="8">
        <v>23085</v>
      </c>
      <c r="M232" s="8">
        <v>22557</v>
      </c>
      <c r="N232" s="8">
        <v>22604</v>
      </c>
      <c r="O232" s="8">
        <v>22573</v>
      </c>
      <c r="P232" s="8">
        <v>22716</v>
      </c>
      <c r="Q232" s="8">
        <v>22609</v>
      </c>
      <c r="R232" s="8">
        <v>22850</v>
      </c>
      <c r="S232" s="8">
        <v>22618</v>
      </c>
      <c r="T232" s="8">
        <v>22441</v>
      </c>
      <c r="U232" s="8">
        <v>22552</v>
      </c>
      <c r="V232" s="8">
        <v>22252</v>
      </c>
      <c r="W232" s="8">
        <v>22674</v>
      </c>
      <c r="X232" s="8">
        <v>22697</v>
      </c>
      <c r="Y232" s="8">
        <v>22556</v>
      </c>
      <c r="Z232" s="8">
        <v>22717</v>
      </c>
      <c r="AA232" s="8">
        <v>23021</v>
      </c>
      <c r="AB232" s="8">
        <v>23222</v>
      </c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spans="1:47" ht="14.4">
      <c r="A233" s="3">
        <f>LOOKUP(D233,'AMFI DATA_2023H2'!F:L,'AMFI DATA_2023H2'!L:L)</f>
        <v>230</v>
      </c>
      <c r="B233" s="4" t="s">
        <v>699</v>
      </c>
      <c r="C233" s="4" t="s">
        <v>700</v>
      </c>
      <c r="D233" s="5" t="s">
        <v>701</v>
      </c>
      <c r="E233" s="5">
        <v>19609.23</v>
      </c>
      <c r="F233" s="6">
        <f>LOOKUP(D233,'AMFI DATA_2023H2'!F:J,'AMFI DATA_2023H2'!J:J)</f>
        <v>24571.503949999998</v>
      </c>
      <c r="G233" s="7">
        <f t="shared" si="0"/>
        <v>-1</v>
      </c>
      <c r="H233" s="8"/>
      <c r="I233" s="8">
        <v>25176</v>
      </c>
      <c r="J233" s="8">
        <v>25781</v>
      </c>
      <c r="K233" s="8">
        <v>25817</v>
      </c>
      <c r="L233" s="8">
        <v>26097</v>
      </c>
      <c r="M233" s="8">
        <v>25769</v>
      </c>
      <c r="N233" s="8">
        <v>24776</v>
      </c>
      <c r="O233" s="8">
        <v>25136</v>
      </c>
      <c r="P233" s="8">
        <v>25291</v>
      </c>
      <c r="Q233" s="8">
        <v>25171</v>
      </c>
      <c r="R233" s="8">
        <v>25358</v>
      </c>
      <c r="S233" s="8">
        <v>24747</v>
      </c>
      <c r="T233" s="8">
        <v>24336</v>
      </c>
      <c r="U233" s="8">
        <v>24585</v>
      </c>
      <c r="V233" s="8">
        <v>25104</v>
      </c>
      <c r="W233" s="8">
        <v>25525</v>
      </c>
      <c r="X233" s="8">
        <v>25314</v>
      </c>
      <c r="Y233" s="8">
        <v>24470</v>
      </c>
      <c r="Z233" s="8">
        <v>24200</v>
      </c>
      <c r="AA233" s="8">
        <v>24188</v>
      </c>
      <c r="AB233" s="8">
        <v>24529</v>
      </c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ht="14.4">
      <c r="A234" s="3">
        <f>LOOKUP(D234,'AMFI DATA_2023H2'!F:L,'AMFI DATA_2023H2'!L:L)</f>
        <v>231</v>
      </c>
      <c r="B234" s="4" t="s">
        <v>702</v>
      </c>
      <c r="C234" s="4" t="s">
        <v>703</v>
      </c>
      <c r="D234" s="5" t="s">
        <v>704</v>
      </c>
      <c r="E234" s="5">
        <v>19602.349999999999</v>
      </c>
      <c r="F234" s="6">
        <f>LOOKUP(D234,'AMFI DATA_2023H2'!F:J,'AMFI DATA_2023H2'!J:J)</f>
        <v>24389.603650000001</v>
      </c>
      <c r="G234" s="7">
        <f t="shared" si="0"/>
        <v>-1</v>
      </c>
      <c r="H234" s="8"/>
      <c r="I234" s="8">
        <v>22620</v>
      </c>
      <c r="J234" s="8">
        <v>23840</v>
      </c>
      <c r="K234" s="8">
        <v>23605</v>
      </c>
      <c r="L234" s="8">
        <v>24344</v>
      </c>
      <c r="M234" s="8">
        <v>23321</v>
      </c>
      <c r="N234" s="8">
        <v>24008</v>
      </c>
      <c r="O234" s="8">
        <v>24138</v>
      </c>
      <c r="P234" s="8">
        <v>24954</v>
      </c>
      <c r="Q234" s="8">
        <v>24618</v>
      </c>
      <c r="R234" s="8">
        <v>26650</v>
      </c>
      <c r="S234" s="8">
        <v>27187</v>
      </c>
      <c r="T234" s="8">
        <v>27913</v>
      </c>
      <c r="U234" s="8">
        <v>27442</v>
      </c>
      <c r="V234" s="8">
        <v>27634</v>
      </c>
      <c r="W234" s="8">
        <v>27375</v>
      </c>
      <c r="X234" s="8">
        <v>26381</v>
      </c>
      <c r="Y234" s="8">
        <v>26035</v>
      </c>
      <c r="Z234" s="8">
        <v>25559</v>
      </c>
      <c r="AA234" s="8">
        <v>25415</v>
      </c>
      <c r="AB234" s="8">
        <v>25699</v>
      </c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ht="14.4">
      <c r="A235" s="3">
        <f>LOOKUP(D235,'AMFI DATA_2023H2'!F:L,'AMFI DATA_2023H2'!L:L)</f>
        <v>232</v>
      </c>
      <c r="B235" s="4" t="s">
        <v>705</v>
      </c>
      <c r="C235" s="4" t="s">
        <v>706</v>
      </c>
      <c r="D235" s="5" t="s">
        <v>707</v>
      </c>
      <c r="E235" s="5">
        <v>49907.360000000001</v>
      </c>
      <c r="F235" s="6">
        <f>LOOKUP(D235,'AMFI DATA_2023H2'!F:J,'AMFI DATA_2023H2'!J:J)</f>
        <v>24337.099300000002</v>
      </c>
      <c r="G235" s="7">
        <f t="shared" si="0"/>
        <v>-1</v>
      </c>
      <c r="H235" s="8"/>
      <c r="I235" s="8">
        <v>36392</v>
      </c>
      <c r="J235" s="8">
        <v>33073</v>
      </c>
      <c r="K235" s="8">
        <v>33382</v>
      </c>
      <c r="L235" s="8">
        <v>32119</v>
      </c>
      <c r="M235" s="8">
        <v>32818</v>
      </c>
      <c r="N235" s="8">
        <v>29834</v>
      </c>
      <c r="O235" s="8">
        <v>27791</v>
      </c>
      <c r="P235" s="8">
        <v>27630</v>
      </c>
      <c r="Q235" s="8">
        <v>27765</v>
      </c>
      <c r="R235" s="8">
        <v>27939</v>
      </c>
      <c r="S235" s="8">
        <v>28235</v>
      </c>
      <c r="T235" s="8">
        <v>28060</v>
      </c>
      <c r="U235" s="8">
        <v>27375</v>
      </c>
      <c r="V235" s="8">
        <v>27818</v>
      </c>
      <c r="W235" s="8">
        <v>28127</v>
      </c>
      <c r="X235" s="8">
        <v>27603</v>
      </c>
      <c r="Y235" s="8">
        <v>26136</v>
      </c>
      <c r="Z235" s="8">
        <v>26827</v>
      </c>
      <c r="AA235" s="8">
        <v>27402</v>
      </c>
      <c r="AB235" s="8">
        <v>29525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</row>
    <row r="236" spans="1:47" ht="14.4">
      <c r="A236" s="3">
        <f>LOOKUP(D236,'AMFI DATA_2023H2'!F:L,'AMFI DATA_2023H2'!L:L)</f>
        <v>233</v>
      </c>
      <c r="B236" s="4" t="s">
        <v>708</v>
      </c>
      <c r="C236" s="4" t="s">
        <v>709</v>
      </c>
      <c r="D236" s="5" t="s">
        <v>710</v>
      </c>
      <c r="E236" s="5">
        <v>19906.990000000002</v>
      </c>
      <c r="F236" s="6">
        <f>LOOKUP(D236,'AMFI DATA_2023H2'!F:J,'AMFI DATA_2023H2'!J:J)</f>
        <v>24046.179349999999</v>
      </c>
      <c r="G236" s="7">
        <f t="shared" si="0"/>
        <v>-1</v>
      </c>
      <c r="H236" s="8"/>
      <c r="I236" s="8">
        <v>27907</v>
      </c>
      <c r="J236" s="8">
        <v>27436</v>
      </c>
      <c r="K236" s="8">
        <v>28288</v>
      </c>
      <c r="L236" s="8">
        <v>28754</v>
      </c>
      <c r="M236" s="8">
        <v>28922</v>
      </c>
      <c r="N236" s="8">
        <v>28804</v>
      </c>
      <c r="O236" s="8">
        <v>29027</v>
      </c>
      <c r="P236" s="8">
        <v>0</v>
      </c>
      <c r="Q236" s="8">
        <v>27991</v>
      </c>
      <c r="R236" s="8">
        <v>27384</v>
      </c>
      <c r="S236" s="8">
        <v>28293</v>
      </c>
      <c r="T236" s="8">
        <v>28157</v>
      </c>
      <c r="U236" s="8">
        <v>28250</v>
      </c>
      <c r="V236" s="8">
        <v>28341</v>
      </c>
      <c r="W236" s="8">
        <v>28217</v>
      </c>
      <c r="X236" s="8">
        <v>28161</v>
      </c>
      <c r="Y236" s="8">
        <v>28415</v>
      </c>
      <c r="Z236" s="8">
        <v>26942</v>
      </c>
      <c r="AA236" s="8">
        <v>26918</v>
      </c>
      <c r="AB236" s="8">
        <v>26960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</row>
    <row r="237" spans="1:47" ht="14.4">
      <c r="A237" s="3">
        <f>LOOKUP(D237,'AMFI DATA_2023H2'!F:L,'AMFI DATA_2023H2'!L:L)</f>
        <v>234</v>
      </c>
      <c r="B237" s="4" t="s">
        <v>711</v>
      </c>
      <c r="C237" s="4" t="s">
        <v>712</v>
      </c>
      <c r="D237" s="5" t="s">
        <v>713</v>
      </c>
      <c r="E237" s="5">
        <v>21705.599999999999</v>
      </c>
      <c r="F237" s="6">
        <f>LOOKUP(D237,'AMFI DATA_2023H2'!F:J,'AMFI DATA_2023H2'!J:J)</f>
        <v>24021.413500000002</v>
      </c>
      <c r="G237" s="7">
        <f t="shared" si="0"/>
        <v>-1</v>
      </c>
      <c r="H237" s="8"/>
      <c r="I237" s="8">
        <v>25438</v>
      </c>
      <c r="J237" s="8">
        <v>25185</v>
      </c>
      <c r="K237" s="8">
        <v>25169</v>
      </c>
      <c r="L237" s="8">
        <v>25169</v>
      </c>
      <c r="M237" s="8">
        <v>25452</v>
      </c>
      <c r="N237" s="8">
        <v>25819</v>
      </c>
      <c r="O237" s="8">
        <v>25742</v>
      </c>
      <c r="P237" s="8">
        <v>25906</v>
      </c>
      <c r="Q237" s="8">
        <v>25478</v>
      </c>
      <c r="R237" s="8">
        <v>25214</v>
      </c>
      <c r="S237" s="8">
        <v>25675</v>
      </c>
      <c r="T237" s="8">
        <v>25973</v>
      </c>
      <c r="U237" s="8">
        <v>25920</v>
      </c>
      <c r="V237" s="8">
        <v>25805</v>
      </c>
      <c r="W237" s="8">
        <v>25853</v>
      </c>
      <c r="X237" s="8">
        <v>25752</v>
      </c>
      <c r="Y237" s="8">
        <v>24753</v>
      </c>
      <c r="Z237" s="8">
        <v>25001</v>
      </c>
      <c r="AA237" s="8">
        <v>24476</v>
      </c>
      <c r="AB237" s="8">
        <v>24368</v>
      </c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ht="14.4">
      <c r="A238" s="3">
        <f>LOOKUP(D238,'AMFI DATA_2023H2'!F:L,'AMFI DATA_2023H2'!L:L)</f>
        <v>235</v>
      </c>
      <c r="B238" s="4" t="s">
        <v>714</v>
      </c>
      <c r="C238" s="4" t="s">
        <v>715</v>
      </c>
      <c r="D238" s="5" t="s">
        <v>716</v>
      </c>
      <c r="E238" s="5">
        <v>17503.490000000002</v>
      </c>
      <c r="F238" s="6">
        <f>LOOKUP(D238,'AMFI DATA_2023H2'!F:J,'AMFI DATA_2023H2'!J:J)</f>
        <v>23886.327100000002</v>
      </c>
      <c r="G238" s="7">
        <f t="shared" si="0"/>
        <v>-1</v>
      </c>
      <c r="H238" s="8"/>
      <c r="I238" s="8">
        <v>26352</v>
      </c>
      <c r="J238" s="8">
        <v>26449</v>
      </c>
      <c r="K238" s="8">
        <v>26331</v>
      </c>
      <c r="L238" s="8">
        <v>26482</v>
      </c>
      <c r="M238" s="8">
        <v>27058</v>
      </c>
      <c r="N238" s="8">
        <v>27952</v>
      </c>
      <c r="O238" s="8">
        <v>28008</v>
      </c>
      <c r="P238" s="8">
        <v>28303</v>
      </c>
      <c r="Q238" s="8">
        <v>28368</v>
      </c>
      <c r="R238" s="8">
        <v>28297</v>
      </c>
      <c r="S238" s="8">
        <v>28368</v>
      </c>
      <c r="T238" s="8">
        <v>28758</v>
      </c>
      <c r="U238" s="8">
        <v>28374</v>
      </c>
      <c r="V238" s="8">
        <v>28019</v>
      </c>
      <c r="W238" s="8">
        <v>28130</v>
      </c>
      <c r="X238" s="8">
        <v>27974</v>
      </c>
      <c r="Y238" s="8">
        <v>28195</v>
      </c>
      <c r="Z238" s="8">
        <v>27854</v>
      </c>
      <c r="AA238" s="8">
        <v>28052</v>
      </c>
      <c r="AB238" s="8">
        <v>28593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</row>
    <row r="239" spans="1:47" ht="14.4">
      <c r="A239" s="3">
        <f>LOOKUP(D239,'AMFI DATA_2023H2'!F:L,'AMFI DATA_2023H2'!L:L)</f>
        <v>236</v>
      </c>
      <c r="B239" s="4" t="s">
        <v>717</v>
      </c>
      <c r="C239" s="4" t="s">
        <v>718</v>
      </c>
      <c r="D239" s="5" t="s">
        <v>719</v>
      </c>
      <c r="E239" s="5">
        <v>23110.39</v>
      </c>
      <c r="F239" s="6">
        <f>LOOKUP(D239,'AMFI DATA_2023H2'!F:J,'AMFI DATA_2023H2'!J:J)</f>
        <v>23735.8446</v>
      </c>
      <c r="G239" s="7">
        <f t="shared" si="0"/>
        <v>-1</v>
      </c>
      <c r="H239" s="8"/>
      <c r="I239" s="8">
        <v>25702</v>
      </c>
      <c r="J239" s="8">
        <v>24751</v>
      </c>
      <c r="K239" s="8">
        <v>25559</v>
      </c>
      <c r="L239" s="8">
        <v>25289</v>
      </c>
      <c r="M239" s="8">
        <v>25296</v>
      </c>
      <c r="N239" s="8">
        <v>25252</v>
      </c>
      <c r="O239" s="8">
        <v>25287</v>
      </c>
      <c r="P239" s="8">
        <v>24375</v>
      </c>
      <c r="Q239" s="8">
        <v>23780</v>
      </c>
      <c r="R239" s="8">
        <v>23954</v>
      </c>
      <c r="S239" s="8">
        <v>24438</v>
      </c>
      <c r="T239" s="8">
        <v>24224</v>
      </c>
      <c r="U239" s="8">
        <v>23694</v>
      </c>
      <c r="V239" s="8">
        <v>23927</v>
      </c>
      <c r="W239" s="8">
        <v>24341</v>
      </c>
      <c r="X239" s="8">
        <v>24469</v>
      </c>
      <c r="Y239" s="8">
        <v>24385</v>
      </c>
      <c r="Z239" s="8">
        <v>24329</v>
      </c>
      <c r="AA239" s="8">
        <v>24132</v>
      </c>
      <c r="AB239" s="8">
        <v>24058</v>
      </c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</row>
    <row r="240" spans="1:47" ht="14.4">
      <c r="A240" s="3">
        <f>LOOKUP(D240,'AMFI DATA_2023H2'!F:L,'AMFI DATA_2023H2'!L:L)</f>
        <v>237</v>
      </c>
      <c r="B240" s="4" t="s">
        <v>720</v>
      </c>
      <c r="C240" s="4" t="s">
        <v>721</v>
      </c>
      <c r="D240" s="5" t="s">
        <v>722</v>
      </c>
      <c r="E240" s="5">
        <v>16238.87</v>
      </c>
      <c r="F240" s="6">
        <f>LOOKUP(D240,'AMFI DATA_2023H2'!F:J,'AMFI DATA_2023H2'!J:J)</f>
        <v>23723.8367</v>
      </c>
      <c r="G240" s="7">
        <f t="shared" si="0"/>
        <v>-1</v>
      </c>
      <c r="H240" s="8"/>
      <c r="I240" s="8">
        <v>28023</v>
      </c>
      <c r="J240" s="8">
        <v>28339</v>
      </c>
      <c r="K240" s="8">
        <v>28399</v>
      </c>
      <c r="L240" s="8">
        <v>27530</v>
      </c>
      <c r="M240" s="8">
        <v>27290</v>
      </c>
      <c r="N240" s="8">
        <v>26964</v>
      </c>
      <c r="O240" s="8">
        <v>26910</v>
      </c>
      <c r="P240" s="8">
        <v>28410</v>
      </c>
      <c r="Q240" s="8">
        <v>29092</v>
      </c>
      <c r="R240" s="8">
        <v>30188</v>
      </c>
      <c r="S240" s="8">
        <v>30420</v>
      </c>
      <c r="T240" s="8">
        <v>30194</v>
      </c>
      <c r="U240" s="8">
        <v>29220</v>
      </c>
      <c r="V240" s="8">
        <v>28727</v>
      </c>
      <c r="W240" s="8">
        <v>28875</v>
      </c>
      <c r="X240" s="8">
        <v>29354</v>
      </c>
      <c r="Y240" s="8">
        <v>29676</v>
      </c>
      <c r="Z240" s="8">
        <v>28154</v>
      </c>
      <c r="AA240" s="8">
        <v>27717</v>
      </c>
      <c r="AB240" s="8">
        <v>27584</v>
      </c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ht="14.4">
      <c r="A241" s="3">
        <f>LOOKUP(D241,'AMFI DATA_2023H2'!F:L,'AMFI DATA_2023H2'!L:L)</f>
        <v>238</v>
      </c>
      <c r="B241" s="4" t="s">
        <v>723</v>
      </c>
      <c r="C241" s="4" t="s">
        <v>724</v>
      </c>
      <c r="D241" s="5" t="s">
        <v>725</v>
      </c>
      <c r="E241" s="5">
        <v>18621.86</v>
      </c>
      <c r="F241" s="6">
        <f>LOOKUP(D241,'AMFI DATA_2023H2'!F:J,'AMFI DATA_2023H2'!J:J)</f>
        <v>23581.649799999999</v>
      </c>
      <c r="G241" s="7">
        <f t="shared" si="0"/>
        <v>-1</v>
      </c>
      <c r="H241" s="8"/>
      <c r="I241" s="8">
        <v>20131</v>
      </c>
      <c r="J241" s="8">
        <v>20122</v>
      </c>
      <c r="K241" s="8">
        <v>20266</v>
      </c>
      <c r="L241" s="8">
        <v>20896</v>
      </c>
      <c r="M241" s="8">
        <v>20957</v>
      </c>
      <c r="N241" s="8">
        <v>20959</v>
      </c>
      <c r="O241" s="8">
        <v>21137</v>
      </c>
      <c r="P241" s="8">
        <v>20692</v>
      </c>
      <c r="Q241" s="8">
        <v>21971</v>
      </c>
      <c r="R241" s="8">
        <v>22098</v>
      </c>
      <c r="S241" s="8">
        <v>22428</v>
      </c>
      <c r="T241" s="8">
        <v>22695</v>
      </c>
      <c r="U241" s="8">
        <v>22335</v>
      </c>
      <c r="V241" s="8">
        <v>22320</v>
      </c>
      <c r="W241" s="8">
        <v>22273</v>
      </c>
      <c r="X241" s="8">
        <v>22196</v>
      </c>
      <c r="Y241" s="8">
        <v>21850</v>
      </c>
      <c r="Z241" s="8">
        <v>21749</v>
      </c>
      <c r="AA241" s="8">
        <v>21557</v>
      </c>
      <c r="AB241" s="8">
        <v>21840</v>
      </c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ht="14.4">
      <c r="A242" s="3">
        <f>LOOKUP(D242,'AMFI DATA_2023H2'!F:L,'AMFI DATA_2023H2'!L:L)</f>
        <v>239</v>
      </c>
      <c r="B242" s="4" t="s">
        <v>726</v>
      </c>
      <c r="C242" s="4" t="s">
        <v>727</v>
      </c>
      <c r="D242" s="5" t="s">
        <v>728</v>
      </c>
      <c r="E242" s="5">
        <v>15994.88</v>
      </c>
      <c r="F242" s="6">
        <f>LOOKUP(D242,'AMFI DATA_2023H2'!F:J,'AMFI DATA_2023H2'!J:J)</f>
        <v>23548.480499999998</v>
      </c>
      <c r="G242" s="7">
        <f t="shared" si="0"/>
        <v>-1</v>
      </c>
      <c r="H242" s="8"/>
      <c r="I242" s="8">
        <v>26674</v>
      </c>
      <c r="J242" s="8">
        <v>26248</v>
      </c>
      <c r="K242" s="8">
        <v>26168</v>
      </c>
      <c r="L242" s="8">
        <v>27134</v>
      </c>
      <c r="M242" s="8">
        <v>26616</v>
      </c>
      <c r="N242" s="8">
        <v>27121</v>
      </c>
      <c r="O242" s="8">
        <v>27512</v>
      </c>
      <c r="P242" s="8">
        <v>27909</v>
      </c>
      <c r="Q242" s="8">
        <v>28017</v>
      </c>
      <c r="R242" s="8">
        <v>27556</v>
      </c>
      <c r="S242" s="8">
        <v>27523</v>
      </c>
      <c r="T242" s="8">
        <v>25400</v>
      </c>
      <c r="U242" s="8">
        <v>25234</v>
      </c>
      <c r="V242" s="8">
        <v>25071</v>
      </c>
      <c r="W242" s="8">
        <v>25375</v>
      </c>
      <c r="X242" s="8">
        <v>25405</v>
      </c>
      <c r="Y242" s="8">
        <v>25258</v>
      </c>
      <c r="Z242" s="8">
        <v>25509</v>
      </c>
      <c r="AA242" s="8">
        <v>25691</v>
      </c>
      <c r="AB242" s="8">
        <v>25906</v>
      </c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ht="14.4">
      <c r="A243" s="3">
        <f>LOOKUP(D243,'AMFI DATA_2023H2'!F:L,'AMFI DATA_2023H2'!L:L)</f>
        <v>240</v>
      </c>
      <c r="B243" s="4" t="s">
        <v>729</v>
      </c>
      <c r="C243" s="4" t="s">
        <v>730</v>
      </c>
      <c r="D243" s="5" t="s">
        <v>731</v>
      </c>
      <c r="E243" s="5">
        <v>19858.939999999999</v>
      </c>
      <c r="F243" s="6">
        <f>LOOKUP(D243,'AMFI DATA_2023H2'!F:J,'AMFI DATA_2023H2'!J:J)</f>
        <v>23546.372149999999</v>
      </c>
      <c r="G243" s="7">
        <f t="shared" si="0"/>
        <v>-1</v>
      </c>
      <c r="H243" s="8"/>
      <c r="I243" s="8">
        <v>22031</v>
      </c>
      <c r="J243" s="8">
        <v>22115</v>
      </c>
      <c r="K243" s="8">
        <v>22507</v>
      </c>
      <c r="L243" s="8">
        <v>22604</v>
      </c>
      <c r="M243" s="8">
        <v>22417</v>
      </c>
      <c r="N243" s="8">
        <v>22399</v>
      </c>
      <c r="O243" s="8">
        <v>22495</v>
      </c>
      <c r="P243" s="8">
        <v>22525</v>
      </c>
      <c r="Q243" s="8">
        <v>22519</v>
      </c>
      <c r="R243" s="8">
        <v>22453</v>
      </c>
      <c r="S243" s="8">
        <v>22483</v>
      </c>
      <c r="T243" s="8">
        <v>22875</v>
      </c>
      <c r="U243" s="8">
        <v>22966</v>
      </c>
      <c r="V243" s="8">
        <v>22893</v>
      </c>
      <c r="W243" s="8">
        <v>23122</v>
      </c>
      <c r="X243" s="8">
        <v>23327</v>
      </c>
      <c r="Y243" s="8">
        <v>23273</v>
      </c>
      <c r="Z243" s="8">
        <v>23080</v>
      </c>
      <c r="AA243" s="8">
        <v>22857</v>
      </c>
      <c r="AB243" s="8">
        <v>22923</v>
      </c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ht="14.4">
      <c r="A244" s="3">
        <f>LOOKUP(D244,'AMFI DATA_2023H2'!F:L,'AMFI DATA_2023H2'!L:L)</f>
        <v>241</v>
      </c>
      <c r="B244" s="4" t="s">
        <v>732</v>
      </c>
      <c r="C244" s="4" t="s">
        <v>733</v>
      </c>
      <c r="D244" s="5" t="s">
        <v>734</v>
      </c>
      <c r="E244" s="5">
        <v>19319.919999999998</v>
      </c>
      <c r="F244" s="6">
        <f>LOOKUP(D244,'AMFI DATA_2023H2'!F:J,'AMFI DATA_2023H2'!J:J)</f>
        <v>23234.273500000003</v>
      </c>
      <c r="G244" s="7">
        <f t="shared" si="0"/>
        <v>-1</v>
      </c>
      <c r="H244" s="8"/>
      <c r="I244" s="8">
        <v>29187</v>
      </c>
      <c r="J244" s="8">
        <v>28645</v>
      </c>
      <c r="K244" s="8">
        <v>28692</v>
      </c>
      <c r="L244" s="8">
        <v>27500</v>
      </c>
      <c r="M244" s="8">
        <v>27504</v>
      </c>
      <c r="N244" s="8">
        <v>28033</v>
      </c>
      <c r="O244" s="8">
        <v>28153</v>
      </c>
      <c r="P244" s="8">
        <v>28306</v>
      </c>
      <c r="Q244" s="8">
        <v>29070</v>
      </c>
      <c r="R244" s="8">
        <v>29466</v>
      </c>
      <c r="S244" s="8">
        <v>29714</v>
      </c>
      <c r="T244" s="8">
        <v>27181</v>
      </c>
      <c r="U244" s="8">
        <v>26726</v>
      </c>
      <c r="V244" s="8">
        <v>26495</v>
      </c>
      <c r="W244" s="8">
        <v>26933</v>
      </c>
      <c r="X244" s="8">
        <v>26947</v>
      </c>
      <c r="Y244" s="8">
        <v>26191</v>
      </c>
      <c r="Z244" s="8">
        <v>25572</v>
      </c>
      <c r="AA244" s="8">
        <v>25361</v>
      </c>
      <c r="AB244" s="8">
        <v>25797</v>
      </c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ht="14.4">
      <c r="A245" s="3">
        <f>LOOKUP(D245,'AMFI DATA_2023H2'!F:L,'AMFI DATA_2023H2'!L:L)</f>
        <v>243</v>
      </c>
      <c r="B245" s="4" t="s">
        <v>735</v>
      </c>
      <c r="C245" s="4" t="s">
        <v>736</v>
      </c>
      <c r="D245" s="5" t="s">
        <v>737</v>
      </c>
      <c r="E245" s="5">
        <v>20964.150000000001</v>
      </c>
      <c r="F245" s="6">
        <f>LOOKUP(D245,'AMFI DATA_2023H2'!F:J,'AMFI DATA_2023H2'!J:J)</f>
        <v>22758.878100000002</v>
      </c>
      <c r="G245" s="7">
        <f t="shared" si="0"/>
        <v>-1</v>
      </c>
      <c r="H245" s="8"/>
      <c r="I245" s="8">
        <v>21695</v>
      </c>
      <c r="J245" s="8">
        <v>21744</v>
      </c>
      <c r="K245" s="8">
        <v>22056</v>
      </c>
      <c r="L245" s="8">
        <v>22214</v>
      </c>
      <c r="M245" s="8">
        <v>22254</v>
      </c>
      <c r="N245" s="8">
        <v>22290</v>
      </c>
      <c r="O245" s="8">
        <v>22405</v>
      </c>
      <c r="P245" s="8">
        <v>22203</v>
      </c>
      <c r="Q245" s="8">
        <v>22264</v>
      </c>
      <c r="R245" s="8">
        <v>22305</v>
      </c>
      <c r="S245" s="8">
        <v>22454</v>
      </c>
      <c r="T245" s="8">
        <v>22444</v>
      </c>
      <c r="U245" s="8">
        <v>22380</v>
      </c>
      <c r="V245" s="8">
        <v>22499</v>
      </c>
      <c r="W245" s="8">
        <v>22473</v>
      </c>
      <c r="X245" s="8">
        <v>22490</v>
      </c>
      <c r="Y245" s="8">
        <v>22280</v>
      </c>
      <c r="Z245" s="8">
        <v>22317</v>
      </c>
      <c r="AA245" s="8">
        <v>22275</v>
      </c>
      <c r="AB245" s="8">
        <v>22358</v>
      </c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</row>
    <row r="246" spans="1:47" ht="14.4">
      <c r="A246" s="3">
        <f>LOOKUP(D246,'AMFI DATA_2023H2'!F:L,'AMFI DATA_2023H2'!L:L)</f>
        <v>244</v>
      </c>
      <c r="B246" s="4" t="s">
        <v>738</v>
      </c>
      <c r="C246" s="4" t="s">
        <v>739</v>
      </c>
      <c r="D246" s="5" t="s">
        <v>740</v>
      </c>
      <c r="E246" s="5">
        <v>17630.36</v>
      </c>
      <c r="F246" s="6">
        <f>LOOKUP(D246,'AMFI DATA_2023H2'!F:J,'AMFI DATA_2023H2'!J:J)</f>
        <v>22750.088400000001</v>
      </c>
      <c r="G246" s="7">
        <f t="shared" si="0"/>
        <v>-1</v>
      </c>
      <c r="H246" s="8"/>
      <c r="I246" s="8">
        <v>24986</v>
      </c>
      <c r="J246" s="8">
        <v>24359</v>
      </c>
      <c r="K246" s="8">
        <v>24687</v>
      </c>
      <c r="L246" s="8">
        <v>24387</v>
      </c>
      <c r="M246" s="8">
        <v>25129</v>
      </c>
      <c r="N246" s="8">
        <v>24759</v>
      </c>
      <c r="O246" s="8">
        <v>24788</v>
      </c>
      <c r="P246" s="8">
        <v>23905</v>
      </c>
      <c r="Q246" s="8">
        <v>23865</v>
      </c>
      <c r="R246" s="8">
        <v>23606</v>
      </c>
      <c r="S246" s="8">
        <v>24464</v>
      </c>
      <c r="T246" s="8">
        <v>24201</v>
      </c>
      <c r="U246" s="8">
        <v>23066</v>
      </c>
      <c r="V246" s="8">
        <v>23419</v>
      </c>
      <c r="W246" s="8">
        <v>22933</v>
      </c>
      <c r="X246" s="8">
        <v>22744</v>
      </c>
      <c r="Y246" s="8">
        <v>22769</v>
      </c>
      <c r="Z246" s="8">
        <v>22326</v>
      </c>
      <c r="AA246" s="8">
        <v>22589</v>
      </c>
      <c r="AB246" s="8">
        <v>21834</v>
      </c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ht="14.4">
      <c r="A247" s="3">
        <f>LOOKUP(D247,'AMFI DATA_2023H2'!F:L,'AMFI DATA_2023H2'!L:L)</f>
        <v>245</v>
      </c>
      <c r="B247" s="4" t="s">
        <v>741</v>
      </c>
      <c r="C247" s="4" t="s">
        <v>742</v>
      </c>
      <c r="D247" s="5" t="s">
        <v>743</v>
      </c>
      <c r="E247" s="5">
        <v>16223.82</v>
      </c>
      <c r="F247" s="6">
        <f>LOOKUP(D247,'AMFI DATA_2023H2'!F:J,'AMFI DATA_2023H2'!J:J)</f>
        <v>22749.6178</v>
      </c>
      <c r="G247" s="7">
        <f t="shared" si="0"/>
        <v>-1</v>
      </c>
      <c r="H247" s="8"/>
      <c r="I247" s="8">
        <v>27804</v>
      </c>
      <c r="J247" s="8">
        <v>27124</v>
      </c>
      <c r="K247" s="8">
        <v>27128</v>
      </c>
      <c r="L247" s="8">
        <v>27680</v>
      </c>
      <c r="M247" s="8">
        <v>27680</v>
      </c>
      <c r="N247" s="8">
        <v>28700</v>
      </c>
      <c r="O247" s="8">
        <v>28806</v>
      </c>
      <c r="P247" s="8">
        <v>27863</v>
      </c>
      <c r="Q247" s="8">
        <v>27778</v>
      </c>
      <c r="R247" s="8">
        <v>27480</v>
      </c>
      <c r="S247" s="8">
        <v>28003</v>
      </c>
      <c r="T247" s="8">
        <v>27600</v>
      </c>
      <c r="U247" s="8">
        <v>27723</v>
      </c>
      <c r="V247" s="8">
        <v>27357</v>
      </c>
      <c r="W247" s="8">
        <v>27349</v>
      </c>
      <c r="X247" s="8">
        <v>27026</v>
      </c>
      <c r="Y247" s="8">
        <v>26180</v>
      </c>
      <c r="Z247" s="8">
        <v>25576</v>
      </c>
      <c r="AA247" s="8">
        <v>25207</v>
      </c>
      <c r="AB247" s="8">
        <v>24935</v>
      </c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ht="14.4">
      <c r="A248" s="3">
        <f>LOOKUP(D248,'AMFI DATA_2023H2'!F:L,'AMFI DATA_2023H2'!L:L)</f>
        <v>246</v>
      </c>
      <c r="B248" s="4" t="s">
        <v>744</v>
      </c>
      <c r="C248" s="4" t="s">
        <v>745</v>
      </c>
      <c r="D248" s="5" t="s">
        <v>746</v>
      </c>
      <c r="E248" s="5">
        <v>14648.54</v>
      </c>
      <c r="F248" s="6">
        <f>LOOKUP(D248,'AMFI DATA_2023H2'!F:J,'AMFI DATA_2023H2'!J:J)</f>
        <v>22377.859850000001</v>
      </c>
      <c r="G248" s="7">
        <f t="shared" si="0"/>
        <v>-1</v>
      </c>
      <c r="H248" s="8"/>
      <c r="I248" s="8">
        <v>31244</v>
      </c>
      <c r="J248" s="8">
        <v>32080</v>
      </c>
      <c r="K248" s="8">
        <v>30704</v>
      </c>
      <c r="L248" s="8">
        <v>31555</v>
      </c>
      <c r="M248" s="8">
        <v>31935</v>
      </c>
      <c r="N248" s="8">
        <v>32315</v>
      </c>
      <c r="O248" s="8">
        <v>31427</v>
      </c>
      <c r="P248" s="8">
        <v>30321</v>
      </c>
      <c r="Q248" s="8">
        <v>30888</v>
      </c>
      <c r="R248" s="8">
        <v>29337</v>
      </c>
      <c r="S248" s="8">
        <v>30076</v>
      </c>
      <c r="T248" s="8">
        <v>29547</v>
      </c>
      <c r="U248" s="8">
        <v>28701</v>
      </c>
      <c r="V248" s="8">
        <v>29262</v>
      </c>
      <c r="W248" s="8">
        <v>28435</v>
      </c>
      <c r="X248" s="8">
        <v>28008</v>
      </c>
      <c r="Y248" s="8">
        <v>27228</v>
      </c>
      <c r="Z248" s="8">
        <v>27520</v>
      </c>
      <c r="AA248" s="8">
        <v>27789</v>
      </c>
      <c r="AB248" s="8">
        <v>28532</v>
      </c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ht="14.4">
      <c r="A249" s="3">
        <f>LOOKUP(D249,'AMFI DATA_2023H2'!F:L,'AMFI DATA_2023H2'!L:L)</f>
        <v>247</v>
      </c>
      <c r="B249" s="4" t="s">
        <v>747</v>
      </c>
      <c r="C249" s="4" t="s">
        <v>748</v>
      </c>
      <c r="D249" s="5" t="s">
        <v>749</v>
      </c>
      <c r="E249" s="5">
        <v>16178.33</v>
      </c>
      <c r="F249" s="6">
        <f>LOOKUP(D249,'AMFI DATA_2023H2'!F:J,'AMFI DATA_2023H2'!J:J)</f>
        <v>22261.843400000002</v>
      </c>
      <c r="G249" s="7">
        <f t="shared" si="0"/>
        <v>-1</v>
      </c>
      <c r="H249" s="8"/>
      <c r="I249" s="8">
        <v>27714</v>
      </c>
      <c r="J249" s="8">
        <v>27879</v>
      </c>
      <c r="K249" s="8">
        <v>28395</v>
      </c>
      <c r="L249" s="8">
        <v>28983</v>
      </c>
      <c r="M249" s="8">
        <v>28291</v>
      </c>
      <c r="N249" s="8">
        <v>27420</v>
      </c>
      <c r="O249" s="8">
        <v>27962</v>
      </c>
      <c r="P249" s="8">
        <v>26602</v>
      </c>
      <c r="Q249" s="8">
        <v>27187</v>
      </c>
      <c r="R249" s="8">
        <v>27437</v>
      </c>
      <c r="S249" s="8">
        <v>28120</v>
      </c>
      <c r="T249" s="8">
        <v>28829</v>
      </c>
      <c r="U249" s="8">
        <v>28115</v>
      </c>
      <c r="V249" s="8">
        <v>27602</v>
      </c>
      <c r="W249" s="8">
        <v>27119</v>
      </c>
      <c r="X249" s="8">
        <v>26246</v>
      </c>
      <c r="Y249" s="8">
        <v>25111</v>
      </c>
      <c r="Z249" s="8">
        <v>25144</v>
      </c>
      <c r="AA249" s="8">
        <v>24975</v>
      </c>
      <c r="AB249" s="8">
        <v>24783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</row>
    <row r="250" spans="1:47" ht="14.4">
      <c r="A250" s="3">
        <f>LOOKUP(D250,'AMFI DATA_2023H2'!F:L,'AMFI DATA_2023H2'!L:L)</f>
        <v>248</v>
      </c>
      <c r="B250" s="4" t="s">
        <v>750</v>
      </c>
      <c r="C250" s="4" t="s">
        <v>751</v>
      </c>
      <c r="D250" s="5" t="s">
        <v>752</v>
      </c>
      <c r="E250" s="5">
        <v>18292.27</v>
      </c>
      <c r="F250" s="6">
        <f>LOOKUP(D250,'AMFI DATA_2023H2'!F:J,'AMFI DATA_2023H2'!J:J)</f>
        <v>22250.643799999998</v>
      </c>
      <c r="G250" s="7">
        <f t="shared" si="0"/>
        <v>-1</v>
      </c>
      <c r="H250" s="8"/>
      <c r="I250" s="8">
        <v>22552</v>
      </c>
      <c r="J250" s="8">
        <v>22468</v>
      </c>
      <c r="K250" s="8">
        <v>22467</v>
      </c>
      <c r="L250" s="8">
        <v>23267</v>
      </c>
      <c r="M250" s="8">
        <v>23184</v>
      </c>
      <c r="N250" s="8">
        <v>23350</v>
      </c>
      <c r="O250" s="8">
        <v>23365</v>
      </c>
      <c r="P250" s="8">
        <v>23017</v>
      </c>
      <c r="Q250" s="8">
        <v>23417</v>
      </c>
      <c r="R250" s="8">
        <v>23558</v>
      </c>
      <c r="S250" s="8">
        <v>24267</v>
      </c>
      <c r="T250" s="8">
        <v>23934</v>
      </c>
      <c r="U250" s="8">
        <v>23798</v>
      </c>
      <c r="V250" s="8">
        <v>24091</v>
      </c>
      <c r="W250" s="8">
        <v>23954</v>
      </c>
      <c r="X250" s="8">
        <v>23985</v>
      </c>
      <c r="Y250" s="8">
        <v>24007</v>
      </c>
      <c r="Z250" s="8">
        <v>24007</v>
      </c>
      <c r="AA250" s="8">
        <v>23325</v>
      </c>
      <c r="AB250" s="8">
        <v>23151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ht="14.4">
      <c r="A251" s="3">
        <f>LOOKUP(D251,'AMFI DATA_2023H2'!F:L,'AMFI DATA_2023H2'!L:L)</f>
        <v>249</v>
      </c>
      <c r="B251" s="4" t="s">
        <v>753</v>
      </c>
      <c r="C251" s="4" t="s">
        <v>754</v>
      </c>
      <c r="D251" s="5" t="s">
        <v>755</v>
      </c>
      <c r="E251" s="5">
        <v>16292.51</v>
      </c>
      <c r="F251" s="6">
        <f>LOOKUP(D251,'AMFI DATA_2023H2'!F:J,'AMFI DATA_2023H2'!J:J)</f>
        <v>22013.266299999999</v>
      </c>
      <c r="G251" s="7">
        <f t="shared" si="0"/>
        <v>-1</v>
      </c>
      <c r="H251" s="8"/>
      <c r="I251" s="8">
        <v>25709</v>
      </c>
      <c r="J251" s="8">
        <v>25592</v>
      </c>
      <c r="K251" s="8">
        <v>25698</v>
      </c>
      <c r="L251" s="8">
        <v>25790</v>
      </c>
      <c r="M251" s="8">
        <v>26297</v>
      </c>
      <c r="N251" s="8">
        <v>25954</v>
      </c>
      <c r="O251" s="8">
        <v>25998</v>
      </c>
      <c r="P251" s="8">
        <v>25357</v>
      </c>
      <c r="Q251" s="8">
        <v>25544</v>
      </c>
      <c r="R251" s="8">
        <v>25198</v>
      </c>
      <c r="S251" s="8">
        <v>24886</v>
      </c>
      <c r="T251" s="8">
        <v>24113</v>
      </c>
      <c r="U251" s="8">
        <v>23915</v>
      </c>
      <c r="V251" s="8">
        <v>24442</v>
      </c>
      <c r="W251" s="8">
        <v>24682</v>
      </c>
      <c r="X251" s="8">
        <v>24544</v>
      </c>
      <c r="Y251" s="8">
        <v>24498</v>
      </c>
      <c r="Z251" s="8">
        <v>24258</v>
      </c>
      <c r="AA251" s="8">
        <v>24204</v>
      </c>
      <c r="AB251" s="8">
        <v>24023</v>
      </c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ht="14.4">
      <c r="A252" s="3">
        <f>LOOKUP(D252,'AMFI DATA_2023H2'!F:L,'AMFI DATA_2023H2'!L:L)</f>
        <v>250</v>
      </c>
      <c r="B252" s="4" t="s">
        <v>756</v>
      </c>
      <c r="C252" s="4" t="s">
        <v>757</v>
      </c>
      <c r="D252" s="5" t="s">
        <v>758</v>
      </c>
      <c r="E252" s="5">
        <v>14149.37</v>
      </c>
      <c r="F252" s="6">
        <f>LOOKUP(D252,'AMFI DATA_2023H2'!F:J,'AMFI DATA_2023H2'!J:J)</f>
        <v>21994.005649999999</v>
      </c>
      <c r="G252" s="7">
        <f t="shared" si="0"/>
        <v>-1</v>
      </c>
      <c r="H252" s="8"/>
      <c r="I252" s="8">
        <v>24808</v>
      </c>
      <c r="J252" s="8">
        <v>24480</v>
      </c>
      <c r="K252" s="8">
        <v>24702</v>
      </c>
      <c r="L252" s="8">
        <v>25100</v>
      </c>
      <c r="M252" s="8">
        <v>25683</v>
      </c>
      <c r="N252" s="8">
        <v>24519</v>
      </c>
      <c r="O252" s="8">
        <v>24817</v>
      </c>
      <c r="P252" s="8">
        <v>24821</v>
      </c>
      <c r="Q252" s="8">
        <v>25000</v>
      </c>
      <c r="R252" s="8">
        <v>24653</v>
      </c>
      <c r="S252" s="8">
        <v>25209</v>
      </c>
      <c r="T252" s="8">
        <v>25350</v>
      </c>
      <c r="U252" s="8">
        <v>25325</v>
      </c>
      <c r="V252" s="8">
        <v>25080</v>
      </c>
      <c r="W252" s="8">
        <v>24020</v>
      </c>
      <c r="X252" s="8">
        <v>24097</v>
      </c>
      <c r="Y252" s="8">
        <v>24147</v>
      </c>
      <c r="Z252" s="8">
        <v>23925</v>
      </c>
      <c r="AA252" s="8">
        <v>23836</v>
      </c>
      <c r="AB252" s="8">
        <v>23682</v>
      </c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</row>
    <row r="253" spans="1:47" ht="14.4">
      <c r="A253" s="3">
        <f>LOOKUP(D253,'AMFI DATA_2023H2'!F:L,'AMFI DATA_2023H2'!L:L)</f>
        <v>251</v>
      </c>
      <c r="B253" s="4" t="s">
        <v>759</v>
      </c>
      <c r="C253" s="4" t="s">
        <v>760</v>
      </c>
      <c r="D253" s="5" t="s">
        <v>761</v>
      </c>
      <c r="E253" s="5">
        <v>17384.990000000002</v>
      </c>
      <c r="F253" s="6">
        <f>LOOKUP(D253,'AMFI DATA_2023H2'!F:J,'AMFI DATA_2023H2'!J:J)</f>
        <v>21975.953799999999</v>
      </c>
      <c r="G253" s="7">
        <f t="shared" si="0"/>
        <v>-1</v>
      </c>
      <c r="H253" s="8"/>
      <c r="I253" s="8">
        <v>22005</v>
      </c>
      <c r="J253" s="8">
        <v>22399</v>
      </c>
      <c r="K253" s="8">
        <v>22663</v>
      </c>
      <c r="L253" s="8">
        <v>23280</v>
      </c>
      <c r="M253" s="8">
        <v>23562</v>
      </c>
      <c r="N253" s="8">
        <v>23110</v>
      </c>
      <c r="O253" s="8">
        <v>23751</v>
      </c>
      <c r="P253" s="8">
        <v>24150</v>
      </c>
      <c r="Q253" s="8">
        <v>24313</v>
      </c>
      <c r="R253" s="8">
        <v>24412</v>
      </c>
      <c r="S253" s="8">
        <v>24883</v>
      </c>
      <c r="T253" s="8">
        <v>24632</v>
      </c>
      <c r="U253" s="8">
        <v>23901</v>
      </c>
      <c r="V253" s="8">
        <v>24819</v>
      </c>
      <c r="W253" s="8">
        <v>25251</v>
      </c>
      <c r="X253" s="8">
        <v>24846</v>
      </c>
      <c r="Y253" s="8">
        <v>23421</v>
      </c>
      <c r="Z253" s="8">
        <v>21976</v>
      </c>
      <c r="AA253" s="8">
        <v>22128</v>
      </c>
      <c r="AB253" s="8">
        <v>21789</v>
      </c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spans="1:47" ht="14.4">
      <c r="A254" s="3">
        <f>LOOKUP(D254,'AMFI DATA_2023H2'!F:L,'AMFI DATA_2023H2'!L:L)</f>
        <v>252</v>
      </c>
      <c r="B254" s="4" t="s">
        <v>762</v>
      </c>
      <c r="C254" s="4" t="s">
        <v>763</v>
      </c>
      <c r="D254" s="5" t="s">
        <v>764</v>
      </c>
      <c r="E254" s="5">
        <v>19804.919999999998</v>
      </c>
      <c r="F254" s="6">
        <f>LOOKUP(D254,'AMFI DATA_2023H2'!F:J,'AMFI DATA_2023H2'!J:J)</f>
        <v>21932.277199999997</v>
      </c>
      <c r="G254" s="7">
        <f t="shared" si="0"/>
        <v>-1</v>
      </c>
      <c r="H254" s="8"/>
      <c r="I254" s="8">
        <v>21683</v>
      </c>
      <c r="J254" s="8">
        <v>21471</v>
      </c>
      <c r="K254" s="8">
        <v>21722</v>
      </c>
      <c r="L254" s="8">
        <v>22017</v>
      </c>
      <c r="M254" s="8">
        <v>22559</v>
      </c>
      <c r="N254" s="8">
        <v>22131</v>
      </c>
      <c r="O254" s="8">
        <v>21952</v>
      </c>
      <c r="P254" s="8">
        <v>21760</v>
      </c>
      <c r="Q254" s="8">
        <v>22122</v>
      </c>
      <c r="R254" s="8">
        <v>21505</v>
      </c>
      <c r="S254" s="8">
        <v>21771</v>
      </c>
      <c r="T254" s="8">
        <v>21188</v>
      </c>
      <c r="U254" s="8">
        <v>21287</v>
      </c>
      <c r="V254" s="8">
        <v>21227</v>
      </c>
      <c r="W254" s="8">
        <v>21223</v>
      </c>
      <c r="X254" s="8">
        <v>21159</v>
      </c>
      <c r="Y254" s="8">
        <v>20842</v>
      </c>
      <c r="Z254" s="8">
        <v>21094</v>
      </c>
      <c r="AA254" s="8">
        <v>20969</v>
      </c>
      <c r="AB254" s="8">
        <v>20793</v>
      </c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spans="1:47" ht="14.4">
      <c r="A255" s="3">
        <f>LOOKUP(D255,'AMFI DATA_2023H2'!F:L,'AMFI DATA_2023H2'!L:L)</f>
        <v>253</v>
      </c>
      <c r="B255" s="4" t="s">
        <v>765</v>
      </c>
      <c r="C255" s="4" t="s">
        <v>766</v>
      </c>
      <c r="D255" s="5" t="s">
        <v>767</v>
      </c>
      <c r="E255" s="5">
        <v>15832.36</v>
      </c>
      <c r="F255" s="6">
        <f>LOOKUP(D255,'AMFI DATA_2023H2'!F:J,'AMFI DATA_2023H2'!J:J)</f>
        <v>21606.068749999999</v>
      </c>
      <c r="G255" s="7">
        <f t="shared" si="0"/>
        <v>-1</v>
      </c>
      <c r="H255" s="8"/>
      <c r="I255" s="8">
        <v>25020</v>
      </c>
      <c r="J255" s="8">
        <v>24730</v>
      </c>
      <c r="K255" s="8">
        <v>25515</v>
      </c>
      <c r="L255" s="8">
        <v>25599</v>
      </c>
      <c r="M255" s="8">
        <v>25737</v>
      </c>
      <c r="N255" s="8">
        <v>26078</v>
      </c>
      <c r="O255" s="8">
        <v>25815</v>
      </c>
      <c r="P255" s="8">
        <v>26005</v>
      </c>
      <c r="Q255" s="8">
        <v>26028</v>
      </c>
      <c r="R255" s="8">
        <v>25799</v>
      </c>
      <c r="S255" s="8">
        <v>26206</v>
      </c>
      <c r="T255" s="8">
        <v>25719</v>
      </c>
      <c r="U255" s="8">
        <v>26342</v>
      </c>
      <c r="V255" s="8">
        <v>25379</v>
      </c>
      <c r="W255" s="8">
        <v>25005</v>
      </c>
      <c r="X255" s="8">
        <v>25185</v>
      </c>
      <c r="Y255" s="8">
        <v>24813</v>
      </c>
      <c r="Z255" s="8">
        <v>25173</v>
      </c>
      <c r="AA255" s="8">
        <v>25069</v>
      </c>
      <c r="AB255" s="8">
        <v>25099</v>
      </c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</row>
    <row r="256" spans="1:47" ht="14.4">
      <c r="A256" s="3">
        <f>LOOKUP(D256,'AMFI DATA_2023H2'!F:L,'AMFI DATA_2023H2'!L:L)</f>
        <v>254</v>
      </c>
      <c r="B256" s="4" t="s">
        <v>768</v>
      </c>
      <c r="C256" s="4" t="s">
        <v>769</v>
      </c>
      <c r="D256" s="5" t="s">
        <v>770</v>
      </c>
      <c r="E256" s="5">
        <v>18078.88</v>
      </c>
      <c r="F256" s="6">
        <f>LOOKUP(D256,'AMFI DATA_2023H2'!F:J,'AMFI DATA_2023H2'!J:J)</f>
        <v>21553.621899999998</v>
      </c>
      <c r="G256" s="7">
        <f t="shared" si="0"/>
        <v>-1</v>
      </c>
      <c r="H256" s="8"/>
      <c r="I256" s="8">
        <v>22137</v>
      </c>
      <c r="J256" s="8">
        <v>22190</v>
      </c>
      <c r="K256" s="8">
        <v>22215</v>
      </c>
      <c r="L256" s="8">
        <v>22256</v>
      </c>
      <c r="M256" s="8">
        <v>22518</v>
      </c>
      <c r="N256" s="8">
        <v>22185</v>
      </c>
      <c r="O256" s="8">
        <v>21767</v>
      </c>
      <c r="P256" s="8">
        <v>21972</v>
      </c>
      <c r="Q256" s="8">
        <v>21866</v>
      </c>
      <c r="R256" s="8">
        <v>21834</v>
      </c>
      <c r="S256" s="8">
        <v>21375</v>
      </c>
      <c r="T256" s="8">
        <v>20742</v>
      </c>
      <c r="U256" s="8">
        <v>20581</v>
      </c>
      <c r="V256" s="8">
        <v>20700</v>
      </c>
      <c r="W256" s="8">
        <v>20823</v>
      </c>
      <c r="X256" s="8">
        <v>20744</v>
      </c>
      <c r="Y256" s="8">
        <v>21147</v>
      </c>
      <c r="Z256" s="8">
        <v>21532</v>
      </c>
      <c r="AA256" s="8">
        <v>21643</v>
      </c>
      <c r="AB256" s="8">
        <v>22027</v>
      </c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ht="14.4">
      <c r="A257" s="3">
        <f>LOOKUP(D257,'AMFI DATA_2023H2'!F:L,'AMFI DATA_2023H2'!L:L)</f>
        <v>255</v>
      </c>
      <c r="B257" s="4" t="s">
        <v>771</v>
      </c>
      <c r="C257" s="4" t="s">
        <v>772</v>
      </c>
      <c r="D257" s="5" t="s">
        <v>773</v>
      </c>
      <c r="E257" s="5">
        <v>16476.38</v>
      </c>
      <c r="F257" s="6">
        <f>LOOKUP(D257,'AMFI DATA_2023H2'!F:J,'AMFI DATA_2023H2'!J:J)</f>
        <v>21345.21615</v>
      </c>
      <c r="G257" s="7">
        <f t="shared" ref="G257:G511" si="1">H257/F257-1</f>
        <v>-1</v>
      </c>
      <c r="H257" s="8"/>
      <c r="I257" s="8">
        <v>22498</v>
      </c>
      <c r="J257" s="8">
        <v>21918</v>
      </c>
      <c r="K257" s="8">
        <v>21313</v>
      </c>
      <c r="L257" s="8">
        <v>21593</v>
      </c>
      <c r="M257" s="8">
        <v>21508</v>
      </c>
      <c r="N257" s="8">
        <v>21404</v>
      </c>
      <c r="O257" s="8">
        <v>21698</v>
      </c>
      <c r="P257" s="8">
        <v>21202</v>
      </c>
      <c r="Q257" s="8">
        <v>21376</v>
      </c>
      <c r="R257" s="8">
        <v>21236</v>
      </c>
      <c r="S257" s="8">
        <v>21424</v>
      </c>
      <c r="T257" s="8">
        <v>21115</v>
      </c>
      <c r="U257" s="8">
        <v>21172</v>
      </c>
      <c r="V257" s="8">
        <v>21290</v>
      </c>
      <c r="W257" s="8">
        <v>21417</v>
      </c>
      <c r="X257" s="8">
        <v>21493</v>
      </c>
      <c r="Y257" s="8">
        <v>21255</v>
      </c>
      <c r="Z257" s="8">
        <v>20595</v>
      </c>
      <c r="AA257" s="8">
        <v>20345</v>
      </c>
      <c r="AB257" s="8">
        <v>20153</v>
      </c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</row>
    <row r="258" spans="1:47" ht="14.4">
      <c r="A258" s="3">
        <f>LOOKUP(D258,'AMFI DATA_2023H2'!F:L,'AMFI DATA_2023H2'!L:L)</f>
        <v>256</v>
      </c>
      <c r="B258" s="4" t="s">
        <v>774</v>
      </c>
      <c r="C258" s="4" t="s">
        <v>775</v>
      </c>
      <c r="D258" s="5" t="s">
        <v>776</v>
      </c>
      <c r="E258" s="5">
        <v>19432.2</v>
      </c>
      <c r="F258" s="6">
        <f>LOOKUP(D258,'AMFI DATA_2023H2'!F:J,'AMFI DATA_2023H2'!J:J)</f>
        <v>21213.036350000002</v>
      </c>
      <c r="G258" s="7">
        <f t="shared" si="1"/>
        <v>-1</v>
      </c>
      <c r="H258" s="8"/>
      <c r="I258" s="8">
        <v>19530</v>
      </c>
      <c r="J258" s="8">
        <v>19494</v>
      </c>
      <c r="K258" s="8">
        <v>19843</v>
      </c>
      <c r="L258" s="8">
        <v>20282</v>
      </c>
      <c r="M258" s="8">
        <v>20322</v>
      </c>
      <c r="N258" s="8">
        <v>20256</v>
      </c>
      <c r="O258" s="8">
        <v>20261</v>
      </c>
      <c r="P258" s="8">
        <v>20118</v>
      </c>
      <c r="Q258" s="8">
        <v>20171</v>
      </c>
      <c r="R258" s="8">
        <v>20411</v>
      </c>
      <c r="S258" s="8">
        <v>20834</v>
      </c>
      <c r="T258" s="8">
        <v>20667</v>
      </c>
      <c r="U258" s="8">
        <v>20491</v>
      </c>
      <c r="V258" s="8">
        <v>20525</v>
      </c>
      <c r="W258" s="8">
        <v>21100</v>
      </c>
      <c r="X258" s="8">
        <v>21207</v>
      </c>
      <c r="Y258" s="8">
        <v>21061</v>
      </c>
      <c r="Z258" s="8">
        <v>21062</v>
      </c>
      <c r="AA258" s="8">
        <v>20782</v>
      </c>
      <c r="AB258" s="8">
        <v>20833</v>
      </c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</row>
    <row r="259" spans="1:47" ht="14.4">
      <c r="A259" s="3">
        <f>LOOKUP(D259,'AMFI DATA_2023H2'!F:L,'AMFI DATA_2023H2'!L:L)</f>
        <v>256</v>
      </c>
      <c r="B259" s="4" t="s">
        <v>777</v>
      </c>
      <c r="C259" s="4" t="s">
        <v>778</v>
      </c>
      <c r="D259" s="5" t="s">
        <v>779</v>
      </c>
      <c r="E259" s="5">
        <v>19432.2</v>
      </c>
      <c r="F259" s="6">
        <f>LOOKUP(D259,'AMFI DATA_2023H2'!F:J,'AMFI DATA_2023H2'!J:J)</f>
        <v>21213.036350000002</v>
      </c>
      <c r="G259" s="7">
        <f t="shared" si="1"/>
        <v>-1</v>
      </c>
      <c r="H259" s="8"/>
      <c r="I259" s="8">
        <v>25732</v>
      </c>
      <c r="J259" s="8">
        <v>26013</v>
      </c>
      <c r="K259" s="8">
        <v>26741</v>
      </c>
      <c r="L259" s="8">
        <v>26808</v>
      </c>
      <c r="M259" s="8">
        <v>25991</v>
      </c>
      <c r="N259" s="8">
        <v>26055</v>
      </c>
      <c r="O259" s="8">
        <v>26299</v>
      </c>
      <c r="P259" s="8">
        <v>26753</v>
      </c>
      <c r="Q259" s="8">
        <v>26225</v>
      </c>
      <c r="R259" s="8">
        <v>24884</v>
      </c>
      <c r="S259" s="8">
        <v>25088</v>
      </c>
      <c r="T259" s="8">
        <v>24677</v>
      </c>
      <c r="U259" s="8">
        <v>24943</v>
      </c>
      <c r="V259" s="8">
        <v>24712</v>
      </c>
      <c r="W259" s="8">
        <v>24720</v>
      </c>
      <c r="X259" s="8">
        <v>24868</v>
      </c>
      <c r="Y259" s="8">
        <v>24976</v>
      </c>
      <c r="Z259" s="8">
        <v>25595</v>
      </c>
      <c r="AA259" s="8">
        <v>25383</v>
      </c>
      <c r="AB259" s="8">
        <v>25168</v>
      </c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ht="14.4">
      <c r="A260" s="3">
        <f>LOOKUP(D260,'AMFI DATA_2023H2'!F:L,'AMFI DATA_2023H2'!L:L)</f>
        <v>257</v>
      </c>
      <c r="B260" s="4" t="s">
        <v>780</v>
      </c>
      <c r="C260" s="4" t="s">
        <v>781</v>
      </c>
      <c r="D260" s="5" t="s">
        <v>782</v>
      </c>
      <c r="E260" s="5">
        <v>18097.91</v>
      </c>
      <c r="F260" s="6">
        <f>LOOKUP(D260,'AMFI DATA_2023H2'!F:J,'AMFI DATA_2023H2'!J:J)</f>
        <v>21145.831700000002</v>
      </c>
      <c r="G260" s="7">
        <f t="shared" si="1"/>
        <v>-1</v>
      </c>
      <c r="H260" s="8"/>
      <c r="I260" s="8">
        <v>31569</v>
      </c>
      <c r="J260" s="8">
        <v>31475</v>
      </c>
      <c r="K260" s="8">
        <v>32103</v>
      </c>
      <c r="L260" s="8">
        <v>31995</v>
      </c>
      <c r="M260" s="8">
        <v>32179</v>
      </c>
      <c r="N260" s="8">
        <v>31645</v>
      </c>
      <c r="O260" s="8">
        <v>31863</v>
      </c>
      <c r="P260" s="8">
        <v>31817</v>
      </c>
      <c r="Q260" s="8">
        <v>31924</v>
      </c>
      <c r="R260" s="8">
        <v>31491</v>
      </c>
      <c r="S260" s="8">
        <v>31919</v>
      </c>
      <c r="T260" s="8">
        <v>30845</v>
      </c>
      <c r="U260" s="8">
        <v>30066</v>
      </c>
      <c r="V260" s="8">
        <v>30632</v>
      </c>
      <c r="W260" s="8">
        <v>31634</v>
      </c>
      <c r="X260" s="8">
        <v>31399</v>
      </c>
      <c r="Y260" s="8">
        <v>31132</v>
      </c>
      <c r="Z260" s="8">
        <v>32380</v>
      </c>
      <c r="AA260" s="8">
        <v>31026</v>
      </c>
      <c r="AB260" s="8">
        <v>28798</v>
      </c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ht="14.4">
      <c r="A261" s="3">
        <f>LOOKUP(D261,'AMFI DATA_2023H2'!F:L,'AMFI DATA_2023H2'!L:L)</f>
        <v>258</v>
      </c>
      <c r="B261" s="4" t="s">
        <v>783</v>
      </c>
      <c r="C261" s="4" t="s">
        <v>784</v>
      </c>
      <c r="D261" s="5" t="s">
        <v>785</v>
      </c>
      <c r="E261" s="5">
        <v>15642.39</v>
      </c>
      <c r="F261" s="6">
        <f>LOOKUP(D261,'AMFI DATA_2023H2'!F:J,'AMFI DATA_2023H2'!J:J)</f>
        <v>20923.4748</v>
      </c>
      <c r="G261" s="7">
        <f t="shared" si="1"/>
        <v>-1</v>
      </c>
      <c r="H261" s="8"/>
      <c r="I261" s="8">
        <v>24634</v>
      </c>
      <c r="J261" s="8">
        <v>24680</v>
      </c>
      <c r="K261" s="8">
        <v>25036</v>
      </c>
      <c r="L261" s="8">
        <v>25157</v>
      </c>
      <c r="M261" s="8">
        <v>24506</v>
      </c>
      <c r="N261" s="8">
        <v>24827</v>
      </c>
      <c r="O261" s="8">
        <v>25236</v>
      </c>
      <c r="P261" s="8">
        <v>24021</v>
      </c>
      <c r="Q261" s="8">
        <v>24065</v>
      </c>
      <c r="R261" s="8">
        <v>24044</v>
      </c>
      <c r="S261" s="8">
        <v>24517</v>
      </c>
      <c r="T261" s="8">
        <v>23462</v>
      </c>
      <c r="U261" s="8">
        <v>23247</v>
      </c>
      <c r="V261" s="8">
        <v>23312</v>
      </c>
      <c r="W261" s="8">
        <v>22922</v>
      </c>
      <c r="X261" s="8">
        <v>23431</v>
      </c>
      <c r="Y261" s="8">
        <v>23294</v>
      </c>
      <c r="Z261" s="8">
        <v>23525</v>
      </c>
      <c r="AA261" s="8">
        <v>23302</v>
      </c>
      <c r="AB261" s="8">
        <v>23644</v>
      </c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</row>
    <row r="262" spans="1:47" ht="14.4">
      <c r="A262" s="3">
        <f>LOOKUP(D262,'AMFI DATA_2023H2'!F:L,'AMFI DATA_2023H2'!L:L)</f>
        <v>259</v>
      </c>
      <c r="B262" s="4" t="s">
        <v>786</v>
      </c>
      <c r="C262" s="4" t="s">
        <v>787</v>
      </c>
      <c r="D262" s="5" t="s">
        <v>788</v>
      </c>
      <c r="E262" s="5">
        <v>13908.46</v>
      </c>
      <c r="F262" s="6">
        <f>LOOKUP(D262,'AMFI DATA_2023H2'!F:J,'AMFI DATA_2023H2'!J:J)</f>
        <v>20881.85455</v>
      </c>
      <c r="G262" s="7">
        <f t="shared" si="1"/>
        <v>-1</v>
      </c>
      <c r="H262" s="8"/>
      <c r="I262" s="8">
        <v>29344</v>
      </c>
      <c r="J262" s="8">
        <v>28487</v>
      </c>
      <c r="K262" s="8">
        <v>27675</v>
      </c>
      <c r="L262" s="8">
        <v>26864</v>
      </c>
      <c r="M262" s="8">
        <v>26847</v>
      </c>
      <c r="N262" s="8">
        <v>27388</v>
      </c>
      <c r="O262" s="8">
        <v>28100</v>
      </c>
      <c r="P262" s="8">
        <v>26713</v>
      </c>
      <c r="Q262" s="8">
        <v>26616</v>
      </c>
      <c r="R262" s="8">
        <v>26816</v>
      </c>
      <c r="S262" s="8">
        <v>27138</v>
      </c>
      <c r="T262" s="8">
        <v>26581</v>
      </c>
      <c r="U262" s="8">
        <v>25725</v>
      </c>
      <c r="V262" s="8">
        <v>25263</v>
      </c>
      <c r="W262" s="8">
        <v>25540</v>
      </c>
      <c r="X262" s="8">
        <v>25656</v>
      </c>
      <c r="Y262" s="8">
        <v>25976</v>
      </c>
      <c r="Z262" s="8">
        <v>25537</v>
      </c>
      <c r="AA262" s="8">
        <v>25888</v>
      </c>
      <c r="AB262" s="8">
        <v>26141</v>
      </c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ht="14.4">
      <c r="A263" s="3">
        <f>LOOKUP(D263,'AMFI DATA_2023H2'!F:L,'AMFI DATA_2023H2'!L:L)</f>
        <v>260</v>
      </c>
      <c r="B263" s="4" t="s">
        <v>789</v>
      </c>
      <c r="C263" s="4" t="s">
        <v>790</v>
      </c>
      <c r="D263" s="5" t="s">
        <v>791</v>
      </c>
      <c r="E263" s="5">
        <v>21611.25</v>
      </c>
      <c r="F263" s="6">
        <f>LOOKUP(D263,'AMFI DATA_2023H2'!F:J,'AMFI DATA_2023H2'!J:J)</f>
        <v>20869.51685</v>
      </c>
      <c r="G263" s="7">
        <f t="shared" si="1"/>
        <v>-1</v>
      </c>
      <c r="H263" s="8"/>
      <c r="I263" s="8">
        <v>21242</v>
      </c>
      <c r="J263" s="8">
        <v>21180</v>
      </c>
      <c r="K263" s="8">
        <v>21337</v>
      </c>
      <c r="L263" s="8">
        <v>22015</v>
      </c>
      <c r="M263" s="8">
        <v>21921</v>
      </c>
      <c r="N263" s="8">
        <v>22115</v>
      </c>
      <c r="O263" s="8">
        <v>22210</v>
      </c>
      <c r="P263" s="8">
        <v>21522</v>
      </c>
      <c r="Q263" s="8">
        <v>21769</v>
      </c>
      <c r="R263" s="8">
        <v>21921</v>
      </c>
      <c r="S263" s="8">
        <v>22594</v>
      </c>
      <c r="T263" s="8">
        <v>23420</v>
      </c>
      <c r="U263" s="8">
        <v>22851</v>
      </c>
      <c r="V263" s="8">
        <v>23017</v>
      </c>
      <c r="W263" s="8">
        <v>21436</v>
      </c>
      <c r="X263" s="8">
        <v>21223</v>
      </c>
      <c r="Y263" s="8">
        <v>20877</v>
      </c>
      <c r="Z263" s="8">
        <v>20810</v>
      </c>
      <c r="AA263" s="8">
        <v>20986</v>
      </c>
      <c r="AB263" s="8">
        <v>20862</v>
      </c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</row>
    <row r="264" spans="1:47" ht="14.4">
      <c r="A264" s="3">
        <f>LOOKUP(D264,'AMFI DATA_2023H2'!F:L,'AMFI DATA_2023H2'!L:L)</f>
        <v>261</v>
      </c>
      <c r="B264" s="4" t="s">
        <v>792</v>
      </c>
      <c r="C264" s="4" t="s">
        <v>793</v>
      </c>
      <c r="D264" s="5" t="s">
        <v>794</v>
      </c>
      <c r="E264" s="5">
        <v>17765.009999999998</v>
      </c>
      <c r="F264" s="6">
        <f>LOOKUP(D264,'AMFI DATA_2023H2'!F:J,'AMFI DATA_2023H2'!J:J)</f>
        <v>20568.2484</v>
      </c>
      <c r="G264" s="7">
        <f t="shared" si="1"/>
        <v>-1</v>
      </c>
      <c r="H264" s="8"/>
      <c r="I264" s="8">
        <v>22216</v>
      </c>
      <c r="J264" s="8">
        <v>22370</v>
      </c>
      <c r="K264" s="8">
        <v>22205</v>
      </c>
      <c r="L264" s="8">
        <v>22354</v>
      </c>
      <c r="M264" s="8">
        <v>22688</v>
      </c>
      <c r="N264" s="8">
        <v>22453</v>
      </c>
      <c r="O264" s="8">
        <v>22750</v>
      </c>
      <c r="P264" s="8">
        <v>22537</v>
      </c>
      <c r="Q264" s="8">
        <v>22817</v>
      </c>
      <c r="R264" s="8">
        <v>22599</v>
      </c>
      <c r="S264" s="8">
        <v>23011</v>
      </c>
      <c r="T264" s="8">
        <v>23205</v>
      </c>
      <c r="U264" s="8">
        <v>23228</v>
      </c>
      <c r="V264" s="8">
        <v>23473</v>
      </c>
      <c r="W264" s="8">
        <v>23352</v>
      </c>
      <c r="X264" s="8">
        <v>23186</v>
      </c>
      <c r="Y264" s="8">
        <v>22982</v>
      </c>
      <c r="Z264" s="8">
        <v>23286</v>
      </c>
      <c r="AA264" s="8">
        <v>23416</v>
      </c>
      <c r="AB264" s="8">
        <v>22330</v>
      </c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ht="14.4">
      <c r="A265" s="3">
        <f>LOOKUP(D265,'AMFI DATA_2023H2'!F:L,'AMFI DATA_2023H2'!L:L)</f>
        <v>262</v>
      </c>
      <c r="B265" s="4" t="s">
        <v>795</v>
      </c>
      <c r="C265" s="4" t="s">
        <v>796</v>
      </c>
      <c r="D265" s="5" t="s">
        <v>797</v>
      </c>
      <c r="E265" s="5">
        <v>21641.4</v>
      </c>
      <c r="F265" s="6">
        <f>LOOKUP(D265,'AMFI DATA_2023H2'!F:J,'AMFI DATA_2023H2'!J:J)</f>
        <v>20549.278149999998</v>
      </c>
      <c r="G265" s="7">
        <f t="shared" si="1"/>
        <v>-1</v>
      </c>
      <c r="H265" s="8"/>
      <c r="I265" s="8">
        <v>20133</v>
      </c>
      <c r="J265" s="8">
        <v>19966</v>
      </c>
      <c r="K265" s="8">
        <v>19946</v>
      </c>
      <c r="L265" s="8">
        <v>20158</v>
      </c>
      <c r="M265" s="8">
        <v>20133</v>
      </c>
      <c r="N265" s="8">
        <v>20378</v>
      </c>
      <c r="O265" s="8">
        <v>20345</v>
      </c>
      <c r="P265" s="8">
        <v>20375</v>
      </c>
      <c r="Q265" s="8">
        <v>20842</v>
      </c>
      <c r="R265" s="8">
        <v>20917</v>
      </c>
      <c r="S265" s="8">
        <v>20907</v>
      </c>
      <c r="T265" s="8">
        <v>20255</v>
      </c>
      <c r="U265" s="8">
        <v>20340</v>
      </c>
      <c r="V265" s="8">
        <v>20715</v>
      </c>
      <c r="W265" s="8">
        <v>20475</v>
      </c>
      <c r="X265" s="8">
        <v>20178</v>
      </c>
      <c r="Y265" s="8">
        <v>20228</v>
      </c>
      <c r="Z265" s="8">
        <v>20300</v>
      </c>
      <c r="AA265" s="8">
        <v>20086</v>
      </c>
      <c r="AB265" s="8">
        <v>20280</v>
      </c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ht="14.4">
      <c r="A266" s="3">
        <f>LOOKUP(D266,'AMFI DATA_2023H2'!F:L,'AMFI DATA_2023H2'!L:L)</f>
        <v>263</v>
      </c>
      <c r="B266" s="4" t="s">
        <v>798</v>
      </c>
      <c r="C266" s="4" t="s">
        <v>799</v>
      </c>
      <c r="D266" s="5" t="s">
        <v>800</v>
      </c>
      <c r="E266" s="5">
        <v>16630.330000000002</v>
      </c>
      <c r="F266" s="6">
        <f>LOOKUP(D266,'AMFI DATA_2023H2'!F:J,'AMFI DATA_2023H2'!J:J)</f>
        <v>20359.304599999999</v>
      </c>
      <c r="G266" s="7">
        <f t="shared" si="1"/>
        <v>-1</v>
      </c>
      <c r="H266" s="8"/>
      <c r="I266" s="8">
        <v>20402</v>
      </c>
      <c r="J266" s="8">
        <v>20501</v>
      </c>
      <c r="K266" s="8">
        <v>20308</v>
      </c>
      <c r="L266" s="8">
        <v>20285</v>
      </c>
      <c r="M266" s="8">
        <v>20743</v>
      </c>
      <c r="N266" s="8">
        <v>20481</v>
      </c>
      <c r="O266" s="8">
        <v>20952</v>
      </c>
      <c r="P266" s="8">
        <v>20886</v>
      </c>
      <c r="Q266" s="8">
        <v>20734</v>
      </c>
      <c r="R266" s="8">
        <v>20914</v>
      </c>
      <c r="S266" s="8">
        <v>21695</v>
      </c>
      <c r="T266" s="8">
        <v>22028</v>
      </c>
      <c r="U266" s="8">
        <v>22022</v>
      </c>
      <c r="V266" s="8">
        <v>22064</v>
      </c>
      <c r="W266" s="8">
        <v>21504</v>
      </c>
      <c r="X266" s="8">
        <v>21537</v>
      </c>
      <c r="Y266" s="8">
        <v>21391</v>
      </c>
      <c r="Z266" s="8">
        <v>21500</v>
      </c>
      <c r="AA266" s="8">
        <v>21709</v>
      </c>
      <c r="AB266" s="8">
        <v>21675</v>
      </c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</row>
    <row r="267" spans="1:47" ht="14.4">
      <c r="A267" s="3">
        <f>LOOKUP(D267,'AMFI DATA_2023H2'!F:L,'AMFI DATA_2023H2'!L:L)</f>
        <v>264</v>
      </c>
      <c r="B267" s="4" t="s">
        <v>801</v>
      </c>
      <c r="C267" s="4" t="s">
        <v>802</v>
      </c>
      <c r="D267" s="5" t="s">
        <v>803</v>
      </c>
      <c r="E267" s="5">
        <v>21601.33</v>
      </c>
      <c r="F267" s="6">
        <f>LOOKUP(D267,'AMFI DATA_2023H2'!F:J,'AMFI DATA_2023H2'!J:J)</f>
        <v>20240.739949999999</v>
      </c>
      <c r="G267" s="7">
        <f t="shared" si="1"/>
        <v>-1</v>
      </c>
      <c r="H267" s="8"/>
      <c r="I267" s="8">
        <v>16915</v>
      </c>
      <c r="J267" s="8">
        <v>16869</v>
      </c>
      <c r="K267" s="8">
        <v>17083</v>
      </c>
      <c r="L267" s="8">
        <v>17293</v>
      </c>
      <c r="M267" s="8">
        <v>17531</v>
      </c>
      <c r="N267" s="8">
        <v>17525</v>
      </c>
      <c r="O267" s="8">
        <v>17506</v>
      </c>
      <c r="P267" s="8">
        <v>17306</v>
      </c>
      <c r="Q267" s="8">
        <v>17376</v>
      </c>
      <c r="R267" s="8">
        <v>17908</v>
      </c>
      <c r="S267" s="8">
        <v>18904</v>
      </c>
      <c r="T267" s="8">
        <v>18821</v>
      </c>
      <c r="U267" s="8">
        <v>19253</v>
      </c>
      <c r="V267" s="8">
        <v>19144</v>
      </c>
      <c r="W267" s="8">
        <v>19127</v>
      </c>
      <c r="X267" s="8">
        <v>19097</v>
      </c>
      <c r="Y267" s="8">
        <v>19033</v>
      </c>
      <c r="Z267" s="8">
        <v>19069</v>
      </c>
      <c r="AA267" s="8">
        <v>18817</v>
      </c>
      <c r="AB267" s="8">
        <v>18659</v>
      </c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ht="14.4">
      <c r="A268" s="3">
        <f>LOOKUP(D268,'AMFI DATA_2023H2'!F:L,'AMFI DATA_2023H2'!L:L)</f>
        <v>265</v>
      </c>
      <c r="B268" s="4" t="s">
        <v>804</v>
      </c>
      <c r="C268" s="4" t="s">
        <v>805</v>
      </c>
      <c r="D268" s="5" t="s">
        <v>806</v>
      </c>
      <c r="E268" s="5">
        <v>20883.560000000001</v>
      </c>
      <c r="F268" s="6">
        <f>LOOKUP(D268,'AMFI DATA_2023H2'!F:J,'AMFI DATA_2023H2'!J:J)</f>
        <v>20225.7788</v>
      </c>
      <c r="G268" s="7">
        <f t="shared" si="1"/>
        <v>-1</v>
      </c>
      <c r="H268" s="8"/>
      <c r="I268" s="8">
        <v>19391</v>
      </c>
      <c r="J268" s="8">
        <v>19486</v>
      </c>
      <c r="K268" s="8">
        <v>19538</v>
      </c>
      <c r="L268" s="8">
        <v>19974</v>
      </c>
      <c r="M268" s="8">
        <v>20275</v>
      </c>
      <c r="N268" s="8">
        <v>20259</v>
      </c>
      <c r="O268" s="8">
        <v>20261</v>
      </c>
      <c r="P268" s="8">
        <v>20068</v>
      </c>
      <c r="Q268" s="8">
        <v>20113</v>
      </c>
      <c r="R268" s="8">
        <v>20212</v>
      </c>
      <c r="S268" s="8">
        <v>20751</v>
      </c>
      <c r="T268" s="8">
        <v>20877</v>
      </c>
      <c r="U268" s="8">
        <v>21136</v>
      </c>
      <c r="V268" s="8">
        <v>21154</v>
      </c>
      <c r="W268" s="8">
        <v>21159</v>
      </c>
      <c r="X268" s="8">
        <v>21117</v>
      </c>
      <c r="Y268" s="8">
        <v>20863</v>
      </c>
      <c r="Z268" s="8">
        <v>20736</v>
      </c>
      <c r="AA268" s="8">
        <v>20760</v>
      </c>
      <c r="AB268" s="8">
        <v>20625</v>
      </c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spans="1:47" ht="14.4">
      <c r="A269" s="3">
        <f>LOOKUP(D269,'AMFI DATA_2023H2'!F:L,'AMFI DATA_2023H2'!L:L)</f>
        <v>266</v>
      </c>
      <c r="B269" s="4" t="s">
        <v>807</v>
      </c>
      <c r="C269" s="4" t="s">
        <v>808</v>
      </c>
      <c r="D269" s="5" t="s">
        <v>809</v>
      </c>
      <c r="E269" s="5">
        <v>15227.27</v>
      </c>
      <c r="F269" s="6">
        <f>LOOKUP(D269,'AMFI DATA_2023H2'!F:J,'AMFI DATA_2023H2'!J:J)</f>
        <v>20145.69485</v>
      </c>
      <c r="G269" s="7">
        <f t="shared" si="1"/>
        <v>-1</v>
      </c>
      <c r="H269" s="8"/>
      <c r="I269" s="8">
        <v>22920</v>
      </c>
      <c r="J269" s="8">
        <v>23001</v>
      </c>
      <c r="K269" s="8">
        <v>23493</v>
      </c>
      <c r="L269" s="8">
        <v>23808</v>
      </c>
      <c r="M269" s="8">
        <v>23440</v>
      </c>
      <c r="N269" s="8">
        <v>23360</v>
      </c>
      <c r="O269" s="8">
        <v>23849</v>
      </c>
      <c r="P269" s="8">
        <v>23455</v>
      </c>
      <c r="Q269" s="8">
        <v>23329</v>
      </c>
      <c r="R269" s="8">
        <v>23407</v>
      </c>
      <c r="S269" s="8">
        <v>23874</v>
      </c>
      <c r="T269" s="8">
        <v>23743</v>
      </c>
      <c r="U269" s="8">
        <v>23565</v>
      </c>
      <c r="V269" s="8">
        <v>23453</v>
      </c>
      <c r="W269" s="8">
        <v>23323</v>
      </c>
      <c r="X269" s="8">
        <v>23620</v>
      </c>
      <c r="Y269" s="8">
        <v>23707</v>
      </c>
      <c r="Z269" s="8">
        <v>23756</v>
      </c>
      <c r="AA269" s="8">
        <v>23815</v>
      </c>
      <c r="AB269" s="8">
        <v>24076</v>
      </c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ht="14.4">
      <c r="A270" s="3">
        <f>LOOKUP(D270,'AMFI DATA_2023H2'!F:L,'AMFI DATA_2023H2'!L:L)</f>
        <v>267</v>
      </c>
      <c r="B270" s="4" t="s">
        <v>810</v>
      </c>
      <c r="C270" s="4" t="s">
        <v>811</v>
      </c>
      <c r="D270" s="5" t="s">
        <v>812</v>
      </c>
      <c r="E270" s="5">
        <v>11673.34</v>
      </c>
      <c r="F270" s="6">
        <f>LOOKUP(D270,'AMFI DATA_2023H2'!F:J,'AMFI DATA_2023H2'!J:J)</f>
        <v>20080.316650000001</v>
      </c>
      <c r="G270" s="7">
        <f t="shared" si="1"/>
        <v>-1</v>
      </c>
      <c r="H270" s="8"/>
      <c r="I270" s="8">
        <v>32191</v>
      </c>
      <c r="J270" s="8">
        <v>31477</v>
      </c>
      <c r="K270" s="8">
        <v>32080</v>
      </c>
      <c r="L270" s="8">
        <v>31477</v>
      </c>
      <c r="M270" s="8">
        <v>31816</v>
      </c>
      <c r="N270" s="8">
        <v>32232</v>
      </c>
      <c r="O270" s="8">
        <v>32842</v>
      </c>
      <c r="P270" s="8">
        <v>31962</v>
      </c>
      <c r="Q270" s="8">
        <v>30159</v>
      </c>
      <c r="R270" s="8">
        <v>30603</v>
      </c>
      <c r="S270" s="8">
        <v>31234</v>
      </c>
      <c r="T270" s="8">
        <v>32017</v>
      </c>
      <c r="U270" s="8">
        <v>31796</v>
      </c>
      <c r="V270" s="8">
        <v>33258</v>
      </c>
      <c r="W270" s="8">
        <v>34714</v>
      </c>
      <c r="X270" s="8">
        <v>35130</v>
      </c>
      <c r="Y270" s="8">
        <v>34853</v>
      </c>
      <c r="Z270" s="8">
        <v>34923</v>
      </c>
      <c r="AA270" s="8">
        <v>34686</v>
      </c>
      <c r="AB270" s="8">
        <v>31047</v>
      </c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spans="1:47" ht="14.4">
      <c r="A271" s="3">
        <f>LOOKUP(D271,'AMFI DATA_2023H2'!F:L,'AMFI DATA_2023H2'!L:L)</f>
        <v>268</v>
      </c>
      <c r="B271" s="4" t="s">
        <v>813</v>
      </c>
      <c r="C271" s="4" t="s">
        <v>814</v>
      </c>
      <c r="D271" s="5" t="s">
        <v>815</v>
      </c>
      <c r="E271" s="5">
        <v>6869.73</v>
      </c>
      <c r="F271" s="6">
        <f>LOOKUP(D271,'AMFI DATA_2023H2'!F:J,'AMFI DATA_2023H2'!J:J)</f>
        <v>20017.627899999999</v>
      </c>
      <c r="G271" s="7">
        <f t="shared" si="1"/>
        <v>-1</v>
      </c>
      <c r="H271" s="8"/>
      <c r="I271" s="8">
        <v>30810</v>
      </c>
      <c r="J271" s="8">
        <v>31105</v>
      </c>
      <c r="K271" s="8">
        <v>30961</v>
      </c>
      <c r="L271" s="8">
        <v>31255</v>
      </c>
      <c r="M271" s="8">
        <v>30302</v>
      </c>
      <c r="N271" s="8">
        <v>30285</v>
      </c>
      <c r="O271" s="8">
        <v>30538</v>
      </c>
      <c r="P271" s="8">
        <v>30589</v>
      </c>
      <c r="Q271" s="8">
        <v>31150</v>
      </c>
      <c r="R271" s="8">
        <v>30799</v>
      </c>
      <c r="S271" s="8">
        <v>31187</v>
      </c>
      <c r="T271" s="8">
        <v>30826</v>
      </c>
      <c r="U271" s="8">
        <v>30505</v>
      </c>
      <c r="V271" s="8">
        <v>30269</v>
      </c>
      <c r="W271" s="8">
        <v>29824</v>
      </c>
      <c r="X271" s="8">
        <v>30070</v>
      </c>
      <c r="Y271" s="8">
        <v>30369</v>
      </c>
      <c r="Z271" s="8">
        <v>30687</v>
      </c>
      <c r="AA271" s="8">
        <v>31280</v>
      </c>
      <c r="AB271" s="8">
        <v>31406</v>
      </c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</row>
    <row r="272" spans="1:47" ht="14.4">
      <c r="A272" s="3">
        <f>LOOKUP(D272,'AMFI DATA_2023H2'!F:L,'AMFI DATA_2023H2'!L:L)</f>
        <v>269</v>
      </c>
      <c r="B272" s="4" t="s">
        <v>816</v>
      </c>
      <c r="C272" s="4" t="s">
        <v>817</v>
      </c>
      <c r="D272" s="5" t="s">
        <v>818</v>
      </c>
      <c r="E272" s="5">
        <v>14980.48</v>
      </c>
      <c r="F272" s="6">
        <f>LOOKUP(D272,'AMFI DATA_2023H2'!F:J,'AMFI DATA_2023H2'!J:J)</f>
        <v>19793.877500000002</v>
      </c>
      <c r="G272" s="7">
        <f t="shared" si="1"/>
        <v>-1</v>
      </c>
      <c r="H272" s="8"/>
      <c r="I272" s="8">
        <v>27593</v>
      </c>
      <c r="J272" s="8">
        <v>27459</v>
      </c>
      <c r="K272" s="8">
        <v>28282</v>
      </c>
      <c r="L272" s="8">
        <v>28524</v>
      </c>
      <c r="M272" s="8">
        <v>28033</v>
      </c>
      <c r="N272" s="8">
        <v>28001</v>
      </c>
      <c r="O272" s="8">
        <v>28390</v>
      </c>
      <c r="P272" s="8">
        <v>28215</v>
      </c>
      <c r="Q272" s="8">
        <v>28531</v>
      </c>
      <c r="R272" s="8">
        <v>29652</v>
      </c>
      <c r="S272" s="8">
        <v>28477</v>
      </c>
      <c r="T272" s="8">
        <v>27716</v>
      </c>
      <c r="U272" s="8">
        <v>26715</v>
      </c>
      <c r="V272" s="8">
        <v>27023</v>
      </c>
      <c r="W272" s="8">
        <v>26235</v>
      </c>
      <c r="X272" s="8">
        <v>25080</v>
      </c>
      <c r="Y272" s="8">
        <v>23777</v>
      </c>
      <c r="Z272" s="8">
        <v>23777</v>
      </c>
      <c r="AA272" s="8">
        <v>23818</v>
      </c>
      <c r="AB272" s="8">
        <v>23307</v>
      </c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</row>
    <row r="273" spans="1:47" ht="14.4">
      <c r="A273" s="3">
        <f>LOOKUP(D273,'AMFI DATA_2023H2'!F:L,'AMFI DATA_2023H2'!L:L)</f>
        <v>270</v>
      </c>
      <c r="B273" s="4" t="s">
        <v>819</v>
      </c>
      <c r="C273" s="4" t="s">
        <v>820</v>
      </c>
      <c r="D273" s="5" t="s">
        <v>821</v>
      </c>
      <c r="E273" s="5">
        <v>17409.32</v>
      </c>
      <c r="F273" s="6">
        <f>LOOKUP(D273,'AMFI DATA_2023H2'!F:J,'AMFI DATA_2023H2'!J:J)</f>
        <v>19551.60095</v>
      </c>
      <c r="G273" s="7">
        <f t="shared" si="1"/>
        <v>-1</v>
      </c>
      <c r="H273" s="8"/>
      <c r="I273" s="8">
        <v>17189</v>
      </c>
      <c r="J273" s="8">
        <v>17518</v>
      </c>
      <c r="K273" s="8">
        <v>17400</v>
      </c>
      <c r="L273" s="8">
        <v>17459</v>
      </c>
      <c r="M273" s="8">
        <v>17280</v>
      </c>
      <c r="N273" s="8">
        <v>17204</v>
      </c>
      <c r="O273" s="8">
        <v>17183</v>
      </c>
      <c r="P273" s="8">
        <v>17156</v>
      </c>
      <c r="Q273" s="8">
        <v>17363</v>
      </c>
      <c r="R273" s="8">
        <v>17247</v>
      </c>
      <c r="S273" s="8">
        <v>17281</v>
      </c>
      <c r="T273" s="8">
        <v>17207</v>
      </c>
      <c r="U273" s="8">
        <v>17308</v>
      </c>
      <c r="V273" s="8">
        <v>17200</v>
      </c>
      <c r="W273" s="8">
        <v>17293</v>
      </c>
      <c r="X273" s="8">
        <v>17255</v>
      </c>
      <c r="Y273" s="8">
        <v>17241</v>
      </c>
      <c r="Z273" s="8">
        <v>17204</v>
      </c>
      <c r="AA273" s="8">
        <v>17320</v>
      </c>
      <c r="AB273" s="8">
        <v>17245</v>
      </c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ht="14.4">
      <c r="A274" s="3">
        <f>LOOKUP(D274,'AMFI DATA_2023H2'!F:L,'AMFI DATA_2023H2'!L:L)</f>
        <v>271</v>
      </c>
      <c r="B274" s="4" t="s">
        <v>822</v>
      </c>
      <c r="C274" s="4" t="s">
        <v>823</v>
      </c>
      <c r="D274" s="5" t="s">
        <v>824</v>
      </c>
      <c r="E274" s="5">
        <v>12502.68</v>
      </c>
      <c r="F274" s="6">
        <f>LOOKUP(D274,'AMFI DATA_2023H2'!F:J,'AMFI DATA_2023H2'!J:J)</f>
        <v>19432.021049999999</v>
      </c>
      <c r="G274" s="7">
        <f t="shared" si="1"/>
        <v>-1</v>
      </c>
      <c r="H274" s="8"/>
      <c r="I274" s="8">
        <v>19338</v>
      </c>
      <c r="J274" s="8">
        <v>19103</v>
      </c>
      <c r="K274" s="8">
        <v>19138</v>
      </c>
      <c r="L274" s="8">
        <v>19189</v>
      </c>
      <c r="M274" s="8">
        <v>19084</v>
      </c>
      <c r="N274" s="8">
        <v>19080</v>
      </c>
      <c r="O274" s="8">
        <v>19013</v>
      </c>
      <c r="P274" s="8">
        <v>19030</v>
      </c>
      <c r="Q274" s="8">
        <v>19169</v>
      </c>
      <c r="R274" s="8">
        <v>19412</v>
      </c>
      <c r="S274" s="8">
        <v>19530</v>
      </c>
      <c r="T274" s="8">
        <v>19579</v>
      </c>
      <c r="U274" s="8">
        <v>18947</v>
      </c>
      <c r="V274" s="8">
        <v>18872</v>
      </c>
      <c r="W274" s="8">
        <v>19149</v>
      </c>
      <c r="X274" s="8">
        <v>19530</v>
      </c>
      <c r="Y274" s="8">
        <v>19005</v>
      </c>
      <c r="Z274" s="8">
        <v>18897</v>
      </c>
      <c r="AA274" s="8">
        <v>18958</v>
      </c>
      <c r="AB274" s="8">
        <v>19241</v>
      </c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spans="1:47" ht="14.4">
      <c r="A275" s="3">
        <f>LOOKUP(D275,'AMFI DATA_2023H2'!F:L,'AMFI DATA_2023H2'!L:L)</f>
        <v>272</v>
      </c>
      <c r="B275" s="4" t="s">
        <v>825</v>
      </c>
      <c r="C275" s="4" t="s">
        <v>826</v>
      </c>
      <c r="D275" s="5" t="s">
        <v>827</v>
      </c>
      <c r="E275" s="5">
        <v>15077.71</v>
      </c>
      <c r="F275" s="6">
        <f>LOOKUP(D275,'AMFI DATA_2023H2'!F:J,'AMFI DATA_2023H2'!J:J)</f>
        <v>19425.09965</v>
      </c>
      <c r="G275" s="7">
        <f t="shared" si="1"/>
        <v>-1</v>
      </c>
      <c r="H275" s="8"/>
      <c r="I275" s="8">
        <v>21390</v>
      </c>
      <c r="J275" s="8">
        <v>21359</v>
      </c>
      <c r="K275" s="8">
        <v>21518</v>
      </c>
      <c r="L275" s="8">
        <v>21557</v>
      </c>
      <c r="M275" s="8">
        <v>22016</v>
      </c>
      <c r="N275" s="8">
        <v>22166</v>
      </c>
      <c r="O275" s="8">
        <v>22986</v>
      </c>
      <c r="P275" s="8">
        <v>22446</v>
      </c>
      <c r="Q275" s="8">
        <v>22194</v>
      </c>
      <c r="R275" s="8">
        <v>23497</v>
      </c>
      <c r="S275" s="8">
        <v>21738</v>
      </c>
      <c r="T275" s="8">
        <v>21345</v>
      </c>
      <c r="U275" s="8">
        <v>21509</v>
      </c>
      <c r="V275" s="8">
        <v>21081</v>
      </c>
      <c r="W275" s="8">
        <v>21014</v>
      </c>
      <c r="X275" s="8">
        <v>21206</v>
      </c>
      <c r="Y275" s="8">
        <v>21265</v>
      </c>
      <c r="Z275" s="8">
        <v>19963</v>
      </c>
      <c r="AA275" s="8">
        <v>19884</v>
      </c>
      <c r="AB275" s="8">
        <v>20013</v>
      </c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spans="1:47" ht="14.4">
      <c r="A276" s="3">
        <f>LOOKUP(D276,'AMFI DATA_2023H2'!F:L,'AMFI DATA_2023H2'!L:L)</f>
        <v>273</v>
      </c>
      <c r="B276" s="4" t="s">
        <v>828</v>
      </c>
      <c r="C276" s="4" t="s">
        <v>829</v>
      </c>
      <c r="D276" s="5" t="s">
        <v>830</v>
      </c>
      <c r="E276" s="5">
        <v>16921.72</v>
      </c>
      <c r="F276" s="6">
        <f>LOOKUP(D276,'AMFI DATA_2023H2'!F:J,'AMFI DATA_2023H2'!J:J)</f>
        <v>19372.480299999999</v>
      </c>
      <c r="G276" s="7">
        <f t="shared" si="1"/>
        <v>-1</v>
      </c>
      <c r="H276" s="8"/>
      <c r="I276" s="8">
        <v>28540</v>
      </c>
      <c r="J276" s="8">
        <v>28323</v>
      </c>
      <c r="K276" s="8">
        <v>27477</v>
      </c>
      <c r="L276" s="8">
        <v>27949</v>
      </c>
      <c r="M276" s="8">
        <v>28130</v>
      </c>
      <c r="N276" s="8">
        <v>27797</v>
      </c>
      <c r="O276" s="8">
        <v>27846</v>
      </c>
      <c r="P276" s="8">
        <v>0</v>
      </c>
      <c r="Q276" s="8">
        <v>27791</v>
      </c>
      <c r="R276" s="8">
        <v>25454</v>
      </c>
      <c r="S276" s="8">
        <v>25654</v>
      </c>
      <c r="T276" s="8">
        <v>26058</v>
      </c>
      <c r="U276" s="8">
        <v>25092</v>
      </c>
      <c r="V276" s="8">
        <v>24959</v>
      </c>
      <c r="W276" s="8">
        <v>25273</v>
      </c>
      <c r="X276" s="8">
        <v>25074</v>
      </c>
      <c r="Y276" s="8">
        <v>25001</v>
      </c>
      <c r="Z276" s="8">
        <v>25219</v>
      </c>
      <c r="AA276" s="8">
        <v>25267</v>
      </c>
      <c r="AB276" s="8">
        <v>25152</v>
      </c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spans="1:47" ht="14.4">
      <c r="A277" s="3">
        <f>LOOKUP(D277,'AMFI DATA_2023H2'!F:L,'AMFI DATA_2023H2'!L:L)</f>
        <v>274</v>
      </c>
      <c r="B277" s="4" t="s">
        <v>831</v>
      </c>
      <c r="C277" s="4" t="s">
        <v>832</v>
      </c>
      <c r="D277" s="5" t="s">
        <v>833</v>
      </c>
      <c r="E277" s="5">
        <v>15520.14</v>
      </c>
      <c r="F277" s="6">
        <f>LOOKUP(D277,'AMFI DATA_2023H2'!F:J,'AMFI DATA_2023H2'!J:J)</f>
        <v>19343.918149999998</v>
      </c>
      <c r="G277" s="7">
        <f t="shared" si="1"/>
        <v>-1</v>
      </c>
      <c r="H277" s="8"/>
      <c r="I277" s="8">
        <v>22542</v>
      </c>
      <c r="J277" s="8">
        <v>23050</v>
      </c>
      <c r="K277" s="8">
        <v>24150</v>
      </c>
      <c r="L277" s="8">
        <v>23715</v>
      </c>
      <c r="M277" s="8">
        <v>23677</v>
      </c>
      <c r="N277" s="8">
        <v>24005</v>
      </c>
      <c r="O277" s="8">
        <v>24387</v>
      </c>
      <c r="P277" s="8">
        <v>24487</v>
      </c>
      <c r="Q277" s="8">
        <v>24186</v>
      </c>
      <c r="R277" s="8">
        <v>24103</v>
      </c>
      <c r="S277" s="8">
        <v>23801</v>
      </c>
      <c r="T277" s="8">
        <v>23437</v>
      </c>
      <c r="U277" s="8">
        <v>23487</v>
      </c>
      <c r="V277" s="8">
        <v>24267</v>
      </c>
      <c r="W277" s="8">
        <v>24844</v>
      </c>
      <c r="X277" s="8">
        <v>25444</v>
      </c>
      <c r="Y277" s="8">
        <v>25376</v>
      </c>
      <c r="Z277" s="8">
        <v>24177</v>
      </c>
      <c r="AA277" s="8">
        <v>23362</v>
      </c>
      <c r="AB277" s="8">
        <v>23577</v>
      </c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spans="1:47" ht="14.4">
      <c r="A278" s="3">
        <f>LOOKUP(D278,'AMFI DATA_2023H2'!F:L,'AMFI DATA_2023H2'!L:L)</f>
        <v>275</v>
      </c>
      <c r="B278" s="4" t="s">
        <v>834</v>
      </c>
      <c r="C278" s="4" t="s">
        <v>835</v>
      </c>
      <c r="D278" s="5" t="s">
        <v>836</v>
      </c>
      <c r="E278" s="5">
        <v>13907.48</v>
      </c>
      <c r="F278" s="6">
        <f>LOOKUP(D278,'AMFI DATA_2023H2'!F:J,'AMFI DATA_2023H2'!J:J)</f>
        <v>19292.713900000002</v>
      </c>
      <c r="G278" s="7">
        <f t="shared" si="1"/>
        <v>-1</v>
      </c>
      <c r="H278" s="8"/>
      <c r="I278" s="8">
        <v>19616</v>
      </c>
      <c r="J278" s="8">
        <v>19816</v>
      </c>
      <c r="K278" s="8">
        <v>19800</v>
      </c>
      <c r="L278" s="8">
        <v>20472</v>
      </c>
      <c r="M278" s="8">
        <v>20024</v>
      </c>
      <c r="N278" s="8">
        <v>19976</v>
      </c>
      <c r="O278" s="8">
        <v>19984</v>
      </c>
      <c r="P278" s="8">
        <v>19360</v>
      </c>
      <c r="Q278" s="8">
        <v>19640</v>
      </c>
      <c r="R278" s="8">
        <v>19776</v>
      </c>
      <c r="S278" s="8">
        <v>19992</v>
      </c>
      <c r="T278" s="8">
        <v>20136</v>
      </c>
      <c r="U278" s="8">
        <v>19816</v>
      </c>
      <c r="V278" s="8">
        <v>19752</v>
      </c>
      <c r="W278" s="8">
        <v>20072</v>
      </c>
      <c r="X278" s="8">
        <v>20248</v>
      </c>
      <c r="Y278" s="8">
        <v>20024</v>
      </c>
      <c r="Z278" s="8">
        <v>19992</v>
      </c>
      <c r="AA278" s="8">
        <v>19912</v>
      </c>
      <c r="AB278" s="8">
        <v>19872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spans="1:47" ht="14.4">
      <c r="A279" s="3">
        <f>LOOKUP(D279,'AMFI DATA_2023H2'!F:L,'AMFI DATA_2023H2'!L:L)</f>
        <v>276</v>
      </c>
      <c r="B279" s="4" t="s">
        <v>837</v>
      </c>
      <c r="C279" s="4" t="s">
        <v>838</v>
      </c>
      <c r="D279" s="5" t="s">
        <v>839</v>
      </c>
      <c r="E279" s="5">
        <v>9546.0499999999993</v>
      </c>
      <c r="F279" s="6">
        <f>LOOKUP(D279,'AMFI DATA_2023H2'!F:J,'AMFI DATA_2023H2'!J:J)</f>
        <v>19248.443149999999</v>
      </c>
      <c r="G279" s="7">
        <f t="shared" si="1"/>
        <v>-1</v>
      </c>
      <c r="H279" s="8"/>
      <c r="I279" s="8">
        <v>32949</v>
      </c>
      <c r="J279" s="8">
        <v>33348</v>
      </c>
      <c r="K279" s="8">
        <v>35250</v>
      </c>
      <c r="L279" s="8">
        <v>36096</v>
      </c>
      <c r="M279" s="8">
        <v>30282</v>
      </c>
      <c r="N279" s="8">
        <v>29398</v>
      </c>
      <c r="O279" s="8">
        <v>29470</v>
      </c>
      <c r="P279" s="8">
        <v>29403</v>
      </c>
      <c r="Q279" s="8">
        <v>29509</v>
      </c>
      <c r="R279" s="8">
        <v>29163</v>
      </c>
      <c r="S279" s="8">
        <v>29932</v>
      </c>
      <c r="T279" s="8">
        <v>30157</v>
      </c>
      <c r="U279" s="8">
        <v>29936</v>
      </c>
      <c r="V279" s="8">
        <v>29922</v>
      </c>
      <c r="W279" s="8">
        <v>29504</v>
      </c>
      <c r="X279" s="8">
        <v>29249</v>
      </c>
      <c r="Y279" s="8">
        <v>28927</v>
      </c>
      <c r="Z279" s="8">
        <v>28879</v>
      </c>
      <c r="AA279" s="8">
        <v>29091</v>
      </c>
      <c r="AB279" s="8">
        <v>29259</v>
      </c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</row>
    <row r="280" spans="1:47" ht="14.4">
      <c r="A280" s="3">
        <f>LOOKUP(D280,'AMFI DATA_2023H2'!F:L,'AMFI DATA_2023H2'!L:L)</f>
        <v>277</v>
      </c>
      <c r="B280" s="4" t="s">
        <v>840</v>
      </c>
      <c r="C280" s="4" t="s">
        <v>841</v>
      </c>
      <c r="D280" s="5" t="s">
        <v>842</v>
      </c>
      <c r="E280" s="5">
        <v>12090.43</v>
      </c>
      <c r="F280" s="6">
        <f>LOOKUP(D280,'AMFI DATA_2023H2'!F:J,'AMFI DATA_2023H2'!J:J)</f>
        <v>19020.873</v>
      </c>
      <c r="G280" s="7">
        <f t="shared" si="1"/>
        <v>-1</v>
      </c>
      <c r="H280" s="8"/>
      <c r="I280" s="8">
        <v>24533</v>
      </c>
      <c r="J280" s="8">
        <v>24389</v>
      </c>
      <c r="K280" s="8">
        <v>25275</v>
      </c>
      <c r="L280" s="8">
        <v>25214</v>
      </c>
      <c r="M280" s="8">
        <v>25461</v>
      </c>
      <c r="N280" s="8">
        <v>25214</v>
      </c>
      <c r="O280" s="8">
        <v>23834</v>
      </c>
      <c r="P280" s="8">
        <v>24643</v>
      </c>
      <c r="Q280" s="8">
        <v>25079</v>
      </c>
      <c r="R280" s="8">
        <v>24797</v>
      </c>
      <c r="S280" s="8">
        <v>24785</v>
      </c>
      <c r="T280" s="8">
        <v>25123</v>
      </c>
      <c r="U280" s="8">
        <v>25321</v>
      </c>
      <c r="V280" s="8">
        <v>25577</v>
      </c>
      <c r="W280" s="8">
        <v>25495</v>
      </c>
      <c r="X280" s="8">
        <v>25402</v>
      </c>
      <c r="Y280" s="8">
        <v>25231</v>
      </c>
      <c r="Z280" s="8">
        <v>25835</v>
      </c>
      <c r="AA280" s="8">
        <v>26003</v>
      </c>
      <c r="AB280" s="8">
        <v>26463</v>
      </c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</row>
    <row r="281" spans="1:47" ht="14.4">
      <c r="A281" s="3">
        <f>LOOKUP(D281,'AMFI DATA_2023H2'!F:L,'AMFI DATA_2023H2'!L:L)</f>
        <v>278</v>
      </c>
      <c r="B281" s="4" t="s">
        <v>843</v>
      </c>
      <c r="C281" s="4" t="s">
        <v>844</v>
      </c>
      <c r="D281" s="5" t="s">
        <v>845</v>
      </c>
      <c r="E281" s="5">
        <v>18774.3</v>
      </c>
      <c r="F281" s="6">
        <f>LOOKUP(D281,'AMFI DATA_2023H2'!F:J,'AMFI DATA_2023H2'!J:J)</f>
        <v>18865.494149999999</v>
      </c>
      <c r="G281" s="7">
        <f t="shared" si="1"/>
        <v>-1</v>
      </c>
      <c r="H281" s="8"/>
      <c r="I281" s="8">
        <v>19997</v>
      </c>
      <c r="J281" s="8">
        <v>19808</v>
      </c>
      <c r="K281" s="8">
        <v>20285</v>
      </c>
      <c r="L281" s="8">
        <v>20515</v>
      </c>
      <c r="M281" s="8">
        <v>20749</v>
      </c>
      <c r="N281" s="8">
        <v>20806</v>
      </c>
      <c r="O281" s="8">
        <v>20749</v>
      </c>
      <c r="P281" s="8">
        <v>20649</v>
      </c>
      <c r="Q281" s="8">
        <v>20102</v>
      </c>
      <c r="R281" s="8">
        <v>20064</v>
      </c>
      <c r="S281" s="8">
        <v>20259</v>
      </c>
      <c r="T281" s="8">
        <v>20333</v>
      </c>
      <c r="U281" s="8">
        <v>20406</v>
      </c>
      <c r="V281" s="8">
        <v>19926</v>
      </c>
      <c r="W281" s="8">
        <v>20093</v>
      </c>
      <c r="X281" s="8">
        <v>19900</v>
      </c>
      <c r="Y281" s="8">
        <v>19043</v>
      </c>
      <c r="Z281" s="8">
        <v>19206</v>
      </c>
      <c r="AA281" s="8">
        <v>19215</v>
      </c>
      <c r="AB281" s="8">
        <v>19321</v>
      </c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spans="1:47" ht="14.4">
      <c r="A282" s="3">
        <f>LOOKUP(D282,'AMFI DATA_2023H2'!F:L,'AMFI DATA_2023H2'!L:L)</f>
        <v>279</v>
      </c>
      <c r="B282" s="4" t="s">
        <v>846</v>
      </c>
      <c r="C282" s="4" t="s">
        <v>847</v>
      </c>
      <c r="D282" s="5" t="s">
        <v>848</v>
      </c>
      <c r="E282" s="5">
        <v>14652.16</v>
      </c>
      <c r="F282" s="6">
        <f>LOOKUP(D282,'AMFI DATA_2023H2'!F:J,'AMFI DATA_2023H2'!J:J)</f>
        <v>18798.673849999999</v>
      </c>
      <c r="G282" s="7">
        <f t="shared" si="1"/>
        <v>-1</v>
      </c>
      <c r="H282" s="8"/>
      <c r="I282" s="8">
        <v>25998</v>
      </c>
      <c r="J282" s="8">
        <v>25172</v>
      </c>
      <c r="K282" s="8">
        <v>24751</v>
      </c>
      <c r="L282" s="8">
        <v>24911</v>
      </c>
      <c r="M282" s="8">
        <v>24989</v>
      </c>
      <c r="N282" s="8">
        <v>25072</v>
      </c>
      <c r="O282" s="8">
        <v>25423</v>
      </c>
      <c r="P282" s="8">
        <v>25184</v>
      </c>
      <c r="Q282" s="8">
        <v>24009</v>
      </c>
      <c r="R282" s="8">
        <v>23734</v>
      </c>
      <c r="S282" s="8">
        <v>23734</v>
      </c>
      <c r="T282" s="8">
        <v>23864</v>
      </c>
      <c r="U282" s="8">
        <v>22906</v>
      </c>
      <c r="V282" s="8">
        <v>23043</v>
      </c>
      <c r="W282" s="8">
        <v>22962</v>
      </c>
      <c r="X282" s="8">
        <v>22441</v>
      </c>
      <c r="Y282" s="8">
        <v>22210</v>
      </c>
      <c r="Z282" s="8">
        <v>22091</v>
      </c>
      <c r="AA282" s="8">
        <v>21889</v>
      </c>
      <c r="AB282" s="8">
        <v>21746</v>
      </c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spans="1:47" ht="14.4">
      <c r="A283" s="3">
        <f>LOOKUP(D283,'AMFI DATA_2023H2'!F:L,'AMFI DATA_2023H2'!L:L)</f>
        <v>280</v>
      </c>
      <c r="B283" s="4" t="s">
        <v>849</v>
      </c>
      <c r="C283" s="4" t="s">
        <v>850</v>
      </c>
      <c r="D283" s="5" t="s">
        <v>851</v>
      </c>
      <c r="E283" s="5">
        <v>9421.4699999999993</v>
      </c>
      <c r="F283" s="6">
        <f>LOOKUP(D283,'AMFI DATA_2023H2'!F:J,'AMFI DATA_2023H2'!J:J)</f>
        <v>18778.194949999997</v>
      </c>
      <c r="G283" s="7">
        <f t="shared" si="1"/>
        <v>-1</v>
      </c>
      <c r="H283" s="8"/>
      <c r="I283" s="8">
        <v>21717</v>
      </c>
      <c r="J283" s="8">
        <v>21522</v>
      </c>
      <c r="K283" s="8">
        <v>21948</v>
      </c>
      <c r="L283" s="8">
        <v>21990</v>
      </c>
      <c r="M283" s="8">
        <v>21470</v>
      </c>
      <c r="N283" s="8">
        <v>21332</v>
      </c>
      <c r="O283" s="8">
        <v>22101</v>
      </c>
      <c r="P283" s="8">
        <v>22648</v>
      </c>
      <c r="Q283" s="8">
        <v>23306</v>
      </c>
      <c r="R283" s="8">
        <v>23824</v>
      </c>
      <c r="S283" s="8">
        <v>23355</v>
      </c>
      <c r="T283" s="8">
        <v>23636</v>
      </c>
      <c r="U283" s="8">
        <v>23537</v>
      </c>
      <c r="V283" s="8">
        <v>24175</v>
      </c>
      <c r="W283" s="8">
        <v>24335</v>
      </c>
      <c r="X283" s="8">
        <v>24264</v>
      </c>
      <c r="Y283" s="8">
        <v>24119</v>
      </c>
      <c r="Z283" s="8">
        <v>23261</v>
      </c>
      <c r="AA283" s="8">
        <v>22587</v>
      </c>
      <c r="AB283" s="8">
        <v>22726</v>
      </c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spans="1:47" ht="14.4">
      <c r="A284" s="3">
        <f>LOOKUP(D284,'AMFI DATA_2023H2'!F:L,'AMFI DATA_2023H2'!L:L)</f>
        <v>281</v>
      </c>
      <c r="B284" s="4" t="s">
        <v>852</v>
      </c>
      <c r="C284" s="4" t="s">
        <v>853</v>
      </c>
      <c r="D284" s="5" t="s">
        <v>854</v>
      </c>
      <c r="E284" s="5">
        <v>10521.55</v>
      </c>
      <c r="F284" s="6">
        <f>LOOKUP(D284,'AMFI DATA_2023H2'!F:J,'AMFI DATA_2023H2'!J:J)</f>
        <v>18685.420699999999</v>
      </c>
      <c r="G284" s="7">
        <f t="shared" si="1"/>
        <v>-1</v>
      </c>
      <c r="H284" s="8"/>
      <c r="I284" s="8">
        <v>28107</v>
      </c>
      <c r="J284" s="8">
        <v>27658</v>
      </c>
      <c r="K284" s="8">
        <v>28011</v>
      </c>
      <c r="L284" s="8">
        <v>27941</v>
      </c>
      <c r="M284" s="8">
        <v>32528</v>
      </c>
      <c r="N284" s="8">
        <v>31863</v>
      </c>
      <c r="O284" s="8">
        <v>31798</v>
      </c>
      <c r="P284" s="8">
        <v>31566</v>
      </c>
      <c r="Q284" s="8">
        <v>31676</v>
      </c>
      <c r="R284" s="8">
        <v>31940</v>
      </c>
      <c r="S284" s="8">
        <v>31443</v>
      </c>
      <c r="T284" s="8">
        <v>30071</v>
      </c>
      <c r="U284" s="8">
        <v>29210</v>
      </c>
      <c r="V284" s="8">
        <v>29684</v>
      </c>
      <c r="W284" s="8">
        <v>30091</v>
      </c>
      <c r="X284" s="8">
        <v>29294</v>
      </c>
      <c r="Y284" s="8">
        <v>28700</v>
      </c>
      <c r="Z284" s="8">
        <v>27880</v>
      </c>
      <c r="AA284" s="8">
        <v>27627</v>
      </c>
      <c r="AB284" s="8">
        <v>27637</v>
      </c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</row>
    <row r="285" spans="1:47" ht="14.4">
      <c r="A285" s="3">
        <f>LOOKUP(D285,'AMFI DATA_2023H2'!F:L,'AMFI DATA_2023H2'!L:L)</f>
        <v>282</v>
      </c>
      <c r="B285" s="4" t="s">
        <v>855</v>
      </c>
      <c r="C285" s="4" t="s">
        <v>856</v>
      </c>
      <c r="D285" s="5" t="s">
        <v>857</v>
      </c>
      <c r="E285" s="5">
        <v>15563.82</v>
      </c>
      <c r="F285" s="6">
        <f>LOOKUP(D285,'AMFI DATA_2023H2'!F:J,'AMFI DATA_2023H2'!J:J)</f>
        <v>18561.374449999999</v>
      </c>
      <c r="G285" s="7">
        <f t="shared" si="1"/>
        <v>-1</v>
      </c>
      <c r="H285" s="8"/>
      <c r="I285" s="8">
        <v>18627</v>
      </c>
      <c r="J285" s="8">
        <v>18729</v>
      </c>
      <c r="K285" s="8">
        <v>18680</v>
      </c>
      <c r="L285" s="8">
        <v>18646</v>
      </c>
      <c r="M285" s="8">
        <v>18591</v>
      </c>
      <c r="N285" s="8">
        <v>18661</v>
      </c>
      <c r="O285" s="8">
        <v>18621</v>
      </c>
      <c r="P285" s="8">
        <v>18304</v>
      </c>
      <c r="Q285" s="8">
        <v>18255</v>
      </c>
      <c r="R285" s="8">
        <v>18020</v>
      </c>
      <c r="S285" s="8">
        <v>18393</v>
      </c>
      <c r="T285" s="8">
        <v>18488</v>
      </c>
      <c r="U285" s="8">
        <v>18521</v>
      </c>
      <c r="V285" s="8">
        <v>18568</v>
      </c>
      <c r="W285" s="8">
        <v>18818</v>
      </c>
      <c r="X285" s="8">
        <v>17855</v>
      </c>
      <c r="Y285" s="8">
        <v>18073</v>
      </c>
      <c r="Z285" s="8">
        <v>17891</v>
      </c>
      <c r="AA285" s="8">
        <v>17980</v>
      </c>
      <c r="AB285" s="8">
        <v>18137</v>
      </c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spans="1:47" ht="14.4">
      <c r="A286" s="3">
        <f>LOOKUP(D286,'AMFI DATA_2023H2'!F:L,'AMFI DATA_2023H2'!L:L)</f>
        <v>283</v>
      </c>
      <c r="B286" s="4" t="s">
        <v>858</v>
      </c>
      <c r="C286" s="4" t="s">
        <v>859</v>
      </c>
      <c r="D286" s="5" t="s">
        <v>860</v>
      </c>
      <c r="E286" s="5">
        <v>19367.240000000002</v>
      </c>
      <c r="F286" s="6">
        <f>LOOKUP(D286,'AMFI DATA_2023H2'!F:J,'AMFI DATA_2023H2'!J:J)</f>
        <v>18498.65165</v>
      </c>
      <c r="G286" s="7">
        <f t="shared" si="1"/>
        <v>-1</v>
      </c>
      <c r="H286" s="8"/>
      <c r="I286" s="8">
        <v>17627</v>
      </c>
      <c r="J286" s="8">
        <v>17654</v>
      </c>
      <c r="K286" s="8">
        <v>17638</v>
      </c>
      <c r="L286" s="8">
        <v>17844</v>
      </c>
      <c r="M286" s="8">
        <v>17707</v>
      </c>
      <c r="N286" s="8">
        <v>17586</v>
      </c>
      <c r="O286" s="8">
        <v>17597</v>
      </c>
      <c r="P286" s="8">
        <v>17617</v>
      </c>
      <c r="Q286" s="8">
        <v>17786</v>
      </c>
      <c r="R286" s="8">
        <v>17754</v>
      </c>
      <c r="S286" s="8">
        <v>17915</v>
      </c>
      <c r="T286" s="8">
        <v>17889</v>
      </c>
      <c r="U286" s="8">
        <v>18067</v>
      </c>
      <c r="V286" s="8">
        <v>18128</v>
      </c>
      <c r="W286" s="8">
        <v>17987</v>
      </c>
      <c r="X286" s="8">
        <v>17833</v>
      </c>
      <c r="Y286" s="8">
        <v>18013</v>
      </c>
      <c r="Z286" s="8">
        <v>18074</v>
      </c>
      <c r="AA286" s="8">
        <v>17823</v>
      </c>
      <c r="AB286" s="8">
        <v>17623</v>
      </c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</row>
    <row r="287" spans="1:47" ht="14.4">
      <c r="A287" s="3">
        <f>LOOKUP(D287,'AMFI DATA_2023H2'!F:L,'AMFI DATA_2023H2'!L:L)</f>
        <v>284</v>
      </c>
      <c r="B287" s="4" t="s">
        <v>861</v>
      </c>
      <c r="C287" s="4" t="s">
        <v>862</v>
      </c>
      <c r="D287" s="5" t="s">
        <v>863</v>
      </c>
      <c r="E287" s="5">
        <v>16254.6</v>
      </c>
      <c r="F287" s="6">
        <f>LOOKUP(D287,'AMFI DATA_2023H2'!F:J,'AMFI DATA_2023H2'!J:J)</f>
        <v>18267.520400000001</v>
      </c>
      <c r="G287" s="7">
        <f t="shared" si="1"/>
        <v>-1</v>
      </c>
      <c r="H287" s="8"/>
      <c r="I287" s="8">
        <v>23259</v>
      </c>
      <c r="J287" s="8">
        <v>23315</v>
      </c>
      <c r="K287" s="8">
        <v>22642</v>
      </c>
      <c r="L287" s="8">
        <v>23192</v>
      </c>
      <c r="M287" s="8">
        <v>23671</v>
      </c>
      <c r="N287" s="8">
        <v>24206</v>
      </c>
      <c r="O287" s="8">
        <v>23411</v>
      </c>
      <c r="P287" s="8">
        <v>23875</v>
      </c>
      <c r="Q287" s="8">
        <v>25302</v>
      </c>
      <c r="R287" s="8">
        <v>24650</v>
      </c>
      <c r="S287" s="8">
        <v>20843</v>
      </c>
      <c r="T287" s="8">
        <v>19518</v>
      </c>
      <c r="U287" s="8">
        <v>19324</v>
      </c>
      <c r="V287" s="8">
        <v>19059</v>
      </c>
      <c r="W287" s="8">
        <v>18636</v>
      </c>
      <c r="X287" s="8">
        <v>18488</v>
      </c>
      <c r="Y287" s="8">
        <v>18294</v>
      </c>
      <c r="Z287" s="8">
        <v>18412</v>
      </c>
      <c r="AA287" s="8">
        <v>18381</v>
      </c>
      <c r="AB287" s="8">
        <v>18422</v>
      </c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</row>
    <row r="288" spans="1:47" ht="14.4">
      <c r="A288" s="3">
        <f>LOOKUP(D288,'AMFI DATA_2023H2'!F:L,'AMFI DATA_2023H2'!L:L)</f>
        <v>285</v>
      </c>
      <c r="B288" s="4" t="s">
        <v>864</v>
      </c>
      <c r="C288" s="4" t="s">
        <v>865</v>
      </c>
      <c r="D288" s="5" t="s">
        <v>866</v>
      </c>
      <c r="E288" s="5">
        <v>11081.5</v>
      </c>
      <c r="F288" s="6">
        <f>LOOKUP(D288,'AMFI DATA_2023H2'!F:J,'AMFI DATA_2023H2'!J:J)</f>
        <v>18249.4293</v>
      </c>
      <c r="G288" s="7">
        <f t="shared" si="1"/>
        <v>-1</v>
      </c>
      <c r="H288" s="8"/>
      <c r="I288" s="8">
        <v>22761</v>
      </c>
      <c r="J288" s="8">
        <v>22234</v>
      </c>
      <c r="K288" s="8">
        <v>21499</v>
      </c>
      <c r="L288" s="8">
        <v>22030</v>
      </c>
      <c r="M288" s="8">
        <v>20690</v>
      </c>
      <c r="N288" s="8">
        <v>20760</v>
      </c>
      <c r="O288" s="8">
        <v>20185</v>
      </c>
      <c r="P288" s="8">
        <v>20275</v>
      </c>
      <c r="Q288" s="8">
        <v>20440</v>
      </c>
      <c r="R288" s="8">
        <v>20484</v>
      </c>
      <c r="S288" s="8">
        <v>20786</v>
      </c>
      <c r="T288" s="8">
        <v>20682</v>
      </c>
      <c r="U288" s="8">
        <v>20562</v>
      </c>
      <c r="V288" s="8">
        <v>20254</v>
      </c>
      <c r="W288" s="8">
        <v>20408</v>
      </c>
      <c r="X288" s="8">
        <v>20305</v>
      </c>
      <c r="Y288" s="8">
        <v>20102</v>
      </c>
      <c r="Z288" s="8">
        <v>20407</v>
      </c>
      <c r="AA288" s="8">
        <v>20469</v>
      </c>
      <c r="AB288" s="8">
        <v>20134</v>
      </c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ht="14.4">
      <c r="A289" s="3">
        <f>LOOKUP(D289,'AMFI DATA_2023H2'!F:L,'AMFI DATA_2023H2'!L:L)</f>
        <v>286</v>
      </c>
      <c r="B289" s="4" t="s">
        <v>867</v>
      </c>
      <c r="C289" s="4" t="s">
        <v>868</v>
      </c>
      <c r="D289" s="5" t="s">
        <v>869</v>
      </c>
      <c r="E289" s="5">
        <v>19410.27</v>
      </c>
      <c r="F289" s="6">
        <f>LOOKUP(D289,'AMFI DATA_2023H2'!F:J,'AMFI DATA_2023H2'!J:J)</f>
        <v>18213.717700000001</v>
      </c>
      <c r="G289" s="7">
        <f t="shared" si="1"/>
        <v>-1</v>
      </c>
      <c r="H289" s="8"/>
      <c r="I289" s="8">
        <v>24605</v>
      </c>
      <c r="J289" s="8">
        <v>22171</v>
      </c>
      <c r="K289" s="8">
        <v>21134</v>
      </c>
      <c r="L289" s="8">
        <v>21756</v>
      </c>
      <c r="M289" s="8">
        <v>22189</v>
      </c>
      <c r="N289" s="8">
        <v>22350</v>
      </c>
      <c r="O289" s="8">
        <v>22475</v>
      </c>
      <c r="P289" s="8">
        <v>21881</v>
      </c>
      <c r="Q289" s="8">
        <v>21895</v>
      </c>
      <c r="R289" s="8">
        <v>21694</v>
      </c>
      <c r="S289" s="8">
        <v>22821</v>
      </c>
      <c r="T289" s="8">
        <v>23360</v>
      </c>
      <c r="U289" s="8">
        <v>23655</v>
      </c>
      <c r="V289" s="8">
        <v>23768</v>
      </c>
      <c r="W289" s="8">
        <v>23621</v>
      </c>
      <c r="X289" s="8">
        <v>23554</v>
      </c>
      <c r="Y289" s="8">
        <v>23169</v>
      </c>
      <c r="Z289" s="8">
        <v>23409</v>
      </c>
      <c r="AA289" s="8">
        <v>22964</v>
      </c>
      <c r="AB289" s="8">
        <v>21698</v>
      </c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spans="1:47" ht="14.4">
      <c r="A290" s="3">
        <f>LOOKUP(D290,'AMFI DATA_2023H2'!F:L,'AMFI DATA_2023H2'!L:L)</f>
        <v>287</v>
      </c>
      <c r="B290" s="4" t="s">
        <v>870</v>
      </c>
      <c r="C290" s="4" t="s">
        <v>871</v>
      </c>
      <c r="D290" s="5" t="s">
        <v>872</v>
      </c>
      <c r="E290" s="5">
        <v>15244.02</v>
      </c>
      <c r="F290" s="6">
        <f>LOOKUP(D290,'AMFI DATA_2023H2'!F:J,'AMFI DATA_2023H2'!J:J)</f>
        <v>18167.278299999998</v>
      </c>
      <c r="G290" s="7">
        <f t="shared" si="1"/>
        <v>-1</v>
      </c>
      <c r="H290" s="8"/>
      <c r="I290" s="8">
        <v>21818</v>
      </c>
      <c r="J290" s="8">
        <v>21554</v>
      </c>
      <c r="K290" s="8">
        <v>21661</v>
      </c>
      <c r="L290" s="8">
        <v>22195</v>
      </c>
      <c r="M290" s="8">
        <v>22020</v>
      </c>
      <c r="N290" s="8">
        <v>22182</v>
      </c>
      <c r="O290" s="8">
        <v>22203</v>
      </c>
      <c r="P290" s="8">
        <v>22637</v>
      </c>
      <c r="Q290" s="8">
        <v>22422</v>
      </c>
      <c r="R290" s="8">
        <v>22191</v>
      </c>
      <c r="S290" s="8">
        <v>22466</v>
      </c>
      <c r="T290" s="8">
        <v>22389</v>
      </c>
      <c r="U290" s="8">
        <v>22178</v>
      </c>
      <c r="V290" s="8">
        <v>22143</v>
      </c>
      <c r="W290" s="8">
        <v>22556</v>
      </c>
      <c r="X290" s="8">
        <v>22222</v>
      </c>
      <c r="Y290" s="8">
        <v>22062</v>
      </c>
      <c r="Z290" s="8">
        <v>22055</v>
      </c>
      <c r="AA290" s="8">
        <v>21592</v>
      </c>
      <c r="AB290" s="8">
        <v>21427</v>
      </c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</row>
    <row r="291" spans="1:47" ht="14.4">
      <c r="A291" s="3">
        <f>LOOKUP(D291,'AMFI DATA_2023H2'!F:L,'AMFI DATA_2023H2'!L:L)</f>
        <v>288</v>
      </c>
      <c r="B291" s="4" t="s">
        <v>873</v>
      </c>
      <c r="C291" s="4" t="s">
        <v>874</v>
      </c>
      <c r="D291" s="5" t="s">
        <v>875</v>
      </c>
      <c r="E291" s="5">
        <v>17573.41</v>
      </c>
      <c r="F291" s="6">
        <f>LOOKUP(D291,'AMFI DATA_2023H2'!F:J,'AMFI DATA_2023H2'!J:J)</f>
        <v>18058.416850000001</v>
      </c>
      <c r="G291" s="7">
        <f t="shared" si="1"/>
        <v>-1</v>
      </c>
      <c r="H291" s="8"/>
      <c r="I291" s="8">
        <v>19553</v>
      </c>
      <c r="J291" s="8">
        <v>19445</v>
      </c>
      <c r="K291" s="8">
        <v>19477</v>
      </c>
      <c r="L291" s="8">
        <v>19525</v>
      </c>
      <c r="M291" s="8">
        <v>19919</v>
      </c>
      <c r="N291" s="8">
        <v>19890</v>
      </c>
      <c r="O291" s="8">
        <v>19799</v>
      </c>
      <c r="P291" s="8">
        <v>20129</v>
      </c>
      <c r="Q291" s="8">
        <v>19994</v>
      </c>
      <c r="R291" s="8">
        <v>20061</v>
      </c>
      <c r="S291" s="8">
        <v>20083</v>
      </c>
      <c r="T291" s="8">
        <v>20109</v>
      </c>
      <c r="U291" s="8">
        <v>20022</v>
      </c>
      <c r="V291" s="8">
        <v>19653</v>
      </c>
      <c r="W291" s="8">
        <v>19449</v>
      </c>
      <c r="X291" s="8">
        <v>19528</v>
      </c>
      <c r="Y291" s="8">
        <v>19478</v>
      </c>
      <c r="Z291" s="8">
        <v>19321</v>
      </c>
      <c r="AA291" s="8">
        <v>19384</v>
      </c>
      <c r="AB291" s="8">
        <v>19307</v>
      </c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</row>
    <row r="292" spans="1:47" ht="14.4">
      <c r="A292" s="3">
        <f>LOOKUP(D292,'AMFI DATA_2023H2'!F:L,'AMFI DATA_2023H2'!L:L)</f>
        <v>289</v>
      </c>
      <c r="B292" s="4" t="s">
        <v>876</v>
      </c>
      <c r="C292" s="4" t="s">
        <v>877</v>
      </c>
      <c r="D292" s="5" t="s">
        <v>878</v>
      </c>
      <c r="E292" s="5">
        <v>10407.950000000001</v>
      </c>
      <c r="F292" s="6">
        <f>LOOKUP(D292,'AMFI DATA_2023H2'!F:J,'AMFI DATA_2023H2'!J:J)</f>
        <v>17789.328150000001</v>
      </c>
      <c r="G292" s="7">
        <f t="shared" si="1"/>
        <v>-1</v>
      </c>
      <c r="H292" s="8"/>
      <c r="I292" s="8">
        <v>31047</v>
      </c>
      <c r="J292" s="8">
        <v>31126</v>
      </c>
      <c r="K292" s="8">
        <v>29996</v>
      </c>
      <c r="L292" s="8">
        <v>30504</v>
      </c>
      <c r="M292" s="8">
        <v>29672</v>
      </c>
      <c r="N292" s="8">
        <v>27919</v>
      </c>
      <c r="O292" s="8">
        <v>28173</v>
      </c>
      <c r="P292" s="8">
        <v>23485</v>
      </c>
      <c r="Q292" s="8">
        <v>23485</v>
      </c>
      <c r="R292" s="8">
        <v>23467</v>
      </c>
      <c r="S292" s="8">
        <v>23511</v>
      </c>
      <c r="T292" s="8">
        <v>23529</v>
      </c>
      <c r="U292" s="8">
        <v>23248</v>
      </c>
      <c r="V292" s="8">
        <v>22705</v>
      </c>
      <c r="W292" s="8">
        <v>23257</v>
      </c>
      <c r="X292" s="8">
        <v>23353</v>
      </c>
      <c r="Y292" s="8">
        <v>23336</v>
      </c>
      <c r="Z292" s="8">
        <v>22968</v>
      </c>
      <c r="AA292" s="8">
        <v>22731</v>
      </c>
      <c r="AB292" s="8">
        <v>22775</v>
      </c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spans="1:47" ht="14.4">
      <c r="A293" s="3">
        <f>LOOKUP(D293,'AMFI DATA_2023H2'!F:L,'AMFI DATA_2023H2'!L:L)</f>
        <v>290</v>
      </c>
      <c r="B293" s="4" t="s">
        <v>879</v>
      </c>
      <c r="C293" s="4" t="s">
        <v>880</v>
      </c>
      <c r="D293" s="5" t="s">
        <v>881</v>
      </c>
      <c r="E293" s="5">
        <v>15027.96</v>
      </c>
      <c r="F293" s="6">
        <f>LOOKUP(D293,'AMFI DATA_2023H2'!F:J,'AMFI DATA_2023H2'!J:J)</f>
        <v>17525.97755</v>
      </c>
      <c r="G293" s="7">
        <f t="shared" si="1"/>
        <v>-1</v>
      </c>
      <c r="H293" s="8"/>
      <c r="I293" s="8">
        <v>24547</v>
      </c>
      <c r="J293" s="8">
        <v>24106</v>
      </c>
      <c r="K293" s="8">
        <v>24528</v>
      </c>
      <c r="L293" s="8">
        <v>25511</v>
      </c>
      <c r="M293" s="8">
        <v>24850</v>
      </c>
      <c r="N293" s="8">
        <v>24143</v>
      </c>
      <c r="O293" s="8">
        <v>23959</v>
      </c>
      <c r="P293" s="8">
        <v>24014</v>
      </c>
      <c r="Q293" s="8">
        <v>23582</v>
      </c>
      <c r="R293" s="8">
        <v>22747</v>
      </c>
      <c r="S293" s="8">
        <v>23527</v>
      </c>
      <c r="T293" s="8">
        <v>23968</v>
      </c>
      <c r="U293" s="8">
        <v>23849</v>
      </c>
      <c r="V293" s="8">
        <v>25538</v>
      </c>
      <c r="W293" s="8">
        <v>24997</v>
      </c>
      <c r="X293" s="8">
        <v>24247</v>
      </c>
      <c r="Y293" s="8">
        <v>23685</v>
      </c>
      <c r="Z293" s="8">
        <v>21645</v>
      </c>
      <c r="AA293" s="8">
        <v>21173</v>
      </c>
      <c r="AB293" s="8">
        <v>21140</v>
      </c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spans="1:47" ht="14.4">
      <c r="A294" s="3">
        <f>LOOKUP(D294,'AMFI DATA_2023H2'!F:L,'AMFI DATA_2023H2'!L:L)</f>
        <v>291</v>
      </c>
      <c r="B294" s="4" t="s">
        <v>882</v>
      </c>
      <c r="C294" s="4" t="s">
        <v>883</v>
      </c>
      <c r="D294" s="5" t="s">
        <v>884</v>
      </c>
      <c r="E294" s="5">
        <v>15736.82</v>
      </c>
      <c r="F294" s="6">
        <f>LOOKUP(D294,'AMFI DATA_2023H2'!F:J,'AMFI DATA_2023H2'!J:J)</f>
        <v>17522.569650000001</v>
      </c>
      <c r="G294" s="7">
        <f t="shared" si="1"/>
        <v>-1</v>
      </c>
      <c r="H294" s="8"/>
      <c r="I294" s="8">
        <v>16164</v>
      </c>
      <c r="J294" s="8">
        <v>15243</v>
      </c>
      <c r="K294" s="8">
        <v>15924</v>
      </c>
      <c r="L294" s="8">
        <v>16229</v>
      </c>
      <c r="M294" s="8">
        <v>16036</v>
      </c>
      <c r="N294" s="8">
        <v>15880</v>
      </c>
      <c r="O294" s="8">
        <v>15913</v>
      </c>
      <c r="P294" s="8">
        <v>15785</v>
      </c>
      <c r="Q294" s="8">
        <v>15926</v>
      </c>
      <c r="R294" s="8">
        <v>16394</v>
      </c>
      <c r="S294" s="8">
        <v>16789</v>
      </c>
      <c r="T294" s="8">
        <v>16711</v>
      </c>
      <c r="U294" s="8">
        <v>16627</v>
      </c>
      <c r="V294" s="8">
        <v>16579</v>
      </c>
      <c r="W294" s="8">
        <v>16620</v>
      </c>
      <c r="X294" s="8">
        <v>16664</v>
      </c>
      <c r="Y294" s="8">
        <v>17058</v>
      </c>
      <c r="Z294" s="8">
        <v>16991</v>
      </c>
      <c r="AA294" s="8">
        <v>16858</v>
      </c>
      <c r="AB294" s="8">
        <v>16604</v>
      </c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spans="1:47" ht="14.4">
      <c r="A295" s="3">
        <f>LOOKUP(D295,'AMFI DATA_2023H2'!F:L,'AMFI DATA_2023H2'!L:L)</f>
        <v>292</v>
      </c>
      <c r="B295" s="4" t="s">
        <v>885</v>
      </c>
      <c r="C295" s="4" t="s">
        <v>886</v>
      </c>
      <c r="D295" s="5" t="s">
        <v>887</v>
      </c>
      <c r="E295" s="5">
        <v>11854.88</v>
      </c>
      <c r="F295" s="6">
        <f>LOOKUP(D295,'AMFI DATA_2023H2'!F:J,'AMFI DATA_2023H2'!J:J)</f>
        <v>17362.437177861615</v>
      </c>
      <c r="G295" s="7">
        <f t="shared" si="1"/>
        <v>-1</v>
      </c>
      <c r="H295" s="8"/>
      <c r="I295" s="8">
        <v>22736</v>
      </c>
      <c r="J295" s="8">
        <v>22274</v>
      </c>
      <c r="K295" s="8">
        <v>22791</v>
      </c>
      <c r="L295" s="8">
        <v>23113</v>
      </c>
      <c r="M295" s="8">
        <v>22806</v>
      </c>
      <c r="N295" s="8">
        <v>22551</v>
      </c>
      <c r="O295" s="8">
        <v>22718</v>
      </c>
      <c r="P295" s="8">
        <v>21812</v>
      </c>
      <c r="Q295" s="8">
        <v>22396</v>
      </c>
      <c r="R295" s="8">
        <v>22523</v>
      </c>
      <c r="S295" s="8">
        <v>23031</v>
      </c>
      <c r="T295" s="8">
        <v>23295</v>
      </c>
      <c r="U295" s="8">
        <v>23171</v>
      </c>
      <c r="V295" s="8">
        <v>23769</v>
      </c>
      <c r="W295" s="8">
        <v>23815</v>
      </c>
      <c r="X295" s="8">
        <v>22399</v>
      </c>
      <c r="Y295" s="8">
        <v>22775</v>
      </c>
      <c r="Z295" s="8">
        <v>22912</v>
      </c>
      <c r="AA295" s="8">
        <v>23198</v>
      </c>
      <c r="AB295" s="8">
        <v>22952</v>
      </c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ht="14.4">
      <c r="A296" s="3">
        <f>LOOKUP(D296,'AMFI DATA_2023H2'!F:L,'AMFI DATA_2023H2'!L:L)</f>
        <v>293</v>
      </c>
      <c r="B296" s="4" t="s">
        <v>888</v>
      </c>
      <c r="C296" s="4" t="s">
        <v>889</v>
      </c>
      <c r="D296" s="5" t="s">
        <v>890</v>
      </c>
      <c r="E296" s="5">
        <v>13326.47</v>
      </c>
      <c r="F296" s="6">
        <f>LOOKUP(D296,'AMFI DATA_2023H2'!F:J,'AMFI DATA_2023H2'!J:J)</f>
        <v>17236.2173</v>
      </c>
      <c r="G296" s="7">
        <f t="shared" si="1"/>
        <v>-1</v>
      </c>
      <c r="H296" s="8"/>
      <c r="I296" s="8">
        <v>17485</v>
      </c>
      <c r="J296" s="8">
        <v>17467</v>
      </c>
      <c r="K296" s="8">
        <v>17321</v>
      </c>
      <c r="L296" s="8">
        <v>17729</v>
      </c>
      <c r="M296" s="8">
        <v>18161</v>
      </c>
      <c r="N296" s="8">
        <v>18318</v>
      </c>
      <c r="O296" s="8">
        <v>18169</v>
      </c>
      <c r="P296" s="8">
        <v>18308</v>
      </c>
      <c r="Q296" s="8">
        <v>18650</v>
      </c>
      <c r="R296" s="8">
        <v>18543</v>
      </c>
      <c r="S296" s="8">
        <v>17907</v>
      </c>
      <c r="T296" s="8">
        <v>17946</v>
      </c>
      <c r="U296" s="8">
        <v>17735</v>
      </c>
      <c r="V296" s="8">
        <v>17862</v>
      </c>
      <c r="W296" s="8">
        <v>17860</v>
      </c>
      <c r="X296" s="8">
        <v>17931</v>
      </c>
      <c r="Y296" s="8">
        <v>17806</v>
      </c>
      <c r="Z296" s="8">
        <v>17995</v>
      </c>
      <c r="AA296" s="8">
        <v>17666</v>
      </c>
      <c r="AB296" s="8">
        <v>17985</v>
      </c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spans="1:47" ht="14.4">
      <c r="A297" s="3">
        <f>LOOKUP(D297,'AMFI DATA_2023H2'!F:L,'AMFI DATA_2023H2'!L:L)</f>
        <v>294</v>
      </c>
      <c r="B297" s="4" t="s">
        <v>891</v>
      </c>
      <c r="C297" s="4" t="s">
        <v>892</v>
      </c>
      <c r="D297" s="5" t="s">
        <v>893</v>
      </c>
      <c r="E297" s="5">
        <v>13588.19</v>
      </c>
      <c r="F297" s="6">
        <f>LOOKUP(D297,'AMFI DATA_2023H2'!F:J,'AMFI DATA_2023H2'!J:J)</f>
        <v>17152.185949999999</v>
      </c>
      <c r="G297" s="7">
        <f t="shared" si="1"/>
        <v>-1</v>
      </c>
      <c r="H297" s="8"/>
      <c r="I297" s="8">
        <v>22074</v>
      </c>
      <c r="J297" s="8">
        <v>21574</v>
      </c>
      <c r="K297" s="8">
        <v>21805</v>
      </c>
      <c r="L297" s="8">
        <v>21596</v>
      </c>
      <c r="M297" s="8">
        <v>21844</v>
      </c>
      <c r="N297" s="8">
        <v>21019</v>
      </c>
      <c r="O297" s="8">
        <v>20479</v>
      </c>
      <c r="P297" s="8">
        <v>19944</v>
      </c>
      <c r="Q297" s="8">
        <v>19873</v>
      </c>
      <c r="R297" s="8">
        <v>19587</v>
      </c>
      <c r="S297" s="8">
        <v>19410</v>
      </c>
      <c r="T297" s="8">
        <v>19238</v>
      </c>
      <c r="U297" s="8">
        <v>19367</v>
      </c>
      <c r="V297" s="8">
        <v>19556</v>
      </c>
      <c r="W297" s="8">
        <v>19509</v>
      </c>
      <c r="X297" s="8">
        <v>19429</v>
      </c>
      <c r="Y297" s="8">
        <v>19483</v>
      </c>
      <c r="Z297" s="8">
        <v>19534</v>
      </c>
      <c r="AA297" s="8">
        <v>19494</v>
      </c>
      <c r="AB297" s="8">
        <v>19559</v>
      </c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ht="14.4">
      <c r="A298" s="3">
        <f>LOOKUP(D298,'AMFI DATA_2023H2'!F:L,'AMFI DATA_2023H2'!L:L)</f>
        <v>295</v>
      </c>
      <c r="B298" s="4" t="s">
        <v>894</v>
      </c>
      <c r="C298" s="4" t="s">
        <v>895</v>
      </c>
      <c r="D298" s="5" t="s">
        <v>896</v>
      </c>
      <c r="E298" s="5">
        <v>1262.47</v>
      </c>
      <c r="F298" s="6">
        <f>LOOKUP(D298,'AMFI DATA_2023H2'!F:J,'AMFI DATA_2023H2'!J:J)</f>
        <v>17103.657599999999</v>
      </c>
      <c r="G298" s="7">
        <f t="shared" si="1"/>
        <v>-1</v>
      </c>
      <c r="H298" s="8"/>
      <c r="I298" s="8">
        <v>16371</v>
      </c>
      <c r="J298" s="8">
        <v>16447</v>
      </c>
      <c r="K298" s="8">
        <v>16607</v>
      </c>
      <c r="L298" s="8">
        <v>16892</v>
      </c>
      <c r="M298" s="8">
        <v>17086</v>
      </c>
      <c r="N298" s="8">
        <v>16714</v>
      </c>
      <c r="O298" s="8">
        <v>16900</v>
      </c>
      <c r="P298" s="8">
        <v>17665</v>
      </c>
      <c r="Q298" s="8">
        <v>17858</v>
      </c>
      <c r="R298" s="8">
        <v>17658</v>
      </c>
      <c r="S298" s="8">
        <v>17774</v>
      </c>
      <c r="T298" s="8">
        <v>17932</v>
      </c>
      <c r="U298" s="8">
        <v>17379</v>
      </c>
      <c r="V298" s="8">
        <v>17578</v>
      </c>
      <c r="W298" s="8">
        <v>17781</v>
      </c>
      <c r="X298" s="8">
        <v>17820</v>
      </c>
      <c r="Y298" s="8">
        <v>17871</v>
      </c>
      <c r="Z298" s="8">
        <v>17926</v>
      </c>
      <c r="AA298" s="8">
        <v>17823</v>
      </c>
      <c r="AB298" s="8">
        <v>18264</v>
      </c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</row>
    <row r="299" spans="1:47" ht="14.4">
      <c r="A299" s="3">
        <f>LOOKUP(D299,'AMFI DATA_2023H2'!F:L,'AMFI DATA_2023H2'!L:L)</f>
        <v>296</v>
      </c>
      <c r="B299" s="4" t="s">
        <v>897</v>
      </c>
      <c r="C299" s="4" t="s">
        <v>898</v>
      </c>
      <c r="D299" s="5" t="s">
        <v>899</v>
      </c>
      <c r="E299" s="5">
        <v>13789.15</v>
      </c>
      <c r="F299" s="6">
        <f>LOOKUP(D299,'AMFI DATA_2023H2'!F:J,'AMFI DATA_2023H2'!J:J)</f>
        <v>17069.872800000001</v>
      </c>
      <c r="G299" s="7">
        <f t="shared" si="1"/>
        <v>-1</v>
      </c>
      <c r="H299" s="8"/>
      <c r="I299" s="8">
        <v>19343</v>
      </c>
      <c r="J299" s="8">
        <v>19391</v>
      </c>
      <c r="K299" s="8">
        <v>19156</v>
      </c>
      <c r="L299" s="8">
        <v>18986</v>
      </c>
      <c r="M299" s="8">
        <v>19115</v>
      </c>
      <c r="N299" s="8">
        <v>19488</v>
      </c>
      <c r="O299" s="8">
        <v>19576</v>
      </c>
      <c r="P299" s="8">
        <v>19570</v>
      </c>
      <c r="Q299" s="8">
        <v>19327</v>
      </c>
      <c r="R299" s="8">
        <v>19437</v>
      </c>
      <c r="S299" s="8">
        <v>19428</v>
      </c>
      <c r="T299" s="8">
        <v>19255</v>
      </c>
      <c r="U299" s="8">
        <v>19218</v>
      </c>
      <c r="V299" s="8">
        <v>19126</v>
      </c>
      <c r="W299" s="8">
        <v>18673</v>
      </c>
      <c r="X299" s="8">
        <v>18539</v>
      </c>
      <c r="Y299" s="8">
        <v>18424</v>
      </c>
      <c r="Z299" s="8">
        <v>18426</v>
      </c>
      <c r="AA299" s="8">
        <v>18459</v>
      </c>
      <c r="AB299" s="8">
        <v>18446</v>
      </c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spans="1:47" ht="14.4">
      <c r="A300" s="3">
        <f>LOOKUP(D300,'AMFI DATA_2023H2'!F:L,'AMFI DATA_2023H2'!L:L)</f>
        <v>297</v>
      </c>
      <c r="B300" s="4" t="s">
        <v>900</v>
      </c>
      <c r="C300" s="4" t="s">
        <v>901</v>
      </c>
      <c r="D300" s="5" t="s">
        <v>902</v>
      </c>
      <c r="E300" s="5">
        <v>12170.69</v>
      </c>
      <c r="F300" s="6">
        <f>LOOKUP(D300,'AMFI DATA_2023H2'!F:J,'AMFI DATA_2023H2'!J:J)</f>
        <v>16895.2248</v>
      </c>
      <c r="G300" s="7">
        <f t="shared" si="1"/>
        <v>-1</v>
      </c>
      <c r="H300" s="8"/>
      <c r="I300" s="8">
        <v>21729</v>
      </c>
      <c r="J300" s="8">
        <v>21674</v>
      </c>
      <c r="K300" s="8">
        <v>21851</v>
      </c>
      <c r="L300" s="8">
        <v>21257</v>
      </c>
      <c r="M300" s="8">
        <v>19991</v>
      </c>
      <c r="N300" s="8">
        <v>20190</v>
      </c>
      <c r="O300" s="8">
        <v>20622</v>
      </c>
      <c r="P300" s="8">
        <v>20398</v>
      </c>
      <c r="Q300" s="8">
        <v>20428</v>
      </c>
      <c r="R300" s="8">
        <v>20393</v>
      </c>
      <c r="S300" s="8">
        <v>20860</v>
      </c>
      <c r="T300" s="8">
        <v>20060</v>
      </c>
      <c r="U300" s="8">
        <v>19898</v>
      </c>
      <c r="V300" s="8">
        <v>20158</v>
      </c>
      <c r="W300" s="8">
        <v>20178</v>
      </c>
      <c r="X300" s="8">
        <v>20470</v>
      </c>
      <c r="Y300" s="8">
        <v>20130</v>
      </c>
      <c r="Z300" s="8">
        <v>20080</v>
      </c>
      <c r="AA300" s="8">
        <v>19983</v>
      </c>
      <c r="AB300" s="8">
        <v>19778</v>
      </c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ht="14.4">
      <c r="A301" s="3">
        <f>LOOKUP(D301,'AMFI DATA_2023H2'!F:L,'AMFI DATA_2023H2'!L:L)</f>
        <v>298</v>
      </c>
      <c r="B301" s="4" t="s">
        <v>903</v>
      </c>
      <c r="C301" s="4" t="s">
        <v>904</v>
      </c>
      <c r="D301" s="5" t="s">
        <v>905</v>
      </c>
      <c r="E301" s="5">
        <v>77.19</v>
      </c>
      <c r="F301" s="6">
        <f>LOOKUP(D301,'AMFI DATA_2023H2'!F:J,'AMFI DATA_2023H2'!J:J)</f>
        <v>16766.936450000001</v>
      </c>
      <c r="G301" s="7">
        <f t="shared" si="1"/>
        <v>-1</v>
      </c>
      <c r="H301" s="8"/>
      <c r="I301" s="8">
        <v>18409</v>
      </c>
      <c r="J301" s="8">
        <v>18464</v>
      </c>
      <c r="K301" s="8">
        <v>18589</v>
      </c>
      <c r="L301" s="8">
        <v>18960</v>
      </c>
      <c r="M301" s="8">
        <v>19148</v>
      </c>
      <c r="N301" s="8">
        <v>19112</v>
      </c>
      <c r="O301" s="8">
        <v>18782</v>
      </c>
      <c r="P301" s="8">
        <v>18838</v>
      </c>
      <c r="Q301" s="8">
        <v>18666</v>
      </c>
      <c r="R301" s="8">
        <v>18677</v>
      </c>
      <c r="S301" s="8">
        <v>18234</v>
      </c>
      <c r="T301" s="8">
        <v>18490</v>
      </c>
      <c r="U301" s="8">
        <v>17572</v>
      </c>
      <c r="V301" s="8">
        <v>17118</v>
      </c>
      <c r="W301" s="8">
        <v>16880</v>
      </c>
      <c r="X301" s="8">
        <v>16713</v>
      </c>
      <c r="Y301" s="8">
        <v>16860</v>
      </c>
      <c r="Z301" s="8">
        <v>16532</v>
      </c>
      <c r="AA301" s="8">
        <v>16272</v>
      </c>
      <c r="AB301" s="8">
        <v>16325</v>
      </c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ht="14.4">
      <c r="A302" s="3">
        <f>LOOKUP(D302,'AMFI DATA_2023H2'!F:L,'AMFI DATA_2023H2'!L:L)</f>
        <v>299</v>
      </c>
      <c r="B302" s="4" t="s">
        <v>906</v>
      </c>
      <c r="C302" s="4" t="s">
        <v>907</v>
      </c>
      <c r="D302" s="5" t="s">
        <v>908</v>
      </c>
      <c r="E302" s="5">
        <v>14780.42</v>
      </c>
      <c r="F302" s="6">
        <f>LOOKUP(D302,'AMFI DATA_2023H2'!F:J,'AMFI DATA_2023H2'!J:J)</f>
        <v>16318.828249999999</v>
      </c>
      <c r="G302" s="7">
        <f t="shared" si="1"/>
        <v>-1</v>
      </c>
      <c r="H302" s="8"/>
      <c r="I302" s="8">
        <v>17154</v>
      </c>
      <c r="J302" s="8">
        <v>17241</v>
      </c>
      <c r="K302" s="8">
        <v>17224</v>
      </c>
      <c r="L302" s="8">
        <v>17211</v>
      </c>
      <c r="M302" s="8">
        <v>17031</v>
      </c>
      <c r="N302" s="8">
        <v>16989</v>
      </c>
      <c r="O302" s="8">
        <v>16890</v>
      </c>
      <c r="P302" s="8">
        <v>17086</v>
      </c>
      <c r="Q302" s="8">
        <v>16934</v>
      </c>
      <c r="R302" s="8">
        <v>16891</v>
      </c>
      <c r="S302" s="8">
        <v>17254</v>
      </c>
      <c r="T302" s="8">
        <v>16985</v>
      </c>
      <c r="U302" s="8">
        <v>17113</v>
      </c>
      <c r="V302" s="8">
        <v>17286</v>
      </c>
      <c r="W302" s="8">
        <v>17169</v>
      </c>
      <c r="X302" s="8">
        <v>17235</v>
      </c>
      <c r="Y302" s="8">
        <v>16764</v>
      </c>
      <c r="Z302" s="8">
        <v>16847</v>
      </c>
      <c r="AA302" s="8">
        <v>17037</v>
      </c>
      <c r="AB302" s="8">
        <v>17294</v>
      </c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ht="14.4">
      <c r="A303" s="3">
        <f>LOOKUP(D303,'AMFI DATA_2023H2'!F:L,'AMFI DATA_2023H2'!L:L)</f>
        <v>300</v>
      </c>
      <c r="B303" s="4" t="s">
        <v>909</v>
      </c>
      <c r="C303" s="4" t="s">
        <v>910</v>
      </c>
      <c r="D303" s="5" t="s">
        <v>911</v>
      </c>
      <c r="E303" s="5">
        <v>11259.07</v>
      </c>
      <c r="F303" s="6">
        <f>LOOKUP(D303,'AMFI DATA_2023H2'!F:J,'AMFI DATA_2023H2'!J:J)</f>
        <v>16315.191350000001</v>
      </c>
      <c r="G303" s="7">
        <f t="shared" si="1"/>
        <v>-1</v>
      </c>
      <c r="H303" s="8"/>
      <c r="I303" s="8">
        <v>21603</v>
      </c>
      <c r="J303" s="8">
        <v>21476</v>
      </c>
      <c r="K303" s="8">
        <v>21284</v>
      </c>
      <c r="L303" s="8">
        <v>21452</v>
      </c>
      <c r="M303" s="8">
        <v>21412</v>
      </c>
      <c r="N303" s="8">
        <v>21116</v>
      </c>
      <c r="O303" s="8">
        <v>19937</v>
      </c>
      <c r="P303" s="8">
        <v>19798</v>
      </c>
      <c r="Q303" s="8">
        <v>19798</v>
      </c>
      <c r="R303" s="8">
        <v>19654</v>
      </c>
      <c r="S303" s="8">
        <v>20062</v>
      </c>
      <c r="T303" s="8">
        <v>19774</v>
      </c>
      <c r="U303" s="8">
        <v>19792</v>
      </c>
      <c r="V303" s="8">
        <v>19900</v>
      </c>
      <c r="W303" s="8">
        <v>20273</v>
      </c>
      <c r="X303" s="8">
        <v>20753</v>
      </c>
      <c r="Y303" s="8">
        <v>20465</v>
      </c>
      <c r="Z303" s="8">
        <v>20735</v>
      </c>
      <c r="AA303" s="8">
        <v>20896</v>
      </c>
      <c r="AB303" s="8">
        <v>21029</v>
      </c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</row>
    <row r="304" spans="1:47" ht="14.4">
      <c r="A304" s="3">
        <f>LOOKUP(D304,'AMFI DATA_2023H2'!F:L,'AMFI DATA_2023H2'!L:L)</f>
        <v>301</v>
      </c>
      <c r="B304" s="4" t="s">
        <v>912</v>
      </c>
      <c r="C304" s="4" t="s">
        <v>913</v>
      </c>
      <c r="D304" s="5" t="s">
        <v>914</v>
      </c>
      <c r="E304" s="5">
        <v>13020.26</v>
      </c>
      <c r="F304" s="6">
        <f>LOOKUP(D304,'AMFI DATA_2023H2'!F:J,'AMFI DATA_2023H2'!J:J)</f>
        <v>16274.116849999999</v>
      </c>
      <c r="G304" s="7">
        <f t="shared" si="1"/>
        <v>-1</v>
      </c>
      <c r="H304" s="8"/>
      <c r="I304" s="8">
        <v>14753</v>
      </c>
      <c r="J304" s="8">
        <v>14526</v>
      </c>
      <c r="K304" s="8">
        <v>14844</v>
      </c>
      <c r="L304" s="8">
        <v>14759</v>
      </c>
      <c r="M304" s="8">
        <v>14851</v>
      </c>
      <c r="N304" s="8">
        <v>14980</v>
      </c>
      <c r="O304" s="8">
        <v>14981</v>
      </c>
      <c r="P304" s="8">
        <v>15253</v>
      </c>
      <c r="Q304" s="8">
        <v>15343</v>
      </c>
      <c r="R304" s="8">
        <v>15535</v>
      </c>
      <c r="S304" s="8">
        <v>16185</v>
      </c>
      <c r="T304" s="8">
        <v>16340</v>
      </c>
      <c r="U304" s="8">
        <v>16828</v>
      </c>
      <c r="V304" s="8">
        <v>16328</v>
      </c>
      <c r="W304" s="8">
        <v>16278</v>
      </c>
      <c r="X304" s="8">
        <v>16289</v>
      </c>
      <c r="Y304" s="8">
        <v>16259</v>
      </c>
      <c r="Z304" s="8">
        <v>16420</v>
      </c>
      <c r="AA304" s="8">
        <v>16264</v>
      </c>
      <c r="AB304" s="8">
        <v>16690</v>
      </c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ht="14.4">
      <c r="A305" s="3">
        <f>LOOKUP(D305,'AMFI DATA_2023H2'!F:L,'AMFI DATA_2023H2'!L:L)</f>
        <v>302</v>
      </c>
      <c r="B305" s="4" t="s">
        <v>915</v>
      </c>
      <c r="C305" s="4" t="s">
        <v>916</v>
      </c>
      <c r="D305" s="5" t="s">
        <v>917</v>
      </c>
      <c r="E305" s="5">
        <v>15207.12</v>
      </c>
      <c r="F305" s="6">
        <f>LOOKUP(D305,'AMFI DATA_2023H2'!F:J,'AMFI DATA_2023H2'!J:J)</f>
        <v>16181.9575</v>
      </c>
      <c r="G305" s="7">
        <f t="shared" si="1"/>
        <v>-1</v>
      </c>
      <c r="H305" s="8"/>
      <c r="I305" s="8">
        <v>16458</v>
      </c>
      <c r="J305" s="8">
        <v>16456</v>
      </c>
      <c r="K305" s="8">
        <v>16639</v>
      </c>
      <c r="L305" s="8">
        <v>16801</v>
      </c>
      <c r="M305" s="8">
        <v>17245</v>
      </c>
      <c r="N305" s="8">
        <v>17397</v>
      </c>
      <c r="O305" s="8">
        <v>17409</v>
      </c>
      <c r="P305" s="8">
        <v>17338</v>
      </c>
      <c r="Q305" s="8">
        <v>17480</v>
      </c>
      <c r="R305" s="8">
        <v>17601</v>
      </c>
      <c r="S305" s="8">
        <v>17599</v>
      </c>
      <c r="T305" s="8">
        <v>17551</v>
      </c>
      <c r="U305" s="8">
        <v>17567</v>
      </c>
      <c r="V305" s="8">
        <v>17447</v>
      </c>
      <c r="W305" s="8">
        <v>17408</v>
      </c>
      <c r="X305" s="8">
        <v>17471</v>
      </c>
      <c r="Y305" s="8">
        <v>17276</v>
      </c>
      <c r="Z305" s="8">
        <v>17196</v>
      </c>
      <c r="AA305" s="8">
        <v>17209</v>
      </c>
      <c r="AB305" s="8">
        <v>17424</v>
      </c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ht="14.4">
      <c r="A306" s="3">
        <f>LOOKUP(D306,'AMFI DATA_2023H2'!F:L,'AMFI DATA_2023H2'!L:L)</f>
        <v>303</v>
      </c>
      <c r="B306" s="4" t="s">
        <v>918</v>
      </c>
      <c r="C306" s="4" t="s">
        <v>919</v>
      </c>
      <c r="D306" s="5" t="s">
        <v>920</v>
      </c>
      <c r="E306" s="5">
        <v>12676.58</v>
      </c>
      <c r="F306" s="6">
        <f>LOOKUP(D306,'AMFI DATA_2023H2'!F:J,'AMFI DATA_2023H2'!J:J)</f>
        <v>16142.655849999999</v>
      </c>
      <c r="G306" s="7">
        <f t="shared" si="1"/>
        <v>-1</v>
      </c>
      <c r="H306" s="8"/>
      <c r="I306" s="8">
        <v>16083</v>
      </c>
      <c r="J306" s="8">
        <v>15978</v>
      </c>
      <c r="K306" s="8">
        <v>15799</v>
      </c>
      <c r="L306" s="8">
        <v>16203</v>
      </c>
      <c r="M306" s="8">
        <v>15942</v>
      </c>
      <c r="N306" s="8">
        <v>15695</v>
      </c>
      <c r="O306" s="8">
        <v>15562</v>
      </c>
      <c r="P306" s="8">
        <v>15510</v>
      </c>
      <c r="Q306" s="8">
        <v>15625</v>
      </c>
      <c r="R306" s="8">
        <v>15690</v>
      </c>
      <c r="S306" s="8">
        <v>15547</v>
      </c>
      <c r="T306" s="8">
        <v>15186</v>
      </c>
      <c r="U306" s="8">
        <v>15322</v>
      </c>
      <c r="V306" s="8">
        <v>15486</v>
      </c>
      <c r="W306" s="8">
        <v>15605</v>
      </c>
      <c r="X306" s="8">
        <v>15141</v>
      </c>
      <c r="Y306" s="8">
        <v>15202</v>
      </c>
      <c r="Z306" s="8">
        <v>15184</v>
      </c>
      <c r="AA306" s="8">
        <v>15230</v>
      </c>
      <c r="AB306" s="8">
        <v>15393</v>
      </c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spans="1:47" ht="14.4">
      <c r="A307" s="3">
        <f>LOOKUP(D307,'AMFI DATA_2023H2'!F:L,'AMFI DATA_2023H2'!L:L)</f>
        <v>304</v>
      </c>
      <c r="B307" s="4" t="s">
        <v>921</v>
      </c>
      <c r="C307" s="4" t="s">
        <v>922</v>
      </c>
      <c r="D307" s="5" t="s">
        <v>923</v>
      </c>
      <c r="E307" s="5">
        <v>15737.06</v>
      </c>
      <c r="F307" s="6">
        <f>LOOKUP(D307,'AMFI DATA_2023H2'!F:J,'AMFI DATA_2023H2'!J:J)</f>
        <v>15996.8478</v>
      </c>
      <c r="G307" s="7">
        <f t="shared" si="1"/>
        <v>-1</v>
      </c>
      <c r="H307" s="8"/>
      <c r="I307" s="8">
        <v>17981</v>
      </c>
      <c r="J307" s="8">
        <v>17654</v>
      </c>
      <c r="K307" s="8">
        <v>17885</v>
      </c>
      <c r="L307" s="8">
        <v>18295</v>
      </c>
      <c r="M307" s="8">
        <v>18193</v>
      </c>
      <c r="N307" s="8">
        <v>18159</v>
      </c>
      <c r="O307" s="8">
        <v>18091</v>
      </c>
      <c r="P307" s="8">
        <v>17981</v>
      </c>
      <c r="Q307" s="8">
        <v>18492</v>
      </c>
      <c r="R307" s="8">
        <v>18427</v>
      </c>
      <c r="S307" s="8">
        <v>18831</v>
      </c>
      <c r="T307" s="8">
        <v>18850</v>
      </c>
      <c r="U307" s="8">
        <v>18337</v>
      </c>
      <c r="V307" s="8">
        <v>18622</v>
      </c>
      <c r="W307" s="8">
        <v>18089</v>
      </c>
      <c r="X307" s="8">
        <v>17251</v>
      </c>
      <c r="Y307" s="8">
        <v>17428</v>
      </c>
      <c r="Z307" s="8">
        <v>16644</v>
      </c>
      <c r="AA307" s="8">
        <v>16817</v>
      </c>
      <c r="AB307" s="8">
        <v>16582</v>
      </c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ht="14.4">
      <c r="A308" s="3">
        <f>LOOKUP(D308,'AMFI DATA_2023H2'!F:L,'AMFI DATA_2023H2'!L:L)</f>
        <v>305</v>
      </c>
      <c r="B308" s="4" t="s">
        <v>924</v>
      </c>
      <c r="C308" s="4" t="s">
        <v>925</v>
      </c>
      <c r="D308" s="5" t="s">
        <v>926</v>
      </c>
      <c r="E308" s="5">
        <v>8314.08</v>
      </c>
      <c r="F308" s="6">
        <f>LOOKUP(D308,'AMFI DATA_2023H2'!F:J,'AMFI DATA_2023H2'!J:J)</f>
        <v>15986.46315</v>
      </c>
      <c r="G308" s="7">
        <f t="shared" si="1"/>
        <v>-1</v>
      </c>
      <c r="H308" s="8"/>
      <c r="I308" s="8">
        <v>22491</v>
      </c>
      <c r="J308" s="8">
        <v>22345</v>
      </c>
      <c r="K308" s="8">
        <v>22642</v>
      </c>
      <c r="L308" s="8">
        <v>22031</v>
      </c>
      <c r="M308" s="8">
        <v>21757</v>
      </c>
      <c r="N308" s="8">
        <v>22222</v>
      </c>
      <c r="O308" s="8">
        <v>22939</v>
      </c>
      <c r="P308" s="8">
        <v>22731</v>
      </c>
      <c r="Q308" s="8">
        <v>22418</v>
      </c>
      <c r="R308" s="8">
        <v>22278</v>
      </c>
      <c r="S308" s="8">
        <v>20097</v>
      </c>
      <c r="T308" s="8">
        <v>19883</v>
      </c>
      <c r="U308" s="8">
        <v>19806</v>
      </c>
      <c r="V308" s="8">
        <v>20360</v>
      </c>
      <c r="W308" s="8">
        <v>19155</v>
      </c>
      <c r="X308" s="8">
        <v>17334</v>
      </c>
      <c r="Y308" s="8">
        <v>16509</v>
      </c>
      <c r="Z308" s="8">
        <v>16797</v>
      </c>
      <c r="AA308" s="8">
        <v>17024</v>
      </c>
      <c r="AB308" s="8">
        <v>17017</v>
      </c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ht="14.4">
      <c r="A309" s="3">
        <f>LOOKUP(D309,'AMFI DATA_2023H2'!F:L,'AMFI DATA_2023H2'!L:L)</f>
        <v>306</v>
      </c>
      <c r="B309" s="4" t="s">
        <v>927</v>
      </c>
      <c r="C309" s="4" t="s">
        <v>928</v>
      </c>
      <c r="D309" s="5" t="s">
        <v>929</v>
      </c>
      <c r="E309" s="5">
        <v>13752.11</v>
      </c>
      <c r="F309" s="6">
        <f>LOOKUP(D309,'AMFI DATA_2023H2'!F:J,'AMFI DATA_2023H2'!J:J)</f>
        <v>15960.41575</v>
      </c>
      <c r="G309" s="7">
        <f t="shared" si="1"/>
        <v>-1</v>
      </c>
      <c r="H309" s="8"/>
      <c r="I309" s="8">
        <v>20256</v>
      </c>
      <c r="J309" s="8">
        <v>19675</v>
      </c>
      <c r="K309" s="8">
        <v>20398</v>
      </c>
      <c r="L309" s="8">
        <v>19798</v>
      </c>
      <c r="M309" s="8">
        <v>16771</v>
      </c>
      <c r="N309" s="8">
        <v>17451</v>
      </c>
      <c r="O309" s="8">
        <v>17470</v>
      </c>
      <c r="P309" s="8">
        <v>17352</v>
      </c>
      <c r="Q309" s="8">
        <v>17605</v>
      </c>
      <c r="R309" s="8">
        <v>17994</v>
      </c>
      <c r="S309" s="8">
        <v>16011</v>
      </c>
      <c r="T309" s="8">
        <v>15936</v>
      </c>
      <c r="U309" s="8">
        <v>15981</v>
      </c>
      <c r="V309" s="8">
        <v>15933</v>
      </c>
      <c r="W309" s="8">
        <v>15983</v>
      </c>
      <c r="X309" s="8">
        <v>15901</v>
      </c>
      <c r="Y309" s="8">
        <v>15928</v>
      </c>
      <c r="Z309" s="8">
        <v>15967</v>
      </c>
      <c r="AA309" s="8">
        <v>15809</v>
      </c>
      <c r="AB309" s="8">
        <v>15884</v>
      </c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</row>
    <row r="310" spans="1:47" ht="14.4">
      <c r="A310" s="3">
        <f>LOOKUP(D310,'AMFI DATA_2023H2'!F:L,'AMFI DATA_2023H2'!L:L)</f>
        <v>307</v>
      </c>
      <c r="B310" s="4" t="s">
        <v>930</v>
      </c>
      <c r="C310" s="4" t="s">
        <v>931</v>
      </c>
      <c r="D310" s="5" t="s">
        <v>932</v>
      </c>
      <c r="E310" s="5">
        <v>10115.35</v>
      </c>
      <c r="F310" s="6">
        <f>LOOKUP(D310,'AMFI DATA_2023H2'!F:J,'AMFI DATA_2023H2'!J:J)</f>
        <v>15784.30285</v>
      </c>
      <c r="G310" s="7">
        <f t="shared" si="1"/>
        <v>-1</v>
      </c>
      <c r="H310" s="8"/>
      <c r="I310" s="8">
        <v>31870</v>
      </c>
      <c r="J310" s="8">
        <v>27566</v>
      </c>
      <c r="K310" s="8">
        <v>27576</v>
      </c>
      <c r="L310" s="8">
        <v>26345</v>
      </c>
      <c r="M310" s="8">
        <v>26595</v>
      </c>
      <c r="N310" s="8">
        <v>25354</v>
      </c>
      <c r="O310" s="8">
        <v>25414</v>
      </c>
      <c r="P310" s="8">
        <v>24814</v>
      </c>
      <c r="Q310" s="8">
        <v>25154</v>
      </c>
      <c r="R310" s="8">
        <v>24874</v>
      </c>
      <c r="S310" s="8">
        <v>25564</v>
      </c>
      <c r="T310" s="8">
        <v>25744</v>
      </c>
      <c r="U310" s="8">
        <v>25384</v>
      </c>
      <c r="V310" s="8">
        <v>25434</v>
      </c>
      <c r="W310" s="8">
        <v>25854</v>
      </c>
      <c r="X310" s="8">
        <v>25188</v>
      </c>
      <c r="Y310" s="8">
        <v>25632</v>
      </c>
      <c r="Z310" s="8">
        <v>22838</v>
      </c>
      <c r="AA310" s="8">
        <v>21094</v>
      </c>
      <c r="AB310" s="8">
        <v>21140</v>
      </c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ht="14.4">
      <c r="A311" s="3">
        <f>LOOKUP(D311,'AMFI DATA_2023H2'!F:L,'AMFI DATA_2023H2'!L:L)</f>
        <v>308</v>
      </c>
      <c r="B311" s="4" t="s">
        <v>933</v>
      </c>
      <c r="C311" s="4" t="s">
        <v>934</v>
      </c>
      <c r="D311" s="5" t="s">
        <v>935</v>
      </c>
      <c r="E311" s="5">
        <v>10868.15</v>
      </c>
      <c r="F311" s="6">
        <f>LOOKUP(D311,'AMFI DATA_2023H2'!F:J,'AMFI DATA_2023H2'!J:J)</f>
        <v>15607.3717</v>
      </c>
      <c r="G311" s="7">
        <f t="shared" si="1"/>
        <v>-1</v>
      </c>
      <c r="H311" s="8"/>
      <c r="I311" s="8">
        <v>23063</v>
      </c>
      <c r="J311" s="8">
        <v>22177</v>
      </c>
      <c r="K311" s="8">
        <v>21832</v>
      </c>
      <c r="L311" s="8">
        <v>21873</v>
      </c>
      <c r="M311" s="8">
        <v>22037</v>
      </c>
      <c r="N311" s="8">
        <v>22387</v>
      </c>
      <c r="O311" s="8">
        <v>22681</v>
      </c>
      <c r="P311" s="8">
        <v>21640</v>
      </c>
      <c r="Q311" s="8">
        <v>21589</v>
      </c>
      <c r="R311" s="8">
        <v>21670</v>
      </c>
      <c r="S311" s="8">
        <v>21710</v>
      </c>
      <c r="T311" s="8">
        <v>21476</v>
      </c>
      <c r="U311" s="8">
        <v>21537</v>
      </c>
      <c r="V311" s="8">
        <v>21317</v>
      </c>
      <c r="W311" s="8">
        <v>21545</v>
      </c>
      <c r="X311" s="8">
        <v>21670</v>
      </c>
      <c r="Y311" s="8">
        <v>21507</v>
      </c>
      <c r="Z311" s="8">
        <v>21541</v>
      </c>
      <c r="AA311" s="8">
        <v>21323</v>
      </c>
      <c r="AB311" s="8">
        <v>21246</v>
      </c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ht="14.4">
      <c r="A312" s="3">
        <f>LOOKUP(D312,'AMFI DATA_2023H2'!F:L,'AMFI DATA_2023H2'!L:L)</f>
        <v>309</v>
      </c>
      <c r="B312" s="4" t="s">
        <v>936</v>
      </c>
      <c r="C312" s="4" t="s">
        <v>937</v>
      </c>
      <c r="D312" s="5" t="s">
        <v>938</v>
      </c>
      <c r="E312" s="5">
        <v>11455.83</v>
      </c>
      <c r="F312" s="6">
        <f>LOOKUP(D312,'AMFI DATA_2023H2'!F:J,'AMFI DATA_2023H2'!J:J)</f>
        <v>15428.3406</v>
      </c>
      <c r="G312" s="7">
        <f t="shared" si="1"/>
        <v>-1</v>
      </c>
      <c r="H312" s="8"/>
      <c r="I312" s="8">
        <v>16273</v>
      </c>
      <c r="J312" s="8">
        <v>16209</v>
      </c>
      <c r="K312" s="8">
        <v>16114</v>
      </c>
      <c r="L312" s="8">
        <v>15990</v>
      </c>
      <c r="M312" s="8">
        <v>16330</v>
      </c>
      <c r="N312" s="8">
        <v>16124</v>
      </c>
      <c r="O312" s="8">
        <v>15980</v>
      </c>
      <c r="P312" s="8">
        <v>15934</v>
      </c>
      <c r="Q312" s="8">
        <v>15885</v>
      </c>
      <c r="R312" s="8">
        <v>15738</v>
      </c>
      <c r="S312" s="8">
        <v>15960</v>
      </c>
      <c r="T312" s="8">
        <v>15734</v>
      </c>
      <c r="U312" s="8">
        <v>15919</v>
      </c>
      <c r="V312" s="8">
        <v>15926</v>
      </c>
      <c r="W312" s="8">
        <v>16135</v>
      </c>
      <c r="X312" s="8">
        <v>16365</v>
      </c>
      <c r="Y312" s="8">
        <v>16189</v>
      </c>
      <c r="Z312" s="8">
        <v>16417</v>
      </c>
      <c r="AA312" s="8">
        <v>16286</v>
      </c>
      <c r="AB312" s="8">
        <v>16113</v>
      </c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ht="14.4">
      <c r="A313" s="3">
        <f>LOOKUP(D313,'AMFI DATA_2023H2'!F:L,'AMFI DATA_2023H2'!L:L)</f>
        <v>310</v>
      </c>
      <c r="B313" s="4" t="s">
        <v>939</v>
      </c>
      <c r="C313" s="4" t="s">
        <v>940</v>
      </c>
      <c r="D313" s="5" t="s">
        <v>941</v>
      </c>
      <c r="E313" s="5">
        <v>11951.54</v>
      </c>
      <c r="F313" s="6">
        <f>LOOKUP(D313,'AMFI DATA_2023H2'!F:J,'AMFI DATA_2023H2'!J:J)</f>
        <v>15428.0054</v>
      </c>
      <c r="G313" s="7">
        <f t="shared" si="1"/>
        <v>-1</v>
      </c>
      <c r="H313" s="8"/>
      <c r="I313" s="8">
        <v>16333</v>
      </c>
      <c r="J313" s="8">
        <v>16184</v>
      </c>
      <c r="K313" s="8">
        <v>15994</v>
      </c>
      <c r="L313" s="8">
        <v>16093</v>
      </c>
      <c r="M313" s="8">
        <v>15822</v>
      </c>
      <c r="N313" s="8">
        <v>16062</v>
      </c>
      <c r="O313" s="8">
        <v>16157</v>
      </c>
      <c r="P313" s="8">
        <v>16182</v>
      </c>
      <c r="Q313" s="8">
        <v>16070</v>
      </c>
      <c r="R313" s="8">
        <v>16020</v>
      </c>
      <c r="S313" s="8">
        <v>15998</v>
      </c>
      <c r="T313" s="8">
        <v>15834</v>
      </c>
      <c r="U313" s="8">
        <v>15565</v>
      </c>
      <c r="V313" s="8">
        <v>15525</v>
      </c>
      <c r="W313" s="8">
        <v>15645</v>
      </c>
      <c r="X313" s="8">
        <v>15830</v>
      </c>
      <c r="Y313" s="8">
        <v>15948</v>
      </c>
      <c r="Z313" s="8">
        <v>16025</v>
      </c>
      <c r="AA313" s="8">
        <v>15978</v>
      </c>
      <c r="AB313" s="8">
        <v>15842</v>
      </c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ht="14.4">
      <c r="A314" s="3">
        <f>LOOKUP(D314,'AMFI DATA_2023H2'!F:L,'AMFI DATA_2023H2'!L:L)</f>
        <v>311</v>
      </c>
      <c r="B314" s="4" t="s">
        <v>942</v>
      </c>
      <c r="C314" s="4" t="s">
        <v>943</v>
      </c>
      <c r="D314" s="5" t="s">
        <v>944</v>
      </c>
      <c r="E314" s="5">
        <v>11570.84</v>
      </c>
      <c r="F314" s="6">
        <f>LOOKUP(D314,'AMFI DATA_2023H2'!F:J,'AMFI DATA_2023H2'!J:J)</f>
        <v>15130.580099999999</v>
      </c>
      <c r="G314" s="7">
        <f t="shared" si="1"/>
        <v>-1</v>
      </c>
      <c r="H314" s="8"/>
      <c r="I314" s="8">
        <v>22359</v>
      </c>
      <c r="J314" s="8">
        <v>22905</v>
      </c>
      <c r="K314" s="8">
        <v>22569</v>
      </c>
      <c r="L314" s="8">
        <v>22542</v>
      </c>
      <c r="M314" s="8">
        <v>22439</v>
      </c>
      <c r="N314" s="8">
        <v>22441</v>
      </c>
      <c r="O314" s="8">
        <v>21684</v>
      </c>
      <c r="P314" s="8">
        <v>21712</v>
      </c>
      <c r="Q314" s="8">
        <v>21792</v>
      </c>
      <c r="R314" s="8">
        <v>21697</v>
      </c>
      <c r="S314" s="8">
        <v>21754</v>
      </c>
      <c r="T314" s="8">
        <v>21313</v>
      </c>
      <c r="U314" s="8">
        <v>20139</v>
      </c>
      <c r="V314" s="8">
        <v>20254</v>
      </c>
      <c r="W314" s="8">
        <v>20622</v>
      </c>
      <c r="X314" s="8">
        <v>20709</v>
      </c>
      <c r="Y314" s="8">
        <v>20755</v>
      </c>
      <c r="Z314" s="8">
        <v>20384</v>
      </c>
      <c r="AA314" s="8">
        <v>19890</v>
      </c>
      <c r="AB314" s="8">
        <v>20063</v>
      </c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ht="14.4">
      <c r="A315" s="3">
        <f>LOOKUP(D315,'AMFI DATA_2023H2'!F:L,'AMFI DATA_2023H2'!L:L)</f>
        <v>312</v>
      </c>
      <c r="B315" s="4" t="s">
        <v>945</v>
      </c>
      <c r="C315" s="4" t="s">
        <v>946</v>
      </c>
      <c r="D315" s="5" t="s">
        <v>947</v>
      </c>
      <c r="E315" s="5">
        <v>10476.469999999999</v>
      </c>
      <c r="F315" s="6">
        <f>LOOKUP(D315,'AMFI DATA_2023H2'!F:J,'AMFI DATA_2023H2'!J:J)</f>
        <v>15126.9071</v>
      </c>
      <c r="G315" s="7">
        <f t="shared" si="1"/>
        <v>-1</v>
      </c>
      <c r="H315" s="8"/>
      <c r="I315" s="8">
        <v>25592</v>
      </c>
      <c r="J315" s="8">
        <v>24558</v>
      </c>
      <c r="K315" s="8">
        <v>25065</v>
      </c>
      <c r="L315" s="8">
        <v>25781</v>
      </c>
      <c r="M315" s="8">
        <v>24838</v>
      </c>
      <c r="N315" s="8">
        <v>25384</v>
      </c>
      <c r="O315" s="8">
        <v>25708</v>
      </c>
      <c r="P315" s="8">
        <v>26056</v>
      </c>
      <c r="Q315" s="8">
        <v>26095</v>
      </c>
      <c r="R315" s="8">
        <v>25907</v>
      </c>
      <c r="S315" s="8">
        <v>27386</v>
      </c>
      <c r="T315" s="8">
        <v>26888</v>
      </c>
      <c r="U315" s="8">
        <v>25670</v>
      </c>
      <c r="V315" s="8">
        <v>26085</v>
      </c>
      <c r="W315" s="8">
        <v>26240</v>
      </c>
      <c r="X315" s="8">
        <v>26458</v>
      </c>
      <c r="Y315" s="8">
        <v>26148</v>
      </c>
      <c r="Z315" s="8">
        <v>22744</v>
      </c>
      <c r="AA315" s="8">
        <v>22556</v>
      </c>
      <c r="AB315" s="8">
        <v>21913</v>
      </c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</row>
    <row r="316" spans="1:47" ht="14.4">
      <c r="A316" s="3">
        <f>LOOKUP(D316,'AMFI DATA_2023H2'!F:L,'AMFI DATA_2023H2'!L:L)</f>
        <v>313</v>
      </c>
      <c r="B316" s="4" t="s">
        <v>948</v>
      </c>
      <c r="C316" s="4" t="s">
        <v>949</v>
      </c>
      <c r="D316" s="5" t="s">
        <v>950</v>
      </c>
      <c r="E316" s="5">
        <v>10580.2</v>
      </c>
      <c r="F316" s="6">
        <f>LOOKUP(D316,'AMFI DATA_2023H2'!F:J,'AMFI DATA_2023H2'!J:J)</f>
        <v>14978.1451</v>
      </c>
      <c r="G316" s="7">
        <f t="shared" si="1"/>
        <v>-1</v>
      </c>
      <c r="H316" s="8"/>
      <c r="I316" s="8">
        <v>19027</v>
      </c>
      <c r="J316" s="8">
        <v>19026</v>
      </c>
      <c r="K316" s="8">
        <v>19306</v>
      </c>
      <c r="L316" s="8">
        <v>19660</v>
      </c>
      <c r="M316" s="8">
        <v>19288</v>
      </c>
      <c r="N316" s="8">
        <v>19363</v>
      </c>
      <c r="O316" s="8">
        <v>19280</v>
      </c>
      <c r="P316" s="8">
        <v>19451</v>
      </c>
      <c r="Q316" s="8">
        <v>19586</v>
      </c>
      <c r="R316" s="8">
        <v>19581</v>
      </c>
      <c r="S316" s="8">
        <v>19736</v>
      </c>
      <c r="T316" s="8">
        <v>19699</v>
      </c>
      <c r="U316" s="8">
        <v>19261</v>
      </c>
      <c r="V316" s="8">
        <v>19010</v>
      </c>
      <c r="W316" s="8">
        <v>19002</v>
      </c>
      <c r="X316" s="8">
        <v>19065</v>
      </c>
      <c r="Y316" s="8">
        <v>19163</v>
      </c>
      <c r="Z316" s="8">
        <v>19385</v>
      </c>
      <c r="AA316" s="8">
        <v>19343</v>
      </c>
      <c r="AB316" s="8">
        <v>19196</v>
      </c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</row>
    <row r="317" spans="1:47" ht="14.4">
      <c r="A317" s="3">
        <f>LOOKUP(D317,'AMFI DATA_2023H2'!F:L,'AMFI DATA_2023H2'!L:L)</f>
        <v>314</v>
      </c>
      <c r="B317" s="4" t="s">
        <v>951</v>
      </c>
      <c r="C317" s="4" t="s">
        <v>952</v>
      </c>
      <c r="D317" s="5" t="s">
        <v>953</v>
      </c>
      <c r="E317" s="5">
        <v>13637.51</v>
      </c>
      <c r="F317" s="6">
        <f>LOOKUP(D317,'AMFI DATA_2023H2'!F:J,'AMFI DATA_2023H2'!J:J)</f>
        <v>14877.7186</v>
      </c>
      <c r="G317" s="7">
        <f t="shared" si="1"/>
        <v>-1</v>
      </c>
      <c r="H317" s="8"/>
      <c r="I317" s="8">
        <v>16078</v>
      </c>
      <c r="J317" s="8">
        <v>15658</v>
      </c>
      <c r="K317" s="8">
        <v>15283</v>
      </c>
      <c r="L317" s="8">
        <v>15813</v>
      </c>
      <c r="M317" s="8">
        <v>16139</v>
      </c>
      <c r="N317" s="8">
        <v>16172</v>
      </c>
      <c r="O317" s="8">
        <v>16308</v>
      </c>
      <c r="P317" s="8">
        <v>16128</v>
      </c>
      <c r="Q317" s="8">
        <v>16400</v>
      </c>
      <c r="R317" s="8">
        <v>16405</v>
      </c>
      <c r="S317" s="8">
        <v>16842</v>
      </c>
      <c r="T317" s="8">
        <v>17800</v>
      </c>
      <c r="U317" s="8">
        <v>16233</v>
      </c>
      <c r="V317" s="8">
        <v>16213</v>
      </c>
      <c r="W317" s="8">
        <v>16045</v>
      </c>
      <c r="X317" s="8">
        <v>16067</v>
      </c>
      <c r="Y317" s="8">
        <v>16265</v>
      </c>
      <c r="Z317" s="8">
        <v>16407</v>
      </c>
      <c r="AA317" s="8">
        <v>16337</v>
      </c>
      <c r="AB317" s="8">
        <v>16545</v>
      </c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ht="14.4">
      <c r="A318" s="3">
        <f>LOOKUP(D318,'AMFI DATA_2023H2'!F:L,'AMFI DATA_2023H2'!L:L)</f>
        <v>315</v>
      </c>
      <c r="B318" s="4" t="s">
        <v>954</v>
      </c>
      <c r="C318" s="4" t="s">
        <v>955</v>
      </c>
      <c r="D318" s="5" t="s">
        <v>956</v>
      </c>
      <c r="E318" s="5">
        <v>11763.72</v>
      </c>
      <c r="F318" s="6">
        <f>LOOKUP(D318,'AMFI DATA_2023H2'!F:J,'AMFI DATA_2023H2'!J:J)</f>
        <v>14810.356899999999</v>
      </c>
      <c r="G318" s="7">
        <f t="shared" si="1"/>
        <v>-1</v>
      </c>
      <c r="H318" s="8"/>
      <c r="I318" s="8">
        <v>17871</v>
      </c>
      <c r="J318" s="8">
        <v>17777</v>
      </c>
      <c r="K318" s="8">
        <v>17444</v>
      </c>
      <c r="L318" s="8">
        <v>17291</v>
      </c>
      <c r="M318" s="8">
        <v>17100</v>
      </c>
      <c r="N318" s="8">
        <v>17151</v>
      </c>
      <c r="O318" s="8">
        <v>17265</v>
      </c>
      <c r="P318" s="8">
        <v>17223</v>
      </c>
      <c r="Q318" s="8">
        <v>17422</v>
      </c>
      <c r="R318" s="8">
        <v>17034</v>
      </c>
      <c r="S318" s="8">
        <v>17158</v>
      </c>
      <c r="T318" s="8">
        <v>16980</v>
      </c>
      <c r="U318" s="8">
        <v>17256</v>
      </c>
      <c r="V318" s="8">
        <v>17329</v>
      </c>
      <c r="W318" s="8">
        <v>17738</v>
      </c>
      <c r="X318" s="8">
        <v>17151</v>
      </c>
      <c r="Y318" s="8">
        <v>17103</v>
      </c>
      <c r="Z318" s="8">
        <v>17603</v>
      </c>
      <c r="AA318" s="8">
        <v>17747</v>
      </c>
      <c r="AB318" s="8">
        <v>17766</v>
      </c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ht="14.4">
      <c r="A319" s="3">
        <f>LOOKUP(D319,'AMFI DATA_2023H2'!F:L,'AMFI DATA_2023H2'!L:L)</f>
        <v>316</v>
      </c>
      <c r="B319" s="4" t="s">
        <v>957</v>
      </c>
      <c r="C319" s="4" t="s">
        <v>958</v>
      </c>
      <c r="D319" s="5" t="s">
        <v>959</v>
      </c>
      <c r="E319" s="5">
        <v>15073.34</v>
      </c>
      <c r="F319" s="6">
        <f>LOOKUP(D319,'AMFI DATA_2023H2'!F:J,'AMFI DATA_2023H2'!J:J)</f>
        <v>14776.260450000002</v>
      </c>
      <c r="G319" s="7">
        <f t="shared" si="1"/>
        <v>-1</v>
      </c>
      <c r="H319" s="8"/>
      <c r="I319" s="8">
        <v>15927</v>
      </c>
      <c r="J319" s="8">
        <v>15798</v>
      </c>
      <c r="K319" s="8">
        <v>15758</v>
      </c>
      <c r="L319" s="8">
        <v>15985</v>
      </c>
      <c r="M319" s="8">
        <v>16066</v>
      </c>
      <c r="N319" s="8">
        <v>16178</v>
      </c>
      <c r="O319" s="8">
        <v>16215</v>
      </c>
      <c r="P319" s="8">
        <v>15910</v>
      </c>
      <c r="Q319" s="8">
        <v>16031</v>
      </c>
      <c r="R319" s="8">
        <v>16265</v>
      </c>
      <c r="S319" s="8">
        <v>16698</v>
      </c>
      <c r="T319" s="8">
        <v>16660</v>
      </c>
      <c r="U319" s="8">
        <v>16686</v>
      </c>
      <c r="V319" s="8">
        <v>16731</v>
      </c>
      <c r="W319" s="8">
        <v>16907</v>
      </c>
      <c r="X319" s="8">
        <v>16459</v>
      </c>
      <c r="Y319" s="8">
        <v>16356</v>
      </c>
      <c r="Z319" s="8">
        <v>16421</v>
      </c>
      <c r="AA319" s="8">
        <v>16388</v>
      </c>
      <c r="AB319" s="8">
        <v>16118</v>
      </c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ht="14.4">
      <c r="A320" s="3">
        <f>LOOKUP(D320,'AMFI DATA_2023H2'!F:L,'AMFI DATA_2023H2'!L:L)</f>
        <v>317</v>
      </c>
      <c r="B320" s="4" t="s">
        <v>960</v>
      </c>
      <c r="C320" s="4" t="s">
        <v>961</v>
      </c>
      <c r="D320" s="5" t="s">
        <v>962</v>
      </c>
      <c r="E320" s="5">
        <v>10678.2</v>
      </c>
      <c r="F320" s="6">
        <f>LOOKUP(D320,'AMFI DATA_2023H2'!F:J,'AMFI DATA_2023H2'!J:J)</f>
        <v>14721.035250000001</v>
      </c>
      <c r="G320" s="7">
        <f t="shared" si="1"/>
        <v>-1</v>
      </c>
      <c r="H320" s="8"/>
      <c r="I320" s="8">
        <v>18558</v>
      </c>
      <c r="J320" s="8">
        <v>18485</v>
      </c>
      <c r="K320" s="8">
        <v>18265</v>
      </c>
      <c r="L320" s="8">
        <v>18506</v>
      </c>
      <c r="M320" s="8">
        <v>18525</v>
      </c>
      <c r="N320" s="8">
        <v>17308</v>
      </c>
      <c r="O320" s="8">
        <v>16436</v>
      </c>
      <c r="P320" s="8">
        <v>15729</v>
      </c>
      <c r="Q320" s="8">
        <v>15797</v>
      </c>
      <c r="R320" s="8">
        <v>15843</v>
      </c>
      <c r="S320" s="8">
        <v>15965</v>
      </c>
      <c r="T320" s="8">
        <v>15905</v>
      </c>
      <c r="U320" s="8">
        <v>15874</v>
      </c>
      <c r="V320" s="8">
        <v>15843</v>
      </c>
      <c r="W320" s="8">
        <v>15055</v>
      </c>
      <c r="X320" s="8">
        <v>14927</v>
      </c>
      <c r="Y320" s="8">
        <v>14911</v>
      </c>
      <c r="Z320" s="8">
        <v>15144</v>
      </c>
      <c r="AA320" s="8">
        <v>15274</v>
      </c>
      <c r="AB320" s="8">
        <v>15198</v>
      </c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</row>
    <row r="321" spans="1:47" ht="14.4">
      <c r="A321" s="3">
        <f>LOOKUP(D321,'AMFI DATA_2023H2'!F:L,'AMFI DATA_2023H2'!L:L)</f>
        <v>318</v>
      </c>
      <c r="B321" s="4" t="s">
        <v>963</v>
      </c>
      <c r="C321" s="4" t="s">
        <v>964</v>
      </c>
      <c r="D321" s="5" t="s">
        <v>965</v>
      </c>
      <c r="E321" s="5">
        <v>12029.39</v>
      </c>
      <c r="F321" s="6">
        <f>LOOKUP(D321,'AMFI DATA_2023H2'!F:J,'AMFI DATA_2023H2'!J:J)</f>
        <v>14689.051800000001</v>
      </c>
      <c r="G321" s="7">
        <f t="shared" si="1"/>
        <v>-1</v>
      </c>
      <c r="H321" s="8"/>
      <c r="I321" s="8">
        <v>14314</v>
      </c>
      <c r="J321" s="8">
        <v>14309</v>
      </c>
      <c r="K321" s="8">
        <v>14310</v>
      </c>
      <c r="L321" s="8">
        <v>14416</v>
      </c>
      <c r="M321" s="8">
        <v>14652</v>
      </c>
      <c r="N321" s="8">
        <v>14726</v>
      </c>
      <c r="O321" s="8">
        <v>14917</v>
      </c>
      <c r="P321" s="8">
        <v>14906</v>
      </c>
      <c r="Q321" s="8">
        <v>14903</v>
      </c>
      <c r="R321" s="8">
        <v>15218</v>
      </c>
      <c r="S321" s="8">
        <v>15123</v>
      </c>
      <c r="T321" s="8">
        <v>14582</v>
      </c>
      <c r="U321" s="8">
        <v>14653</v>
      </c>
      <c r="V321" s="8">
        <v>14503</v>
      </c>
      <c r="W321" s="8">
        <v>14658</v>
      </c>
      <c r="X321" s="8">
        <v>14652</v>
      </c>
      <c r="Y321" s="8">
        <v>14222</v>
      </c>
      <c r="Z321" s="8">
        <v>14236</v>
      </c>
      <c r="AA321" s="8">
        <v>14072</v>
      </c>
      <c r="AB321" s="8">
        <v>14226</v>
      </c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ht="14.4">
      <c r="A322" s="3">
        <f>LOOKUP(D322,'AMFI DATA_2023H2'!F:L,'AMFI DATA_2023H2'!L:L)</f>
        <v>319</v>
      </c>
      <c r="B322" s="4" t="s">
        <v>966</v>
      </c>
      <c r="C322" s="4" t="s">
        <v>967</v>
      </c>
      <c r="D322" s="5" t="s">
        <v>968</v>
      </c>
      <c r="E322" s="5">
        <v>13235.88</v>
      </c>
      <c r="F322" s="6">
        <f>LOOKUP(D322,'AMFI DATA_2023H2'!F:J,'AMFI DATA_2023H2'!J:J)</f>
        <v>14679.5306</v>
      </c>
      <c r="G322" s="7">
        <f t="shared" si="1"/>
        <v>-1</v>
      </c>
      <c r="H322" s="8"/>
      <c r="I322" s="8">
        <v>17706</v>
      </c>
      <c r="J322" s="8">
        <v>17601</v>
      </c>
      <c r="K322" s="8">
        <v>18022</v>
      </c>
      <c r="L322" s="8">
        <v>18083</v>
      </c>
      <c r="M322" s="8">
        <v>18275</v>
      </c>
      <c r="N322" s="8">
        <v>18137</v>
      </c>
      <c r="O322" s="8">
        <v>17978</v>
      </c>
      <c r="P322" s="8">
        <v>17825</v>
      </c>
      <c r="Q322" s="8">
        <v>17756</v>
      </c>
      <c r="R322" s="8">
        <v>17841</v>
      </c>
      <c r="S322" s="8">
        <v>18320</v>
      </c>
      <c r="T322" s="8">
        <v>18404</v>
      </c>
      <c r="U322" s="8">
        <v>18452</v>
      </c>
      <c r="V322" s="8">
        <v>18432</v>
      </c>
      <c r="W322" s="8">
        <v>18505</v>
      </c>
      <c r="X322" s="8">
        <v>18304</v>
      </c>
      <c r="Y322" s="8">
        <v>17556</v>
      </c>
      <c r="Z322" s="8">
        <v>17010</v>
      </c>
      <c r="AA322" s="8">
        <v>17161</v>
      </c>
      <c r="AB322" s="8">
        <v>17058</v>
      </c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ht="14.4">
      <c r="A323" s="3">
        <f>LOOKUP(D323,'AMFI DATA_2023H2'!F:L,'AMFI DATA_2023H2'!L:L)</f>
        <v>320</v>
      </c>
      <c r="B323" s="4" t="s">
        <v>969</v>
      </c>
      <c r="C323" s="4" t="s">
        <v>970</v>
      </c>
      <c r="D323" s="5" t="s">
        <v>971</v>
      </c>
      <c r="E323" s="5">
        <v>10544.66</v>
      </c>
      <c r="F323" s="6">
        <f>LOOKUP(D323,'AMFI DATA_2023H2'!F:J,'AMFI DATA_2023H2'!J:J)</f>
        <v>14621.6224</v>
      </c>
      <c r="G323" s="7">
        <f t="shared" si="1"/>
        <v>-1</v>
      </c>
      <c r="H323" s="8"/>
      <c r="I323" s="8">
        <v>14940</v>
      </c>
      <c r="J323" s="8">
        <v>14823</v>
      </c>
      <c r="K323" s="8">
        <v>14633</v>
      </c>
      <c r="L323" s="8">
        <v>14908</v>
      </c>
      <c r="M323" s="8">
        <v>15171</v>
      </c>
      <c r="N323" s="8">
        <v>15262</v>
      </c>
      <c r="O323" s="8">
        <v>15206</v>
      </c>
      <c r="P323" s="8">
        <v>15092</v>
      </c>
      <c r="Q323" s="8">
        <v>15206</v>
      </c>
      <c r="R323" s="8">
        <v>15126</v>
      </c>
      <c r="S323" s="8">
        <v>15215</v>
      </c>
      <c r="T323" s="8">
        <v>15020</v>
      </c>
      <c r="U323" s="8">
        <v>14942</v>
      </c>
      <c r="V323" s="8">
        <v>14696</v>
      </c>
      <c r="W323" s="8">
        <v>14653</v>
      </c>
      <c r="X323" s="8">
        <v>14539</v>
      </c>
      <c r="Y323" s="8">
        <v>14422</v>
      </c>
      <c r="Z323" s="8">
        <v>14400</v>
      </c>
      <c r="AA323" s="8">
        <v>14409</v>
      </c>
      <c r="AB323" s="8">
        <v>14189</v>
      </c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ht="14.4">
      <c r="A324" s="3">
        <f>LOOKUP(D324,'AMFI DATA_2023H2'!F:L,'AMFI DATA_2023H2'!L:L)</f>
        <v>321</v>
      </c>
      <c r="B324" s="4" t="s">
        <v>972</v>
      </c>
      <c r="C324" s="4" t="s">
        <v>973</v>
      </c>
      <c r="D324" s="5" t="s">
        <v>974</v>
      </c>
      <c r="E324" s="5">
        <v>12594.31</v>
      </c>
      <c r="F324" s="6">
        <f>LOOKUP(D324,'AMFI DATA_2023H2'!F:J,'AMFI DATA_2023H2'!J:J)</f>
        <v>14543.91685</v>
      </c>
      <c r="G324" s="7">
        <f t="shared" si="1"/>
        <v>-1</v>
      </c>
      <c r="H324" s="8"/>
      <c r="I324" s="8">
        <v>15508</v>
      </c>
      <c r="J324" s="8">
        <v>15649</v>
      </c>
      <c r="K324" s="8">
        <v>15754</v>
      </c>
      <c r="L324" s="8">
        <v>15814</v>
      </c>
      <c r="M324" s="8">
        <v>15832</v>
      </c>
      <c r="N324" s="8">
        <v>16184</v>
      </c>
      <c r="O324" s="8">
        <v>16159</v>
      </c>
      <c r="P324" s="8">
        <v>16021</v>
      </c>
      <c r="Q324" s="8">
        <v>16094</v>
      </c>
      <c r="R324" s="8">
        <v>16603</v>
      </c>
      <c r="S324" s="8">
        <v>16626</v>
      </c>
      <c r="T324" s="8">
        <v>16589</v>
      </c>
      <c r="U324" s="8">
        <v>16173</v>
      </c>
      <c r="V324" s="8">
        <v>16376</v>
      </c>
      <c r="W324" s="8">
        <v>16562</v>
      </c>
      <c r="X324" s="8">
        <v>16623</v>
      </c>
      <c r="Y324" s="8">
        <v>16366</v>
      </c>
      <c r="Z324" s="8">
        <v>16498</v>
      </c>
      <c r="AA324" s="8">
        <v>16556</v>
      </c>
      <c r="AB324" s="8">
        <v>16712</v>
      </c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ht="14.4">
      <c r="A325" s="3">
        <f>LOOKUP(D325,'AMFI DATA_2023H2'!F:L,'AMFI DATA_2023H2'!L:L)</f>
        <v>322</v>
      </c>
      <c r="B325" s="4" t="s">
        <v>975</v>
      </c>
      <c r="C325" s="4" t="s">
        <v>976</v>
      </c>
      <c r="D325" s="5" t="s">
        <v>977</v>
      </c>
      <c r="E325" s="5">
        <v>8149.12</v>
      </c>
      <c r="F325" s="6">
        <f>LOOKUP(D325,'AMFI DATA_2023H2'!F:J,'AMFI DATA_2023H2'!J:J)</f>
        <v>14472.7991</v>
      </c>
      <c r="G325" s="7">
        <f t="shared" si="1"/>
        <v>-1</v>
      </c>
      <c r="H325" s="8"/>
      <c r="I325" s="8">
        <v>22032</v>
      </c>
      <c r="J325" s="8">
        <v>21449</v>
      </c>
      <c r="K325" s="8">
        <v>22085</v>
      </c>
      <c r="L325" s="8">
        <v>21507</v>
      </c>
      <c r="M325" s="8">
        <v>21683</v>
      </c>
      <c r="N325" s="8">
        <v>21693</v>
      </c>
      <c r="O325" s="8">
        <v>20590</v>
      </c>
      <c r="P325" s="8">
        <v>20393</v>
      </c>
      <c r="Q325" s="8">
        <v>19897</v>
      </c>
      <c r="R325" s="8">
        <v>19586</v>
      </c>
      <c r="S325" s="8">
        <v>19679</v>
      </c>
      <c r="T325" s="8">
        <v>18958</v>
      </c>
      <c r="U325" s="8">
        <v>18900</v>
      </c>
      <c r="V325" s="8">
        <v>18943</v>
      </c>
      <c r="W325" s="8">
        <v>19360</v>
      </c>
      <c r="X325" s="8">
        <v>19887</v>
      </c>
      <c r="Y325" s="8">
        <v>19854</v>
      </c>
      <c r="Z325" s="8">
        <v>20268</v>
      </c>
      <c r="AA325" s="8">
        <v>20270</v>
      </c>
      <c r="AB325" s="8">
        <v>20439</v>
      </c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ht="14.4">
      <c r="A326" s="3">
        <f>LOOKUP(D326,'AMFI DATA_2023H2'!F:L,'AMFI DATA_2023H2'!L:L)</f>
        <v>323</v>
      </c>
      <c r="B326" s="4" t="s">
        <v>978</v>
      </c>
      <c r="C326" s="4" t="s">
        <v>979</v>
      </c>
      <c r="D326" s="5" t="s">
        <v>980</v>
      </c>
      <c r="E326" s="5">
        <v>11261.63</v>
      </c>
      <c r="F326" s="6">
        <f>LOOKUP(D326,'AMFI DATA_2023H2'!F:J,'AMFI DATA_2023H2'!J:J)</f>
        <v>14344.126049999999</v>
      </c>
      <c r="G326" s="7">
        <f t="shared" si="1"/>
        <v>-1</v>
      </c>
      <c r="H326" s="8"/>
      <c r="I326" s="8">
        <v>18279</v>
      </c>
      <c r="J326" s="8">
        <v>17867</v>
      </c>
      <c r="K326" s="8">
        <v>17710</v>
      </c>
      <c r="L326" s="8">
        <v>18086</v>
      </c>
      <c r="M326" s="8">
        <v>18057</v>
      </c>
      <c r="N326" s="8">
        <v>17491</v>
      </c>
      <c r="O326" s="8">
        <v>17510</v>
      </c>
      <c r="P326" s="8">
        <v>17254</v>
      </c>
      <c r="Q326" s="8">
        <v>17235</v>
      </c>
      <c r="R326" s="8">
        <v>16969</v>
      </c>
      <c r="S326" s="8">
        <v>17445</v>
      </c>
      <c r="T326" s="8">
        <v>17541</v>
      </c>
      <c r="U326" s="8">
        <v>16816</v>
      </c>
      <c r="V326" s="8">
        <v>16635</v>
      </c>
      <c r="W326" s="8">
        <v>15634</v>
      </c>
      <c r="X326" s="8">
        <v>15603</v>
      </c>
      <c r="Y326" s="8">
        <v>15134</v>
      </c>
      <c r="Z326" s="8">
        <v>15128</v>
      </c>
      <c r="AA326" s="8">
        <v>15103</v>
      </c>
      <c r="AB326" s="8">
        <v>14856</v>
      </c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</row>
    <row r="327" spans="1:47" ht="14.4">
      <c r="A327" s="3">
        <f>LOOKUP(D327,'AMFI DATA_2023H2'!F:L,'AMFI DATA_2023H2'!L:L)</f>
        <v>324</v>
      </c>
      <c r="B327" s="4" t="s">
        <v>981</v>
      </c>
      <c r="C327" s="4" t="s">
        <v>982</v>
      </c>
      <c r="D327" s="5" t="s">
        <v>983</v>
      </c>
      <c r="E327" s="5">
        <v>9582.75</v>
      </c>
      <c r="F327" s="6">
        <f>LOOKUP(D327,'AMFI DATA_2023H2'!F:J,'AMFI DATA_2023H2'!J:J)</f>
        <v>14329.0247</v>
      </c>
      <c r="G327" s="7">
        <f t="shared" si="1"/>
        <v>-1</v>
      </c>
      <c r="H327" s="8"/>
      <c r="I327" s="8">
        <v>23614</v>
      </c>
      <c r="J327" s="8">
        <v>22629</v>
      </c>
      <c r="K327" s="8">
        <v>22490</v>
      </c>
      <c r="L327" s="8">
        <v>22053</v>
      </c>
      <c r="M327" s="8">
        <v>22811</v>
      </c>
      <c r="N327" s="8">
        <v>23129</v>
      </c>
      <c r="O327" s="8">
        <v>22571</v>
      </c>
      <c r="P327" s="8">
        <v>20869</v>
      </c>
      <c r="Q327" s="8">
        <v>20494</v>
      </c>
      <c r="R327" s="8">
        <v>19742</v>
      </c>
      <c r="S327" s="8">
        <v>19226</v>
      </c>
      <c r="T327" s="8">
        <v>19126</v>
      </c>
      <c r="U327" s="8">
        <v>18388</v>
      </c>
      <c r="V327" s="8">
        <v>18407</v>
      </c>
      <c r="W327" s="8">
        <v>18715</v>
      </c>
      <c r="X327" s="8">
        <v>18416</v>
      </c>
      <c r="Y327" s="8">
        <v>18121</v>
      </c>
      <c r="Z327" s="8">
        <v>17980</v>
      </c>
      <c r="AA327" s="8">
        <v>18613</v>
      </c>
      <c r="AB327" s="8">
        <v>18811</v>
      </c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ht="14.4">
      <c r="A328" s="3">
        <f>LOOKUP(D328,'AMFI DATA_2023H2'!F:L,'AMFI DATA_2023H2'!L:L)</f>
        <v>325</v>
      </c>
      <c r="B328" s="4" t="s">
        <v>984</v>
      </c>
      <c r="C328" s="4" t="s">
        <v>985</v>
      </c>
      <c r="D328" s="5" t="s">
        <v>986</v>
      </c>
      <c r="E328" s="5">
        <v>12205.57</v>
      </c>
      <c r="F328" s="6">
        <f>LOOKUP(D328,'AMFI DATA_2023H2'!F:J,'AMFI DATA_2023H2'!J:J)</f>
        <v>14290.19615</v>
      </c>
      <c r="G328" s="7">
        <f t="shared" si="1"/>
        <v>-1</v>
      </c>
      <c r="H328" s="8"/>
      <c r="I328" s="8">
        <v>17470</v>
      </c>
      <c r="J328" s="8">
        <v>17329</v>
      </c>
      <c r="K328" s="8">
        <v>17183</v>
      </c>
      <c r="L328" s="8">
        <v>17364</v>
      </c>
      <c r="M328" s="8">
        <v>17944</v>
      </c>
      <c r="N328" s="8">
        <v>18283</v>
      </c>
      <c r="O328" s="8">
        <v>18394</v>
      </c>
      <c r="P328" s="8">
        <v>18699</v>
      </c>
      <c r="Q328" s="8">
        <v>18546</v>
      </c>
      <c r="R328" s="8">
        <v>18709</v>
      </c>
      <c r="S328" s="8">
        <v>18940</v>
      </c>
      <c r="T328" s="8">
        <v>19115</v>
      </c>
      <c r="U328" s="8">
        <v>18829</v>
      </c>
      <c r="V328" s="8">
        <v>18521</v>
      </c>
      <c r="W328" s="8">
        <v>18583</v>
      </c>
      <c r="X328" s="8">
        <v>18558</v>
      </c>
      <c r="Y328" s="8">
        <v>17792</v>
      </c>
      <c r="Z328" s="8">
        <v>17729</v>
      </c>
      <c r="AA328" s="8">
        <v>17952</v>
      </c>
      <c r="AB328" s="8">
        <v>18128</v>
      </c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</row>
    <row r="329" spans="1:47" ht="14.4">
      <c r="A329" s="3">
        <f>LOOKUP(D329,'AMFI DATA_2023H2'!F:L,'AMFI DATA_2023H2'!L:L)</f>
        <v>326</v>
      </c>
      <c r="B329" s="4" t="s">
        <v>987</v>
      </c>
      <c r="C329" s="4" t="s">
        <v>988</v>
      </c>
      <c r="D329" s="5" t="s">
        <v>989</v>
      </c>
      <c r="E329" s="5">
        <v>14529.35</v>
      </c>
      <c r="F329" s="6">
        <f>LOOKUP(D329,'AMFI DATA_2023H2'!F:J,'AMFI DATA_2023H2'!J:J)</f>
        <v>14226.8768</v>
      </c>
      <c r="G329" s="7">
        <f t="shared" si="1"/>
        <v>-1</v>
      </c>
      <c r="H329" s="8"/>
      <c r="I329" s="8">
        <v>14224</v>
      </c>
      <c r="J329" s="8">
        <v>13987</v>
      </c>
      <c r="K329" s="8">
        <v>14134</v>
      </c>
      <c r="L329" s="8">
        <v>14273</v>
      </c>
      <c r="M329" s="8">
        <v>14499</v>
      </c>
      <c r="N329" s="8">
        <v>14531</v>
      </c>
      <c r="O329" s="8">
        <v>14468</v>
      </c>
      <c r="P329" s="8">
        <v>14619</v>
      </c>
      <c r="Q329" s="8">
        <v>14852</v>
      </c>
      <c r="R329" s="8">
        <v>14733</v>
      </c>
      <c r="S329" s="8">
        <v>14916</v>
      </c>
      <c r="T329" s="8">
        <v>14822</v>
      </c>
      <c r="U329" s="8">
        <v>14901</v>
      </c>
      <c r="V329" s="8">
        <v>15090</v>
      </c>
      <c r="W329" s="8">
        <v>15211</v>
      </c>
      <c r="X329" s="8">
        <v>15299</v>
      </c>
      <c r="Y329" s="8">
        <v>15501</v>
      </c>
      <c r="Z329" s="8">
        <v>15376</v>
      </c>
      <c r="AA329" s="8">
        <v>14833</v>
      </c>
      <c r="AB329" s="8">
        <v>14103</v>
      </c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ht="14.4">
      <c r="A330" s="3">
        <f>LOOKUP(D330,'AMFI DATA_2023H2'!F:L,'AMFI DATA_2023H2'!L:L)</f>
        <v>327</v>
      </c>
      <c r="B330" s="4" t="s">
        <v>990</v>
      </c>
      <c r="C330" s="4" t="s">
        <v>991</v>
      </c>
      <c r="D330" s="5" t="s">
        <v>992</v>
      </c>
      <c r="E330" s="5">
        <v>13099.18</v>
      </c>
      <c r="F330" s="6">
        <f>LOOKUP(D330,'AMFI DATA_2023H2'!F:J,'AMFI DATA_2023H2'!J:J)</f>
        <v>14208.420249999999</v>
      </c>
      <c r="G330" s="7">
        <f t="shared" si="1"/>
        <v>-1</v>
      </c>
      <c r="H330" s="8"/>
      <c r="I330" s="8">
        <v>18380</v>
      </c>
      <c r="J330" s="8">
        <v>18111</v>
      </c>
      <c r="K330" s="8">
        <v>17083</v>
      </c>
      <c r="L330" s="8">
        <v>17278</v>
      </c>
      <c r="M330" s="8">
        <v>17333</v>
      </c>
      <c r="N330" s="8">
        <v>17233</v>
      </c>
      <c r="O330" s="8">
        <v>17160</v>
      </c>
      <c r="P330" s="8">
        <v>16218</v>
      </c>
      <c r="Q330" s="8">
        <v>16245</v>
      </c>
      <c r="R330" s="8">
        <v>16365</v>
      </c>
      <c r="S330" s="8">
        <v>16537</v>
      </c>
      <c r="T330" s="8">
        <v>16462</v>
      </c>
      <c r="U330" s="8">
        <v>16053</v>
      </c>
      <c r="V330" s="8">
        <v>16410</v>
      </c>
      <c r="W330" s="8">
        <v>16470</v>
      </c>
      <c r="X330" s="8">
        <v>15951</v>
      </c>
      <c r="Y330" s="8">
        <v>15968</v>
      </c>
      <c r="Z330" s="8">
        <v>16265</v>
      </c>
      <c r="AA330" s="8">
        <v>16535</v>
      </c>
      <c r="AB330" s="8">
        <v>16427</v>
      </c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ht="14.4">
      <c r="A331" s="3">
        <f>LOOKUP(D331,'AMFI DATA_2023H2'!F:L,'AMFI DATA_2023H2'!L:L)</f>
        <v>328</v>
      </c>
      <c r="B331" s="4" t="s">
        <v>993</v>
      </c>
      <c r="C331" s="4" t="s">
        <v>994</v>
      </c>
      <c r="D331" s="5" t="s">
        <v>995</v>
      </c>
      <c r="E331" s="5">
        <v>10209.07</v>
      </c>
      <c r="F331" s="6">
        <f>LOOKUP(D331,'AMFI DATA_2023H2'!F:J,'AMFI DATA_2023H2'!J:J)</f>
        <v>14175.738499999999</v>
      </c>
      <c r="G331" s="7">
        <f t="shared" si="1"/>
        <v>-1</v>
      </c>
      <c r="H331" s="8"/>
      <c r="I331" s="8">
        <v>14696</v>
      </c>
      <c r="J331" s="8">
        <v>14433</v>
      </c>
      <c r="K331" s="8">
        <v>14531</v>
      </c>
      <c r="L331" s="8">
        <v>14450</v>
      </c>
      <c r="M331" s="8">
        <v>14576</v>
      </c>
      <c r="N331" s="8">
        <v>14634</v>
      </c>
      <c r="O331" s="8">
        <v>14606</v>
      </c>
      <c r="P331" s="8">
        <v>14692</v>
      </c>
      <c r="Q331" s="8">
        <v>14668</v>
      </c>
      <c r="R331" s="8">
        <v>14773</v>
      </c>
      <c r="S331" s="8">
        <v>14714</v>
      </c>
      <c r="T331" s="8">
        <v>14585</v>
      </c>
      <c r="U331" s="8">
        <v>14499</v>
      </c>
      <c r="V331" s="8">
        <v>14661</v>
      </c>
      <c r="W331" s="8">
        <v>14844</v>
      </c>
      <c r="X331" s="8">
        <v>14785</v>
      </c>
      <c r="Y331" s="8">
        <v>14713</v>
      </c>
      <c r="Z331" s="8">
        <v>14719</v>
      </c>
      <c r="AA331" s="8">
        <v>14546</v>
      </c>
      <c r="AB331" s="8">
        <v>14511</v>
      </c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</row>
    <row r="332" spans="1:47" ht="14.4">
      <c r="A332" s="3">
        <f>LOOKUP(D332,'AMFI DATA_2023H2'!F:L,'AMFI DATA_2023H2'!L:L)</f>
        <v>329</v>
      </c>
      <c r="B332" s="4" t="s">
        <v>996</v>
      </c>
      <c r="C332" s="4" t="s">
        <v>997</v>
      </c>
      <c r="D332" s="5" t="s">
        <v>998</v>
      </c>
      <c r="E332" s="5">
        <v>9530.66</v>
      </c>
      <c r="F332" s="6">
        <f>LOOKUP(D332,'AMFI DATA_2023H2'!F:J,'AMFI DATA_2023H2'!J:J)</f>
        <v>14113.046050000001</v>
      </c>
      <c r="G332" s="7">
        <f t="shared" si="1"/>
        <v>-1</v>
      </c>
      <c r="H332" s="8"/>
      <c r="I332" s="8">
        <v>16039</v>
      </c>
      <c r="J332" s="8">
        <v>16289</v>
      </c>
      <c r="K332" s="8">
        <v>17168</v>
      </c>
      <c r="L332" s="8">
        <v>17723</v>
      </c>
      <c r="M332" s="8">
        <v>17662</v>
      </c>
      <c r="N332" s="8">
        <v>17632</v>
      </c>
      <c r="O332" s="8">
        <v>17820</v>
      </c>
      <c r="P332" s="8">
        <v>17107</v>
      </c>
      <c r="Q332" s="8">
        <v>16974</v>
      </c>
      <c r="R332" s="8">
        <v>17174</v>
      </c>
      <c r="S332" s="8">
        <v>17355</v>
      </c>
      <c r="T332" s="8">
        <v>17276</v>
      </c>
      <c r="U332" s="8">
        <v>17166</v>
      </c>
      <c r="V332" s="8">
        <v>16928</v>
      </c>
      <c r="W332" s="8">
        <v>16994</v>
      </c>
      <c r="X332" s="8">
        <v>16825</v>
      </c>
      <c r="Y332" s="8">
        <v>16208</v>
      </c>
      <c r="Z332" s="8">
        <v>15834</v>
      </c>
      <c r="AA332" s="8">
        <v>15696</v>
      </c>
      <c r="AB332" s="8">
        <v>16418</v>
      </c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ht="14.4">
      <c r="A333" s="3">
        <f>LOOKUP(D333,'AMFI DATA_2023H2'!F:L,'AMFI DATA_2023H2'!L:L)</f>
        <v>330</v>
      </c>
      <c r="B333" s="4" t="s">
        <v>999</v>
      </c>
      <c r="C333" s="4" t="s">
        <v>1000</v>
      </c>
      <c r="D333" s="5" t="s">
        <v>1001</v>
      </c>
      <c r="E333" s="5">
        <v>11585.75</v>
      </c>
      <c r="F333" s="6">
        <f>LOOKUP(D333,'AMFI DATA_2023H2'!F:J,'AMFI DATA_2023H2'!J:J)</f>
        <v>14046.9755</v>
      </c>
      <c r="G333" s="7">
        <f t="shared" si="1"/>
        <v>-1</v>
      </c>
      <c r="H333" s="8"/>
      <c r="I333" s="8">
        <v>17676</v>
      </c>
      <c r="J333" s="8">
        <v>17552</v>
      </c>
      <c r="K333" s="8">
        <v>16627</v>
      </c>
      <c r="L333" s="8">
        <v>17132</v>
      </c>
      <c r="M333" s="8">
        <v>17557</v>
      </c>
      <c r="N333" s="8">
        <v>17582</v>
      </c>
      <c r="O333" s="8">
        <v>17804</v>
      </c>
      <c r="P333" s="8">
        <v>17849</v>
      </c>
      <c r="Q333" s="8">
        <v>17784</v>
      </c>
      <c r="R333" s="8">
        <v>17868</v>
      </c>
      <c r="S333" s="8">
        <v>18635</v>
      </c>
      <c r="T333" s="8">
        <v>19115</v>
      </c>
      <c r="U333" s="8">
        <v>18719</v>
      </c>
      <c r="V333" s="8">
        <v>18699</v>
      </c>
      <c r="W333" s="8">
        <v>18922</v>
      </c>
      <c r="X333" s="8">
        <v>17784</v>
      </c>
      <c r="Y333" s="8">
        <v>17799</v>
      </c>
      <c r="Z333" s="8">
        <v>17532</v>
      </c>
      <c r="AA333" s="8">
        <v>18056</v>
      </c>
      <c r="AB333" s="8">
        <v>16078</v>
      </c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spans="1:47" ht="14.4">
      <c r="A334" s="3">
        <f>LOOKUP(D334,'AMFI DATA_2023H2'!F:L,'AMFI DATA_2023H2'!L:L)</f>
        <v>331</v>
      </c>
      <c r="B334" s="4" t="s">
        <v>1002</v>
      </c>
      <c r="C334" s="4" t="s">
        <v>1003</v>
      </c>
      <c r="D334" s="5" t="s">
        <v>1004</v>
      </c>
      <c r="E334" s="5">
        <v>10987.37</v>
      </c>
      <c r="F334" s="6">
        <f>LOOKUP(D334,'AMFI DATA_2023H2'!F:J,'AMFI DATA_2023H2'!J:J)</f>
        <v>14001.699700000001</v>
      </c>
      <c r="G334" s="7">
        <f t="shared" si="1"/>
        <v>-1</v>
      </c>
      <c r="H334" s="8"/>
      <c r="I334" s="8">
        <v>14380</v>
      </c>
      <c r="J334" s="8">
        <v>14067</v>
      </c>
      <c r="K334" s="8">
        <v>14234</v>
      </c>
      <c r="L334" s="8">
        <v>14618</v>
      </c>
      <c r="M334" s="8">
        <v>14685</v>
      </c>
      <c r="N334" s="8">
        <v>14668</v>
      </c>
      <c r="O334" s="8">
        <v>14407</v>
      </c>
      <c r="P334" s="8">
        <v>14254</v>
      </c>
      <c r="Q334" s="8">
        <v>14609</v>
      </c>
      <c r="R334" s="8">
        <v>14618</v>
      </c>
      <c r="S334" s="8">
        <v>14937</v>
      </c>
      <c r="T334" s="8">
        <v>14961</v>
      </c>
      <c r="U334" s="8">
        <v>14785</v>
      </c>
      <c r="V334" s="8">
        <v>14879</v>
      </c>
      <c r="W334" s="8">
        <v>15034</v>
      </c>
      <c r="X334" s="8">
        <v>15043</v>
      </c>
      <c r="Y334" s="8">
        <v>14835</v>
      </c>
      <c r="Z334" s="8">
        <v>14536</v>
      </c>
      <c r="AA334" s="8">
        <v>14641</v>
      </c>
      <c r="AB334" s="8">
        <v>14917</v>
      </c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spans="1:47" ht="14.4">
      <c r="A335" s="3">
        <f>LOOKUP(D335,'AMFI DATA_2023H2'!F:L,'AMFI DATA_2023H2'!L:L)</f>
        <v>332</v>
      </c>
      <c r="B335" s="4" t="s">
        <v>1005</v>
      </c>
      <c r="C335" s="4" t="s">
        <v>1006</v>
      </c>
      <c r="D335" s="5" t="s">
        <v>1007</v>
      </c>
      <c r="E335" s="5">
        <v>11472.54</v>
      </c>
      <c r="F335" s="6">
        <f>LOOKUP(D335,'AMFI DATA_2023H2'!F:J,'AMFI DATA_2023H2'!J:J)</f>
        <v>13978.04465</v>
      </c>
      <c r="G335" s="7">
        <f t="shared" si="1"/>
        <v>-1</v>
      </c>
      <c r="H335" s="8"/>
      <c r="I335" s="8">
        <v>13177</v>
      </c>
      <c r="J335" s="8">
        <v>13215</v>
      </c>
      <c r="K335" s="8">
        <v>13403</v>
      </c>
      <c r="L335" s="8">
        <v>13543</v>
      </c>
      <c r="M335" s="8">
        <v>13145</v>
      </c>
      <c r="N335" s="8">
        <v>12889</v>
      </c>
      <c r="O335" s="8">
        <v>12674</v>
      </c>
      <c r="P335" s="8">
        <v>12726</v>
      </c>
      <c r="Q335" s="8">
        <v>12742</v>
      </c>
      <c r="R335" s="8">
        <v>12763</v>
      </c>
      <c r="S335" s="8">
        <v>12806</v>
      </c>
      <c r="T335" s="8">
        <v>12733</v>
      </c>
      <c r="U335" s="8">
        <v>12739</v>
      </c>
      <c r="V335" s="8">
        <v>12800</v>
      </c>
      <c r="W335" s="8">
        <v>12819</v>
      </c>
      <c r="X335" s="8">
        <v>12650</v>
      </c>
      <c r="Y335" s="8">
        <v>12732</v>
      </c>
      <c r="Z335" s="8">
        <v>12532</v>
      </c>
      <c r="AA335" s="8">
        <v>12828</v>
      </c>
      <c r="AB335" s="8">
        <v>12806</v>
      </c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spans="1:47" ht="14.4">
      <c r="A336" s="3">
        <f>LOOKUP(D336,'AMFI DATA_2023H2'!F:L,'AMFI DATA_2023H2'!L:L)</f>
        <v>333</v>
      </c>
      <c r="B336" s="4" t="s">
        <v>1008</v>
      </c>
      <c r="C336" s="4" t="s">
        <v>1009</v>
      </c>
      <c r="D336" s="5" t="s">
        <v>1010</v>
      </c>
      <c r="E336" s="5">
        <v>10232.11</v>
      </c>
      <c r="F336" s="6">
        <f>LOOKUP(D336,'AMFI DATA_2023H2'!F:J,'AMFI DATA_2023H2'!J:J)</f>
        <v>13976.034950000001</v>
      </c>
      <c r="G336" s="7">
        <f t="shared" si="1"/>
        <v>-1</v>
      </c>
      <c r="H336" s="8"/>
      <c r="I336" s="8">
        <v>18998</v>
      </c>
      <c r="J336" s="8">
        <v>18515</v>
      </c>
      <c r="K336" s="8">
        <v>18243</v>
      </c>
      <c r="L336" s="8">
        <v>18277</v>
      </c>
      <c r="M336" s="8">
        <v>18680</v>
      </c>
      <c r="N336" s="8">
        <v>18793</v>
      </c>
      <c r="O336" s="8">
        <v>18978</v>
      </c>
      <c r="P336" s="8">
        <v>18964</v>
      </c>
      <c r="Q336" s="8">
        <v>18905</v>
      </c>
      <c r="R336" s="8">
        <v>18945</v>
      </c>
      <c r="S336" s="8">
        <v>19156</v>
      </c>
      <c r="T336" s="8">
        <v>18799</v>
      </c>
      <c r="U336" s="8">
        <v>18568</v>
      </c>
      <c r="V336" s="8">
        <v>18594</v>
      </c>
      <c r="W336" s="8">
        <v>18329</v>
      </c>
      <c r="X336" s="8">
        <v>18363</v>
      </c>
      <c r="Y336" s="8">
        <v>18283</v>
      </c>
      <c r="Z336" s="8">
        <v>18250</v>
      </c>
      <c r="AA336" s="8">
        <v>18336</v>
      </c>
      <c r="AB336" s="8">
        <v>18587</v>
      </c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spans="1:47" ht="14.4">
      <c r="A337" s="3">
        <f>LOOKUP(D337,'AMFI DATA_2023H2'!F:L,'AMFI DATA_2023H2'!L:L)</f>
        <v>334</v>
      </c>
      <c r="B337" s="4" t="s">
        <v>1011</v>
      </c>
      <c r="C337" s="4" t="s">
        <v>1012</v>
      </c>
      <c r="D337" s="5" t="s">
        <v>1013</v>
      </c>
      <c r="E337" s="5">
        <v>9470.2099999999991</v>
      </c>
      <c r="F337" s="6">
        <f>LOOKUP(D337,'AMFI DATA_2023H2'!F:J,'AMFI DATA_2023H2'!J:J)</f>
        <v>13926.097300000001</v>
      </c>
      <c r="G337" s="7">
        <f t="shared" si="1"/>
        <v>-1</v>
      </c>
      <c r="H337" s="8"/>
      <c r="I337" s="8">
        <v>15831</v>
      </c>
      <c r="J337" s="8">
        <v>15512</v>
      </c>
      <c r="K337" s="8">
        <v>15916</v>
      </c>
      <c r="L337" s="8">
        <v>16234</v>
      </c>
      <c r="M337" s="8">
        <v>16032</v>
      </c>
      <c r="N337" s="8">
        <v>15956</v>
      </c>
      <c r="O337" s="8">
        <v>15959</v>
      </c>
      <c r="P337" s="8">
        <v>16088</v>
      </c>
      <c r="Q337" s="8">
        <v>14625</v>
      </c>
      <c r="R337" s="8">
        <v>14542</v>
      </c>
      <c r="S337" s="8">
        <v>14841</v>
      </c>
      <c r="T337" s="8">
        <v>14591</v>
      </c>
      <c r="U337" s="8">
        <v>14622</v>
      </c>
      <c r="V337" s="8">
        <v>14903</v>
      </c>
      <c r="W337" s="8">
        <v>14786</v>
      </c>
      <c r="X337" s="8">
        <v>14753</v>
      </c>
      <c r="Y337" s="8">
        <v>14771</v>
      </c>
      <c r="Z337" s="8">
        <v>14936</v>
      </c>
      <c r="AA337" s="8">
        <v>14585</v>
      </c>
      <c r="AB337" s="8">
        <v>14632</v>
      </c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</row>
    <row r="338" spans="1:47" ht="14.4">
      <c r="A338" s="3">
        <f>LOOKUP(D338,'AMFI DATA_2023H2'!F:L,'AMFI DATA_2023H2'!L:L)</f>
        <v>335</v>
      </c>
      <c r="B338" s="4" t="s">
        <v>1014</v>
      </c>
      <c r="C338" s="4" t="s">
        <v>1015</v>
      </c>
      <c r="D338" s="5" t="s">
        <v>1016</v>
      </c>
      <c r="E338" s="5">
        <v>11745.9</v>
      </c>
      <c r="F338" s="6">
        <f>LOOKUP(D338,'AMFI DATA_2023H2'!F:J,'AMFI DATA_2023H2'!J:J)</f>
        <v>13689.761399999999</v>
      </c>
      <c r="G338" s="7">
        <f t="shared" si="1"/>
        <v>-1</v>
      </c>
      <c r="H338" s="8"/>
      <c r="I338" s="8">
        <v>13305</v>
      </c>
      <c r="J338" s="8">
        <v>13433</v>
      </c>
      <c r="K338" s="8">
        <v>13449</v>
      </c>
      <c r="L338" s="8">
        <v>13541</v>
      </c>
      <c r="M338" s="8">
        <v>13687</v>
      </c>
      <c r="N338" s="8">
        <v>13843</v>
      </c>
      <c r="O338" s="8">
        <v>13759</v>
      </c>
      <c r="P338" s="8">
        <v>13563</v>
      </c>
      <c r="Q338" s="8">
        <v>13415</v>
      </c>
      <c r="R338" s="8">
        <v>13628</v>
      </c>
      <c r="S338" s="8">
        <v>13859</v>
      </c>
      <c r="T338" s="8">
        <v>13988</v>
      </c>
      <c r="U338" s="8">
        <v>14123</v>
      </c>
      <c r="V338" s="8">
        <v>14156</v>
      </c>
      <c r="W338" s="8">
        <v>13905</v>
      </c>
      <c r="X338" s="8">
        <v>14017</v>
      </c>
      <c r="Y338" s="8">
        <v>13801</v>
      </c>
      <c r="Z338" s="8">
        <v>13595</v>
      </c>
      <c r="AA338" s="8">
        <v>13498</v>
      </c>
      <c r="AB338" s="8">
        <v>13671</v>
      </c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</row>
    <row r="339" spans="1:47" ht="14.4">
      <c r="A339" s="3">
        <f>LOOKUP(D339,'AMFI DATA_2023H2'!F:L,'AMFI DATA_2023H2'!L:L)</f>
        <v>336</v>
      </c>
      <c r="B339" s="4" t="s">
        <v>1017</v>
      </c>
      <c r="C339" s="4" t="s">
        <v>1018</v>
      </c>
      <c r="D339" s="5" t="s">
        <v>1019</v>
      </c>
      <c r="E339" s="5">
        <v>19506.16</v>
      </c>
      <c r="F339" s="6">
        <f>LOOKUP(D339,'AMFI DATA_2023H2'!F:J,'AMFI DATA_2023H2'!J:J)</f>
        <v>13645.52475</v>
      </c>
      <c r="G339" s="7">
        <f t="shared" si="1"/>
        <v>-1</v>
      </c>
      <c r="H339" s="8"/>
      <c r="I339" s="8">
        <v>10691</v>
      </c>
      <c r="J339" s="8">
        <v>10492</v>
      </c>
      <c r="K339" s="8">
        <v>10624</v>
      </c>
      <c r="L339" s="8">
        <v>10832</v>
      </c>
      <c r="M339" s="8">
        <v>10911</v>
      </c>
      <c r="N339" s="8">
        <v>10941</v>
      </c>
      <c r="O339" s="8">
        <v>10932</v>
      </c>
      <c r="P339" s="8">
        <v>10925</v>
      </c>
      <c r="Q339" s="8">
        <v>11063</v>
      </c>
      <c r="R339" s="8">
        <v>10954</v>
      </c>
      <c r="S339" s="8">
        <v>11056</v>
      </c>
      <c r="T339" s="8">
        <v>10964</v>
      </c>
      <c r="U339" s="8">
        <v>11000</v>
      </c>
      <c r="V339" s="8">
        <v>11010</v>
      </c>
      <c r="W339" s="8">
        <v>11158</v>
      </c>
      <c r="X339" s="8">
        <v>10824</v>
      </c>
      <c r="Y339" s="8">
        <v>10755</v>
      </c>
      <c r="Z339" s="8">
        <v>10638</v>
      </c>
      <c r="AA339" s="8">
        <v>10659</v>
      </c>
      <c r="AB339" s="8">
        <v>10604</v>
      </c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spans="1:47" ht="14.4">
      <c r="A340" s="3">
        <f>LOOKUP(D340,'AMFI DATA_2023H2'!F:L,'AMFI DATA_2023H2'!L:L)</f>
        <v>337</v>
      </c>
      <c r="B340" s="4" t="s">
        <v>1020</v>
      </c>
      <c r="C340" s="4" t="s">
        <v>1021</v>
      </c>
      <c r="D340" s="5" t="s">
        <v>1022</v>
      </c>
      <c r="E340" s="5">
        <v>12632.85</v>
      </c>
      <c r="F340" s="6">
        <f>LOOKUP(D340,'AMFI DATA_2023H2'!F:J,'AMFI DATA_2023H2'!J:J)</f>
        <v>13440.766449999999</v>
      </c>
      <c r="G340" s="7">
        <f t="shared" si="1"/>
        <v>-1</v>
      </c>
      <c r="H340" s="8"/>
      <c r="I340" s="8">
        <v>13544</v>
      </c>
      <c r="J340" s="8">
        <v>13460</v>
      </c>
      <c r="K340" s="8">
        <v>14098</v>
      </c>
      <c r="L340" s="8">
        <v>14232</v>
      </c>
      <c r="M340" s="8">
        <v>14390</v>
      </c>
      <c r="N340" s="8">
        <v>14047</v>
      </c>
      <c r="O340" s="8">
        <v>13545</v>
      </c>
      <c r="P340" s="8">
        <v>13593</v>
      </c>
      <c r="Q340" s="8">
        <v>13628</v>
      </c>
      <c r="R340" s="8">
        <v>13522</v>
      </c>
      <c r="S340" s="8">
        <v>13857</v>
      </c>
      <c r="T340" s="8">
        <v>13715</v>
      </c>
      <c r="U340" s="8">
        <v>13779</v>
      </c>
      <c r="V340" s="8">
        <v>13845</v>
      </c>
      <c r="W340" s="8">
        <v>13737</v>
      </c>
      <c r="X340" s="8">
        <v>13641</v>
      </c>
      <c r="Y340" s="8">
        <v>13662</v>
      </c>
      <c r="Z340" s="8">
        <v>13772</v>
      </c>
      <c r="AA340" s="8">
        <v>13856</v>
      </c>
      <c r="AB340" s="8">
        <v>13958</v>
      </c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spans="1:47" ht="14.4">
      <c r="A341" s="3">
        <f>LOOKUP(D341,'AMFI DATA_2023H2'!F:L,'AMFI DATA_2023H2'!L:L)</f>
        <v>338</v>
      </c>
      <c r="B341" s="4" t="s">
        <v>1023</v>
      </c>
      <c r="C341" s="4" t="s">
        <v>1024</v>
      </c>
      <c r="D341" s="5" t="s">
        <v>1025</v>
      </c>
      <c r="E341" s="5">
        <v>7367.95</v>
      </c>
      <c r="F341" s="6">
        <f>LOOKUP(D341,'AMFI DATA_2023H2'!F:J,'AMFI DATA_2023H2'!J:J)</f>
        <v>13342.221649999999</v>
      </c>
      <c r="G341" s="7">
        <f t="shared" si="1"/>
        <v>-1</v>
      </c>
      <c r="H341" s="8"/>
      <c r="I341" s="8">
        <v>19462</v>
      </c>
      <c r="J341" s="8">
        <v>19042</v>
      </c>
      <c r="K341" s="8">
        <v>18403</v>
      </c>
      <c r="L341" s="8">
        <v>18348</v>
      </c>
      <c r="M341" s="8">
        <v>18348</v>
      </c>
      <c r="N341" s="8">
        <v>18564</v>
      </c>
      <c r="O341" s="8">
        <v>18349</v>
      </c>
      <c r="P341" s="8">
        <v>18140</v>
      </c>
      <c r="Q341" s="8">
        <v>18733</v>
      </c>
      <c r="R341" s="8">
        <v>18544</v>
      </c>
      <c r="S341" s="8">
        <v>19012</v>
      </c>
      <c r="T341" s="8">
        <v>18452</v>
      </c>
      <c r="U341" s="8">
        <v>17940</v>
      </c>
      <c r="V341" s="8">
        <v>17753</v>
      </c>
      <c r="W341" s="8">
        <v>17663</v>
      </c>
      <c r="X341" s="8">
        <v>17630</v>
      </c>
      <c r="Y341" s="8">
        <v>17749</v>
      </c>
      <c r="Z341" s="8">
        <v>17786</v>
      </c>
      <c r="AA341" s="8">
        <v>17554</v>
      </c>
      <c r="AB341" s="8">
        <v>17598</v>
      </c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</row>
    <row r="342" spans="1:47" ht="14.4">
      <c r="A342" s="3">
        <f>LOOKUP(D342,'AMFI DATA_2023H2'!F:L,'AMFI DATA_2023H2'!L:L)</f>
        <v>339</v>
      </c>
      <c r="B342" s="4" t="s">
        <v>1026</v>
      </c>
      <c r="C342" s="4" t="s">
        <v>1027</v>
      </c>
      <c r="D342" s="5" t="s">
        <v>1028</v>
      </c>
      <c r="E342" s="5">
        <v>9198.5</v>
      </c>
      <c r="F342" s="6">
        <f>LOOKUP(D342,'AMFI DATA_2023H2'!F:J,'AMFI DATA_2023H2'!J:J)</f>
        <v>13337.878649999999</v>
      </c>
      <c r="G342" s="7">
        <f t="shared" si="1"/>
        <v>-1</v>
      </c>
      <c r="H342" s="8"/>
      <c r="I342" s="8">
        <v>13922</v>
      </c>
      <c r="J342" s="8">
        <v>13924</v>
      </c>
      <c r="K342" s="8">
        <v>13898</v>
      </c>
      <c r="L342" s="8">
        <v>14056</v>
      </c>
      <c r="M342" s="8">
        <v>13931</v>
      </c>
      <c r="N342" s="8">
        <v>14031</v>
      </c>
      <c r="O342" s="8">
        <v>14016</v>
      </c>
      <c r="P342" s="8">
        <v>14035</v>
      </c>
      <c r="Q342" s="8">
        <v>14506</v>
      </c>
      <c r="R342" s="8">
        <v>14536</v>
      </c>
      <c r="S342" s="8">
        <v>14214</v>
      </c>
      <c r="T342" s="8">
        <v>13767</v>
      </c>
      <c r="U342" s="8">
        <v>13851</v>
      </c>
      <c r="V342" s="8">
        <v>13899</v>
      </c>
      <c r="W342" s="8">
        <v>14113</v>
      </c>
      <c r="X342" s="8">
        <v>14313</v>
      </c>
      <c r="Y342" s="8">
        <v>14493</v>
      </c>
      <c r="Z342" s="8">
        <v>14600</v>
      </c>
      <c r="AA342" s="8">
        <v>13837</v>
      </c>
      <c r="AB342" s="8">
        <v>14004</v>
      </c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spans="1:47" ht="14.4">
      <c r="A343" s="3">
        <f>LOOKUP(D343,'AMFI DATA_2023H2'!F:L,'AMFI DATA_2023H2'!L:L)</f>
        <v>340</v>
      </c>
      <c r="B343" s="4" t="s">
        <v>1029</v>
      </c>
      <c r="C343" s="4" t="s">
        <v>1030</v>
      </c>
      <c r="D343" s="5" t="s">
        <v>1031</v>
      </c>
      <c r="E343" s="5">
        <v>10733.97</v>
      </c>
      <c r="F343" s="6">
        <f>LOOKUP(D343,'AMFI DATA_2023H2'!F:J,'AMFI DATA_2023H2'!J:J)</f>
        <v>12914.888500000001</v>
      </c>
      <c r="G343" s="7">
        <f t="shared" si="1"/>
        <v>-1</v>
      </c>
      <c r="H343" s="8"/>
      <c r="I343" s="8">
        <v>14352</v>
      </c>
      <c r="J343" s="8">
        <v>14414</v>
      </c>
      <c r="K343" s="8">
        <v>14076</v>
      </c>
      <c r="L343" s="8">
        <v>14622</v>
      </c>
      <c r="M343" s="8">
        <v>14969</v>
      </c>
      <c r="N343" s="8">
        <v>14972</v>
      </c>
      <c r="O343" s="8">
        <v>14544</v>
      </c>
      <c r="P343" s="8">
        <v>14702</v>
      </c>
      <c r="Q343" s="8">
        <v>14718</v>
      </c>
      <c r="R343" s="8">
        <v>14702</v>
      </c>
      <c r="S343" s="8">
        <v>14727</v>
      </c>
      <c r="T343" s="8">
        <v>13545</v>
      </c>
      <c r="U343" s="8">
        <v>13194</v>
      </c>
      <c r="V343" s="8">
        <v>13021</v>
      </c>
      <c r="W343" s="8">
        <v>13058</v>
      </c>
      <c r="X343" s="8">
        <v>13142</v>
      </c>
      <c r="Y343" s="8">
        <v>12918</v>
      </c>
      <c r="Z343" s="8">
        <v>13210</v>
      </c>
      <c r="AA343" s="8">
        <v>13107</v>
      </c>
      <c r="AB343" s="8">
        <v>13011</v>
      </c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spans="1:47" ht="14.4">
      <c r="A344" s="3">
        <f>LOOKUP(D344,'AMFI DATA_2023H2'!F:L,'AMFI DATA_2023H2'!L:L)</f>
        <v>341</v>
      </c>
      <c r="B344" s="4" t="s">
        <v>1032</v>
      </c>
      <c r="C344" s="4" t="s">
        <v>1033</v>
      </c>
      <c r="D344" s="5" t="s">
        <v>1034</v>
      </c>
      <c r="E344" s="5">
        <v>10901.71</v>
      </c>
      <c r="F344" s="6">
        <f>LOOKUP(D344,'AMFI DATA_2023H2'!F:J,'AMFI DATA_2023H2'!J:J)</f>
        <v>12883.231400000001</v>
      </c>
      <c r="G344" s="7">
        <f t="shared" si="1"/>
        <v>-1</v>
      </c>
      <c r="H344" s="8"/>
      <c r="I344" s="8">
        <v>12620</v>
      </c>
      <c r="J344" s="8">
        <v>12689</v>
      </c>
      <c r="K344" s="8">
        <v>12720</v>
      </c>
      <c r="L344" s="8">
        <v>12813</v>
      </c>
      <c r="M344" s="8">
        <v>12581</v>
      </c>
      <c r="N344" s="8">
        <v>12754</v>
      </c>
      <c r="O344" s="8">
        <v>12828</v>
      </c>
      <c r="P344" s="8">
        <v>12653</v>
      </c>
      <c r="Q344" s="8">
        <v>12663</v>
      </c>
      <c r="R344" s="8">
        <v>12776</v>
      </c>
      <c r="S344" s="8">
        <v>12787</v>
      </c>
      <c r="T344" s="8">
        <v>12798</v>
      </c>
      <c r="U344" s="8">
        <v>12776</v>
      </c>
      <c r="V344" s="8">
        <v>12555</v>
      </c>
      <c r="W344" s="8">
        <v>12640</v>
      </c>
      <c r="X344" s="8">
        <v>12663</v>
      </c>
      <c r="Y344" s="8">
        <v>12325</v>
      </c>
      <c r="Z344" s="8">
        <v>12535</v>
      </c>
      <c r="AA344" s="8">
        <v>12571</v>
      </c>
      <c r="AB344" s="8">
        <v>12715</v>
      </c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spans="1:47" ht="14.4">
      <c r="A345" s="3">
        <f>LOOKUP(D345,'AMFI DATA_2023H2'!F:L,'AMFI DATA_2023H2'!L:L)</f>
        <v>342</v>
      </c>
      <c r="B345" s="4" t="s">
        <v>1035</v>
      </c>
      <c r="C345" s="4" t="s">
        <v>1036</v>
      </c>
      <c r="D345" s="5" t="s">
        <v>1037</v>
      </c>
      <c r="E345" s="5">
        <v>12465.48</v>
      </c>
      <c r="F345" s="6">
        <f>LOOKUP(D345,'AMFI DATA_2023H2'!F:J,'AMFI DATA_2023H2'!J:J)</f>
        <v>12815.60745</v>
      </c>
      <c r="G345" s="7">
        <f t="shared" si="1"/>
        <v>-1</v>
      </c>
      <c r="H345" s="8"/>
      <c r="I345" s="8">
        <v>12195</v>
      </c>
      <c r="J345" s="8">
        <v>12143</v>
      </c>
      <c r="K345" s="8">
        <v>12224</v>
      </c>
      <c r="L345" s="8">
        <v>12356</v>
      </c>
      <c r="M345" s="8">
        <v>12483</v>
      </c>
      <c r="N345" s="8">
        <v>12459</v>
      </c>
      <c r="O345" s="8">
        <v>12556</v>
      </c>
      <c r="P345" s="8">
        <v>12656</v>
      </c>
      <c r="Q345" s="8">
        <v>12854</v>
      </c>
      <c r="R345" s="8">
        <v>12875</v>
      </c>
      <c r="S345" s="8">
        <v>13108</v>
      </c>
      <c r="T345" s="8">
        <v>13220</v>
      </c>
      <c r="U345" s="8">
        <v>13029</v>
      </c>
      <c r="V345" s="8">
        <v>13293</v>
      </c>
      <c r="W345" s="8">
        <v>13472</v>
      </c>
      <c r="X345" s="8">
        <v>13668</v>
      </c>
      <c r="Y345" s="8">
        <v>13711</v>
      </c>
      <c r="Z345" s="8">
        <v>13876</v>
      </c>
      <c r="AA345" s="8">
        <v>13297</v>
      </c>
      <c r="AB345" s="8">
        <v>13390</v>
      </c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</row>
    <row r="346" spans="1:47" ht="14.4">
      <c r="A346" s="3">
        <f>LOOKUP(D346,'AMFI DATA_2023H2'!F:L,'AMFI DATA_2023H2'!L:L)</f>
        <v>343</v>
      </c>
      <c r="B346" s="4" t="s">
        <v>1038</v>
      </c>
      <c r="C346" s="4" t="s">
        <v>1039</v>
      </c>
      <c r="D346" s="5" t="s">
        <v>1040</v>
      </c>
      <c r="E346" s="5">
        <v>13814.4</v>
      </c>
      <c r="F346" s="6">
        <f>LOOKUP(D346,'AMFI DATA_2023H2'!F:J,'AMFI DATA_2023H2'!J:J)</f>
        <v>12743.4413</v>
      </c>
      <c r="G346" s="7">
        <f t="shared" si="1"/>
        <v>-1</v>
      </c>
      <c r="H346" s="8"/>
      <c r="I346" s="8">
        <v>13916</v>
      </c>
      <c r="J346" s="8">
        <v>13834</v>
      </c>
      <c r="K346" s="8">
        <v>13814</v>
      </c>
      <c r="L346" s="8">
        <v>13982</v>
      </c>
      <c r="M346" s="8">
        <v>14076</v>
      </c>
      <c r="N346" s="8">
        <v>13912</v>
      </c>
      <c r="O346" s="8">
        <v>14064</v>
      </c>
      <c r="P346" s="8">
        <v>13912</v>
      </c>
      <c r="Q346" s="8">
        <v>14064</v>
      </c>
      <c r="R346" s="8">
        <v>14158</v>
      </c>
      <c r="S346" s="8">
        <v>13727</v>
      </c>
      <c r="T346" s="8">
        <v>13664</v>
      </c>
      <c r="U346" s="8">
        <v>13696</v>
      </c>
      <c r="V346" s="8">
        <v>13786</v>
      </c>
      <c r="W346" s="8">
        <v>13688</v>
      </c>
      <c r="X346" s="8">
        <v>13786</v>
      </c>
      <c r="Y346" s="8">
        <v>13907</v>
      </c>
      <c r="Z346" s="8">
        <v>13868</v>
      </c>
      <c r="AA346" s="8">
        <v>13754</v>
      </c>
      <c r="AB346" s="8">
        <v>13743</v>
      </c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spans="1:47" ht="14.4">
      <c r="A347" s="3">
        <f>LOOKUP(D347,'AMFI DATA_2023H2'!F:L,'AMFI DATA_2023H2'!L:L)</f>
        <v>344</v>
      </c>
      <c r="B347" s="4" t="s">
        <v>1041</v>
      </c>
      <c r="C347" s="4" t="s">
        <v>1042</v>
      </c>
      <c r="D347" s="5" t="s">
        <v>1043</v>
      </c>
      <c r="E347" s="5">
        <v>6040.37</v>
      </c>
      <c r="F347" s="6">
        <f>LOOKUP(D347,'AMFI DATA_2023H2'!F:J,'AMFI DATA_2023H2'!J:J)</f>
        <v>12702.314200000001</v>
      </c>
      <c r="G347" s="7">
        <f t="shared" si="1"/>
        <v>-1</v>
      </c>
      <c r="H347" s="8"/>
      <c r="I347" s="8">
        <v>17513</v>
      </c>
      <c r="J347" s="8">
        <v>17077</v>
      </c>
      <c r="K347" s="8">
        <v>17526</v>
      </c>
      <c r="L347" s="8">
        <v>17700</v>
      </c>
      <c r="M347" s="8">
        <v>17626</v>
      </c>
      <c r="N347" s="8">
        <v>17484</v>
      </c>
      <c r="O347" s="8">
        <v>16978</v>
      </c>
      <c r="P347" s="8">
        <v>16670</v>
      </c>
      <c r="Q347" s="8">
        <v>17082</v>
      </c>
      <c r="R347" s="8">
        <v>16291</v>
      </c>
      <c r="S347" s="8">
        <v>16388</v>
      </c>
      <c r="T347" s="8">
        <v>16114</v>
      </c>
      <c r="U347" s="8">
        <v>16510</v>
      </c>
      <c r="V347" s="8">
        <v>17015</v>
      </c>
      <c r="W347" s="8">
        <v>17066</v>
      </c>
      <c r="X347" s="8">
        <v>16677</v>
      </c>
      <c r="Y347" s="8">
        <v>16657</v>
      </c>
      <c r="Z347" s="8">
        <v>16515</v>
      </c>
      <c r="AA347" s="8">
        <v>15307</v>
      </c>
      <c r="AB347" s="8">
        <v>15951</v>
      </c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spans="1:47" ht="14.4">
      <c r="A348" s="3">
        <f>LOOKUP(D348,'AMFI DATA_2023H2'!F:L,'AMFI DATA_2023H2'!L:L)</f>
        <v>345</v>
      </c>
      <c r="B348" s="4" t="s">
        <v>1044</v>
      </c>
      <c r="C348" s="4" t="s">
        <v>1045</v>
      </c>
      <c r="D348" s="5" t="s">
        <v>1046</v>
      </c>
      <c r="E348" s="5">
        <v>11451.22</v>
      </c>
      <c r="F348" s="6">
        <f>LOOKUP(D348,'AMFI DATA_2023H2'!F:J,'AMFI DATA_2023H2'!J:J)</f>
        <v>12690.630799999999</v>
      </c>
      <c r="G348" s="7">
        <f t="shared" si="1"/>
        <v>-1</v>
      </c>
      <c r="H348" s="8"/>
      <c r="I348" s="8">
        <v>11574</v>
      </c>
      <c r="J348" s="8">
        <v>11488</v>
      </c>
      <c r="K348" s="8">
        <v>11617</v>
      </c>
      <c r="L348" s="8">
        <v>11554</v>
      </c>
      <c r="M348" s="8">
        <v>11711</v>
      </c>
      <c r="N348" s="8">
        <v>11747</v>
      </c>
      <c r="O348" s="8">
        <v>11823</v>
      </c>
      <c r="P348" s="8">
        <v>11859</v>
      </c>
      <c r="Q348" s="8">
        <v>11880</v>
      </c>
      <c r="R348" s="8">
        <v>11916</v>
      </c>
      <c r="S348" s="8">
        <v>11975</v>
      </c>
      <c r="T348" s="8">
        <v>11956</v>
      </c>
      <c r="U348" s="8">
        <v>11959</v>
      </c>
      <c r="V348" s="8">
        <v>11709</v>
      </c>
      <c r="W348" s="8">
        <v>11704</v>
      </c>
      <c r="X348" s="8">
        <v>11761</v>
      </c>
      <c r="Y348" s="8">
        <v>11645</v>
      </c>
      <c r="Z348" s="8">
        <v>11704</v>
      </c>
      <c r="AA348" s="8">
        <v>11774</v>
      </c>
      <c r="AB348" s="8">
        <v>11775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spans="1:47" ht="14.4">
      <c r="A349" s="3">
        <f>LOOKUP(D349,'AMFI DATA_2023H2'!F:L,'AMFI DATA_2023H2'!L:L)</f>
        <v>346</v>
      </c>
      <c r="B349" s="4" t="s">
        <v>1047</v>
      </c>
      <c r="C349" s="4" t="s">
        <v>1048</v>
      </c>
      <c r="D349" s="5" t="s">
        <v>1049</v>
      </c>
      <c r="E349" s="5">
        <v>6606.96</v>
      </c>
      <c r="F349" s="6">
        <f>LOOKUP(D349,'AMFI DATA_2023H2'!F:J,'AMFI DATA_2023H2'!J:J)</f>
        <v>12688.0702</v>
      </c>
      <c r="G349" s="7">
        <f t="shared" si="1"/>
        <v>-1</v>
      </c>
      <c r="H349" s="8"/>
      <c r="I349" s="8">
        <v>22966</v>
      </c>
      <c r="J349" s="8">
        <v>22774</v>
      </c>
      <c r="K349" s="8">
        <v>22338</v>
      </c>
      <c r="L349" s="8">
        <v>20832</v>
      </c>
      <c r="M349" s="8">
        <v>20272</v>
      </c>
      <c r="N349" s="8">
        <v>19832</v>
      </c>
      <c r="O349" s="8">
        <v>20331</v>
      </c>
      <c r="P349" s="8">
        <v>21120</v>
      </c>
      <c r="Q349" s="8">
        <v>17592</v>
      </c>
      <c r="R349" s="8">
        <v>16994</v>
      </c>
      <c r="S349" s="8">
        <v>17903</v>
      </c>
      <c r="T349" s="8">
        <v>17932</v>
      </c>
      <c r="U349" s="8">
        <v>17788</v>
      </c>
      <c r="V349" s="8">
        <v>17800</v>
      </c>
      <c r="W349" s="8">
        <v>17927</v>
      </c>
      <c r="X349" s="8">
        <v>17805</v>
      </c>
      <c r="Y349" s="8">
        <v>17690</v>
      </c>
      <c r="Z349" s="8">
        <v>17880</v>
      </c>
      <c r="AA349" s="8">
        <v>18063</v>
      </c>
      <c r="AB349" s="8">
        <v>17119</v>
      </c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spans="1:47" ht="14.4">
      <c r="A350" s="3">
        <f>LOOKUP(D350,'AMFI DATA_2023H2'!F:L,'AMFI DATA_2023H2'!L:L)</f>
        <v>347</v>
      </c>
      <c r="B350" s="4" t="s">
        <v>1050</v>
      </c>
      <c r="C350" s="4" t="s">
        <v>1051</v>
      </c>
      <c r="D350" s="5" t="s">
        <v>1052</v>
      </c>
      <c r="E350" s="5">
        <v>10712.1</v>
      </c>
      <c r="F350" s="6">
        <f>LOOKUP(D350,'AMFI DATA_2023H2'!F:J,'AMFI DATA_2023H2'!J:J)</f>
        <v>12680.52535</v>
      </c>
      <c r="G350" s="7">
        <f t="shared" si="1"/>
        <v>-1</v>
      </c>
      <c r="H350" s="8"/>
      <c r="I350" s="8">
        <v>12491</v>
      </c>
      <c r="J350" s="8">
        <v>12640</v>
      </c>
      <c r="K350" s="8">
        <v>12888</v>
      </c>
      <c r="L350" s="8">
        <v>13076</v>
      </c>
      <c r="M350" s="8">
        <v>13270</v>
      </c>
      <c r="N350" s="8">
        <v>12833</v>
      </c>
      <c r="O350" s="8">
        <v>12652</v>
      </c>
      <c r="P350" s="8">
        <v>12481</v>
      </c>
      <c r="Q350" s="8">
        <v>12715</v>
      </c>
      <c r="R350" s="8">
        <v>12960</v>
      </c>
      <c r="S350" s="8">
        <v>13125</v>
      </c>
      <c r="T350" s="8">
        <v>13395</v>
      </c>
      <c r="U350" s="8">
        <v>13433</v>
      </c>
      <c r="V350" s="8">
        <v>13281</v>
      </c>
      <c r="W350" s="8">
        <v>13348</v>
      </c>
      <c r="X350" s="8">
        <v>13451</v>
      </c>
      <c r="Y350" s="8">
        <v>13476</v>
      </c>
      <c r="Z350" s="8">
        <v>13192</v>
      </c>
      <c r="AA350" s="8">
        <v>12974</v>
      </c>
      <c r="AB350" s="8">
        <v>12775</v>
      </c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</row>
    <row r="351" spans="1:47" ht="14.4">
      <c r="A351" s="3">
        <f>LOOKUP(D351,'AMFI DATA_2023H2'!F:L,'AMFI DATA_2023H2'!L:L)</f>
        <v>349</v>
      </c>
      <c r="B351" s="4" t="s">
        <v>1053</v>
      </c>
      <c r="C351" s="4" t="s">
        <v>1054</v>
      </c>
      <c r="D351" s="5" t="s">
        <v>1055</v>
      </c>
      <c r="E351" s="5">
        <v>6238.77</v>
      </c>
      <c r="F351" s="6">
        <f>LOOKUP(D351,'AMFI DATA_2023H2'!F:J,'AMFI DATA_2023H2'!J:J)</f>
        <v>12485.500400000001</v>
      </c>
      <c r="G351" s="7">
        <f t="shared" si="1"/>
        <v>-1</v>
      </c>
      <c r="H351" s="8"/>
      <c r="I351" s="8">
        <v>21411</v>
      </c>
      <c r="J351" s="8">
        <v>19191</v>
      </c>
      <c r="K351" s="8">
        <v>19600</v>
      </c>
      <c r="L351" s="8">
        <v>19313</v>
      </c>
      <c r="M351" s="8">
        <v>19050</v>
      </c>
      <c r="N351" s="8">
        <v>18345</v>
      </c>
      <c r="O351" s="8">
        <v>18321</v>
      </c>
      <c r="P351" s="8">
        <v>0</v>
      </c>
      <c r="Q351" s="8">
        <v>17052</v>
      </c>
      <c r="R351" s="8">
        <v>16882</v>
      </c>
      <c r="S351" s="8">
        <v>17329</v>
      </c>
      <c r="T351" s="8">
        <v>17484</v>
      </c>
      <c r="U351" s="8">
        <v>17597</v>
      </c>
      <c r="V351" s="8">
        <v>16374</v>
      </c>
      <c r="W351" s="8">
        <v>16389</v>
      </c>
      <c r="X351" s="8">
        <v>16111</v>
      </c>
      <c r="Y351" s="8">
        <v>15909</v>
      </c>
      <c r="Z351" s="8">
        <v>15899</v>
      </c>
      <c r="AA351" s="8">
        <v>16106</v>
      </c>
      <c r="AB351" s="8">
        <v>15669</v>
      </c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</row>
    <row r="352" spans="1:47" ht="14.4">
      <c r="A352" s="3">
        <f>LOOKUP(D352,'AMFI DATA_2023H2'!F:L,'AMFI DATA_2023H2'!L:L)</f>
        <v>350</v>
      </c>
      <c r="B352" s="4" t="s">
        <v>1056</v>
      </c>
      <c r="C352" s="4" t="s">
        <v>1057</v>
      </c>
      <c r="D352" s="5" t="s">
        <v>1058</v>
      </c>
      <c r="E352" s="5">
        <v>6441.6</v>
      </c>
      <c r="F352" s="6">
        <f>LOOKUP(D352,'AMFI DATA_2023H2'!F:J,'AMFI DATA_2023H2'!J:J)</f>
        <v>12474.859550000001</v>
      </c>
      <c r="G352" s="7">
        <f t="shared" si="1"/>
        <v>-1</v>
      </c>
      <c r="H352" s="8"/>
      <c r="I352" s="8">
        <v>15669</v>
      </c>
      <c r="J352" s="8">
        <v>15046</v>
      </c>
      <c r="K352" s="8">
        <v>14696</v>
      </c>
      <c r="L352" s="8">
        <v>14852</v>
      </c>
      <c r="M352" s="8">
        <v>15209</v>
      </c>
      <c r="N352" s="8">
        <v>15256</v>
      </c>
      <c r="O352" s="8">
        <v>15058</v>
      </c>
      <c r="P352" s="8">
        <v>15111</v>
      </c>
      <c r="Q352" s="8">
        <v>14878</v>
      </c>
      <c r="R352" s="8">
        <v>15254</v>
      </c>
      <c r="S352" s="8">
        <v>14302</v>
      </c>
      <c r="T352" s="8">
        <v>14615</v>
      </c>
      <c r="U352" s="8">
        <v>14229</v>
      </c>
      <c r="V352" s="8">
        <v>13867</v>
      </c>
      <c r="W352" s="8">
        <v>13771</v>
      </c>
      <c r="X352" s="8">
        <v>14150</v>
      </c>
      <c r="Y352" s="8">
        <v>14796</v>
      </c>
      <c r="Z352" s="8">
        <v>14844</v>
      </c>
      <c r="AA352" s="8">
        <v>14053</v>
      </c>
      <c r="AB352" s="8">
        <v>13684</v>
      </c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spans="1:47" ht="14.4">
      <c r="A353" s="3">
        <f>LOOKUP(D353,'AMFI DATA_2023H2'!F:L,'AMFI DATA_2023H2'!L:L)</f>
        <v>351</v>
      </c>
      <c r="B353" s="4" t="s">
        <v>1059</v>
      </c>
      <c r="C353" s="4" t="s">
        <v>1060</v>
      </c>
      <c r="D353" s="5" t="s">
        <v>1061</v>
      </c>
      <c r="E353" s="5">
        <v>13058.14</v>
      </c>
      <c r="F353" s="6">
        <f>LOOKUP(D353,'AMFI DATA_2023H2'!F:J,'AMFI DATA_2023H2'!J:J)</f>
        <v>12438.983850000001</v>
      </c>
      <c r="G353" s="7">
        <f t="shared" si="1"/>
        <v>-1</v>
      </c>
      <c r="H353" s="8"/>
      <c r="I353" s="8">
        <v>11795</v>
      </c>
      <c r="J353" s="8">
        <v>11880</v>
      </c>
      <c r="K353" s="8">
        <v>12105</v>
      </c>
      <c r="L353" s="8">
        <v>12402</v>
      </c>
      <c r="M353" s="8">
        <v>12741</v>
      </c>
      <c r="N353" s="8">
        <v>12595</v>
      </c>
      <c r="O353" s="8">
        <v>12504</v>
      </c>
      <c r="P353" s="8">
        <v>12414</v>
      </c>
      <c r="Q353" s="8">
        <v>12289</v>
      </c>
      <c r="R353" s="8">
        <v>12281</v>
      </c>
      <c r="S353" s="8">
        <v>12408</v>
      </c>
      <c r="T353" s="8">
        <v>12434</v>
      </c>
      <c r="U353" s="8">
        <v>12409</v>
      </c>
      <c r="V353" s="8">
        <v>12444</v>
      </c>
      <c r="W353" s="8">
        <v>12355</v>
      </c>
      <c r="X353" s="8">
        <v>12125</v>
      </c>
      <c r="Y353" s="8">
        <v>11889</v>
      </c>
      <c r="Z353" s="8">
        <v>11804</v>
      </c>
      <c r="AA353" s="8">
        <v>11577</v>
      </c>
      <c r="AB353" s="8">
        <v>11712</v>
      </c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spans="1:47" ht="14.4">
      <c r="A354" s="3">
        <f>LOOKUP(D354,'AMFI DATA_2023H2'!F:L,'AMFI DATA_2023H2'!L:L)</f>
        <v>352</v>
      </c>
      <c r="B354" s="4" t="s">
        <v>1062</v>
      </c>
      <c r="C354" s="4" t="s">
        <v>1063</v>
      </c>
      <c r="D354" s="5" t="s">
        <v>1064</v>
      </c>
      <c r="E354" s="5">
        <v>13117.66</v>
      </c>
      <c r="F354" s="6">
        <f>LOOKUP(D354,'AMFI DATA_2023H2'!F:J,'AMFI DATA_2023H2'!J:J)</f>
        <v>12347.4861</v>
      </c>
      <c r="G354" s="7">
        <f t="shared" si="1"/>
        <v>-1</v>
      </c>
      <c r="H354" s="8"/>
      <c r="I354" s="8">
        <v>11894</v>
      </c>
      <c r="J354" s="8">
        <v>11829</v>
      </c>
      <c r="K354" s="8">
        <v>11963</v>
      </c>
      <c r="L354" s="8">
        <v>12169</v>
      </c>
      <c r="M354" s="8">
        <v>11877</v>
      </c>
      <c r="N354" s="8">
        <v>11957</v>
      </c>
      <c r="O354" s="8">
        <v>12128</v>
      </c>
      <c r="P354" s="8">
        <v>12016</v>
      </c>
      <c r="Q354" s="8">
        <v>11874</v>
      </c>
      <c r="R354" s="8">
        <v>11817</v>
      </c>
      <c r="S354" s="8">
        <v>11810</v>
      </c>
      <c r="T354" s="8">
        <v>11763</v>
      </c>
      <c r="U354" s="8">
        <v>11647</v>
      </c>
      <c r="V354" s="8">
        <v>11453</v>
      </c>
      <c r="W354" s="8">
        <v>11441</v>
      </c>
      <c r="X354" s="8">
        <v>11384</v>
      </c>
      <c r="Y354" s="8">
        <v>11479</v>
      </c>
      <c r="Z354" s="8">
        <v>11664</v>
      </c>
      <c r="AA354" s="8">
        <v>11463</v>
      </c>
      <c r="AB354" s="8">
        <v>11617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spans="1:47" ht="14.4">
      <c r="A355" s="3">
        <f>LOOKUP(D355,'AMFI DATA_2023H2'!F:L,'AMFI DATA_2023H2'!L:L)</f>
        <v>353</v>
      </c>
      <c r="B355" s="4" t="s">
        <v>1065</v>
      </c>
      <c r="C355" s="4" t="s">
        <v>1066</v>
      </c>
      <c r="D355" s="5" t="s">
        <v>1067</v>
      </c>
      <c r="E355" s="5">
        <v>9901.92</v>
      </c>
      <c r="F355" s="6">
        <f>LOOKUP(D355,'AMFI DATA_2023H2'!F:J,'AMFI DATA_2023H2'!J:J)</f>
        <v>12335.100849999999</v>
      </c>
      <c r="G355" s="7">
        <f t="shared" si="1"/>
        <v>-1</v>
      </c>
      <c r="H355" s="8"/>
      <c r="I355" s="8">
        <v>15105</v>
      </c>
      <c r="J355" s="8">
        <v>14372</v>
      </c>
      <c r="K355" s="8">
        <v>14686</v>
      </c>
      <c r="L355" s="8">
        <v>14787</v>
      </c>
      <c r="M355" s="8">
        <v>14567</v>
      </c>
      <c r="N355" s="8">
        <v>14614</v>
      </c>
      <c r="O355" s="8">
        <v>14745</v>
      </c>
      <c r="P355" s="8">
        <v>14229</v>
      </c>
      <c r="Q355" s="8">
        <v>14944</v>
      </c>
      <c r="R355" s="8">
        <v>15193</v>
      </c>
      <c r="S355" s="8">
        <v>14876</v>
      </c>
      <c r="T355" s="8">
        <v>14923</v>
      </c>
      <c r="U355" s="8">
        <v>14719</v>
      </c>
      <c r="V355" s="8">
        <v>14267</v>
      </c>
      <c r="W355" s="8">
        <v>14495</v>
      </c>
      <c r="X355" s="8">
        <v>14554</v>
      </c>
      <c r="Y355" s="8">
        <v>14631</v>
      </c>
      <c r="Z355" s="8">
        <v>14516</v>
      </c>
      <c r="AA355" s="8">
        <v>14550</v>
      </c>
      <c r="AB355" s="8">
        <v>14952</v>
      </c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spans="1:47" ht="14.4">
      <c r="A356" s="3">
        <f>LOOKUP(D356,'AMFI DATA_2023H2'!F:L,'AMFI DATA_2023H2'!L:L)</f>
        <v>354</v>
      </c>
      <c r="B356" s="4" t="s">
        <v>1068</v>
      </c>
      <c r="C356" s="4" t="s">
        <v>1069</v>
      </c>
      <c r="D356" s="5" t="s">
        <v>1070</v>
      </c>
      <c r="E356" s="5">
        <v>9568.2099999999991</v>
      </c>
      <c r="F356" s="6">
        <f>LOOKUP(D356,'AMFI DATA_2023H2'!F:J,'AMFI DATA_2023H2'!J:J)</f>
        <v>12334.8374</v>
      </c>
      <c r="G356" s="7">
        <f t="shared" si="1"/>
        <v>-1</v>
      </c>
      <c r="H356" s="8"/>
      <c r="I356" s="8">
        <v>14408</v>
      </c>
      <c r="J356" s="8">
        <v>14452</v>
      </c>
      <c r="K356" s="8">
        <v>14426</v>
      </c>
      <c r="L356" s="8">
        <v>14640</v>
      </c>
      <c r="M356" s="8">
        <v>14520</v>
      </c>
      <c r="N356" s="8">
        <v>14583</v>
      </c>
      <c r="O356" s="8">
        <v>14281</v>
      </c>
      <c r="P356" s="8">
        <v>14353</v>
      </c>
      <c r="Q356" s="8">
        <v>14359</v>
      </c>
      <c r="R356" s="8">
        <v>14509</v>
      </c>
      <c r="S356" s="8">
        <v>14341</v>
      </c>
      <c r="T356" s="8">
        <v>14196</v>
      </c>
      <c r="U356" s="8">
        <v>13780</v>
      </c>
      <c r="V356" s="8">
        <v>13875</v>
      </c>
      <c r="W356" s="8">
        <v>13645</v>
      </c>
      <c r="X356" s="8">
        <v>13669</v>
      </c>
      <c r="Y356" s="8">
        <v>13957</v>
      </c>
      <c r="Z356" s="8">
        <v>13955</v>
      </c>
      <c r="AA356" s="8">
        <v>13860</v>
      </c>
      <c r="AB356" s="8">
        <v>13815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spans="1:47" ht="14.4">
      <c r="A357" s="3">
        <f>LOOKUP(D357,'AMFI DATA_2023H2'!F:L,'AMFI DATA_2023H2'!L:L)</f>
        <v>355</v>
      </c>
      <c r="B357" s="4" t="s">
        <v>1071</v>
      </c>
      <c r="C357" s="4" t="s">
        <v>1072</v>
      </c>
      <c r="D357" s="5" t="s">
        <v>1073</v>
      </c>
      <c r="E357" s="5">
        <v>7901.76</v>
      </c>
      <c r="F357" s="6">
        <f>LOOKUP(D357,'AMFI DATA_2023H2'!F:J,'AMFI DATA_2023H2'!J:J)</f>
        <v>12269.234349999999</v>
      </c>
      <c r="G357" s="7">
        <f t="shared" si="1"/>
        <v>-1</v>
      </c>
      <c r="H357" s="8"/>
      <c r="I357" s="8">
        <v>15647</v>
      </c>
      <c r="J357" s="8">
        <v>15514</v>
      </c>
      <c r="K357" s="8">
        <v>15508</v>
      </c>
      <c r="L357" s="8">
        <v>16017</v>
      </c>
      <c r="M357" s="8">
        <v>16158</v>
      </c>
      <c r="N357" s="8">
        <v>16673</v>
      </c>
      <c r="O357" s="8">
        <v>17274</v>
      </c>
      <c r="P357" s="8">
        <v>17726</v>
      </c>
      <c r="Q357" s="8">
        <v>17203</v>
      </c>
      <c r="R357" s="8">
        <v>16722</v>
      </c>
      <c r="S357" s="8">
        <v>15850</v>
      </c>
      <c r="T357" s="8">
        <v>15618</v>
      </c>
      <c r="U357" s="8">
        <v>13847</v>
      </c>
      <c r="V357" s="8">
        <v>14133</v>
      </c>
      <c r="W357" s="8">
        <v>14265</v>
      </c>
      <c r="X357" s="8">
        <v>13655</v>
      </c>
      <c r="Y357" s="8">
        <v>13650</v>
      </c>
      <c r="Z357" s="8">
        <v>13747</v>
      </c>
      <c r="AA357" s="8">
        <v>13639</v>
      </c>
      <c r="AB357" s="8">
        <v>13732</v>
      </c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spans="1:47" ht="14.4">
      <c r="A358" s="3">
        <f>LOOKUP(D358,'AMFI DATA_2023H2'!F:L,'AMFI DATA_2023H2'!L:L)</f>
        <v>356</v>
      </c>
      <c r="B358" s="4" t="s">
        <v>1074</v>
      </c>
      <c r="C358" s="4" t="s">
        <v>1075</v>
      </c>
      <c r="D358" s="5" t="s">
        <v>1076</v>
      </c>
      <c r="E358" s="5">
        <v>10893.34</v>
      </c>
      <c r="F358" s="6">
        <f>LOOKUP(D358,'AMFI DATA_2023H2'!F:J,'AMFI DATA_2023H2'!J:J)</f>
        <v>12259.426149999999</v>
      </c>
      <c r="G358" s="7">
        <f t="shared" si="1"/>
        <v>-1</v>
      </c>
      <c r="H358" s="8"/>
      <c r="I358" s="8">
        <v>13811</v>
      </c>
      <c r="J358" s="8">
        <v>13799</v>
      </c>
      <c r="K358" s="8">
        <v>13943</v>
      </c>
      <c r="L358" s="8">
        <v>14230</v>
      </c>
      <c r="M358" s="8">
        <v>14430</v>
      </c>
      <c r="N358" s="8">
        <v>14367</v>
      </c>
      <c r="O358" s="8">
        <v>13736</v>
      </c>
      <c r="P358" s="8">
        <v>13615</v>
      </c>
      <c r="Q358" s="8">
        <v>13732</v>
      </c>
      <c r="R358" s="8">
        <v>13590</v>
      </c>
      <c r="S358" s="8">
        <v>13727</v>
      </c>
      <c r="T358" s="8">
        <v>13593</v>
      </c>
      <c r="U358" s="8">
        <v>13518</v>
      </c>
      <c r="V358" s="8">
        <v>13507</v>
      </c>
      <c r="W358" s="8">
        <v>13629</v>
      </c>
      <c r="X358" s="8">
        <v>13521</v>
      </c>
      <c r="Y358" s="8">
        <v>13598</v>
      </c>
      <c r="Z358" s="8">
        <v>13540</v>
      </c>
      <c r="AA358" s="8">
        <v>13612</v>
      </c>
      <c r="AB358" s="8">
        <v>13696</v>
      </c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</row>
    <row r="359" spans="1:47" ht="14.4">
      <c r="A359" s="3">
        <f>LOOKUP(D359,'AMFI DATA_2023H2'!F:L,'AMFI DATA_2023H2'!L:L)</f>
        <v>357</v>
      </c>
      <c r="B359" s="4" t="s">
        <v>1077</v>
      </c>
      <c r="C359" s="4" t="s">
        <v>1078</v>
      </c>
      <c r="D359" s="5" t="s">
        <v>1079</v>
      </c>
      <c r="E359" s="5">
        <v>38709.919999999998</v>
      </c>
      <c r="F359" s="6">
        <f>LOOKUP(D359,'AMFI DATA_2023H2'!F:J,'AMFI DATA_2023H2'!J:J)</f>
        <v>12258.715</v>
      </c>
      <c r="G359" s="7">
        <f t="shared" si="1"/>
        <v>-1</v>
      </c>
      <c r="H359" s="8"/>
      <c r="I359" s="8">
        <v>14481</v>
      </c>
      <c r="J359" s="8">
        <v>14297</v>
      </c>
      <c r="K359" s="8">
        <v>14515</v>
      </c>
      <c r="L359" s="8">
        <v>14908</v>
      </c>
      <c r="M359" s="8">
        <v>14610</v>
      </c>
      <c r="N359" s="8">
        <v>14948</v>
      </c>
      <c r="O359" s="8">
        <v>15370</v>
      </c>
      <c r="P359" s="8">
        <v>15765</v>
      </c>
      <c r="Q359" s="8">
        <v>16295</v>
      </c>
      <c r="R359" s="8">
        <v>16212</v>
      </c>
      <c r="S359" s="8">
        <v>16215</v>
      </c>
      <c r="T359" s="8">
        <v>16192</v>
      </c>
      <c r="U359" s="8">
        <v>16244</v>
      </c>
      <c r="V359" s="8">
        <v>15815</v>
      </c>
      <c r="W359" s="8">
        <v>15477</v>
      </c>
      <c r="X359" s="8">
        <v>15477</v>
      </c>
      <c r="Y359" s="8">
        <v>15164</v>
      </c>
      <c r="Z359" s="8">
        <v>15520</v>
      </c>
      <c r="AA359" s="8">
        <v>15742</v>
      </c>
      <c r="AB359" s="8">
        <v>15742</v>
      </c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</row>
    <row r="360" spans="1:47" ht="14.4">
      <c r="A360" s="3">
        <f>LOOKUP(D360,'AMFI DATA_2023H2'!F:L,'AMFI DATA_2023H2'!L:L)</f>
        <v>358</v>
      </c>
      <c r="B360" s="4" t="s">
        <v>1080</v>
      </c>
      <c r="C360" s="4" t="s">
        <v>1081</v>
      </c>
      <c r="D360" s="5" t="s">
        <v>1082</v>
      </c>
      <c r="E360" s="5">
        <v>10719.15</v>
      </c>
      <c r="F360" s="6">
        <f>LOOKUP(D360,'AMFI DATA_2023H2'!F:J,'AMFI DATA_2023H2'!J:J)</f>
        <v>12252.791150000001</v>
      </c>
      <c r="G360" s="7">
        <f t="shared" si="1"/>
        <v>-1</v>
      </c>
      <c r="H360" s="8"/>
      <c r="I360" s="8">
        <v>13766</v>
      </c>
      <c r="J360" s="8">
        <v>13776</v>
      </c>
      <c r="K360" s="8">
        <v>13878</v>
      </c>
      <c r="L360" s="8">
        <v>13987</v>
      </c>
      <c r="M360" s="8">
        <v>14006</v>
      </c>
      <c r="N360" s="8">
        <v>13953</v>
      </c>
      <c r="O360" s="8">
        <v>13689</v>
      </c>
      <c r="P360" s="8">
        <v>13570</v>
      </c>
      <c r="Q360" s="8">
        <v>13587</v>
      </c>
      <c r="R360" s="8">
        <v>13594</v>
      </c>
      <c r="S360" s="8">
        <v>13501</v>
      </c>
      <c r="T360" s="8">
        <v>13310</v>
      </c>
      <c r="U360" s="8">
        <v>13040</v>
      </c>
      <c r="V360" s="8">
        <v>13122</v>
      </c>
      <c r="W360" s="8">
        <v>12997</v>
      </c>
      <c r="X360" s="8">
        <v>13035</v>
      </c>
      <c r="Y360" s="8">
        <v>13084</v>
      </c>
      <c r="Z360" s="8">
        <v>13069</v>
      </c>
      <c r="AA360" s="8">
        <v>13055</v>
      </c>
      <c r="AB360" s="8">
        <v>13162</v>
      </c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spans="1:47" ht="14.4">
      <c r="A361" s="3">
        <f>LOOKUP(D361,'AMFI DATA_2023H2'!F:L,'AMFI DATA_2023H2'!L:L)</f>
        <v>359</v>
      </c>
      <c r="B361" s="4" t="s">
        <v>1083</v>
      </c>
      <c r="C361" s="4" t="s">
        <v>1084</v>
      </c>
      <c r="D361" s="5" t="s">
        <v>1085</v>
      </c>
      <c r="E361" s="5">
        <v>11943.91</v>
      </c>
      <c r="F361" s="6">
        <f>LOOKUP(D361,'AMFI DATA_2023H2'!F:J,'AMFI DATA_2023H2'!J:J)</f>
        <v>12186.80445</v>
      </c>
      <c r="G361" s="7">
        <f t="shared" si="1"/>
        <v>-1</v>
      </c>
      <c r="H361" s="8"/>
      <c r="I361" s="8">
        <v>15531</v>
      </c>
      <c r="J361" s="8">
        <v>15924</v>
      </c>
      <c r="K361" s="8">
        <v>16014</v>
      </c>
      <c r="L361" s="8">
        <v>16099</v>
      </c>
      <c r="M361" s="8">
        <v>16057</v>
      </c>
      <c r="N361" s="8">
        <v>15972</v>
      </c>
      <c r="O361" s="8">
        <v>15824</v>
      </c>
      <c r="P361" s="8">
        <v>15585</v>
      </c>
      <c r="Q361" s="8">
        <v>15793</v>
      </c>
      <c r="R361" s="8">
        <v>15747</v>
      </c>
      <c r="S361" s="8">
        <v>15516</v>
      </c>
      <c r="T361" s="8">
        <v>16093</v>
      </c>
      <c r="U361" s="8">
        <v>16095</v>
      </c>
      <c r="V361" s="8">
        <v>15816</v>
      </c>
      <c r="W361" s="8">
        <v>15839</v>
      </c>
      <c r="X361" s="8">
        <v>15533</v>
      </c>
      <c r="Y361" s="8">
        <v>15882</v>
      </c>
      <c r="Z361" s="8">
        <v>15258</v>
      </c>
      <c r="AA361" s="8">
        <v>15456</v>
      </c>
      <c r="AB361" s="8">
        <v>14975</v>
      </c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spans="1:47" ht="14.4">
      <c r="A362" s="3">
        <f>LOOKUP(D362,'AMFI DATA_2023H2'!F:L,'AMFI DATA_2023H2'!L:L)</f>
        <v>360</v>
      </c>
      <c r="B362" s="4" t="s">
        <v>1086</v>
      </c>
      <c r="C362" s="4" t="s">
        <v>1087</v>
      </c>
      <c r="D362" s="5" t="s">
        <v>1088</v>
      </c>
      <c r="E362" s="5">
        <v>5312.09</v>
      </c>
      <c r="F362" s="6">
        <f>LOOKUP(D362,'AMFI DATA_2023H2'!F:J,'AMFI DATA_2023H2'!J:J)</f>
        <v>12175.841899999999</v>
      </c>
      <c r="G362" s="7">
        <f t="shared" si="1"/>
        <v>-1</v>
      </c>
      <c r="H362" s="8"/>
      <c r="I362" s="8">
        <v>16232</v>
      </c>
      <c r="J362" s="8">
        <v>16176</v>
      </c>
      <c r="K362" s="8">
        <v>16630</v>
      </c>
      <c r="L362" s="8">
        <v>16602</v>
      </c>
      <c r="M362" s="8">
        <v>16455</v>
      </c>
      <c r="N362" s="8">
        <v>15631</v>
      </c>
      <c r="O362" s="8">
        <v>15695</v>
      </c>
      <c r="P362" s="8">
        <v>15761</v>
      </c>
      <c r="Q362" s="8">
        <v>15476</v>
      </c>
      <c r="R362" s="8">
        <v>14984</v>
      </c>
      <c r="S362" s="8">
        <v>14346</v>
      </c>
      <c r="T362" s="8">
        <v>14315</v>
      </c>
      <c r="U362" s="8">
        <v>14384</v>
      </c>
      <c r="V362" s="8">
        <v>14157</v>
      </c>
      <c r="W362" s="8">
        <v>13494</v>
      </c>
      <c r="X362" s="8">
        <v>13235</v>
      </c>
      <c r="Y362" s="8">
        <v>13120</v>
      </c>
      <c r="Z362" s="8">
        <v>13204</v>
      </c>
      <c r="AA362" s="8">
        <v>13502</v>
      </c>
      <c r="AB362" s="8">
        <v>13570</v>
      </c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</row>
    <row r="363" spans="1:47" ht="14.4">
      <c r="A363" s="3">
        <f>LOOKUP(D363,'AMFI DATA_2023H2'!F:L,'AMFI DATA_2023H2'!L:L)</f>
        <v>361</v>
      </c>
      <c r="B363" s="4" t="s">
        <v>1089</v>
      </c>
      <c r="C363" s="4" t="s">
        <v>1090</v>
      </c>
      <c r="D363" s="5" t="s">
        <v>1091</v>
      </c>
      <c r="E363" s="5">
        <v>9703.93</v>
      </c>
      <c r="F363" s="6">
        <f>LOOKUP(D363,'AMFI DATA_2023H2'!F:J,'AMFI DATA_2023H2'!J:J)</f>
        <v>12154.45865</v>
      </c>
      <c r="G363" s="7">
        <f t="shared" si="1"/>
        <v>-1</v>
      </c>
      <c r="H363" s="8"/>
      <c r="I363" s="8">
        <v>11885</v>
      </c>
      <c r="J363" s="8">
        <v>11916</v>
      </c>
      <c r="K363" s="8">
        <v>12020</v>
      </c>
      <c r="L363" s="8">
        <v>12228</v>
      </c>
      <c r="M363" s="8">
        <v>12214</v>
      </c>
      <c r="N363" s="8">
        <v>11585</v>
      </c>
      <c r="O363" s="8">
        <v>11610</v>
      </c>
      <c r="P363" s="8">
        <v>11637</v>
      </c>
      <c r="Q363" s="8">
        <v>11584</v>
      </c>
      <c r="R363" s="8">
        <v>11563</v>
      </c>
      <c r="S363" s="8">
        <v>11579</v>
      </c>
      <c r="T363" s="8">
        <v>11606</v>
      </c>
      <c r="U363" s="8">
        <v>11371</v>
      </c>
      <c r="V363" s="8">
        <v>11444</v>
      </c>
      <c r="W363" s="8">
        <v>11573</v>
      </c>
      <c r="X363" s="8">
        <v>11467</v>
      </c>
      <c r="Y363" s="8">
        <v>11331</v>
      </c>
      <c r="Z363" s="8">
        <v>11531</v>
      </c>
      <c r="AA363" s="8">
        <v>11424</v>
      </c>
      <c r="AB363" s="8">
        <v>11470</v>
      </c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</row>
    <row r="364" spans="1:47" ht="14.4">
      <c r="A364" s="3">
        <f>LOOKUP(D364,'AMFI DATA_2023H2'!F:L,'AMFI DATA_2023H2'!L:L)</f>
        <v>362</v>
      </c>
      <c r="B364" s="4" t="s">
        <v>1092</v>
      </c>
      <c r="C364" s="4" t="s">
        <v>1093</v>
      </c>
      <c r="D364" s="5" t="s">
        <v>1094</v>
      </c>
      <c r="E364" s="5">
        <v>12769.12</v>
      </c>
      <c r="F364" s="6">
        <f>LOOKUP(D364,'AMFI DATA_2023H2'!F:J,'AMFI DATA_2023H2'!J:J)</f>
        <v>12107.100350000001</v>
      </c>
      <c r="G364" s="7">
        <f t="shared" si="1"/>
        <v>-1</v>
      </c>
      <c r="H364" s="8"/>
      <c r="I364" s="8">
        <v>13485</v>
      </c>
      <c r="J364" s="8">
        <v>13215</v>
      </c>
      <c r="K364" s="8">
        <v>13010</v>
      </c>
      <c r="L364" s="8">
        <v>12868</v>
      </c>
      <c r="M364" s="8">
        <v>12757</v>
      </c>
      <c r="N364" s="8">
        <v>12782</v>
      </c>
      <c r="O364" s="8">
        <v>12834</v>
      </c>
      <c r="P364" s="8">
        <v>12464</v>
      </c>
      <c r="Q364" s="8">
        <v>12250</v>
      </c>
      <c r="R364" s="8">
        <v>11888</v>
      </c>
      <c r="S364" s="8">
        <v>11722</v>
      </c>
      <c r="T364" s="8">
        <v>12071</v>
      </c>
      <c r="U364" s="8">
        <v>12276</v>
      </c>
      <c r="V364" s="8">
        <v>12236</v>
      </c>
      <c r="W364" s="8">
        <v>12275</v>
      </c>
      <c r="X364" s="8">
        <v>12368</v>
      </c>
      <c r="Y364" s="8">
        <v>12315</v>
      </c>
      <c r="Z364" s="8">
        <v>12597</v>
      </c>
      <c r="AA364" s="8">
        <v>12775</v>
      </c>
      <c r="AB364" s="8">
        <v>12776</v>
      </c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spans="1:47" ht="14.4">
      <c r="A365" s="3">
        <f>LOOKUP(D365,'AMFI DATA_2023H2'!F:L,'AMFI DATA_2023H2'!L:L)</f>
        <v>363</v>
      </c>
      <c r="B365" s="4" t="s">
        <v>1095</v>
      </c>
      <c r="C365" s="4" t="s">
        <v>1096</v>
      </c>
      <c r="D365" s="5" t="s">
        <v>1097</v>
      </c>
      <c r="E365" s="5">
        <v>9193.07</v>
      </c>
      <c r="F365" s="6">
        <f>LOOKUP(D365,'AMFI DATA_2023H2'!F:J,'AMFI DATA_2023H2'!J:J)</f>
        <v>12009.2503</v>
      </c>
      <c r="G365" s="7">
        <f t="shared" si="1"/>
        <v>-1</v>
      </c>
      <c r="H365" s="8"/>
      <c r="I365" s="8">
        <v>19042</v>
      </c>
      <c r="J365" s="8">
        <v>18743</v>
      </c>
      <c r="K365" s="8">
        <v>18346</v>
      </c>
      <c r="L365" s="8">
        <v>18432</v>
      </c>
      <c r="M365" s="8">
        <v>18578</v>
      </c>
      <c r="N365" s="8">
        <v>18651</v>
      </c>
      <c r="O365" s="8">
        <v>18392</v>
      </c>
      <c r="P365" s="8">
        <v>18154</v>
      </c>
      <c r="Q365" s="8">
        <v>18439</v>
      </c>
      <c r="R365" s="8">
        <v>17955</v>
      </c>
      <c r="S365" s="8">
        <v>18366</v>
      </c>
      <c r="T365" s="8">
        <v>17875</v>
      </c>
      <c r="U365" s="8">
        <v>17855</v>
      </c>
      <c r="V365" s="8">
        <v>17836</v>
      </c>
      <c r="W365" s="8">
        <v>18140</v>
      </c>
      <c r="X365" s="8">
        <v>17554</v>
      </c>
      <c r="Y365" s="8">
        <v>17211</v>
      </c>
      <c r="Z365" s="8">
        <v>16704</v>
      </c>
      <c r="AA365" s="8">
        <v>16356</v>
      </c>
      <c r="AB365" s="8">
        <v>15794</v>
      </c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</row>
    <row r="366" spans="1:47" ht="14.4">
      <c r="A366" s="3">
        <f>LOOKUP(D366,'AMFI DATA_2023H2'!F:L,'AMFI DATA_2023H2'!L:L)</f>
        <v>364</v>
      </c>
      <c r="B366" s="4" t="s">
        <v>1098</v>
      </c>
      <c r="C366" s="4" t="s">
        <v>1099</v>
      </c>
      <c r="D366" s="5" t="s">
        <v>1100</v>
      </c>
      <c r="E366" s="5">
        <v>12913.07</v>
      </c>
      <c r="F366" s="6">
        <f>LOOKUP(D366,'AMFI DATA_2023H2'!F:J,'AMFI DATA_2023H2'!J:J)</f>
        <v>11973.47855</v>
      </c>
      <c r="G366" s="7">
        <f t="shared" si="1"/>
        <v>-1</v>
      </c>
      <c r="H366" s="8"/>
      <c r="I366" s="8">
        <v>12479</v>
      </c>
      <c r="J366" s="8">
        <v>12234</v>
      </c>
      <c r="K366" s="8">
        <v>13130</v>
      </c>
      <c r="L366" s="8">
        <v>14628</v>
      </c>
      <c r="M366" s="8">
        <v>14588</v>
      </c>
      <c r="N366" s="8">
        <v>14655</v>
      </c>
      <c r="O366" s="8">
        <v>14891</v>
      </c>
      <c r="P366" s="8">
        <v>14628</v>
      </c>
      <c r="Q366" s="8">
        <v>14517</v>
      </c>
      <c r="R366" s="8">
        <v>14356</v>
      </c>
      <c r="S366" s="8">
        <v>14633</v>
      </c>
      <c r="T366" s="8">
        <v>14798</v>
      </c>
      <c r="U366" s="8">
        <v>14543</v>
      </c>
      <c r="V366" s="8">
        <v>14793</v>
      </c>
      <c r="W366" s="8">
        <v>14963</v>
      </c>
      <c r="X366" s="8">
        <v>14972</v>
      </c>
      <c r="Y366" s="8">
        <v>14401</v>
      </c>
      <c r="Z366" s="8">
        <v>13790</v>
      </c>
      <c r="AA366" s="8">
        <v>13942</v>
      </c>
      <c r="AB366" s="8">
        <v>13603</v>
      </c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spans="1:47" ht="14.4">
      <c r="A367" s="3">
        <f>LOOKUP(D367,'AMFI DATA_2023H2'!F:L,'AMFI DATA_2023H2'!L:L)</f>
        <v>365</v>
      </c>
      <c r="B367" s="4" t="s">
        <v>1101</v>
      </c>
      <c r="C367" s="4" t="s">
        <v>1102</v>
      </c>
      <c r="D367" s="5" t="s">
        <v>1103</v>
      </c>
      <c r="E367" s="5">
        <v>12870.96</v>
      </c>
      <c r="F367" s="6">
        <f>LOOKUP(D367,'AMFI DATA_2023H2'!F:J,'AMFI DATA_2023H2'!J:J)</f>
        <v>11936.19975</v>
      </c>
      <c r="G367" s="7">
        <f t="shared" si="1"/>
        <v>-1</v>
      </c>
      <c r="H367" s="8"/>
      <c r="I367" s="8">
        <v>12138</v>
      </c>
      <c r="J367" s="8">
        <v>12066</v>
      </c>
      <c r="K367" s="8">
        <v>12295</v>
      </c>
      <c r="L367" s="8">
        <v>12377</v>
      </c>
      <c r="M367" s="8">
        <v>12550</v>
      </c>
      <c r="N367" s="8">
        <v>12681</v>
      </c>
      <c r="O367" s="8">
        <v>12618</v>
      </c>
      <c r="P367" s="8">
        <v>12783</v>
      </c>
      <c r="Q367" s="8">
        <v>13027</v>
      </c>
      <c r="R367" s="8">
        <v>13015</v>
      </c>
      <c r="S367" s="8">
        <v>13502</v>
      </c>
      <c r="T367" s="8">
        <v>13607</v>
      </c>
      <c r="U367" s="8">
        <v>13536</v>
      </c>
      <c r="V367" s="8">
        <v>13758</v>
      </c>
      <c r="W367" s="8">
        <v>13809</v>
      </c>
      <c r="X367" s="8">
        <v>12972</v>
      </c>
      <c r="Y367" s="8">
        <v>12535</v>
      </c>
      <c r="Z367" s="8">
        <v>12979</v>
      </c>
      <c r="AA367" s="8">
        <v>13141</v>
      </c>
      <c r="AB367" s="8">
        <v>11783</v>
      </c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spans="1:47" ht="14.4">
      <c r="A368" s="3">
        <f>LOOKUP(D368,'AMFI DATA_2023H2'!F:L,'AMFI DATA_2023H2'!L:L)</f>
        <v>366</v>
      </c>
      <c r="B368" s="4" t="s">
        <v>1104</v>
      </c>
      <c r="C368" s="4" t="s">
        <v>1105</v>
      </c>
      <c r="D368" s="5" t="s">
        <v>1106</v>
      </c>
      <c r="E368" s="5">
        <v>9411.2000000000007</v>
      </c>
      <c r="F368" s="6">
        <f>LOOKUP(D368,'AMFI DATA_2023H2'!F:J,'AMFI DATA_2023H2'!J:J)</f>
        <v>11827.921600000001</v>
      </c>
      <c r="G368" s="7">
        <f t="shared" si="1"/>
        <v>-1</v>
      </c>
      <c r="H368" s="8"/>
      <c r="I368" s="8">
        <v>13787</v>
      </c>
      <c r="J368" s="8">
        <v>13696</v>
      </c>
      <c r="K368" s="8">
        <v>13586</v>
      </c>
      <c r="L368" s="8">
        <v>13848</v>
      </c>
      <c r="M368" s="8">
        <v>13592</v>
      </c>
      <c r="N368" s="8">
        <v>13714</v>
      </c>
      <c r="O368" s="8">
        <v>13878</v>
      </c>
      <c r="P368" s="8">
        <v>13846</v>
      </c>
      <c r="Q368" s="8">
        <v>13788</v>
      </c>
      <c r="R368" s="8">
        <v>13823</v>
      </c>
      <c r="S368" s="8">
        <v>13948</v>
      </c>
      <c r="T368" s="8">
        <v>13918</v>
      </c>
      <c r="U368" s="8">
        <v>14177</v>
      </c>
      <c r="V368" s="8">
        <v>13963</v>
      </c>
      <c r="W368" s="8">
        <v>13891</v>
      </c>
      <c r="X368" s="8">
        <v>13959</v>
      </c>
      <c r="Y368" s="8">
        <v>13873</v>
      </c>
      <c r="Z368" s="8">
        <v>14020</v>
      </c>
      <c r="AA368" s="8">
        <v>14248</v>
      </c>
      <c r="AB368" s="8">
        <v>14507</v>
      </c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</row>
    <row r="369" spans="1:47" ht="14.4">
      <c r="A369" s="3">
        <f>LOOKUP(D369,'AMFI DATA_2023H2'!F:L,'AMFI DATA_2023H2'!L:L)</f>
        <v>367</v>
      </c>
      <c r="B369" s="4" t="s">
        <v>1107</v>
      </c>
      <c r="C369" s="4" t="s">
        <v>1108</v>
      </c>
      <c r="D369" s="5" t="s">
        <v>1109</v>
      </c>
      <c r="E369" s="5">
        <v>10542.95</v>
      </c>
      <c r="F369" s="6">
        <f>LOOKUP(D369,'AMFI DATA_2023H2'!F:J,'AMFI DATA_2023H2'!J:J)</f>
        <v>11803.33035</v>
      </c>
      <c r="G369" s="7">
        <f t="shared" si="1"/>
        <v>-1</v>
      </c>
      <c r="H369" s="8"/>
      <c r="I369" s="8">
        <v>12278</v>
      </c>
      <c r="J369" s="8">
        <v>12309</v>
      </c>
      <c r="K369" s="8">
        <v>12360</v>
      </c>
      <c r="L369" s="8">
        <v>12341</v>
      </c>
      <c r="M369" s="8">
        <v>12361</v>
      </c>
      <c r="N369" s="8">
        <v>12121</v>
      </c>
      <c r="O369" s="8">
        <v>12209</v>
      </c>
      <c r="P369" s="8">
        <v>11764</v>
      </c>
      <c r="Q369" s="8">
        <v>11856</v>
      </c>
      <c r="R369" s="8">
        <v>11770</v>
      </c>
      <c r="S369" s="8">
        <v>12141</v>
      </c>
      <c r="T369" s="8">
        <v>12076</v>
      </c>
      <c r="U369" s="8">
        <v>12077</v>
      </c>
      <c r="V369" s="8">
        <v>11948</v>
      </c>
      <c r="W369" s="8">
        <v>11740</v>
      </c>
      <c r="X369" s="8">
        <v>11879</v>
      </c>
      <c r="Y369" s="8">
        <v>11759</v>
      </c>
      <c r="Z369" s="8">
        <v>11636</v>
      </c>
      <c r="AA369" s="8">
        <v>11596</v>
      </c>
      <c r="AB369" s="8">
        <v>11685</v>
      </c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spans="1:47" ht="14.4">
      <c r="A370" s="3">
        <f>LOOKUP(D370,'AMFI DATA_2023H2'!F:L,'AMFI DATA_2023H2'!L:L)</f>
        <v>368</v>
      </c>
      <c r="B370" s="4" t="s">
        <v>1110</v>
      </c>
      <c r="C370" s="4" t="s">
        <v>1111</v>
      </c>
      <c r="D370" s="5" t="s">
        <v>1112</v>
      </c>
      <c r="E370" s="5">
        <v>10819.89</v>
      </c>
      <c r="F370" s="6">
        <f>LOOKUP(D370,'AMFI DATA_2023H2'!F:J,'AMFI DATA_2023H2'!J:J)</f>
        <v>11773.015149999999</v>
      </c>
      <c r="G370" s="7">
        <f t="shared" si="1"/>
        <v>-1</v>
      </c>
      <c r="H370" s="8"/>
      <c r="I370" s="8">
        <v>11079</v>
      </c>
      <c r="J370" s="8">
        <v>11105</v>
      </c>
      <c r="K370" s="8">
        <v>11140</v>
      </c>
      <c r="L370" s="8">
        <v>10976</v>
      </c>
      <c r="M370" s="8">
        <v>10794</v>
      </c>
      <c r="N370" s="8">
        <v>10914</v>
      </c>
      <c r="O370" s="8">
        <v>10984</v>
      </c>
      <c r="P370" s="8">
        <v>10926</v>
      </c>
      <c r="Q370" s="8">
        <v>10878</v>
      </c>
      <c r="R370" s="8">
        <v>10674</v>
      </c>
      <c r="S370" s="8">
        <v>10672</v>
      </c>
      <c r="T370" s="8">
        <v>10510</v>
      </c>
      <c r="U370" s="8">
        <v>10614</v>
      </c>
      <c r="V370" s="8">
        <v>10785</v>
      </c>
      <c r="W370" s="8">
        <v>10945</v>
      </c>
      <c r="X370" s="8">
        <v>11071</v>
      </c>
      <c r="Y370" s="8">
        <v>11235</v>
      </c>
      <c r="Z370" s="8">
        <v>11216</v>
      </c>
      <c r="AA370" s="8">
        <v>11448</v>
      </c>
      <c r="AB370" s="8">
        <v>11510</v>
      </c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spans="1:47" ht="14.4">
      <c r="A371" s="3">
        <f>LOOKUP(D371,'AMFI DATA_2023H2'!F:L,'AMFI DATA_2023H2'!L:L)</f>
        <v>369</v>
      </c>
      <c r="B371" s="4" t="s">
        <v>1113</v>
      </c>
      <c r="C371" s="4" t="s">
        <v>1114</v>
      </c>
      <c r="D371" s="5" t="s">
        <v>1115</v>
      </c>
      <c r="E371" s="5">
        <v>4343.63</v>
      </c>
      <c r="F371" s="6">
        <f>LOOKUP(D371,'AMFI DATA_2023H2'!F:J,'AMFI DATA_2023H2'!J:J)</f>
        <v>11754.259249999999</v>
      </c>
      <c r="G371" s="7">
        <f t="shared" si="1"/>
        <v>-1</v>
      </c>
      <c r="H371" s="8"/>
      <c r="I371" s="8">
        <v>16457</v>
      </c>
      <c r="J371" s="8">
        <v>15900</v>
      </c>
      <c r="K371" s="8">
        <v>15976</v>
      </c>
      <c r="L371" s="8">
        <v>15826</v>
      </c>
      <c r="M371" s="8">
        <v>15321</v>
      </c>
      <c r="N371" s="8">
        <v>14603</v>
      </c>
      <c r="O371" s="8">
        <v>14595</v>
      </c>
      <c r="P371" s="8">
        <v>13964</v>
      </c>
      <c r="Q371" s="8">
        <v>14164</v>
      </c>
      <c r="R371" s="8">
        <v>14424</v>
      </c>
      <c r="S371" s="8">
        <v>14125</v>
      </c>
      <c r="T371" s="8">
        <v>13643</v>
      </c>
      <c r="U371" s="8">
        <v>13097</v>
      </c>
      <c r="V371" s="8">
        <v>13130</v>
      </c>
      <c r="W371" s="8">
        <v>13189</v>
      </c>
      <c r="X371" s="8">
        <v>13154</v>
      </c>
      <c r="Y371" s="8">
        <v>13070</v>
      </c>
      <c r="Z371" s="8">
        <v>13239</v>
      </c>
      <c r="AA371" s="8">
        <v>13202</v>
      </c>
      <c r="AB371" s="8">
        <v>13346</v>
      </c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</row>
    <row r="372" spans="1:47" ht="14.4">
      <c r="A372" s="3">
        <f>LOOKUP(D372,'AMFI DATA_2023H2'!F:L,'AMFI DATA_2023H2'!L:L)</f>
        <v>370</v>
      </c>
      <c r="B372" s="4" t="s">
        <v>1116</v>
      </c>
      <c r="C372" s="4" t="s">
        <v>1117</v>
      </c>
      <c r="D372" s="5" t="s">
        <v>1118</v>
      </c>
      <c r="E372" s="5">
        <v>10983</v>
      </c>
      <c r="F372" s="6">
        <f>LOOKUP(D372,'AMFI DATA_2023H2'!F:J,'AMFI DATA_2023H2'!J:J)</f>
        <v>11737.111349999999</v>
      </c>
      <c r="G372" s="7">
        <f t="shared" si="1"/>
        <v>-1</v>
      </c>
      <c r="H372" s="8"/>
      <c r="I372" s="8">
        <v>12707</v>
      </c>
      <c r="J372" s="8">
        <v>12536</v>
      </c>
      <c r="K372" s="8">
        <v>12674</v>
      </c>
      <c r="L372" s="8">
        <v>13024</v>
      </c>
      <c r="M372" s="8">
        <v>13227</v>
      </c>
      <c r="N372" s="8">
        <v>13294</v>
      </c>
      <c r="O372" s="8">
        <v>13457</v>
      </c>
      <c r="P372" s="8">
        <v>13080</v>
      </c>
      <c r="Q372" s="8">
        <v>13108</v>
      </c>
      <c r="R372" s="8">
        <v>13122</v>
      </c>
      <c r="S372" s="8">
        <v>13295</v>
      </c>
      <c r="T372" s="8">
        <v>13345</v>
      </c>
      <c r="U372" s="8">
        <v>13390</v>
      </c>
      <c r="V372" s="8">
        <v>13483</v>
      </c>
      <c r="W372" s="8">
        <v>13576</v>
      </c>
      <c r="X372" s="8">
        <v>13284</v>
      </c>
      <c r="Y372" s="8">
        <v>13580</v>
      </c>
      <c r="Z372" s="8">
        <v>13332</v>
      </c>
      <c r="AA372" s="8">
        <v>13195</v>
      </c>
      <c r="AB372" s="8">
        <v>13250</v>
      </c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spans="1:47" ht="14.4">
      <c r="A373" s="3">
        <f>LOOKUP(D373,'AMFI DATA_2023H2'!F:L,'AMFI DATA_2023H2'!L:L)</f>
        <v>371</v>
      </c>
      <c r="B373" s="4" t="s">
        <v>1119</v>
      </c>
      <c r="C373" s="4" t="s">
        <v>1120</v>
      </c>
      <c r="D373" s="5" t="s">
        <v>1121</v>
      </c>
      <c r="E373" s="5">
        <v>10618.61</v>
      </c>
      <c r="F373" s="6">
        <f>LOOKUP(D373,'AMFI DATA_2023H2'!F:J,'AMFI DATA_2023H2'!J:J)</f>
        <v>11728.3269</v>
      </c>
      <c r="G373" s="7">
        <f t="shared" si="1"/>
        <v>-1</v>
      </c>
      <c r="H373" s="8"/>
      <c r="I373" s="8">
        <v>13050</v>
      </c>
      <c r="J373" s="8">
        <v>12780</v>
      </c>
      <c r="K373" s="8">
        <v>12771</v>
      </c>
      <c r="L373" s="8">
        <v>12826</v>
      </c>
      <c r="M373" s="8">
        <v>12952</v>
      </c>
      <c r="N373" s="8">
        <v>12938</v>
      </c>
      <c r="O373" s="8">
        <v>13205</v>
      </c>
      <c r="P373" s="8">
        <v>13221</v>
      </c>
      <c r="Q373" s="8">
        <v>13232</v>
      </c>
      <c r="R373" s="8">
        <v>13209</v>
      </c>
      <c r="S373" s="8">
        <v>13192</v>
      </c>
      <c r="T373" s="8">
        <v>13267</v>
      </c>
      <c r="U373" s="8">
        <v>13179</v>
      </c>
      <c r="V373" s="8">
        <v>13256</v>
      </c>
      <c r="W373" s="8">
        <v>13306</v>
      </c>
      <c r="X373" s="8">
        <v>13274</v>
      </c>
      <c r="Y373" s="8">
        <v>13305</v>
      </c>
      <c r="Z373" s="8">
        <v>13270</v>
      </c>
      <c r="AA373" s="8">
        <v>13323</v>
      </c>
      <c r="AB373" s="8">
        <v>13106</v>
      </c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spans="1:47" ht="14.4">
      <c r="A374" s="3">
        <f>LOOKUP(D374,'AMFI DATA_2023H2'!F:L,'AMFI DATA_2023H2'!L:L)</f>
        <v>372</v>
      </c>
      <c r="B374" s="4" t="s">
        <v>1122</v>
      </c>
      <c r="C374" s="4" t="s">
        <v>1123</v>
      </c>
      <c r="D374" s="5" t="s">
        <v>1124</v>
      </c>
      <c r="E374" s="5">
        <v>676.62</v>
      </c>
      <c r="F374" s="6">
        <f>LOOKUP(D374,'AMFI DATA_2023H2'!F:J,'AMFI DATA_2023H2'!J:J)</f>
        <v>11714.053449999999</v>
      </c>
      <c r="G374" s="7">
        <f t="shared" si="1"/>
        <v>-1</v>
      </c>
      <c r="H374" s="8"/>
      <c r="I374" s="8">
        <v>16183</v>
      </c>
      <c r="J374" s="8">
        <v>16465</v>
      </c>
      <c r="K374" s="8">
        <v>16145</v>
      </c>
      <c r="L374" s="8">
        <v>16198</v>
      </c>
      <c r="M374" s="8">
        <v>16180</v>
      </c>
      <c r="N374" s="8">
        <v>16506</v>
      </c>
      <c r="O374" s="8">
        <v>16404</v>
      </c>
      <c r="P374" s="8">
        <v>16276</v>
      </c>
      <c r="Q374" s="8">
        <v>16285</v>
      </c>
      <c r="R374" s="8">
        <v>16388</v>
      </c>
      <c r="S374" s="8">
        <v>16505</v>
      </c>
      <c r="T374" s="8">
        <v>16562</v>
      </c>
      <c r="U374" s="8">
        <v>16855</v>
      </c>
      <c r="V374" s="8">
        <v>16213</v>
      </c>
      <c r="W374" s="8">
        <v>16182</v>
      </c>
      <c r="X374" s="8">
        <v>15726</v>
      </c>
      <c r="Y374" s="8">
        <v>14665</v>
      </c>
      <c r="Z374" s="8">
        <v>14860</v>
      </c>
      <c r="AA374" s="8">
        <v>14805</v>
      </c>
      <c r="AB374" s="8">
        <v>15253</v>
      </c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</row>
    <row r="375" spans="1:47" ht="14.4">
      <c r="A375" s="3">
        <f>LOOKUP(D375,'AMFI DATA_2023H2'!F:L,'AMFI DATA_2023H2'!L:L)</f>
        <v>373</v>
      </c>
      <c r="B375" s="4" t="s">
        <v>1125</v>
      </c>
      <c r="C375" s="4" t="s">
        <v>1126</v>
      </c>
      <c r="D375" s="5" t="s">
        <v>1127</v>
      </c>
      <c r="E375" s="5">
        <v>6659.72</v>
      </c>
      <c r="F375" s="6">
        <f>LOOKUP(D375,'AMFI DATA_2023H2'!F:J,'AMFI DATA_2023H2'!J:J)</f>
        <v>11573.708500000001</v>
      </c>
      <c r="G375" s="7">
        <f t="shared" si="1"/>
        <v>-1</v>
      </c>
      <c r="H375" s="8"/>
      <c r="I375" s="8">
        <v>12640</v>
      </c>
      <c r="J375" s="8">
        <v>12619</v>
      </c>
      <c r="K375" s="8">
        <v>13048</v>
      </c>
      <c r="L375" s="8">
        <v>12970</v>
      </c>
      <c r="M375" s="8">
        <v>13209</v>
      </c>
      <c r="N375" s="8">
        <v>12906</v>
      </c>
      <c r="O375" s="8">
        <v>12769</v>
      </c>
      <c r="P375" s="8">
        <v>12798</v>
      </c>
      <c r="Q375" s="8">
        <v>12737</v>
      </c>
      <c r="R375" s="8">
        <v>12981</v>
      </c>
      <c r="S375" s="8">
        <v>13227</v>
      </c>
      <c r="T375" s="8">
        <v>13245</v>
      </c>
      <c r="U375" s="8">
        <v>13124</v>
      </c>
      <c r="V375" s="8">
        <v>13402</v>
      </c>
      <c r="W375" s="8">
        <v>13771</v>
      </c>
      <c r="X375" s="8">
        <v>13830</v>
      </c>
      <c r="Y375" s="8">
        <v>14044</v>
      </c>
      <c r="Z375" s="8">
        <v>14209</v>
      </c>
      <c r="AA375" s="8">
        <v>14028</v>
      </c>
      <c r="AB375" s="8">
        <v>14045</v>
      </c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spans="1:47" ht="14.4">
      <c r="A376" s="3">
        <f>LOOKUP(D376,'AMFI DATA_2023H2'!F:L,'AMFI DATA_2023H2'!L:L)</f>
        <v>374</v>
      </c>
      <c r="B376" s="4" t="s">
        <v>1128</v>
      </c>
      <c r="C376" s="4" t="s">
        <v>1129</v>
      </c>
      <c r="D376" s="5" t="s">
        <v>1130</v>
      </c>
      <c r="E376" s="5">
        <v>7651.98</v>
      </c>
      <c r="F376" s="6">
        <f>LOOKUP(D376,'AMFI DATA_2023H2'!F:J,'AMFI DATA_2023H2'!J:J)</f>
        <v>11530.98525</v>
      </c>
      <c r="G376" s="7">
        <f t="shared" si="1"/>
        <v>-1</v>
      </c>
      <c r="H376" s="8"/>
      <c r="I376" s="8">
        <v>18742</v>
      </c>
      <c r="J376" s="8">
        <v>18332</v>
      </c>
      <c r="K376" s="8">
        <v>18146</v>
      </c>
      <c r="L376" s="8">
        <v>18620</v>
      </c>
      <c r="M376" s="8">
        <v>18985</v>
      </c>
      <c r="N376" s="8">
        <v>19070</v>
      </c>
      <c r="O376" s="8">
        <v>18657</v>
      </c>
      <c r="P376" s="8">
        <v>17001</v>
      </c>
      <c r="Q376" s="8">
        <v>16270</v>
      </c>
      <c r="R376" s="8">
        <v>16070</v>
      </c>
      <c r="S376" s="8">
        <v>16654</v>
      </c>
      <c r="T376" s="8">
        <v>16712</v>
      </c>
      <c r="U376" s="8">
        <v>17025</v>
      </c>
      <c r="V376" s="8">
        <v>16406</v>
      </c>
      <c r="W376" s="8">
        <v>16374</v>
      </c>
      <c r="X376" s="8">
        <v>16045</v>
      </c>
      <c r="Y376" s="8">
        <v>15963</v>
      </c>
      <c r="Z376" s="8">
        <v>15900</v>
      </c>
      <c r="AA376" s="8">
        <v>15784</v>
      </c>
      <c r="AB376" s="8">
        <v>15519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spans="1:47" ht="14.4">
      <c r="A377" s="3">
        <f>LOOKUP(D377,'AMFI DATA_2023H2'!F:L,'AMFI DATA_2023H2'!L:L)</f>
        <v>375</v>
      </c>
      <c r="B377" s="4" t="s">
        <v>1131</v>
      </c>
      <c r="C377" s="4" t="s">
        <v>1132</v>
      </c>
      <c r="D377" s="5" t="s">
        <v>1133</v>
      </c>
      <c r="E377" s="5">
        <v>8114.4</v>
      </c>
      <c r="F377" s="6">
        <f>LOOKUP(D377,'AMFI DATA_2023H2'!F:J,'AMFI DATA_2023H2'!J:J)</f>
        <v>11423.32855</v>
      </c>
      <c r="G377" s="7">
        <f t="shared" si="1"/>
        <v>-1</v>
      </c>
      <c r="H377" s="8"/>
      <c r="I377" s="8">
        <v>10765</v>
      </c>
      <c r="J377" s="8">
        <v>10824</v>
      </c>
      <c r="K377" s="8">
        <v>11063</v>
      </c>
      <c r="L377" s="8">
        <v>10747</v>
      </c>
      <c r="M377" s="8">
        <v>10984</v>
      </c>
      <c r="N377" s="8">
        <v>11105</v>
      </c>
      <c r="O377" s="8">
        <v>11057</v>
      </c>
      <c r="P377" s="8">
        <v>11074</v>
      </c>
      <c r="Q377" s="8">
        <v>10954</v>
      </c>
      <c r="R377" s="8">
        <v>11029</v>
      </c>
      <c r="S377" s="8">
        <v>10653</v>
      </c>
      <c r="T377" s="8">
        <v>10521</v>
      </c>
      <c r="U377" s="8">
        <v>10440</v>
      </c>
      <c r="V377" s="8">
        <v>10630</v>
      </c>
      <c r="W377" s="8">
        <v>10306</v>
      </c>
      <c r="X377" s="8">
        <v>10460</v>
      </c>
      <c r="Y377" s="8">
        <v>10535</v>
      </c>
      <c r="Z377" s="8">
        <v>10562</v>
      </c>
      <c r="AA377" s="8">
        <v>10778</v>
      </c>
      <c r="AB377" s="8">
        <v>10989</v>
      </c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</row>
    <row r="378" spans="1:47" ht="14.4">
      <c r="A378" s="3">
        <f>LOOKUP(D378,'AMFI DATA_2023H2'!F:L,'AMFI DATA_2023H2'!L:L)</f>
        <v>376</v>
      </c>
      <c r="B378" s="4" t="s">
        <v>1134</v>
      </c>
      <c r="C378" s="4" t="s">
        <v>1135</v>
      </c>
      <c r="D378" s="5" t="s">
        <v>1136</v>
      </c>
      <c r="E378" s="5">
        <v>8541.15</v>
      </c>
      <c r="F378" s="6">
        <f>LOOKUP(D378,'AMFI DATA_2023H2'!F:J,'AMFI DATA_2023H2'!J:J)</f>
        <v>11420.806549999999</v>
      </c>
      <c r="G378" s="7">
        <f t="shared" si="1"/>
        <v>-1</v>
      </c>
      <c r="H378" s="8"/>
      <c r="I378" s="8">
        <v>12092</v>
      </c>
      <c r="J378" s="8">
        <v>12153</v>
      </c>
      <c r="K378" s="8">
        <v>12267</v>
      </c>
      <c r="L378" s="8">
        <v>12312</v>
      </c>
      <c r="M378" s="8">
        <v>12535</v>
      </c>
      <c r="N378" s="8">
        <v>12491</v>
      </c>
      <c r="O378" s="8">
        <v>12457</v>
      </c>
      <c r="P378" s="8">
        <v>12356</v>
      </c>
      <c r="Q378" s="8">
        <v>12468</v>
      </c>
      <c r="R378" s="8">
        <v>12464</v>
      </c>
      <c r="S378" s="8">
        <v>12694</v>
      </c>
      <c r="T378" s="8">
        <v>12619</v>
      </c>
      <c r="U378" s="8">
        <v>12381</v>
      </c>
      <c r="V378" s="8">
        <v>12696</v>
      </c>
      <c r="W378" s="8">
        <v>12354</v>
      </c>
      <c r="X378" s="8">
        <v>12372</v>
      </c>
      <c r="Y378" s="8">
        <v>12375</v>
      </c>
      <c r="Z378" s="8">
        <v>12380</v>
      </c>
      <c r="AA378" s="8">
        <v>12353</v>
      </c>
      <c r="AB378" s="8">
        <v>12048</v>
      </c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</row>
    <row r="379" spans="1:47" ht="14.4">
      <c r="A379" s="3">
        <f>LOOKUP(D379,'AMFI DATA_2023H2'!F:L,'AMFI DATA_2023H2'!L:L)</f>
        <v>377</v>
      </c>
      <c r="B379" s="4" t="s">
        <v>1137</v>
      </c>
      <c r="C379" s="4" t="s">
        <v>1138</v>
      </c>
      <c r="D379" s="5" t="s">
        <v>1139</v>
      </c>
      <c r="E379" s="5">
        <v>73.06</v>
      </c>
      <c r="F379" s="6">
        <f>LOOKUP(D379,'AMFI DATA_2023H2'!F:J,'AMFI DATA_2023H2'!J:J)</f>
        <v>11332.280650000001</v>
      </c>
      <c r="G379" s="7">
        <f t="shared" si="1"/>
        <v>-1</v>
      </c>
      <c r="H379" s="8"/>
      <c r="I379" s="8">
        <v>13972</v>
      </c>
      <c r="J379" s="8">
        <v>13858</v>
      </c>
      <c r="K379" s="8">
        <v>13600</v>
      </c>
      <c r="L379" s="8">
        <v>13707</v>
      </c>
      <c r="M379" s="8">
        <v>13925</v>
      </c>
      <c r="N379" s="8">
        <v>13707</v>
      </c>
      <c r="O379" s="8">
        <v>13616</v>
      </c>
      <c r="P379" s="8">
        <v>13891</v>
      </c>
      <c r="Q379" s="8">
        <v>13923</v>
      </c>
      <c r="R379" s="8">
        <v>14123</v>
      </c>
      <c r="S379" s="8">
        <v>14262</v>
      </c>
      <c r="T379" s="8">
        <v>13952</v>
      </c>
      <c r="U379" s="8">
        <v>13864</v>
      </c>
      <c r="V379" s="8">
        <v>13950</v>
      </c>
      <c r="W379" s="8">
        <v>14089</v>
      </c>
      <c r="X379" s="8">
        <v>13945</v>
      </c>
      <c r="Y379" s="8">
        <v>14005</v>
      </c>
      <c r="Z379" s="8">
        <v>13855</v>
      </c>
      <c r="AA379" s="8">
        <v>13131</v>
      </c>
      <c r="AB379" s="8">
        <v>12996</v>
      </c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spans="1:47" ht="14.4">
      <c r="A380" s="3">
        <f>LOOKUP(D380,'AMFI DATA_2023H2'!F:L,'AMFI DATA_2023H2'!L:L)</f>
        <v>378</v>
      </c>
      <c r="B380" s="4" t="s">
        <v>1140</v>
      </c>
      <c r="C380" s="4" t="s">
        <v>1141</v>
      </c>
      <c r="D380" s="5" t="s">
        <v>1142</v>
      </c>
      <c r="E380" s="5">
        <v>8618.8700000000008</v>
      </c>
      <c r="F380" s="6">
        <f>LOOKUP(D380,'AMFI DATA_2023H2'!F:J,'AMFI DATA_2023H2'!J:J)</f>
        <v>11319.08655</v>
      </c>
      <c r="G380" s="7">
        <f t="shared" si="1"/>
        <v>-1</v>
      </c>
      <c r="H380" s="8"/>
      <c r="I380" s="8">
        <v>13304</v>
      </c>
      <c r="J380" s="8">
        <v>12503</v>
      </c>
      <c r="K380" s="8">
        <v>12813</v>
      </c>
      <c r="L380" s="8">
        <v>12573</v>
      </c>
      <c r="M380" s="8">
        <v>12849</v>
      </c>
      <c r="N380" s="8">
        <v>12508</v>
      </c>
      <c r="O380" s="8">
        <v>12700</v>
      </c>
      <c r="P380" s="8">
        <v>12601</v>
      </c>
      <c r="Q380" s="8">
        <v>12343</v>
      </c>
      <c r="R380" s="8">
        <v>12236</v>
      </c>
      <c r="S380" s="8">
        <v>12290</v>
      </c>
      <c r="T380" s="8">
        <v>12431</v>
      </c>
      <c r="U380" s="8">
        <v>12468</v>
      </c>
      <c r="V380" s="8">
        <v>12050</v>
      </c>
      <c r="W380" s="8">
        <v>12068</v>
      </c>
      <c r="X380" s="8">
        <v>12086</v>
      </c>
      <c r="Y380" s="8">
        <v>11957</v>
      </c>
      <c r="Z380" s="8">
        <v>12122</v>
      </c>
      <c r="AA380" s="8">
        <v>12216</v>
      </c>
      <c r="AB380" s="8">
        <v>11708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spans="1:47" ht="14.4">
      <c r="A381" s="3">
        <f>LOOKUP(D381,'AMFI DATA_2023H2'!F:L,'AMFI DATA_2023H2'!L:L)</f>
        <v>379</v>
      </c>
      <c r="B381" s="4" t="s">
        <v>1143</v>
      </c>
      <c r="C381" s="4" t="s">
        <v>1144</v>
      </c>
      <c r="D381" s="5" t="s">
        <v>1145</v>
      </c>
      <c r="E381" s="5">
        <v>7801.53</v>
      </c>
      <c r="F381" s="6">
        <f>LOOKUP(D381,'AMFI DATA_2023H2'!F:J,'AMFI DATA_2023H2'!J:J)</f>
        <v>11303.010200000001</v>
      </c>
      <c r="G381" s="7">
        <f t="shared" si="1"/>
        <v>-1</v>
      </c>
      <c r="H381" s="8"/>
      <c r="I381" s="8">
        <v>14786</v>
      </c>
      <c r="J381" s="8">
        <v>14777</v>
      </c>
      <c r="K381" s="8">
        <v>14829</v>
      </c>
      <c r="L381" s="8">
        <v>14771</v>
      </c>
      <c r="M381" s="8">
        <v>15202</v>
      </c>
      <c r="N381" s="8">
        <v>15386</v>
      </c>
      <c r="O381" s="8">
        <v>15388</v>
      </c>
      <c r="P381" s="8">
        <v>15112</v>
      </c>
      <c r="Q381" s="8">
        <v>14890</v>
      </c>
      <c r="R381" s="8">
        <v>14690</v>
      </c>
      <c r="S381" s="8">
        <v>14004</v>
      </c>
      <c r="T381" s="8">
        <v>13964</v>
      </c>
      <c r="U381" s="8">
        <v>13923</v>
      </c>
      <c r="V381" s="8">
        <v>13922</v>
      </c>
      <c r="W381" s="8">
        <v>14118</v>
      </c>
      <c r="X381" s="8">
        <v>14305</v>
      </c>
      <c r="Y381" s="8">
        <v>13929</v>
      </c>
      <c r="Z381" s="8">
        <v>13540</v>
      </c>
      <c r="AA381" s="8">
        <v>13368</v>
      </c>
      <c r="AB381" s="8">
        <v>13417</v>
      </c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spans="1:47" ht="14.4">
      <c r="A382" s="3">
        <f>LOOKUP(D382,'AMFI DATA_2023H2'!F:L,'AMFI DATA_2023H2'!L:L)</f>
        <v>380</v>
      </c>
      <c r="B382" s="4" t="s">
        <v>1146</v>
      </c>
      <c r="C382" s="4" t="s">
        <v>1147</v>
      </c>
      <c r="D382" s="5" t="s">
        <v>1148</v>
      </c>
      <c r="E382" s="5">
        <v>8369.1</v>
      </c>
      <c r="F382" s="6">
        <f>LOOKUP(D382,'AMFI DATA_2023H2'!F:J,'AMFI DATA_2023H2'!J:J)</f>
        <v>11139.094499999999</v>
      </c>
      <c r="G382" s="7">
        <f t="shared" si="1"/>
        <v>-1</v>
      </c>
      <c r="H382" s="8"/>
      <c r="I382" s="8">
        <v>13603</v>
      </c>
      <c r="J382" s="8">
        <v>13812</v>
      </c>
      <c r="K382" s="8">
        <v>13591</v>
      </c>
      <c r="L382" s="8">
        <v>13981</v>
      </c>
      <c r="M382" s="8">
        <v>14025</v>
      </c>
      <c r="N382" s="8">
        <v>13535</v>
      </c>
      <c r="O382" s="8">
        <v>13495</v>
      </c>
      <c r="P382" s="8">
        <v>13294</v>
      </c>
      <c r="Q382" s="8">
        <v>13000</v>
      </c>
      <c r="R382" s="8">
        <v>13161</v>
      </c>
      <c r="S382" s="8">
        <v>13414</v>
      </c>
      <c r="T382" s="8">
        <v>13398</v>
      </c>
      <c r="U382" s="8">
        <v>13445</v>
      </c>
      <c r="V382" s="8">
        <v>13501</v>
      </c>
      <c r="W382" s="8">
        <v>13710</v>
      </c>
      <c r="X382" s="8">
        <v>13529</v>
      </c>
      <c r="Y382" s="8">
        <v>13525</v>
      </c>
      <c r="Z382" s="8">
        <v>13200</v>
      </c>
      <c r="AA382" s="8">
        <v>13120</v>
      </c>
      <c r="AB382" s="8">
        <v>13405</v>
      </c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</row>
    <row r="383" spans="1:47" ht="14.4">
      <c r="A383" s="3">
        <f>LOOKUP(D383,'AMFI DATA_2023H2'!F:L,'AMFI DATA_2023H2'!L:L)</f>
        <v>382</v>
      </c>
      <c r="B383" s="4" t="s">
        <v>1149</v>
      </c>
      <c r="C383" s="4" t="s">
        <v>1150</v>
      </c>
      <c r="D383" s="5" t="s">
        <v>1151</v>
      </c>
      <c r="E383" s="5">
        <v>8182.9</v>
      </c>
      <c r="F383" s="6">
        <f>LOOKUP(D383,'AMFI DATA_2023H2'!F:J,'AMFI DATA_2023H2'!J:J)</f>
        <v>11123.552100000001</v>
      </c>
      <c r="G383" s="7">
        <f t="shared" si="1"/>
        <v>-1</v>
      </c>
      <c r="H383" s="8"/>
      <c r="I383" s="8">
        <v>14414</v>
      </c>
      <c r="J383" s="8">
        <v>13928</v>
      </c>
      <c r="K383" s="8">
        <v>14100</v>
      </c>
      <c r="L383" s="8">
        <v>14216</v>
      </c>
      <c r="M383" s="8">
        <v>14716</v>
      </c>
      <c r="N383" s="8">
        <v>14783</v>
      </c>
      <c r="O383" s="8">
        <v>13389</v>
      </c>
      <c r="P383" s="8">
        <v>13420</v>
      </c>
      <c r="Q383" s="8">
        <v>13406</v>
      </c>
      <c r="R383" s="8">
        <v>13248</v>
      </c>
      <c r="S383" s="8">
        <v>13607</v>
      </c>
      <c r="T383" s="8">
        <v>13322</v>
      </c>
      <c r="U383" s="8">
        <v>13096</v>
      </c>
      <c r="V383" s="8">
        <v>12966</v>
      </c>
      <c r="W383" s="8">
        <v>13044</v>
      </c>
      <c r="X383" s="8">
        <v>13016</v>
      </c>
      <c r="Y383" s="8">
        <v>13012</v>
      </c>
      <c r="Z383" s="8">
        <v>12945</v>
      </c>
      <c r="AA383" s="8">
        <v>13118</v>
      </c>
      <c r="AB383" s="8">
        <v>13030</v>
      </c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spans="1:47" ht="14.4">
      <c r="A384" s="3">
        <f>LOOKUP(D384,'AMFI DATA_2023H2'!F:L,'AMFI DATA_2023H2'!L:L)</f>
        <v>383</v>
      </c>
      <c r="B384" s="4" t="s">
        <v>1152</v>
      </c>
      <c r="C384" s="4" t="s">
        <v>1153</v>
      </c>
      <c r="D384" s="5" t="s">
        <v>1154</v>
      </c>
      <c r="E384" s="5">
        <v>8391.5499999999993</v>
      </c>
      <c r="F384" s="6">
        <f>LOOKUP(D384,'AMFI DATA_2023H2'!F:J,'AMFI DATA_2023H2'!J:J)</f>
        <v>11023.92355</v>
      </c>
      <c r="G384" s="7">
        <f t="shared" si="1"/>
        <v>-1</v>
      </c>
      <c r="H384" s="8"/>
      <c r="I384" s="8">
        <v>15747</v>
      </c>
      <c r="J384" s="8">
        <v>15786</v>
      </c>
      <c r="K384" s="8">
        <v>15805</v>
      </c>
      <c r="L384" s="8">
        <v>15724</v>
      </c>
      <c r="M384" s="8">
        <v>15486</v>
      </c>
      <c r="N384" s="8">
        <v>15631</v>
      </c>
      <c r="O384" s="8">
        <v>15670</v>
      </c>
      <c r="P384" s="8">
        <v>16603</v>
      </c>
      <c r="Q384" s="8">
        <v>14132</v>
      </c>
      <c r="R384" s="8">
        <v>14168</v>
      </c>
      <c r="S384" s="8">
        <v>13908</v>
      </c>
      <c r="T384" s="8">
        <v>13966</v>
      </c>
      <c r="U384" s="8">
        <v>14216</v>
      </c>
      <c r="V384" s="8">
        <v>14245</v>
      </c>
      <c r="W384" s="8">
        <v>14037</v>
      </c>
      <c r="X384" s="8">
        <v>13817</v>
      </c>
      <c r="Y384" s="8">
        <v>14005</v>
      </c>
      <c r="Z384" s="8">
        <v>13908</v>
      </c>
      <c r="AA384" s="8">
        <v>14067</v>
      </c>
      <c r="AB384" s="8">
        <v>13323</v>
      </c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spans="1:47" ht="14.4">
      <c r="A385" s="3">
        <f>LOOKUP(D385,'AMFI DATA_2023H2'!F:L,'AMFI DATA_2023H2'!L:L)</f>
        <v>384</v>
      </c>
      <c r="B385" s="4" t="s">
        <v>1155</v>
      </c>
      <c r="C385" s="4" t="s">
        <v>1156</v>
      </c>
      <c r="D385" s="5" t="s">
        <v>1157</v>
      </c>
      <c r="E385" s="5">
        <v>9219.56</v>
      </c>
      <c r="F385" s="6">
        <f>LOOKUP(D385,'AMFI DATA_2023H2'!F:J,'AMFI DATA_2023H2'!J:J)</f>
        <v>10925.7003</v>
      </c>
      <c r="G385" s="7">
        <f t="shared" si="1"/>
        <v>-1</v>
      </c>
      <c r="H385" s="8"/>
      <c r="I385" s="8">
        <v>11422</v>
      </c>
      <c r="J385" s="8">
        <v>11607</v>
      </c>
      <c r="K385" s="8">
        <v>11551</v>
      </c>
      <c r="L385" s="8">
        <v>11734</v>
      </c>
      <c r="M385" s="8">
        <v>11775</v>
      </c>
      <c r="N385" s="8">
        <v>11711</v>
      </c>
      <c r="O385" s="8">
        <v>11569</v>
      </c>
      <c r="P385" s="8">
        <v>11215</v>
      </c>
      <c r="Q385" s="8">
        <v>11075</v>
      </c>
      <c r="R385" s="8">
        <v>10979</v>
      </c>
      <c r="S385" s="8">
        <v>11019</v>
      </c>
      <c r="T385" s="8">
        <v>11069</v>
      </c>
      <c r="U385" s="8">
        <v>11046</v>
      </c>
      <c r="V385" s="8">
        <v>11225</v>
      </c>
      <c r="W385" s="8">
        <v>11393</v>
      </c>
      <c r="X385" s="8">
        <v>11140</v>
      </c>
      <c r="Y385" s="8">
        <v>10917</v>
      </c>
      <c r="Z385" s="8">
        <v>11198</v>
      </c>
      <c r="AA385" s="8">
        <v>11296</v>
      </c>
      <c r="AB385" s="8">
        <v>11354</v>
      </c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spans="1:47" ht="14.4">
      <c r="A386" s="3">
        <f>LOOKUP(D386,'AMFI DATA_2023H2'!F:L,'AMFI DATA_2023H2'!L:L)</f>
        <v>385</v>
      </c>
      <c r="B386" s="4" t="s">
        <v>1158</v>
      </c>
      <c r="C386" s="4" t="s">
        <v>1159</v>
      </c>
      <c r="D386" s="5" t="s">
        <v>1160</v>
      </c>
      <c r="E386" s="5">
        <v>8445.43</v>
      </c>
      <c r="F386" s="6">
        <f>LOOKUP(D386,'AMFI DATA_2023H2'!F:J,'AMFI DATA_2023H2'!J:J)</f>
        <v>10890.871299999999</v>
      </c>
      <c r="G386" s="7">
        <f t="shared" si="1"/>
        <v>-1</v>
      </c>
      <c r="H386" s="8"/>
      <c r="I386" s="8">
        <v>10619</v>
      </c>
      <c r="J386" s="8">
        <v>10319</v>
      </c>
      <c r="K386" s="8">
        <v>10405</v>
      </c>
      <c r="L386" s="8">
        <v>10477</v>
      </c>
      <c r="M386" s="8">
        <v>10470</v>
      </c>
      <c r="N386" s="8">
        <v>10427</v>
      </c>
      <c r="O386" s="8">
        <v>10096</v>
      </c>
      <c r="P386" s="8">
        <v>10070</v>
      </c>
      <c r="Q386" s="8">
        <v>10106</v>
      </c>
      <c r="R386" s="8">
        <v>10128</v>
      </c>
      <c r="S386" s="8">
        <v>10048</v>
      </c>
      <c r="T386" s="8">
        <v>10076</v>
      </c>
      <c r="U386" s="8">
        <v>10115</v>
      </c>
      <c r="V386" s="8">
        <v>10194</v>
      </c>
      <c r="W386" s="8">
        <v>10275</v>
      </c>
      <c r="X386" s="8">
        <v>10194</v>
      </c>
      <c r="Y386" s="8">
        <v>10299</v>
      </c>
      <c r="Z386" s="8">
        <v>10412</v>
      </c>
      <c r="AA386" s="8">
        <v>10527</v>
      </c>
      <c r="AB386" s="8">
        <v>10543</v>
      </c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spans="1:47" ht="14.4">
      <c r="A387" s="3">
        <f>LOOKUP(D387,'AMFI DATA_2023H2'!F:L,'AMFI DATA_2023H2'!L:L)</f>
        <v>386</v>
      </c>
      <c r="B387" s="4" t="s">
        <v>1161</v>
      </c>
      <c r="C387" s="4" t="s">
        <v>1162</v>
      </c>
      <c r="D387" s="5" t="s">
        <v>1163</v>
      </c>
      <c r="E387" s="5">
        <v>8180.8</v>
      </c>
      <c r="F387" s="6">
        <f>LOOKUP(D387,'AMFI DATA_2023H2'!F:J,'AMFI DATA_2023H2'!J:J)</f>
        <v>10851.5435</v>
      </c>
      <c r="G387" s="7">
        <f t="shared" si="1"/>
        <v>-1</v>
      </c>
      <c r="H387" s="8"/>
      <c r="I387" s="8">
        <v>12840</v>
      </c>
      <c r="J387" s="8">
        <v>13045</v>
      </c>
      <c r="K387" s="8">
        <v>12554</v>
      </c>
      <c r="L387" s="8">
        <v>12965</v>
      </c>
      <c r="M387" s="8">
        <v>12937</v>
      </c>
      <c r="N387" s="8">
        <v>13025</v>
      </c>
      <c r="O387" s="8">
        <v>13013</v>
      </c>
      <c r="P387" s="8">
        <v>13417</v>
      </c>
      <c r="Q387" s="8">
        <v>13231</v>
      </c>
      <c r="R387" s="8">
        <v>13085</v>
      </c>
      <c r="S387" s="8">
        <v>12722</v>
      </c>
      <c r="T387" s="8">
        <v>12444</v>
      </c>
      <c r="U387" s="8">
        <v>12204</v>
      </c>
      <c r="V387" s="8">
        <v>12198</v>
      </c>
      <c r="W387" s="8">
        <v>12382</v>
      </c>
      <c r="X387" s="8">
        <v>12060</v>
      </c>
      <c r="Y387" s="8">
        <v>12121</v>
      </c>
      <c r="Z387" s="8">
        <v>11501</v>
      </c>
      <c r="AA387" s="8">
        <v>11433</v>
      </c>
      <c r="AB387" s="8">
        <v>11345</v>
      </c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spans="1:47" ht="14.4">
      <c r="A388" s="3">
        <f>LOOKUP(D388,'AMFI DATA_2023H2'!F:L,'AMFI DATA_2023H2'!L:L)</f>
        <v>387</v>
      </c>
      <c r="B388" s="4" t="s">
        <v>1164</v>
      </c>
      <c r="C388" s="4" t="s">
        <v>1165</v>
      </c>
      <c r="D388" s="5" t="s">
        <v>1166</v>
      </c>
      <c r="E388" s="5">
        <v>10228.379999999999</v>
      </c>
      <c r="F388" s="6">
        <f>LOOKUP(D388,'AMFI DATA_2023H2'!F:J,'AMFI DATA_2023H2'!J:J)</f>
        <v>10793.973300000001</v>
      </c>
      <c r="G388" s="7">
        <f t="shared" si="1"/>
        <v>-1</v>
      </c>
      <c r="H388" s="8"/>
      <c r="I388" s="8">
        <v>10822</v>
      </c>
      <c r="J388" s="8">
        <v>10715</v>
      </c>
      <c r="K388" s="8">
        <v>10950</v>
      </c>
      <c r="L388" s="8">
        <v>10846</v>
      </c>
      <c r="M388" s="8">
        <v>10706</v>
      </c>
      <c r="N388" s="8">
        <v>10670</v>
      </c>
      <c r="O388" s="8">
        <v>10598</v>
      </c>
      <c r="P388" s="8">
        <v>10506</v>
      </c>
      <c r="Q388" s="8">
        <v>10507</v>
      </c>
      <c r="R388" s="8">
        <v>10382</v>
      </c>
      <c r="S388" s="8">
        <v>10421</v>
      </c>
      <c r="T388" s="8">
        <v>10238</v>
      </c>
      <c r="U388" s="8">
        <v>10332</v>
      </c>
      <c r="V388" s="8">
        <v>10354</v>
      </c>
      <c r="W388" s="8">
        <v>10347</v>
      </c>
      <c r="X388" s="8">
        <v>10252</v>
      </c>
      <c r="Y388" s="8">
        <v>10262</v>
      </c>
      <c r="Z388" s="8">
        <v>10243</v>
      </c>
      <c r="AA388" s="8">
        <v>10290</v>
      </c>
      <c r="AB388" s="8">
        <v>10253</v>
      </c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</row>
    <row r="389" spans="1:47" ht="14.4">
      <c r="A389" s="3">
        <f>LOOKUP(D389,'AMFI DATA_2023H2'!F:L,'AMFI DATA_2023H2'!L:L)</f>
        <v>388</v>
      </c>
      <c r="B389" s="4" t="s">
        <v>1167</v>
      </c>
      <c r="C389" s="4" t="s">
        <v>1168</v>
      </c>
      <c r="D389" s="5" t="s">
        <v>1169</v>
      </c>
      <c r="E389" s="5">
        <v>7178.2</v>
      </c>
      <c r="F389" s="6">
        <f>LOOKUP(D389,'AMFI DATA_2023H2'!F:J,'AMFI DATA_2023H2'!J:J)</f>
        <v>10751.779018892203</v>
      </c>
      <c r="G389" s="7">
        <f t="shared" si="1"/>
        <v>-1</v>
      </c>
      <c r="H389" s="8"/>
      <c r="I389" s="8">
        <v>16140</v>
      </c>
      <c r="J389" s="8">
        <v>16037</v>
      </c>
      <c r="K389" s="8">
        <v>16186</v>
      </c>
      <c r="L389" s="8">
        <v>15945</v>
      </c>
      <c r="M389" s="8">
        <v>16015</v>
      </c>
      <c r="N389" s="8">
        <v>15405</v>
      </c>
      <c r="O389" s="8">
        <v>15144</v>
      </c>
      <c r="P389" s="8">
        <v>14913</v>
      </c>
      <c r="Q389" s="8">
        <v>14889</v>
      </c>
      <c r="R389" s="8">
        <v>14448</v>
      </c>
      <c r="S389" s="8">
        <v>13845</v>
      </c>
      <c r="T389" s="8">
        <v>13913</v>
      </c>
      <c r="U389" s="8">
        <v>13410</v>
      </c>
      <c r="V389" s="8">
        <v>13256</v>
      </c>
      <c r="W389" s="8">
        <v>13421</v>
      </c>
      <c r="X389" s="8">
        <v>13153</v>
      </c>
      <c r="Y389" s="8">
        <v>13618</v>
      </c>
      <c r="Z389" s="8">
        <v>12645</v>
      </c>
      <c r="AA389" s="8">
        <v>12733</v>
      </c>
      <c r="AB389" s="8">
        <v>12758</v>
      </c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</row>
    <row r="390" spans="1:47" ht="14.4">
      <c r="A390" s="3">
        <f>LOOKUP(D390,'AMFI DATA_2023H2'!F:L,'AMFI DATA_2023H2'!L:L)</f>
        <v>389</v>
      </c>
      <c r="B390" s="4" t="s">
        <v>1170</v>
      </c>
      <c r="C390" s="4" t="s">
        <v>1171</v>
      </c>
      <c r="D390" s="5" t="s">
        <v>1172</v>
      </c>
      <c r="E390" s="5">
        <v>6859.91</v>
      </c>
      <c r="F390" s="6">
        <f>LOOKUP(D390,'AMFI DATA_2023H2'!F:J,'AMFI DATA_2023H2'!J:J)</f>
        <v>10709.453399999999</v>
      </c>
      <c r="G390" s="7">
        <f t="shared" si="1"/>
        <v>-1</v>
      </c>
      <c r="H390" s="8"/>
      <c r="I390" s="8">
        <v>17012</v>
      </c>
      <c r="J390" s="8">
        <v>15696</v>
      </c>
      <c r="K390" s="8">
        <v>15849</v>
      </c>
      <c r="L390" s="8">
        <v>16198</v>
      </c>
      <c r="M390" s="8">
        <v>16515</v>
      </c>
      <c r="N390" s="8">
        <v>16452</v>
      </c>
      <c r="O390" s="8">
        <v>16627</v>
      </c>
      <c r="P390" s="8">
        <v>16639</v>
      </c>
      <c r="Q390" s="8">
        <v>16443</v>
      </c>
      <c r="R390" s="8">
        <v>15311</v>
      </c>
      <c r="S390" s="8">
        <v>15588</v>
      </c>
      <c r="T390" s="8">
        <v>15768</v>
      </c>
      <c r="U390" s="8">
        <v>15840</v>
      </c>
      <c r="V390" s="8">
        <v>14508</v>
      </c>
      <c r="W390" s="8">
        <v>14722</v>
      </c>
      <c r="X390" s="8">
        <v>14679</v>
      </c>
      <c r="Y390" s="8">
        <v>14913</v>
      </c>
      <c r="Z390" s="8">
        <v>14384</v>
      </c>
      <c r="AA390" s="8">
        <v>14090</v>
      </c>
      <c r="AB390" s="8">
        <v>14112</v>
      </c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spans="1:47" ht="14.4">
      <c r="A391" s="3">
        <f>LOOKUP(D391,'AMFI DATA_2023H2'!F:L,'AMFI DATA_2023H2'!L:L)</f>
        <v>390</v>
      </c>
      <c r="B391" s="4" t="s">
        <v>1173</v>
      </c>
      <c r="C391" s="4" t="s">
        <v>1174</v>
      </c>
      <c r="D391" s="5" t="s">
        <v>1175</v>
      </c>
      <c r="E391" s="5">
        <v>5833.73</v>
      </c>
      <c r="F391" s="6">
        <f>LOOKUP(D391,'AMFI DATA_2023H2'!F:J,'AMFI DATA_2023H2'!J:J)</f>
        <v>10685.470949999999</v>
      </c>
      <c r="G391" s="7">
        <f t="shared" si="1"/>
        <v>-1</v>
      </c>
      <c r="H391" s="8"/>
      <c r="I391" s="8">
        <v>15699</v>
      </c>
      <c r="J391" s="8">
        <v>15686</v>
      </c>
      <c r="K391" s="8">
        <v>14931</v>
      </c>
      <c r="L391" s="8">
        <v>14182</v>
      </c>
      <c r="M391" s="8">
        <v>13929</v>
      </c>
      <c r="N391" s="8">
        <v>13878</v>
      </c>
      <c r="O391" s="8">
        <v>14130</v>
      </c>
      <c r="P391" s="8">
        <v>14436</v>
      </c>
      <c r="Q391" s="8">
        <v>14096</v>
      </c>
      <c r="R391" s="8">
        <v>14547</v>
      </c>
      <c r="S391" s="8">
        <v>14598</v>
      </c>
      <c r="T391" s="8">
        <v>14602</v>
      </c>
      <c r="U391" s="8">
        <v>14618</v>
      </c>
      <c r="V391" s="8">
        <v>14994</v>
      </c>
      <c r="W391" s="8">
        <v>14943</v>
      </c>
      <c r="X391" s="8">
        <v>14366</v>
      </c>
      <c r="Y391" s="8">
        <v>14345</v>
      </c>
      <c r="Z391" s="8">
        <v>14445</v>
      </c>
      <c r="AA391" s="8">
        <v>14262</v>
      </c>
      <c r="AB391" s="8">
        <v>13883</v>
      </c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spans="1:47" ht="14.4">
      <c r="A392" s="3">
        <f>LOOKUP(D392,'AMFI DATA_2023H2'!F:L,'AMFI DATA_2023H2'!L:L)</f>
        <v>391</v>
      </c>
      <c r="B392" s="4" t="s">
        <v>1176</v>
      </c>
      <c r="C392" s="4" t="s">
        <v>1177</v>
      </c>
      <c r="D392" s="5" t="s">
        <v>1178</v>
      </c>
      <c r="E392" s="5">
        <v>16.760000000000002</v>
      </c>
      <c r="F392" s="6">
        <f>LOOKUP(D392,'AMFI DATA_2023H2'!F:J,'AMFI DATA_2023H2'!J:J)</f>
        <v>10675.278350000001</v>
      </c>
      <c r="G392" s="7">
        <f t="shared" si="1"/>
        <v>-1</v>
      </c>
      <c r="H392" s="9"/>
      <c r="I392" s="9">
        <v>18.3</v>
      </c>
      <c r="J392" s="9">
        <v>18.3</v>
      </c>
      <c r="K392" s="9">
        <v>18.3</v>
      </c>
      <c r="L392" s="9">
        <v>18.3</v>
      </c>
      <c r="M392" s="9">
        <v>18.3</v>
      </c>
      <c r="N392" s="9">
        <v>18.3</v>
      </c>
      <c r="O392" s="9">
        <v>18.3</v>
      </c>
      <c r="P392" s="9">
        <v>18.3</v>
      </c>
      <c r="Q392" s="9">
        <v>18.3</v>
      </c>
      <c r="R392" s="9">
        <v>18.3</v>
      </c>
      <c r="S392" s="9">
        <v>18.3</v>
      </c>
      <c r="T392" s="9">
        <v>18.3</v>
      </c>
      <c r="U392" s="9">
        <v>18.3</v>
      </c>
      <c r="V392" s="9">
        <v>18.3</v>
      </c>
      <c r="W392" s="9">
        <v>18.3</v>
      </c>
      <c r="X392" s="9">
        <v>18.3</v>
      </c>
      <c r="Y392" s="9">
        <v>18.3</v>
      </c>
      <c r="Z392" s="9">
        <v>18.3</v>
      </c>
      <c r="AA392" s="9">
        <v>18.3</v>
      </c>
      <c r="AB392" s="9">
        <v>18.3</v>
      </c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</row>
    <row r="393" spans="1:47" ht="14.4">
      <c r="A393" s="3">
        <f>LOOKUP(D393,'AMFI DATA_2023H2'!F:L,'AMFI DATA_2023H2'!L:L)</f>
        <v>391</v>
      </c>
      <c r="B393" s="4" t="s">
        <v>1179</v>
      </c>
      <c r="C393" s="4" t="s">
        <v>1180</v>
      </c>
      <c r="D393" s="5" t="s">
        <v>1181</v>
      </c>
      <c r="E393" s="5">
        <v>5050.63</v>
      </c>
      <c r="F393" s="6">
        <f>LOOKUP(D393,'AMFI DATA_2023H2'!F:J,'AMFI DATA_2023H2'!J:J)</f>
        <v>10675.278350000001</v>
      </c>
      <c r="G393" s="7">
        <f t="shared" si="1"/>
        <v>-1</v>
      </c>
      <c r="H393" s="8"/>
      <c r="I393" s="8">
        <v>13920</v>
      </c>
      <c r="J393" s="8">
        <v>13556</v>
      </c>
      <c r="K393" s="8">
        <v>13874</v>
      </c>
      <c r="L393" s="8">
        <v>14084</v>
      </c>
      <c r="M393" s="8">
        <v>14110</v>
      </c>
      <c r="N393" s="8">
        <v>14110</v>
      </c>
      <c r="O393" s="8">
        <v>14281</v>
      </c>
      <c r="P393" s="8">
        <v>14245</v>
      </c>
      <c r="Q393" s="8">
        <v>14136</v>
      </c>
      <c r="R393" s="8">
        <v>13902</v>
      </c>
      <c r="S393" s="8">
        <v>13353</v>
      </c>
      <c r="T393" s="8">
        <v>13302</v>
      </c>
      <c r="U393" s="8">
        <v>13003</v>
      </c>
      <c r="V393" s="8">
        <v>12742</v>
      </c>
      <c r="W393" s="8">
        <v>12866</v>
      </c>
      <c r="X393" s="8">
        <v>13124</v>
      </c>
      <c r="Y393" s="8">
        <v>12788</v>
      </c>
      <c r="Z393" s="8">
        <v>12998</v>
      </c>
      <c r="AA393" s="8">
        <v>13104</v>
      </c>
      <c r="AB393" s="8">
        <v>13095</v>
      </c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</row>
    <row r="394" spans="1:47" ht="14.4">
      <c r="A394" s="3">
        <f>LOOKUP(D394,'AMFI DATA_2023H2'!F:L,'AMFI DATA_2023H2'!L:L)</f>
        <v>392</v>
      </c>
      <c r="B394" s="4" t="s">
        <v>1182</v>
      </c>
      <c r="C394" s="4" t="s">
        <v>1183</v>
      </c>
      <c r="D394" s="5" t="s">
        <v>1184</v>
      </c>
      <c r="E394" s="5">
        <v>9351.06</v>
      </c>
      <c r="F394" s="6">
        <f>LOOKUP(D394,'AMFI DATA_2023H2'!F:J,'AMFI DATA_2023H2'!J:J)</f>
        <v>10671.51575</v>
      </c>
      <c r="G394" s="7">
        <f t="shared" si="1"/>
        <v>-1</v>
      </c>
      <c r="H394" s="8"/>
      <c r="I394" s="8">
        <v>11543</v>
      </c>
      <c r="J394" s="8">
        <v>11069</v>
      </c>
      <c r="K394" s="8">
        <v>11137</v>
      </c>
      <c r="L394" s="8">
        <v>11064</v>
      </c>
      <c r="M394" s="8">
        <v>11242</v>
      </c>
      <c r="N394" s="8">
        <v>11434</v>
      </c>
      <c r="O394" s="8">
        <v>11644</v>
      </c>
      <c r="P394" s="8">
        <v>11420</v>
      </c>
      <c r="Q394" s="8">
        <v>11603</v>
      </c>
      <c r="R394" s="8">
        <v>11413</v>
      </c>
      <c r="S394" s="8">
        <v>11543</v>
      </c>
      <c r="T394" s="8">
        <v>11310</v>
      </c>
      <c r="U394" s="8">
        <v>11297</v>
      </c>
      <c r="V394" s="8">
        <v>11207</v>
      </c>
      <c r="W394" s="8">
        <v>10857</v>
      </c>
      <c r="X394" s="8">
        <v>10976</v>
      </c>
      <c r="Y394" s="8">
        <v>10862</v>
      </c>
      <c r="Z394" s="8">
        <v>10901</v>
      </c>
      <c r="AA394" s="8">
        <v>10982</v>
      </c>
      <c r="AB394" s="8">
        <v>10909</v>
      </c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spans="1:47" ht="14.4">
      <c r="A395" s="3">
        <f>LOOKUP(D395,'AMFI DATA_2023H2'!F:L,'AMFI DATA_2023H2'!L:L)</f>
        <v>393</v>
      </c>
      <c r="B395" s="4" t="s">
        <v>1185</v>
      </c>
      <c r="C395" s="4" t="s">
        <v>1186</v>
      </c>
      <c r="D395" s="5" t="s">
        <v>1187</v>
      </c>
      <c r="E395" s="5">
        <v>9529.49</v>
      </c>
      <c r="F395" s="6">
        <f>LOOKUP(D395,'AMFI DATA_2023H2'!F:J,'AMFI DATA_2023H2'!J:J)</f>
        <v>10585.9277</v>
      </c>
      <c r="G395" s="7">
        <f t="shared" si="1"/>
        <v>-1</v>
      </c>
      <c r="H395" s="8"/>
      <c r="I395" s="8">
        <v>13106</v>
      </c>
      <c r="J395" s="8">
        <v>12856</v>
      </c>
      <c r="K395" s="8">
        <v>12454</v>
      </c>
      <c r="L395" s="8">
        <v>12495</v>
      </c>
      <c r="M395" s="8">
        <v>12450</v>
      </c>
      <c r="N395" s="8">
        <v>12487</v>
      </c>
      <c r="O395" s="8">
        <v>12292</v>
      </c>
      <c r="P395" s="8">
        <v>11627</v>
      </c>
      <c r="Q395" s="8">
        <v>11820</v>
      </c>
      <c r="R395" s="8">
        <v>11888</v>
      </c>
      <c r="S395" s="8">
        <v>12230</v>
      </c>
      <c r="T395" s="8">
        <v>12133</v>
      </c>
      <c r="U395" s="8">
        <v>12071</v>
      </c>
      <c r="V395" s="8">
        <v>11987</v>
      </c>
      <c r="W395" s="8">
        <v>11853</v>
      </c>
      <c r="X395" s="8">
        <v>11846</v>
      </c>
      <c r="Y395" s="8">
        <v>11797</v>
      </c>
      <c r="Z395" s="8">
        <v>11666</v>
      </c>
      <c r="AA395" s="8">
        <v>11755</v>
      </c>
      <c r="AB395" s="8">
        <v>11801</v>
      </c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</row>
    <row r="396" spans="1:47" ht="14.4">
      <c r="A396" s="3">
        <f>LOOKUP(D396,'AMFI DATA_2023H2'!F:L,'AMFI DATA_2023H2'!L:L)</f>
        <v>394</v>
      </c>
      <c r="B396" s="4" t="s">
        <v>1188</v>
      </c>
      <c r="C396" s="4" t="s">
        <v>1189</v>
      </c>
      <c r="D396" s="5" t="s">
        <v>1190</v>
      </c>
      <c r="E396" s="5">
        <v>8196.1</v>
      </c>
      <c r="F396" s="6">
        <f>LOOKUP(D396,'AMFI DATA_2023H2'!F:J,'AMFI DATA_2023H2'!J:J)</f>
        <v>10449.827499999999</v>
      </c>
      <c r="G396" s="7">
        <f t="shared" si="1"/>
        <v>-1</v>
      </c>
      <c r="H396" s="8"/>
      <c r="I396" s="8">
        <v>12936</v>
      </c>
      <c r="J396" s="8">
        <v>12653</v>
      </c>
      <c r="K396" s="8">
        <v>12438</v>
      </c>
      <c r="L396" s="8">
        <v>12982</v>
      </c>
      <c r="M396" s="8">
        <v>12814</v>
      </c>
      <c r="N396" s="8">
        <v>12870</v>
      </c>
      <c r="O396" s="8">
        <v>12842</v>
      </c>
      <c r="P396" s="8">
        <v>12740</v>
      </c>
      <c r="Q396" s="8">
        <v>12865</v>
      </c>
      <c r="R396" s="8">
        <v>12655</v>
      </c>
      <c r="S396" s="8">
        <v>12966</v>
      </c>
      <c r="T396" s="8">
        <v>12616</v>
      </c>
      <c r="U396" s="8">
        <v>12537</v>
      </c>
      <c r="V396" s="8">
        <v>12469</v>
      </c>
      <c r="W396" s="8">
        <v>12118</v>
      </c>
      <c r="X396" s="8">
        <v>11888</v>
      </c>
      <c r="Y396" s="8">
        <v>12081</v>
      </c>
      <c r="Z396" s="8">
        <v>12197</v>
      </c>
      <c r="AA396" s="8">
        <v>11892</v>
      </c>
      <c r="AB396" s="8">
        <v>12005</v>
      </c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</row>
    <row r="397" spans="1:47" ht="14.4">
      <c r="A397" s="3">
        <f>LOOKUP(D397,'AMFI DATA_2023H2'!F:L,'AMFI DATA_2023H2'!L:L)</f>
        <v>395</v>
      </c>
      <c r="B397" s="4" t="s">
        <v>1191</v>
      </c>
      <c r="C397" s="4" t="s">
        <v>1192</v>
      </c>
      <c r="D397" s="5" t="s">
        <v>1193</v>
      </c>
      <c r="E397" s="5">
        <v>9925.5300000000007</v>
      </c>
      <c r="F397" s="6">
        <f>LOOKUP(D397,'AMFI DATA_2023H2'!F:J,'AMFI DATA_2023H2'!J:J)</f>
        <v>10412.599</v>
      </c>
      <c r="G397" s="7">
        <f t="shared" si="1"/>
        <v>-1</v>
      </c>
      <c r="H397" s="8"/>
      <c r="I397" s="8">
        <v>9589</v>
      </c>
      <c r="J397" s="8">
        <v>9578</v>
      </c>
      <c r="K397" s="8">
        <v>9663</v>
      </c>
      <c r="L397" s="8">
        <v>9825</v>
      </c>
      <c r="M397" s="8">
        <v>9851</v>
      </c>
      <c r="N397" s="8">
        <v>9929</v>
      </c>
      <c r="O397" s="8">
        <v>9942</v>
      </c>
      <c r="P397" s="8">
        <v>9972</v>
      </c>
      <c r="Q397" s="8">
        <v>10019</v>
      </c>
      <c r="R397" s="8">
        <v>10004</v>
      </c>
      <c r="S397" s="8">
        <v>10057</v>
      </c>
      <c r="T397" s="8">
        <v>10025</v>
      </c>
      <c r="U397" s="8">
        <v>9985</v>
      </c>
      <c r="V397" s="8">
        <v>10046</v>
      </c>
      <c r="W397" s="8">
        <v>10078</v>
      </c>
      <c r="X397" s="8">
        <v>10036</v>
      </c>
      <c r="Y397" s="8">
        <v>9866</v>
      </c>
      <c r="Z397" s="8">
        <v>9919</v>
      </c>
      <c r="AA397" s="8">
        <v>9964</v>
      </c>
      <c r="AB397" s="8">
        <v>10046</v>
      </c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</row>
    <row r="398" spans="1:47" ht="14.4">
      <c r="A398" s="3">
        <f>LOOKUP(D398,'AMFI DATA_2023H2'!F:L,'AMFI DATA_2023H2'!L:L)</f>
        <v>396</v>
      </c>
      <c r="B398" s="4" t="s">
        <v>1194</v>
      </c>
      <c r="C398" s="4" t="s">
        <v>1195</v>
      </c>
      <c r="D398" s="5" t="s">
        <v>1196</v>
      </c>
      <c r="E398" s="5">
        <v>8460.89</v>
      </c>
      <c r="F398" s="6">
        <f>LOOKUP(D398,'AMFI DATA_2023H2'!F:J,'AMFI DATA_2023H2'!J:J)</f>
        <v>10373.622799999999</v>
      </c>
      <c r="G398" s="7">
        <f t="shared" si="1"/>
        <v>-1</v>
      </c>
      <c r="H398" s="8"/>
      <c r="I398" s="8">
        <v>11842</v>
      </c>
      <c r="J398" s="8">
        <v>11694</v>
      </c>
      <c r="K398" s="8">
        <v>11960</v>
      </c>
      <c r="L398" s="8">
        <v>12173</v>
      </c>
      <c r="M398" s="8">
        <v>11891</v>
      </c>
      <c r="N398" s="8">
        <v>11938</v>
      </c>
      <c r="O398" s="8">
        <v>11999</v>
      </c>
      <c r="P398" s="8">
        <v>12029</v>
      </c>
      <c r="Q398" s="8">
        <v>11902</v>
      </c>
      <c r="R398" s="8">
        <v>11992</v>
      </c>
      <c r="S398" s="8">
        <v>12212</v>
      </c>
      <c r="T398" s="8">
        <v>12002</v>
      </c>
      <c r="U398" s="8">
        <v>11501</v>
      </c>
      <c r="V398" s="8">
        <v>11382</v>
      </c>
      <c r="W398" s="8">
        <v>11660</v>
      </c>
      <c r="X398" s="8">
        <v>11518</v>
      </c>
      <c r="Y398" s="8">
        <v>10794</v>
      </c>
      <c r="Z398" s="8">
        <v>10501</v>
      </c>
      <c r="AA398" s="8">
        <v>10402</v>
      </c>
      <c r="AB398" s="8">
        <v>10253</v>
      </c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1:47" ht="14.4">
      <c r="A399" s="3">
        <f>LOOKUP(D399,'AMFI DATA_2023H2'!F:L,'AMFI DATA_2023H2'!L:L)</f>
        <v>397</v>
      </c>
      <c r="B399" s="4" t="s">
        <v>1197</v>
      </c>
      <c r="C399" s="4" t="s">
        <v>1198</v>
      </c>
      <c r="D399" s="5" t="s">
        <v>1199</v>
      </c>
      <c r="E399" s="5">
        <v>9506.11</v>
      </c>
      <c r="F399" s="6">
        <f>LOOKUP(D399,'AMFI DATA_2023H2'!F:J,'AMFI DATA_2023H2'!J:J)</f>
        <v>10283.0046</v>
      </c>
      <c r="G399" s="7">
        <f t="shared" si="1"/>
        <v>-1</v>
      </c>
      <c r="H399" s="8"/>
      <c r="I399" s="8">
        <v>10325</v>
      </c>
      <c r="J399" s="8">
        <v>10303</v>
      </c>
      <c r="K399" s="8">
        <v>10282</v>
      </c>
      <c r="L399" s="8">
        <v>10229</v>
      </c>
      <c r="M399" s="8">
        <v>10434</v>
      </c>
      <c r="N399" s="8">
        <v>10510</v>
      </c>
      <c r="O399" s="8">
        <v>10223</v>
      </c>
      <c r="P399" s="8">
        <v>10319</v>
      </c>
      <c r="Q399" s="8">
        <v>10885</v>
      </c>
      <c r="R399" s="8">
        <v>11341</v>
      </c>
      <c r="S399" s="8">
        <v>11504</v>
      </c>
      <c r="T399" s="8">
        <v>11497</v>
      </c>
      <c r="U399" s="8">
        <v>11741</v>
      </c>
      <c r="V399" s="8">
        <v>11829</v>
      </c>
      <c r="W399" s="8">
        <v>11566</v>
      </c>
      <c r="X399" s="8">
        <v>11315</v>
      </c>
      <c r="Y399" s="8">
        <v>10997</v>
      </c>
      <c r="Z399" s="8">
        <v>10875</v>
      </c>
      <c r="AA399" s="8">
        <v>10732</v>
      </c>
      <c r="AB399" s="8">
        <v>10853</v>
      </c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1:47" ht="14.4">
      <c r="A400" s="3">
        <f>LOOKUP(D400,'AMFI DATA_2023H2'!F:L,'AMFI DATA_2023H2'!L:L)</f>
        <v>398</v>
      </c>
      <c r="B400" s="4" t="s">
        <v>1200</v>
      </c>
      <c r="C400" s="4" t="s">
        <v>1201</v>
      </c>
      <c r="D400" s="5" t="s">
        <v>1202</v>
      </c>
      <c r="E400" s="5">
        <v>362.24</v>
      </c>
      <c r="F400" s="6">
        <f>LOOKUP(D400,'AMFI DATA_2023H2'!F:J,'AMFI DATA_2023H2'!J:J)</f>
        <v>10269.65042456823</v>
      </c>
      <c r="G400" s="7">
        <f t="shared" si="1"/>
        <v>-1</v>
      </c>
      <c r="H400" s="8"/>
      <c r="I400" s="8">
        <v>12165</v>
      </c>
      <c r="J400" s="8">
        <v>12521</v>
      </c>
      <c r="K400" s="8">
        <v>11944</v>
      </c>
      <c r="L400" s="8">
        <v>12567</v>
      </c>
      <c r="M400" s="8">
        <v>13139</v>
      </c>
      <c r="N400" s="8">
        <v>13058</v>
      </c>
      <c r="O400" s="8">
        <v>12608</v>
      </c>
      <c r="P400" s="8">
        <v>12453</v>
      </c>
      <c r="Q400" s="8">
        <v>12187</v>
      </c>
      <c r="R400" s="8">
        <v>12169</v>
      </c>
      <c r="S400" s="8">
        <v>12751</v>
      </c>
      <c r="T400" s="8">
        <v>12698</v>
      </c>
      <c r="U400" s="8">
        <v>12642</v>
      </c>
      <c r="V400" s="8">
        <v>12583</v>
      </c>
      <c r="W400" s="8">
        <v>12680</v>
      </c>
      <c r="X400" s="8">
        <v>12689</v>
      </c>
      <c r="Y400" s="8">
        <v>12759</v>
      </c>
      <c r="Z400" s="8">
        <v>12741</v>
      </c>
      <c r="AA400" s="8">
        <v>12824</v>
      </c>
      <c r="AB400" s="8">
        <v>12757</v>
      </c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1:47" ht="14.4">
      <c r="A401" s="3">
        <f>LOOKUP(D401,'AMFI DATA_2023H2'!F:L,'AMFI DATA_2023H2'!L:L)</f>
        <v>399</v>
      </c>
      <c r="B401" s="4" t="s">
        <v>1203</v>
      </c>
      <c r="C401" s="4" t="s">
        <v>1204</v>
      </c>
      <c r="D401" s="5" t="s">
        <v>1205</v>
      </c>
      <c r="E401" s="5">
        <v>8113.39</v>
      </c>
      <c r="F401" s="6">
        <f>LOOKUP(D401,'AMFI DATA_2023H2'!F:J,'AMFI DATA_2023H2'!J:J)</f>
        <v>10207.769550000001</v>
      </c>
      <c r="G401" s="7">
        <f t="shared" si="1"/>
        <v>-1</v>
      </c>
      <c r="H401" s="8"/>
      <c r="I401" s="8">
        <v>10520</v>
      </c>
      <c r="J401" s="8">
        <v>10358</v>
      </c>
      <c r="K401" s="8">
        <v>10169</v>
      </c>
      <c r="L401" s="8">
        <v>10076</v>
      </c>
      <c r="M401" s="8">
        <v>10164</v>
      </c>
      <c r="N401" s="8">
        <v>10217</v>
      </c>
      <c r="O401" s="8">
        <v>10207</v>
      </c>
      <c r="P401" s="8">
        <v>10116</v>
      </c>
      <c r="Q401" s="8">
        <v>10274</v>
      </c>
      <c r="R401" s="8">
        <v>10267</v>
      </c>
      <c r="S401" s="8">
        <v>10381</v>
      </c>
      <c r="T401" s="8">
        <v>10463</v>
      </c>
      <c r="U401" s="8">
        <v>10199</v>
      </c>
      <c r="V401" s="8">
        <v>10187</v>
      </c>
      <c r="W401" s="8">
        <v>10359</v>
      </c>
      <c r="X401" s="8">
        <v>10342</v>
      </c>
      <c r="Y401" s="8">
        <v>10339</v>
      </c>
      <c r="Z401" s="8">
        <v>10359</v>
      </c>
      <c r="AA401" s="8">
        <v>10320</v>
      </c>
      <c r="AB401" s="8">
        <v>10180</v>
      </c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1:47" ht="14.4">
      <c r="A402" s="3">
        <f>LOOKUP(D402,'AMFI DATA_2023H2'!F:L,'AMFI DATA_2023H2'!L:L)</f>
        <v>400</v>
      </c>
      <c r="B402" s="4" t="s">
        <v>1206</v>
      </c>
      <c r="C402" s="4" t="s">
        <v>1207</v>
      </c>
      <c r="D402" s="5" t="s">
        <v>1208</v>
      </c>
      <c r="E402" s="5">
        <v>5842.09</v>
      </c>
      <c r="F402" s="6">
        <f>LOOKUP(D402,'AMFI DATA_2023H2'!F:J,'AMFI DATA_2023H2'!J:J)</f>
        <v>10149.764800000001</v>
      </c>
      <c r="G402" s="7">
        <f t="shared" si="1"/>
        <v>-1</v>
      </c>
      <c r="H402" s="8"/>
      <c r="I402" s="8">
        <v>11528</v>
      </c>
      <c r="J402" s="8">
        <v>11426</v>
      </c>
      <c r="K402" s="8">
        <v>11485</v>
      </c>
      <c r="L402" s="8">
        <v>11680</v>
      </c>
      <c r="M402" s="8">
        <v>11739</v>
      </c>
      <c r="N402" s="8">
        <v>11583</v>
      </c>
      <c r="O402" s="8">
        <v>11618</v>
      </c>
      <c r="P402" s="8">
        <v>11289</v>
      </c>
      <c r="Q402" s="8">
        <v>11354</v>
      </c>
      <c r="R402" s="8">
        <v>11328</v>
      </c>
      <c r="S402" s="8">
        <v>11418</v>
      </c>
      <c r="T402" s="8">
        <v>11544</v>
      </c>
      <c r="U402" s="8">
        <v>11117</v>
      </c>
      <c r="V402" s="8">
        <v>11084</v>
      </c>
      <c r="W402" s="8">
        <v>11164</v>
      </c>
      <c r="X402" s="8">
        <v>11121</v>
      </c>
      <c r="Y402" s="8">
        <v>11097</v>
      </c>
      <c r="Z402" s="8">
        <v>11094</v>
      </c>
      <c r="AA402" s="8">
        <v>11180</v>
      </c>
      <c r="AB402" s="8">
        <v>11289</v>
      </c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</row>
    <row r="403" spans="1:47" ht="14.4">
      <c r="A403" s="3">
        <f>LOOKUP(D403,'AMFI DATA_2023H2'!F:L,'AMFI DATA_2023H2'!L:L)</f>
        <v>401</v>
      </c>
      <c r="B403" s="4" t="s">
        <v>1209</v>
      </c>
      <c r="C403" s="4" t="s">
        <v>1210</v>
      </c>
      <c r="D403" s="5" t="s">
        <v>1211</v>
      </c>
      <c r="E403" s="5">
        <v>7196.94</v>
      </c>
      <c r="F403" s="6">
        <f>LOOKUP(D403,'AMFI DATA_2023H2'!F:J,'AMFI DATA_2023H2'!J:J)</f>
        <v>10107.304049999999</v>
      </c>
      <c r="G403" s="7">
        <f t="shared" si="1"/>
        <v>-1</v>
      </c>
      <c r="H403" s="8"/>
      <c r="I403" s="8">
        <v>9806</v>
      </c>
      <c r="J403" s="8">
        <v>9927</v>
      </c>
      <c r="K403" s="8">
        <v>10190</v>
      </c>
      <c r="L403" s="8">
        <v>10599</v>
      </c>
      <c r="M403" s="8">
        <v>10565</v>
      </c>
      <c r="N403" s="8">
        <v>10501</v>
      </c>
      <c r="O403" s="8">
        <v>10531</v>
      </c>
      <c r="P403" s="8">
        <v>10127</v>
      </c>
      <c r="Q403" s="8">
        <v>10260</v>
      </c>
      <c r="R403" s="8">
        <v>10366</v>
      </c>
      <c r="S403" s="8">
        <v>10562</v>
      </c>
      <c r="T403" s="8">
        <v>10691</v>
      </c>
      <c r="U403" s="8">
        <v>10877</v>
      </c>
      <c r="V403" s="8">
        <v>11060</v>
      </c>
      <c r="W403" s="8">
        <v>11281</v>
      </c>
      <c r="X403" s="8">
        <v>11406</v>
      </c>
      <c r="Y403" s="8">
        <v>11262</v>
      </c>
      <c r="Z403" s="8">
        <v>11236</v>
      </c>
      <c r="AA403" s="8">
        <v>11380</v>
      </c>
      <c r="AB403" s="8">
        <v>11471</v>
      </c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</row>
    <row r="404" spans="1:47" ht="14.4">
      <c r="A404" s="3">
        <f>LOOKUP(D404,'AMFI DATA_2023H2'!F:L,'AMFI DATA_2023H2'!L:L)</f>
        <v>402</v>
      </c>
      <c r="B404" s="4" t="s">
        <v>1212</v>
      </c>
      <c r="C404" s="4" t="s">
        <v>1213</v>
      </c>
      <c r="D404" s="5" t="s">
        <v>1214</v>
      </c>
      <c r="E404" s="5">
        <v>10308.049999999999</v>
      </c>
      <c r="F404" s="6">
        <f>LOOKUP(D404,'AMFI DATA_2023H2'!F:J,'AMFI DATA_2023H2'!J:J)</f>
        <v>10097.772349999999</v>
      </c>
      <c r="G404" s="7">
        <f t="shared" si="1"/>
        <v>-1</v>
      </c>
      <c r="H404" s="8"/>
      <c r="I404" s="8">
        <v>10662</v>
      </c>
      <c r="J404" s="8">
        <v>10624</v>
      </c>
      <c r="K404" s="8">
        <v>10691</v>
      </c>
      <c r="L404" s="8">
        <v>11128</v>
      </c>
      <c r="M404" s="8">
        <v>11254</v>
      </c>
      <c r="N404" s="8">
        <v>11006</v>
      </c>
      <c r="O404" s="8">
        <v>10950</v>
      </c>
      <c r="P404" s="8">
        <v>10791</v>
      </c>
      <c r="Q404" s="8">
        <v>10976</v>
      </c>
      <c r="R404" s="8">
        <v>11054</v>
      </c>
      <c r="S404" s="8">
        <v>11336</v>
      </c>
      <c r="T404" s="8">
        <v>11395</v>
      </c>
      <c r="U404" s="8">
        <v>11332</v>
      </c>
      <c r="V404" s="8">
        <v>11221</v>
      </c>
      <c r="W404" s="8">
        <v>11276</v>
      </c>
      <c r="X404" s="8">
        <v>11021</v>
      </c>
      <c r="Y404" s="8">
        <v>11017</v>
      </c>
      <c r="Z404" s="8">
        <v>10958</v>
      </c>
      <c r="AA404" s="8">
        <v>11024</v>
      </c>
      <c r="AB404" s="8">
        <v>10847</v>
      </c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</row>
    <row r="405" spans="1:47" ht="14.4">
      <c r="A405" s="3">
        <f>LOOKUP(D405,'AMFI DATA_2023H2'!F:L,'AMFI DATA_2023H2'!L:L)</f>
        <v>403</v>
      </c>
      <c r="B405" s="4" t="s">
        <v>1215</v>
      </c>
      <c r="C405" s="4" t="s">
        <v>1216</v>
      </c>
      <c r="D405" s="5" t="s">
        <v>1217</v>
      </c>
      <c r="E405" s="5">
        <v>8864.76</v>
      </c>
      <c r="F405" s="6">
        <f>LOOKUP(D405,'AMFI DATA_2023H2'!F:J,'AMFI DATA_2023H2'!J:J)</f>
        <v>10066.36225</v>
      </c>
      <c r="G405" s="7">
        <f t="shared" si="1"/>
        <v>-1</v>
      </c>
      <c r="H405" s="8"/>
      <c r="I405" s="8">
        <v>10971</v>
      </c>
      <c r="J405" s="8">
        <v>10837</v>
      </c>
      <c r="K405" s="8">
        <v>10792</v>
      </c>
      <c r="L405" s="8">
        <v>11017</v>
      </c>
      <c r="M405" s="8">
        <v>11336</v>
      </c>
      <c r="N405" s="8">
        <v>11451</v>
      </c>
      <c r="O405" s="8">
        <v>11302</v>
      </c>
      <c r="P405" s="8">
        <v>11310</v>
      </c>
      <c r="Q405" s="8">
        <v>11334</v>
      </c>
      <c r="R405" s="8">
        <v>11096</v>
      </c>
      <c r="S405" s="8">
        <v>11142</v>
      </c>
      <c r="T405" s="8">
        <v>11137</v>
      </c>
      <c r="U405" s="8">
        <v>11075</v>
      </c>
      <c r="V405" s="8">
        <v>11083</v>
      </c>
      <c r="W405" s="8">
        <v>11087</v>
      </c>
      <c r="X405" s="8">
        <v>11020</v>
      </c>
      <c r="Y405" s="8">
        <v>10946</v>
      </c>
      <c r="Z405" s="8">
        <v>10776</v>
      </c>
      <c r="AA405" s="8">
        <v>10803</v>
      </c>
      <c r="AB405" s="8">
        <v>10913</v>
      </c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</row>
    <row r="406" spans="1:47" ht="14.4">
      <c r="A406" s="3">
        <f>LOOKUP(D406,'AMFI DATA_2023H2'!F:L,'AMFI DATA_2023H2'!L:L)</f>
        <v>405</v>
      </c>
      <c r="B406" s="4" t="s">
        <v>1218</v>
      </c>
      <c r="C406" s="4" t="s">
        <v>1219</v>
      </c>
      <c r="D406" s="5" t="s">
        <v>1220</v>
      </c>
      <c r="E406" s="5">
        <v>7101.08</v>
      </c>
      <c r="F406" s="6">
        <f>LOOKUP(D406,'AMFI DATA_2023H2'!F:J,'AMFI DATA_2023H2'!J:J)</f>
        <v>9982.1510500000004</v>
      </c>
      <c r="G406" s="7">
        <f t="shared" si="1"/>
        <v>-1</v>
      </c>
      <c r="H406" s="8"/>
      <c r="I406" s="8">
        <v>11483</v>
      </c>
      <c r="J406" s="8">
        <v>11357</v>
      </c>
      <c r="K406" s="8">
        <v>11722</v>
      </c>
      <c r="L406" s="8">
        <v>11797</v>
      </c>
      <c r="M406" s="8">
        <v>11975</v>
      </c>
      <c r="N406" s="8">
        <v>12147</v>
      </c>
      <c r="O406" s="8">
        <v>11916</v>
      </c>
      <c r="P406" s="8">
        <v>11789</v>
      </c>
      <c r="Q406" s="8">
        <v>11708</v>
      </c>
      <c r="R406" s="8">
        <v>12051</v>
      </c>
      <c r="S406" s="8">
        <v>12340</v>
      </c>
      <c r="T406" s="8">
        <v>12155</v>
      </c>
      <c r="U406" s="8">
        <v>12084</v>
      </c>
      <c r="V406" s="8">
        <v>12207</v>
      </c>
      <c r="W406" s="8">
        <v>12121</v>
      </c>
      <c r="X406" s="8">
        <v>12009</v>
      </c>
      <c r="Y406" s="8">
        <v>12121</v>
      </c>
      <c r="Z406" s="8">
        <v>11830</v>
      </c>
      <c r="AA406" s="8">
        <v>11998</v>
      </c>
      <c r="AB406" s="8">
        <v>12076</v>
      </c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1:47" ht="14.4">
      <c r="A407" s="3">
        <f>LOOKUP(D407,'AMFI DATA_2023H2'!F:L,'AMFI DATA_2023H2'!L:L)</f>
        <v>406</v>
      </c>
      <c r="B407" s="4" t="s">
        <v>1221</v>
      </c>
      <c r="C407" s="4" t="s">
        <v>1222</v>
      </c>
      <c r="D407" s="5" t="s">
        <v>1223</v>
      </c>
      <c r="E407" s="5">
        <v>8735.33</v>
      </c>
      <c r="F407" s="6">
        <f>LOOKUP(D407,'AMFI DATA_2023H2'!F:J,'AMFI DATA_2023H2'!J:J)</f>
        <v>9968.9436500000011</v>
      </c>
      <c r="G407" s="7">
        <f t="shared" si="1"/>
        <v>-1</v>
      </c>
      <c r="H407" s="8"/>
      <c r="I407" s="8">
        <v>11579</v>
      </c>
      <c r="J407" s="8">
        <v>11315</v>
      </c>
      <c r="K407" s="8">
        <v>11451</v>
      </c>
      <c r="L407" s="8">
        <v>11657</v>
      </c>
      <c r="M407" s="8">
        <v>11753</v>
      </c>
      <c r="N407" s="8">
        <v>11865</v>
      </c>
      <c r="O407" s="8">
        <v>12052</v>
      </c>
      <c r="P407" s="8">
        <v>12002</v>
      </c>
      <c r="Q407" s="8">
        <v>11914</v>
      </c>
      <c r="R407" s="8">
        <v>11515</v>
      </c>
      <c r="S407" s="8">
        <v>11855</v>
      </c>
      <c r="T407" s="8">
        <v>12452</v>
      </c>
      <c r="U407" s="8">
        <v>12335</v>
      </c>
      <c r="V407" s="8">
        <v>12340</v>
      </c>
      <c r="W407" s="8">
        <v>12333</v>
      </c>
      <c r="X407" s="8">
        <v>11690</v>
      </c>
      <c r="Y407" s="8">
        <v>11610</v>
      </c>
      <c r="Z407" s="8">
        <v>11486</v>
      </c>
      <c r="AA407" s="8">
        <v>11664</v>
      </c>
      <c r="AB407" s="8">
        <v>11364</v>
      </c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1:47" ht="14.4">
      <c r="A408" s="3">
        <f>LOOKUP(D408,'AMFI DATA_2023H2'!F:L,'AMFI DATA_2023H2'!L:L)</f>
        <v>407</v>
      </c>
      <c r="B408" s="4" t="s">
        <v>1224</v>
      </c>
      <c r="C408" s="4" t="s">
        <v>1225</v>
      </c>
      <c r="D408" s="5" t="s">
        <v>1226</v>
      </c>
      <c r="E408" s="5">
        <v>5887.5</v>
      </c>
      <c r="F408" s="6">
        <f>LOOKUP(D408,'AMFI DATA_2023H2'!F:J,'AMFI DATA_2023H2'!J:J)</f>
        <v>9950.991750000001</v>
      </c>
      <c r="G408" s="7">
        <f t="shared" si="1"/>
        <v>-1</v>
      </c>
      <c r="H408" s="8"/>
      <c r="I408" s="8">
        <v>10841</v>
      </c>
      <c r="J408" s="8">
        <v>10637</v>
      </c>
      <c r="K408" s="8">
        <v>10741</v>
      </c>
      <c r="L408" s="8">
        <v>11025</v>
      </c>
      <c r="M408" s="8">
        <v>11155</v>
      </c>
      <c r="N408" s="8">
        <v>10931</v>
      </c>
      <c r="O408" s="8">
        <v>10923</v>
      </c>
      <c r="P408" s="8">
        <v>10642</v>
      </c>
      <c r="Q408" s="8">
        <v>10647</v>
      </c>
      <c r="R408" s="8">
        <v>10412</v>
      </c>
      <c r="S408" s="8">
        <v>10627</v>
      </c>
      <c r="T408" s="8">
        <v>10473</v>
      </c>
      <c r="U408" s="8">
        <v>10544</v>
      </c>
      <c r="V408" s="8">
        <v>10617</v>
      </c>
      <c r="W408" s="8">
        <v>10437</v>
      </c>
      <c r="X408" s="8">
        <v>10511</v>
      </c>
      <c r="Y408" s="8">
        <v>10620</v>
      </c>
      <c r="Z408" s="8">
        <v>10917</v>
      </c>
      <c r="AA408" s="8">
        <v>10789</v>
      </c>
      <c r="AB408" s="8">
        <v>10902</v>
      </c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1:47" ht="14.4">
      <c r="A409" s="3">
        <f>LOOKUP(D409,'AMFI DATA_2023H2'!F:L,'AMFI DATA_2023H2'!L:L)</f>
        <v>408</v>
      </c>
      <c r="B409" s="4" t="s">
        <v>1227</v>
      </c>
      <c r="C409" s="4" t="s">
        <v>1228</v>
      </c>
      <c r="D409" s="5" t="s">
        <v>1229</v>
      </c>
      <c r="E409" s="5">
        <v>3509.17</v>
      </c>
      <c r="F409" s="6">
        <f>LOOKUP(D409,'AMFI DATA_2023H2'!F:J,'AMFI DATA_2023H2'!J:J)</f>
        <v>9944.0466500000002</v>
      </c>
      <c r="G409" s="7">
        <f t="shared" si="1"/>
        <v>-1</v>
      </c>
      <c r="H409" s="8"/>
      <c r="I409" s="8">
        <v>14887</v>
      </c>
      <c r="J409" s="8">
        <v>14186</v>
      </c>
      <c r="K409" s="8">
        <v>14531</v>
      </c>
      <c r="L409" s="8">
        <v>14497</v>
      </c>
      <c r="M409" s="8">
        <v>14407</v>
      </c>
      <c r="N409" s="8">
        <v>14123</v>
      </c>
      <c r="O409" s="8">
        <v>14341</v>
      </c>
      <c r="P409" s="8">
        <v>13716</v>
      </c>
      <c r="Q409" s="8">
        <v>13735</v>
      </c>
      <c r="R409" s="8">
        <v>13545</v>
      </c>
      <c r="S409" s="8">
        <v>13541</v>
      </c>
      <c r="T409" s="8">
        <v>13752</v>
      </c>
      <c r="U409" s="8">
        <v>13655</v>
      </c>
      <c r="V409" s="8">
        <v>13842</v>
      </c>
      <c r="W409" s="8">
        <v>14069</v>
      </c>
      <c r="X409" s="8">
        <v>14049</v>
      </c>
      <c r="Y409" s="8">
        <v>13727</v>
      </c>
      <c r="Z409" s="8">
        <v>13958</v>
      </c>
      <c r="AA409" s="8">
        <v>13995</v>
      </c>
      <c r="AB409" s="8">
        <v>14112</v>
      </c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1:47" ht="14.4">
      <c r="A410" s="3">
        <f>LOOKUP(D410,'AMFI DATA_2023H2'!F:L,'AMFI DATA_2023H2'!L:L)</f>
        <v>409</v>
      </c>
      <c r="B410" s="4" t="s">
        <v>1230</v>
      </c>
      <c r="C410" s="4" t="s">
        <v>1231</v>
      </c>
      <c r="D410" s="5" t="s">
        <v>1232</v>
      </c>
      <c r="E410" s="5">
        <v>9161.92</v>
      </c>
      <c r="F410" s="6">
        <f>LOOKUP(D410,'AMFI DATA_2023H2'!F:J,'AMFI DATA_2023H2'!J:J)</f>
        <v>9867.0375000000004</v>
      </c>
      <c r="G410" s="7">
        <f t="shared" si="1"/>
        <v>-1</v>
      </c>
      <c r="H410" s="8"/>
      <c r="I410" s="8">
        <v>12618</v>
      </c>
      <c r="J410" s="8">
        <v>12087</v>
      </c>
      <c r="K410" s="8">
        <v>11996</v>
      </c>
      <c r="L410" s="8">
        <v>12312</v>
      </c>
      <c r="M410" s="8">
        <v>12623</v>
      </c>
      <c r="N410" s="8">
        <v>12527</v>
      </c>
      <c r="O410" s="8">
        <v>12757</v>
      </c>
      <c r="P410" s="8">
        <v>12716</v>
      </c>
      <c r="Q410" s="8">
        <v>12965</v>
      </c>
      <c r="R410" s="8">
        <v>13108</v>
      </c>
      <c r="S410" s="8">
        <v>13132</v>
      </c>
      <c r="T410" s="8">
        <v>13038</v>
      </c>
      <c r="U410" s="8">
        <v>12580</v>
      </c>
      <c r="V410" s="8">
        <v>12164</v>
      </c>
      <c r="W410" s="8">
        <v>12089</v>
      </c>
      <c r="X410" s="8">
        <v>12025</v>
      </c>
      <c r="Y410" s="8">
        <v>11846</v>
      </c>
      <c r="Z410" s="8">
        <v>12016</v>
      </c>
      <c r="AA410" s="8">
        <v>12257</v>
      </c>
      <c r="AB410" s="8">
        <v>11716</v>
      </c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</row>
    <row r="411" spans="1:47" ht="14.4">
      <c r="A411" s="3">
        <f>LOOKUP(D411,'AMFI DATA_2023H2'!F:L,'AMFI DATA_2023H2'!L:L)</f>
        <v>410</v>
      </c>
      <c r="B411" s="4" t="s">
        <v>1233</v>
      </c>
      <c r="C411" s="4" t="s">
        <v>1234</v>
      </c>
      <c r="D411" s="5" t="s">
        <v>1235</v>
      </c>
      <c r="E411" s="5">
        <v>9445.32</v>
      </c>
      <c r="F411" s="6">
        <f>LOOKUP(D411,'AMFI DATA_2023H2'!F:J,'AMFI DATA_2023H2'!J:J)</f>
        <v>9857.2752</v>
      </c>
      <c r="G411" s="7">
        <f t="shared" si="1"/>
        <v>-1</v>
      </c>
      <c r="H411" s="8"/>
      <c r="I411" s="8">
        <v>10301</v>
      </c>
      <c r="J411" s="8">
        <v>10292</v>
      </c>
      <c r="K411" s="8">
        <v>10286</v>
      </c>
      <c r="L411" s="8">
        <v>10455</v>
      </c>
      <c r="M411" s="8">
        <v>10496</v>
      </c>
      <c r="N411" s="8">
        <v>10409</v>
      </c>
      <c r="O411" s="8">
        <v>10475</v>
      </c>
      <c r="P411" s="8">
        <v>10435</v>
      </c>
      <c r="Q411" s="8">
        <v>10502</v>
      </c>
      <c r="R411" s="8">
        <v>10682</v>
      </c>
      <c r="S411" s="8">
        <v>10782</v>
      </c>
      <c r="T411" s="8">
        <v>10731</v>
      </c>
      <c r="U411" s="8">
        <v>10767</v>
      </c>
      <c r="V411" s="8">
        <v>10602</v>
      </c>
      <c r="W411" s="8">
        <v>10636</v>
      </c>
      <c r="X411" s="8">
        <v>10704</v>
      </c>
      <c r="Y411" s="8">
        <v>10415</v>
      </c>
      <c r="Z411" s="8">
        <v>10383</v>
      </c>
      <c r="AA411" s="8">
        <v>10203</v>
      </c>
      <c r="AB411" s="8">
        <v>10118</v>
      </c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1:47" ht="14.4">
      <c r="A412" s="3">
        <f>LOOKUP(D412,'AMFI DATA_2023H2'!F:L,'AMFI DATA_2023H2'!L:L)</f>
        <v>412</v>
      </c>
      <c r="B412" s="4" t="s">
        <v>1236</v>
      </c>
      <c r="C412" s="4" t="s">
        <v>1237</v>
      </c>
      <c r="D412" s="5" t="s">
        <v>1238</v>
      </c>
      <c r="E412" s="5">
        <v>5174.1099999999997</v>
      </c>
      <c r="F412" s="6">
        <f>LOOKUP(D412,'AMFI DATA_2023H2'!F:J,'AMFI DATA_2023H2'!J:J)</f>
        <v>9833.3803499999995</v>
      </c>
      <c r="G412" s="7">
        <f t="shared" si="1"/>
        <v>-1</v>
      </c>
      <c r="H412" s="8"/>
      <c r="I412" s="8">
        <v>13689</v>
      </c>
      <c r="J412" s="8">
        <v>13614</v>
      </c>
      <c r="K412" s="8">
        <v>13750</v>
      </c>
      <c r="L412" s="8">
        <v>13758</v>
      </c>
      <c r="M412" s="8">
        <v>13599</v>
      </c>
      <c r="N412" s="8">
        <v>13836</v>
      </c>
      <c r="O412" s="8">
        <v>13993</v>
      </c>
      <c r="P412" s="8">
        <v>14012</v>
      </c>
      <c r="Q412" s="8">
        <v>12618</v>
      </c>
      <c r="R412" s="8">
        <v>12393</v>
      </c>
      <c r="S412" s="8">
        <v>11928</v>
      </c>
      <c r="T412" s="8">
        <v>11073</v>
      </c>
      <c r="U412" s="8">
        <v>10985</v>
      </c>
      <c r="V412" s="8">
        <v>11129</v>
      </c>
      <c r="W412" s="8">
        <v>11264</v>
      </c>
      <c r="X412" s="8">
        <v>11061</v>
      </c>
      <c r="Y412" s="8">
        <v>10225</v>
      </c>
      <c r="Z412" s="8">
        <v>10282</v>
      </c>
      <c r="AA412" s="8">
        <v>10298</v>
      </c>
      <c r="AB412" s="8">
        <v>10089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</row>
    <row r="413" spans="1:47" ht="14.4">
      <c r="A413" s="3">
        <f>LOOKUP(D413,'AMFI DATA_2023H2'!F:L,'AMFI DATA_2023H2'!L:L)</f>
        <v>413</v>
      </c>
      <c r="B413" s="4" t="s">
        <v>1239</v>
      </c>
      <c r="C413" s="4" t="s">
        <v>1240</v>
      </c>
      <c r="D413" s="5" t="s">
        <v>1241</v>
      </c>
      <c r="E413" s="5">
        <v>6540.6</v>
      </c>
      <c r="F413" s="6">
        <f>LOOKUP(D413,'AMFI DATA_2023H2'!F:J,'AMFI DATA_2023H2'!J:J)</f>
        <v>9832.5250999999989</v>
      </c>
      <c r="G413" s="7">
        <f t="shared" si="1"/>
        <v>-1</v>
      </c>
      <c r="H413" s="8"/>
      <c r="I413" s="8">
        <v>10357</v>
      </c>
      <c r="J413" s="8">
        <v>9403</v>
      </c>
      <c r="K413" s="8">
        <v>9444</v>
      </c>
      <c r="L413" s="8">
        <v>9642</v>
      </c>
      <c r="M413" s="8">
        <v>9404</v>
      </c>
      <c r="N413" s="8">
        <v>9765</v>
      </c>
      <c r="O413" s="8">
        <v>9810</v>
      </c>
      <c r="P413" s="8">
        <v>9322</v>
      </c>
      <c r="Q413" s="8">
        <v>9188</v>
      </c>
      <c r="R413" s="8">
        <v>9295</v>
      </c>
      <c r="S413" s="8">
        <v>9465</v>
      </c>
      <c r="T413" s="8">
        <v>9528</v>
      </c>
      <c r="U413" s="8">
        <v>9121</v>
      </c>
      <c r="V413" s="8">
        <v>8994</v>
      </c>
      <c r="W413" s="8">
        <v>8894</v>
      </c>
      <c r="X413" s="8">
        <v>9060</v>
      </c>
      <c r="Y413" s="8">
        <v>9060</v>
      </c>
      <c r="Z413" s="8">
        <v>9226</v>
      </c>
      <c r="AA413" s="8">
        <v>9415</v>
      </c>
      <c r="AB413" s="8">
        <v>9438</v>
      </c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1:47" ht="14.4">
      <c r="A414" s="3">
        <f>LOOKUP(D414,'AMFI DATA_2023H2'!F:L,'AMFI DATA_2023H2'!L:L)</f>
        <v>414</v>
      </c>
      <c r="B414" s="4" t="s">
        <v>1242</v>
      </c>
      <c r="C414" s="4" t="s">
        <v>1243</v>
      </c>
      <c r="D414" s="5" t="s">
        <v>1244</v>
      </c>
      <c r="E414" s="5">
        <v>4420.34</v>
      </c>
      <c r="F414" s="6">
        <f>LOOKUP(D414,'AMFI DATA_2023H2'!F:J,'AMFI DATA_2023H2'!J:J)</f>
        <v>9830.2884000000013</v>
      </c>
      <c r="G414" s="7">
        <f t="shared" si="1"/>
        <v>-1</v>
      </c>
      <c r="H414" s="8"/>
      <c r="I414" s="8">
        <v>16456</v>
      </c>
      <c r="J414" s="8">
        <v>16570</v>
      </c>
      <c r="K414" s="8">
        <v>16627</v>
      </c>
      <c r="L414" s="8">
        <v>17260</v>
      </c>
      <c r="M414" s="8">
        <v>16570</v>
      </c>
      <c r="N414" s="8">
        <v>16334</v>
      </c>
      <c r="O414" s="8">
        <v>16564</v>
      </c>
      <c r="P414" s="8">
        <v>16799</v>
      </c>
      <c r="Q414" s="8">
        <v>17020</v>
      </c>
      <c r="R414" s="8">
        <v>17097</v>
      </c>
      <c r="S414" s="8">
        <v>17064</v>
      </c>
      <c r="T414" s="8">
        <v>16110</v>
      </c>
      <c r="U414" s="8">
        <v>14635</v>
      </c>
      <c r="V414" s="8">
        <v>14754</v>
      </c>
      <c r="W414" s="8">
        <v>14644</v>
      </c>
      <c r="X414" s="8">
        <v>13635</v>
      </c>
      <c r="Y414" s="8">
        <v>13662</v>
      </c>
      <c r="Z414" s="8">
        <v>13562</v>
      </c>
      <c r="AA414" s="8">
        <v>13554</v>
      </c>
      <c r="AB414" s="8">
        <v>12628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</row>
    <row r="415" spans="1:47" ht="14.4">
      <c r="A415" s="3">
        <f>LOOKUP(D415,'AMFI DATA_2023H2'!F:L,'AMFI DATA_2023H2'!L:L)</f>
        <v>415</v>
      </c>
      <c r="B415" s="4" t="s">
        <v>1245</v>
      </c>
      <c r="C415" s="4" t="s">
        <v>1246</v>
      </c>
      <c r="D415" s="5" t="s">
        <v>1247</v>
      </c>
      <c r="E415" s="5">
        <v>7193.71</v>
      </c>
      <c r="F415" s="6">
        <f>LOOKUP(D415,'AMFI DATA_2023H2'!F:J,'AMFI DATA_2023H2'!J:J)</f>
        <v>9821.1028999999999</v>
      </c>
      <c r="G415" s="7">
        <f t="shared" si="1"/>
        <v>-1</v>
      </c>
      <c r="H415" s="8"/>
      <c r="I415" s="8">
        <v>13197</v>
      </c>
      <c r="J415" s="8">
        <v>12977</v>
      </c>
      <c r="K415" s="8">
        <v>13240</v>
      </c>
      <c r="L415" s="8">
        <v>13536</v>
      </c>
      <c r="M415" s="8">
        <v>13723</v>
      </c>
      <c r="N415" s="8">
        <v>13281</v>
      </c>
      <c r="O415" s="8">
        <v>12914</v>
      </c>
      <c r="P415" s="8">
        <v>12669</v>
      </c>
      <c r="Q415" s="8">
        <v>12649</v>
      </c>
      <c r="R415" s="8">
        <v>12441</v>
      </c>
      <c r="S415" s="8">
        <v>12601</v>
      </c>
      <c r="T415" s="8">
        <v>12527</v>
      </c>
      <c r="U415" s="8">
        <v>12721</v>
      </c>
      <c r="V415" s="8">
        <v>12322</v>
      </c>
      <c r="W415" s="8">
        <v>12510</v>
      </c>
      <c r="X415" s="8">
        <v>12732</v>
      </c>
      <c r="Y415" s="8">
        <v>12864</v>
      </c>
      <c r="Z415" s="8">
        <v>12702</v>
      </c>
      <c r="AA415" s="8">
        <v>12853</v>
      </c>
      <c r="AB415" s="8">
        <v>12649</v>
      </c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1:47" ht="14.4">
      <c r="A416" s="3">
        <f>LOOKUP(D416,'AMFI DATA_2023H2'!F:L,'AMFI DATA_2023H2'!L:L)</f>
        <v>416</v>
      </c>
      <c r="B416" s="4" t="s">
        <v>1248</v>
      </c>
      <c r="C416" s="4" t="s">
        <v>1249</v>
      </c>
      <c r="D416" s="5" t="s">
        <v>1250</v>
      </c>
      <c r="E416" s="5">
        <v>8354.81</v>
      </c>
      <c r="F416" s="6">
        <f>LOOKUP(D416,'AMFI DATA_2023H2'!F:J,'AMFI DATA_2023H2'!J:J)</f>
        <v>9800.5118500000008</v>
      </c>
      <c r="G416" s="7">
        <f t="shared" si="1"/>
        <v>-1</v>
      </c>
      <c r="H416" s="8"/>
      <c r="I416" s="8">
        <v>8796</v>
      </c>
      <c r="J416" s="8">
        <v>8808</v>
      </c>
      <c r="K416" s="8">
        <v>8844</v>
      </c>
      <c r="L416" s="8">
        <v>8836</v>
      </c>
      <c r="M416" s="8">
        <v>8837</v>
      </c>
      <c r="N416" s="8">
        <v>8843</v>
      </c>
      <c r="O416" s="8">
        <v>8868</v>
      </c>
      <c r="P416" s="8">
        <v>8840</v>
      </c>
      <c r="Q416" s="8">
        <v>8859</v>
      </c>
      <c r="R416" s="8">
        <v>8905</v>
      </c>
      <c r="S416" s="8">
        <v>8956</v>
      </c>
      <c r="T416" s="8">
        <v>8948</v>
      </c>
      <c r="U416" s="8">
        <v>8892</v>
      </c>
      <c r="V416" s="8">
        <v>8904</v>
      </c>
      <c r="W416" s="8">
        <v>8845</v>
      </c>
      <c r="X416" s="8">
        <v>8949</v>
      </c>
      <c r="Y416" s="8">
        <v>8908</v>
      </c>
      <c r="Z416" s="8">
        <v>8635</v>
      </c>
      <c r="AA416" s="8">
        <v>8679</v>
      </c>
      <c r="AB416" s="8">
        <v>8672</v>
      </c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</row>
    <row r="417" spans="1:47" ht="14.4">
      <c r="A417" s="3">
        <f>LOOKUP(D417,'AMFI DATA_2023H2'!F:L,'AMFI DATA_2023H2'!L:L)</f>
        <v>417</v>
      </c>
      <c r="B417" s="4" t="s">
        <v>1251</v>
      </c>
      <c r="C417" s="4" t="s">
        <v>1252</v>
      </c>
      <c r="D417" s="5" t="s">
        <v>1253</v>
      </c>
      <c r="E417" s="5">
        <v>5437.96</v>
      </c>
      <c r="F417" s="6">
        <f>LOOKUP(D417,'AMFI DATA_2023H2'!F:J,'AMFI DATA_2023H2'!J:J)</f>
        <v>9735.95075</v>
      </c>
      <c r="G417" s="7">
        <f t="shared" si="1"/>
        <v>-1</v>
      </c>
      <c r="H417" s="8"/>
      <c r="I417" s="8">
        <v>10849</v>
      </c>
      <c r="J417" s="8">
        <v>10682</v>
      </c>
      <c r="K417" s="8">
        <v>10751</v>
      </c>
      <c r="L417" s="8">
        <v>11024</v>
      </c>
      <c r="M417" s="8">
        <v>10741</v>
      </c>
      <c r="N417" s="8">
        <v>10903</v>
      </c>
      <c r="O417" s="8">
        <v>10972</v>
      </c>
      <c r="P417" s="8">
        <v>10840</v>
      </c>
      <c r="Q417" s="8">
        <v>10834</v>
      </c>
      <c r="R417" s="8">
        <v>10817</v>
      </c>
      <c r="S417" s="8">
        <v>11213</v>
      </c>
      <c r="T417" s="8">
        <v>11349</v>
      </c>
      <c r="U417" s="8">
        <v>11819</v>
      </c>
      <c r="V417" s="8">
        <v>11690</v>
      </c>
      <c r="W417" s="8">
        <v>11737</v>
      </c>
      <c r="X417" s="8">
        <v>11826</v>
      </c>
      <c r="Y417" s="8">
        <v>11721</v>
      </c>
      <c r="Z417" s="8">
        <v>11718</v>
      </c>
      <c r="AA417" s="8">
        <v>11791</v>
      </c>
      <c r="AB417" s="8">
        <v>11912</v>
      </c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1:47" ht="14.4">
      <c r="A418" s="3">
        <f>LOOKUP(D418,'AMFI DATA_2023H2'!F:L,'AMFI DATA_2023H2'!L:L)</f>
        <v>418</v>
      </c>
      <c r="B418" s="4" t="s">
        <v>1254</v>
      </c>
      <c r="C418" s="4" t="s">
        <v>1255</v>
      </c>
      <c r="D418" s="5" t="s">
        <v>1256</v>
      </c>
      <c r="E418" s="5">
        <v>8316.91</v>
      </c>
      <c r="F418" s="6">
        <f>LOOKUP(D418,'AMFI DATA_2023H2'!F:J,'AMFI DATA_2023H2'!J:J)</f>
        <v>9729.4128999999994</v>
      </c>
      <c r="G418" s="7">
        <f t="shared" si="1"/>
        <v>-1</v>
      </c>
      <c r="H418" s="8"/>
      <c r="I418" s="8">
        <v>10112</v>
      </c>
      <c r="J418" s="8">
        <v>9983</v>
      </c>
      <c r="K418" s="8">
        <v>10181</v>
      </c>
      <c r="L418" s="8">
        <v>10280</v>
      </c>
      <c r="M418" s="8">
        <v>10203</v>
      </c>
      <c r="N418" s="8">
        <v>10324</v>
      </c>
      <c r="O418" s="8">
        <v>10242</v>
      </c>
      <c r="P418" s="8">
        <v>10243</v>
      </c>
      <c r="Q418" s="8">
        <v>10237</v>
      </c>
      <c r="R418" s="8">
        <v>10211</v>
      </c>
      <c r="S418" s="8">
        <v>10457</v>
      </c>
      <c r="T418" s="8">
        <v>10309</v>
      </c>
      <c r="U418" s="8">
        <v>10497</v>
      </c>
      <c r="V418" s="8">
        <v>10507</v>
      </c>
      <c r="W418" s="8">
        <v>10449</v>
      </c>
      <c r="X418" s="8">
        <v>10022</v>
      </c>
      <c r="Y418" s="8">
        <v>9939</v>
      </c>
      <c r="Z418" s="8">
        <v>9909</v>
      </c>
      <c r="AA418" s="8">
        <v>9977</v>
      </c>
      <c r="AB418" s="8">
        <v>9989</v>
      </c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1:47" ht="14.4">
      <c r="A419" s="3">
        <f>LOOKUP(D419,'AMFI DATA_2023H2'!F:L,'AMFI DATA_2023H2'!L:L)</f>
        <v>419</v>
      </c>
      <c r="B419" s="4" t="s">
        <v>1257</v>
      </c>
      <c r="C419" s="4" t="s">
        <v>1258</v>
      </c>
      <c r="D419" s="5" t="s">
        <v>1259</v>
      </c>
      <c r="E419" s="5">
        <v>6626.1</v>
      </c>
      <c r="F419" s="6">
        <f>LOOKUP(D419,'AMFI DATA_2023H2'!F:J,'AMFI DATA_2023H2'!J:J)</f>
        <v>9711.1790499999988</v>
      </c>
      <c r="G419" s="7">
        <f t="shared" si="1"/>
        <v>-1</v>
      </c>
      <c r="H419" s="8"/>
      <c r="I419" s="8">
        <v>12786</v>
      </c>
      <c r="J419" s="8">
        <v>12347</v>
      </c>
      <c r="K419" s="8">
        <v>12111</v>
      </c>
      <c r="L419" s="8">
        <v>12529</v>
      </c>
      <c r="M419" s="8">
        <v>12237</v>
      </c>
      <c r="N419" s="8">
        <v>12340</v>
      </c>
      <c r="O419" s="8">
        <v>12340</v>
      </c>
      <c r="P419" s="8">
        <v>12130</v>
      </c>
      <c r="Q419" s="8">
        <v>11075</v>
      </c>
      <c r="R419" s="8">
        <v>10950</v>
      </c>
      <c r="S419" s="8">
        <v>10956</v>
      </c>
      <c r="T419" s="8">
        <v>11034</v>
      </c>
      <c r="U419" s="8">
        <v>10717</v>
      </c>
      <c r="V419" s="8">
        <v>10498</v>
      </c>
      <c r="W419" s="8">
        <v>10460</v>
      </c>
      <c r="X419" s="8">
        <v>10466</v>
      </c>
      <c r="Y419" s="8">
        <v>10485</v>
      </c>
      <c r="Z419" s="8">
        <v>10576</v>
      </c>
      <c r="AA419" s="8">
        <v>10516</v>
      </c>
      <c r="AB419" s="8">
        <v>10297</v>
      </c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</row>
    <row r="420" spans="1:47" ht="14.4">
      <c r="A420" s="3">
        <f>LOOKUP(D420,'AMFI DATA_2023H2'!F:L,'AMFI DATA_2023H2'!L:L)</f>
        <v>420</v>
      </c>
      <c r="B420" s="4" t="s">
        <v>1260</v>
      </c>
      <c r="C420" s="4" t="s">
        <v>1261</v>
      </c>
      <c r="D420" s="5" t="s">
        <v>1262</v>
      </c>
      <c r="E420" s="5">
        <v>7542.15</v>
      </c>
      <c r="F420" s="6">
        <f>LOOKUP(D420,'AMFI DATA_2023H2'!F:J,'AMFI DATA_2023H2'!J:J)</f>
        <v>9704.2130500000003</v>
      </c>
      <c r="G420" s="7">
        <f t="shared" si="1"/>
        <v>-1</v>
      </c>
      <c r="H420" s="8"/>
      <c r="I420" s="8">
        <v>11060</v>
      </c>
      <c r="J420" s="8">
        <v>10604</v>
      </c>
      <c r="K420" s="8">
        <v>10735</v>
      </c>
      <c r="L420" s="8">
        <v>11051</v>
      </c>
      <c r="M420" s="8">
        <v>11193</v>
      </c>
      <c r="N420" s="8">
        <v>11013</v>
      </c>
      <c r="O420" s="8">
        <v>11088</v>
      </c>
      <c r="P420" s="8">
        <v>11139</v>
      </c>
      <c r="Q420" s="8">
        <v>11166</v>
      </c>
      <c r="R420" s="8">
        <v>10978</v>
      </c>
      <c r="S420" s="8">
        <v>11045</v>
      </c>
      <c r="T420" s="8">
        <v>11009</v>
      </c>
      <c r="U420" s="8">
        <v>10968</v>
      </c>
      <c r="V420" s="8">
        <v>11318</v>
      </c>
      <c r="W420" s="8">
        <v>11549</v>
      </c>
      <c r="X420" s="8">
        <v>11097</v>
      </c>
      <c r="Y420" s="8">
        <v>11090</v>
      </c>
      <c r="Z420" s="8">
        <v>11044</v>
      </c>
      <c r="AA420" s="8">
        <v>10915</v>
      </c>
      <c r="AB420" s="8">
        <v>10890</v>
      </c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1:47" ht="14.4">
      <c r="A421" s="3">
        <f>LOOKUP(D421,'AMFI DATA_2023H2'!F:L,'AMFI DATA_2023H2'!L:L)</f>
        <v>421</v>
      </c>
      <c r="B421" s="4" t="s">
        <v>1263</v>
      </c>
      <c r="C421" s="4" t="s">
        <v>1264</v>
      </c>
      <c r="D421" s="5" t="s">
        <v>1265</v>
      </c>
      <c r="E421" s="5">
        <v>5131.22</v>
      </c>
      <c r="F421" s="6">
        <f>LOOKUP(D421,'AMFI DATA_2023H2'!F:J,'AMFI DATA_2023H2'!J:J)</f>
        <v>9689.3378499999999</v>
      </c>
      <c r="G421" s="7">
        <f t="shared" si="1"/>
        <v>-1</v>
      </c>
      <c r="H421" s="8"/>
      <c r="I421" s="8">
        <v>15086</v>
      </c>
      <c r="J421" s="8">
        <v>14844</v>
      </c>
      <c r="K421" s="8">
        <v>14745</v>
      </c>
      <c r="L421" s="8">
        <v>15114</v>
      </c>
      <c r="M421" s="8">
        <v>14574</v>
      </c>
      <c r="N421" s="8">
        <v>14277</v>
      </c>
      <c r="O421" s="8">
        <v>14062</v>
      </c>
      <c r="P421" s="8">
        <v>13765</v>
      </c>
      <c r="Q421" s="8">
        <v>13902</v>
      </c>
      <c r="R421" s="8">
        <v>13913</v>
      </c>
      <c r="S421" s="8">
        <v>14282</v>
      </c>
      <c r="T421" s="8">
        <v>14200</v>
      </c>
      <c r="U421" s="8">
        <v>13759</v>
      </c>
      <c r="V421" s="8">
        <v>13699</v>
      </c>
      <c r="W421" s="8">
        <v>13737</v>
      </c>
      <c r="X421" s="8">
        <v>13544</v>
      </c>
      <c r="Y421" s="8">
        <v>13776</v>
      </c>
      <c r="Z421" s="8">
        <v>13655</v>
      </c>
      <c r="AA421" s="8">
        <v>13858</v>
      </c>
      <c r="AB421" s="8">
        <v>14062</v>
      </c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</row>
    <row r="422" spans="1:47" ht="14.4">
      <c r="A422" s="3">
        <f>LOOKUP(D422,'AMFI DATA_2023H2'!F:L,'AMFI DATA_2023H2'!L:L)</f>
        <v>423</v>
      </c>
      <c r="B422" s="4" t="s">
        <v>1266</v>
      </c>
      <c r="C422" s="4" t="s">
        <v>1267</v>
      </c>
      <c r="D422" s="5" t="s">
        <v>1268</v>
      </c>
      <c r="E422" s="5">
        <v>6558.4</v>
      </c>
      <c r="F422" s="6">
        <f>LOOKUP(D422,'AMFI DATA_2023H2'!F:J,'AMFI DATA_2023H2'!J:J)</f>
        <v>9623.8827000000001</v>
      </c>
      <c r="G422" s="7">
        <f t="shared" si="1"/>
        <v>-1</v>
      </c>
      <c r="H422" s="8"/>
      <c r="I422" s="8">
        <v>9577</v>
      </c>
      <c r="J422" s="8">
        <v>9523</v>
      </c>
      <c r="K422" s="8">
        <v>9595</v>
      </c>
      <c r="L422" s="8">
        <v>9735</v>
      </c>
      <c r="M422" s="8">
        <v>9658</v>
      </c>
      <c r="N422" s="8">
        <v>9817</v>
      </c>
      <c r="O422" s="8">
        <v>9879</v>
      </c>
      <c r="P422" s="8">
        <v>9886</v>
      </c>
      <c r="Q422" s="8">
        <v>9849</v>
      </c>
      <c r="R422" s="8">
        <v>9930</v>
      </c>
      <c r="S422" s="8">
        <v>10083</v>
      </c>
      <c r="T422" s="8">
        <v>10158</v>
      </c>
      <c r="U422" s="8">
        <v>10145</v>
      </c>
      <c r="V422" s="8">
        <v>10065</v>
      </c>
      <c r="W422" s="8">
        <v>10220</v>
      </c>
      <c r="X422" s="8">
        <v>10214</v>
      </c>
      <c r="Y422" s="8">
        <v>10151</v>
      </c>
      <c r="Z422" s="8">
        <v>10083</v>
      </c>
      <c r="AA422" s="8">
        <v>10257</v>
      </c>
      <c r="AB422" s="8">
        <v>10326</v>
      </c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</row>
    <row r="423" spans="1:47" ht="14.4">
      <c r="A423" s="3">
        <f>LOOKUP(D423,'AMFI DATA_2023H2'!F:L,'AMFI DATA_2023H2'!L:L)</f>
        <v>424</v>
      </c>
      <c r="B423" s="4" t="s">
        <v>1269</v>
      </c>
      <c r="C423" s="4" t="s">
        <v>1270</v>
      </c>
      <c r="D423" s="5" t="s">
        <v>1271</v>
      </c>
      <c r="E423" s="5">
        <v>6596.88</v>
      </c>
      <c r="F423" s="6">
        <f>LOOKUP(D423,'AMFI DATA_2023H2'!F:J,'AMFI DATA_2023H2'!J:J)</f>
        <v>9615.587950000001</v>
      </c>
      <c r="G423" s="7">
        <f t="shared" si="1"/>
        <v>-1</v>
      </c>
      <c r="H423" s="8"/>
      <c r="I423" s="8">
        <v>12625</v>
      </c>
      <c r="J423" s="8">
        <v>12889</v>
      </c>
      <c r="K423" s="8">
        <v>12524</v>
      </c>
      <c r="L423" s="8">
        <v>12972</v>
      </c>
      <c r="M423" s="8">
        <v>12643</v>
      </c>
      <c r="N423" s="8">
        <v>12264</v>
      </c>
      <c r="O423" s="8">
        <v>11870</v>
      </c>
      <c r="P423" s="8">
        <v>11797</v>
      </c>
      <c r="Q423" s="8">
        <v>11457</v>
      </c>
      <c r="R423" s="8">
        <v>11184</v>
      </c>
      <c r="S423" s="8">
        <v>10967</v>
      </c>
      <c r="T423" s="8">
        <v>10748</v>
      </c>
      <c r="U423" s="8">
        <v>10486</v>
      </c>
      <c r="V423" s="8">
        <v>10466</v>
      </c>
      <c r="W423" s="8">
        <v>10580</v>
      </c>
      <c r="X423" s="8">
        <v>10563</v>
      </c>
      <c r="Y423" s="8">
        <v>10425</v>
      </c>
      <c r="Z423" s="8">
        <v>10538</v>
      </c>
      <c r="AA423" s="8">
        <v>10247</v>
      </c>
      <c r="AB423" s="8">
        <v>10282</v>
      </c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</row>
    <row r="424" spans="1:47" ht="14.4">
      <c r="A424" s="3">
        <f>LOOKUP(D424,'AMFI DATA_2023H2'!F:L,'AMFI DATA_2023H2'!L:L)</f>
        <v>425</v>
      </c>
      <c r="B424" s="4" t="s">
        <v>1272</v>
      </c>
      <c r="C424" s="4" t="s">
        <v>1273</v>
      </c>
      <c r="D424" s="5" t="s">
        <v>1274</v>
      </c>
      <c r="E424" s="5">
        <v>8762.02</v>
      </c>
      <c r="F424" s="6">
        <f>LOOKUP(D424,'AMFI DATA_2023H2'!F:J,'AMFI DATA_2023H2'!J:J)</f>
        <v>9568.8047499999993</v>
      </c>
      <c r="G424" s="7">
        <f t="shared" si="1"/>
        <v>-1</v>
      </c>
      <c r="H424" s="8"/>
      <c r="I424" s="8">
        <v>9647</v>
      </c>
      <c r="J424" s="8">
        <v>9592</v>
      </c>
      <c r="K424" s="8">
        <v>9508</v>
      </c>
      <c r="L424" s="8">
        <v>9800</v>
      </c>
      <c r="M424" s="8">
        <v>9988</v>
      </c>
      <c r="N424" s="8">
        <v>10111</v>
      </c>
      <c r="O424" s="8">
        <v>9909</v>
      </c>
      <c r="P424" s="8">
        <v>9974</v>
      </c>
      <c r="Q424" s="8">
        <v>9874</v>
      </c>
      <c r="R424" s="8">
        <v>9750</v>
      </c>
      <c r="S424" s="8">
        <v>9945</v>
      </c>
      <c r="T424" s="8">
        <v>9842</v>
      </c>
      <c r="U424" s="8">
        <v>9829</v>
      </c>
      <c r="V424" s="8">
        <v>9744</v>
      </c>
      <c r="W424" s="8">
        <v>9802</v>
      </c>
      <c r="X424" s="8">
        <v>9805</v>
      </c>
      <c r="Y424" s="8">
        <v>9649</v>
      </c>
      <c r="Z424" s="8">
        <v>9559</v>
      </c>
      <c r="AA424" s="8">
        <v>9471</v>
      </c>
      <c r="AB424" s="8">
        <v>9526</v>
      </c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</row>
    <row r="425" spans="1:47" ht="14.4">
      <c r="A425" s="3">
        <f>LOOKUP(D425,'AMFI DATA_2023H2'!F:L,'AMFI DATA_2023H2'!L:L)</f>
        <v>426</v>
      </c>
      <c r="B425" s="4" t="s">
        <v>1275</v>
      </c>
      <c r="C425" s="4" t="s">
        <v>1276</v>
      </c>
      <c r="D425" s="5" t="s">
        <v>1277</v>
      </c>
      <c r="E425" s="5">
        <v>7159.18</v>
      </c>
      <c r="F425" s="6">
        <f>LOOKUP(D425,'AMFI DATA_2023H2'!F:J,'AMFI DATA_2023H2'!J:J)</f>
        <v>9520.5632499999992</v>
      </c>
      <c r="G425" s="7">
        <f t="shared" si="1"/>
        <v>-1</v>
      </c>
      <c r="H425" s="8"/>
      <c r="I425" s="8">
        <v>10389</v>
      </c>
      <c r="J425" s="8">
        <v>10108</v>
      </c>
      <c r="K425" s="8">
        <v>10253</v>
      </c>
      <c r="L425" s="8">
        <v>10331</v>
      </c>
      <c r="M425" s="8">
        <v>10462</v>
      </c>
      <c r="N425" s="8">
        <v>10465</v>
      </c>
      <c r="O425" s="8">
        <v>10524</v>
      </c>
      <c r="P425" s="8">
        <v>10486</v>
      </c>
      <c r="Q425" s="8">
        <v>10317</v>
      </c>
      <c r="R425" s="8">
        <v>10501</v>
      </c>
      <c r="S425" s="8">
        <v>10532</v>
      </c>
      <c r="T425" s="8">
        <v>10481</v>
      </c>
      <c r="U425" s="8">
        <v>10515</v>
      </c>
      <c r="V425" s="8">
        <v>10287</v>
      </c>
      <c r="W425" s="8">
        <v>10445</v>
      </c>
      <c r="X425" s="8">
        <v>10493</v>
      </c>
      <c r="Y425" s="8">
        <v>10504</v>
      </c>
      <c r="Z425" s="8">
        <v>10303</v>
      </c>
      <c r="AA425" s="8">
        <v>10401</v>
      </c>
      <c r="AB425" s="8">
        <v>10506</v>
      </c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1:47" ht="14.4">
      <c r="A426" s="3">
        <f>LOOKUP(D426,'AMFI DATA_2023H2'!F:L,'AMFI DATA_2023H2'!L:L)</f>
        <v>427</v>
      </c>
      <c r="B426" s="4" t="s">
        <v>1278</v>
      </c>
      <c r="C426" s="4" t="s">
        <v>1279</v>
      </c>
      <c r="D426" s="5" t="s">
        <v>1280</v>
      </c>
      <c r="E426" s="5">
        <v>4718.04</v>
      </c>
      <c r="F426" s="6">
        <f>LOOKUP(D426,'AMFI DATA_2023H2'!F:J,'AMFI DATA_2023H2'!J:J)</f>
        <v>9491.6053499999998</v>
      </c>
      <c r="G426" s="7">
        <f t="shared" si="1"/>
        <v>-1</v>
      </c>
      <c r="H426" s="8"/>
      <c r="I426" s="8">
        <v>15033</v>
      </c>
      <c r="J426" s="8">
        <v>14520</v>
      </c>
      <c r="K426" s="8">
        <v>14741</v>
      </c>
      <c r="L426" s="8">
        <v>14816</v>
      </c>
      <c r="M426" s="8">
        <v>14682</v>
      </c>
      <c r="N426" s="8">
        <v>14873</v>
      </c>
      <c r="O426" s="8">
        <v>14843</v>
      </c>
      <c r="P426" s="8">
        <v>15283</v>
      </c>
      <c r="Q426" s="8">
        <v>15231</v>
      </c>
      <c r="R426" s="8">
        <v>14378</v>
      </c>
      <c r="S426" s="8">
        <v>14307</v>
      </c>
      <c r="T426" s="8">
        <v>13960</v>
      </c>
      <c r="U426" s="8">
        <v>13760</v>
      </c>
      <c r="V426" s="8">
        <v>13776</v>
      </c>
      <c r="W426" s="8">
        <v>13746</v>
      </c>
      <c r="X426" s="8">
        <v>12939</v>
      </c>
      <c r="Y426" s="8">
        <v>13033</v>
      </c>
      <c r="Z426" s="8">
        <v>13087</v>
      </c>
      <c r="AA426" s="8">
        <v>13084</v>
      </c>
      <c r="AB426" s="8">
        <v>12962</v>
      </c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</row>
    <row r="427" spans="1:47" ht="14.4">
      <c r="A427" s="3">
        <f>LOOKUP(D427,'AMFI DATA_2023H2'!F:L,'AMFI DATA_2023H2'!L:L)</f>
        <v>428</v>
      </c>
      <c r="B427" s="4" t="s">
        <v>1281</v>
      </c>
      <c r="C427" s="4" t="s">
        <v>1282</v>
      </c>
      <c r="D427" s="5" t="s">
        <v>1283</v>
      </c>
      <c r="E427" s="5">
        <v>6487.23</v>
      </c>
      <c r="F427" s="6">
        <f>LOOKUP(D427,'AMFI DATA_2023H2'!F:J,'AMFI DATA_2023H2'!J:J)</f>
        <v>9472.8122999999996</v>
      </c>
      <c r="G427" s="7">
        <f t="shared" si="1"/>
        <v>-1</v>
      </c>
      <c r="H427" s="8"/>
      <c r="I427" s="8">
        <v>12621</v>
      </c>
      <c r="J427" s="8">
        <v>11841</v>
      </c>
      <c r="K427" s="8">
        <v>11718</v>
      </c>
      <c r="L427" s="8">
        <v>11715</v>
      </c>
      <c r="M427" s="8">
        <v>11387</v>
      </c>
      <c r="N427" s="8">
        <v>11182</v>
      </c>
      <c r="O427" s="8">
        <v>11141</v>
      </c>
      <c r="P427" s="8">
        <v>0</v>
      </c>
      <c r="Q427" s="8">
        <v>11256</v>
      </c>
      <c r="R427" s="8">
        <v>11053</v>
      </c>
      <c r="S427" s="8">
        <v>11236</v>
      </c>
      <c r="T427" s="8">
        <v>11190</v>
      </c>
      <c r="U427" s="8">
        <v>11318</v>
      </c>
      <c r="V427" s="8">
        <v>11162</v>
      </c>
      <c r="W427" s="8">
        <v>11307</v>
      </c>
      <c r="X427" s="8">
        <v>11431</v>
      </c>
      <c r="Y427" s="8">
        <v>11448</v>
      </c>
      <c r="Z427" s="8">
        <v>11405</v>
      </c>
      <c r="AA427" s="8">
        <v>11257</v>
      </c>
      <c r="AB427" s="8">
        <v>11089</v>
      </c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</row>
    <row r="428" spans="1:47" ht="14.4">
      <c r="A428" s="3">
        <f>LOOKUP(D428,'AMFI DATA_2023H2'!F:L,'AMFI DATA_2023H2'!L:L)</f>
        <v>430</v>
      </c>
      <c r="B428" s="4" t="s">
        <v>1284</v>
      </c>
      <c r="C428" s="4" t="s">
        <v>1285</v>
      </c>
      <c r="D428" s="5" t="s">
        <v>1286</v>
      </c>
      <c r="E428" s="5">
        <v>8449.92</v>
      </c>
      <c r="F428" s="6">
        <f>LOOKUP(D428,'AMFI DATA_2023H2'!F:J,'AMFI DATA_2023H2'!J:J)</f>
        <v>9423.8328000000001</v>
      </c>
      <c r="G428" s="7">
        <f t="shared" si="1"/>
        <v>-1</v>
      </c>
      <c r="H428" s="8"/>
      <c r="I428" s="8">
        <v>10424</v>
      </c>
      <c r="J428" s="8">
        <v>10431</v>
      </c>
      <c r="K428" s="8">
        <v>10514</v>
      </c>
      <c r="L428" s="8">
        <v>10581</v>
      </c>
      <c r="M428" s="8">
        <v>10741</v>
      </c>
      <c r="N428" s="8">
        <v>10803</v>
      </c>
      <c r="O428" s="8">
        <v>10441</v>
      </c>
      <c r="P428" s="8">
        <v>10418</v>
      </c>
      <c r="Q428" s="8">
        <v>10552</v>
      </c>
      <c r="R428" s="8">
        <v>10668</v>
      </c>
      <c r="S428" s="8">
        <v>10836</v>
      </c>
      <c r="T428" s="8">
        <v>10933</v>
      </c>
      <c r="U428" s="8">
        <v>10776</v>
      </c>
      <c r="V428" s="8">
        <v>10843</v>
      </c>
      <c r="W428" s="8">
        <v>10724</v>
      </c>
      <c r="X428" s="8">
        <v>10715</v>
      </c>
      <c r="Y428" s="8">
        <v>10427</v>
      </c>
      <c r="Z428" s="8">
        <v>10495</v>
      </c>
      <c r="AA428" s="8">
        <v>10551</v>
      </c>
      <c r="AB428" s="8">
        <v>10527</v>
      </c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</row>
    <row r="429" spans="1:47" ht="14.4">
      <c r="A429" s="3">
        <f>LOOKUP(D429,'AMFI DATA_2023H2'!F:L,'AMFI DATA_2023H2'!L:L)</f>
        <v>431</v>
      </c>
      <c r="B429" s="4" t="s">
        <v>1287</v>
      </c>
      <c r="C429" s="4" t="s">
        <v>1288</v>
      </c>
      <c r="D429" s="5" t="s">
        <v>1289</v>
      </c>
      <c r="E429" s="5">
        <v>7678.63</v>
      </c>
      <c r="F429" s="6">
        <f>LOOKUP(D429,'AMFI DATA_2023H2'!F:J,'AMFI DATA_2023H2'!J:J)</f>
        <v>9405.3298500000001</v>
      </c>
      <c r="G429" s="7">
        <f t="shared" si="1"/>
        <v>-1</v>
      </c>
      <c r="H429" s="8"/>
      <c r="I429" s="8">
        <v>9756</v>
      </c>
      <c r="J429" s="8">
        <v>9747</v>
      </c>
      <c r="K429" s="8">
        <v>9835</v>
      </c>
      <c r="L429" s="8">
        <v>9895</v>
      </c>
      <c r="M429" s="8">
        <v>9980</v>
      </c>
      <c r="N429" s="8">
        <v>9953</v>
      </c>
      <c r="O429" s="8">
        <v>9986</v>
      </c>
      <c r="P429" s="8">
        <v>0</v>
      </c>
      <c r="Q429" s="8">
        <v>9779</v>
      </c>
      <c r="R429" s="8">
        <v>9698</v>
      </c>
      <c r="S429" s="8">
        <v>9796</v>
      </c>
      <c r="T429" s="8">
        <v>9800</v>
      </c>
      <c r="U429" s="8">
        <v>9772</v>
      </c>
      <c r="V429" s="8">
        <v>9809</v>
      </c>
      <c r="W429" s="8">
        <v>9739</v>
      </c>
      <c r="X429" s="8">
        <v>9844</v>
      </c>
      <c r="Y429" s="8">
        <v>9813</v>
      </c>
      <c r="Z429" s="8">
        <v>9844</v>
      </c>
      <c r="AA429" s="8">
        <v>9773</v>
      </c>
      <c r="AB429" s="8">
        <v>9760</v>
      </c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</row>
    <row r="430" spans="1:47" ht="14.4">
      <c r="A430" s="3">
        <f>LOOKUP(D430,'AMFI DATA_2023H2'!F:L,'AMFI DATA_2023H2'!L:L)</f>
        <v>432</v>
      </c>
      <c r="B430" s="4" t="s">
        <v>1290</v>
      </c>
      <c r="C430" s="4" t="s">
        <v>1291</v>
      </c>
      <c r="D430" s="5" t="s">
        <v>1292</v>
      </c>
      <c r="E430" s="5">
        <v>354.72</v>
      </c>
      <c r="F430" s="6">
        <f>LOOKUP(D430,'AMFI DATA_2023H2'!F:J,'AMFI DATA_2023H2'!J:J)</f>
        <v>9328.3386499999997</v>
      </c>
      <c r="G430" s="7">
        <f t="shared" si="1"/>
        <v>-1</v>
      </c>
      <c r="H430" s="8"/>
      <c r="I430" s="8">
        <v>15791</v>
      </c>
      <c r="J430" s="8">
        <v>15810</v>
      </c>
      <c r="K430" s="8">
        <v>15839</v>
      </c>
      <c r="L430" s="8">
        <v>15990</v>
      </c>
      <c r="M430" s="8">
        <v>16036</v>
      </c>
      <c r="N430" s="8">
        <v>15927</v>
      </c>
      <c r="O430" s="8">
        <v>15948</v>
      </c>
      <c r="P430" s="8">
        <v>15788</v>
      </c>
      <c r="Q430" s="8">
        <v>15777</v>
      </c>
      <c r="R430" s="8">
        <v>15280</v>
      </c>
      <c r="S430" s="8">
        <v>14831</v>
      </c>
      <c r="T430" s="8">
        <v>14432</v>
      </c>
      <c r="U430" s="8">
        <v>13509</v>
      </c>
      <c r="V430" s="8">
        <v>13134</v>
      </c>
      <c r="W430" s="8">
        <v>12929</v>
      </c>
      <c r="X430" s="8">
        <v>12321</v>
      </c>
      <c r="Y430" s="8">
        <v>11964</v>
      </c>
      <c r="Z430" s="8">
        <v>11828</v>
      </c>
      <c r="AA430" s="8">
        <v>11532</v>
      </c>
      <c r="AB430" s="8">
        <v>11492</v>
      </c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</row>
    <row r="431" spans="1:47" ht="14.4">
      <c r="A431" s="3">
        <f>LOOKUP(D431,'AMFI DATA_2023H2'!F:L,'AMFI DATA_2023H2'!L:L)</f>
        <v>433</v>
      </c>
      <c r="B431" s="4" t="s">
        <v>1293</v>
      </c>
      <c r="C431" s="4" t="s">
        <v>1294</v>
      </c>
      <c r="D431" s="5" t="s">
        <v>1295</v>
      </c>
      <c r="E431" s="5">
        <v>4982.04</v>
      </c>
      <c r="F431" s="6">
        <f>LOOKUP(D431,'AMFI DATA_2023H2'!F:J,'AMFI DATA_2023H2'!J:J)</f>
        <v>9261.9623499999998</v>
      </c>
      <c r="G431" s="7">
        <f t="shared" si="1"/>
        <v>-1</v>
      </c>
      <c r="H431" s="8"/>
      <c r="I431" s="8">
        <v>12184</v>
      </c>
      <c r="J431" s="8">
        <v>11401</v>
      </c>
      <c r="K431" s="8">
        <v>11421</v>
      </c>
      <c r="L431" s="8">
        <v>11590</v>
      </c>
      <c r="M431" s="8">
        <v>12041</v>
      </c>
      <c r="N431" s="8">
        <v>11452</v>
      </c>
      <c r="O431" s="8">
        <v>11356</v>
      </c>
      <c r="P431" s="8">
        <v>11253</v>
      </c>
      <c r="Q431" s="8">
        <v>11247</v>
      </c>
      <c r="R431" s="8">
        <v>11107</v>
      </c>
      <c r="S431" s="8">
        <v>10487</v>
      </c>
      <c r="T431" s="8">
        <v>10416</v>
      </c>
      <c r="U431" s="8">
        <v>10339</v>
      </c>
      <c r="V431" s="8">
        <v>10372</v>
      </c>
      <c r="W431" s="8">
        <v>10524</v>
      </c>
      <c r="X431" s="8">
        <v>10439</v>
      </c>
      <c r="Y431" s="8">
        <v>10543</v>
      </c>
      <c r="Z431" s="8">
        <v>10528</v>
      </c>
      <c r="AA431" s="8">
        <v>10535</v>
      </c>
      <c r="AB431" s="8">
        <v>10025</v>
      </c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</row>
    <row r="432" spans="1:47" ht="14.4">
      <c r="A432" s="3">
        <f>LOOKUP(D432,'AMFI DATA_2023H2'!F:L,'AMFI DATA_2023H2'!L:L)</f>
        <v>434</v>
      </c>
      <c r="B432" s="4" t="s">
        <v>1296</v>
      </c>
      <c r="C432" s="4" t="s">
        <v>1297</v>
      </c>
      <c r="D432" s="5" t="s">
        <v>1298</v>
      </c>
      <c r="E432" s="5">
        <v>2764.97</v>
      </c>
      <c r="F432" s="6">
        <f>LOOKUP(D432,'AMFI DATA_2023H2'!F:J,'AMFI DATA_2023H2'!J:J)</f>
        <v>9249.1631999999991</v>
      </c>
      <c r="G432" s="7">
        <f t="shared" si="1"/>
        <v>-1</v>
      </c>
      <c r="H432" s="8"/>
      <c r="I432" s="8">
        <v>9176</v>
      </c>
      <c r="J432" s="8">
        <v>9226</v>
      </c>
      <c r="K432" s="8">
        <v>9194</v>
      </c>
      <c r="L432" s="8">
        <v>9311</v>
      </c>
      <c r="M432" s="8">
        <v>9392</v>
      </c>
      <c r="N432" s="8">
        <v>9372</v>
      </c>
      <c r="O432" s="8">
        <v>9328</v>
      </c>
      <c r="P432" s="8">
        <v>9413</v>
      </c>
      <c r="Q432" s="8">
        <v>9472</v>
      </c>
      <c r="R432" s="8">
        <v>9524</v>
      </c>
      <c r="S432" s="8">
        <v>9634</v>
      </c>
      <c r="T432" s="8">
        <v>9670</v>
      </c>
      <c r="U432" s="8">
        <v>9770</v>
      </c>
      <c r="V432" s="8">
        <v>9408</v>
      </c>
      <c r="W432" s="8">
        <v>9504</v>
      </c>
      <c r="X432" s="8">
        <v>9563</v>
      </c>
      <c r="Y432" s="8">
        <v>9654</v>
      </c>
      <c r="Z432" s="8">
        <v>9627</v>
      </c>
      <c r="AA432" s="8">
        <v>9561</v>
      </c>
      <c r="AB432" s="8">
        <v>9525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</row>
    <row r="433" spans="1:47" ht="14.4">
      <c r="A433" s="3">
        <f>LOOKUP(D433,'AMFI DATA_2023H2'!F:L,'AMFI DATA_2023H2'!L:L)</f>
        <v>435</v>
      </c>
      <c r="B433" s="4" t="s">
        <v>1299</v>
      </c>
      <c r="C433" s="4" t="s">
        <v>1300</v>
      </c>
      <c r="D433" s="5" t="s">
        <v>1301</v>
      </c>
      <c r="E433" s="5">
        <v>54308.97</v>
      </c>
      <c r="F433" s="6">
        <f>LOOKUP(D433,'AMFI DATA_2023H2'!F:J,'AMFI DATA_2023H2'!J:J)</f>
        <v>9237.7139500000012</v>
      </c>
      <c r="G433" s="7">
        <f t="shared" si="1"/>
        <v>-1</v>
      </c>
      <c r="H433" s="8"/>
      <c r="I433" s="8">
        <v>8579</v>
      </c>
      <c r="J433" s="8">
        <v>8564</v>
      </c>
      <c r="K433" s="8">
        <v>8570</v>
      </c>
      <c r="L433" s="8">
        <v>8669</v>
      </c>
      <c r="M433" s="8">
        <v>8718</v>
      </c>
      <c r="N433" s="8">
        <v>8727</v>
      </c>
      <c r="O433" s="8">
        <v>8788</v>
      </c>
      <c r="P433" s="8">
        <v>8678</v>
      </c>
      <c r="Q433" s="8">
        <v>8590</v>
      </c>
      <c r="R433" s="8">
        <v>8667</v>
      </c>
      <c r="S433" s="8">
        <v>8749</v>
      </c>
      <c r="T433" s="8">
        <v>8779</v>
      </c>
      <c r="U433" s="8">
        <v>8758</v>
      </c>
      <c r="V433" s="8">
        <v>8747</v>
      </c>
      <c r="W433" s="8">
        <v>8741</v>
      </c>
      <c r="X433" s="8">
        <v>8710</v>
      </c>
      <c r="Y433" s="8">
        <v>8776</v>
      </c>
      <c r="Z433" s="8">
        <v>8774</v>
      </c>
      <c r="AA433" s="8">
        <v>8864</v>
      </c>
      <c r="AB433" s="8">
        <v>8752</v>
      </c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1:47" ht="14.4">
      <c r="A434" s="3">
        <f>LOOKUP(D434,'AMFI DATA_2023H2'!F:L,'AMFI DATA_2023H2'!L:L)</f>
        <v>436</v>
      </c>
      <c r="B434" s="4" t="s">
        <v>1302</v>
      </c>
      <c r="C434" s="4" t="s">
        <v>1303</v>
      </c>
      <c r="D434" s="5" t="s">
        <v>1304</v>
      </c>
      <c r="E434" s="5">
        <v>6707.84</v>
      </c>
      <c r="F434" s="6">
        <f>LOOKUP(D434,'AMFI DATA_2023H2'!F:J,'AMFI DATA_2023H2'!J:J)</f>
        <v>9212.7216499999995</v>
      </c>
      <c r="G434" s="7">
        <f t="shared" si="1"/>
        <v>-1</v>
      </c>
      <c r="H434" s="8"/>
      <c r="I434" s="8">
        <v>15849</v>
      </c>
      <c r="J434" s="8">
        <v>15417</v>
      </c>
      <c r="K434" s="8">
        <v>16455</v>
      </c>
      <c r="L434" s="8">
        <v>16117</v>
      </c>
      <c r="M434" s="8">
        <v>16906</v>
      </c>
      <c r="N434" s="8">
        <v>17130</v>
      </c>
      <c r="O434" s="8">
        <v>18267</v>
      </c>
      <c r="P434" s="8">
        <v>18620</v>
      </c>
      <c r="Q434" s="8">
        <v>18391</v>
      </c>
      <c r="R434" s="8">
        <v>17716</v>
      </c>
      <c r="S434" s="8">
        <v>16107</v>
      </c>
      <c r="T434" s="8">
        <v>13481</v>
      </c>
      <c r="U434" s="8">
        <v>13739</v>
      </c>
      <c r="V434" s="8">
        <v>12840</v>
      </c>
      <c r="W434" s="8">
        <v>10700</v>
      </c>
      <c r="X434" s="8">
        <v>10591</v>
      </c>
      <c r="Y434" s="8">
        <v>10546</v>
      </c>
      <c r="Z434" s="8">
        <v>10675</v>
      </c>
      <c r="AA434" s="8">
        <v>10859</v>
      </c>
      <c r="AB434" s="8">
        <v>10750</v>
      </c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1:47" ht="14.4">
      <c r="A435" s="3">
        <f>LOOKUP(D435,'AMFI DATA_2023H2'!F:L,'AMFI DATA_2023H2'!L:L)</f>
        <v>437</v>
      </c>
      <c r="B435" s="4" t="s">
        <v>1305</v>
      </c>
      <c r="C435" s="4" t="s">
        <v>1306</v>
      </c>
      <c r="D435" s="5" t="s">
        <v>1307</v>
      </c>
      <c r="E435" s="5">
        <v>3862.49</v>
      </c>
      <c r="F435" s="6">
        <f>LOOKUP(D435,'AMFI DATA_2023H2'!F:J,'AMFI DATA_2023H2'!J:J)</f>
        <v>9209.4743500000004</v>
      </c>
      <c r="G435" s="7">
        <f t="shared" si="1"/>
        <v>-1</v>
      </c>
      <c r="H435" s="8"/>
      <c r="I435" s="8">
        <v>16844</v>
      </c>
      <c r="J435" s="8">
        <v>16648</v>
      </c>
      <c r="K435" s="8">
        <v>16643</v>
      </c>
      <c r="L435" s="8">
        <v>16245</v>
      </c>
      <c r="M435" s="8">
        <v>15855</v>
      </c>
      <c r="N435" s="8">
        <v>16199</v>
      </c>
      <c r="O435" s="8">
        <v>15875</v>
      </c>
      <c r="P435" s="8">
        <v>15745</v>
      </c>
      <c r="Q435" s="8">
        <v>15261</v>
      </c>
      <c r="R435" s="8">
        <v>15092</v>
      </c>
      <c r="S435" s="8">
        <v>14976</v>
      </c>
      <c r="T435" s="8">
        <v>15357</v>
      </c>
      <c r="U435" s="8">
        <v>14917</v>
      </c>
      <c r="V435" s="8">
        <v>14208</v>
      </c>
      <c r="W435" s="8">
        <v>13532</v>
      </c>
      <c r="X435" s="8">
        <v>12888</v>
      </c>
      <c r="Y435" s="8">
        <v>12162</v>
      </c>
      <c r="Z435" s="8">
        <v>12170</v>
      </c>
      <c r="AA435" s="8">
        <v>12183</v>
      </c>
      <c r="AB435" s="8">
        <v>11873</v>
      </c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1:47" ht="14.4">
      <c r="A436" s="3">
        <f>LOOKUP(D436,'AMFI DATA_2023H2'!F:L,'AMFI DATA_2023H2'!L:L)</f>
        <v>438</v>
      </c>
      <c r="B436" s="4" t="s">
        <v>1308</v>
      </c>
      <c r="C436" s="4" t="s">
        <v>1309</v>
      </c>
      <c r="D436" s="5" t="s">
        <v>1310</v>
      </c>
      <c r="E436" s="5">
        <v>6459.86</v>
      </c>
      <c r="F436" s="6">
        <f>LOOKUP(D436,'AMFI DATA_2023H2'!F:J,'AMFI DATA_2023H2'!J:J)</f>
        <v>9203.6569</v>
      </c>
      <c r="G436" s="7">
        <f t="shared" si="1"/>
        <v>-1</v>
      </c>
      <c r="H436" s="8"/>
      <c r="I436" s="8">
        <v>10624</v>
      </c>
      <c r="J436" s="8">
        <v>10584</v>
      </c>
      <c r="K436" s="8">
        <v>10883</v>
      </c>
      <c r="L436" s="8">
        <v>10784</v>
      </c>
      <c r="M436" s="8">
        <v>10882</v>
      </c>
      <c r="N436" s="8">
        <v>10850</v>
      </c>
      <c r="O436" s="8">
        <v>10888</v>
      </c>
      <c r="P436" s="8">
        <v>10789</v>
      </c>
      <c r="Q436" s="8">
        <v>10438</v>
      </c>
      <c r="R436" s="8">
        <v>10440</v>
      </c>
      <c r="S436" s="8">
        <v>10647</v>
      </c>
      <c r="T436" s="8">
        <v>10758</v>
      </c>
      <c r="U436" s="8">
        <v>10462</v>
      </c>
      <c r="V436" s="8">
        <v>10618</v>
      </c>
      <c r="W436" s="8">
        <v>10716</v>
      </c>
      <c r="X436" s="8">
        <v>10739</v>
      </c>
      <c r="Y436" s="8">
        <v>10799</v>
      </c>
      <c r="Z436" s="8">
        <v>10748</v>
      </c>
      <c r="AA436" s="8">
        <v>10658</v>
      </c>
      <c r="AB436" s="8">
        <v>10289</v>
      </c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1:47" ht="14.4">
      <c r="A437" s="3">
        <f>LOOKUP(D437,'AMFI DATA_2023H2'!F:L,'AMFI DATA_2023H2'!L:L)</f>
        <v>439</v>
      </c>
      <c r="B437" s="4" t="s">
        <v>1311</v>
      </c>
      <c r="C437" s="4" t="s">
        <v>1312</v>
      </c>
      <c r="D437" s="5" t="s">
        <v>1313</v>
      </c>
      <c r="E437" s="5">
        <v>5763.53</v>
      </c>
      <c r="F437" s="6">
        <f>LOOKUP(D437,'AMFI DATA_2023H2'!F:J,'AMFI DATA_2023H2'!J:J)</f>
        <v>9174.2386499999993</v>
      </c>
      <c r="G437" s="7">
        <f t="shared" si="1"/>
        <v>-1</v>
      </c>
      <c r="H437" s="8"/>
      <c r="I437" s="8">
        <v>13293</v>
      </c>
      <c r="J437" s="8">
        <v>13092</v>
      </c>
      <c r="K437" s="8">
        <v>12854</v>
      </c>
      <c r="L437" s="8">
        <v>13115</v>
      </c>
      <c r="M437" s="8">
        <v>13058</v>
      </c>
      <c r="N437" s="8">
        <v>13383</v>
      </c>
      <c r="O437" s="8">
        <v>13108</v>
      </c>
      <c r="P437" s="8">
        <v>13111</v>
      </c>
      <c r="Q437" s="8">
        <v>13154</v>
      </c>
      <c r="R437" s="8">
        <v>13208</v>
      </c>
      <c r="S437" s="8">
        <v>12869</v>
      </c>
      <c r="T437" s="8">
        <v>12027</v>
      </c>
      <c r="U437" s="8">
        <v>11719</v>
      </c>
      <c r="V437" s="8">
        <v>11591</v>
      </c>
      <c r="W437" s="8">
        <v>11844</v>
      </c>
      <c r="X437" s="8">
        <v>11777</v>
      </c>
      <c r="Y437" s="8">
        <v>11760</v>
      </c>
      <c r="Z437" s="8">
        <v>11941</v>
      </c>
      <c r="AA437" s="8">
        <v>11990</v>
      </c>
      <c r="AB437" s="8">
        <v>11676</v>
      </c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1:47" ht="14.4">
      <c r="A438" s="3">
        <f>LOOKUP(D438,'AMFI DATA_2023H2'!F:L,'AMFI DATA_2023H2'!L:L)</f>
        <v>440</v>
      </c>
      <c r="B438" s="4" t="s">
        <v>1314</v>
      </c>
      <c r="C438" s="4" t="s">
        <v>1315</v>
      </c>
      <c r="D438" s="5" t="s">
        <v>1316</v>
      </c>
      <c r="E438" s="5">
        <v>6670.58</v>
      </c>
      <c r="F438" s="6">
        <f>LOOKUP(D438,'AMFI DATA_2023H2'!F:J,'AMFI DATA_2023H2'!J:J)</f>
        <v>9102.8430000000008</v>
      </c>
      <c r="G438" s="7">
        <f t="shared" si="1"/>
        <v>-1</v>
      </c>
      <c r="H438" s="8"/>
      <c r="I438" s="8">
        <v>10517</v>
      </c>
      <c r="J438" s="8">
        <v>10199</v>
      </c>
      <c r="K438" s="8">
        <v>9813</v>
      </c>
      <c r="L438" s="8">
        <v>10088</v>
      </c>
      <c r="M438" s="8">
        <v>10091</v>
      </c>
      <c r="N438" s="8">
        <v>10075</v>
      </c>
      <c r="O438" s="8">
        <v>10100</v>
      </c>
      <c r="P438" s="8">
        <v>9916</v>
      </c>
      <c r="Q438" s="8">
        <v>9930</v>
      </c>
      <c r="R438" s="8">
        <v>9753</v>
      </c>
      <c r="S438" s="8">
        <v>9882</v>
      </c>
      <c r="T438" s="8">
        <v>9896</v>
      </c>
      <c r="U438" s="8">
        <v>9878</v>
      </c>
      <c r="V438" s="8">
        <v>9774</v>
      </c>
      <c r="W438" s="8">
        <v>9834</v>
      </c>
      <c r="X438" s="8">
        <v>9789</v>
      </c>
      <c r="Y438" s="8">
        <v>9659</v>
      </c>
      <c r="Z438" s="8">
        <v>9678</v>
      </c>
      <c r="AA438" s="8">
        <v>9666</v>
      </c>
      <c r="AB438" s="8">
        <v>9708</v>
      </c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1:47" ht="14.4">
      <c r="A439" s="3">
        <f>LOOKUP(D439,'AMFI DATA_2023H2'!F:L,'AMFI DATA_2023H2'!L:L)</f>
        <v>442</v>
      </c>
      <c r="B439" s="4" t="s">
        <v>1317</v>
      </c>
      <c r="C439" s="4" t="s">
        <v>1318</v>
      </c>
      <c r="D439" s="5" t="s">
        <v>1319</v>
      </c>
      <c r="E439" s="5">
        <v>5288.98</v>
      </c>
      <c r="F439" s="6">
        <f>LOOKUP(D439,'AMFI DATA_2023H2'!F:J,'AMFI DATA_2023H2'!J:J)</f>
        <v>9016.6823499999991</v>
      </c>
      <c r="G439" s="7">
        <f t="shared" si="1"/>
        <v>-1</v>
      </c>
      <c r="H439" s="8"/>
      <c r="I439" s="8">
        <v>9078</v>
      </c>
      <c r="J439" s="8">
        <v>9036</v>
      </c>
      <c r="K439" s="8">
        <v>8919</v>
      </c>
      <c r="L439" s="8">
        <v>8852</v>
      </c>
      <c r="M439" s="8">
        <v>8971</v>
      </c>
      <c r="N439" s="8">
        <v>9058</v>
      </c>
      <c r="O439" s="8">
        <v>9052</v>
      </c>
      <c r="P439" s="8">
        <v>8968</v>
      </c>
      <c r="Q439" s="8">
        <v>9111</v>
      </c>
      <c r="R439" s="8">
        <v>9200</v>
      </c>
      <c r="S439" s="8">
        <v>9247</v>
      </c>
      <c r="T439" s="8">
        <v>9191</v>
      </c>
      <c r="U439" s="8">
        <v>8938</v>
      </c>
      <c r="V439" s="8">
        <v>8909</v>
      </c>
      <c r="W439" s="8">
        <v>8988</v>
      </c>
      <c r="X439" s="8">
        <v>9271</v>
      </c>
      <c r="Y439" s="8">
        <v>9232</v>
      </c>
      <c r="Z439" s="8">
        <v>9478</v>
      </c>
      <c r="AA439" s="8">
        <v>9821</v>
      </c>
      <c r="AB439" s="8">
        <v>9814</v>
      </c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</row>
    <row r="440" spans="1:47" ht="14.4">
      <c r="A440" s="3">
        <f>LOOKUP(D440,'AMFI DATA_2023H2'!F:L,'AMFI DATA_2023H2'!L:L)</f>
        <v>443</v>
      </c>
      <c r="B440" s="4" t="s">
        <v>1320</v>
      </c>
      <c r="C440" s="4" t="s">
        <v>1321</v>
      </c>
      <c r="D440" s="5" t="s">
        <v>1322</v>
      </c>
      <c r="E440" s="5">
        <v>8941.1200000000008</v>
      </c>
      <c r="F440" s="6">
        <f>LOOKUP(D440,'AMFI DATA_2023H2'!F:J,'AMFI DATA_2023H2'!J:J)</f>
        <v>8997.9498999999996</v>
      </c>
      <c r="G440" s="7">
        <f t="shared" si="1"/>
        <v>-1</v>
      </c>
      <c r="H440" s="8"/>
      <c r="I440" s="8">
        <v>8085</v>
      </c>
      <c r="J440" s="8">
        <v>7890</v>
      </c>
      <c r="K440" s="8">
        <v>7913</v>
      </c>
      <c r="L440" s="8">
        <v>7927</v>
      </c>
      <c r="M440" s="8">
        <v>8092</v>
      </c>
      <c r="N440" s="8">
        <v>8173</v>
      </c>
      <c r="O440" s="8">
        <v>7994</v>
      </c>
      <c r="P440" s="8">
        <v>8042</v>
      </c>
      <c r="Q440" s="8">
        <v>8162</v>
      </c>
      <c r="R440" s="8">
        <v>8229</v>
      </c>
      <c r="S440" s="8">
        <v>8361</v>
      </c>
      <c r="T440" s="8">
        <v>8349</v>
      </c>
      <c r="U440" s="8">
        <v>8407</v>
      </c>
      <c r="V440" s="8">
        <v>8509</v>
      </c>
      <c r="W440" s="8">
        <v>8671</v>
      </c>
      <c r="X440" s="8">
        <v>8478</v>
      </c>
      <c r="Y440" s="8">
        <v>8479</v>
      </c>
      <c r="Z440" s="8">
        <v>8559</v>
      </c>
      <c r="AA440" s="8">
        <v>8652</v>
      </c>
      <c r="AB440" s="8">
        <v>8627</v>
      </c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1:47" ht="14.4">
      <c r="A441" s="3">
        <f>LOOKUP(D441,'AMFI DATA_2023H2'!F:L,'AMFI DATA_2023H2'!L:L)</f>
        <v>444</v>
      </c>
      <c r="B441" s="4" t="s">
        <v>1323</v>
      </c>
      <c r="C441" s="4" t="s">
        <v>1324</v>
      </c>
      <c r="D441" s="5" t="s">
        <v>1325</v>
      </c>
      <c r="E441" s="5">
        <v>5133.1899999999996</v>
      </c>
      <c r="F441" s="6">
        <f>LOOKUP(D441,'AMFI DATA_2023H2'!F:J,'AMFI DATA_2023H2'!J:J)</f>
        <v>8931.4604999999992</v>
      </c>
      <c r="G441" s="7">
        <f t="shared" si="1"/>
        <v>-1</v>
      </c>
      <c r="H441" s="8"/>
      <c r="I441" s="8">
        <v>13151</v>
      </c>
      <c r="J441" s="8">
        <v>13066</v>
      </c>
      <c r="K441" s="8">
        <v>13160</v>
      </c>
      <c r="L441" s="8">
        <v>13540</v>
      </c>
      <c r="M441" s="8">
        <v>13258</v>
      </c>
      <c r="N441" s="8">
        <v>12822</v>
      </c>
      <c r="O441" s="8">
        <v>12811</v>
      </c>
      <c r="P441" s="8">
        <v>12702</v>
      </c>
      <c r="Q441" s="8">
        <v>12578</v>
      </c>
      <c r="R441" s="8">
        <v>12623</v>
      </c>
      <c r="S441" s="8">
        <v>12395</v>
      </c>
      <c r="T441" s="8">
        <v>12103</v>
      </c>
      <c r="U441" s="8">
        <v>12015</v>
      </c>
      <c r="V441" s="8">
        <v>12127</v>
      </c>
      <c r="W441" s="8">
        <v>12282</v>
      </c>
      <c r="X441" s="8">
        <v>12328</v>
      </c>
      <c r="Y441" s="8">
        <v>12328</v>
      </c>
      <c r="Z441" s="8">
        <v>12604</v>
      </c>
      <c r="AA441" s="8">
        <v>12424</v>
      </c>
      <c r="AB441" s="8">
        <v>12469</v>
      </c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1:47" ht="14.4">
      <c r="A442" s="3">
        <f>LOOKUP(D442,'AMFI DATA_2023H2'!F:L,'AMFI DATA_2023H2'!L:L)</f>
        <v>445</v>
      </c>
      <c r="B442" s="4" t="s">
        <v>1326</v>
      </c>
      <c r="C442" s="4" t="s">
        <v>1327</v>
      </c>
      <c r="D442" s="5" t="s">
        <v>1328</v>
      </c>
      <c r="E442" s="5">
        <v>8762.49</v>
      </c>
      <c r="F442" s="6">
        <f>LOOKUP(D442,'AMFI DATA_2023H2'!F:J,'AMFI DATA_2023H2'!J:J)</f>
        <v>8919.3654999999999</v>
      </c>
      <c r="G442" s="7">
        <f t="shared" si="1"/>
        <v>-1</v>
      </c>
      <c r="H442" s="8"/>
      <c r="I442" s="8">
        <v>8494</v>
      </c>
      <c r="J442" s="8">
        <v>8448</v>
      </c>
      <c r="K442" s="8">
        <v>8465</v>
      </c>
      <c r="L442" s="8">
        <v>8642</v>
      </c>
      <c r="M442" s="8">
        <v>8637</v>
      </c>
      <c r="N442" s="8">
        <v>8702</v>
      </c>
      <c r="O442" s="8">
        <v>8750</v>
      </c>
      <c r="P442" s="8">
        <v>8427</v>
      </c>
      <c r="Q442" s="8">
        <v>8748</v>
      </c>
      <c r="R442" s="8">
        <v>8677</v>
      </c>
      <c r="S442" s="8">
        <v>8837</v>
      </c>
      <c r="T442" s="8">
        <v>8786</v>
      </c>
      <c r="U442" s="8">
        <v>8805</v>
      </c>
      <c r="V442" s="8">
        <v>8780</v>
      </c>
      <c r="W442" s="8">
        <v>8862</v>
      </c>
      <c r="X442" s="8">
        <v>8817</v>
      </c>
      <c r="Y442" s="8">
        <v>8481</v>
      </c>
      <c r="Z442" s="8">
        <v>8525</v>
      </c>
      <c r="AA442" s="8">
        <v>8446</v>
      </c>
      <c r="AB442" s="8">
        <v>8330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</row>
    <row r="443" spans="1:47" ht="14.4">
      <c r="A443" s="3">
        <f>LOOKUP(D443,'AMFI DATA_2023H2'!F:L,'AMFI DATA_2023H2'!L:L)</f>
        <v>446</v>
      </c>
      <c r="B443" s="4" t="s">
        <v>1329</v>
      </c>
      <c r="C443" s="4" t="s">
        <v>1330</v>
      </c>
      <c r="D443" s="5" t="s">
        <v>1331</v>
      </c>
      <c r="E443" s="5">
        <v>8992.2999999999993</v>
      </c>
      <c r="F443" s="6">
        <f>LOOKUP(D443,'AMFI DATA_2023H2'!F:J,'AMFI DATA_2023H2'!J:J)</f>
        <v>8909.2049999999999</v>
      </c>
      <c r="G443" s="7">
        <f t="shared" si="1"/>
        <v>-1</v>
      </c>
      <c r="H443" s="8"/>
      <c r="I443" s="8">
        <v>10036</v>
      </c>
      <c r="J443" s="8">
        <v>10028</v>
      </c>
      <c r="K443" s="8">
        <v>10217</v>
      </c>
      <c r="L443" s="8">
        <v>10304</v>
      </c>
      <c r="M443" s="8">
        <v>10258</v>
      </c>
      <c r="N443" s="8">
        <v>10400</v>
      </c>
      <c r="O443" s="8">
        <v>10371</v>
      </c>
      <c r="P443" s="8">
        <v>10309</v>
      </c>
      <c r="Q443" s="8">
        <v>10241</v>
      </c>
      <c r="R443" s="8">
        <v>10120</v>
      </c>
      <c r="S443" s="8">
        <v>10174</v>
      </c>
      <c r="T443" s="8">
        <v>10221</v>
      </c>
      <c r="U443" s="8">
        <v>10122</v>
      </c>
      <c r="V443" s="8">
        <v>9942</v>
      </c>
      <c r="W443" s="8">
        <v>10024</v>
      </c>
      <c r="X443" s="8">
        <v>9882</v>
      </c>
      <c r="Y443" s="8">
        <v>10107</v>
      </c>
      <c r="Z443" s="8">
        <v>10047</v>
      </c>
      <c r="AA443" s="8">
        <v>10043</v>
      </c>
      <c r="AB443" s="8">
        <v>9994</v>
      </c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1:47" ht="14.4">
      <c r="A444" s="3">
        <f>LOOKUP(D444,'AMFI DATA_2023H2'!F:L,'AMFI DATA_2023H2'!L:L)</f>
        <v>447</v>
      </c>
      <c r="B444" s="4" t="s">
        <v>1332</v>
      </c>
      <c r="C444" s="4" t="s">
        <v>1333</v>
      </c>
      <c r="D444" s="5" t="s">
        <v>1334</v>
      </c>
      <c r="E444" s="5">
        <v>8099.42</v>
      </c>
      <c r="F444" s="6">
        <f>LOOKUP(D444,'AMFI DATA_2023H2'!F:J,'AMFI DATA_2023H2'!J:J)</f>
        <v>8875.9304499999998</v>
      </c>
      <c r="G444" s="7">
        <f t="shared" si="1"/>
        <v>-1</v>
      </c>
      <c r="H444" s="8"/>
      <c r="I444" s="8">
        <v>9067</v>
      </c>
      <c r="J444" s="8">
        <v>8965</v>
      </c>
      <c r="K444" s="8">
        <v>8984</v>
      </c>
      <c r="L444" s="8">
        <v>9042</v>
      </c>
      <c r="M444" s="8">
        <v>9009</v>
      </c>
      <c r="N444" s="8">
        <v>9191</v>
      </c>
      <c r="O444" s="8">
        <v>9018</v>
      </c>
      <c r="P444" s="8">
        <v>9145</v>
      </c>
      <c r="Q444" s="8">
        <v>8796</v>
      </c>
      <c r="R444" s="8">
        <v>8927</v>
      </c>
      <c r="S444" s="8">
        <v>9012</v>
      </c>
      <c r="T444" s="8">
        <v>9117</v>
      </c>
      <c r="U444" s="8">
        <v>8965</v>
      </c>
      <c r="V444" s="8">
        <v>8976</v>
      </c>
      <c r="W444" s="8">
        <v>8973</v>
      </c>
      <c r="X444" s="8">
        <v>9042</v>
      </c>
      <c r="Y444" s="8">
        <v>8987</v>
      </c>
      <c r="Z444" s="8">
        <v>8956</v>
      </c>
      <c r="AA444" s="8">
        <v>9154</v>
      </c>
      <c r="AB444" s="8">
        <v>9017</v>
      </c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1:47" ht="14.4">
      <c r="A445" s="3">
        <f>LOOKUP(D445,'AMFI DATA_2023H2'!F:L,'AMFI DATA_2023H2'!L:L)</f>
        <v>448</v>
      </c>
      <c r="B445" s="4" t="s">
        <v>1335</v>
      </c>
      <c r="C445" s="4" t="s">
        <v>1336</v>
      </c>
      <c r="D445" s="5" t="s">
        <v>1337</v>
      </c>
      <c r="E445" s="5">
        <v>4773.5600000000004</v>
      </c>
      <c r="F445" s="6">
        <f>LOOKUP(D445,'AMFI DATA_2023H2'!F:J,'AMFI DATA_2023H2'!J:J)</f>
        <v>8868.5909499999998</v>
      </c>
      <c r="G445" s="7">
        <f t="shared" si="1"/>
        <v>-1</v>
      </c>
      <c r="H445" s="8"/>
      <c r="I445" s="8">
        <v>10872</v>
      </c>
      <c r="J445" s="8">
        <v>10769</v>
      </c>
      <c r="K445" s="8">
        <v>10741</v>
      </c>
      <c r="L445" s="8">
        <v>10486</v>
      </c>
      <c r="M445" s="8">
        <v>10757</v>
      </c>
      <c r="N445" s="8">
        <v>10702</v>
      </c>
      <c r="O445" s="8">
        <v>10725</v>
      </c>
      <c r="P445" s="8">
        <v>10647</v>
      </c>
      <c r="Q445" s="8">
        <v>10742</v>
      </c>
      <c r="R445" s="8">
        <v>10801</v>
      </c>
      <c r="S445" s="8">
        <v>10870</v>
      </c>
      <c r="T445" s="8">
        <v>10715</v>
      </c>
      <c r="U445" s="8">
        <v>11029</v>
      </c>
      <c r="V445" s="8">
        <v>10356</v>
      </c>
      <c r="W445" s="8">
        <v>10045</v>
      </c>
      <c r="X445" s="8">
        <v>9874</v>
      </c>
      <c r="Y445" s="8">
        <v>9884</v>
      </c>
      <c r="Z445" s="8">
        <v>10011</v>
      </c>
      <c r="AA445" s="8">
        <v>10098</v>
      </c>
      <c r="AB445" s="8">
        <v>10135</v>
      </c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1:47" ht="14.4">
      <c r="A446" s="3">
        <f>LOOKUP(D446,'AMFI DATA_2023H2'!F:L,'AMFI DATA_2023H2'!L:L)</f>
        <v>449</v>
      </c>
      <c r="B446" s="4" t="s">
        <v>1338</v>
      </c>
      <c r="C446" s="4" t="s">
        <v>1339</v>
      </c>
      <c r="D446" s="5" t="s">
        <v>1340</v>
      </c>
      <c r="E446" s="5">
        <v>7884.49</v>
      </c>
      <c r="F446" s="6">
        <f>LOOKUP(D446,'AMFI DATA_2023H2'!F:J,'AMFI DATA_2023H2'!J:J)</f>
        <v>8845.4930999999997</v>
      </c>
      <c r="G446" s="7">
        <f t="shared" si="1"/>
        <v>-1</v>
      </c>
      <c r="H446" s="8"/>
      <c r="I446" s="8">
        <v>10454</v>
      </c>
      <c r="J446" s="8">
        <v>10549</v>
      </c>
      <c r="K446" s="8">
        <v>10612</v>
      </c>
      <c r="L446" s="8">
        <v>10394</v>
      </c>
      <c r="M446" s="8">
        <v>9941</v>
      </c>
      <c r="N446" s="8">
        <v>9697</v>
      </c>
      <c r="O446" s="8">
        <v>9661</v>
      </c>
      <c r="P446" s="8">
        <v>9450</v>
      </c>
      <c r="Q446" s="8">
        <v>8935</v>
      </c>
      <c r="R446" s="8">
        <v>8847</v>
      </c>
      <c r="S446" s="8">
        <v>8979</v>
      </c>
      <c r="T446" s="8">
        <v>9039</v>
      </c>
      <c r="U446" s="8">
        <v>8956</v>
      </c>
      <c r="V446" s="8">
        <v>8985</v>
      </c>
      <c r="W446" s="8">
        <v>8966</v>
      </c>
      <c r="X446" s="8">
        <v>9030</v>
      </c>
      <c r="Y446" s="8">
        <v>8921</v>
      </c>
      <c r="Z446" s="8">
        <v>9002</v>
      </c>
      <c r="AA446" s="8">
        <v>9026</v>
      </c>
      <c r="AB446" s="8">
        <v>8858</v>
      </c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</row>
    <row r="447" spans="1:47" ht="14.4">
      <c r="A447" s="3">
        <f>LOOKUP(D447,'AMFI DATA_2023H2'!F:L,'AMFI DATA_2023H2'!L:L)</f>
        <v>450</v>
      </c>
      <c r="B447" s="4" t="s">
        <v>1341</v>
      </c>
      <c r="C447" s="4" t="s">
        <v>1342</v>
      </c>
      <c r="D447" s="5" t="s">
        <v>1343</v>
      </c>
      <c r="E447" s="5">
        <v>11043.56</v>
      </c>
      <c r="F447" s="6">
        <f>LOOKUP(D447,'AMFI DATA_2023H2'!F:J,'AMFI DATA_2023H2'!J:J)</f>
        <v>8836.7109999999993</v>
      </c>
      <c r="G447" s="7">
        <f t="shared" si="1"/>
        <v>-1</v>
      </c>
      <c r="H447" s="8"/>
      <c r="I447" s="8">
        <v>8467</v>
      </c>
      <c r="J447" s="8">
        <v>8439</v>
      </c>
      <c r="K447" s="8">
        <v>8657</v>
      </c>
      <c r="L447" s="8">
        <v>8709</v>
      </c>
      <c r="M447" s="8">
        <v>8714</v>
      </c>
      <c r="N447" s="8">
        <v>8741</v>
      </c>
      <c r="O447" s="8">
        <v>8786</v>
      </c>
      <c r="P447" s="8">
        <v>8914</v>
      </c>
      <c r="Q447" s="8">
        <v>8740</v>
      </c>
      <c r="R447" s="8">
        <v>8873</v>
      </c>
      <c r="S447" s="8">
        <v>8848</v>
      </c>
      <c r="T447" s="8">
        <v>8859</v>
      </c>
      <c r="U447" s="8">
        <v>8954</v>
      </c>
      <c r="V447" s="8">
        <v>9009</v>
      </c>
      <c r="W447" s="8">
        <v>8696</v>
      </c>
      <c r="X447" s="8">
        <v>8537</v>
      </c>
      <c r="Y447" s="8">
        <v>8480</v>
      </c>
      <c r="Z447" s="8">
        <v>8502</v>
      </c>
      <c r="AA447" s="8">
        <v>8593</v>
      </c>
      <c r="AB447" s="8">
        <v>8563</v>
      </c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</row>
    <row r="448" spans="1:47" ht="14.4">
      <c r="A448" s="3">
        <f>LOOKUP(D448,'AMFI DATA_2023H2'!F:L,'AMFI DATA_2023H2'!L:L)</f>
        <v>451</v>
      </c>
      <c r="B448" s="4" t="s">
        <v>1344</v>
      </c>
      <c r="C448" s="4" t="s">
        <v>1345</v>
      </c>
      <c r="D448" s="5" t="s">
        <v>1346</v>
      </c>
      <c r="E448" s="5">
        <v>6828.52</v>
      </c>
      <c r="F448" s="6">
        <f>LOOKUP(D448,'AMFI DATA_2023H2'!F:J,'AMFI DATA_2023H2'!J:J)</f>
        <v>8834.9567500000012</v>
      </c>
      <c r="G448" s="7">
        <f t="shared" si="1"/>
        <v>-1</v>
      </c>
      <c r="H448" s="8"/>
      <c r="I448" s="8">
        <v>15458</v>
      </c>
      <c r="J448" s="8">
        <v>14493</v>
      </c>
      <c r="K448" s="8">
        <v>14204</v>
      </c>
      <c r="L448" s="8">
        <v>14256</v>
      </c>
      <c r="M448" s="8">
        <v>14391</v>
      </c>
      <c r="N448" s="8">
        <v>14836</v>
      </c>
      <c r="O448" s="8">
        <v>14283</v>
      </c>
      <c r="P448" s="8">
        <v>14171</v>
      </c>
      <c r="Q448" s="8">
        <v>14274</v>
      </c>
      <c r="R448" s="8">
        <v>14350</v>
      </c>
      <c r="S448" s="8">
        <v>14770</v>
      </c>
      <c r="T448" s="8">
        <v>13840</v>
      </c>
      <c r="U448" s="8">
        <v>13176</v>
      </c>
      <c r="V448" s="8">
        <v>13250</v>
      </c>
      <c r="W448" s="8">
        <v>13410</v>
      </c>
      <c r="X448" s="8">
        <v>13461</v>
      </c>
      <c r="Y448" s="8">
        <v>13551</v>
      </c>
      <c r="Z448" s="8">
        <v>13427</v>
      </c>
      <c r="AA448" s="8">
        <v>13293</v>
      </c>
      <c r="AB448" s="8">
        <v>13365</v>
      </c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1:47" ht="14.4">
      <c r="A449" s="3">
        <f>LOOKUP(D449,'AMFI DATA_2023H2'!F:L,'AMFI DATA_2023H2'!L:L)</f>
        <v>452</v>
      </c>
      <c r="B449" s="4" t="s">
        <v>1347</v>
      </c>
      <c r="C449" s="4" t="s">
        <v>1348</v>
      </c>
      <c r="D449" s="5" t="s">
        <v>1349</v>
      </c>
      <c r="E449" s="5">
        <v>5471.46</v>
      </c>
      <c r="F449" s="6">
        <f>LOOKUP(D449,'AMFI DATA_2023H2'!F:J,'AMFI DATA_2023H2'!J:J)</f>
        <v>8650.8680999999997</v>
      </c>
      <c r="G449" s="7">
        <f t="shared" si="1"/>
        <v>-1</v>
      </c>
      <c r="H449" s="8"/>
      <c r="I449" s="8">
        <v>10190</v>
      </c>
      <c r="J449" s="8">
        <v>10099</v>
      </c>
      <c r="K449" s="8">
        <v>10269</v>
      </c>
      <c r="L449" s="8">
        <v>10127</v>
      </c>
      <c r="M449" s="8">
        <v>10228</v>
      </c>
      <c r="N449" s="8">
        <v>10037</v>
      </c>
      <c r="O449" s="8">
        <v>10129</v>
      </c>
      <c r="P449" s="8">
        <v>10373</v>
      </c>
      <c r="Q449" s="8">
        <v>9874</v>
      </c>
      <c r="R449" s="8">
        <v>9932</v>
      </c>
      <c r="S449" s="8">
        <v>9893</v>
      </c>
      <c r="T449" s="8">
        <v>9894</v>
      </c>
      <c r="U449" s="8">
        <v>9969</v>
      </c>
      <c r="V449" s="8">
        <v>9893</v>
      </c>
      <c r="W449" s="8">
        <v>10014</v>
      </c>
      <c r="X449" s="8">
        <v>10012</v>
      </c>
      <c r="Y449" s="8">
        <v>9817</v>
      </c>
      <c r="Z449" s="8">
        <v>9981</v>
      </c>
      <c r="AA449" s="8">
        <v>9992</v>
      </c>
      <c r="AB449" s="8">
        <v>9389</v>
      </c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1:47" ht="14.4">
      <c r="A450" s="3">
        <f>LOOKUP(D450,'AMFI DATA_2023H2'!F:L,'AMFI DATA_2023H2'!L:L)</f>
        <v>453</v>
      </c>
      <c r="B450" s="4" t="s">
        <v>1350</v>
      </c>
      <c r="C450" s="4" t="s">
        <v>1351</v>
      </c>
      <c r="D450" s="5" t="s">
        <v>1352</v>
      </c>
      <c r="E450" s="5">
        <v>6604.7</v>
      </c>
      <c r="F450" s="6">
        <f>LOOKUP(D450,'AMFI DATA_2023H2'!F:J,'AMFI DATA_2023H2'!J:J)</f>
        <v>8645.6372999999985</v>
      </c>
      <c r="G450" s="7">
        <f t="shared" si="1"/>
        <v>-1</v>
      </c>
      <c r="H450" s="8"/>
      <c r="I450" s="8">
        <v>10656</v>
      </c>
      <c r="J450" s="8">
        <v>10620</v>
      </c>
      <c r="K450" s="8">
        <v>10596</v>
      </c>
      <c r="L450" s="8">
        <v>10676</v>
      </c>
      <c r="M450" s="8">
        <v>10846</v>
      </c>
      <c r="N450" s="8">
        <v>10588</v>
      </c>
      <c r="O450" s="8">
        <v>10580</v>
      </c>
      <c r="P450" s="8">
        <v>10620</v>
      </c>
      <c r="Q450" s="8">
        <v>10311</v>
      </c>
      <c r="R450" s="8">
        <v>10101</v>
      </c>
      <c r="S450" s="8">
        <v>10248</v>
      </c>
      <c r="T450" s="8">
        <v>10268</v>
      </c>
      <c r="U450" s="8">
        <v>10216</v>
      </c>
      <c r="V450" s="8">
        <v>10287</v>
      </c>
      <c r="W450" s="8">
        <v>9404</v>
      </c>
      <c r="X450" s="8">
        <v>9491</v>
      </c>
      <c r="Y450" s="8">
        <v>9475</v>
      </c>
      <c r="Z450" s="8">
        <v>9388</v>
      </c>
      <c r="AA450" s="8">
        <v>9550</v>
      </c>
      <c r="AB450" s="8">
        <v>9622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spans="1:47" ht="14.4">
      <c r="A451" s="3">
        <f>LOOKUP(D451,'AMFI DATA_2023H2'!F:L,'AMFI DATA_2023H2'!L:L)</f>
        <v>454</v>
      </c>
      <c r="B451" s="4" t="s">
        <v>1353</v>
      </c>
      <c r="C451" s="4" t="s">
        <v>1354</v>
      </c>
      <c r="D451" s="5" t="s">
        <v>1355</v>
      </c>
      <c r="E451" s="5">
        <v>7147.52</v>
      </c>
      <c r="F451" s="6">
        <f>LOOKUP(D451,'AMFI DATA_2023H2'!F:J,'AMFI DATA_2023H2'!J:J)</f>
        <v>8626.0047000000013</v>
      </c>
      <c r="G451" s="7">
        <f t="shared" si="1"/>
        <v>-1</v>
      </c>
      <c r="H451" s="8"/>
      <c r="I451" s="8">
        <v>9755</v>
      </c>
      <c r="J451" s="8">
        <v>9511</v>
      </c>
      <c r="K451" s="8">
        <v>9555</v>
      </c>
      <c r="L451" s="8">
        <v>9677</v>
      </c>
      <c r="M451" s="8">
        <v>9863</v>
      </c>
      <c r="N451" s="8">
        <v>9573</v>
      </c>
      <c r="O451" s="8">
        <v>9492</v>
      </c>
      <c r="P451" s="8">
        <v>9536</v>
      </c>
      <c r="Q451" s="8">
        <v>9611</v>
      </c>
      <c r="R451" s="8">
        <v>9153</v>
      </c>
      <c r="S451" s="8">
        <v>9278</v>
      </c>
      <c r="T451" s="8">
        <v>9343</v>
      </c>
      <c r="U451" s="8">
        <v>9386</v>
      </c>
      <c r="V451" s="8">
        <v>9385</v>
      </c>
      <c r="W451" s="8">
        <v>9372</v>
      </c>
      <c r="X451" s="8">
        <v>9378</v>
      </c>
      <c r="Y451" s="8">
        <v>9305</v>
      </c>
      <c r="Z451" s="8">
        <v>9333</v>
      </c>
      <c r="AA451" s="8">
        <v>9348</v>
      </c>
      <c r="AB451" s="8">
        <v>9416</v>
      </c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</row>
    <row r="452" spans="1:47" ht="14.4">
      <c r="A452" s="3">
        <f>LOOKUP(D452,'AMFI DATA_2023H2'!F:L,'AMFI DATA_2023H2'!L:L)</f>
        <v>455</v>
      </c>
      <c r="B452" s="4" t="s">
        <v>1356</v>
      </c>
      <c r="C452" s="4" t="s">
        <v>1357</v>
      </c>
      <c r="D452" s="5" t="s">
        <v>1358</v>
      </c>
      <c r="E452" s="5">
        <v>6461.48</v>
      </c>
      <c r="F452" s="6">
        <f>LOOKUP(D452,'AMFI DATA_2023H2'!F:J,'AMFI DATA_2023H2'!J:J)</f>
        <v>8611.6751999999997</v>
      </c>
      <c r="G452" s="7">
        <f t="shared" si="1"/>
        <v>-1</v>
      </c>
      <c r="H452" s="8"/>
      <c r="I452" s="8">
        <v>11209</v>
      </c>
      <c r="J452" s="8">
        <v>11103</v>
      </c>
      <c r="K452" s="8">
        <v>11057</v>
      </c>
      <c r="L452" s="8">
        <v>11503</v>
      </c>
      <c r="M452" s="8">
        <v>11541</v>
      </c>
      <c r="N452" s="8">
        <v>11525</v>
      </c>
      <c r="O452" s="8">
        <v>11350</v>
      </c>
      <c r="P452" s="8">
        <v>10979</v>
      </c>
      <c r="Q452" s="8">
        <v>11063</v>
      </c>
      <c r="R452" s="8">
        <v>11022</v>
      </c>
      <c r="S452" s="8">
        <v>11121</v>
      </c>
      <c r="T452" s="8">
        <v>11114</v>
      </c>
      <c r="U452" s="8">
        <v>10409</v>
      </c>
      <c r="V452" s="8">
        <v>10584</v>
      </c>
      <c r="W452" s="8">
        <v>10591</v>
      </c>
      <c r="X452" s="8">
        <v>10978</v>
      </c>
      <c r="Y452" s="8">
        <v>10544</v>
      </c>
      <c r="Z452" s="8">
        <v>10669</v>
      </c>
      <c r="AA452" s="8">
        <v>10237</v>
      </c>
      <c r="AB452" s="8">
        <v>9268</v>
      </c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spans="1:47" ht="14.4">
      <c r="A453" s="3">
        <f>LOOKUP(D453,'AMFI DATA_2023H2'!F:L,'AMFI DATA_2023H2'!L:L)</f>
        <v>456</v>
      </c>
      <c r="B453" s="4" t="s">
        <v>1359</v>
      </c>
      <c r="C453" s="4" t="s">
        <v>1360</v>
      </c>
      <c r="D453" s="5" t="s">
        <v>1361</v>
      </c>
      <c r="E453" s="5">
        <v>5430.29</v>
      </c>
      <c r="F453" s="6">
        <f>LOOKUP(D453,'AMFI DATA_2023H2'!F:J,'AMFI DATA_2023H2'!J:J)</f>
        <v>8517.0420999999988</v>
      </c>
      <c r="G453" s="7">
        <f t="shared" si="1"/>
        <v>-1</v>
      </c>
      <c r="H453" s="8"/>
      <c r="I453" s="8">
        <v>10122</v>
      </c>
      <c r="J453" s="8">
        <v>9868</v>
      </c>
      <c r="K453" s="8">
        <v>10061</v>
      </c>
      <c r="L453" s="8">
        <v>10282</v>
      </c>
      <c r="M453" s="8">
        <v>10519</v>
      </c>
      <c r="N453" s="8">
        <v>10440</v>
      </c>
      <c r="O453" s="8">
        <v>10587</v>
      </c>
      <c r="P453" s="8">
        <v>10502</v>
      </c>
      <c r="Q453" s="8">
        <v>10407</v>
      </c>
      <c r="R453" s="8">
        <v>10196</v>
      </c>
      <c r="S453" s="8">
        <v>10350</v>
      </c>
      <c r="T453" s="8">
        <v>10688</v>
      </c>
      <c r="U453" s="8">
        <v>10622</v>
      </c>
      <c r="V453" s="8">
        <v>10659</v>
      </c>
      <c r="W453" s="8">
        <v>10476</v>
      </c>
      <c r="X453" s="8">
        <v>10332</v>
      </c>
      <c r="Y453" s="8">
        <v>10145</v>
      </c>
      <c r="Z453" s="8">
        <v>9940</v>
      </c>
      <c r="AA453" s="8">
        <v>10014</v>
      </c>
      <c r="AB453" s="8">
        <v>9645</v>
      </c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spans="1:47" ht="14.4">
      <c r="A454" s="3">
        <f>LOOKUP(D454,'AMFI DATA_2023H2'!F:L,'AMFI DATA_2023H2'!L:L)</f>
        <v>457</v>
      </c>
      <c r="B454" s="4" t="s">
        <v>1362</v>
      </c>
      <c r="C454" s="4" t="s">
        <v>1363</v>
      </c>
      <c r="D454" s="5" t="s">
        <v>1364</v>
      </c>
      <c r="E454" s="5">
        <v>7661.19</v>
      </c>
      <c r="F454" s="6">
        <f>LOOKUP(D454,'AMFI DATA_2023H2'!F:J,'AMFI DATA_2023H2'!J:J)</f>
        <v>8493.0460999999996</v>
      </c>
      <c r="G454" s="7">
        <f t="shared" si="1"/>
        <v>-1</v>
      </c>
      <c r="H454" s="8"/>
      <c r="I454" s="8">
        <v>8391</v>
      </c>
      <c r="J454" s="8">
        <v>8371</v>
      </c>
      <c r="K454" s="8">
        <v>8375</v>
      </c>
      <c r="L454" s="8">
        <v>8463</v>
      </c>
      <c r="M454" s="8">
        <v>8443</v>
      </c>
      <c r="N454" s="8">
        <v>8552</v>
      </c>
      <c r="O454" s="8">
        <v>8514</v>
      </c>
      <c r="P454" s="8">
        <v>8469</v>
      </c>
      <c r="Q454" s="8">
        <v>8453</v>
      </c>
      <c r="R454" s="8">
        <v>8373</v>
      </c>
      <c r="S454" s="8">
        <v>8403</v>
      </c>
      <c r="T454" s="8">
        <v>8386</v>
      </c>
      <c r="U454" s="8">
        <v>8295</v>
      </c>
      <c r="V454" s="8">
        <v>8379</v>
      </c>
      <c r="W454" s="8">
        <v>8427</v>
      </c>
      <c r="X454" s="8">
        <v>8553</v>
      </c>
      <c r="Y454" s="8">
        <v>8331</v>
      </c>
      <c r="Z454" s="8">
        <v>8451</v>
      </c>
      <c r="AA454" s="8">
        <v>8512</v>
      </c>
      <c r="AB454" s="8">
        <v>8389</v>
      </c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</row>
    <row r="455" spans="1:47" ht="14.4">
      <c r="A455" s="3">
        <f>LOOKUP(D455,'AMFI DATA_2023H2'!F:L,'AMFI DATA_2023H2'!L:L)</f>
        <v>458</v>
      </c>
      <c r="B455" s="4" t="s">
        <v>1365</v>
      </c>
      <c r="C455" s="4" t="s">
        <v>1366</v>
      </c>
      <c r="D455" s="5" t="s">
        <v>1367</v>
      </c>
      <c r="E455" s="5">
        <v>7844.93</v>
      </c>
      <c r="F455" s="6">
        <f>LOOKUP(D455,'AMFI DATA_2023H2'!F:J,'AMFI DATA_2023H2'!J:J)</f>
        <v>8475.890800000001</v>
      </c>
      <c r="G455" s="7">
        <f t="shared" si="1"/>
        <v>-1</v>
      </c>
      <c r="H455" s="8"/>
      <c r="I455" s="8">
        <v>8557</v>
      </c>
      <c r="J455" s="8">
        <v>8643</v>
      </c>
      <c r="K455" s="8">
        <v>8655</v>
      </c>
      <c r="L455" s="8">
        <v>8711</v>
      </c>
      <c r="M455" s="8">
        <v>8657</v>
      </c>
      <c r="N455" s="8">
        <v>8651</v>
      </c>
      <c r="O455" s="8">
        <v>8499</v>
      </c>
      <c r="P455" s="8">
        <v>8450</v>
      </c>
      <c r="Q455" s="8">
        <v>8383</v>
      </c>
      <c r="R455" s="8">
        <v>8300</v>
      </c>
      <c r="S455" s="8">
        <v>8329</v>
      </c>
      <c r="T455" s="8">
        <v>8301</v>
      </c>
      <c r="U455" s="8">
        <v>8292</v>
      </c>
      <c r="V455" s="8">
        <v>8222</v>
      </c>
      <c r="W455" s="8">
        <v>8217</v>
      </c>
      <c r="X455" s="8">
        <v>8200</v>
      </c>
      <c r="Y455" s="8">
        <v>8192</v>
      </c>
      <c r="Z455" s="8">
        <v>8270</v>
      </c>
      <c r="AA455" s="8">
        <v>8222</v>
      </c>
      <c r="AB455" s="8">
        <v>8221</v>
      </c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</row>
    <row r="456" spans="1:47" ht="14.4">
      <c r="A456" s="3">
        <f>LOOKUP(D456,'AMFI DATA_2023H2'!F:L,'AMFI DATA_2023H2'!L:L)</f>
        <v>459</v>
      </c>
      <c r="B456" s="4" t="s">
        <v>1368</v>
      </c>
      <c r="C456" s="4" t="s">
        <v>1369</v>
      </c>
      <c r="D456" s="5" t="s">
        <v>1370</v>
      </c>
      <c r="E456" s="5">
        <v>8750.9599999999991</v>
      </c>
      <c r="F456" s="6">
        <f>LOOKUP(D456,'AMFI DATA_2023H2'!F:J,'AMFI DATA_2023H2'!J:J)</f>
        <v>8438.5986499999999</v>
      </c>
      <c r="G456" s="7">
        <f t="shared" si="1"/>
        <v>-1</v>
      </c>
      <c r="H456" s="8"/>
      <c r="I456" s="8">
        <v>10274</v>
      </c>
      <c r="J456" s="8">
        <v>10145</v>
      </c>
      <c r="K456" s="8">
        <v>9960</v>
      </c>
      <c r="L456" s="8">
        <v>10282</v>
      </c>
      <c r="M456" s="8">
        <v>10255</v>
      </c>
      <c r="N456" s="8">
        <v>10241</v>
      </c>
      <c r="O456" s="8">
        <v>10355</v>
      </c>
      <c r="P456" s="8">
        <v>9884</v>
      </c>
      <c r="Q456" s="8">
        <v>9942</v>
      </c>
      <c r="R456" s="8">
        <v>10239</v>
      </c>
      <c r="S456" s="8">
        <v>10320</v>
      </c>
      <c r="T456" s="8">
        <v>10522</v>
      </c>
      <c r="U456" s="8">
        <v>10372</v>
      </c>
      <c r="V456" s="8">
        <v>10484</v>
      </c>
      <c r="W456" s="8">
        <v>10546</v>
      </c>
      <c r="X456" s="8">
        <v>10614</v>
      </c>
      <c r="Y456" s="8">
        <v>10600</v>
      </c>
      <c r="Z456" s="8">
        <v>10403</v>
      </c>
      <c r="AA456" s="8">
        <v>10426</v>
      </c>
      <c r="AB456" s="8">
        <v>10238</v>
      </c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spans="1:47" ht="14.4">
      <c r="A457" s="3">
        <f>LOOKUP(D457,'AMFI DATA_2023H2'!F:L,'AMFI DATA_2023H2'!L:L)</f>
        <v>460</v>
      </c>
      <c r="B457" s="4" t="s">
        <v>1371</v>
      </c>
      <c r="C457" s="4" t="s">
        <v>1372</v>
      </c>
      <c r="D457" s="5" t="s">
        <v>1373</v>
      </c>
      <c r="E457" s="5">
        <v>7912.35</v>
      </c>
      <c r="F457" s="6">
        <f>LOOKUP(D457,'AMFI DATA_2023H2'!F:J,'AMFI DATA_2023H2'!J:J)</f>
        <v>8361.2118999999984</v>
      </c>
      <c r="G457" s="7">
        <f t="shared" si="1"/>
        <v>-1</v>
      </c>
      <c r="H457" s="8"/>
      <c r="I457" s="8">
        <v>7720</v>
      </c>
      <c r="J457" s="8">
        <v>7762</v>
      </c>
      <c r="K457" s="8">
        <v>7798</v>
      </c>
      <c r="L457" s="8">
        <v>7923</v>
      </c>
      <c r="M457" s="8">
        <v>7894</v>
      </c>
      <c r="N457" s="8">
        <v>7890</v>
      </c>
      <c r="O457" s="8">
        <v>7950</v>
      </c>
      <c r="P457" s="8">
        <v>7864</v>
      </c>
      <c r="Q457" s="8">
        <v>8011</v>
      </c>
      <c r="R457" s="8">
        <v>7990</v>
      </c>
      <c r="S457" s="8">
        <v>8140</v>
      </c>
      <c r="T457" s="8">
        <v>8217</v>
      </c>
      <c r="U457" s="8">
        <v>8195</v>
      </c>
      <c r="V457" s="8">
        <v>8173</v>
      </c>
      <c r="W457" s="8">
        <v>8357</v>
      </c>
      <c r="X457" s="8">
        <v>8281</v>
      </c>
      <c r="Y457" s="8">
        <v>8097</v>
      </c>
      <c r="Z457" s="8">
        <v>7992</v>
      </c>
      <c r="AA457" s="8">
        <v>7835</v>
      </c>
      <c r="AB457" s="8">
        <v>7846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</row>
    <row r="458" spans="1:47" ht="14.4">
      <c r="A458" s="3">
        <f>LOOKUP(D458,'AMFI DATA_2023H2'!F:L,'AMFI DATA_2023H2'!L:L)</f>
        <v>462</v>
      </c>
      <c r="B458" s="4" t="s">
        <v>1374</v>
      </c>
      <c r="C458" s="4" t="s">
        <v>1375</v>
      </c>
      <c r="D458" s="5" t="s">
        <v>1376</v>
      </c>
      <c r="E458" s="5">
        <v>5377.67</v>
      </c>
      <c r="F458" s="6">
        <f>LOOKUP(D458,'AMFI DATA_2023H2'!F:J,'AMFI DATA_2023H2'!J:J)</f>
        <v>8236.1290499999996</v>
      </c>
      <c r="G458" s="7">
        <f t="shared" si="1"/>
        <v>-1</v>
      </c>
      <c r="H458" s="8"/>
      <c r="I458" s="8">
        <v>9948</v>
      </c>
      <c r="J458" s="8">
        <v>10041</v>
      </c>
      <c r="K458" s="8">
        <v>10164</v>
      </c>
      <c r="L458" s="8">
        <v>10499</v>
      </c>
      <c r="M458" s="8">
        <v>10900</v>
      </c>
      <c r="N458" s="8">
        <v>10915</v>
      </c>
      <c r="O458" s="8">
        <v>11056</v>
      </c>
      <c r="P458" s="8">
        <v>10639</v>
      </c>
      <c r="Q458" s="8">
        <v>10401</v>
      </c>
      <c r="R458" s="8">
        <v>10728</v>
      </c>
      <c r="S458" s="8">
        <v>10617</v>
      </c>
      <c r="T458" s="8">
        <v>10539</v>
      </c>
      <c r="U458" s="8">
        <v>10467</v>
      </c>
      <c r="V458" s="8">
        <v>10435</v>
      </c>
      <c r="W458" s="8">
        <v>10632</v>
      </c>
      <c r="X458" s="8">
        <v>10674</v>
      </c>
      <c r="Y458" s="8">
        <v>10851</v>
      </c>
      <c r="Z458" s="8">
        <v>10528</v>
      </c>
      <c r="AA458" s="8">
        <v>10430</v>
      </c>
      <c r="AB458" s="8">
        <v>10273</v>
      </c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spans="1:47" ht="14.4">
      <c r="A459" s="3">
        <f>LOOKUP(D459,'AMFI DATA_2023H2'!F:L,'AMFI DATA_2023H2'!L:L)</f>
        <v>463</v>
      </c>
      <c r="B459" s="4" t="s">
        <v>1377</v>
      </c>
      <c r="C459" s="4" t="s">
        <v>1378</v>
      </c>
      <c r="D459" s="5" t="s">
        <v>1379</v>
      </c>
      <c r="E459" s="5">
        <v>7099.31</v>
      </c>
      <c r="F459" s="6">
        <f>LOOKUP(D459,'AMFI DATA_2023H2'!F:J,'AMFI DATA_2023H2'!J:J)</f>
        <v>8227.5888500000001</v>
      </c>
      <c r="G459" s="7">
        <f t="shared" si="1"/>
        <v>-1</v>
      </c>
      <c r="H459" s="8"/>
      <c r="I459" s="8">
        <v>10204</v>
      </c>
      <c r="J459" s="8">
        <v>10228</v>
      </c>
      <c r="K459" s="8">
        <v>10201</v>
      </c>
      <c r="L459" s="8">
        <v>10393</v>
      </c>
      <c r="M459" s="8">
        <v>10424</v>
      </c>
      <c r="N459" s="8">
        <v>9931</v>
      </c>
      <c r="O459" s="8">
        <v>9963</v>
      </c>
      <c r="P459" s="8">
        <v>9793</v>
      </c>
      <c r="Q459" s="8">
        <v>9936</v>
      </c>
      <c r="R459" s="8">
        <v>9731</v>
      </c>
      <c r="S459" s="8">
        <v>9975</v>
      </c>
      <c r="T459" s="8">
        <v>10118</v>
      </c>
      <c r="U459" s="8">
        <v>10178</v>
      </c>
      <c r="V459" s="8">
        <v>10190</v>
      </c>
      <c r="W459" s="8">
        <v>9937</v>
      </c>
      <c r="X459" s="8">
        <v>9826</v>
      </c>
      <c r="Y459" s="8">
        <v>9570</v>
      </c>
      <c r="Z459" s="8">
        <v>9623</v>
      </c>
      <c r="AA459" s="8">
        <v>9604</v>
      </c>
      <c r="AB459" s="8">
        <v>9351</v>
      </c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</row>
    <row r="460" spans="1:47" ht="14.4">
      <c r="A460" s="3">
        <f>LOOKUP(D460,'AMFI DATA_2023H2'!F:L,'AMFI DATA_2023H2'!L:L)</f>
        <v>464</v>
      </c>
      <c r="B460" s="4" t="s">
        <v>1380</v>
      </c>
      <c r="C460" s="4" t="s">
        <v>1381</v>
      </c>
      <c r="D460" s="5" t="s">
        <v>1382</v>
      </c>
      <c r="E460" s="5">
        <v>5803.59</v>
      </c>
      <c r="F460" s="6">
        <f>LOOKUP(D460,'AMFI DATA_2023H2'!F:J,'AMFI DATA_2023H2'!J:J)</f>
        <v>8190.8251999999993</v>
      </c>
      <c r="G460" s="7">
        <f t="shared" si="1"/>
        <v>-1</v>
      </c>
      <c r="H460" s="8"/>
      <c r="I460" s="8">
        <v>8602</v>
      </c>
      <c r="J460" s="8">
        <v>8574</v>
      </c>
      <c r="K460" s="8">
        <v>8611</v>
      </c>
      <c r="L460" s="8">
        <v>8704</v>
      </c>
      <c r="M460" s="8">
        <v>8794</v>
      </c>
      <c r="N460" s="8">
        <v>8772</v>
      </c>
      <c r="O460" s="8">
        <v>8858</v>
      </c>
      <c r="P460" s="8">
        <v>8746</v>
      </c>
      <c r="Q460" s="8">
        <v>8789</v>
      </c>
      <c r="R460" s="8">
        <v>9000</v>
      </c>
      <c r="S460" s="8">
        <v>9080</v>
      </c>
      <c r="T460" s="8">
        <v>8928</v>
      </c>
      <c r="U460" s="8">
        <v>8926</v>
      </c>
      <c r="V460" s="8">
        <v>9012</v>
      </c>
      <c r="W460" s="8">
        <v>8986</v>
      </c>
      <c r="X460" s="8">
        <v>9069</v>
      </c>
      <c r="Y460" s="8">
        <v>9020</v>
      </c>
      <c r="Z460" s="8">
        <v>9006</v>
      </c>
      <c r="AA460" s="8">
        <v>9090</v>
      </c>
      <c r="AB460" s="8">
        <v>9016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</row>
    <row r="461" spans="1:47" ht="14.4">
      <c r="A461" s="3">
        <f>LOOKUP(D461,'AMFI DATA_2023H2'!F:L,'AMFI DATA_2023H2'!L:L)</f>
        <v>465</v>
      </c>
      <c r="B461" s="4" t="s">
        <v>1383</v>
      </c>
      <c r="C461" s="4" t="s">
        <v>1384</v>
      </c>
      <c r="D461" s="5" t="s">
        <v>1385</v>
      </c>
      <c r="E461" s="5">
        <v>4976.16</v>
      </c>
      <c r="F461" s="6">
        <f>LOOKUP(D461,'AMFI DATA_2023H2'!F:J,'AMFI DATA_2023H2'!J:J)</f>
        <v>8162.3402000000006</v>
      </c>
      <c r="G461" s="7">
        <f t="shared" si="1"/>
        <v>-1</v>
      </c>
      <c r="H461" s="8"/>
      <c r="I461" s="8">
        <v>13141</v>
      </c>
      <c r="J461" s="8">
        <v>12564</v>
      </c>
      <c r="K461" s="8">
        <v>12230</v>
      </c>
      <c r="L461" s="8">
        <v>12368</v>
      </c>
      <c r="M461" s="8">
        <v>12806</v>
      </c>
      <c r="N461" s="8">
        <v>12019</v>
      </c>
      <c r="O461" s="8">
        <v>12177</v>
      </c>
      <c r="P461" s="8">
        <v>11075</v>
      </c>
      <c r="Q461" s="8">
        <v>11210</v>
      </c>
      <c r="R461" s="8">
        <v>11202</v>
      </c>
      <c r="S461" s="8">
        <v>11202</v>
      </c>
      <c r="T461" s="8">
        <v>11303</v>
      </c>
      <c r="U461" s="8">
        <v>11452</v>
      </c>
      <c r="V461" s="8">
        <v>11072</v>
      </c>
      <c r="W461" s="8">
        <v>10207</v>
      </c>
      <c r="X461" s="8">
        <v>9631</v>
      </c>
      <c r="Y461" s="8">
        <v>9706</v>
      </c>
      <c r="Z461" s="8">
        <v>9147</v>
      </c>
      <c r="AA461" s="8">
        <v>9091</v>
      </c>
      <c r="AB461" s="8">
        <v>9049</v>
      </c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</row>
    <row r="462" spans="1:47" ht="14.4">
      <c r="A462" s="3">
        <f>LOOKUP(D462,'AMFI DATA_2023H2'!F:L,'AMFI DATA_2023H2'!L:L)</f>
        <v>466</v>
      </c>
      <c r="B462" s="4" t="s">
        <v>1386</v>
      </c>
      <c r="C462" s="4" t="s">
        <v>1387</v>
      </c>
      <c r="D462" s="5" t="s">
        <v>1388</v>
      </c>
      <c r="E462" s="5">
        <v>6905.77</v>
      </c>
      <c r="F462" s="6">
        <f>LOOKUP(D462,'AMFI DATA_2023H2'!F:J,'AMFI DATA_2023H2'!J:J)</f>
        <v>8133.0120500000003</v>
      </c>
      <c r="G462" s="7">
        <f t="shared" si="1"/>
        <v>-1</v>
      </c>
      <c r="H462" s="8"/>
      <c r="I462" s="8">
        <v>7956</v>
      </c>
      <c r="J462" s="8">
        <v>7831</v>
      </c>
      <c r="K462" s="8">
        <v>7997</v>
      </c>
      <c r="L462" s="8">
        <v>8112</v>
      </c>
      <c r="M462" s="8">
        <v>7977</v>
      </c>
      <c r="N462" s="8">
        <v>7849</v>
      </c>
      <c r="O462" s="8">
        <v>7795</v>
      </c>
      <c r="P462" s="8">
        <v>7832</v>
      </c>
      <c r="Q462" s="8">
        <v>7902</v>
      </c>
      <c r="R462" s="8">
        <v>7884</v>
      </c>
      <c r="S462" s="8">
        <v>7941</v>
      </c>
      <c r="T462" s="8">
        <v>7924</v>
      </c>
      <c r="U462" s="8">
        <v>7934</v>
      </c>
      <c r="V462" s="8">
        <v>7952</v>
      </c>
      <c r="W462" s="8">
        <v>7993</v>
      </c>
      <c r="X462" s="8">
        <v>8000</v>
      </c>
      <c r="Y462" s="8">
        <v>7997</v>
      </c>
      <c r="Z462" s="8">
        <v>8034</v>
      </c>
      <c r="AA462" s="8">
        <v>8045</v>
      </c>
      <c r="AB462" s="8">
        <v>8024</v>
      </c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</row>
    <row r="463" spans="1:47" ht="14.4">
      <c r="A463" s="3">
        <f>LOOKUP(D463,'AMFI DATA_2023H2'!F:L,'AMFI DATA_2023H2'!L:L)</f>
        <v>467</v>
      </c>
      <c r="B463" s="4" t="s">
        <v>1389</v>
      </c>
      <c r="C463" s="4" t="s">
        <v>1390</v>
      </c>
      <c r="D463" s="5" t="s">
        <v>1391</v>
      </c>
      <c r="E463" s="5">
        <v>5399</v>
      </c>
      <c r="F463" s="6">
        <f>LOOKUP(D463,'AMFI DATA_2023H2'!F:J,'AMFI DATA_2023H2'!J:J)</f>
        <v>8125.1433500000003</v>
      </c>
      <c r="G463" s="7">
        <f t="shared" si="1"/>
        <v>-1</v>
      </c>
      <c r="H463" s="8"/>
      <c r="I463" s="8">
        <v>8804</v>
      </c>
      <c r="J463" s="8">
        <v>8659</v>
      </c>
      <c r="K463" s="8">
        <v>8897</v>
      </c>
      <c r="L463" s="8">
        <v>8981</v>
      </c>
      <c r="M463" s="8">
        <v>8973</v>
      </c>
      <c r="N463" s="8">
        <v>8950</v>
      </c>
      <c r="O463" s="8">
        <v>8710</v>
      </c>
      <c r="P463" s="8">
        <v>8595</v>
      </c>
      <c r="Q463" s="8">
        <v>8542</v>
      </c>
      <c r="R463" s="8">
        <v>8472</v>
      </c>
      <c r="S463" s="8">
        <v>8577</v>
      </c>
      <c r="T463" s="8">
        <v>8642</v>
      </c>
      <c r="U463" s="8">
        <v>8384</v>
      </c>
      <c r="V463" s="8">
        <v>8315</v>
      </c>
      <c r="W463" s="8">
        <v>8344</v>
      </c>
      <c r="X463" s="8">
        <v>8495</v>
      </c>
      <c r="Y463" s="8">
        <v>8509</v>
      </c>
      <c r="Z463" s="8">
        <v>8470</v>
      </c>
      <c r="AA463" s="8">
        <v>8594</v>
      </c>
      <c r="AB463" s="8">
        <v>8683</v>
      </c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spans="1:47" ht="14.4">
      <c r="A464" s="3">
        <f>LOOKUP(D464,'AMFI DATA_2023H2'!F:L,'AMFI DATA_2023H2'!L:L)</f>
        <v>468</v>
      </c>
      <c r="B464" s="4" t="s">
        <v>1392</v>
      </c>
      <c r="C464" s="4" t="s">
        <v>1393</v>
      </c>
      <c r="D464" s="5" t="s">
        <v>1394</v>
      </c>
      <c r="E464" s="5">
        <v>5291.94</v>
      </c>
      <c r="F464" s="6">
        <f>LOOKUP(D464,'AMFI DATA_2023H2'!F:J,'AMFI DATA_2023H2'!J:J)</f>
        <v>8109.2608</v>
      </c>
      <c r="G464" s="7">
        <f t="shared" si="1"/>
        <v>-1</v>
      </c>
      <c r="H464" s="8"/>
      <c r="I464" s="8">
        <v>11127</v>
      </c>
      <c r="J464" s="8">
        <v>11016</v>
      </c>
      <c r="K464" s="8">
        <v>11248</v>
      </c>
      <c r="L464" s="8">
        <v>11204</v>
      </c>
      <c r="M464" s="8">
        <v>11049</v>
      </c>
      <c r="N464" s="8">
        <v>10952</v>
      </c>
      <c r="O464" s="8">
        <v>10858</v>
      </c>
      <c r="P464" s="8">
        <v>10921</v>
      </c>
      <c r="Q464" s="8">
        <v>10975</v>
      </c>
      <c r="R464" s="8">
        <v>10553</v>
      </c>
      <c r="S464" s="8">
        <v>10630</v>
      </c>
      <c r="T464" s="8">
        <v>10684</v>
      </c>
      <c r="U464" s="8">
        <v>10630</v>
      </c>
      <c r="V464" s="8">
        <v>10585</v>
      </c>
      <c r="W464" s="8">
        <v>10295</v>
      </c>
      <c r="X464" s="8">
        <v>10299</v>
      </c>
      <c r="Y464" s="8">
        <v>10431</v>
      </c>
      <c r="Z464" s="8">
        <v>10571</v>
      </c>
      <c r="AA464" s="8">
        <v>10798</v>
      </c>
      <c r="AB464" s="8">
        <v>10676</v>
      </c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spans="1:47" ht="14.4">
      <c r="A465" s="3">
        <f>LOOKUP(D465,'AMFI DATA_2023H2'!F:L,'AMFI DATA_2023H2'!L:L)</f>
        <v>469</v>
      </c>
      <c r="B465" s="4" t="s">
        <v>1395</v>
      </c>
      <c r="C465" s="4" t="s">
        <v>1396</v>
      </c>
      <c r="D465" s="5" t="s">
        <v>1397</v>
      </c>
      <c r="E465" s="5">
        <v>5961.89</v>
      </c>
      <c r="F465" s="6">
        <f>LOOKUP(D465,'AMFI DATA_2023H2'!F:J,'AMFI DATA_2023H2'!J:J)</f>
        <v>8088.4504500000003</v>
      </c>
      <c r="G465" s="7">
        <f t="shared" si="1"/>
        <v>-1</v>
      </c>
      <c r="H465" s="8"/>
      <c r="I465" s="8">
        <v>8750</v>
      </c>
      <c r="J465" s="8">
        <v>8891</v>
      </c>
      <c r="K465" s="8">
        <v>8824</v>
      </c>
      <c r="L465" s="8">
        <v>8949</v>
      </c>
      <c r="M465" s="8">
        <v>8886</v>
      </c>
      <c r="N465" s="8">
        <v>8955</v>
      </c>
      <c r="O465" s="8">
        <v>8864</v>
      </c>
      <c r="P465" s="8">
        <v>8756</v>
      </c>
      <c r="Q465" s="8">
        <v>8691</v>
      </c>
      <c r="R465" s="8">
        <v>8769</v>
      </c>
      <c r="S465" s="8">
        <v>8895</v>
      </c>
      <c r="T465" s="8">
        <v>8860</v>
      </c>
      <c r="U465" s="8">
        <v>8468</v>
      </c>
      <c r="V465" s="8">
        <v>8481</v>
      </c>
      <c r="W465" s="8">
        <v>8437</v>
      </c>
      <c r="X465" s="8">
        <v>8388</v>
      </c>
      <c r="Y465" s="8">
        <v>8394</v>
      </c>
      <c r="Z465" s="8">
        <v>8321</v>
      </c>
      <c r="AA465" s="8">
        <v>8374</v>
      </c>
      <c r="AB465" s="8">
        <v>8250</v>
      </c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spans="1:47" ht="14.4">
      <c r="A466" s="3">
        <f>LOOKUP(D466,'AMFI DATA_2023H2'!F:L,'AMFI DATA_2023H2'!L:L)</f>
        <v>470</v>
      </c>
      <c r="B466" s="4" t="s">
        <v>1398</v>
      </c>
      <c r="C466" s="4" t="s">
        <v>1399</v>
      </c>
      <c r="D466" s="5" t="s">
        <v>1400</v>
      </c>
      <c r="E466" s="5">
        <v>5507.36</v>
      </c>
      <c r="F466" s="6">
        <f>LOOKUP(D466,'AMFI DATA_2023H2'!F:J,'AMFI DATA_2023H2'!J:J)</f>
        <v>8064.5357000000004</v>
      </c>
      <c r="G466" s="7">
        <f t="shared" si="1"/>
        <v>-1</v>
      </c>
      <c r="H466" s="8"/>
      <c r="I466" s="8">
        <v>11102</v>
      </c>
      <c r="J466" s="8">
        <v>11024</v>
      </c>
      <c r="K466" s="8">
        <v>11105</v>
      </c>
      <c r="L466" s="8">
        <v>11306</v>
      </c>
      <c r="M466" s="8">
        <v>11473</v>
      </c>
      <c r="N466" s="8">
        <v>11639</v>
      </c>
      <c r="O466" s="8">
        <v>11799</v>
      </c>
      <c r="P466" s="8">
        <v>11232</v>
      </c>
      <c r="Q466" s="8">
        <v>11424</v>
      </c>
      <c r="R466" s="8">
        <v>11871</v>
      </c>
      <c r="S466" s="8">
        <v>11885</v>
      </c>
      <c r="T466" s="8">
        <v>11279</v>
      </c>
      <c r="U466" s="8">
        <v>10493</v>
      </c>
      <c r="V466" s="8">
        <v>10512</v>
      </c>
      <c r="W466" s="8">
        <v>10555</v>
      </c>
      <c r="X466" s="8">
        <v>10544</v>
      </c>
      <c r="Y466" s="8">
        <v>10440</v>
      </c>
      <c r="Z466" s="8">
        <v>10485</v>
      </c>
      <c r="AA466" s="8">
        <v>10663</v>
      </c>
      <c r="AB466" s="8">
        <v>10913</v>
      </c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</row>
    <row r="467" spans="1:47" ht="14.4">
      <c r="A467" s="3">
        <f>LOOKUP(D467,'AMFI DATA_2023H2'!F:L,'AMFI DATA_2023H2'!L:L)</f>
        <v>471</v>
      </c>
      <c r="B467" s="4" t="s">
        <v>1401</v>
      </c>
      <c r="C467" s="4" t="s">
        <v>1402</v>
      </c>
      <c r="D467" s="5" t="s">
        <v>1403</v>
      </c>
      <c r="E467" s="5">
        <v>4530.0200000000004</v>
      </c>
      <c r="F467" s="6">
        <f>LOOKUP(D467,'AMFI DATA_2023H2'!F:J,'AMFI DATA_2023H2'!J:J)</f>
        <v>8005.0488499999992</v>
      </c>
      <c r="G467" s="7">
        <f t="shared" si="1"/>
        <v>-1</v>
      </c>
      <c r="H467" s="8"/>
      <c r="I467" s="8">
        <v>10406</v>
      </c>
      <c r="J467" s="8">
        <v>10324</v>
      </c>
      <c r="K467" s="8">
        <v>10161</v>
      </c>
      <c r="L467" s="8">
        <v>10286</v>
      </c>
      <c r="M467" s="8">
        <v>10343</v>
      </c>
      <c r="N467" s="8">
        <v>10424</v>
      </c>
      <c r="O467" s="8">
        <v>10354</v>
      </c>
      <c r="P467" s="8">
        <v>10446</v>
      </c>
      <c r="Q467" s="8">
        <v>9816</v>
      </c>
      <c r="R467" s="8">
        <v>9796</v>
      </c>
      <c r="S467" s="8">
        <v>9902</v>
      </c>
      <c r="T467" s="8">
        <v>9754</v>
      </c>
      <c r="U467" s="8">
        <v>9603</v>
      </c>
      <c r="V467" s="8">
        <v>9550</v>
      </c>
      <c r="W467" s="8">
        <v>9669</v>
      </c>
      <c r="X467" s="8">
        <v>9809</v>
      </c>
      <c r="Y467" s="8">
        <v>9672</v>
      </c>
      <c r="Z467" s="8">
        <v>9899</v>
      </c>
      <c r="AA467" s="8">
        <v>9712</v>
      </c>
      <c r="AB467" s="8">
        <v>9624</v>
      </c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spans="1:47" ht="14.4">
      <c r="A468" s="3">
        <f>LOOKUP(D468,'AMFI DATA_2023H2'!F:L,'AMFI DATA_2023H2'!L:L)</f>
        <v>472</v>
      </c>
      <c r="B468" s="4" t="s">
        <v>1404</v>
      </c>
      <c r="C468" s="4" t="s">
        <v>1405</v>
      </c>
      <c r="D468" s="5" t="s">
        <v>1406</v>
      </c>
      <c r="E468" s="5">
        <v>5772.14</v>
      </c>
      <c r="F468" s="6">
        <f>LOOKUP(D468,'AMFI DATA_2023H2'!F:J,'AMFI DATA_2023H2'!J:J)</f>
        <v>7988.14905</v>
      </c>
      <c r="G468" s="7">
        <f t="shared" si="1"/>
        <v>-1</v>
      </c>
      <c r="H468" s="8"/>
      <c r="I468" s="8">
        <v>9611</v>
      </c>
      <c r="J468" s="8">
        <v>9592</v>
      </c>
      <c r="K468" s="8">
        <v>9618</v>
      </c>
      <c r="L468" s="8">
        <v>9181</v>
      </c>
      <c r="M468" s="8">
        <v>9474</v>
      </c>
      <c r="N468" s="8">
        <v>9374</v>
      </c>
      <c r="O468" s="8">
        <v>9261</v>
      </c>
      <c r="P468" s="8">
        <v>9324</v>
      </c>
      <c r="Q468" s="8">
        <v>9276</v>
      </c>
      <c r="R468" s="8">
        <v>8964</v>
      </c>
      <c r="S468" s="8">
        <v>9105</v>
      </c>
      <c r="T468" s="8">
        <v>9087</v>
      </c>
      <c r="U468" s="8">
        <v>9228</v>
      </c>
      <c r="V468" s="8">
        <v>9036</v>
      </c>
      <c r="W468" s="8">
        <v>9202</v>
      </c>
      <c r="X468" s="8">
        <v>9206</v>
      </c>
      <c r="Y468" s="8">
        <v>9037</v>
      </c>
      <c r="Z468" s="8">
        <v>9169</v>
      </c>
      <c r="AA468" s="8">
        <v>9234</v>
      </c>
      <c r="AB468" s="8">
        <v>9181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spans="1:47" ht="14.4">
      <c r="A469" s="3">
        <f>LOOKUP(D469,'AMFI DATA_2023H2'!F:L,'AMFI DATA_2023H2'!L:L)</f>
        <v>473</v>
      </c>
      <c r="B469" s="4" t="s">
        <v>1407</v>
      </c>
      <c r="C469" s="4" t="s">
        <v>1408</v>
      </c>
      <c r="D469" s="5" t="s">
        <v>1409</v>
      </c>
      <c r="E469" s="5">
        <v>6332.41</v>
      </c>
      <c r="F469" s="6">
        <f>LOOKUP(D469,'AMFI DATA_2023H2'!F:J,'AMFI DATA_2023H2'!J:J)</f>
        <v>7968.1293999999998</v>
      </c>
      <c r="G469" s="7">
        <f t="shared" si="1"/>
        <v>-1</v>
      </c>
      <c r="H469" s="8"/>
      <c r="I469" s="8">
        <v>10448</v>
      </c>
      <c r="J469" s="8">
        <v>9856</v>
      </c>
      <c r="K469" s="8">
        <v>9894</v>
      </c>
      <c r="L469" s="8">
        <v>10254</v>
      </c>
      <c r="M469" s="8">
        <v>9680</v>
      </c>
      <c r="N469" s="8">
        <v>9680</v>
      </c>
      <c r="O469" s="8">
        <v>9409</v>
      </c>
      <c r="P469" s="8">
        <v>9412</v>
      </c>
      <c r="Q469" s="8">
        <v>9449</v>
      </c>
      <c r="R469" s="8">
        <v>9353</v>
      </c>
      <c r="S469" s="8">
        <v>9658</v>
      </c>
      <c r="T469" s="8">
        <v>9804</v>
      </c>
      <c r="U469" s="8">
        <v>9668</v>
      </c>
      <c r="V469" s="8">
        <v>9546</v>
      </c>
      <c r="W469" s="8">
        <v>9544</v>
      </c>
      <c r="X469" s="8">
        <v>9383</v>
      </c>
      <c r="Y469" s="8">
        <v>9346</v>
      </c>
      <c r="Z469" s="8">
        <v>9547</v>
      </c>
      <c r="AA469" s="8">
        <v>9238</v>
      </c>
      <c r="AB469" s="8">
        <v>9308</v>
      </c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spans="1:47" ht="14.4">
      <c r="A470" s="3">
        <f>LOOKUP(D470,'AMFI DATA_2023H2'!F:L,'AMFI DATA_2023H2'!L:L)</f>
        <v>474</v>
      </c>
      <c r="B470" s="4" t="s">
        <v>1410</v>
      </c>
      <c r="C470" s="4" t="s">
        <v>1411</v>
      </c>
      <c r="D470" s="5" t="s">
        <v>1412</v>
      </c>
      <c r="E470" s="5">
        <v>4980</v>
      </c>
      <c r="F470" s="6">
        <f>LOOKUP(D470,'AMFI DATA_2023H2'!F:J,'AMFI DATA_2023H2'!J:J)</f>
        <v>7910.8922999999995</v>
      </c>
      <c r="G470" s="7">
        <f t="shared" si="1"/>
        <v>-1</v>
      </c>
      <c r="H470" s="8"/>
      <c r="I470" s="8">
        <v>8445</v>
      </c>
      <c r="J470" s="8">
        <v>8375</v>
      </c>
      <c r="K470" s="8">
        <v>8425</v>
      </c>
      <c r="L470" s="8">
        <v>8138</v>
      </c>
      <c r="M470" s="8">
        <v>8024</v>
      </c>
      <c r="N470" s="8">
        <v>8184</v>
      </c>
      <c r="O470" s="8">
        <v>8325</v>
      </c>
      <c r="P470" s="8">
        <v>0</v>
      </c>
      <c r="Q470" s="8">
        <v>8199</v>
      </c>
      <c r="R470" s="8">
        <v>8307</v>
      </c>
      <c r="S470" s="8">
        <v>8481</v>
      </c>
      <c r="T470" s="8">
        <v>8111</v>
      </c>
      <c r="U470" s="8">
        <v>8186</v>
      </c>
      <c r="V470" s="8">
        <v>8110</v>
      </c>
      <c r="W470" s="8">
        <v>8242</v>
      </c>
      <c r="X470" s="8">
        <v>8242</v>
      </c>
      <c r="Y470" s="8">
        <v>8081</v>
      </c>
      <c r="Z470" s="8">
        <v>8433</v>
      </c>
      <c r="AA470" s="8">
        <v>8506</v>
      </c>
      <c r="AB470" s="8">
        <v>8829</v>
      </c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spans="1:47" ht="14.4">
      <c r="A471" s="3">
        <f>LOOKUP(D471,'AMFI DATA_2023H2'!F:L,'AMFI DATA_2023H2'!L:L)</f>
        <v>475</v>
      </c>
      <c r="B471" s="4" t="s">
        <v>1413</v>
      </c>
      <c r="C471" s="4" t="s">
        <v>1414</v>
      </c>
      <c r="D471" s="5" t="s">
        <v>1415</v>
      </c>
      <c r="E471" s="5">
        <v>7503.28</v>
      </c>
      <c r="F471" s="6">
        <f>LOOKUP(D471,'AMFI DATA_2023H2'!F:J,'AMFI DATA_2023H2'!J:J)</f>
        <v>7891.9879999999994</v>
      </c>
      <c r="G471" s="7">
        <f t="shared" si="1"/>
        <v>-1</v>
      </c>
      <c r="H471" s="8"/>
      <c r="I471" s="8">
        <v>7630</v>
      </c>
      <c r="J471" s="8">
        <v>7723</v>
      </c>
      <c r="K471" s="8">
        <v>7589</v>
      </c>
      <c r="L471" s="8">
        <v>7602</v>
      </c>
      <c r="M471" s="8">
        <v>7732</v>
      </c>
      <c r="N471" s="8">
        <v>7728</v>
      </c>
      <c r="O471" s="8">
        <v>7546</v>
      </c>
      <c r="P471" s="8">
        <v>7489</v>
      </c>
      <c r="Q471" s="8">
        <v>7618</v>
      </c>
      <c r="R471" s="8">
        <v>7563</v>
      </c>
      <c r="S471" s="8">
        <v>7624</v>
      </c>
      <c r="T471" s="8">
        <v>7639</v>
      </c>
      <c r="U471" s="8">
        <v>7490</v>
      </c>
      <c r="V471" s="8">
        <v>7549</v>
      </c>
      <c r="W471" s="8">
        <v>7504</v>
      </c>
      <c r="X471" s="8">
        <v>7642</v>
      </c>
      <c r="Y471" s="8">
        <v>7494</v>
      </c>
      <c r="Z471" s="8">
        <v>7532</v>
      </c>
      <c r="AA471" s="8">
        <v>7680</v>
      </c>
      <c r="AB471" s="8">
        <v>7581</v>
      </c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</row>
    <row r="472" spans="1:47" ht="14.4">
      <c r="A472" s="3">
        <f>LOOKUP(D472,'AMFI DATA_2023H2'!F:L,'AMFI DATA_2023H2'!L:L)</f>
        <v>476</v>
      </c>
      <c r="B472" s="4" t="s">
        <v>1416</v>
      </c>
      <c r="C472" s="4" t="s">
        <v>1417</v>
      </c>
      <c r="D472" s="5" t="s">
        <v>1418</v>
      </c>
      <c r="E472" s="5">
        <v>3288.3</v>
      </c>
      <c r="F472" s="6">
        <f>LOOKUP(D472,'AMFI DATA_2023H2'!F:J,'AMFI DATA_2023H2'!J:J)</f>
        <v>7886.6739500000003</v>
      </c>
      <c r="G472" s="7">
        <f t="shared" si="1"/>
        <v>-1</v>
      </c>
      <c r="H472" s="8"/>
      <c r="I472" s="8">
        <v>14563</v>
      </c>
      <c r="J472" s="8">
        <v>14498</v>
      </c>
      <c r="K472" s="8">
        <v>13913</v>
      </c>
      <c r="L472" s="8">
        <v>14283</v>
      </c>
      <c r="M472" s="8">
        <v>14717</v>
      </c>
      <c r="N472" s="8">
        <v>14343</v>
      </c>
      <c r="O472" s="8">
        <v>14694</v>
      </c>
      <c r="P472" s="8">
        <v>0</v>
      </c>
      <c r="Q472" s="8">
        <v>15486</v>
      </c>
      <c r="R472" s="8">
        <v>16134</v>
      </c>
      <c r="S472" s="8">
        <v>16628</v>
      </c>
      <c r="T472" s="8">
        <v>16887</v>
      </c>
      <c r="U472" s="8">
        <v>16747</v>
      </c>
      <c r="V472" s="8">
        <v>17204</v>
      </c>
      <c r="W472" s="8">
        <v>17065</v>
      </c>
      <c r="X472" s="8">
        <v>16167</v>
      </c>
      <c r="Y472" s="8">
        <v>15833</v>
      </c>
      <c r="Z472" s="8">
        <v>15419</v>
      </c>
      <c r="AA472" s="8">
        <v>15213</v>
      </c>
      <c r="AB472" s="8">
        <v>14774</v>
      </c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</row>
    <row r="473" spans="1:47" ht="14.4">
      <c r="A473" s="3">
        <f>LOOKUP(D473,'AMFI DATA_2023H2'!F:L,'AMFI DATA_2023H2'!L:L)</f>
        <v>477</v>
      </c>
      <c r="B473" s="4" t="s">
        <v>1419</v>
      </c>
      <c r="C473" s="4" t="s">
        <v>1420</v>
      </c>
      <c r="D473" s="5" t="s">
        <v>1421</v>
      </c>
      <c r="E473" s="5">
        <v>3008.72</v>
      </c>
      <c r="F473" s="6">
        <f>LOOKUP(D473,'AMFI DATA_2023H2'!F:J,'AMFI DATA_2023H2'!J:J)</f>
        <v>7872.0473499999998</v>
      </c>
      <c r="G473" s="7">
        <f t="shared" si="1"/>
        <v>-1</v>
      </c>
      <c r="H473" s="8"/>
      <c r="I473" s="8">
        <v>13522</v>
      </c>
      <c r="J473" s="8">
        <v>13267</v>
      </c>
      <c r="K473" s="8">
        <v>12834</v>
      </c>
      <c r="L473" s="8">
        <v>12748</v>
      </c>
      <c r="M473" s="8">
        <v>12933</v>
      </c>
      <c r="N473" s="8">
        <v>12781</v>
      </c>
      <c r="O473" s="8">
        <v>12712</v>
      </c>
      <c r="P473" s="8">
        <v>12511</v>
      </c>
      <c r="Q473" s="8">
        <v>12307</v>
      </c>
      <c r="R473" s="8">
        <v>12348</v>
      </c>
      <c r="S473" s="8">
        <v>12580</v>
      </c>
      <c r="T473" s="8">
        <v>12630</v>
      </c>
      <c r="U473" s="8">
        <v>12714</v>
      </c>
      <c r="V473" s="8">
        <v>12542</v>
      </c>
      <c r="W473" s="8">
        <v>12075</v>
      </c>
      <c r="X473" s="8">
        <v>12095</v>
      </c>
      <c r="Y473" s="8">
        <v>12357</v>
      </c>
      <c r="Z473" s="8">
        <v>12581</v>
      </c>
      <c r="AA473" s="8">
        <v>12367</v>
      </c>
      <c r="AB473" s="8">
        <v>12288</v>
      </c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spans="1:47" ht="14.4">
      <c r="A474" s="3">
        <f>LOOKUP(D474,'AMFI DATA_2023H2'!F:L,'AMFI DATA_2023H2'!L:L)</f>
        <v>479</v>
      </c>
      <c r="B474" s="4" t="s">
        <v>1422</v>
      </c>
      <c r="C474" s="4" t="s">
        <v>1423</v>
      </c>
      <c r="D474" s="5" t="s">
        <v>1424</v>
      </c>
      <c r="E474" s="5">
        <v>5967.69</v>
      </c>
      <c r="F474" s="6">
        <f>LOOKUP(D474,'AMFI DATA_2023H2'!F:J,'AMFI DATA_2023H2'!J:J)</f>
        <v>7822.5957500000004</v>
      </c>
      <c r="G474" s="7">
        <f t="shared" si="1"/>
        <v>-1</v>
      </c>
      <c r="H474" s="8"/>
      <c r="I474" s="8">
        <v>12100</v>
      </c>
      <c r="J474" s="8">
        <v>12303</v>
      </c>
      <c r="K474" s="8">
        <v>12106</v>
      </c>
      <c r="L474" s="8">
        <v>12351</v>
      </c>
      <c r="M474" s="8">
        <v>12786</v>
      </c>
      <c r="N474" s="8">
        <v>12476</v>
      </c>
      <c r="O474" s="8">
        <v>12509</v>
      </c>
      <c r="P474" s="8">
        <v>12603</v>
      </c>
      <c r="Q474" s="8">
        <v>12971</v>
      </c>
      <c r="R474" s="8">
        <v>12918</v>
      </c>
      <c r="S474" s="8">
        <v>13648</v>
      </c>
      <c r="T474" s="8">
        <v>12491</v>
      </c>
      <c r="U474" s="8">
        <v>12572</v>
      </c>
      <c r="V474" s="8">
        <v>10979</v>
      </c>
      <c r="W474" s="8">
        <v>9984</v>
      </c>
      <c r="X474" s="8">
        <v>9285</v>
      </c>
      <c r="Y474" s="8">
        <v>8765</v>
      </c>
      <c r="Z474" s="8">
        <v>8585</v>
      </c>
      <c r="AA474" s="8">
        <v>8411</v>
      </c>
      <c r="AB474" s="8">
        <v>8483</v>
      </c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spans="1:47" ht="14.4">
      <c r="A475" s="3">
        <f>LOOKUP(D475,'AMFI DATA_2023H2'!F:L,'AMFI DATA_2023H2'!L:L)</f>
        <v>480</v>
      </c>
      <c r="B475" s="4" t="s">
        <v>1425</v>
      </c>
      <c r="C475" s="4" t="s">
        <v>1426</v>
      </c>
      <c r="D475" s="5" t="s">
        <v>1427</v>
      </c>
      <c r="E475" s="5">
        <v>7672.92</v>
      </c>
      <c r="F475" s="6">
        <f>LOOKUP(D475,'AMFI DATA_2023H2'!F:J,'AMFI DATA_2023H2'!J:J)</f>
        <v>7777.0280999999995</v>
      </c>
      <c r="G475" s="7">
        <f t="shared" si="1"/>
        <v>-1</v>
      </c>
      <c r="H475" s="8"/>
      <c r="I475" s="8">
        <v>8137</v>
      </c>
      <c r="J475" s="8">
        <v>8178</v>
      </c>
      <c r="K475" s="8">
        <v>8250</v>
      </c>
      <c r="L475" s="8">
        <v>8364</v>
      </c>
      <c r="M475" s="8">
        <v>8180</v>
      </c>
      <c r="N475" s="8">
        <v>8277</v>
      </c>
      <c r="O475" s="8">
        <v>8253</v>
      </c>
      <c r="P475" s="8">
        <v>8200</v>
      </c>
      <c r="Q475" s="8">
        <v>8288</v>
      </c>
      <c r="R475" s="8">
        <v>8457</v>
      </c>
      <c r="S475" s="8">
        <v>8643</v>
      </c>
      <c r="T475" s="8">
        <v>8784</v>
      </c>
      <c r="U475" s="8">
        <v>8673</v>
      </c>
      <c r="V475" s="8">
        <v>8741</v>
      </c>
      <c r="W475" s="8">
        <v>8682</v>
      </c>
      <c r="X475" s="8">
        <v>8568</v>
      </c>
      <c r="Y475" s="8">
        <v>8559</v>
      </c>
      <c r="Z475" s="8">
        <v>8548</v>
      </c>
      <c r="AA475" s="8">
        <v>8507</v>
      </c>
      <c r="AB475" s="8">
        <v>8543</v>
      </c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spans="1:47" ht="14.4">
      <c r="A476" s="3">
        <f>LOOKUP(D476,'AMFI DATA_2023H2'!F:L,'AMFI DATA_2023H2'!L:L)</f>
        <v>481</v>
      </c>
      <c r="B476" s="4" t="s">
        <v>1428</v>
      </c>
      <c r="C476" s="4" t="s">
        <v>1429</v>
      </c>
      <c r="D476" s="5" t="s">
        <v>1430</v>
      </c>
      <c r="E476" s="5">
        <v>6441.6</v>
      </c>
      <c r="F476" s="6">
        <f>LOOKUP(D476,'AMFI DATA_2023H2'!F:J,'AMFI DATA_2023H2'!J:J)</f>
        <v>7773.1472999999996</v>
      </c>
      <c r="G476" s="7">
        <f t="shared" si="1"/>
        <v>-1</v>
      </c>
      <c r="H476" s="8"/>
      <c r="I476" s="8">
        <v>8880</v>
      </c>
      <c r="J476" s="8">
        <v>8693</v>
      </c>
      <c r="K476" s="8">
        <v>8526</v>
      </c>
      <c r="L476" s="8">
        <v>8435</v>
      </c>
      <c r="M476" s="8">
        <v>8528</v>
      </c>
      <c r="N476" s="8">
        <v>8613</v>
      </c>
      <c r="O476" s="8">
        <v>8502</v>
      </c>
      <c r="P476" s="8">
        <v>8328</v>
      </c>
      <c r="Q476" s="8">
        <v>8282</v>
      </c>
      <c r="R476" s="8">
        <v>8298</v>
      </c>
      <c r="S476" s="8">
        <v>8420</v>
      </c>
      <c r="T476" s="8">
        <v>8321</v>
      </c>
      <c r="U476" s="8">
        <v>8396</v>
      </c>
      <c r="V476" s="8">
        <v>8463</v>
      </c>
      <c r="W476" s="8">
        <v>8234</v>
      </c>
      <c r="X476" s="8">
        <v>8219</v>
      </c>
      <c r="Y476" s="8">
        <v>8293</v>
      </c>
      <c r="Z476" s="8">
        <v>8507</v>
      </c>
      <c r="AA476" s="8">
        <v>8469</v>
      </c>
      <c r="AB476" s="8">
        <v>8787</v>
      </c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</row>
    <row r="477" spans="1:47" ht="14.4">
      <c r="A477" s="3">
        <f>LOOKUP(D477,'AMFI DATA_2023H2'!F:L,'AMFI DATA_2023H2'!L:L)</f>
        <v>482</v>
      </c>
      <c r="B477" s="4" t="s">
        <v>1431</v>
      </c>
      <c r="C477" s="4" t="s">
        <v>1432</v>
      </c>
      <c r="D477" s="5" t="s">
        <v>1433</v>
      </c>
      <c r="E477" s="5">
        <v>4207.1499999999996</v>
      </c>
      <c r="F477" s="6">
        <f>LOOKUP(D477,'AMFI DATA_2023H2'!F:J,'AMFI DATA_2023H2'!J:J)</f>
        <v>7715.12435</v>
      </c>
      <c r="G477" s="7">
        <f t="shared" si="1"/>
        <v>-1</v>
      </c>
      <c r="H477" s="8"/>
      <c r="I477" s="8">
        <v>13278</v>
      </c>
      <c r="J477" s="8">
        <v>12996</v>
      </c>
      <c r="K477" s="8">
        <v>12743</v>
      </c>
      <c r="L477" s="8">
        <v>12523</v>
      </c>
      <c r="M477" s="8">
        <v>12475</v>
      </c>
      <c r="N477" s="8">
        <v>12414</v>
      </c>
      <c r="O477" s="8">
        <v>12774</v>
      </c>
      <c r="P477" s="8">
        <v>10999</v>
      </c>
      <c r="Q477" s="8">
        <v>10689</v>
      </c>
      <c r="R477" s="8">
        <v>10655</v>
      </c>
      <c r="S477" s="8">
        <v>10745</v>
      </c>
      <c r="T477" s="8">
        <v>10625</v>
      </c>
      <c r="U477" s="8">
        <v>10755</v>
      </c>
      <c r="V477" s="8">
        <v>10565</v>
      </c>
      <c r="W477" s="8">
        <v>10487</v>
      </c>
      <c r="X477" s="8">
        <v>10364</v>
      </c>
      <c r="Y477" s="8">
        <v>10585</v>
      </c>
      <c r="Z477" s="8">
        <v>10164</v>
      </c>
      <c r="AA477" s="8">
        <v>10150</v>
      </c>
      <c r="AB477" s="8">
        <v>10277</v>
      </c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spans="1:47" ht="14.4">
      <c r="A478" s="3">
        <f>LOOKUP(D478,'AMFI DATA_2023H2'!F:L,'AMFI DATA_2023H2'!L:L)</f>
        <v>483</v>
      </c>
      <c r="B478" s="4" t="s">
        <v>1434</v>
      </c>
      <c r="C478" s="4" t="s">
        <v>1435</v>
      </c>
      <c r="D478" s="5" t="s">
        <v>1436</v>
      </c>
      <c r="E478" s="5">
        <v>5646.99</v>
      </c>
      <c r="F478" s="6">
        <f>LOOKUP(D478,'AMFI DATA_2023H2'!F:J,'AMFI DATA_2023H2'!J:J)</f>
        <v>7713.8304499999995</v>
      </c>
      <c r="G478" s="7">
        <f t="shared" si="1"/>
        <v>-1</v>
      </c>
      <c r="H478" s="8"/>
      <c r="I478" s="8">
        <v>8048</v>
      </c>
      <c r="J478" s="8">
        <v>7821</v>
      </c>
      <c r="K478" s="8">
        <v>7866</v>
      </c>
      <c r="L478" s="8">
        <v>7996</v>
      </c>
      <c r="M478" s="8">
        <v>8147</v>
      </c>
      <c r="N478" s="8">
        <v>8224</v>
      </c>
      <c r="O478" s="8">
        <v>8117</v>
      </c>
      <c r="P478" s="8">
        <v>8047</v>
      </c>
      <c r="Q478" s="8">
        <v>7946</v>
      </c>
      <c r="R478" s="8">
        <v>7784</v>
      </c>
      <c r="S478" s="8">
        <v>7837</v>
      </c>
      <c r="T478" s="8">
        <v>7920</v>
      </c>
      <c r="U478" s="8">
        <v>7852</v>
      </c>
      <c r="V478" s="8">
        <v>7885</v>
      </c>
      <c r="W478" s="8">
        <v>7815</v>
      </c>
      <c r="X478" s="8">
        <v>7684</v>
      </c>
      <c r="Y478" s="8">
        <v>7593</v>
      </c>
      <c r="Z478" s="8">
        <v>7583</v>
      </c>
      <c r="AA478" s="8">
        <v>7343</v>
      </c>
      <c r="AB478" s="8">
        <v>7395</v>
      </c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</row>
    <row r="479" spans="1:47" ht="14.4">
      <c r="A479" s="3">
        <f>LOOKUP(D479,'AMFI DATA_2023H2'!F:L,'AMFI DATA_2023H2'!L:L)</f>
        <v>484</v>
      </c>
      <c r="B479" s="4" t="s">
        <v>1437</v>
      </c>
      <c r="C479" s="4" t="s">
        <v>1438</v>
      </c>
      <c r="D479" s="5" t="s">
        <v>1439</v>
      </c>
      <c r="E479" s="5">
        <v>5574.9</v>
      </c>
      <c r="F479" s="6">
        <f>LOOKUP(D479,'AMFI DATA_2023H2'!F:J,'AMFI DATA_2023H2'!J:J)</f>
        <v>7702.6375000000007</v>
      </c>
      <c r="G479" s="7">
        <f t="shared" si="1"/>
        <v>-1</v>
      </c>
      <c r="H479" s="8"/>
      <c r="I479" s="8">
        <v>9580</v>
      </c>
      <c r="J479" s="8">
        <v>9270</v>
      </c>
      <c r="K479" s="8">
        <v>9199</v>
      </c>
      <c r="L479" s="8">
        <v>9242</v>
      </c>
      <c r="M479" s="8">
        <v>9163</v>
      </c>
      <c r="N479" s="8">
        <v>9062</v>
      </c>
      <c r="O479" s="8">
        <v>9129</v>
      </c>
      <c r="P479" s="8">
        <v>9131</v>
      </c>
      <c r="Q479" s="8">
        <v>8850</v>
      </c>
      <c r="R479" s="8">
        <v>8666</v>
      </c>
      <c r="S479" s="8">
        <v>8548</v>
      </c>
      <c r="T479" s="8">
        <v>8889</v>
      </c>
      <c r="U479" s="8">
        <v>8951</v>
      </c>
      <c r="V479" s="8">
        <v>8751</v>
      </c>
      <c r="W479" s="8">
        <v>8036</v>
      </c>
      <c r="X479" s="8">
        <v>8040</v>
      </c>
      <c r="Y479" s="8">
        <v>8030</v>
      </c>
      <c r="Z479" s="8">
        <v>8087</v>
      </c>
      <c r="AA479" s="8">
        <v>8027</v>
      </c>
      <c r="AB479" s="8">
        <v>7907</v>
      </c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</row>
    <row r="480" spans="1:47" ht="14.4">
      <c r="A480" s="3">
        <f>LOOKUP(D480,'AMFI DATA_2023H2'!F:L,'AMFI DATA_2023H2'!L:L)</f>
        <v>485</v>
      </c>
      <c r="B480" s="4" t="s">
        <v>1440</v>
      </c>
      <c r="C480" s="4" t="s">
        <v>1441</v>
      </c>
      <c r="D480" s="5" t="s">
        <v>1442</v>
      </c>
      <c r="E480" s="5">
        <v>5711.41</v>
      </c>
      <c r="F480" s="6">
        <f>LOOKUP(D480,'AMFI DATA_2023H2'!F:J,'AMFI DATA_2023H2'!J:J)</f>
        <v>7656.4718499999999</v>
      </c>
      <c r="G480" s="7">
        <f t="shared" si="1"/>
        <v>-1</v>
      </c>
      <c r="H480" s="8"/>
      <c r="I480" s="8">
        <v>11236</v>
      </c>
      <c r="J480" s="8">
        <v>11015</v>
      </c>
      <c r="K480" s="8">
        <v>11208</v>
      </c>
      <c r="L480" s="8">
        <v>10399</v>
      </c>
      <c r="M480" s="8">
        <v>10775</v>
      </c>
      <c r="N480" s="8">
        <v>11058</v>
      </c>
      <c r="O480" s="8">
        <v>11176</v>
      </c>
      <c r="P480" s="8">
        <v>11041</v>
      </c>
      <c r="Q480" s="8">
        <v>9570</v>
      </c>
      <c r="R480" s="8">
        <v>9806</v>
      </c>
      <c r="S480" s="8">
        <v>9309</v>
      </c>
      <c r="T480" s="8">
        <v>9043</v>
      </c>
      <c r="U480" s="8">
        <v>9060</v>
      </c>
      <c r="V480" s="8">
        <v>9043</v>
      </c>
      <c r="W480" s="8">
        <v>8927</v>
      </c>
      <c r="X480" s="8">
        <v>8652</v>
      </c>
      <c r="Y480" s="8">
        <v>8687</v>
      </c>
      <c r="Z480" s="8">
        <v>8829</v>
      </c>
      <c r="AA480" s="8">
        <v>8946</v>
      </c>
      <c r="AB480" s="8">
        <v>8743</v>
      </c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spans="1:47" ht="14.4">
      <c r="A481" s="3">
        <f>LOOKUP(D481,'AMFI DATA_2023H2'!F:L,'AMFI DATA_2023H2'!L:L)</f>
        <v>486</v>
      </c>
      <c r="B481" s="4" t="s">
        <v>1443</v>
      </c>
      <c r="C481" s="4" t="s">
        <v>1444</v>
      </c>
      <c r="D481" s="5" t="s">
        <v>1445</v>
      </c>
      <c r="E481" s="5">
        <v>5364.55</v>
      </c>
      <c r="F481" s="6">
        <f>LOOKUP(D481,'AMFI DATA_2023H2'!F:J,'AMFI DATA_2023H2'!J:J)</f>
        <v>7640.8702499999999</v>
      </c>
      <c r="G481" s="7">
        <f t="shared" si="1"/>
        <v>-1</v>
      </c>
      <c r="H481" s="8"/>
      <c r="I481" s="8">
        <v>9251</v>
      </c>
      <c r="J481" s="8">
        <v>9185</v>
      </c>
      <c r="K481" s="8">
        <v>8916</v>
      </c>
      <c r="L481" s="8">
        <v>9172</v>
      </c>
      <c r="M481" s="8">
        <v>9155</v>
      </c>
      <c r="N481" s="8">
        <v>9038</v>
      </c>
      <c r="O481" s="8">
        <v>9027</v>
      </c>
      <c r="P481" s="8">
        <v>8873</v>
      </c>
      <c r="Q481" s="8">
        <v>8788</v>
      </c>
      <c r="R481" s="8">
        <v>8717</v>
      </c>
      <c r="S481" s="8">
        <v>8653</v>
      </c>
      <c r="T481" s="8">
        <v>8473</v>
      </c>
      <c r="U481" s="8">
        <v>8379</v>
      </c>
      <c r="V481" s="8">
        <v>8219</v>
      </c>
      <c r="W481" s="8">
        <v>8251</v>
      </c>
      <c r="X481" s="8">
        <v>8226</v>
      </c>
      <c r="Y481" s="8">
        <v>8413</v>
      </c>
      <c r="Z481" s="8">
        <v>8582</v>
      </c>
      <c r="AA481" s="8">
        <v>8584</v>
      </c>
      <c r="AB481" s="8">
        <v>8393</v>
      </c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</row>
    <row r="482" spans="1:47" ht="14.4">
      <c r="A482" s="3">
        <f>LOOKUP(D482,'AMFI DATA_2023H2'!F:L,'AMFI DATA_2023H2'!L:L)</f>
        <v>487</v>
      </c>
      <c r="B482" s="4" t="s">
        <v>1446</v>
      </c>
      <c r="C482" s="4" t="s">
        <v>1447</v>
      </c>
      <c r="D482" s="5" t="s">
        <v>1448</v>
      </c>
      <c r="E482" s="5">
        <v>6686.11</v>
      </c>
      <c r="F482" s="6">
        <f>LOOKUP(D482,'AMFI DATA_2023H2'!F:J,'AMFI DATA_2023H2'!J:J)</f>
        <v>7628.7255000000005</v>
      </c>
      <c r="G482" s="7">
        <f t="shared" si="1"/>
        <v>-1</v>
      </c>
      <c r="H482" s="8"/>
      <c r="I482" s="8">
        <v>8209</v>
      </c>
      <c r="J482" s="8">
        <v>8017</v>
      </c>
      <c r="K482" s="8">
        <v>8032</v>
      </c>
      <c r="L482" s="8">
        <v>7861</v>
      </c>
      <c r="M482" s="8">
        <v>7967</v>
      </c>
      <c r="N482" s="8">
        <v>7703</v>
      </c>
      <c r="O482" s="8">
        <v>8229</v>
      </c>
      <c r="P482" s="8">
        <v>8278</v>
      </c>
      <c r="Q482" s="8">
        <v>8503</v>
      </c>
      <c r="R482" s="8">
        <v>8456</v>
      </c>
      <c r="S482" s="8">
        <v>8554</v>
      </c>
      <c r="T482" s="8">
        <v>8687</v>
      </c>
      <c r="U482" s="8">
        <v>8730</v>
      </c>
      <c r="V482" s="8">
        <v>8813</v>
      </c>
      <c r="W482" s="8">
        <v>8575</v>
      </c>
      <c r="X482" s="8">
        <v>8577</v>
      </c>
      <c r="Y482" s="8">
        <v>8534</v>
      </c>
      <c r="Z482" s="8">
        <v>8515</v>
      </c>
      <c r="AA482" s="8">
        <v>8687</v>
      </c>
      <c r="AB482" s="8">
        <v>8783</v>
      </c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</row>
    <row r="483" spans="1:47" ht="14.4">
      <c r="A483" s="3">
        <f>LOOKUP(D483,'AMFI DATA_2023H2'!F:L,'AMFI DATA_2023H2'!L:L)</f>
        <v>488</v>
      </c>
      <c r="B483" s="4" t="s">
        <v>1449</v>
      </c>
      <c r="C483" s="4" t="s">
        <v>1450</v>
      </c>
      <c r="D483" s="5" t="s">
        <v>1451</v>
      </c>
      <c r="E483" s="5">
        <v>4754.8</v>
      </c>
      <c r="F483" s="6">
        <f>LOOKUP(D483,'AMFI DATA_2023H2'!F:J,'AMFI DATA_2023H2'!J:J)</f>
        <v>7605.84195</v>
      </c>
      <c r="G483" s="7">
        <f t="shared" si="1"/>
        <v>-1</v>
      </c>
      <c r="H483" s="8"/>
      <c r="I483" s="8">
        <v>10216</v>
      </c>
      <c r="J483" s="8">
        <v>10155</v>
      </c>
      <c r="K483" s="8">
        <v>10185</v>
      </c>
      <c r="L483" s="8">
        <v>10202</v>
      </c>
      <c r="M483" s="8">
        <v>10388</v>
      </c>
      <c r="N483" s="8">
        <v>10072</v>
      </c>
      <c r="O483" s="8">
        <v>10125</v>
      </c>
      <c r="P483" s="8">
        <v>10018</v>
      </c>
      <c r="Q483" s="8">
        <v>9945</v>
      </c>
      <c r="R483" s="8">
        <v>10052</v>
      </c>
      <c r="S483" s="8">
        <v>9556</v>
      </c>
      <c r="T483" s="8">
        <v>9705</v>
      </c>
      <c r="U483" s="8">
        <v>8931</v>
      </c>
      <c r="V483" s="8">
        <v>9000</v>
      </c>
      <c r="W483" s="8">
        <v>9022</v>
      </c>
      <c r="X483" s="8">
        <v>8976</v>
      </c>
      <c r="Y483" s="8">
        <v>8908</v>
      </c>
      <c r="Z483" s="8">
        <v>9050</v>
      </c>
      <c r="AA483" s="8">
        <v>8958</v>
      </c>
      <c r="AB483" s="8">
        <v>8805</v>
      </c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</row>
    <row r="484" spans="1:47" ht="14.4">
      <c r="A484" s="3">
        <f>LOOKUP(D484,'AMFI DATA_2023H2'!F:L,'AMFI DATA_2023H2'!L:L)</f>
        <v>489</v>
      </c>
      <c r="B484" s="4" t="s">
        <v>1452</v>
      </c>
      <c r="C484" s="4" t="s">
        <v>1453</v>
      </c>
      <c r="D484" s="5" t="s">
        <v>1454</v>
      </c>
      <c r="E484" s="5">
        <v>6620.06</v>
      </c>
      <c r="F484" s="6">
        <f>LOOKUP(D484,'AMFI DATA_2023H2'!F:J,'AMFI DATA_2023H2'!J:J)</f>
        <v>7559.8116</v>
      </c>
      <c r="G484" s="7">
        <f t="shared" si="1"/>
        <v>-1</v>
      </c>
      <c r="H484" s="8"/>
      <c r="I484" s="8">
        <v>7690</v>
      </c>
      <c r="J484" s="8">
        <v>7727</v>
      </c>
      <c r="K484" s="8">
        <v>7818</v>
      </c>
      <c r="L484" s="8">
        <v>7850</v>
      </c>
      <c r="M484" s="8">
        <v>7905</v>
      </c>
      <c r="N484" s="8">
        <v>7987</v>
      </c>
      <c r="O484" s="8">
        <v>8126</v>
      </c>
      <c r="P484" s="8">
        <v>8056</v>
      </c>
      <c r="Q484" s="8">
        <v>8080</v>
      </c>
      <c r="R484" s="8">
        <v>8131</v>
      </c>
      <c r="S484" s="8">
        <v>8196</v>
      </c>
      <c r="T484" s="8">
        <v>8402</v>
      </c>
      <c r="U484" s="8">
        <v>8168</v>
      </c>
      <c r="V484" s="8">
        <v>8274</v>
      </c>
      <c r="W484" s="8">
        <v>8305</v>
      </c>
      <c r="X484" s="8">
        <v>8225</v>
      </c>
      <c r="Y484" s="8">
        <v>8188</v>
      </c>
      <c r="Z484" s="8">
        <v>8093</v>
      </c>
      <c r="AA484" s="8">
        <v>8168</v>
      </c>
      <c r="AB484" s="8">
        <v>8122</v>
      </c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</row>
    <row r="485" spans="1:47" ht="14.4">
      <c r="A485" s="3">
        <f>LOOKUP(D485,'AMFI DATA_2023H2'!F:L,'AMFI DATA_2023H2'!L:L)</f>
        <v>490</v>
      </c>
      <c r="B485" s="4" t="s">
        <v>1455</v>
      </c>
      <c r="C485" s="4" t="s">
        <v>1456</v>
      </c>
      <c r="D485" s="5" t="s">
        <v>1457</v>
      </c>
      <c r="E485" s="5">
        <v>4039.44</v>
      </c>
      <c r="F485" s="6">
        <f>LOOKUP(D485,'AMFI DATA_2023H2'!F:J,'AMFI DATA_2023H2'!J:J)</f>
        <v>7517.7687999999998</v>
      </c>
      <c r="G485" s="7">
        <f t="shared" si="1"/>
        <v>-1</v>
      </c>
      <c r="H485" s="8"/>
      <c r="I485" s="8">
        <v>9023</v>
      </c>
      <c r="J485" s="8">
        <v>8623</v>
      </c>
      <c r="K485" s="8">
        <v>8778</v>
      </c>
      <c r="L485" s="8">
        <v>8908</v>
      </c>
      <c r="M485" s="8">
        <v>8728</v>
      </c>
      <c r="N485" s="8">
        <v>8720</v>
      </c>
      <c r="O485" s="8">
        <v>8910</v>
      </c>
      <c r="P485" s="8">
        <v>8600</v>
      </c>
      <c r="Q485" s="8">
        <v>8632</v>
      </c>
      <c r="R485" s="8">
        <v>8834</v>
      </c>
      <c r="S485" s="8">
        <v>8850</v>
      </c>
      <c r="T485" s="8">
        <v>8882</v>
      </c>
      <c r="U485" s="8">
        <v>8820</v>
      </c>
      <c r="V485" s="8">
        <v>8815</v>
      </c>
      <c r="W485" s="8">
        <v>8950</v>
      </c>
      <c r="X485" s="8">
        <v>8915</v>
      </c>
      <c r="Y485" s="8">
        <v>8758</v>
      </c>
      <c r="Z485" s="8">
        <v>8827</v>
      </c>
      <c r="AA485" s="8">
        <v>8665</v>
      </c>
      <c r="AB485" s="8">
        <v>8827</v>
      </c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spans="1:47" ht="14.4">
      <c r="A486" s="3">
        <f>LOOKUP(D486,'AMFI DATA_2023H2'!F:L,'AMFI DATA_2023H2'!L:L)</f>
        <v>491</v>
      </c>
      <c r="B486" s="4" t="s">
        <v>1458</v>
      </c>
      <c r="C486" s="4" t="s">
        <v>1459</v>
      </c>
      <c r="D486" s="5" t="s">
        <v>1460</v>
      </c>
      <c r="E486" s="5">
        <v>6272.74</v>
      </c>
      <c r="F486" s="6">
        <f>LOOKUP(D486,'AMFI DATA_2023H2'!F:J,'AMFI DATA_2023H2'!J:J)</f>
        <v>7514.9492</v>
      </c>
      <c r="G486" s="7">
        <f t="shared" si="1"/>
        <v>-1</v>
      </c>
      <c r="H486" s="8"/>
      <c r="I486" s="8">
        <v>13299</v>
      </c>
      <c r="J486" s="8">
        <v>13218</v>
      </c>
      <c r="K486" s="8">
        <v>13561</v>
      </c>
      <c r="L486" s="8">
        <v>12396</v>
      </c>
      <c r="M486" s="8">
        <v>12867</v>
      </c>
      <c r="N486" s="8">
        <v>13003</v>
      </c>
      <c r="O486" s="8">
        <v>13695</v>
      </c>
      <c r="P486" s="8">
        <v>12497</v>
      </c>
      <c r="Q486" s="8">
        <v>10415</v>
      </c>
      <c r="R486" s="8">
        <v>10491</v>
      </c>
      <c r="S486" s="8">
        <v>9733</v>
      </c>
      <c r="T486" s="8">
        <v>9449</v>
      </c>
      <c r="U486" s="8">
        <v>9395</v>
      </c>
      <c r="V486" s="8">
        <v>9382</v>
      </c>
      <c r="W486" s="8">
        <v>9262</v>
      </c>
      <c r="X486" s="8">
        <v>9140</v>
      </c>
      <c r="Y486" s="8">
        <v>9227</v>
      </c>
      <c r="Z486" s="8">
        <v>9299</v>
      </c>
      <c r="AA486" s="8">
        <v>9296</v>
      </c>
      <c r="AB486" s="8">
        <v>9014</v>
      </c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spans="1:47" ht="14.4">
      <c r="A487" s="3">
        <f>LOOKUP(D487,'AMFI DATA_2023H2'!F:L,'AMFI DATA_2023H2'!L:L)</f>
        <v>492</v>
      </c>
      <c r="B487" s="4" t="s">
        <v>1461</v>
      </c>
      <c r="C487" s="4" t="s">
        <v>1462</v>
      </c>
      <c r="D487" s="5" t="s">
        <v>1463</v>
      </c>
      <c r="E487" s="5">
        <v>3683.62</v>
      </c>
      <c r="F487" s="6">
        <f>LOOKUP(D487,'AMFI DATA_2023H2'!F:J,'AMFI DATA_2023H2'!J:J)</f>
        <v>7469.4261500000002</v>
      </c>
      <c r="G487" s="7">
        <f t="shared" si="1"/>
        <v>-1</v>
      </c>
      <c r="H487" s="8"/>
      <c r="I487" s="8">
        <v>7288</v>
      </c>
      <c r="J487" s="8">
        <v>7353</v>
      </c>
      <c r="K487" s="8">
        <v>7376</v>
      </c>
      <c r="L487" s="8">
        <v>7434</v>
      </c>
      <c r="M487" s="8">
        <v>7515</v>
      </c>
      <c r="N487" s="8">
        <v>7599</v>
      </c>
      <c r="O487" s="8">
        <v>7575</v>
      </c>
      <c r="P487" s="8">
        <v>7748</v>
      </c>
      <c r="Q487" s="8">
        <v>7732</v>
      </c>
      <c r="R487" s="8">
        <v>7901</v>
      </c>
      <c r="S487" s="8">
        <v>7954</v>
      </c>
      <c r="T487" s="8">
        <v>8170</v>
      </c>
      <c r="U487" s="8">
        <v>8061</v>
      </c>
      <c r="V487" s="8">
        <v>8133</v>
      </c>
      <c r="W487" s="8">
        <v>8256</v>
      </c>
      <c r="X487" s="8">
        <v>8087</v>
      </c>
      <c r="Y487" s="8">
        <v>8190</v>
      </c>
      <c r="Z487" s="8">
        <v>8296</v>
      </c>
      <c r="AA487" s="8">
        <v>8192</v>
      </c>
      <c r="AB487" s="8">
        <v>8198</v>
      </c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spans="1:47" ht="14.4">
      <c r="A488" s="3">
        <f>LOOKUP(D488,'AMFI DATA_2023H2'!F:L,'AMFI DATA_2023H2'!L:L)</f>
        <v>493</v>
      </c>
      <c r="B488" s="4" t="s">
        <v>1464</v>
      </c>
      <c r="C488" s="4" t="s">
        <v>1465</v>
      </c>
      <c r="D488" s="5" t="s">
        <v>1466</v>
      </c>
      <c r="E488" s="5">
        <v>7051.96</v>
      </c>
      <c r="F488" s="6">
        <f>LOOKUP(D488,'AMFI DATA_2023H2'!F:J,'AMFI DATA_2023H2'!J:J)</f>
        <v>7462.8188499999997</v>
      </c>
      <c r="G488" s="7">
        <f t="shared" si="1"/>
        <v>-1</v>
      </c>
      <c r="H488" s="8"/>
      <c r="I488" s="8">
        <v>7358</v>
      </c>
      <c r="J488" s="8">
        <v>7239</v>
      </c>
      <c r="K488" s="8">
        <v>7228</v>
      </c>
      <c r="L488" s="8">
        <v>7325</v>
      </c>
      <c r="M488" s="8">
        <v>7335</v>
      </c>
      <c r="N488" s="8">
        <v>7364</v>
      </c>
      <c r="O488" s="8">
        <v>7396</v>
      </c>
      <c r="P488" s="8">
        <v>7298</v>
      </c>
      <c r="Q488" s="8">
        <v>7287</v>
      </c>
      <c r="R488" s="8">
        <v>7311</v>
      </c>
      <c r="S488" s="8">
        <v>7461</v>
      </c>
      <c r="T488" s="8">
        <v>7298</v>
      </c>
      <c r="U488" s="8">
        <v>7304</v>
      </c>
      <c r="V488" s="8">
        <v>7377</v>
      </c>
      <c r="W488" s="8">
        <v>7263</v>
      </c>
      <c r="X488" s="8">
        <v>7254</v>
      </c>
      <c r="Y488" s="8">
        <v>7256</v>
      </c>
      <c r="Z488" s="8">
        <v>7316</v>
      </c>
      <c r="AA488" s="8">
        <v>7474</v>
      </c>
      <c r="AB488" s="8">
        <v>7326</v>
      </c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</row>
    <row r="489" spans="1:47" ht="14.4">
      <c r="A489" s="3">
        <f>LOOKUP(D489,'AMFI DATA_2023H2'!F:L,'AMFI DATA_2023H2'!L:L)</f>
        <v>494</v>
      </c>
      <c r="B489" s="4" t="s">
        <v>1467</v>
      </c>
      <c r="C489" s="4" t="s">
        <v>1468</v>
      </c>
      <c r="D489" s="5" t="s">
        <v>1469</v>
      </c>
      <c r="E489" s="5">
        <v>5319.51</v>
      </c>
      <c r="F489" s="6">
        <f>LOOKUP(D489,'AMFI DATA_2023H2'!F:J,'AMFI DATA_2023H2'!J:J)</f>
        <v>7461.0482499999998</v>
      </c>
      <c r="G489" s="7">
        <f t="shared" si="1"/>
        <v>-1</v>
      </c>
      <c r="H489" s="8"/>
      <c r="I489" s="8">
        <v>10042</v>
      </c>
      <c r="J489" s="8">
        <v>10105</v>
      </c>
      <c r="K489" s="8">
        <v>9868</v>
      </c>
      <c r="L489" s="8">
        <v>9979</v>
      </c>
      <c r="M489" s="8">
        <v>9954</v>
      </c>
      <c r="N489" s="8">
        <v>10220</v>
      </c>
      <c r="O489" s="8">
        <v>10131</v>
      </c>
      <c r="P489" s="8">
        <v>9808</v>
      </c>
      <c r="Q489" s="8">
        <v>9558</v>
      </c>
      <c r="R489" s="8">
        <v>9526</v>
      </c>
      <c r="S489" s="8">
        <v>9619</v>
      </c>
      <c r="T489" s="8">
        <v>9724</v>
      </c>
      <c r="U489" s="8">
        <v>9616</v>
      </c>
      <c r="V489" s="8">
        <v>9620</v>
      </c>
      <c r="W489" s="8">
        <v>9582</v>
      </c>
      <c r="X489" s="8">
        <v>9468</v>
      </c>
      <c r="Y489" s="8">
        <v>9568</v>
      </c>
      <c r="Z489" s="8">
        <v>9560</v>
      </c>
      <c r="AA489" s="8">
        <v>9716</v>
      </c>
      <c r="AB489" s="8">
        <v>9554</v>
      </c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spans="1:47" ht="14.4">
      <c r="A490" s="3">
        <f>LOOKUP(D490,'AMFI DATA_2023H2'!F:L,'AMFI DATA_2023H2'!L:L)</f>
        <v>495</v>
      </c>
      <c r="B490" s="4" t="s">
        <v>1470</v>
      </c>
      <c r="C490" s="4" t="s">
        <v>1471</v>
      </c>
      <c r="D490" s="5" t="s">
        <v>1472</v>
      </c>
      <c r="E490" s="5">
        <v>6378.13</v>
      </c>
      <c r="F490" s="6">
        <f>LOOKUP(D490,'AMFI DATA_2023H2'!F:J,'AMFI DATA_2023H2'!J:J)</f>
        <v>7447.9284499999994</v>
      </c>
      <c r="G490" s="7">
        <f t="shared" si="1"/>
        <v>-1</v>
      </c>
      <c r="H490" s="8"/>
      <c r="I490" s="8">
        <v>7493</v>
      </c>
      <c r="J490" s="8">
        <v>7325</v>
      </c>
      <c r="K490" s="8">
        <v>7192</v>
      </c>
      <c r="L490" s="8">
        <v>7282</v>
      </c>
      <c r="M490" s="8">
        <v>7355</v>
      </c>
      <c r="N490" s="8">
        <v>7314</v>
      </c>
      <c r="O490" s="8">
        <v>7278</v>
      </c>
      <c r="P490" s="8">
        <v>7405</v>
      </c>
      <c r="Q490" s="8">
        <v>7468</v>
      </c>
      <c r="R490" s="8">
        <v>7430</v>
      </c>
      <c r="S490" s="8">
        <v>7464</v>
      </c>
      <c r="T490" s="8">
        <v>7464</v>
      </c>
      <c r="U490" s="8">
        <v>7421</v>
      </c>
      <c r="V490" s="8">
        <v>7434</v>
      </c>
      <c r="W490" s="8">
        <v>7557</v>
      </c>
      <c r="X490" s="8">
        <v>7560</v>
      </c>
      <c r="Y490" s="8">
        <v>7574</v>
      </c>
      <c r="Z490" s="8">
        <v>7365</v>
      </c>
      <c r="AA490" s="8">
        <v>7324</v>
      </c>
      <c r="AB490" s="8">
        <v>7249</v>
      </c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</row>
    <row r="491" spans="1:47" ht="14.4">
      <c r="A491" s="3">
        <f>LOOKUP(D491,'AMFI DATA_2023H2'!F:L,'AMFI DATA_2023H2'!L:L)</f>
        <v>496</v>
      </c>
      <c r="B491" s="4" t="s">
        <v>1473</v>
      </c>
      <c r="C491" s="4" t="s">
        <v>1474</v>
      </c>
      <c r="D491" s="5" t="s">
        <v>1475</v>
      </c>
      <c r="E491" s="5">
        <v>4243.3100000000004</v>
      </c>
      <c r="F491" s="6">
        <f>LOOKUP(D491,'AMFI DATA_2023H2'!F:J,'AMFI DATA_2023H2'!J:J)</f>
        <v>7444.3107</v>
      </c>
      <c r="G491" s="7">
        <f t="shared" si="1"/>
        <v>-1</v>
      </c>
      <c r="H491" s="8"/>
      <c r="I491" s="8">
        <v>10274</v>
      </c>
      <c r="J491" s="8">
        <v>10329</v>
      </c>
      <c r="K491" s="8">
        <v>10230</v>
      </c>
      <c r="L491" s="8">
        <v>10360</v>
      </c>
      <c r="M491" s="8">
        <v>10629</v>
      </c>
      <c r="N491" s="8">
        <v>10629</v>
      </c>
      <c r="O491" s="8">
        <v>10357</v>
      </c>
      <c r="P491" s="8">
        <v>10348</v>
      </c>
      <c r="Q491" s="8">
        <v>10329</v>
      </c>
      <c r="R491" s="8">
        <v>10277</v>
      </c>
      <c r="S491" s="8">
        <v>10326</v>
      </c>
      <c r="T491" s="8">
        <v>10023</v>
      </c>
      <c r="U491" s="8">
        <v>10063</v>
      </c>
      <c r="V491" s="8">
        <v>9891</v>
      </c>
      <c r="W491" s="8">
        <v>9669</v>
      </c>
      <c r="X491" s="8">
        <v>9556</v>
      </c>
      <c r="Y491" s="8">
        <v>9472</v>
      </c>
      <c r="Z491" s="8">
        <v>9579</v>
      </c>
      <c r="AA491" s="8">
        <v>9689</v>
      </c>
      <c r="AB491" s="8">
        <v>9825</v>
      </c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spans="1:47" ht="14.4">
      <c r="A492" s="3">
        <f>LOOKUP(D492,'AMFI DATA_2023H2'!F:L,'AMFI DATA_2023H2'!L:L)</f>
        <v>497</v>
      </c>
      <c r="B492" s="4" t="s">
        <v>1476</v>
      </c>
      <c r="C492" s="4" t="s">
        <v>1477</v>
      </c>
      <c r="D492" s="5" t="s">
        <v>1478</v>
      </c>
      <c r="E492" s="5">
        <v>6713.78</v>
      </c>
      <c r="F492" s="6">
        <f>LOOKUP(D492,'AMFI DATA_2023H2'!F:J,'AMFI DATA_2023H2'!J:J)</f>
        <v>7402.7695000000003</v>
      </c>
      <c r="G492" s="7">
        <f t="shared" si="1"/>
        <v>-1</v>
      </c>
      <c r="H492" s="8"/>
      <c r="I492" s="8">
        <v>7732</v>
      </c>
      <c r="J492" s="8">
        <v>7701</v>
      </c>
      <c r="K492" s="8">
        <v>7780</v>
      </c>
      <c r="L492" s="8">
        <v>7757</v>
      </c>
      <c r="M492" s="8">
        <v>7852</v>
      </c>
      <c r="N492" s="8">
        <v>7902</v>
      </c>
      <c r="O492" s="8">
        <v>7845</v>
      </c>
      <c r="P492" s="8">
        <v>7803</v>
      </c>
      <c r="Q492" s="8">
        <v>8020</v>
      </c>
      <c r="R492" s="8">
        <v>7915</v>
      </c>
      <c r="S492" s="8">
        <v>8166</v>
      </c>
      <c r="T492" s="8">
        <v>8174</v>
      </c>
      <c r="U492" s="8">
        <v>8047</v>
      </c>
      <c r="V492" s="8">
        <v>7939</v>
      </c>
      <c r="W492" s="8">
        <v>7720</v>
      </c>
      <c r="X492" s="8">
        <v>7893</v>
      </c>
      <c r="Y492" s="8">
        <v>7981</v>
      </c>
      <c r="Z492" s="8">
        <v>7915</v>
      </c>
      <c r="AA492" s="8">
        <v>7951</v>
      </c>
      <c r="AB492" s="8">
        <v>8111</v>
      </c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spans="1:47" ht="14.4">
      <c r="A493" s="3">
        <f>LOOKUP(D493,'AMFI DATA_2023H2'!F:L,'AMFI DATA_2023H2'!L:L)</f>
        <v>498</v>
      </c>
      <c r="B493" s="4" t="s">
        <v>1479</v>
      </c>
      <c r="C493" s="4" t="s">
        <v>1480</v>
      </c>
      <c r="D493" s="5" t="s">
        <v>1481</v>
      </c>
      <c r="E493" s="5">
        <v>4262.38</v>
      </c>
      <c r="F493" s="6">
        <f>LOOKUP(D493,'AMFI DATA_2023H2'!F:J,'AMFI DATA_2023H2'!J:J)</f>
        <v>7338.1307999999999</v>
      </c>
      <c r="G493" s="7">
        <f t="shared" si="1"/>
        <v>-1</v>
      </c>
      <c r="H493" s="8"/>
      <c r="I493" s="8">
        <v>11550</v>
      </c>
      <c r="J493" s="8">
        <v>11159</v>
      </c>
      <c r="K493" s="8">
        <v>10559</v>
      </c>
      <c r="L493" s="8">
        <v>10571</v>
      </c>
      <c r="M493" s="8">
        <v>10583</v>
      </c>
      <c r="N493" s="8">
        <v>10551</v>
      </c>
      <c r="O493" s="8">
        <v>10283</v>
      </c>
      <c r="P493" s="8">
        <v>10223</v>
      </c>
      <c r="Q493" s="8">
        <v>10356</v>
      </c>
      <c r="R493" s="8">
        <v>10278</v>
      </c>
      <c r="S493" s="8">
        <v>10246</v>
      </c>
      <c r="T493" s="8">
        <v>10370</v>
      </c>
      <c r="U493" s="8">
        <v>10347</v>
      </c>
      <c r="V493" s="8">
        <v>10419</v>
      </c>
      <c r="W493" s="8">
        <v>10253</v>
      </c>
      <c r="X493" s="8">
        <v>9784</v>
      </c>
      <c r="Y493" s="8">
        <v>9470</v>
      </c>
      <c r="Z493" s="8">
        <v>9278</v>
      </c>
      <c r="AA493" s="8">
        <v>9288</v>
      </c>
      <c r="AB493" s="8">
        <v>9438</v>
      </c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</row>
    <row r="494" spans="1:47" ht="14.4">
      <c r="A494" s="3">
        <f>LOOKUP(D494,'AMFI DATA_2023H2'!F:L,'AMFI DATA_2023H2'!L:L)</f>
        <v>499</v>
      </c>
      <c r="B494" s="4" t="s">
        <v>1482</v>
      </c>
      <c r="C494" s="4" t="s">
        <v>1483</v>
      </c>
      <c r="D494" s="5" t="s">
        <v>1484</v>
      </c>
      <c r="E494" s="5">
        <v>7052.45</v>
      </c>
      <c r="F494" s="6">
        <f>LOOKUP(D494,'AMFI DATA_2023H2'!F:J,'AMFI DATA_2023H2'!J:J)</f>
        <v>7335.6044499999998</v>
      </c>
      <c r="G494" s="7">
        <f t="shared" si="1"/>
        <v>-1</v>
      </c>
      <c r="H494" s="8"/>
      <c r="I494" s="8">
        <v>7651</v>
      </c>
      <c r="J494" s="8">
        <v>7510</v>
      </c>
      <c r="K494" s="8">
        <v>7572</v>
      </c>
      <c r="L494" s="8">
        <v>7668</v>
      </c>
      <c r="M494" s="8">
        <v>7738</v>
      </c>
      <c r="N494" s="8">
        <v>7764</v>
      </c>
      <c r="O494" s="8">
        <v>7815</v>
      </c>
      <c r="P494" s="8">
        <v>7807</v>
      </c>
      <c r="Q494" s="8">
        <v>7806</v>
      </c>
      <c r="R494" s="8">
        <v>7818</v>
      </c>
      <c r="S494" s="8">
        <v>7948</v>
      </c>
      <c r="T494" s="8">
        <v>8092</v>
      </c>
      <c r="U494" s="8">
        <v>7857</v>
      </c>
      <c r="V494" s="8">
        <v>7946</v>
      </c>
      <c r="W494" s="8">
        <v>8036</v>
      </c>
      <c r="X494" s="8">
        <v>7994</v>
      </c>
      <c r="Y494" s="8">
        <v>8034</v>
      </c>
      <c r="Z494" s="8">
        <v>8103</v>
      </c>
      <c r="AA494" s="8">
        <v>7961</v>
      </c>
      <c r="AB494" s="8">
        <v>7671</v>
      </c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spans="1:47" ht="14.4">
      <c r="A495" s="3">
        <f>LOOKUP(D495,'AMFI DATA_2023H2'!F:L,'AMFI DATA_2023H2'!L:L)</f>
        <v>500</v>
      </c>
      <c r="B495" s="4" t="s">
        <v>1485</v>
      </c>
      <c r="C495" s="4" t="s">
        <v>1486</v>
      </c>
      <c r="D495" s="5" t="s">
        <v>1487</v>
      </c>
      <c r="E495" s="5">
        <v>4783.72</v>
      </c>
      <c r="F495" s="6">
        <f>LOOKUP(D495,'AMFI DATA_2023H2'!F:J,'AMFI DATA_2023H2'!J:J)</f>
        <v>7314.6465499999995</v>
      </c>
      <c r="G495" s="7">
        <f t="shared" si="1"/>
        <v>-1</v>
      </c>
      <c r="H495" s="8"/>
      <c r="I495" s="8">
        <v>11698</v>
      </c>
      <c r="J495" s="8">
        <v>11739</v>
      </c>
      <c r="K495" s="8">
        <v>10524</v>
      </c>
      <c r="L495" s="8">
        <v>10626</v>
      </c>
      <c r="M495" s="8">
        <v>10418</v>
      </c>
      <c r="N495" s="8">
        <v>10050</v>
      </c>
      <c r="O495" s="8">
        <v>9982</v>
      </c>
      <c r="P495" s="8">
        <v>10014</v>
      </c>
      <c r="Q495" s="8">
        <v>10065</v>
      </c>
      <c r="R495" s="8">
        <v>9833</v>
      </c>
      <c r="S495" s="8">
        <v>9927</v>
      </c>
      <c r="T495" s="8">
        <v>9633</v>
      </c>
      <c r="U495" s="8">
        <v>9642</v>
      </c>
      <c r="V495" s="8">
        <v>9693</v>
      </c>
      <c r="W495" s="8">
        <v>9669</v>
      </c>
      <c r="X495" s="8">
        <v>9489</v>
      </c>
      <c r="Y495" s="8">
        <v>9548</v>
      </c>
      <c r="Z495" s="8">
        <v>9590</v>
      </c>
      <c r="AA495" s="8">
        <v>9654</v>
      </c>
      <c r="AB495" s="8">
        <v>9429</v>
      </c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spans="1:47" ht="14.4">
      <c r="A496" s="3">
        <f>LOOKUP(D496,'AMFI DATA_2023H2'!F:L,'AMFI DATA_2023H2'!L:L)</f>
        <v>501</v>
      </c>
      <c r="B496" s="4" t="s">
        <v>1488</v>
      </c>
      <c r="C496" s="4" t="s">
        <v>1489</v>
      </c>
      <c r="D496" s="5" t="s">
        <v>1490</v>
      </c>
      <c r="E496" s="5">
        <v>5651.69</v>
      </c>
      <c r="F496" s="6">
        <f>LOOKUP(D496,'AMFI DATA_2023H2'!F:J,'AMFI DATA_2023H2'!J:J)</f>
        <v>7305.2798000000003</v>
      </c>
      <c r="G496" s="7">
        <f t="shared" si="1"/>
        <v>-1</v>
      </c>
      <c r="H496" s="8"/>
      <c r="I496" s="8">
        <v>11847</v>
      </c>
      <c r="J496" s="8">
        <v>11305</v>
      </c>
      <c r="K496" s="8">
        <v>11245</v>
      </c>
      <c r="L496" s="8">
        <v>11347</v>
      </c>
      <c r="M496" s="8">
        <v>11309</v>
      </c>
      <c r="N496" s="8">
        <v>11444</v>
      </c>
      <c r="O496" s="8">
        <v>11558</v>
      </c>
      <c r="P496" s="8">
        <v>11514</v>
      </c>
      <c r="Q496" s="8">
        <v>11618</v>
      </c>
      <c r="R496" s="8">
        <v>10930</v>
      </c>
      <c r="S496" s="8">
        <v>11341</v>
      </c>
      <c r="T496" s="8">
        <v>11622</v>
      </c>
      <c r="U496" s="8">
        <v>11361</v>
      </c>
      <c r="V496" s="8">
        <v>11410</v>
      </c>
      <c r="W496" s="8">
        <v>10904</v>
      </c>
      <c r="X496" s="8">
        <v>9621</v>
      </c>
      <c r="Y496" s="8">
        <v>9777</v>
      </c>
      <c r="Z496" s="8">
        <v>9229</v>
      </c>
      <c r="AA496" s="8">
        <v>9227</v>
      </c>
      <c r="AB496" s="8">
        <v>8930</v>
      </c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</row>
    <row r="497" spans="1:47" ht="14.4">
      <c r="A497" s="3">
        <f>LOOKUP(D497,'AMFI DATA_2023H2'!F:L,'AMFI DATA_2023H2'!L:L)</f>
        <v>502</v>
      </c>
      <c r="B497" s="4" t="s">
        <v>1491</v>
      </c>
      <c r="C497" s="4" t="s">
        <v>1492</v>
      </c>
      <c r="D497" s="5" t="s">
        <v>1493</v>
      </c>
      <c r="E497" s="5">
        <v>6826.55</v>
      </c>
      <c r="F497" s="6">
        <f>LOOKUP(D497,'AMFI DATA_2023H2'!F:J,'AMFI DATA_2023H2'!J:J)</f>
        <v>7285.5272500000001</v>
      </c>
      <c r="G497" s="7">
        <f t="shared" si="1"/>
        <v>-1</v>
      </c>
      <c r="H497" s="8"/>
      <c r="I497" s="8">
        <v>6866</v>
      </c>
      <c r="J497" s="8">
        <v>6780</v>
      </c>
      <c r="K497" s="8">
        <v>6802</v>
      </c>
      <c r="L497" s="8">
        <v>7021</v>
      </c>
      <c r="M497" s="8">
        <v>6964</v>
      </c>
      <c r="N497" s="8">
        <v>7034</v>
      </c>
      <c r="O497" s="8">
        <v>6842</v>
      </c>
      <c r="P497" s="8">
        <v>6914</v>
      </c>
      <c r="Q497" s="8">
        <v>7028</v>
      </c>
      <c r="R497" s="8">
        <v>7009</v>
      </c>
      <c r="S497" s="8">
        <v>7106</v>
      </c>
      <c r="T497" s="8">
        <v>6985</v>
      </c>
      <c r="U497" s="8">
        <v>7014</v>
      </c>
      <c r="V497" s="8">
        <v>7193</v>
      </c>
      <c r="W497" s="8">
        <v>7162</v>
      </c>
      <c r="X497" s="8">
        <v>7245</v>
      </c>
      <c r="Y497" s="8">
        <v>7362</v>
      </c>
      <c r="Z497" s="8">
        <v>7136</v>
      </c>
      <c r="AA497" s="8">
        <v>7151</v>
      </c>
      <c r="AB497" s="8">
        <v>7146</v>
      </c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spans="1:47" ht="14.4">
      <c r="A498" s="3">
        <f>LOOKUP(D498,'AMFI DATA_2023H2'!F:L,'AMFI DATA_2023H2'!L:L)</f>
        <v>503</v>
      </c>
      <c r="B498" s="4" t="s">
        <v>1494</v>
      </c>
      <c r="C498" s="4" t="s">
        <v>1495</v>
      </c>
      <c r="D498" s="5" t="s">
        <v>1496</v>
      </c>
      <c r="E498" s="5">
        <v>3427.72</v>
      </c>
      <c r="F498" s="6">
        <f>LOOKUP(D498,'AMFI DATA_2023H2'!F:J,'AMFI DATA_2023H2'!J:J)</f>
        <v>7257.7839000000004</v>
      </c>
      <c r="G498" s="7">
        <f t="shared" si="1"/>
        <v>-1</v>
      </c>
      <c r="H498" s="8"/>
      <c r="I498" s="8">
        <v>11608</v>
      </c>
      <c r="J498" s="8">
        <v>11340</v>
      </c>
      <c r="K498" s="8">
        <v>11290</v>
      </c>
      <c r="L498" s="8">
        <v>11031</v>
      </c>
      <c r="M498" s="8">
        <v>11226</v>
      </c>
      <c r="N498" s="8">
        <v>11751</v>
      </c>
      <c r="O498" s="8">
        <v>11685</v>
      </c>
      <c r="P498" s="8">
        <v>11609</v>
      </c>
      <c r="Q498" s="8">
        <v>11604</v>
      </c>
      <c r="R498" s="8">
        <v>11519</v>
      </c>
      <c r="S498" s="8">
        <v>11245</v>
      </c>
      <c r="T498" s="8">
        <v>11134</v>
      </c>
      <c r="U498" s="8">
        <v>10820</v>
      </c>
      <c r="V498" s="8">
        <v>10760</v>
      </c>
      <c r="W498" s="8">
        <v>10716</v>
      </c>
      <c r="X498" s="8">
        <v>10826</v>
      </c>
      <c r="Y498" s="8">
        <v>10457</v>
      </c>
      <c r="Z498" s="8">
        <v>10739</v>
      </c>
      <c r="AA498" s="8">
        <v>10830</v>
      </c>
      <c r="AB498" s="8">
        <v>10773</v>
      </c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spans="1:47" ht="14.4">
      <c r="A499" s="3">
        <f>LOOKUP(D499,'AMFI DATA_2023H2'!F:L,'AMFI DATA_2023H2'!L:L)</f>
        <v>504</v>
      </c>
      <c r="B499" s="4" t="s">
        <v>1497</v>
      </c>
      <c r="C499" s="4" t="s">
        <v>1498</v>
      </c>
      <c r="D499" s="5" t="s">
        <v>1499</v>
      </c>
      <c r="E499" s="5">
        <v>6502.97</v>
      </c>
      <c r="F499" s="6">
        <f>LOOKUP(D499,'AMFI DATA_2023H2'!F:J,'AMFI DATA_2023H2'!J:J)</f>
        <v>7229.5475999999999</v>
      </c>
      <c r="G499" s="7">
        <f t="shared" si="1"/>
        <v>-1</v>
      </c>
      <c r="H499" s="8"/>
      <c r="I499" s="8">
        <v>6657</v>
      </c>
      <c r="J499" s="8">
        <v>6617</v>
      </c>
      <c r="K499" s="8">
        <v>6809</v>
      </c>
      <c r="L499" s="8">
        <v>6886</v>
      </c>
      <c r="M499" s="8">
        <v>7066</v>
      </c>
      <c r="N499" s="8">
        <v>7050</v>
      </c>
      <c r="O499" s="8">
        <v>6997</v>
      </c>
      <c r="P499" s="8">
        <v>6989</v>
      </c>
      <c r="Q499" s="8">
        <v>7057</v>
      </c>
      <c r="R499" s="8">
        <v>7055</v>
      </c>
      <c r="S499" s="8">
        <v>7219</v>
      </c>
      <c r="T499" s="8">
        <v>7228</v>
      </c>
      <c r="U499" s="8">
        <v>7236</v>
      </c>
      <c r="V499" s="8">
        <v>7202</v>
      </c>
      <c r="W499" s="8">
        <v>7156</v>
      </c>
      <c r="X499" s="8">
        <v>7157</v>
      </c>
      <c r="Y499" s="8">
        <v>7197</v>
      </c>
      <c r="Z499" s="8">
        <v>7103</v>
      </c>
      <c r="AA499" s="8">
        <v>7126</v>
      </c>
      <c r="AB499" s="8">
        <v>6743</v>
      </c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spans="1:47" ht="14.4">
      <c r="A500" s="3">
        <f>LOOKUP(D500,'AMFI DATA_2023H2'!F:L,'AMFI DATA_2023H2'!L:L)</f>
        <v>505</v>
      </c>
      <c r="B500" s="4" t="s">
        <v>1500</v>
      </c>
      <c r="C500" s="4" t="s">
        <v>1501</v>
      </c>
      <c r="D500" s="5" t="s">
        <v>1502</v>
      </c>
      <c r="E500" s="5">
        <v>4451.47</v>
      </c>
      <c r="F500" s="6">
        <f>LOOKUP(D500,'AMFI DATA_2023H2'!F:J,'AMFI DATA_2023H2'!J:J)</f>
        <v>7206.9771500000006</v>
      </c>
      <c r="G500" s="7">
        <f t="shared" si="1"/>
        <v>-1</v>
      </c>
      <c r="H500" s="8"/>
      <c r="I500" s="8">
        <v>9515</v>
      </c>
      <c r="J500" s="8">
        <v>9515</v>
      </c>
      <c r="K500" s="8">
        <v>9399</v>
      </c>
      <c r="L500" s="8">
        <v>9440</v>
      </c>
      <c r="M500" s="8">
        <v>9600</v>
      </c>
      <c r="N500" s="8">
        <v>9449</v>
      </c>
      <c r="O500" s="8">
        <v>8794</v>
      </c>
      <c r="P500" s="8">
        <v>8239</v>
      </c>
      <c r="Q500" s="8">
        <v>8253</v>
      </c>
      <c r="R500" s="8">
        <v>8107</v>
      </c>
      <c r="S500" s="8">
        <v>8232</v>
      </c>
      <c r="T500" s="8">
        <v>8227</v>
      </c>
      <c r="U500" s="8">
        <v>8168</v>
      </c>
      <c r="V500" s="8">
        <v>8130</v>
      </c>
      <c r="W500" s="8">
        <v>8227</v>
      </c>
      <c r="X500" s="8">
        <v>8114</v>
      </c>
      <c r="Y500" s="8">
        <v>8154</v>
      </c>
      <c r="Z500" s="8">
        <v>8138</v>
      </c>
      <c r="AA500" s="8">
        <v>8183</v>
      </c>
      <c r="AB500" s="8">
        <v>8247</v>
      </c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</row>
    <row r="501" spans="1:47" ht="14.4">
      <c r="A501" s="3">
        <f>LOOKUP(D501,'AMFI DATA_2023H2'!F:L,'AMFI DATA_2023H2'!L:L)</f>
        <v>506</v>
      </c>
      <c r="B501" s="4" t="s">
        <v>1503</v>
      </c>
      <c r="C501" s="4" t="s">
        <v>1504</v>
      </c>
      <c r="D501" s="5" t="s">
        <v>1505</v>
      </c>
      <c r="E501" s="5">
        <v>5688</v>
      </c>
      <c r="F501" s="6">
        <f>LOOKUP(D501,'AMFI DATA_2023H2'!F:J,'AMFI DATA_2023H2'!J:J)</f>
        <v>7201.8575000000001</v>
      </c>
      <c r="G501" s="7">
        <f t="shared" si="1"/>
        <v>-1</v>
      </c>
      <c r="H501" s="8"/>
      <c r="I501" s="8">
        <v>9164</v>
      </c>
      <c r="J501" s="8">
        <v>9262</v>
      </c>
      <c r="K501" s="8">
        <v>9211</v>
      </c>
      <c r="L501" s="8">
        <v>9174</v>
      </c>
      <c r="M501" s="8">
        <v>9514</v>
      </c>
      <c r="N501" s="8">
        <v>9393</v>
      </c>
      <c r="O501" s="8">
        <v>9118</v>
      </c>
      <c r="P501" s="8">
        <v>9111</v>
      </c>
      <c r="Q501" s="8">
        <v>9131</v>
      </c>
      <c r="R501" s="8">
        <v>9161</v>
      </c>
      <c r="S501" s="8">
        <v>9247</v>
      </c>
      <c r="T501" s="8">
        <v>9222</v>
      </c>
      <c r="U501" s="8">
        <v>9211</v>
      </c>
      <c r="V501" s="8">
        <v>9186</v>
      </c>
      <c r="W501" s="8">
        <v>9257</v>
      </c>
      <c r="X501" s="8">
        <v>9234</v>
      </c>
      <c r="Y501" s="8">
        <v>9121</v>
      </c>
      <c r="Z501" s="8">
        <v>9176</v>
      </c>
      <c r="AA501" s="8">
        <v>9181</v>
      </c>
      <c r="AB501" s="8">
        <v>9111</v>
      </c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</row>
    <row r="502" spans="1:47" ht="14.4">
      <c r="A502" s="3">
        <f>LOOKUP(D502,'AMFI DATA_2023H2'!F:L,'AMFI DATA_2023H2'!L:L)</f>
        <v>507</v>
      </c>
      <c r="B502" s="4" t="s">
        <v>1506</v>
      </c>
      <c r="C502" s="4" t="s">
        <v>1507</v>
      </c>
      <c r="D502" s="5" t="s">
        <v>1508</v>
      </c>
      <c r="E502" s="5">
        <v>6961.06</v>
      </c>
      <c r="F502" s="6">
        <f>LOOKUP(D502,'AMFI DATA_2023H2'!F:J,'AMFI DATA_2023H2'!J:J)</f>
        <v>7195.0286999999998</v>
      </c>
      <c r="G502" s="7">
        <f t="shared" si="1"/>
        <v>-1</v>
      </c>
      <c r="H502" s="8"/>
      <c r="I502" s="8">
        <v>7670</v>
      </c>
      <c r="J502" s="8">
        <v>7440</v>
      </c>
      <c r="K502" s="8">
        <v>7564</v>
      </c>
      <c r="L502" s="8">
        <v>7655</v>
      </c>
      <c r="M502" s="8">
        <v>7750</v>
      </c>
      <c r="N502" s="8">
        <v>7946</v>
      </c>
      <c r="O502" s="8">
        <v>7878</v>
      </c>
      <c r="P502" s="8">
        <v>7759</v>
      </c>
      <c r="Q502" s="8">
        <v>7679</v>
      </c>
      <c r="R502" s="8">
        <v>7665</v>
      </c>
      <c r="S502" s="8">
        <v>7949</v>
      </c>
      <c r="T502" s="8">
        <v>7961</v>
      </c>
      <c r="U502" s="8">
        <v>7848</v>
      </c>
      <c r="V502" s="8">
        <v>7900</v>
      </c>
      <c r="W502" s="8">
        <v>8095</v>
      </c>
      <c r="X502" s="8">
        <v>8126</v>
      </c>
      <c r="Y502" s="8">
        <v>8084</v>
      </c>
      <c r="Z502" s="8">
        <v>8044</v>
      </c>
      <c r="AA502" s="8">
        <v>8013</v>
      </c>
      <c r="AB502" s="8">
        <v>7968</v>
      </c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spans="1:47" ht="14.4">
      <c r="A503" s="3">
        <f>LOOKUP(D503,'AMFI DATA_2023H2'!F:L,'AMFI DATA_2023H2'!L:L)</f>
        <v>508</v>
      </c>
      <c r="B503" s="4" t="s">
        <v>1509</v>
      </c>
      <c r="C503" s="4" t="s">
        <v>1510</v>
      </c>
      <c r="D503" s="5" t="s">
        <v>1511</v>
      </c>
      <c r="E503" s="5">
        <v>4503.46</v>
      </c>
      <c r="F503" s="6">
        <f>LOOKUP(D503,'AMFI DATA_2023H2'!F:J,'AMFI DATA_2023H2'!J:J)</f>
        <v>7182.9174000000003</v>
      </c>
      <c r="G503" s="7">
        <f t="shared" si="1"/>
        <v>-1</v>
      </c>
      <c r="H503" s="8"/>
      <c r="I503" s="8">
        <v>11285</v>
      </c>
      <c r="J503" s="8">
        <v>11338</v>
      </c>
      <c r="K503" s="8">
        <v>11380</v>
      </c>
      <c r="L503" s="8">
        <v>11441</v>
      </c>
      <c r="M503" s="8">
        <v>11754</v>
      </c>
      <c r="N503" s="8">
        <v>11777</v>
      </c>
      <c r="O503" s="8">
        <v>11853</v>
      </c>
      <c r="P503" s="8">
        <v>11742</v>
      </c>
      <c r="Q503" s="8">
        <v>11929</v>
      </c>
      <c r="R503" s="8">
        <v>12215</v>
      </c>
      <c r="S503" s="8">
        <v>11967</v>
      </c>
      <c r="T503" s="8">
        <v>11586</v>
      </c>
      <c r="U503" s="8">
        <v>9894</v>
      </c>
      <c r="V503" s="8">
        <v>9185</v>
      </c>
      <c r="W503" s="8">
        <v>9128</v>
      </c>
      <c r="X503" s="8">
        <v>8869</v>
      </c>
      <c r="Y503" s="8">
        <v>8522</v>
      </c>
      <c r="Z503" s="8">
        <v>8613</v>
      </c>
      <c r="AA503" s="8">
        <v>8606</v>
      </c>
      <c r="AB503" s="8">
        <v>8537</v>
      </c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</row>
    <row r="504" spans="1:47" ht="14.4">
      <c r="A504" s="3">
        <f>LOOKUP(D504,'AMFI DATA_2023H2'!F:L,'AMFI DATA_2023H2'!L:L)</f>
        <v>509</v>
      </c>
      <c r="B504" s="4" t="s">
        <v>1512</v>
      </c>
      <c r="C504" s="4" t="s">
        <v>1513</v>
      </c>
      <c r="D504" s="5" t="s">
        <v>1514</v>
      </c>
      <c r="E504" s="5">
        <v>5415.27</v>
      </c>
      <c r="F504" s="6">
        <f>LOOKUP(D504,'AMFI DATA_2023H2'!F:J,'AMFI DATA_2023H2'!J:J)</f>
        <v>7180.7134000000005</v>
      </c>
      <c r="G504" s="7">
        <f t="shared" si="1"/>
        <v>-1</v>
      </c>
      <c r="H504" s="8"/>
      <c r="I504" s="8">
        <v>6646</v>
      </c>
      <c r="J504" s="8">
        <v>6706</v>
      </c>
      <c r="K504" s="8">
        <v>6779</v>
      </c>
      <c r="L504" s="8">
        <v>6832</v>
      </c>
      <c r="M504" s="8">
        <v>6661</v>
      </c>
      <c r="N504" s="8">
        <v>6607</v>
      </c>
      <c r="O504" s="8">
        <v>6610</v>
      </c>
      <c r="P504" s="8">
        <v>6613</v>
      </c>
      <c r="Q504" s="8">
        <v>6634</v>
      </c>
      <c r="R504" s="8">
        <v>6675</v>
      </c>
      <c r="S504" s="8">
        <v>6734</v>
      </c>
      <c r="T504" s="8">
        <v>6732</v>
      </c>
      <c r="U504" s="8">
        <v>6732</v>
      </c>
      <c r="V504" s="8">
        <v>6706</v>
      </c>
      <c r="W504" s="8">
        <v>6808</v>
      </c>
      <c r="X504" s="8">
        <v>6790</v>
      </c>
      <c r="Y504" s="8">
        <v>6782</v>
      </c>
      <c r="Z504" s="8">
        <v>6569</v>
      </c>
      <c r="AA504" s="8">
        <v>6692</v>
      </c>
      <c r="AB504" s="8">
        <v>6880</v>
      </c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</row>
    <row r="505" spans="1:47" ht="14.4">
      <c r="A505" s="3">
        <f>LOOKUP(D505,'AMFI DATA_2023H2'!F:L,'AMFI DATA_2023H2'!L:L)</f>
        <v>510</v>
      </c>
      <c r="B505" s="4" t="s">
        <v>1515</v>
      </c>
      <c r="C505" s="4" t="s">
        <v>1516</v>
      </c>
      <c r="D505" s="5" t="s">
        <v>1517</v>
      </c>
      <c r="E505" s="5">
        <v>3508.28</v>
      </c>
      <c r="F505" s="6">
        <f>LOOKUP(D505,'AMFI DATA_2023H2'!F:J,'AMFI DATA_2023H2'!J:J)</f>
        <v>7177.5290500000001</v>
      </c>
      <c r="G505" s="7">
        <f t="shared" si="1"/>
        <v>-1</v>
      </c>
      <c r="H505" s="8"/>
      <c r="I505" s="8">
        <v>11605</v>
      </c>
      <c r="J505" s="8">
        <v>11702</v>
      </c>
      <c r="K505" s="8">
        <v>12332</v>
      </c>
      <c r="L505" s="8">
        <v>12593</v>
      </c>
      <c r="M505" s="8">
        <v>11994</v>
      </c>
      <c r="N505" s="8">
        <v>11453</v>
      </c>
      <c r="O505" s="8">
        <v>10879</v>
      </c>
      <c r="P505" s="8">
        <v>10820</v>
      </c>
      <c r="Q505" s="8">
        <v>11001</v>
      </c>
      <c r="R505" s="8">
        <v>11211</v>
      </c>
      <c r="S505" s="8">
        <v>11365</v>
      </c>
      <c r="T505" s="8">
        <v>11262</v>
      </c>
      <c r="U505" s="8">
        <v>11048</v>
      </c>
      <c r="V505" s="8">
        <v>11176</v>
      </c>
      <c r="W505" s="8">
        <v>11197</v>
      </c>
      <c r="X505" s="8">
        <v>10994</v>
      </c>
      <c r="Y505" s="8">
        <v>10735</v>
      </c>
      <c r="Z505" s="8">
        <v>10756</v>
      </c>
      <c r="AA505" s="8">
        <v>10586</v>
      </c>
      <c r="AB505" s="8">
        <v>10080</v>
      </c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spans="1:47" ht="14.4">
      <c r="A506" s="3">
        <f>LOOKUP(D506,'AMFI DATA_2023H2'!F:L,'AMFI DATA_2023H2'!L:L)</f>
        <v>511</v>
      </c>
      <c r="B506" s="4" t="s">
        <v>1518</v>
      </c>
      <c r="C506" s="4" t="s">
        <v>1519</v>
      </c>
      <c r="D506" s="5" t="s">
        <v>1520</v>
      </c>
      <c r="E506" s="5">
        <v>4017.15</v>
      </c>
      <c r="F506" s="6">
        <f>LOOKUP(D506,'AMFI DATA_2023H2'!F:J,'AMFI DATA_2023H2'!J:J)</f>
        <v>7162.2813000000006</v>
      </c>
      <c r="G506" s="7">
        <f t="shared" si="1"/>
        <v>-1</v>
      </c>
      <c r="H506" s="8"/>
      <c r="I506" s="8">
        <v>8375</v>
      </c>
      <c r="J506" s="8">
        <v>8183</v>
      </c>
      <c r="K506" s="8">
        <v>8114</v>
      </c>
      <c r="L506" s="8">
        <v>7683</v>
      </c>
      <c r="M506" s="8">
        <v>7876</v>
      </c>
      <c r="N506" s="8">
        <v>7511</v>
      </c>
      <c r="O506" s="8">
        <v>7531</v>
      </c>
      <c r="P506" s="8">
        <v>7448</v>
      </c>
      <c r="Q506" s="8">
        <v>7437</v>
      </c>
      <c r="R506" s="8">
        <v>7531</v>
      </c>
      <c r="S506" s="8">
        <v>7655</v>
      </c>
      <c r="T506" s="8">
        <v>7688</v>
      </c>
      <c r="U506" s="8">
        <v>7634</v>
      </c>
      <c r="V506" s="8">
        <v>7706</v>
      </c>
      <c r="W506" s="8">
        <v>7800</v>
      </c>
      <c r="X506" s="8">
        <v>7835</v>
      </c>
      <c r="Y506" s="8">
        <v>7938</v>
      </c>
      <c r="Z506" s="8">
        <v>7717</v>
      </c>
      <c r="AA506" s="8">
        <v>7702</v>
      </c>
      <c r="AB506" s="8">
        <v>7521</v>
      </c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spans="1:47" ht="14.4">
      <c r="A507" s="3">
        <f>LOOKUP(D507,'AMFI DATA_2023H2'!F:L,'AMFI DATA_2023H2'!L:L)</f>
        <v>512</v>
      </c>
      <c r="B507" s="4" t="s">
        <v>1521</v>
      </c>
      <c r="C507" s="4" t="s">
        <v>1522</v>
      </c>
      <c r="D507" s="5" t="s">
        <v>1523</v>
      </c>
      <c r="E507" s="5">
        <v>6156.86</v>
      </c>
      <c r="F507" s="6">
        <f>LOOKUP(D507,'AMFI DATA_2023H2'!F:J,'AMFI DATA_2023H2'!J:J)</f>
        <v>7160.77225</v>
      </c>
      <c r="G507" s="7">
        <f t="shared" si="1"/>
        <v>-1</v>
      </c>
      <c r="H507" s="8"/>
      <c r="I507" s="8">
        <v>7867</v>
      </c>
      <c r="J507" s="8">
        <v>7709</v>
      </c>
      <c r="K507" s="8">
        <v>7822</v>
      </c>
      <c r="L507" s="8">
        <v>7974</v>
      </c>
      <c r="M507" s="8">
        <v>7972</v>
      </c>
      <c r="N507" s="8">
        <v>8002</v>
      </c>
      <c r="O507" s="8">
        <v>7991</v>
      </c>
      <c r="P507" s="8">
        <v>8025</v>
      </c>
      <c r="Q507" s="8">
        <v>8011</v>
      </c>
      <c r="R507" s="8">
        <v>7983</v>
      </c>
      <c r="S507" s="8">
        <v>8226</v>
      </c>
      <c r="T507" s="8">
        <v>8463</v>
      </c>
      <c r="U507" s="8">
        <v>8143</v>
      </c>
      <c r="V507" s="8">
        <v>8090</v>
      </c>
      <c r="W507" s="8">
        <v>8094</v>
      </c>
      <c r="X507" s="8">
        <v>8023</v>
      </c>
      <c r="Y507" s="8">
        <v>7964</v>
      </c>
      <c r="Z507" s="8">
        <v>8000</v>
      </c>
      <c r="AA507" s="8">
        <v>8090</v>
      </c>
      <c r="AB507" s="8">
        <v>7792</v>
      </c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spans="1:47" ht="14.4">
      <c r="A508" s="3">
        <f>LOOKUP(D508,'AMFI DATA_2023H2'!F:L,'AMFI DATA_2023H2'!L:L)</f>
        <v>513</v>
      </c>
      <c r="B508" s="4" t="s">
        <v>1524</v>
      </c>
      <c r="C508" s="4" t="s">
        <v>1525</v>
      </c>
      <c r="D508" s="5" t="s">
        <v>1526</v>
      </c>
      <c r="E508" s="5">
        <v>7263.66</v>
      </c>
      <c r="F508" s="6">
        <f>LOOKUP(D508,'AMFI DATA_2023H2'!F:J,'AMFI DATA_2023H2'!J:J)</f>
        <v>7142.9126500000002</v>
      </c>
      <c r="G508" s="7">
        <f t="shared" si="1"/>
        <v>-1</v>
      </c>
      <c r="H508" s="8"/>
      <c r="I508" s="8">
        <v>7615</v>
      </c>
      <c r="J508" s="8">
        <v>7406</v>
      </c>
      <c r="K508" s="8">
        <v>7511</v>
      </c>
      <c r="L508" s="8">
        <v>7528</v>
      </c>
      <c r="M508" s="8">
        <v>7660</v>
      </c>
      <c r="N508" s="8">
        <v>7689</v>
      </c>
      <c r="O508" s="8">
        <v>7667</v>
      </c>
      <c r="P508" s="8">
        <v>7786</v>
      </c>
      <c r="Q508" s="8">
        <v>7711</v>
      </c>
      <c r="R508" s="8">
        <v>7854</v>
      </c>
      <c r="S508" s="8">
        <v>7866</v>
      </c>
      <c r="T508" s="8">
        <v>8004</v>
      </c>
      <c r="U508" s="8">
        <v>7982</v>
      </c>
      <c r="V508" s="8">
        <v>7947</v>
      </c>
      <c r="W508" s="8">
        <v>7984</v>
      </c>
      <c r="X508" s="8">
        <v>8050</v>
      </c>
      <c r="Y508" s="8">
        <v>8018</v>
      </c>
      <c r="Z508" s="8">
        <v>8010</v>
      </c>
      <c r="AA508" s="8">
        <v>7948</v>
      </c>
      <c r="AB508" s="8">
        <v>8005</v>
      </c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spans="1:47" ht="14.4">
      <c r="A509" s="3">
        <f>LOOKUP(D509,'AMFI DATA_2023H2'!F:L,'AMFI DATA_2023H2'!L:L)</f>
        <v>514</v>
      </c>
      <c r="B509" s="4" t="s">
        <v>1527</v>
      </c>
      <c r="C509" s="4" t="s">
        <v>1528</v>
      </c>
      <c r="D509" s="5" t="s">
        <v>1529</v>
      </c>
      <c r="E509" s="5">
        <v>5655.79</v>
      </c>
      <c r="F509" s="6">
        <f>LOOKUP(D509,'AMFI DATA_2023H2'!F:J,'AMFI DATA_2023H2'!J:J)</f>
        <v>7134.2601500000001</v>
      </c>
      <c r="G509" s="7">
        <f t="shared" si="1"/>
        <v>-1</v>
      </c>
      <c r="H509" s="8"/>
      <c r="I509" s="8">
        <v>7677</v>
      </c>
      <c r="J509" s="8">
        <v>7693</v>
      </c>
      <c r="K509" s="8">
        <v>7752</v>
      </c>
      <c r="L509" s="8">
        <v>7928</v>
      </c>
      <c r="M509" s="8">
        <v>8043</v>
      </c>
      <c r="N509" s="8">
        <v>8140</v>
      </c>
      <c r="O509" s="8">
        <v>8141</v>
      </c>
      <c r="P509" s="8">
        <v>8176</v>
      </c>
      <c r="Q509" s="8">
        <v>8013</v>
      </c>
      <c r="R509" s="8">
        <v>8162</v>
      </c>
      <c r="S509" s="8">
        <v>8333</v>
      </c>
      <c r="T509" s="8">
        <v>8274</v>
      </c>
      <c r="U509" s="8">
        <v>8218</v>
      </c>
      <c r="V509" s="8">
        <v>8332</v>
      </c>
      <c r="W509" s="8">
        <v>8327</v>
      </c>
      <c r="X509" s="8">
        <v>8401</v>
      </c>
      <c r="Y509" s="8">
        <v>8272</v>
      </c>
      <c r="Z509" s="8">
        <v>8450</v>
      </c>
      <c r="AA509" s="8">
        <v>8464</v>
      </c>
      <c r="AB509" s="8">
        <v>8420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</row>
    <row r="510" spans="1:47" ht="14.4">
      <c r="A510" s="3">
        <f>LOOKUP(D510,'AMFI DATA_2023H2'!F:L,'AMFI DATA_2023H2'!L:L)</f>
        <v>515</v>
      </c>
      <c r="B510" s="4" t="s">
        <v>1530</v>
      </c>
      <c r="C510" s="4" t="s">
        <v>1531</v>
      </c>
      <c r="D510" s="5" t="s">
        <v>1532</v>
      </c>
      <c r="E510" s="5">
        <v>5788.55</v>
      </c>
      <c r="F510" s="6">
        <f>LOOKUP(D510,'AMFI DATA_2023H2'!F:J,'AMFI DATA_2023H2'!J:J)</f>
        <v>7128.3402500000002</v>
      </c>
      <c r="G510" s="7">
        <f t="shared" si="1"/>
        <v>-1</v>
      </c>
      <c r="H510" s="8"/>
      <c r="I510" s="8">
        <v>7007</v>
      </c>
      <c r="J510" s="8">
        <v>7063</v>
      </c>
      <c r="K510" s="8">
        <v>7081</v>
      </c>
      <c r="L510" s="8">
        <v>7135</v>
      </c>
      <c r="M510" s="8">
        <v>7181</v>
      </c>
      <c r="N510" s="8">
        <v>7069</v>
      </c>
      <c r="O510" s="8">
        <v>7019</v>
      </c>
      <c r="P510" s="8">
        <v>7118</v>
      </c>
      <c r="Q510" s="8">
        <v>7097</v>
      </c>
      <c r="R510" s="8">
        <v>7091</v>
      </c>
      <c r="S510" s="8">
        <v>7154</v>
      </c>
      <c r="T510" s="8">
        <v>7118</v>
      </c>
      <c r="U510" s="8">
        <v>7091</v>
      </c>
      <c r="V510" s="8">
        <v>7043</v>
      </c>
      <c r="W510" s="8">
        <v>7110</v>
      </c>
      <c r="X510" s="8">
        <v>7051</v>
      </c>
      <c r="Y510" s="8">
        <v>7090</v>
      </c>
      <c r="Z510" s="8">
        <v>7137</v>
      </c>
      <c r="AA510" s="8">
        <v>6990</v>
      </c>
      <c r="AB510" s="8">
        <v>6977</v>
      </c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spans="1:47" ht="14.4">
      <c r="A511" s="3">
        <f>LOOKUP(D511,'AMFI DATA_2023H2'!F:L,'AMFI DATA_2023H2'!L:L)</f>
        <v>516</v>
      </c>
      <c r="B511" s="4" t="s">
        <v>1533</v>
      </c>
      <c r="C511" s="4" t="s">
        <v>1534</v>
      </c>
      <c r="D511" s="5" t="s">
        <v>1535</v>
      </c>
      <c r="E511" s="5">
        <v>7312.37</v>
      </c>
      <c r="F511" s="6">
        <f>LOOKUP(D511,'AMFI DATA_2023H2'!F:J,'AMFI DATA_2023H2'!J:J)</f>
        <v>7095.2528999999995</v>
      </c>
      <c r="G511" s="7">
        <f t="shared" si="1"/>
        <v>-1</v>
      </c>
      <c r="H511" s="8"/>
      <c r="I511" s="8">
        <v>8100</v>
      </c>
      <c r="J511" s="8">
        <v>7762</v>
      </c>
      <c r="K511" s="8">
        <v>7953</v>
      </c>
      <c r="L511" s="8">
        <v>8092</v>
      </c>
      <c r="M511" s="8">
        <v>8119</v>
      </c>
      <c r="N511" s="8">
        <v>8276</v>
      </c>
      <c r="O511" s="8">
        <v>8089</v>
      </c>
      <c r="P511" s="8">
        <v>8124</v>
      </c>
      <c r="Q511" s="8">
        <v>8182</v>
      </c>
      <c r="R511" s="8">
        <v>8340</v>
      </c>
      <c r="S511" s="8">
        <v>8523</v>
      </c>
      <c r="T511" s="8">
        <v>8658</v>
      </c>
      <c r="U511" s="8">
        <v>8413</v>
      </c>
      <c r="V511" s="8">
        <v>8461</v>
      </c>
      <c r="W511" s="8">
        <v>8735</v>
      </c>
      <c r="X511" s="8">
        <v>8646</v>
      </c>
      <c r="Y511" s="8">
        <v>8446</v>
      </c>
      <c r="Z511" s="8">
        <v>8651</v>
      </c>
      <c r="AA511" s="8">
        <v>8467</v>
      </c>
      <c r="AB511" s="8">
        <v>7663</v>
      </c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spans="1:47" ht="14.4">
      <c r="A512" s="3">
        <f>LOOKUP(D512,'AMFI DATA_2023H2'!F:L,'AMFI DATA_2023H2'!L:L)</f>
        <v>517</v>
      </c>
      <c r="B512" s="4" t="s">
        <v>1536</v>
      </c>
      <c r="C512" s="4" t="s">
        <v>1537</v>
      </c>
      <c r="D512" s="5" t="s">
        <v>1538</v>
      </c>
      <c r="E512" s="5">
        <v>5214.1400000000003</v>
      </c>
      <c r="F512" s="6">
        <f>LOOKUP(D512,'AMFI DATA_2023H2'!F:J,'AMFI DATA_2023H2'!J:J)</f>
        <v>7084.6964500000004</v>
      </c>
      <c r="G512" s="7">
        <f t="shared" ref="G512:G766" si="2">H512/F512-1</f>
        <v>-1</v>
      </c>
      <c r="H512" s="8"/>
      <c r="I512" s="8">
        <v>7226</v>
      </c>
      <c r="J512" s="8">
        <v>6987</v>
      </c>
      <c r="K512" s="8">
        <v>7100</v>
      </c>
      <c r="L512" s="8">
        <v>7163</v>
      </c>
      <c r="M512" s="8">
        <v>7089</v>
      </c>
      <c r="N512" s="8">
        <v>7252</v>
      </c>
      <c r="O512" s="8">
        <v>7217</v>
      </c>
      <c r="P512" s="8">
        <v>7097</v>
      </c>
      <c r="Q512" s="8">
        <v>6863</v>
      </c>
      <c r="R512" s="8">
        <v>6975</v>
      </c>
      <c r="S512" s="8">
        <v>7186</v>
      </c>
      <c r="T512" s="8">
        <v>7219</v>
      </c>
      <c r="U512" s="8">
        <v>7028</v>
      </c>
      <c r="V512" s="8">
        <v>7092</v>
      </c>
      <c r="W512" s="8">
        <v>7133</v>
      </c>
      <c r="X512" s="8">
        <v>7025</v>
      </c>
      <c r="Y512" s="8">
        <v>6949</v>
      </c>
      <c r="Z512" s="8">
        <v>6955</v>
      </c>
      <c r="AA512" s="8">
        <v>7059</v>
      </c>
      <c r="AB512" s="8">
        <v>7119</v>
      </c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</row>
    <row r="513" spans="1:47" ht="14.4">
      <c r="A513" s="3">
        <f>LOOKUP(D513,'AMFI DATA_2023H2'!F:L,'AMFI DATA_2023H2'!L:L)</f>
        <v>518</v>
      </c>
      <c r="B513" s="4" t="s">
        <v>1539</v>
      </c>
      <c r="C513" s="4" t="s">
        <v>1540</v>
      </c>
      <c r="D513" s="5" t="s">
        <v>1541</v>
      </c>
      <c r="E513" s="5">
        <v>4518.3500000000004</v>
      </c>
      <c r="F513" s="6">
        <f>LOOKUP(D513,'AMFI DATA_2023H2'!F:J,'AMFI DATA_2023H2'!J:J)</f>
        <v>7082.9154500000004</v>
      </c>
      <c r="G513" s="7">
        <f t="shared" si="2"/>
        <v>-1</v>
      </c>
      <c r="H513" s="8"/>
      <c r="I513" s="8">
        <v>9627</v>
      </c>
      <c r="J513" s="8">
        <v>9716</v>
      </c>
      <c r="K513" s="8">
        <v>9748</v>
      </c>
      <c r="L513" s="8">
        <v>9454</v>
      </c>
      <c r="M513" s="8">
        <v>9372</v>
      </c>
      <c r="N513" s="8">
        <v>9410</v>
      </c>
      <c r="O513" s="8">
        <v>9466</v>
      </c>
      <c r="P513" s="8">
        <v>9369</v>
      </c>
      <c r="Q513" s="8">
        <v>9395</v>
      </c>
      <c r="R513" s="8">
        <v>9580</v>
      </c>
      <c r="S513" s="8">
        <v>9571</v>
      </c>
      <c r="T513" s="8">
        <v>9523</v>
      </c>
      <c r="U513" s="8">
        <v>9644</v>
      </c>
      <c r="V513" s="8">
        <v>9872</v>
      </c>
      <c r="W513" s="8">
        <v>8975</v>
      </c>
      <c r="X513" s="8">
        <v>8145</v>
      </c>
      <c r="Y513" s="8">
        <v>8196</v>
      </c>
      <c r="Z513" s="8">
        <v>8013</v>
      </c>
      <c r="AA513" s="8">
        <v>8141</v>
      </c>
      <c r="AB513" s="8">
        <v>8001</v>
      </c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spans="1:47" ht="14.4">
      <c r="A514" s="3">
        <f>LOOKUP(D514,'AMFI DATA_2023H2'!F:L,'AMFI DATA_2023H2'!L:L)</f>
        <v>519</v>
      </c>
      <c r="B514" s="4" t="s">
        <v>1542</v>
      </c>
      <c r="C514" s="4" t="s">
        <v>1543</v>
      </c>
      <c r="D514" s="5" t="s">
        <v>1544</v>
      </c>
      <c r="E514" s="5">
        <v>8240.2000000000007</v>
      </c>
      <c r="F514" s="6">
        <f>LOOKUP(D514,'AMFI DATA_2023H2'!F:J,'AMFI DATA_2023H2'!J:J)</f>
        <v>7067.7420000000002</v>
      </c>
      <c r="G514" s="7">
        <f t="shared" si="2"/>
        <v>-1</v>
      </c>
      <c r="H514" s="8"/>
      <c r="I514" s="8">
        <v>8215</v>
      </c>
      <c r="J514" s="8">
        <v>8045</v>
      </c>
      <c r="K514" s="8">
        <v>8150</v>
      </c>
      <c r="L514" s="8">
        <v>8545</v>
      </c>
      <c r="M514" s="8">
        <v>8642</v>
      </c>
      <c r="N514" s="8">
        <v>8798</v>
      </c>
      <c r="O514" s="8">
        <v>9181</v>
      </c>
      <c r="P514" s="8">
        <v>7841</v>
      </c>
      <c r="Q514" s="8">
        <v>8112</v>
      </c>
      <c r="R514" s="8">
        <v>7684</v>
      </c>
      <c r="S514" s="8">
        <v>7342</v>
      </c>
      <c r="T514" s="8">
        <v>7239</v>
      </c>
      <c r="U514" s="8">
        <v>7258</v>
      </c>
      <c r="V514" s="8">
        <v>7171</v>
      </c>
      <c r="W514" s="8">
        <v>7210</v>
      </c>
      <c r="X514" s="8">
        <v>7147</v>
      </c>
      <c r="Y514" s="8">
        <v>6874</v>
      </c>
      <c r="Z514" s="8">
        <v>6884</v>
      </c>
      <c r="AA514" s="8">
        <v>6779</v>
      </c>
      <c r="AB514" s="8">
        <v>6693</v>
      </c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spans="1:47" ht="14.4">
      <c r="A515" s="3">
        <f>LOOKUP(D515,'AMFI DATA_2023H2'!F:L,'AMFI DATA_2023H2'!L:L)</f>
        <v>520</v>
      </c>
      <c r="B515" s="4" t="s">
        <v>1545</v>
      </c>
      <c r="C515" s="4" t="s">
        <v>1546</v>
      </c>
      <c r="D515" s="5" t="s">
        <v>1547</v>
      </c>
      <c r="E515" s="5">
        <v>3751.71</v>
      </c>
      <c r="F515" s="6">
        <f>LOOKUP(D515,'AMFI DATA_2023H2'!F:J,'AMFI DATA_2023H2'!J:J)</f>
        <v>7047.0613499999999</v>
      </c>
      <c r="G515" s="7">
        <f t="shared" si="2"/>
        <v>-1</v>
      </c>
      <c r="H515" s="8"/>
      <c r="I515" s="8">
        <v>12414</v>
      </c>
      <c r="J515" s="8">
        <v>11650</v>
      </c>
      <c r="K515" s="8">
        <v>11650</v>
      </c>
      <c r="L515" s="8">
        <v>11490</v>
      </c>
      <c r="M515" s="8">
        <v>11732</v>
      </c>
      <c r="N515" s="8">
        <v>11409</v>
      </c>
      <c r="O515" s="8">
        <v>11324</v>
      </c>
      <c r="P515" s="8">
        <v>11294</v>
      </c>
      <c r="Q515" s="8">
        <v>11225</v>
      </c>
      <c r="R515" s="8">
        <v>11138</v>
      </c>
      <c r="S515" s="8">
        <v>11419</v>
      </c>
      <c r="T515" s="8">
        <v>11401</v>
      </c>
      <c r="U515" s="8">
        <v>11661</v>
      </c>
      <c r="V515" s="8">
        <v>11360</v>
      </c>
      <c r="W515" s="8">
        <v>11326</v>
      </c>
      <c r="X515" s="8">
        <v>10848</v>
      </c>
      <c r="Y515" s="8">
        <v>9500</v>
      </c>
      <c r="Z515" s="8">
        <v>9511</v>
      </c>
      <c r="AA515" s="8">
        <v>9553</v>
      </c>
      <c r="AB515" s="8">
        <v>9511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</row>
    <row r="516" spans="1:47" ht="14.4">
      <c r="A516" s="3">
        <f>LOOKUP(D516,'AMFI DATA_2023H2'!F:L,'AMFI DATA_2023H2'!L:L)</f>
        <v>521</v>
      </c>
      <c r="B516" s="4" t="s">
        <v>1548</v>
      </c>
      <c r="C516" s="4" t="s">
        <v>1549</v>
      </c>
      <c r="D516" s="5" t="s">
        <v>1550</v>
      </c>
      <c r="E516" s="5">
        <v>5271.41</v>
      </c>
      <c r="F516" s="6">
        <f>LOOKUP(D516,'AMFI DATA_2023H2'!F:J,'AMFI DATA_2023H2'!J:J)</f>
        <v>7023.1711999999998</v>
      </c>
      <c r="G516" s="7">
        <f t="shared" si="2"/>
        <v>-1</v>
      </c>
      <c r="H516" s="8"/>
      <c r="I516" s="8">
        <v>8935</v>
      </c>
      <c r="J516" s="8">
        <v>8903</v>
      </c>
      <c r="K516" s="8">
        <v>8982</v>
      </c>
      <c r="L516" s="8">
        <v>8834</v>
      </c>
      <c r="M516" s="8">
        <v>8832</v>
      </c>
      <c r="N516" s="8">
        <v>8796</v>
      </c>
      <c r="O516" s="8">
        <v>8455</v>
      </c>
      <c r="P516" s="8">
        <v>8293</v>
      </c>
      <c r="Q516" s="8">
        <v>8434</v>
      </c>
      <c r="R516" s="8">
        <v>8283</v>
      </c>
      <c r="S516" s="8">
        <v>8406</v>
      </c>
      <c r="T516" s="8">
        <v>8239</v>
      </c>
      <c r="U516" s="8">
        <v>8187</v>
      </c>
      <c r="V516" s="8">
        <v>8304</v>
      </c>
      <c r="W516" s="8">
        <v>8515</v>
      </c>
      <c r="X516" s="8">
        <v>8554</v>
      </c>
      <c r="Y516" s="8">
        <v>8524</v>
      </c>
      <c r="Z516" s="8">
        <v>8605</v>
      </c>
      <c r="AA516" s="8">
        <v>8488</v>
      </c>
      <c r="AB516" s="8">
        <v>8596</v>
      </c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spans="1:47" ht="14.4">
      <c r="A517" s="3">
        <f>LOOKUP(D517,'AMFI DATA_2023H2'!F:L,'AMFI DATA_2023H2'!L:L)</f>
        <v>522</v>
      </c>
      <c r="B517" s="4" t="s">
        <v>1551</v>
      </c>
      <c r="C517" s="4" t="s">
        <v>1552</v>
      </c>
      <c r="D517" s="5" t="s">
        <v>1553</v>
      </c>
      <c r="E517" s="5">
        <v>4262.38</v>
      </c>
      <c r="F517" s="6">
        <f>LOOKUP(D517,'AMFI DATA_2023H2'!F:J,'AMFI DATA_2023H2'!J:J)</f>
        <v>7013.2729999999992</v>
      </c>
      <c r="G517" s="7">
        <f t="shared" si="2"/>
        <v>-1</v>
      </c>
      <c r="H517" s="8"/>
      <c r="I517" s="8">
        <v>7258</v>
      </c>
      <c r="J517" s="8">
        <v>7208</v>
      </c>
      <c r="K517" s="8">
        <v>7313</v>
      </c>
      <c r="L517" s="8">
        <v>7229</v>
      </c>
      <c r="M517" s="8">
        <v>7238</v>
      </c>
      <c r="N517" s="8">
        <v>7376</v>
      </c>
      <c r="O517" s="8">
        <v>7343</v>
      </c>
      <c r="P517" s="8">
        <v>7254</v>
      </c>
      <c r="Q517" s="8">
        <v>7317</v>
      </c>
      <c r="R517" s="8">
        <v>7317</v>
      </c>
      <c r="S517" s="8">
        <v>7392</v>
      </c>
      <c r="T517" s="8">
        <v>7465</v>
      </c>
      <c r="U517" s="8">
        <v>7212</v>
      </c>
      <c r="V517" s="8">
        <v>7294</v>
      </c>
      <c r="W517" s="8">
        <v>7242</v>
      </c>
      <c r="X517" s="8">
        <v>7152</v>
      </c>
      <c r="Y517" s="8">
        <v>7376</v>
      </c>
      <c r="Z517" s="8">
        <v>7376</v>
      </c>
      <c r="AA517" s="8">
        <v>7337</v>
      </c>
      <c r="AB517" s="8">
        <v>7526</v>
      </c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spans="1:47" ht="14.4">
      <c r="A518" s="3">
        <f>LOOKUP(D518,'AMFI DATA_2023H2'!F:L,'AMFI DATA_2023H2'!L:L)</f>
        <v>523</v>
      </c>
      <c r="B518" s="4" t="s">
        <v>1554</v>
      </c>
      <c r="C518" s="4" t="s">
        <v>1555</v>
      </c>
      <c r="D518" s="5" t="s">
        <v>1556</v>
      </c>
      <c r="E518" s="5">
        <v>5985.8</v>
      </c>
      <c r="F518" s="6">
        <f>LOOKUP(D518,'AMFI DATA_2023H2'!F:J,'AMFI DATA_2023H2'!J:J)</f>
        <v>6997.0169500000002</v>
      </c>
      <c r="G518" s="7">
        <f t="shared" si="2"/>
        <v>-1</v>
      </c>
      <c r="H518" s="8"/>
      <c r="I518" s="8">
        <v>9787</v>
      </c>
      <c r="J518" s="8">
        <v>9486</v>
      </c>
      <c r="K518" s="8">
        <v>9456</v>
      </c>
      <c r="L518" s="8">
        <v>9445</v>
      </c>
      <c r="M518" s="8">
        <v>9423</v>
      </c>
      <c r="N518" s="8">
        <v>9313</v>
      </c>
      <c r="O518" s="8">
        <v>9384</v>
      </c>
      <c r="P518" s="8">
        <v>9144</v>
      </c>
      <c r="Q518" s="8">
        <v>9279</v>
      </c>
      <c r="R518" s="8">
        <v>9045</v>
      </c>
      <c r="S518" s="8">
        <v>9263</v>
      </c>
      <c r="T518" s="8">
        <v>9464</v>
      </c>
      <c r="U518" s="8">
        <v>9461</v>
      </c>
      <c r="V518" s="8">
        <v>9382</v>
      </c>
      <c r="W518" s="8">
        <v>9221</v>
      </c>
      <c r="X518" s="8">
        <v>8800</v>
      </c>
      <c r="Y518" s="8">
        <v>8788</v>
      </c>
      <c r="Z518" s="8">
        <v>8582</v>
      </c>
      <c r="AA518" s="8">
        <v>8640</v>
      </c>
      <c r="AB518" s="8">
        <v>8383</v>
      </c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spans="1:47" ht="14.4">
      <c r="A519" s="3">
        <f>LOOKUP(D519,'AMFI DATA_2023H2'!F:L,'AMFI DATA_2023H2'!L:L)</f>
        <v>524</v>
      </c>
      <c r="B519" s="4" t="s">
        <v>1557</v>
      </c>
      <c r="C519" s="4" t="s">
        <v>1558</v>
      </c>
      <c r="D519" s="5" t="s">
        <v>1559</v>
      </c>
      <c r="E519" s="5">
        <v>7016.05</v>
      </c>
      <c r="F519" s="6">
        <f>LOOKUP(D519,'AMFI DATA_2023H2'!F:J,'AMFI DATA_2023H2'!J:J)</f>
        <v>6985.59645</v>
      </c>
      <c r="G519" s="7">
        <f t="shared" si="2"/>
        <v>-1</v>
      </c>
      <c r="H519" s="8"/>
      <c r="I519" s="8">
        <v>5725</v>
      </c>
      <c r="J519" s="8">
        <v>5794</v>
      </c>
      <c r="K519" s="8">
        <v>5915</v>
      </c>
      <c r="L519" s="8">
        <v>5977</v>
      </c>
      <c r="M519" s="8">
        <v>6147</v>
      </c>
      <c r="N519" s="8">
        <v>6058</v>
      </c>
      <c r="O519" s="8">
        <v>6139</v>
      </c>
      <c r="P519" s="8">
        <v>6196</v>
      </c>
      <c r="Q519" s="8">
        <v>6134</v>
      </c>
      <c r="R519" s="8">
        <v>6316</v>
      </c>
      <c r="S519" s="8">
        <v>6253</v>
      </c>
      <c r="T519" s="8">
        <v>6284</v>
      </c>
      <c r="U519" s="8">
        <v>6201</v>
      </c>
      <c r="V519" s="8">
        <v>6199</v>
      </c>
      <c r="W519" s="8">
        <v>6276</v>
      </c>
      <c r="X519" s="8">
        <v>6106</v>
      </c>
      <c r="Y519" s="8">
        <v>5956</v>
      </c>
      <c r="Z519" s="8">
        <v>6084</v>
      </c>
      <c r="AA519" s="8">
        <v>6108</v>
      </c>
      <c r="AB519" s="8">
        <v>6126</v>
      </c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spans="1:47" ht="14.4">
      <c r="A520" s="3">
        <f>LOOKUP(D520,'AMFI DATA_2023H2'!F:L,'AMFI DATA_2023H2'!L:L)</f>
        <v>526</v>
      </c>
      <c r="B520" s="4" t="s">
        <v>1560</v>
      </c>
      <c r="C520" s="4" t="s">
        <v>1561</v>
      </c>
      <c r="D520" s="5" t="s">
        <v>1562</v>
      </c>
      <c r="E520" s="5">
        <v>5052.38</v>
      </c>
      <c r="F520" s="6">
        <f>LOOKUP(D520,'AMFI DATA_2023H2'!F:J,'AMFI DATA_2023H2'!J:J)</f>
        <v>6902.5578999999998</v>
      </c>
      <c r="G520" s="7">
        <f t="shared" si="2"/>
        <v>-1</v>
      </c>
      <c r="H520" s="8"/>
      <c r="I520" s="8">
        <v>13782</v>
      </c>
      <c r="J520" s="8">
        <v>13989</v>
      </c>
      <c r="K520" s="8">
        <v>12575</v>
      </c>
      <c r="L520" s="8">
        <v>12994</v>
      </c>
      <c r="M520" s="8">
        <v>12578</v>
      </c>
      <c r="N520" s="8">
        <v>12790</v>
      </c>
      <c r="O520" s="8">
        <v>12615</v>
      </c>
      <c r="P520" s="8">
        <v>12392</v>
      </c>
      <c r="Q520" s="8">
        <v>12292</v>
      </c>
      <c r="R520" s="8">
        <v>12290</v>
      </c>
      <c r="S520" s="8">
        <v>12048</v>
      </c>
      <c r="T520" s="8">
        <v>12285</v>
      </c>
      <c r="U520" s="8">
        <v>10591</v>
      </c>
      <c r="V520" s="8">
        <v>9633</v>
      </c>
      <c r="W520" s="8">
        <v>9707</v>
      </c>
      <c r="X520" s="8">
        <v>9348</v>
      </c>
      <c r="Y520" s="8">
        <v>9532</v>
      </c>
      <c r="Z520" s="8">
        <v>9621</v>
      </c>
      <c r="AA520" s="8">
        <v>9609</v>
      </c>
      <c r="AB520" s="8">
        <v>9746</v>
      </c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</row>
    <row r="521" spans="1:47" ht="14.4">
      <c r="A521" s="3">
        <f>LOOKUP(D521,'AMFI DATA_2023H2'!F:L,'AMFI DATA_2023H2'!L:L)</f>
        <v>527</v>
      </c>
      <c r="B521" s="4" t="s">
        <v>1563</v>
      </c>
      <c r="C521" s="4" t="s">
        <v>1564</v>
      </c>
      <c r="D521" s="5" t="s">
        <v>1565</v>
      </c>
      <c r="E521" s="5">
        <v>4345.24</v>
      </c>
      <c r="F521" s="6">
        <f>LOOKUP(D521,'AMFI DATA_2023H2'!F:J,'AMFI DATA_2023H2'!J:J)</f>
        <v>6880.9933499999997</v>
      </c>
      <c r="G521" s="7">
        <f t="shared" si="2"/>
        <v>-1</v>
      </c>
      <c r="H521" s="8"/>
      <c r="I521" s="8">
        <v>8022</v>
      </c>
      <c r="J521" s="8">
        <v>8040</v>
      </c>
      <c r="K521" s="8">
        <v>8239</v>
      </c>
      <c r="L521" s="8">
        <v>8518</v>
      </c>
      <c r="M521" s="8">
        <v>8641</v>
      </c>
      <c r="N521" s="8">
        <v>8455</v>
      </c>
      <c r="O521" s="8">
        <v>8532</v>
      </c>
      <c r="P521" s="8">
        <v>8531</v>
      </c>
      <c r="Q521" s="8">
        <v>8445</v>
      </c>
      <c r="R521" s="8">
        <v>8536</v>
      </c>
      <c r="S521" s="8">
        <v>8539</v>
      </c>
      <c r="T521" s="8">
        <v>8660</v>
      </c>
      <c r="U521" s="8">
        <v>8480</v>
      </c>
      <c r="V521" s="8">
        <v>8409</v>
      </c>
      <c r="W521" s="8">
        <v>8526</v>
      </c>
      <c r="X521" s="8">
        <v>8487</v>
      </c>
      <c r="Y521" s="8">
        <v>8457</v>
      </c>
      <c r="Z521" s="8">
        <v>8403</v>
      </c>
      <c r="AA521" s="8">
        <v>8353</v>
      </c>
      <c r="AB521" s="8">
        <v>8312</v>
      </c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spans="1:47" ht="14.4">
      <c r="A522" s="3">
        <f>LOOKUP(D522,'AMFI DATA_2023H2'!F:L,'AMFI DATA_2023H2'!L:L)</f>
        <v>529</v>
      </c>
      <c r="B522" s="4" t="s">
        <v>1566</v>
      </c>
      <c r="C522" s="4" t="s">
        <v>1567</v>
      </c>
      <c r="D522" s="5" t="s">
        <v>1568</v>
      </c>
      <c r="E522" s="5">
        <v>7009.41</v>
      </c>
      <c r="F522" s="6">
        <f>LOOKUP(D522,'AMFI DATA_2023H2'!F:J,'AMFI DATA_2023H2'!J:J)</f>
        <v>6833.2479000000003</v>
      </c>
      <c r="G522" s="7">
        <f t="shared" si="2"/>
        <v>-1</v>
      </c>
      <c r="H522" s="8"/>
      <c r="I522" s="8">
        <v>7818</v>
      </c>
      <c r="J522" s="8">
        <v>7862</v>
      </c>
      <c r="K522" s="8">
        <v>7897</v>
      </c>
      <c r="L522" s="8">
        <v>8029</v>
      </c>
      <c r="M522" s="8">
        <v>8049</v>
      </c>
      <c r="N522" s="8">
        <v>8073</v>
      </c>
      <c r="O522" s="8">
        <v>8010</v>
      </c>
      <c r="P522" s="8">
        <v>8054</v>
      </c>
      <c r="Q522" s="8">
        <v>8147</v>
      </c>
      <c r="R522" s="8">
        <v>8830</v>
      </c>
      <c r="S522" s="8">
        <v>8914</v>
      </c>
      <c r="T522" s="8">
        <v>8835</v>
      </c>
      <c r="U522" s="8">
        <v>8639</v>
      </c>
      <c r="V522" s="8">
        <v>8865</v>
      </c>
      <c r="W522" s="8">
        <v>8108</v>
      </c>
      <c r="X522" s="8">
        <v>7899</v>
      </c>
      <c r="Y522" s="8">
        <v>7752</v>
      </c>
      <c r="Z522" s="8">
        <v>7878</v>
      </c>
      <c r="AA522" s="8">
        <v>7962</v>
      </c>
      <c r="AB522" s="8">
        <v>7543</v>
      </c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spans="1:47" ht="14.4">
      <c r="A523" s="3">
        <f>LOOKUP(D523,'AMFI DATA_2023H2'!F:L,'AMFI DATA_2023H2'!L:L)</f>
        <v>530</v>
      </c>
      <c r="B523" s="4" t="s">
        <v>1569</v>
      </c>
      <c r="C523" s="4" t="s">
        <v>1570</v>
      </c>
      <c r="D523" s="5" t="s">
        <v>1571</v>
      </c>
      <c r="E523" s="5">
        <v>5746.6</v>
      </c>
      <c r="F523" s="6">
        <f>LOOKUP(D523,'AMFI DATA_2023H2'!F:J,'AMFI DATA_2023H2'!J:J)</f>
        <v>6811.8063999999995</v>
      </c>
      <c r="G523" s="7">
        <f t="shared" si="2"/>
        <v>-1</v>
      </c>
      <c r="H523" s="8"/>
      <c r="I523" s="8">
        <v>6235</v>
      </c>
      <c r="J523" s="8">
        <v>6265</v>
      </c>
      <c r="K523" s="8">
        <v>6308</v>
      </c>
      <c r="L523" s="8">
        <v>6373</v>
      </c>
      <c r="M523" s="8">
        <v>6384</v>
      </c>
      <c r="N523" s="8">
        <v>6310</v>
      </c>
      <c r="O523" s="8">
        <v>6323</v>
      </c>
      <c r="P523" s="8">
        <v>6415</v>
      </c>
      <c r="Q523" s="8">
        <v>6508</v>
      </c>
      <c r="R523" s="8">
        <v>6511</v>
      </c>
      <c r="S523" s="8">
        <v>6636</v>
      </c>
      <c r="T523" s="8">
        <v>6614</v>
      </c>
      <c r="U523" s="8">
        <v>6573</v>
      </c>
      <c r="V523" s="8">
        <v>6600</v>
      </c>
      <c r="W523" s="8">
        <v>6600</v>
      </c>
      <c r="X523" s="8">
        <v>6691</v>
      </c>
      <c r="Y523" s="8">
        <v>6994</v>
      </c>
      <c r="Z523" s="8">
        <v>6906</v>
      </c>
      <c r="AA523" s="8">
        <v>6921</v>
      </c>
      <c r="AB523" s="8">
        <v>6932</v>
      </c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spans="1:47" ht="14.4">
      <c r="A524" s="3">
        <f>LOOKUP(D524,'AMFI DATA_2023H2'!F:L,'AMFI DATA_2023H2'!L:L)</f>
        <v>531</v>
      </c>
      <c r="B524" s="4" t="s">
        <v>1572</v>
      </c>
      <c r="C524" s="4" t="s">
        <v>1573</v>
      </c>
      <c r="D524" s="5" t="s">
        <v>1574</v>
      </c>
      <c r="E524" s="5">
        <v>5302.89</v>
      </c>
      <c r="F524" s="6">
        <f>LOOKUP(D524,'AMFI DATA_2023H2'!F:J,'AMFI DATA_2023H2'!J:J)</f>
        <v>6804.1396500000001</v>
      </c>
      <c r="G524" s="7">
        <f t="shared" si="2"/>
        <v>-1</v>
      </c>
      <c r="H524" s="8"/>
      <c r="I524" s="8">
        <v>9128</v>
      </c>
      <c r="J524" s="8">
        <v>8836</v>
      </c>
      <c r="K524" s="8">
        <v>9112</v>
      </c>
      <c r="L524" s="8">
        <v>8961</v>
      </c>
      <c r="M524" s="8">
        <v>8883</v>
      </c>
      <c r="N524" s="8">
        <v>8952</v>
      </c>
      <c r="O524" s="8">
        <v>9112</v>
      </c>
      <c r="P524" s="8">
        <v>9079</v>
      </c>
      <c r="Q524" s="8">
        <v>9013</v>
      </c>
      <c r="R524" s="8">
        <v>8961</v>
      </c>
      <c r="S524" s="8">
        <v>9311</v>
      </c>
      <c r="T524" s="8">
        <v>9215</v>
      </c>
      <c r="U524" s="8">
        <v>9252</v>
      </c>
      <c r="V524" s="8">
        <v>9287</v>
      </c>
      <c r="W524" s="8">
        <v>9229</v>
      </c>
      <c r="X524" s="8">
        <v>8725</v>
      </c>
      <c r="Y524" s="8">
        <v>8624</v>
      </c>
      <c r="Z524" s="8">
        <v>8578</v>
      </c>
      <c r="AA524" s="8">
        <v>8532</v>
      </c>
      <c r="AB524" s="8">
        <v>8485</v>
      </c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spans="1:47" ht="14.4">
      <c r="A525" s="3">
        <f>LOOKUP(D525,'AMFI DATA_2023H2'!F:L,'AMFI DATA_2023H2'!L:L)</f>
        <v>532</v>
      </c>
      <c r="B525" s="4" t="s">
        <v>1575</v>
      </c>
      <c r="C525" s="4" t="s">
        <v>1576</v>
      </c>
      <c r="D525" s="5" t="s">
        <v>1577</v>
      </c>
      <c r="E525" s="5">
        <v>4340.01</v>
      </c>
      <c r="F525" s="6">
        <f>LOOKUP(D525,'AMFI DATA_2023H2'!F:J,'AMFI DATA_2023H2'!J:J)</f>
        <v>6798.6299999999992</v>
      </c>
      <c r="G525" s="7">
        <f t="shared" si="2"/>
        <v>-1</v>
      </c>
      <c r="H525" s="8"/>
      <c r="I525" s="8">
        <v>10952</v>
      </c>
      <c r="J525" s="8">
        <v>10931</v>
      </c>
      <c r="K525" s="8">
        <v>10979</v>
      </c>
      <c r="L525" s="8">
        <v>11103</v>
      </c>
      <c r="M525" s="8">
        <v>11644</v>
      </c>
      <c r="N525" s="8">
        <v>11445</v>
      </c>
      <c r="O525" s="8">
        <v>11295</v>
      </c>
      <c r="P525" s="8">
        <v>11212</v>
      </c>
      <c r="Q525" s="8">
        <v>11288</v>
      </c>
      <c r="R525" s="8">
        <v>11630</v>
      </c>
      <c r="S525" s="8">
        <v>11541</v>
      </c>
      <c r="T525" s="8">
        <v>11651</v>
      </c>
      <c r="U525" s="8">
        <v>10876</v>
      </c>
      <c r="V525" s="8">
        <v>11075</v>
      </c>
      <c r="W525" s="8">
        <v>10095</v>
      </c>
      <c r="X525" s="8">
        <v>9561</v>
      </c>
      <c r="Y525" s="8">
        <v>9218</v>
      </c>
      <c r="Z525" s="8">
        <v>9458</v>
      </c>
      <c r="AA525" s="8">
        <v>9561</v>
      </c>
      <c r="AB525" s="8">
        <v>9081</v>
      </c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spans="1:47" ht="14.4">
      <c r="A526" s="3">
        <f>LOOKUP(D526,'AMFI DATA_2023H2'!F:L,'AMFI DATA_2023H2'!L:L)</f>
        <v>533</v>
      </c>
      <c r="B526" s="4" t="s">
        <v>1578</v>
      </c>
      <c r="C526" s="4" t="s">
        <v>1579</v>
      </c>
      <c r="D526" s="5" t="s">
        <v>1580</v>
      </c>
      <c r="E526" s="5">
        <v>3438.39</v>
      </c>
      <c r="F526" s="6">
        <f>LOOKUP(D526,'AMFI DATA_2023H2'!F:J,'AMFI DATA_2023H2'!J:J)</f>
        <v>6774.9010500000004</v>
      </c>
      <c r="G526" s="7">
        <f t="shared" si="2"/>
        <v>-1</v>
      </c>
      <c r="H526" s="8"/>
      <c r="I526" s="8">
        <v>7033</v>
      </c>
      <c r="J526" s="8">
        <v>6926</v>
      </c>
      <c r="K526" s="8">
        <v>7084</v>
      </c>
      <c r="L526" s="8">
        <v>7136</v>
      </c>
      <c r="M526" s="8">
        <v>7421</v>
      </c>
      <c r="N526" s="8">
        <v>7379</v>
      </c>
      <c r="O526" s="8">
        <v>7293</v>
      </c>
      <c r="P526" s="8">
        <v>7297</v>
      </c>
      <c r="Q526" s="8">
        <v>7425</v>
      </c>
      <c r="R526" s="8">
        <v>7262</v>
      </c>
      <c r="S526" s="8">
        <v>7232</v>
      </c>
      <c r="T526" s="8">
        <v>7252</v>
      </c>
      <c r="U526" s="8">
        <v>7099</v>
      </c>
      <c r="V526" s="8">
        <v>7135</v>
      </c>
      <c r="W526" s="8">
        <v>7129</v>
      </c>
      <c r="X526" s="8">
        <v>7185</v>
      </c>
      <c r="Y526" s="8">
        <v>6978</v>
      </c>
      <c r="Z526" s="8">
        <v>7147</v>
      </c>
      <c r="AA526" s="8">
        <v>7158</v>
      </c>
      <c r="AB526" s="8">
        <v>7206</v>
      </c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spans="1:47" ht="14.4">
      <c r="A527" s="3">
        <f>LOOKUP(D527,'AMFI DATA_2023H2'!F:L,'AMFI DATA_2023H2'!L:L)</f>
        <v>534</v>
      </c>
      <c r="B527" s="4" t="s">
        <v>1581</v>
      </c>
      <c r="C527" s="4" t="s">
        <v>1582</v>
      </c>
      <c r="D527" s="5" t="s">
        <v>1583</v>
      </c>
      <c r="E527" s="5">
        <v>3740.32</v>
      </c>
      <c r="F527" s="6">
        <f>LOOKUP(D527,'AMFI DATA_2023H2'!F:J,'AMFI DATA_2023H2'!J:J)</f>
        <v>6716.7369500000004</v>
      </c>
      <c r="G527" s="7">
        <f t="shared" si="2"/>
        <v>-1</v>
      </c>
      <c r="H527" s="8"/>
      <c r="I527" s="8">
        <v>7122</v>
      </c>
      <c r="J527" s="8">
        <v>7125</v>
      </c>
      <c r="K527" s="8">
        <v>6961</v>
      </c>
      <c r="L527" s="8">
        <v>7099</v>
      </c>
      <c r="M527" s="8">
        <v>7052</v>
      </c>
      <c r="N527" s="8">
        <v>7030</v>
      </c>
      <c r="O527" s="8">
        <v>7024</v>
      </c>
      <c r="P527" s="8">
        <v>7116</v>
      </c>
      <c r="Q527" s="8">
        <v>7223</v>
      </c>
      <c r="R527" s="8">
        <v>7237</v>
      </c>
      <c r="S527" s="8">
        <v>7207</v>
      </c>
      <c r="T527" s="8">
        <v>7126</v>
      </c>
      <c r="U527" s="8">
        <v>7167</v>
      </c>
      <c r="V527" s="8">
        <v>7269</v>
      </c>
      <c r="W527" s="8">
        <v>7290</v>
      </c>
      <c r="X527" s="8">
        <v>7283</v>
      </c>
      <c r="Y527" s="8">
        <v>7265</v>
      </c>
      <c r="Z527" s="8">
        <v>7267</v>
      </c>
      <c r="AA527" s="8">
        <v>7231</v>
      </c>
      <c r="AB527" s="8">
        <v>7283</v>
      </c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spans="1:47" ht="14.4">
      <c r="A528" s="3">
        <f>LOOKUP(D528,'AMFI DATA_2023H2'!F:L,'AMFI DATA_2023H2'!L:L)</f>
        <v>535</v>
      </c>
      <c r="B528" s="4" t="s">
        <v>1584</v>
      </c>
      <c r="C528" s="4" t="s">
        <v>1585</v>
      </c>
      <c r="D528" s="5" t="s">
        <v>1586</v>
      </c>
      <c r="E528" s="5">
        <v>4695.9799999999996</v>
      </c>
      <c r="F528" s="6">
        <f>LOOKUP(D528,'AMFI DATA_2023H2'!F:J,'AMFI DATA_2023H2'!J:J)</f>
        <v>6661.1808499999997</v>
      </c>
      <c r="G528" s="7">
        <f t="shared" si="2"/>
        <v>-1</v>
      </c>
      <c r="H528" s="8"/>
      <c r="I528" s="8">
        <v>8582</v>
      </c>
      <c r="J528" s="8">
        <v>8671</v>
      </c>
      <c r="K528" s="8">
        <v>8604</v>
      </c>
      <c r="L528" s="8">
        <v>8788</v>
      </c>
      <c r="M528" s="8">
        <v>9204</v>
      </c>
      <c r="N528" s="8">
        <v>9446</v>
      </c>
      <c r="O528" s="8">
        <v>9480</v>
      </c>
      <c r="P528" s="8">
        <v>9408</v>
      </c>
      <c r="Q528" s="8">
        <v>9382</v>
      </c>
      <c r="R528" s="8">
        <v>9590</v>
      </c>
      <c r="S528" s="8">
        <v>9095</v>
      </c>
      <c r="T528" s="8">
        <v>9172</v>
      </c>
      <c r="U528" s="8">
        <v>8541</v>
      </c>
      <c r="V528" s="8">
        <v>8238</v>
      </c>
      <c r="W528" s="8">
        <v>8390</v>
      </c>
      <c r="X528" s="8">
        <v>8325</v>
      </c>
      <c r="Y528" s="8">
        <v>7570</v>
      </c>
      <c r="Z528" s="8">
        <v>7707</v>
      </c>
      <c r="AA528" s="8">
        <v>7798</v>
      </c>
      <c r="AB528" s="8">
        <v>7647</v>
      </c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spans="1:47" ht="14.4">
      <c r="A529" s="3">
        <f>LOOKUP(D529,'AMFI DATA_2023H2'!F:L,'AMFI DATA_2023H2'!L:L)</f>
        <v>536</v>
      </c>
      <c r="B529" s="4" t="s">
        <v>1587</v>
      </c>
      <c r="C529" s="4" t="s">
        <v>1588</v>
      </c>
      <c r="D529" s="5" t="s">
        <v>1589</v>
      </c>
      <c r="E529" s="5">
        <v>5584.97</v>
      </c>
      <c r="F529" s="6">
        <f>LOOKUP(D529,'AMFI DATA_2023H2'!F:J,'AMFI DATA_2023H2'!J:J)</f>
        <v>6659.5430999999999</v>
      </c>
      <c r="G529" s="7">
        <f t="shared" si="2"/>
        <v>-1</v>
      </c>
      <c r="H529" s="8"/>
      <c r="I529" s="8">
        <v>11181</v>
      </c>
      <c r="J529" s="8">
        <v>10656</v>
      </c>
      <c r="K529" s="8">
        <v>10464</v>
      </c>
      <c r="L529" s="8">
        <v>10671</v>
      </c>
      <c r="M529" s="8">
        <v>10744</v>
      </c>
      <c r="N529" s="8">
        <v>10754</v>
      </c>
      <c r="O529" s="8">
        <v>10925</v>
      </c>
      <c r="P529" s="8">
        <v>10425</v>
      </c>
      <c r="Q529" s="8">
        <v>10426</v>
      </c>
      <c r="R529" s="8">
        <v>10365</v>
      </c>
      <c r="S529" s="8">
        <v>10440</v>
      </c>
      <c r="T529" s="8">
        <v>10372</v>
      </c>
      <c r="U529" s="8">
        <v>10451</v>
      </c>
      <c r="V529" s="8">
        <v>10295</v>
      </c>
      <c r="W529" s="8">
        <v>10383</v>
      </c>
      <c r="X529" s="8">
        <v>10079</v>
      </c>
      <c r="Y529" s="8">
        <v>10136</v>
      </c>
      <c r="Z529" s="8">
        <v>9950</v>
      </c>
      <c r="AA529" s="8">
        <v>10223</v>
      </c>
      <c r="AB529" s="8">
        <v>10254</v>
      </c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spans="1:47" ht="14.4">
      <c r="A530" s="3">
        <f>LOOKUP(D530,'AMFI DATA_2023H2'!F:L,'AMFI DATA_2023H2'!L:L)</f>
        <v>537</v>
      </c>
      <c r="B530" s="4" t="s">
        <v>1590</v>
      </c>
      <c r="C530" s="4" t="s">
        <v>1591</v>
      </c>
      <c r="D530" s="5" t="s">
        <v>1592</v>
      </c>
      <c r="E530" s="5">
        <v>5691.48</v>
      </c>
      <c r="F530" s="6">
        <f>LOOKUP(D530,'AMFI DATA_2023H2'!F:J,'AMFI DATA_2023H2'!J:J)</f>
        <v>6616.9693499999994</v>
      </c>
      <c r="G530" s="7">
        <f t="shared" si="2"/>
        <v>-1</v>
      </c>
      <c r="H530" s="8"/>
      <c r="I530" s="8">
        <v>7275</v>
      </c>
      <c r="J530" s="8">
        <v>7528</v>
      </c>
      <c r="K530" s="8">
        <v>7558</v>
      </c>
      <c r="L530" s="8">
        <v>7590</v>
      </c>
      <c r="M530" s="8">
        <v>7728</v>
      </c>
      <c r="N530" s="8">
        <v>7717</v>
      </c>
      <c r="O530" s="8">
        <v>7625</v>
      </c>
      <c r="P530" s="8">
        <v>7635</v>
      </c>
      <c r="Q530" s="8">
        <v>7514</v>
      </c>
      <c r="R530" s="8">
        <v>7437</v>
      </c>
      <c r="S530" s="8">
        <v>7491</v>
      </c>
      <c r="T530" s="8">
        <v>7615</v>
      </c>
      <c r="U530" s="8">
        <v>7619</v>
      </c>
      <c r="V530" s="8">
        <v>7526</v>
      </c>
      <c r="W530" s="8">
        <v>7705</v>
      </c>
      <c r="X530" s="8">
        <v>7760</v>
      </c>
      <c r="Y530" s="8">
        <v>7768</v>
      </c>
      <c r="Z530" s="8">
        <v>7508</v>
      </c>
      <c r="AA530" s="8">
        <v>7591</v>
      </c>
      <c r="AB530" s="8">
        <v>7643</v>
      </c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spans="1:47" ht="14.4">
      <c r="A531" s="3">
        <f>LOOKUP(D531,'AMFI DATA_2023H2'!F:L,'AMFI DATA_2023H2'!L:L)</f>
        <v>538</v>
      </c>
      <c r="B531" s="4" t="s">
        <v>1593</v>
      </c>
      <c r="C531" s="4" t="s">
        <v>1594</v>
      </c>
      <c r="D531" s="5" t="s">
        <v>1595</v>
      </c>
      <c r="E531" s="5">
        <v>5050.8999999999996</v>
      </c>
      <c r="F531" s="6">
        <f>LOOKUP(D531,'AMFI DATA_2023H2'!F:J,'AMFI DATA_2023H2'!J:J)</f>
        <v>6612.3860000000004</v>
      </c>
      <c r="G531" s="7">
        <f t="shared" si="2"/>
        <v>-1</v>
      </c>
      <c r="H531" s="8"/>
      <c r="I531" s="8">
        <v>8229</v>
      </c>
      <c r="J531" s="8">
        <v>8069</v>
      </c>
      <c r="K531" s="8">
        <v>7427</v>
      </c>
      <c r="L531" s="8">
        <v>7119</v>
      </c>
      <c r="M531" s="8">
        <v>7265</v>
      </c>
      <c r="N531" s="8">
        <v>7143</v>
      </c>
      <c r="O531" s="8">
        <v>6876</v>
      </c>
      <c r="P531" s="8">
        <v>6576</v>
      </c>
      <c r="Q531" s="8">
        <v>6602</v>
      </c>
      <c r="R531" s="8">
        <v>6793</v>
      </c>
      <c r="S531" s="8">
        <v>6866</v>
      </c>
      <c r="T531" s="8">
        <v>6927</v>
      </c>
      <c r="U531" s="8">
        <v>7133</v>
      </c>
      <c r="V531" s="8">
        <v>6730</v>
      </c>
      <c r="W531" s="8">
        <v>6504</v>
      </c>
      <c r="X531" s="8">
        <v>6566</v>
      </c>
      <c r="Y531" s="8">
        <v>6606</v>
      </c>
      <c r="Z531" s="8">
        <v>6659</v>
      </c>
      <c r="AA531" s="8">
        <v>6693</v>
      </c>
      <c r="AB531" s="8">
        <v>6700</v>
      </c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</row>
    <row r="532" spans="1:47" ht="14.4">
      <c r="A532" s="3">
        <f>LOOKUP(D532,'AMFI DATA_2023H2'!F:L,'AMFI DATA_2023H2'!L:L)</f>
        <v>539</v>
      </c>
      <c r="B532" s="4" t="s">
        <v>1596</v>
      </c>
      <c r="C532" s="4" t="s">
        <v>1597</v>
      </c>
      <c r="D532" s="5" t="s">
        <v>1598</v>
      </c>
      <c r="E532" s="5">
        <v>5577.31</v>
      </c>
      <c r="F532" s="6">
        <f>LOOKUP(D532,'AMFI DATA_2023H2'!F:J,'AMFI DATA_2023H2'!J:J)</f>
        <v>6592.7456000000002</v>
      </c>
      <c r="G532" s="7">
        <f t="shared" si="2"/>
        <v>-1</v>
      </c>
      <c r="H532" s="8"/>
      <c r="I532" s="8">
        <v>7960</v>
      </c>
      <c r="J532" s="8">
        <v>8007</v>
      </c>
      <c r="K532" s="8">
        <v>7927</v>
      </c>
      <c r="L532" s="8">
        <v>8104</v>
      </c>
      <c r="M532" s="8">
        <v>8177</v>
      </c>
      <c r="N532" s="8">
        <v>8059</v>
      </c>
      <c r="O532" s="8">
        <v>8098</v>
      </c>
      <c r="P532" s="8">
        <v>7901</v>
      </c>
      <c r="Q532" s="8">
        <v>8070</v>
      </c>
      <c r="R532" s="8">
        <v>8097</v>
      </c>
      <c r="S532" s="8">
        <v>7517</v>
      </c>
      <c r="T532" s="8">
        <v>7704</v>
      </c>
      <c r="U532" s="8">
        <v>7237</v>
      </c>
      <c r="V532" s="8">
        <v>7455</v>
      </c>
      <c r="W532" s="8">
        <v>7243</v>
      </c>
      <c r="X532" s="8">
        <v>7282</v>
      </c>
      <c r="Y532" s="8">
        <v>7029</v>
      </c>
      <c r="Z532" s="8">
        <v>7032</v>
      </c>
      <c r="AA532" s="8">
        <v>6974</v>
      </c>
      <c r="AB532" s="8">
        <v>6976</v>
      </c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spans="1:47" ht="14.4">
      <c r="A533" s="3">
        <f>LOOKUP(D533,'AMFI DATA_2023H2'!F:L,'AMFI DATA_2023H2'!L:L)</f>
        <v>540</v>
      </c>
      <c r="B533" s="4" t="s">
        <v>1599</v>
      </c>
      <c r="C533" s="4" t="s">
        <v>1600</v>
      </c>
      <c r="D533" s="5" t="s">
        <v>1601</v>
      </c>
      <c r="E533" s="5">
        <v>13814.4</v>
      </c>
      <c r="F533" s="6">
        <f>LOOKUP(D533,'AMFI DATA_2023H2'!F:J,'AMFI DATA_2023H2'!J:J)</f>
        <v>6581.3137500000003</v>
      </c>
      <c r="G533" s="7">
        <f t="shared" si="2"/>
        <v>-1</v>
      </c>
      <c r="H533" s="8"/>
      <c r="I533" s="8">
        <v>7598</v>
      </c>
      <c r="J533" s="8">
        <v>7387</v>
      </c>
      <c r="K533" s="8">
        <v>7415</v>
      </c>
      <c r="L533" s="8">
        <v>7311</v>
      </c>
      <c r="M533" s="8">
        <v>7462</v>
      </c>
      <c r="N533" s="8">
        <v>7616</v>
      </c>
      <c r="O533" s="8">
        <v>7364</v>
      </c>
      <c r="P533" s="8">
        <v>7516</v>
      </c>
      <c r="Q533" s="8">
        <v>7305</v>
      </c>
      <c r="R533" s="8">
        <v>7377</v>
      </c>
      <c r="S533" s="8">
        <v>7265</v>
      </c>
      <c r="T533" s="8">
        <v>7181</v>
      </c>
      <c r="U533" s="8">
        <v>7039</v>
      </c>
      <c r="V533" s="8">
        <v>6820</v>
      </c>
      <c r="W533" s="8">
        <v>6682</v>
      </c>
      <c r="X533" s="8">
        <v>6493</v>
      </c>
      <c r="Y533" s="8">
        <v>6357</v>
      </c>
      <c r="Z533" s="8">
        <v>6424</v>
      </c>
      <c r="AA533" s="8">
        <v>6434</v>
      </c>
      <c r="AB533" s="8">
        <v>6426</v>
      </c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</row>
    <row r="534" spans="1:47" ht="14.4">
      <c r="A534" s="3">
        <f>LOOKUP(D534,'AMFI DATA_2023H2'!F:L,'AMFI DATA_2023H2'!L:L)</f>
        <v>541</v>
      </c>
      <c r="B534" s="4" t="s">
        <v>1602</v>
      </c>
      <c r="C534" s="4" t="s">
        <v>1603</v>
      </c>
      <c r="D534" s="5" t="s">
        <v>1604</v>
      </c>
      <c r="E534" s="5">
        <v>6092.58</v>
      </c>
      <c r="F534" s="6">
        <f>LOOKUP(D534,'AMFI DATA_2023H2'!F:J,'AMFI DATA_2023H2'!J:J)</f>
        <v>6567.2700999999997</v>
      </c>
      <c r="G534" s="7">
        <f t="shared" si="2"/>
        <v>-1</v>
      </c>
      <c r="H534" s="8"/>
      <c r="I534" s="8">
        <v>6996</v>
      </c>
      <c r="J534" s="8">
        <v>7075</v>
      </c>
      <c r="K534" s="8">
        <v>6951</v>
      </c>
      <c r="L534" s="8">
        <v>7031</v>
      </c>
      <c r="M534" s="8">
        <v>6983</v>
      </c>
      <c r="N534" s="8">
        <v>7057</v>
      </c>
      <c r="O534" s="8">
        <v>7151</v>
      </c>
      <c r="P534" s="8">
        <v>7173</v>
      </c>
      <c r="Q534" s="8">
        <v>7275</v>
      </c>
      <c r="R534" s="8">
        <v>7548</v>
      </c>
      <c r="S534" s="8">
        <v>6884</v>
      </c>
      <c r="T534" s="8">
        <v>6848</v>
      </c>
      <c r="U534" s="8">
        <v>6946</v>
      </c>
      <c r="V534" s="8">
        <v>6869</v>
      </c>
      <c r="W534" s="8">
        <v>6807</v>
      </c>
      <c r="X534" s="8">
        <v>6855</v>
      </c>
      <c r="Y534" s="8">
        <v>6881</v>
      </c>
      <c r="Z534" s="8">
        <v>6783</v>
      </c>
      <c r="AA534" s="8">
        <v>6805</v>
      </c>
      <c r="AB534" s="8">
        <v>6877</v>
      </c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spans="1:47" ht="14.4">
      <c r="A535" s="3">
        <f>LOOKUP(D535,'AMFI DATA_2023H2'!F:L,'AMFI DATA_2023H2'!L:L)</f>
        <v>542</v>
      </c>
      <c r="B535" s="4" t="s">
        <v>1605</v>
      </c>
      <c r="C535" s="4" t="s">
        <v>1606</v>
      </c>
      <c r="D535" s="5" t="s">
        <v>1607</v>
      </c>
      <c r="E535" s="5">
        <v>4338.9399999999996</v>
      </c>
      <c r="F535" s="6">
        <f>LOOKUP(D535,'AMFI DATA_2023H2'!F:J,'AMFI DATA_2023H2'!J:J)</f>
        <v>6557.3706000000002</v>
      </c>
      <c r="G535" s="7">
        <f t="shared" si="2"/>
        <v>-1</v>
      </c>
      <c r="H535" s="8"/>
      <c r="I535" s="8">
        <v>6980</v>
      </c>
      <c r="J535" s="8">
        <v>6929</v>
      </c>
      <c r="K535" s="8">
        <v>7063</v>
      </c>
      <c r="L535" s="8">
        <v>7097</v>
      </c>
      <c r="M535" s="8">
        <v>7115</v>
      </c>
      <c r="N535" s="8">
        <v>7099</v>
      </c>
      <c r="O535" s="8">
        <v>7055</v>
      </c>
      <c r="P535" s="8">
        <v>7123</v>
      </c>
      <c r="Q535" s="8">
        <v>6989</v>
      </c>
      <c r="R535" s="8">
        <v>7078</v>
      </c>
      <c r="S535" s="8">
        <v>7218</v>
      </c>
      <c r="T535" s="8">
        <v>7260</v>
      </c>
      <c r="U535" s="8">
        <v>7196</v>
      </c>
      <c r="V535" s="8">
        <v>7285</v>
      </c>
      <c r="W535" s="8">
        <v>7414</v>
      </c>
      <c r="X535" s="8">
        <v>7349</v>
      </c>
      <c r="Y535" s="8">
        <v>7431</v>
      </c>
      <c r="Z535" s="8">
        <v>7264</v>
      </c>
      <c r="AA535" s="8">
        <v>6944</v>
      </c>
      <c r="AB535" s="8">
        <v>6808</v>
      </c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spans="1:47" ht="14.4">
      <c r="A536" s="3">
        <f>LOOKUP(D536,'AMFI DATA_2023H2'!F:L,'AMFI DATA_2023H2'!L:L)</f>
        <v>543</v>
      </c>
      <c r="B536" s="4" t="s">
        <v>1608</v>
      </c>
      <c r="C536" s="4" t="s">
        <v>1609</v>
      </c>
      <c r="D536" s="5" t="s">
        <v>1610</v>
      </c>
      <c r="E536" s="5">
        <v>4683.8500000000004</v>
      </c>
      <c r="F536" s="6">
        <f>LOOKUP(D536,'AMFI DATA_2023H2'!F:J,'AMFI DATA_2023H2'!J:J)</f>
        <v>6544.4382499999992</v>
      </c>
      <c r="G536" s="7">
        <f t="shared" si="2"/>
        <v>-1</v>
      </c>
      <c r="H536" s="8"/>
      <c r="I536" s="8">
        <v>7243</v>
      </c>
      <c r="J536" s="8">
        <v>7336</v>
      </c>
      <c r="K536" s="8">
        <v>7390</v>
      </c>
      <c r="L536" s="8">
        <v>7336</v>
      </c>
      <c r="M536" s="8">
        <v>7565</v>
      </c>
      <c r="N536" s="8">
        <v>7736</v>
      </c>
      <c r="O536" s="8">
        <v>7679</v>
      </c>
      <c r="P536" s="8">
        <v>7670</v>
      </c>
      <c r="Q536" s="8">
        <v>7741</v>
      </c>
      <c r="R536" s="8">
        <v>7675</v>
      </c>
      <c r="S536" s="8">
        <v>7901</v>
      </c>
      <c r="T536" s="8">
        <v>7970</v>
      </c>
      <c r="U536" s="8">
        <v>7843</v>
      </c>
      <c r="V536" s="8">
        <v>7915</v>
      </c>
      <c r="W536" s="8">
        <v>7918</v>
      </c>
      <c r="X536" s="8">
        <v>7672</v>
      </c>
      <c r="Y536" s="8">
        <v>7766</v>
      </c>
      <c r="Z536" s="8">
        <v>8022</v>
      </c>
      <c r="AA536" s="8">
        <v>7808</v>
      </c>
      <c r="AB536" s="8">
        <v>7235</v>
      </c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spans="1:47" ht="14.4">
      <c r="A537" s="3">
        <f>LOOKUP(D537,'AMFI DATA_2023H2'!F:L,'AMFI DATA_2023H2'!L:L)</f>
        <v>544</v>
      </c>
      <c r="B537" s="4" t="s">
        <v>1611</v>
      </c>
      <c r="C537" s="4" t="s">
        <v>1612</v>
      </c>
      <c r="D537" s="5" t="s">
        <v>1613</v>
      </c>
      <c r="E537" s="5">
        <v>4907.3900000000003</v>
      </c>
      <c r="F537" s="6">
        <f>LOOKUP(D537,'AMFI DATA_2023H2'!F:J,'AMFI DATA_2023H2'!J:J)</f>
        <v>6515.9035999999996</v>
      </c>
      <c r="G537" s="7">
        <f t="shared" si="2"/>
        <v>-1</v>
      </c>
      <c r="H537" s="8"/>
      <c r="I537" s="8">
        <v>7075</v>
      </c>
      <c r="J537" s="8">
        <v>7101</v>
      </c>
      <c r="K537" s="8">
        <v>7120</v>
      </c>
      <c r="L537" s="8">
        <v>7251</v>
      </c>
      <c r="M537" s="8">
        <v>7297</v>
      </c>
      <c r="N537" s="8">
        <v>7194</v>
      </c>
      <c r="O537" s="8">
        <v>7186</v>
      </c>
      <c r="P537" s="8">
        <v>7200</v>
      </c>
      <c r="Q537" s="8">
        <v>7267</v>
      </c>
      <c r="R537" s="8">
        <v>7295</v>
      </c>
      <c r="S537" s="8">
        <v>7324</v>
      </c>
      <c r="T537" s="8">
        <v>7301</v>
      </c>
      <c r="U537" s="8">
        <v>7190</v>
      </c>
      <c r="V537" s="8">
        <v>7180</v>
      </c>
      <c r="W537" s="8">
        <v>7134</v>
      </c>
      <c r="X537" s="8">
        <v>7154</v>
      </c>
      <c r="Y537" s="8">
        <v>7037</v>
      </c>
      <c r="Z537" s="8">
        <v>7130</v>
      </c>
      <c r="AA537" s="8">
        <v>7004</v>
      </c>
      <c r="AB537" s="8">
        <v>7045</v>
      </c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spans="1:47" ht="14.4">
      <c r="A538" s="3">
        <f>LOOKUP(D538,'AMFI DATA_2023H2'!F:L,'AMFI DATA_2023H2'!L:L)</f>
        <v>545</v>
      </c>
      <c r="B538" s="4" t="s">
        <v>1614</v>
      </c>
      <c r="C538" s="4" t="s">
        <v>1615</v>
      </c>
      <c r="D538" s="5" t="s">
        <v>1616</v>
      </c>
      <c r="E538" s="5">
        <v>3938.86</v>
      </c>
      <c r="F538" s="6">
        <f>LOOKUP(D538,'AMFI DATA_2023H2'!F:J,'AMFI DATA_2023H2'!J:J)</f>
        <v>6507.2971500000003</v>
      </c>
      <c r="G538" s="7">
        <f t="shared" si="2"/>
        <v>-1</v>
      </c>
      <c r="H538" s="8"/>
      <c r="I538" s="8">
        <v>8821</v>
      </c>
      <c r="J538" s="8">
        <v>8708</v>
      </c>
      <c r="K538" s="8">
        <v>8626</v>
      </c>
      <c r="L538" s="8">
        <v>8928</v>
      </c>
      <c r="M538" s="8">
        <v>8657</v>
      </c>
      <c r="N538" s="8">
        <v>8618</v>
      </c>
      <c r="O538" s="8">
        <v>8562</v>
      </c>
      <c r="P538" s="8">
        <v>8544</v>
      </c>
      <c r="Q538" s="8">
        <v>8693</v>
      </c>
      <c r="R538" s="8">
        <v>8693</v>
      </c>
      <c r="S538" s="8">
        <v>8643</v>
      </c>
      <c r="T538" s="8">
        <v>8804</v>
      </c>
      <c r="U538" s="8">
        <v>8766</v>
      </c>
      <c r="V538" s="8">
        <v>8350</v>
      </c>
      <c r="W538" s="8">
        <v>8411</v>
      </c>
      <c r="X538" s="8">
        <v>8603</v>
      </c>
      <c r="Y538" s="8">
        <v>8733</v>
      </c>
      <c r="Z538" s="8">
        <v>8713</v>
      </c>
      <c r="AA538" s="8">
        <v>8583</v>
      </c>
      <c r="AB538" s="8">
        <v>8718</v>
      </c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</row>
    <row r="539" spans="1:47" ht="14.4">
      <c r="A539" s="3">
        <f>LOOKUP(D539,'AMFI DATA_2023H2'!F:L,'AMFI DATA_2023H2'!L:L)</f>
        <v>546</v>
      </c>
      <c r="B539" s="4" t="s">
        <v>1617</v>
      </c>
      <c r="C539" s="4" t="s">
        <v>1618</v>
      </c>
      <c r="D539" s="5" t="s">
        <v>1619</v>
      </c>
      <c r="E539" s="5">
        <v>5483.26</v>
      </c>
      <c r="F539" s="6">
        <f>LOOKUP(D539,'AMFI DATA_2023H2'!F:J,'AMFI DATA_2023H2'!J:J)</f>
        <v>6498.0748999999996</v>
      </c>
      <c r="G539" s="7">
        <f t="shared" si="2"/>
        <v>-1</v>
      </c>
      <c r="H539" s="8"/>
      <c r="I539" s="8">
        <v>6898</v>
      </c>
      <c r="J539" s="8">
        <v>6791</v>
      </c>
      <c r="K539" s="8">
        <v>6788</v>
      </c>
      <c r="L539" s="8">
        <v>6683</v>
      </c>
      <c r="M539" s="8">
        <v>6858</v>
      </c>
      <c r="N539" s="8">
        <v>6703</v>
      </c>
      <c r="O539" s="8">
        <v>6613</v>
      </c>
      <c r="P539" s="8">
        <v>6629</v>
      </c>
      <c r="Q539" s="8">
        <v>6598</v>
      </c>
      <c r="R539" s="8">
        <v>6704</v>
      </c>
      <c r="S539" s="8">
        <v>6694</v>
      </c>
      <c r="T539" s="8">
        <v>6703</v>
      </c>
      <c r="U539" s="8">
        <v>6704</v>
      </c>
      <c r="V539" s="8">
        <v>6600</v>
      </c>
      <c r="W539" s="8">
        <v>6773</v>
      </c>
      <c r="X539" s="8">
        <v>6644</v>
      </c>
      <c r="Y539" s="8">
        <v>6689</v>
      </c>
      <c r="Z539" s="8">
        <v>6794</v>
      </c>
      <c r="AA539" s="8">
        <v>6775</v>
      </c>
      <c r="AB539" s="8">
        <v>6852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</row>
    <row r="540" spans="1:47" ht="14.4">
      <c r="A540" s="3">
        <f>LOOKUP(D540,'AMFI DATA_2023H2'!F:L,'AMFI DATA_2023H2'!L:L)</f>
        <v>547</v>
      </c>
      <c r="B540" s="4" t="s">
        <v>1620</v>
      </c>
      <c r="C540" s="4" t="s">
        <v>1621</v>
      </c>
      <c r="D540" s="5" t="s">
        <v>1622</v>
      </c>
      <c r="E540" s="5">
        <v>882.71</v>
      </c>
      <c r="F540" s="6">
        <f>LOOKUP(D540,'AMFI DATA_2023H2'!F:J,'AMFI DATA_2023H2'!J:J)</f>
        <v>6497.5578000000005</v>
      </c>
      <c r="G540" s="7">
        <f t="shared" si="2"/>
        <v>-1</v>
      </c>
      <c r="H540" s="8"/>
      <c r="I540" s="8">
        <v>16250</v>
      </c>
      <c r="J540" s="8">
        <v>16306</v>
      </c>
      <c r="K540" s="8">
        <v>16503</v>
      </c>
      <c r="L540" s="8">
        <v>16526</v>
      </c>
      <c r="M540" s="8">
        <v>15872</v>
      </c>
      <c r="N540" s="8">
        <v>15116</v>
      </c>
      <c r="O540" s="8">
        <v>14631</v>
      </c>
      <c r="P540" s="8">
        <v>14168</v>
      </c>
      <c r="Q540" s="8">
        <v>14682</v>
      </c>
      <c r="R540" s="8">
        <v>14371</v>
      </c>
      <c r="S540" s="8">
        <v>13880</v>
      </c>
      <c r="T540" s="8">
        <v>13621</v>
      </c>
      <c r="U540" s="8">
        <v>12959</v>
      </c>
      <c r="V540" s="8">
        <v>12195</v>
      </c>
      <c r="W540" s="8">
        <v>12493</v>
      </c>
      <c r="X540" s="8">
        <v>12228</v>
      </c>
      <c r="Y540" s="8">
        <v>12435</v>
      </c>
      <c r="Z540" s="8">
        <v>12034</v>
      </c>
      <c r="AA540" s="8">
        <v>11841</v>
      </c>
      <c r="AB540" s="8">
        <v>11987</v>
      </c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</row>
    <row r="541" spans="1:47" ht="14.4">
      <c r="A541" s="3">
        <f>LOOKUP(D541,'AMFI DATA_2023H2'!F:L,'AMFI DATA_2023H2'!L:L)</f>
        <v>548</v>
      </c>
      <c r="B541" s="4" t="s">
        <v>1623</v>
      </c>
      <c r="C541" s="4" t="s">
        <v>1624</v>
      </c>
      <c r="D541" s="5" t="s">
        <v>1625</v>
      </c>
      <c r="E541" s="5">
        <v>15207.12</v>
      </c>
      <c r="F541" s="6">
        <f>LOOKUP(D541,'AMFI DATA_2023H2'!F:J,'AMFI DATA_2023H2'!J:J)</f>
        <v>6425.60455</v>
      </c>
      <c r="G541" s="7">
        <f t="shared" si="2"/>
        <v>-1</v>
      </c>
      <c r="H541" s="8"/>
      <c r="I541" s="8">
        <v>6482</v>
      </c>
      <c r="J541" s="8">
        <v>6411</v>
      </c>
      <c r="K541" s="8">
        <v>6306</v>
      </c>
      <c r="L541" s="8">
        <v>6385</v>
      </c>
      <c r="M541" s="8">
        <v>6299</v>
      </c>
      <c r="N541" s="8">
        <v>6557</v>
      </c>
      <c r="O541" s="8">
        <v>6690</v>
      </c>
      <c r="P541" s="8">
        <v>6775</v>
      </c>
      <c r="Q541" s="8">
        <v>6889</v>
      </c>
      <c r="R541" s="8">
        <v>6998</v>
      </c>
      <c r="S541" s="8">
        <v>6542</v>
      </c>
      <c r="T541" s="8">
        <v>6668</v>
      </c>
      <c r="U541" s="8">
        <v>6482</v>
      </c>
      <c r="V541" s="8">
        <v>6574</v>
      </c>
      <c r="W541" s="8">
        <v>6387</v>
      </c>
      <c r="X541" s="8">
        <v>6385</v>
      </c>
      <c r="Y541" s="8">
        <v>6400</v>
      </c>
      <c r="Z541" s="8">
        <v>6436</v>
      </c>
      <c r="AA541" s="8">
        <v>6426</v>
      </c>
      <c r="AB541" s="8">
        <v>6267</v>
      </c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</row>
    <row r="542" spans="1:47" ht="14.4">
      <c r="A542" s="3">
        <f>LOOKUP(D542,'AMFI DATA_2023H2'!F:L,'AMFI DATA_2023H2'!L:L)</f>
        <v>549</v>
      </c>
      <c r="B542" s="4" t="s">
        <v>1626</v>
      </c>
      <c r="C542" s="4" t="s">
        <v>1627</v>
      </c>
      <c r="D542" s="5" t="s">
        <v>1628</v>
      </c>
      <c r="E542" s="5">
        <v>5496.03</v>
      </c>
      <c r="F542" s="6">
        <f>LOOKUP(D542,'AMFI DATA_2023H2'!F:J,'AMFI DATA_2023H2'!J:J)</f>
        <v>6424.1138000000001</v>
      </c>
      <c r="G542" s="7">
        <f t="shared" si="2"/>
        <v>-1</v>
      </c>
      <c r="H542" s="8"/>
      <c r="I542" s="8">
        <v>6310</v>
      </c>
      <c r="J542" s="8">
        <v>6296</v>
      </c>
      <c r="K542" s="8">
        <v>6288</v>
      </c>
      <c r="L542" s="8">
        <v>6347</v>
      </c>
      <c r="M542" s="8">
        <v>6369</v>
      </c>
      <c r="N542" s="8">
        <v>6277</v>
      </c>
      <c r="O542" s="8">
        <v>6320</v>
      </c>
      <c r="P542" s="8">
        <v>6288</v>
      </c>
      <c r="Q542" s="8">
        <v>6304</v>
      </c>
      <c r="R542" s="8">
        <v>6245</v>
      </c>
      <c r="S542" s="8">
        <v>6412</v>
      </c>
      <c r="T542" s="8">
        <v>6401</v>
      </c>
      <c r="U542" s="8">
        <v>6313</v>
      </c>
      <c r="V542" s="8">
        <v>6307</v>
      </c>
      <c r="W542" s="8">
        <v>6367</v>
      </c>
      <c r="X542" s="8">
        <v>6401</v>
      </c>
      <c r="Y542" s="8">
        <v>6286</v>
      </c>
      <c r="Z542" s="8">
        <v>6304</v>
      </c>
      <c r="AA542" s="8">
        <v>6281</v>
      </c>
      <c r="AB542" s="8">
        <v>6283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</row>
    <row r="543" spans="1:47" ht="14.4">
      <c r="A543" s="3">
        <f>LOOKUP(D543,'AMFI DATA_2023H2'!F:L,'AMFI DATA_2023H2'!L:L)</f>
        <v>550</v>
      </c>
      <c r="B543" s="4" t="s">
        <v>1629</v>
      </c>
      <c r="C543" s="4" t="s">
        <v>1630</v>
      </c>
      <c r="D543" s="5" t="s">
        <v>1631</v>
      </c>
      <c r="E543" s="5">
        <v>5525.04</v>
      </c>
      <c r="F543" s="6">
        <f>LOOKUP(D543,'AMFI DATA_2023H2'!F:J,'AMFI DATA_2023H2'!J:J)</f>
        <v>6388.4168117131712</v>
      </c>
      <c r="G543" s="7">
        <f t="shared" si="2"/>
        <v>-1</v>
      </c>
      <c r="H543" s="8"/>
      <c r="I543" s="8">
        <v>7195</v>
      </c>
      <c r="J543" s="8">
        <v>7219</v>
      </c>
      <c r="K543" s="8">
        <v>7378</v>
      </c>
      <c r="L543" s="8">
        <v>7482</v>
      </c>
      <c r="M543" s="8">
        <v>7553</v>
      </c>
      <c r="N543" s="8">
        <v>7424</v>
      </c>
      <c r="O543" s="8">
        <v>7483</v>
      </c>
      <c r="P543" s="8">
        <v>7158</v>
      </c>
      <c r="Q543" s="8">
        <v>6945</v>
      </c>
      <c r="R543" s="8">
        <v>6929</v>
      </c>
      <c r="S543" s="8">
        <v>6917</v>
      </c>
      <c r="T543" s="8">
        <v>6890</v>
      </c>
      <c r="U543" s="8">
        <v>6861</v>
      </c>
      <c r="V543" s="8">
        <v>6841</v>
      </c>
      <c r="W543" s="8">
        <v>6829</v>
      </c>
      <c r="X543" s="8">
        <v>6803</v>
      </c>
      <c r="Y543" s="8">
        <v>6726</v>
      </c>
      <c r="Z543" s="8">
        <v>6685</v>
      </c>
      <c r="AA543" s="8">
        <v>6745</v>
      </c>
      <c r="AB543" s="8">
        <v>6695</v>
      </c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spans="1:47" ht="14.4">
      <c r="A544" s="3">
        <f>LOOKUP(D544,'AMFI DATA_2023H2'!F:L,'AMFI DATA_2023H2'!L:L)</f>
        <v>551</v>
      </c>
      <c r="B544" s="4" t="s">
        <v>1632</v>
      </c>
      <c r="C544" s="4" t="s">
        <v>1633</v>
      </c>
      <c r="D544" s="5" t="s">
        <v>1634</v>
      </c>
      <c r="E544" s="5">
        <v>3608.64</v>
      </c>
      <c r="F544" s="6">
        <f>LOOKUP(D544,'AMFI DATA_2023H2'!F:J,'AMFI DATA_2023H2'!J:J)</f>
        <v>6305.6399000000001</v>
      </c>
      <c r="G544" s="7">
        <f t="shared" si="2"/>
        <v>-1</v>
      </c>
      <c r="H544" s="8"/>
      <c r="I544" s="8">
        <v>7276</v>
      </c>
      <c r="J544" s="8">
        <v>7153</v>
      </c>
      <c r="K544" s="8">
        <v>7148</v>
      </c>
      <c r="L544" s="8">
        <v>7332</v>
      </c>
      <c r="M544" s="8">
        <v>7335</v>
      </c>
      <c r="N544" s="8">
        <v>7337</v>
      </c>
      <c r="O544" s="8">
        <v>7293</v>
      </c>
      <c r="P544" s="8">
        <v>7095</v>
      </c>
      <c r="Q544" s="8">
        <v>7116</v>
      </c>
      <c r="R544" s="8">
        <v>6934</v>
      </c>
      <c r="S544" s="8">
        <v>7081</v>
      </c>
      <c r="T544" s="8">
        <v>7217</v>
      </c>
      <c r="U544" s="8">
        <v>6878</v>
      </c>
      <c r="V544" s="8">
        <v>6833</v>
      </c>
      <c r="W544" s="8">
        <v>6879</v>
      </c>
      <c r="X544" s="8">
        <v>6890</v>
      </c>
      <c r="Y544" s="8">
        <v>6928</v>
      </c>
      <c r="Z544" s="8">
        <v>6924</v>
      </c>
      <c r="AA544" s="8">
        <v>6895</v>
      </c>
      <c r="AB544" s="8">
        <v>7039</v>
      </c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spans="1:47" ht="14.4">
      <c r="A545" s="3">
        <f>LOOKUP(D545,'AMFI DATA_2023H2'!F:L,'AMFI DATA_2023H2'!L:L)</f>
        <v>552</v>
      </c>
      <c r="B545" s="4" t="s">
        <v>1635</v>
      </c>
      <c r="C545" s="4" t="s">
        <v>1636</v>
      </c>
      <c r="D545" s="5" t="s">
        <v>1637</v>
      </c>
      <c r="E545" s="5">
        <v>5190.54</v>
      </c>
      <c r="F545" s="6">
        <f>LOOKUP(D545,'AMFI DATA_2023H2'!F:J,'AMFI DATA_2023H2'!J:J)</f>
        <v>6301.7384000000002</v>
      </c>
      <c r="G545" s="7">
        <f t="shared" si="2"/>
        <v>-1</v>
      </c>
      <c r="H545" s="8"/>
      <c r="I545" s="8">
        <v>7723</v>
      </c>
      <c r="J545" s="8">
        <v>7752</v>
      </c>
      <c r="K545" s="8">
        <v>7791</v>
      </c>
      <c r="L545" s="8">
        <v>7967</v>
      </c>
      <c r="M545" s="8">
        <v>8049</v>
      </c>
      <c r="N545" s="8">
        <v>7994</v>
      </c>
      <c r="O545" s="8">
        <v>7986</v>
      </c>
      <c r="P545" s="8">
        <v>7578</v>
      </c>
      <c r="Q545" s="8">
        <v>7537</v>
      </c>
      <c r="R545" s="8">
        <v>7561</v>
      </c>
      <c r="S545" s="8">
        <v>7566</v>
      </c>
      <c r="T545" s="8">
        <v>7694</v>
      </c>
      <c r="U545" s="8">
        <v>7571</v>
      </c>
      <c r="V545" s="8">
        <v>7682</v>
      </c>
      <c r="W545" s="8">
        <v>7670</v>
      </c>
      <c r="X545" s="8">
        <v>7397</v>
      </c>
      <c r="Y545" s="8">
        <v>7276</v>
      </c>
      <c r="Z545" s="8">
        <v>7049</v>
      </c>
      <c r="AA545" s="8">
        <v>7174</v>
      </c>
      <c r="AB545" s="8">
        <v>7092</v>
      </c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</row>
    <row r="546" spans="1:47" ht="14.4">
      <c r="A546" s="3">
        <f>LOOKUP(D546,'AMFI DATA_2023H2'!F:L,'AMFI DATA_2023H2'!L:L)</f>
        <v>553</v>
      </c>
      <c r="B546" s="4" t="s">
        <v>1638</v>
      </c>
      <c r="C546" s="4" t="s">
        <v>1639</v>
      </c>
      <c r="D546" s="5" t="s">
        <v>1640</v>
      </c>
      <c r="E546" s="5">
        <v>6342.64</v>
      </c>
      <c r="F546" s="6">
        <f>LOOKUP(D546,'AMFI DATA_2023H2'!F:J,'AMFI DATA_2023H2'!J:J)</f>
        <v>6232.0686000000005</v>
      </c>
      <c r="G546" s="7">
        <f t="shared" si="2"/>
        <v>-1</v>
      </c>
      <c r="H546" s="8"/>
      <c r="I546" s="8">
        <v>7283</v>
      </c>
      <c r="J546" s="8">
        <v>6778</v>
      </c>
      <c r="K546" s="8">
        <v>6923</v>
      </c>
      <c r="L546" s="8">
        <v>7081</v>
      </c>
      <c r="M546" s="8">
        <v>6945</v>
      </c>
      <c r="N546" s="8">
        <v>6673</v>
      </c>
      <c r="O546" s="8">
        <v>6590</v>
      </c>
      <c r="P546" s="8">
        <v>6602</v>
      </c>
      <c r="Q546" s="8">
        <v>6712</v>
      </c>
      <c r="R546" s="8">
        <v>6641</v>
      </c>
      <c r="S546" s="8">
        <v>6724</v>
      </c>
      <c r="T546" s="8">
        <v>6791</v>
      </c>
      <c r="U546" s="8">
        <v>6744</v>
      </c>
      <c r="V546" s="8">
        <v>6727</v>
      </c>
      <c r="W546" s="8">
        <v>6862</v>
      </c>
      <c r="X546" s="8">
        <v>6899</v>
      </c>
      <c r="Y546" s="8">
        <v>6949</v>
      </c>
      <c r="Z546" s="8">
        <v>6990</v>
      </c>
      <c r="AA546" s="8">
        <v>6687</v>
      </c>
      <c r="AB546" s="8">
        <v>6594</v>
      </c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</row>
    <row r="547" spans="1:47" ht="14.4">
      <c r="A547" s="3">
        <f>LOOKUP(D547,'AMFI DATA_2023H2'!F:L,'AMFI DATA_2023H2'!L:L)</f>
        <v>554</v>
      </c>
      <c r="B547" s="4" t="s">
        <v>1641</v>
      </c>
      <c r="C547" s="4" t="s">
        <v>1642</v>
      </c>
      <c r="D547" s="5" t="s">
        <v>1643</v>
      </c>
      <c r="E547" s="5">
        <v>4606.49</v>
      </c>
      <c r="F547" s="6">
        <f>LOOKUP(D547,'AMFI DATA_2023H2'!F:J,'AMFI DATA_2023H2'!J:J)</f>
        <v>6227.5643500000006</v>
      </c>
      <c r="G547" s="7">
        <f t="shared" si="2"/>
        <v>-1</v>
      </c>
      <c r="H547" s="8"/>
      <c r="I547" s="8">
        <v>7150</v>
      </c>
      <c r="J547" s="8">
        <v>7134</v>
      </c>
      <c r="K547" s="8">
        <v>6822</v>
      </c>
      <c r="L547" s="8">
        <v>6731</v>
      </c>
      <c r="M547" s="8">
        <v>6846</v>
      </c>
      <c r="N547" s="8">
        <v>6914</v>
      </c>
      <c r="O547" s="8">
        <v>6642</v>
      </c>
      <c r="P547" s="8">
        <v>6577</v>
      </c>
      <c r="Q547" s="8">
        <v>6783</v>
      </c>
      <c r="R547" s="8">
        <v>6784</v>
      </c>
      <c r="S547" s="8">
        <v>6876</v>
      </c>
      <c r="T547" s="8">
        <v>6885</v>
      </c>
      <c r="U547" s="8">
        <v>6823</v>
      </c>
      <c r="V547" s="8">
        <v>6609</v>
      </c>
      <c r="W547" s="8">
        <v>6523</v>
      </c>
      <c r="X547" s="8">
        <v>6577</v>
      </c>
      <c r="Y547" s="8">
        <v>6513</v>
      </c>
      <c r="Z547" s="8">
        <v>6558</v>
      </c>
      <c r="AA547" s="8">
        <v>6606</v>
      </c>
      <c r="AB547" s="8">
        <v>6503</v>
      </c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spans="1:47" ht="14.4">
      <c r="A548" s="3">
        <f>LOOKUP(D548,'AMFI DATA_2023H2'!F:L,'AMFI DATA_2023H2'!L:L)</f>
        <v>555</v>
      </c>
      <c r="B548" s="4" t="s">
        <v>1644</v>
      </c>
      <c r="C548" s="4" t="s">
        <v>1645</v>
      </c>
      <c r="D548" s="5" t="s">
        <v>1646</v>
      </c>
      <c r="E548" s="5">
        <v>5013.53</v>
      </c>
      <c r="F548" s="6">
        <f>LOOKUP(D548,'AMFI DATA_2023H2'!F:J,'AMFI DATA_2023H2'!J:J)</f>
        <v>6215.7353999999996</v>
      </c>
      <c r="G548" s="7">
        <f t="shared" si="2"/>
        <v>-1</v>
      </c>
      <c r="H548" s="8"/>
      <c r="I548" s="8">
        <v>6747</v>
      </c>
      <c r="J548" s="8">
        <v>6551</v>
      </c>
      <c r="K548" s="8">
        <v>6539</v>
      </c>
      <c r="L548" s="8">
        <v>6585</v>
      </c>
      <c r="M548" s="8">
        <v>6428</v>
      </c>
      <c r="N548" s="8">
        <v>6435</v>
      </c>
      <c r="O548" s="8">
        <v>6425</v>
      </c>
      <c r="P548" s="8">
        <v>6378</v>
      </c>
      <c r="Q548" s="8">
        <v>6434</v>
      </c>
      <c r="R548" s="8">
        <v>6536</v>
      </c>
      <c r="S548" s="8">
        <v>6520</v>
      </c>
      <c r="T548" s="8">
        <v>6436</v>
      </c>
      <c r="U548" s="8">
        <v>6394</v>
      </c>
      <c r="V548" s="8">
        <v>6390</v>
      </c>
      <c r="W548" s="8">
        <v>6437</v>
      </c>
      <c r="X548" s="8">
        <v>6404</v>
      </c>
      <c r="Y548" s="8">
        <v>6310</v>
      </c>
      <c r="Z548" s="8">
        <v>6242</v>
      </c>
      <c r="AA548" s="8">
        <v>6364</v>
      </c>
      <c r="AB548" s="8">
        <v>6341</v>
      </c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spans="1:47" ht="14.4">
      <c r="A549" s="3">
        <f>LOOKUP(D549,'AMFI DATA_2023H2'!F:L,'AMFI DATA_2023H2'!L:L)</f>
        <v>556</v>
      </c>
      <c r="B549" s="4" t="s">
        <v>1647</v>
      </c>
      <c r="C549" s="4" t="s">
        <v>1648</v>
      </c>
      <c r="D549" s="5" t="s">
        <v>1649</v>
      </c>
      <c r="E549" s="5">
        <v>3483.6</v>
      </c>
      <c r="F549" s="6">
        <f>LOOKUP(D549,'AMFI DATA_2023H2'!F:J,'AMFI DATA_2023H2'!J:J)</f>
        <v>6201.8824000000004</v>
      </c>
      <c r="G549" s="7">
        <f t="shared" si="2"/>
        <v>-1</v>
      </c>
      <c r="H549" s="8"/>
      <c r="I549" s="8">
        <v>6976</v>
      </c>
      <c r="J549" s="8">
        <v>7007</v>
      </c>
      <c r="K549" s="8">
        <v>7288</v>
      </c>
      <c r="L549" s="8">
        <v>7257</v>
      </c>
      <c r="M549" s="8">
        <v>7064</v>
      </c>
      <c r="N549" s="8">
        <v>7016</v>
      </c>
      <c r="O549" s="8">
        <v>7010</v>
      </c>
      <c r="P549" s="8">
        <v>6863</v>
      </c>
      <c r="Q549" s="8">
        <v>6891</v>
      </c>
      <c r="R549" s="8">
        <v>6959</v>
      </c>
      <c r="S549" s="8">
        <v>7051</v>
      </c>
      <c r="T549" s="8">
        <v>7040</v>
      </c>
      <c r="U549" s="8">
        <v>6949</v>
      </c>
      <c r="V549" s="8">
        <v>7116</v>
      </c>
      <c r="W549" s="8">
        <v>6640</v>
      </c>
      <c r="X549" s="8">
        <v>6567</v>
      </c>
      <c r="Y549" s="8">
        <v>6685</v>
      </c>
      <c r="Z549" s="8">
        <v>6803</v>
      </c>
      <c r="AA549" s="8">
        <v>6818</v>
      </c>
      <c r="AB549" s="8">
        <v>6751</v>
      </c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spans="1:47" ht="14.4">
      <c r="A550" s="3">
        <f>LOOKUP(D550,'AMFI DATA_2023H2'!F:L,'AMFI DATA_2023H2'!L:L)</f>
        <v>557</v>
      </c>
      <c r="B550" s="4" t="s">
        <v>1650</v>
      </c>
      <c r="C550" s="4" t="s">
        <v>1651</v>
      </c>
      <c r="D550" s="5" t="s">
        <v>1652</v>
      </c>
      <c r="E550" s="5">
        <v>6399.34</v>
      </c>
      <c r="F550" s="6">
        <f>LOOKUP(D550,'AMFI DATA_2023H2'!F:J,'AMFI DATA_2023H2'!J:J)</f>
        <v>6199.6597999999994</v>
      </c>
      <c r="G550" s="7">
        <f t="shared" si="2"/>
        <v>-1</v>
      </c>
      <c r="H550" s="8"/>
      <c r="I550" s="8">
        <v>6121</v>
      </c>
      <c r="J550" s="8">
        <v>6059</v>
      </c>
      <c r="K550" s="8">
        <v>6122</v>
      </c>
      <c r="L550" s="8">
        <v>6194</v>
      </c>
      <c r="M550" s="8">
        <v>6156</v>
      </c>
      <c r="N550" s="8">
        <v>6182</v>
      </c>
      <c r="O550" s="8">
        <v>6104</v>
      </c>
      <c r="P550" s="8">
        <v>6135</v>
      </c>
      <c r="Q550" s="8">
        <v>6141</v>
      </c>
      <c r="R550" s="8">
        <v>6167</v>
      </c>
      <c r="S550" s="8">
        <v>6211</v>
      </c>
      <c r="T550" s="8">
        <v>6217</v>
      </c>
      <c r="U550" s="8">
        <v>6205</v>
      </c>
      <c r="V550" s="8">
        <v>6261</v>
      </c>
      <c r="W550" s="8">
        <v>6288</v>
      </c>
      <c r="X550" s="8">
        <v>6328</v>
      </c>
      <c r="Y550" s="8">
        <v>6201</v>
      </c>
      <c r="Z550" s="8">
        <v>6212</v>
      </c>
      <c r="AA550" s="8">
        <v>6215</v>
      </c>
      <c r="AB550" s="8">
        <v>6251</v>
      </c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spans="1:47" ht="14.4">
      <c r="A551" s="3">
        <f>LOOKUP(D551,'AMFI DATA_2023H2'!F:L,'AMFI DATA_2023H2'!L:L)</f>
        <v>558</v>
      </c>
      <c r="B551" s="4" t="s">
        <v>1653</v>
      </c>
      <c r="C551" s="4" t="s">
        <v>1654</v>
      </c>
      <c r="D551" s="5" t="s">
        <v>1655</v>
      </c>
      <c r="E551" s="5">
        <v>5431.23</v>
      </c>
      <c r="F551" s="6">
        <f>LOOKUP(D551,'AMFI DATA_2023H2'!F:J,'AMFI DATA_2023H2'!J:J)</f>
        <v>6188.6108000000004</v>
      </c>
      <c r="G551" s="7">
        <f t="shared" si="2"/>
        <v>-1</v>
      </c>
      <c r="H551" s="8"/>
      <c r="I551" s="8">
        <v>6382</v>
      </c>
      <c r="J551" s="8">
        <v>6290</v>
      </c>
      <c r="K551" s="8">
        <v>6299</v>
      </c>
      <c r="L551" s="8">
        <v>6247</v>
      </c>
      <c r="M551" s="8">
        <v>6255</v>
      </c>
      <c r="N551" s="8">
        <v>6197</v>
      </c>
      <c r="O551" s="8">
        <v>6267</v>
      </c>
      <c r="P551" s="8">
        <v>6236</v>
      </c>
      <c r="Q551" s="8">
        <v>6193</v>
      </c>
      <c r="R551" s="8">
        <v>6202</v>
      </c>
      <c r="S551" s="8">
        <v>6372</v>
      </c>
      <c r="T551" s="8">
        <v>6394</v>
      </c>
      <c r="U551" s="8">
        <v>6398</v>
      </c>
      <c r="V551" s="8">
        <v>6451</v>
      </c>
      <c r="W551" s="8">
        <v>6634</v>
      </c>
      <c r="X551" s="8">
        <v>6711</v>
      </c>
      <c r="Y551" s="8">
        <v>6652</v>
      </c>
      <c r="Z551" s="8">
        <v>6582</v>
      </c>
      <c r="AA551" s="8">
        <v>6455</v>
      </c>
      <c r="AB551" s="8">
        <v>6463</v>
      </c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</row>
    <row r="552" spans="1:47" ht="14.4">
      <c r="A552" s="3">
        <f>LOOKUP(D552,'AMFI DATA_2023H2'!F:L,'AMFI DATA_2023H2'!L:L)</f>
        <v>559</v>
      </c>
      <c r="B552" s="4" t="s">
        <v>1656</v>
      </c>
      <c r="C552" s="4" t="s">
        <v>1657</v>
      </c>
      <c r="D552" s="5" t="s">
        <v>1658</v>
      </c>
      <c r="E552" s="5">
        <v>312871.87</v>
      </c>
      <c r="F552" s="6">
        <f>LOOKUP(D552,'AMFI DATA_2023H2'!F:J,'AMFI DATA_2023H2'!J:J)</f>
        <v>6178.0210000000006</v>
      </c>
      <c r="G552" s="7">
        <f t="shared" si="2"/>
        <v>-1</v>
      </c>
      <c r="H552" s="8"/>
      <c r="I552" s="8">
        <v>6988</v>
      </c>
      <c r="J552" s="8">
        <v>6942</v>
      </c>
      <c r="K552" s="8">
        <v>6907</v>
      </c>
      <c r="L552" s="8">
        <v>7094</v>
      </c>
      <c r="M552" s="8">
        <v>7079</v>
      </c>
      <c r="N552" s="8">
        <v>7239</v>
      </c>
      <c r="O552" s="8">
        <v>7249</v>
      </c>
      <c r="P552" s="8">
        <v>7046</v>
      </c>
      <c r="Q552" s="8">
        <v>6922</v>
      </c>
      <c r="R552" s="8">
        <v>7054</v>
      </c>
      <c r="S552" s="8">
        <v>7014</v>
      </c>
      <c r="T552" s="8">
        <v>7011</v>
      </c>
      <c r="U552" s="8">
        <v>6994</v>
      </c>
      <c r="V552" s="8">
        <v>7037</v>
      </c>
      <c r="W552" s="8">
        <v>7072</v>
      </c>
      <c r="X552" s="8">
        <v>7020</v>
      </c>
      <c r="Y552" s="8">
        <v>6933</v>
      </c>
      <c r="Z552" s="8">
        <v>6990</v>
      </c>
      <c r="AA552" s="8">
        <v>7065</v>
      </c>
      <c r="AB552" s="8">
        <v>6968</v>
      </c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spans="1:47" ht="14.4">
      <c r="A553" s="3">
        <f>LOOKUP(D553,'AMFI DATA_2023H2'!F:L,'AMFI DATA_2023H2'!L:L)</f>
        <v>560</v>
      </c>
      <c r="B553" s="4" t="s">
        <v>1659</v>
      </c>
      <c r="C553" s="4" t="s">
        <v>1660</v>
      </c>
      <c r="D553" s="5" t="s">
        <v>1661</v>
      </c>
      <c r="E553" s="5">
        <v>4485.08</v>
      </c>
      <c r="F553" s="6">
        <f>LOOKUP(D553,'AMFI DATA_2023H2'!F:J,'AMFI DATA_2023H2'!J:J)</f>
        <v>6171.9416000000001</v>
      </c>
      <c r="G553" s="7">
        <f t="shared" si="2"/>
        <v>-1</v>
      </c>
      <c r="H553" s="8"/>
      <c r="I553" s="8">
        <v>7963</v>
      </c>
      <c r="J553" s="8">
        <v>7851</v>
      </c>
      <c r="K553" s="8">
        <v>7928</v>
      </c>
      <c r="L553" s="8">
        <v>7991</v>
      </c>
      <c r="M553" s="8">
        <v>8105</v>
      </c>
      <c r="N553" s="8">
        <v>8035</v>
      </c>
      <c r="O553" s="8">
        <v>7981</v>
      </c>
      <c r="P553" s="8">
        <v>7951</v>
      </c>
      <c r="Q553" s="8">
        <v>8072</v>
      </c>
      <c r="R553" s="8">
        <v>7821</v>
      </c>
      <c r="S553" s="8">
        <v>7958</v>
      </c>
      <c r="T553" s="8">
        <v>8058</v>
      </c>
      <c r="U553" s="8">
        <v>8119</v>
      </c>
      <c r="V553" s="8">
        <v>8105</v>
      </c>
      <c r="W553" s="8">
        <v>7634</v>
      </c>
      <c r="X553" s="8">
        <v>7588</v>
      </c>
      <c r="Y553" s="8">
        <v>7707</v>
      </c>
      <c r="Z553" s="8">
        <v>7711</v>
      </c>
      <c r="AA553" s="8">
        <v>7749</v>
      </c>
      <c r="AB553" s="8">
        <v>7641</v>
      </c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spans="1:47" ht="14.4">
      <c r="A554" s="3">
        <f>LOOKUP(D554,'AMFI DATA_2023H2'!F:L,'AMFI DATA_2023H2'!L:L)</f>
        <v>561</v>
      </c>
      <c r="B554" s="4" t="s">
        <v>1662</v>
      </c>
      <c r="C554" s="4" t="s">
        <v>1663</v>
      </c>
      <c r="D554" s="5" t="s">
        <v>1664</v>
      </c>
      <c r="E554" s="5">
        <v>4209.04</v>
      </c>
      <c r="F554" s="6">
        <f>LOOKUP(D554,'AMFI DATA_2023H2'!F:J,'AMFI DATA_2023H2'!J:J)</f>
        <v>6145.6247999999996</v>
      </c>
      <c r="G554" s="7">
        <f t="shared" si="2"/>
        <v>-1</v>
      </c>
      <c r="H554" s="8"/>
      <c r="I554" s="8">
        <v>6666</v>
      </c>
      <c r="J554" s="8">
        <v>6772</v>
      </c>
      <c r="K554" s="8">
        <v>6818</v>
      </c>
      <c r="L554" s="8">
        <v>6707</v>
      </c>
      <c r="M554" s="8">
        <v>6689</v>
      </c>
      <c r="N554" s="8">
        <v>6878</v>
      </c>
      <c r="O554" s="8">
        <v>6951</v>
      </c>
      <c r="P554" s="8">
        <v>6890</v>
      </c>
      <c r="Q554" s="8">
        <v>7097</v>
      </c>
      <c r="R554" s="8">
        <v>7144</v>
      </c>
      <c r="S554" s="8">
        <v>7003</v>
      </c>
      <c r="T554" s="8">
        <v>6913</v>
      </c>
      <c r="U554" s="8">
        <v>7008</v>
      </c>
      <c r="V554" s="8">
        <v>6897</v>
      </c>
      <c r="W554" s="8">
        <v>6889</v>
      </c>
      <c r="X554" s="8">
        <v>6838</v>
      </c>
      <c r="Y554" s="8">
        <v>6883</v>
      </c>
      <c r="Z554" s="8">
        <v>6952</v>
      </c>
      <c r="AA554" s="8">
        <v>6890</v>
      </c>
      <c r="AB554" s="8">
        <v>6924</v>
      </c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spans="1:47" ht="14.4">
      <c r="A555" s="3">
        <f>LOOKUP(D555,'AMFI DATA_2023H2'!F:L,'AMFI DATA_2023H2'!L:L)</f>
        <v>562</v>
      </c>
      <c r="B555" s="4" t="s">
        <v>1665</v>
      </c>
      <c r="C555" s="4" t="s">
        <v>1666</v>
      </c>
      <c r="D555" s="5" t="s">
        <v>1667</v>
      </c>
      <c r="E555" s="5">
        <v>5225.9799999999996</v>
      </c>
      <c r="F555" s="6">
        <f>LOOKUP(D555,'AMFI DATA_2023H2'!F:J,'AMFI DATA_2023H2'!J:J)</f>
        <v>6127.1260500000008</v>
      </c>
      <c r="G555" s="7">
        <f t="shared" si="2"/>
        <v>-1</v>
      </c>
      <c r="H555" s="8"/>
      <c r="I555" s="8">
        <v>6359</v>
      </c>
      <c r="J555" s="8">
        <v>6438</v>
      </c>
      <c r="K555" s="8">
        <v>6536</v>
      </c>
      <c r="L555" s="8">
        <v>6594</v>
      </c>
      <c r="M555" s="8">
        <v>6708</v>
      </c>
      <c r="N555" s="8">
        <v>6769</v>
      </c>
      <c r="O555" s="8">
        <v>6687</v>
      </c>
      <c r="P555" s="8">
        <v>6727</v>
      </c>
      <c r="Q555" s="8">
        <v>6816</v>
      </c>
      <c r="R555" s="8">
        <v>6691</v>
      </c>
      <c r="S555" s="8">
        <v>6791</v>
      </c>
      <c r="T555" s="8">
        <v>6809</v>
      </c>
      <c r="U555" s="8">
        <v>6887</v>
      </c>
      <c r="V555" s="8">
        <v>6721</v>
      </c>
      <c r="W555" s="8">
        <v>6904</v>
      </c>
      <c r="X555" s="8">
        <v>6843</v>
      </c>
      <c r="Y555" s="8">
        <v>6574</v>
      </c>
      <c r="Z555" s="8">
        <v>6528</v>
      </c>
      <c r="AA555" s="8">
        <v>6473</v>
      </c>
      <c r="AB555" s="8">
        <v>6473</v>
      </c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</row>
    <row r="556" spans="1:47" ht="14.4">
      <c r="A556" s="3">
        <f>LOOKUP(D556,'AMFI DATA_2023H2'!F:L,'AMFI DATA_2023H2'!L:L)</f>
        <v>563</v>
      </c>
      <c r="B556" s="4" t="s">
        <v>1668</v>
      </c>
      <c r="C556" s="4" t="s">
        <v>1669</v>
      </c>
      <c r="D556" s="5" t="s">
        <v>1670</v>
      </c>
      <c r="E556" s="5">
        <v>3773.21</v>
      </c>
      <c r="F556" s="6">
        <f>LOOKUP(D556,'AMFI DATA_2023H2'!F:J,'AMFI DATA_2023H2'!J:J)</f>
        <v>6121.1021999999994</v>
      </c>
      <c r="G556" s="7">
        <f t="shared" si="2"/>
        <v>-1</v>
      </c>
      <c r="H556" s="8"/>
      <c r="I556" s="8">
        <v>7596</v>
      </c>
      <c r="J556" s="8">
        <v>7459</v>
      </c>
      <c r="K556" s="8">
        <v>7667</v>
      </c>
      <c r="L556" s="8">
        <v>7755</v>
      </c>
      <c r="M556" s="8">
        <v>7732</v>
      </c>
      <c r="N556" s="8">
        <v>7484</v>
      </c>
      <c r="O556" s="8">
        <v>7553</v>
      </c>
      <c r="P556" s="8">
        <v>7132</v>
      </c>
      <c r="Q556" s="8">
        <v>7131</v>
      </c>
      <c r="R556" s="8">
        <v>7093</v>
      </c>
      <c r="S556" s="8">
        <v>6857</v>
      </c>
      <c r="T556" s="8">
        <v>6908</v>
      </c>
      <c r="U556" s="8">
        <v>7010</v>
      </c>
      <c r="V556" s="8">
        <v>7085</v>
      </c>
      <c r="W556" s="8">
        <v>7082</v>
      </c>
      <c r="X556" s="8">
        <v>6780</v>
      </c>
      <c r="Y556" s="8">
        <v>6569</v>
      </c>
      <c r="Z556" s="8">
        <v>6512</v>
      </c>
      <c r="AA556" s="8">
        <v>6466</v>
      </c>
      <c r="AB556" s="8">
        <v>6466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</row>
    <row r="557" spans="1:47" ht="14.4">
      <c r="A557" s="3">
        <f>LOOKUP(D557,'AMFI DATA_2023H2'!F:L,'AMFI DATA_2023H2'!L:L)</f>
        <v>564</v>
      </c>
      <c r="B557" s="4" t="s">
        <v>1671</v>
      </c>
      <c r="C557" s="4" t="s">
        <v>1672</v>
      </c>
      <c r="D557" s="5" t="s">
        <v>1673</v>
      </c>
      <c r="E557" s="5">
        <v>4269.6000000000004</v>
      </c>
      <c r="F557" s="6">
        <f>LOOKUP(D557,'AMFI DATA_2023H2'!F:J,'AMFI DATA_2023H2'!J:J)</f>
        <v>6111.2626500000006</v>
      </c>
      <c r="G557" s="7">
        <f t="shared" si="2"/>
        <v>-1</v>
      </c>
      <c r="H557" s="8"/>
      <c r="I557" s="8">
        <v>8190</v>
      </c>
      <c r="J557" s="8">
        <v>8107</v>
      </c>
      <c r="K557" s="8">
        <v>8197</v>
      </c>
      <c r="L557" s="8">
        <v>8296</v>
      </c>
      <c r="M557" s="8">
        <v>8510</v>
      </c>
      <c r="N557" s="8">
        <v>8684</v>
      </c>
      <c r="O557" s="8">
        <v>8753</v>
      </c>
      <c r="P557" s="8">
        <v>8660</v>
      </c>
      <c r="Q557" s="8">
        <v>8591</v>
      </c>
      <c r="R557" s="8">
        <v>8638</v>
      </c>
      <c r="S557" s="8">
        <v>8232</v>
      </c>
      <c r="T557" s="8">
        <v>8133</v>
      </c>
      <c r="U557" s="8">
        <v>7884</v>
      </c>
      <c r="V557" s="8">
        <v>7907</v>
      </c>
      <c r="W557" s="8">
        <v>8033</v>
      </c>
      <c r="X557" s="8">
        <v>8027</v>
      </c>
      <c r="Y557" s="8">
        <v>7767</v>
      </c>
      <c r="Z557" s="8">
        <v>7308</v>
      </c>
      <c r="AA557" s="8">
        <v>7338</v>
      </c>
      <c r="AB557" s="8">
        <v>7376</v>
      </c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spans="1:47" ht="14.4">
      <c r="A558" s="3">
        <f>LOOKUP(D558,'AMFI DATA_2023H2'!F:L,'AMFI DATA_2023H2'!L:L)</f>
        <v>565</v>
      </c>
      <c r="B558" s="4" t="s">
        <v>1674</v>
      </c>
      <c r="C558" s="4" t="s">
        <v>1675</v>
      </c>
      <c r="D558" s="5" t="s">
        <v>1676</v>
      </c>
      <c r="E558" s="5">
        <v>4435.76</v>
      </c>
      <c r="F558" s="6">
        <f>LOOKUP(D558,'AMFI DATA_2023H2'!F:J,'AMFI DATA_2023H2'!J:J)</f>
        <v>6100.3637500000004</v>
      </c>
      <c r="G558" s="7">
        <f t="shared" si="2"/>
        <v>-1</v>
      </c>
      <c r="H558" s="8"/>
      <c r="I558" s="8">
        <v>8003</v>
      </c>
      <c r="J558" s="8">
        <v>7762</v>
      </c>
      <c r="K558" s="8">
        <v>7864</v>
      </c>
      <c r="L558" s="8">
        <v>7941</v>
      </c>
      <c r="M558" s="8">
        <v>7818</v>
      </c>
      <c r="N558" s="8">
        <v>7809</v>
      </c>
      <c r="O558" s="8">
        <v>7325</v>
      </c>
      <c r="P558" s="8">
        <v>7317</v>
      </c>
      <c r="Q558" s="8">
        <v>7311</v>
      </c>
      <c r="R558" s="8">
        <v>7508</v>
      </c>
      <c r="S558" s="8">
        <v>7469</v>
      </c>
      <c r="T558" s="8">
        <v>7378</v>
      </c>
      <c r="U558" s="8">
        <v>7419</v>
      </c>
      <c r="V558" s="8">
        <v>6761</v>
      </c>
      <c r="W558" s="8">
        <v>6962</v>
      </c>
      <c r="X558" s="8">
        <v>7307</v>
      </c>
      <c r="Y558" s="8">
        <v>6993</v>
      </c>
      <c r="Z558" s="8">
        <v>7030</v>
      </c>
      <c r="AA558" s="8">
        <v>7117</v>
      </c>
      <c r="AB558" s="8">
        <v>7382</v>
      </c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spans="1:47" ht="14.4">
      <c r="A559" s="3">
        <f>LOOKUP(D559,'AMFI DATA_2023H2'!F:L,'AMFI DATA_2023H2'!L:L)</f>
        <v>566</v>
      </c>
      <c r="B559" s="4" t="s">
        <v>1677</v>
      </c>
      <c r="C559" s="4" t="s">
        <v>1678</v>
      </c>
      <c r="D559" s="5" t="s">
        <v>1679</v>
      </c>
      <c r="E559" s="5">
        <v>4541.2700000000004</v>
      </c>
      <c r="F559" s="6">
        <f>LOOKUP(D559,'AMFI DATA_2023H2'!F:J,'AMFI DATA_2023H2'!J:J)</f>
        <v>6088.3889499999996</v>
      </c>
      <c r="G559" s="7">
        <f t="shared" si="2"/>
        <v>-1</v>
      </c>
      <c r="H559" s="8"/>
      <c r="I559" s="8">
        <v>6779</v>
      </c>
      <c r="J559" s="8">
        <v>6721</v>
      </c>
      <c r="K559" s="8">
        <v>6628</v>
      </c>
      <c r="L559" s="8">
        <v>6749</v>
      </c>
      <c r="M559" s="8">
        <v>6795</v>
      </c>
      <c r="N559" s="8">
        <v>6760</v>
      </c>
      <c r="O559" s="8">
        <v>6789</v>
      </c>
      <c r="P559" s="8">
        <v>6811</v>
      </c>
      <c r="Q559" s="8">
        <v>6692</v>
      </c>
      <c r="R559" s="8">
        <v>6538</v>
      </c>
      <c r="S559" s="8">
        <v>6715</v>
      </c>
      <c r="T559" s="8">
        <v>6902</v>
      </c>
      <c r="U559" s="8">
        <v>6409</v>
      </c>
      <c r="V559" s="8">
        <v>6385</v>
      </c>
      <c r="W559" s="8">
        <v>6563</v>
      </c>
      <c r="X559" s="8">
        <v>6524</v>
      </c>
      <c r="Y559" s="8">
        <v>6393</v>
      </c>
      <c r="Z559" s="8">
        <v>6281</v>
      </c>
      <c r="AA559" s="8">
        <v>6174</v>
      </c>
      <c r="AB559" s="8">
        <v>6280</v>
      </c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spans="1:47" ht="14.4">
      <c r="A560" s="3">
        <f>LOOKUP(D560,'AMFI DATA_2023H2'!F:L,'AMFI DATA_2023H2'!L:L)</f>
        <v>567</v>
      </c>
      <c r="B560" s="4" t="s">
        <v>1680</v>
      </c>
      <c r="C560" s="4" t="s">
        <v>1681</v>
      </c>
      <c r="D560" s="5" t="s">
        <v>1682</v>
      </c>
      <c r="E560" s="5">
        <v>6879.65</v>
      </c>
      <c r="F560" s="6">
        <f>LOOKUP(D560,'AMFI DATA_2023H2'!F:J,'AMFI DATA_2023H2'!J:J)</f>
        <v>6085.9358000000002</v>
      </c>
      <c r="G560" s="7">
        <f t="shared" si="2"/>
        <v>-1</v>
      </c>
      <c r="H560" s="8"/>
      <c r="I560" s="8">
        <v>6442</v>
      </c>
      <c r="J560" s="8">
        <v>6407</v>
      </c>
      <c r="K560" s="8">
        <v>6413</v>
      </c>
      <c r="L560" s="8">
        <v>6506</v>
      </c>
      <c r="M560" s="8">
        <v>6420</v>
      </c>
      <c r="N560" s="8">
        <v>6481</v>
      </c>
      <c r="O560" s="8">
        <v>6438</v>
      </c>
      <c r="P560" s="8">
        <v>6272</v>
      </c>
      <c r="Q560" s="8">
        <v>6249</v>
      </c>
      <c r="R560" s="8">
        <v>6266</v>
      </c>
      <c r="S560" s="8">
        <v>6330</v>
      </c>
      <c r="T560" s="8">
        <v>6292</v>
      </c>
      <c r="U560" s="8">
        <v>6308</v>
      </c>
      <c r="V560" s="8">
        <v>6213</v>
      </c>
      <c r="W560" s="8">
        <v>6055</v>
      </c>
      <c r="X560" s="8">
        <v>6060</v>
      </c>
      <c r="Y560" s="8">
        <v>6054</v>
      </c>
      <c r="Z560" s="8">
        <v>6112</v>
      </c>
      <c r="AA560" s="8">
        <v>6083</v>
      </c>
      <c r="AB560" s="8">
        <v>6055</v>
      </c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spans="1:47" ht="14.4">
      <c r="A561" s="3">
        <f>LOOKUP(D561,'AMFI DATA_2023H2'!F:L,'AMFI DATA_2023H2'!L:L)</f>
        <v>568</v>
      </c>
      <c r="B561" s="4" t="s">
        <v>1683</v>
      </c>
      <c r="C561" s="4" t="s">
        <v>1684</v>
      </c>
      <c r="D561" s="5" t="s">
        <v>1685</v>
      </c>
      <c r="E561" s="5">
        <v>3576.31</v>
      </c>
      <c r="F561" s="6">
        <f>LOOKUP(D561,'AMFI DATA_2023H2'!F:J,'AMFI DATA_2023H2'!J:J)</f>
        <v>6085.0597500000003</v>
      </c>
      <c r="G561" s="7">
        <f t="shared" si="2"/>
        <v>-1</v>
      </c>
      <c r="H561" s="8"/>
      <c r="I561" s="8">
        <v>7071</v>
      </c>
      <c r="J561" s="8">
        <v>6988</v>
      </c>
      <c r="K561" s="8">
        <v>7112</v>
      </c>
      <c r="L561" s="8">
        <v>7367</v>
      </c>
      <c r="M561" s="8">
        <v>6921</v>
      </c>
      <c r="N561" s="8">
        <v>7021</v>
      </c>
      <c r="O561" s="8">
        <v>7076</v>
      </c>
      <c r="P561" s="8">
        <v>7204</v>
      </c>
      <c r="Q561" s="8">
        <v>7263</v>
      </c>
      <c r="R561" s="8">
        <v>7295</v>
      </c>
      <c r="S561" s="8">
        <v>7359</v>
      </c>
      <c r="T561" s="8">
        <v>7404</v>
      </c>
      <c r="U561" s="8">
        <v>7437</v>
      </c>
      <c r="V561" s="8">
        <v>7422</v>
      </c>
      <c r="W561" s="8">
        <v>7463</v>
      </c>
      <c r="X561" s="8">
        <v>7561</v>
      </c>
      <c r="Y561" s="8">
        <v>7525</v>
      </c>
      <c r="Z561" s="8">
        <v>7708</v>
      </c>
      <c r="AA561" s="8">
        <v>7536</v>
      </c>
      <c r="AB561" s="8">
        <v>7233</v>
      </c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</row>
    <row r="562" spans="1:47" ht="14.4">
      <c r="A562" s="3">
        <f>LOOKUP(D562,'AMFI DATA_2023H2'!F:L,'AMFI DATA_2023H2'!L:L)</f>
        <v>569</v>
      </c>
      <c r="B562" s="4" t="s">
        <v>1686</v>
      </c>
      <c r="C562" s="4" t="s">
        <v>1687</v>
      </c>
      <c r="D562" s="5" t="s">
        <v>1688</v>
      </c>
      <c r="E562" s="5">
        <v>6462.27</v>
      </c>
      <c r="F562" s="6">
        <f>LOOKUP(D562,'AMFI DATA_2023H2'!F:J,'AMFI DATA_2023H2'!J:J)</f>
        <v>6080.6923499999994</v>
      </c>
      <c r="G562" s="7">
        <f t="shared" si="2"/>
        <v>-1</v>
      </c>
      <c r="H562" s="8"/>
      <c r="I562" s="8">
        <v>5769</v>
      </c>
      <c r="J562" s="8">
        <v>5765</v>
      </c>
      <c r="K562" s="8">
        <v>5739</v>
      </c>
      <c r="L562" s="8">
        <v>5773</v>
      </c>
      <c r="M562" s="8">
        <v>5906</v>
      </c>
      <c r="N562" s="8">
        <v>5950</v>
      </c>
      <c r="O562" s="8">
        <v>5876</v>
      </c>
      <c r="P562" s="8">
        <v>5764</v>
      </c>
      <c r="Q562" s="8">
        <v>5766</v>
      </c>
      <c r="R562" s="8">
        <v>5788</v>
      </c>
      <c r="S562" s="8">
        <v>5910</v>
      </c>
      <c r="T562" s="8">
        <v>5936</v>
      </c>
      <c r="U562" s="8">
        <v>5832</v>
      </c>
      <c r="V562" s="8">
        <v>5846</v>
      </c>
      <c r="W562" s="8">
        <v>5916</v>
      </c>
      <c r="X562" s="8">
        <v>5708</v>
      </c>
      <c r="Y562" s="8">
        <v>5708</v>
      </c>
      <c r="Z562" s="8">
        <v>5726</v>
      </c>
      <c r="AA562" s="8">
        <v>5750</v>
      </c>
      <c r="AB562" s="8">
        <v>5794</v>
      </c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spans="1:47" ht="14.4">
      <c r="A563" s="3">
        <f>LOOKUP(D563,'AMFI DATA_2023H2'!F:L,'AMFI DATA_2023H2'!L:L)</f>
        <v>570</v>
      </c>
      <c r="B563" s="4" t="s">
        <v>1689</v>
      </c>
      <c r="C563" s="4" t="s">
        <v>1690</v>
      </c>
      <c r="D563" s="5" t="s">
        <v>1691</v>
      </c>
      <c r="E563" s="5">
        <v>4390.1099999999997</v>
      </c>
      <c r="F563" s="6">
        <f>LOOKUP(D563,'AMFI DATA_2023H2'!F:J,'AMFI DATA_2023H2'!J:J)</f>
        <v>6035.0354500000003</v>
      </c>
      <c r="G563" s="7">
        <f t="shared" si="2"/>
        <v>-1</v>
      </c>
      <c r="H563" s="8"/>
      <c r="I563" s="8">
        <v>6422</v>
      </c>
      <c r="J563" s="8">
        <v>6340</v>
      </c>
      <c r="K563" s="8">
        <v>6414</v>
      </c>
      <c r="L563" s="8">
        <v>6379</v>
      </c>
      <c r="M563" s="8">
        <v>6587</v>
      </c>
      <c r="N563" s="8">
        <v>6466</v>
      </c>
      <c r="O563" s="8">
        <v>6357</v>
      </c>
      <c r="P563" s="8">
        <v>6080</v>
      </c>
      <c r="Q563" s="8">
        <v>6128</v>
      </c>
      <c r="R563" s="8">
        <v>6078</v>
      </c>
      <c r="S563" s="8">
        <v>6128</v>
      </c>
      <c r="T563" s="8">
        <v>6098</v>
      </c>
      <c r="U563" s="8">
        <v>5869</v>
      </c>
      <c r="V563" s="8">
        <v>5860</v>
      </c>
      <c r="W563" s="8">
        <v>5896</v>
      </c>
      <c r="X563" s="8">
        <v>5786</v>
      </c>
      <c r="Y563" s="8">
        <v>5681</v>
      </c>
      <c r="Z563" s="8">
        <v>5760</v>
      </c>
      <c r="AA563" s="8">
        <v>5797</v>
      </c>
      <c r="AB563" s="8">
        <v>5723</v>
      </c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spans="1:47" ht="14.4">
      <c r="A564" s="3">
        <f>LOOKUP(D564,'AMFI DATA_2023H2'!F:L,'AMFI DATA_2023H2'!L:L)</f>
        <v>571</v>
      </c>
      <c r="B564" s="4" t="s">
        <v>1692</v>
      </c>
      <c r="C564" s="4" t="s">
        <v>1693</v>
      </c>
      <c r="D564" s="5" t="s">
        <v>1694</v>
      </c>
      <c r="E564" s="5">
        <v>2327.2800000000002</v>
      </c>
      <c r="F564" s="6">
        <f>LOOKUP(D564,'AMFI DATA_2023H2'!F:J,'AMFI DATA_2023H2'!J:J)</f>
        <v>6022.9603999999999</v>
      </c>
      <c r="G564" s="7">
        <f t="shared" si="2"/>
        <v>-1</v>
      </c>
      <c r="H564" s="8"/>
      <c r="I564" s="8">
        <v>6285</v>
      </c>
      <c r="J564" s="8">
        <v>6341</v>
      </c>
      <c r="K564" s="8">
        <v>6445</v>
      </c>
      <c r="L564" s="8">
        <v>6490</v>
      </c>
      <c r="M564" s="8">
        <v>6415</v>
      </c>
      <c r="N564" s="8">
        <v>6474</v>
      </c>
      <c r="O564" s="8">
        <v>6417</v>
      </c>
      <c r="P564" s="8">
        <v>6351</v>
      </c>
      <c r="Q564" s="8">
        <v>6396</v>
      </c>
      <c r="R564" s="8">
        <v>6443</v>
      </c>
      <c r="S564" s="8">
        <v>6468</v>
      </c>
      <c r="T564" s="8">
        <v>6466</v>
      </c>
      <c r="U564" s="8">
        <v>6537</v>
      </c>
      <c r="V564" s="8">
        <v>6547</v>
      </c>
      <c r="W564" s="8">
        <v>6631</v>
      </c>
      <c r="X564" s="8">
        <v>6692</v>
      </c>
      <c r="Y564" s="8">
        <v>6779</v>
      </c>
      <c r="Z564" s="8">
        <v>6803</v>
      </c>
      <c r="AA564" s="8">
        <v>6477</v>
      </c>
      <c r="AB564" s="8">
        <v>6277</v>
      </c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</row>
    <row r="565" spans="1:47" ht="14.4">
      <c r="A565" s="3">
        <f>LOOKUP(D565,'AMFI DATA_2023H2'!F:L,'AMFI DATA_2023H2'!L:L)</f>
        <v>572</v>
      </c>
      <c r="B565" s="4" t="s">
        <v>1695</v>
      </c>
      <c r="C565" s="4" t="s">
        <v>1696</v>
      </c>
      <c r="D565" s="5" t="s">
        <v>1697</v>
      </c>
      <c r="E565" s="5">
        <v>3772.59</v>
      </c>
      <c r="F565" s="6">
        <f>LOOKUP(D565,'AMFI DATA_2023H2'!F:J,'AMFI DATA_2023H2'!J:J)</f>
        <v>6021.0965500000002</v>
      </c>
      <c r="G565" s="7">
        <f t="shared" si="2"/>
        <v>-1</v>
      </c>
      <c r="H565" s="8"/>
      <c r="I565" s="8">
        <v>6830</v>
      </c>
      <c r="J565" s="8">
        <v>6678</v>
      </c>
      <c r="K565" s="8">
        <v>6832</v>
      </c>
      <c r="L565" s="8">
        <v>7000</v>
      </c>
      <c r="M565" s="8">
        <v>6817</v>
      </c>
      <c r="N565" s="8">
        <v>6784</v>
      </c>
      <c r="O565" s="8">
        <v>6598</v>
      </c>
      <c r="P565" s="8">
        <v>6620</v>
      </c>
      <c r="Q565" s="8">
        <v>6707</v>
      </c>
      <c r="R565" s="8">
        <v>6776</v>
      </c>
      <c r="S565" s="8">
        <v>6666</v>
      </c>
      <c r="T565" s="8">
        <v>6601</v>
      </c>
      <c r="U565" s="8">
        <v>6660</v>
      </c>
      <c r="V565" s="8">
        <v>6834</v>
      </c>
      <c r="W565" s="8">
        <v>6496</v>
      </c>
      <c r="X565" s="8">
        <v>6319</v>
      </c>
      <c r="Y565" s="8">
        <v>6312</v>
      </c>
      <c r="Z565" s="8">
        <v>6468</v>
      </c>
      <c r="AA565" s="8">
        <v>6556</v>
      </c>
      <c r="AB565" s="8">
        <v>6618</v>
      </c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</row>
    <row r="566" spans="1:47" ht="14.4">
      <c r="A566" s="3">
        <f>LOOKUP(D566,'AMFI DATA_2023H2'!F:L,'AMFI DATA_2023H2'!L:L)</f>
        <v>573</v>
      </c>
      <c r="B566" s="4" t="s">
        <v>1698</v>
      </c>
      <c r="C566" s="4" t="s">
        <v>1699</v>
      </c>
      <c r="D566" s="5" t="s">
        <v>1700</v>
      </c>
      <c r="E566" s="5">
        <v>3878.4</v>
      </c>
      <c r="F566" s="6">
        <f>LOOKUP(D566,'AMFI DATA_2023H2'!F:J,'AMFI DATA_2023H2'!J:J)</f>
        <v>6011.8141500000002</v>
      </c>
      <c r="G566" s="7">
        <f t="shared" si="2"/>
        <v>-1</v>
      </c>
      <c r="H566" s="8"/>
      <c r="I566" s="8">
        <v>8448</v>
      </c>
      <c r="J566" s="8">
        <v>8565</v>
      </c>
      <c r="K566" s="8">
        <v>8322</v>
      </c>
      <c r="L566" s="8">
        <v>8239</v>
      </c>
      <c r="M566" s="8">
        <v>8275</v>
      </c>
      <c r="N566" s="8">
        <v>8583</v>
      </c>
      <c r="O566" s="8">
        <v>8530</v>
      </c>
      <c r="P566" s="8">
        <v>8525</v>
      </c>
      <c r="Q566" s="8">
        <v>8502</v>
      </c>
      <c r="R566" s="8">
        <v>8556</v>
      </c>
      <c r="S566" s="8">
        <v>8646</v>
      </c>
      <c r="T566" s="8">
        <v>8718</v>
      </c>
      <c r="U566" s="8">
        <v>8782</v>
      </c>
      <c r="V566" s="8">
        <v>8788</v>
      </c>
      <c r="W566" s="8">
        <v>8741</v>
      </c>
      <c r="X566" s="8">
        <v>8590</v>
      </c>
      <c r="Y566" s="8">
        <v>8416</v>
      </c>
      <c r="Z566" s="8">
        <v>7977</v>
      </c>
      <c r="AA566" s="8">
        <v>7974</v>
      </c>
      <c r="AB566" s="8">
        <v>8113</v>
      </c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spans="1:47" ht="14.4">
      <c r="A567" s="3">
        <f>LOOKUP(D567,'AMFI DATA_2023H2'!F:L,'AMFI DATA_2023H2'!L:L)</f>
        <v>574</v>
      </c>
      <c r="B567" s="4" t="s">
        <v>1701</v>
      </c>
      <c r="C567" s="4" t="s">
        <v>1702</v>
      </c>
      <c r="D567" s="5" t="s">
        <v>1703</v>
      </c>
      <c r="E567" s="5">
        <v>2889</v>
      </c>
      <c r="F567" s="6">
        <f>LOOKUP(D567,'AMFI DATA_2023H2'!F:J,'AMFI DATA_2023H2'!J:J)</f>
        <v>5925.8276999999998</v>
      </c>
      <c r="G567" s="7">
        <f t="shared" si="2"/>
        <v>-1</v>
      </c>
      <c r="H567" s="8"/>
      <c r="I567" s="8">
        <v>8549</v>
      </c>
      <c r="J567" s="8">
        <v>8547</v>
      </c>
      <c r="K567" s="8">
        <v>8678</v>
      </c>
      <c r="L567" s="8">
        <v>8830</v>
      </c>
      <c r="M567" s="8">
        <v>9263</v>
      </c>
      <c r="N567" s="8">
        <v>8555</v>
      </c>
      <c r="O567" s="8">
        <v>8749</v>
      </c>
      <c r="P567" s="8">
        <v>8757</v>
      </c>
      <c r="Q567" s="8">
        <v>8162</v>
      </c>
      <c r="R567" s="8">
        <v>8141</v>
      </c>
      <c r="S567" s="8">
        <v>8255</v>
      </c>
      <c r="T567" s="8">
        <v>8351</v>
      </c>
      <c r="U567" s="8">
        <v>8507</v>
      </c>
      <c r="V567" s="8">
        <v>7878</v>
      </c>
      <c r="W567" s="8">
        <v>7780</v>
      </c>
      <c r="X567" s="8">
        <v>7887</v>
      </c>
      <c r="Y567" s="8">
        <v>7687</v>
      </c>
      <c r="Z567" s="8">
        <v>7718</v>
      </c>
      <c r="AA567" s="8">
        <v>7780</v>
      </c>
      <c r="AB567" s="8">
        <v>7914</v>
      </c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</row>
    <row r="568" spans="1:47" ht="14.4">
      <c r="A568" s="3">
        <f>LOOKUP(D568,'AMFI DATA_2023H2'!F:L,'AMFI DATA_2023H2'!L:L)</f>
        <v>575</v>
      </c>
      <c r="B568" s="4" t="s">
        <v>1704</v>
      </c>
      <c r="C568" s="4" t="s">
        <v>1705</v>
      </c>
      <c r="D568" s="5" t="s">
        <v>1706</v>
      </c>
      <c r="E568" s="5">
        <v>2352.62</v>
      </c>
      <c r="F568" s="6">
        <f>LOOKUP(D568,'AMFI DATA_2023H2'!F:J,'AMFI DATA_2023H2'!J:J)</f>
        <v>5925.2635</v>
      </c>
      <c r="G568" s="7">
        <f t="shared" si="2"/>
        <v>-1</v>
      </c>
      <c r="H568" s="8"/>
      <c r="I568" s="8">
        <v>6495</v>
      </c>
      <c r="J568" s="8">
        <v>6355</v>
      </c>
      <c r="K568" s="8">
        <v>6406</v>
      </c>
      <c r="L568" s="8">
        <v>6290</v>
      </c>
      <c r="M568" s="8">
        <v>6388</v>
      </c>
      <c r="N568" s="8">
        <v>6383</v>
      </c>
      <c r="O568" s="8">
        <v>6470</v>
      </c>
      <c r="P568" s="8">
        <v>6511</v>
      </c>
      <c r="Q568" s="8">
        <v>6470</v>
      </c>
      <c r="R568" s="8">
        <v>6651</v>
      </c>
      <c r="S568" s="8">
        <v>6885</v>
      </c>
      <c r="T568" s="8">
        <v>6804</v>
      </c>
      <c r="U568" s="8">
        <v>6497</v>
      </c>
      <c r="V568" s="8">
        <v>6188</v>
      </c>
      <c r="W568" s="8">
        <v>6032</v>
      </c>
      <c r="X568" s="8">
        <v>5978</v>
      </c>
      <c r="Y568" s="8">
        <v>5919</v>
      </c>
      <c r="Z568" s="8">
        <v>6062</v>
      </c>
      <c r="AA568" s="8">
        <v>5876</v>
      </c>
      <c r="AB568" s="8">
        <v>5958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spans="1:47" ht="14.4">
      <c r="A569" s="3">
        <f>LOOKUP(D569,'AMFI DATA_2023H2'!F:L,'AMFI DATA_2023H2'!L:L)</f>
        <v>576</v>
      </c>
      <c r="B569" s="4" t="s">
        <v>1707</v>
      </c>
      <c r="C569" s="4" t="s">
        <v>1708</v>
      </c>
      <c r="D569" s="5" t="s">
        <v>1709</v>
      </c>
      <c r="E569" s="5">
        <v>5225.41</v>
      </c>
      <c r="F569" s="6">
        <f>LOOKUP(D569,'AMFI DATA_2023H2'!F:J,'AMFI DATA_2023H2'!J:J)</f>
        <v>5909.5321000000004</v>
      </c>
      <c r="G569" s="7">
        <f t="shared" si="2"/>
        <v>-1</v>
      </c>
      <c r="H569" s="8"/>
      <c r="I569" s="8">
        <v>6080</v>
      </c>
      <c r="J569" s="8">
        <v>6008</v>
      </c>
      <c r="K569" s="8">
        <v>5950</v>
      </c>
      <c r="L569" s="8">
        <v>5896</v>
      </c>
      <c r="M569" s="8">
        <v>5957</v>
      </c>
      <c r="N569" s="8">
        <v>5889</v>
      </c>
      <c r="O569" s="8">
        <v>5774</v>
      </c>
      <c r="P569" s="8">
        <v>5640</v>
      </c>
      <c r="Q569" s="8">
        <v>5627</v>
      </c>
      <c r="R569" s="8">
        <v>5605</v>
      </c>
      <c r="S569" s="8">
        <v>5541</v>
      </c>
      <c r="T569" s="8">
        <v>5613</v>
      </c>
      <c r="U569" s="8">
        <v>5579</v>
      </c>
      <c r="V569" s="8">
        <v>5642</v>
      </c>
      <c r="W569" s="8">
        <v>5539</v>
      </c>
      <c r="X569" s="8">
        <v>5528</v>
      </c>
      <c r="Y569" s="8">
        <v>5487</v>
      </c>
      <c r="Z569" s="8">
        <v>5306</v>
      </c>
      <c r="AA569" s="8">
        <v>5280</v>
      </c>
      <c r="AB569" s="8">
        <v>5340</v>
      </c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spans="1:47" ht="14.4">
      <c r="A570" s="3">
        <f>LOOKUP(D570,'AMFI DATA_2023H2'!F:L,'AMFI DATA_2023H2'!L:L)</f>
        <v>577</v>
      </c>
      <c r="B570" s="4" t="s">
        <v>1710</v>
      </c>
      <c r="C570" s="4" t="s">
        <v>1711</v>
      </c>
      <c r="D570" s="5" t="s">
        <v>1712</v>
      </c>
      <c r="E570" s="5">
        <v>4505.3599999999997</v>
      </c>
      <c r="F570" s="6">
        <f>LOOKUP(D570,'AMFI DATA_2023H2'!F:J,'AMFI DATA_2023H2'!J:J)</f>
        <v>5883.54025</v>
      </c>
      <c r="G570" s="7">
        <f t="shared" si="2"/>
        <v>-1</v>
      </c>
      <c r="H570" s="8"/>
      <c r="I570" s="8">
        <v>6548</v>
      </c>
      <c r="J570" s="8">
        <v>6611</v>
      </c>
      <c r="K570" s="8">
        <v>6523</v>
      </c>
      <c r="L570" s="8">
        <v>6693</v>
      </c>
      <c r="M570" s="8">
        <v>6795</v>
      </c>
      <c r="N570" s="8">
        <v>6903</v>
      </c>
      <c r="O570" s="8">
        <v>6873</v>
      </c>
      <c r="P570" s="8">
        <v>6792</v>
      </c>
      <c r="Q570" s="8">
        <v>6872</v>
      </c>
      <c r="R570" s="8">
        <v>7099</v>
      </c>
      <c r="S570" s="8">
        <v>7064</v>
      </c>
      <c r="T570" s="8">
        <v>7099</v>
      </c>
      <c r="U570" s="8">
        <v>7067</v>
      </c>
      <c r="V570" s="8">
        <v>7229</v>
      </c>
      <c r="W570" s="8">
        <v>7246</v>
      </c>
      <c r="X570" s="8">
        <v>7252</v>
      </c>
      <c r="Y570" s="8">
        <v>7022</v>
      </c>
      <c r="Z570" s="8">
        <v>6953</v>
      </c>
      <c r="AA570" s="8">
        <v>6894</v>
      </c>
      <c r="AB570" s="8">
        <v>6882</v>
      </c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</row>
    <row r="571" spans="1:47" ht="14.4">
      <c r="A571" s="3">
        <f>LOOKUP(D571,'AMFI DATA_2023H2'!F:L,'AMFI DATA_2023H2'!L:L)</f>
        <v>580</v>
      </c>
      <c r="B571" s="4" t="s">
        <v>1713</v>
      </c>
      <c r="C571" s="4" t="s">
        <v>1714</v>
      </c>
      <c r="D571" s="5" t="s">
        <v>1715</v>
      </c>
      <c r="E571" s="5">
        <v>4691.92</v>
      </c>
      <c r="F571" s="6">
        <f>LOOKUP(D571,'AMFI DATA_2023H2'!F:J,'AMFI DATA_2023H2'!J:J)</f>
        <v>5822.7356500000005</v>
      </c>
      <c r="G571" s="7">
        <f t="shared" si="2"/>
        <v>-1</v>
      </c>
      <c r="H571" s="8"/>
      <c r="I571" s="8">
        <v>5946</v>
      </c>
      <c r="J571" s="8">
        <v>5861</v>
      </c>
      <c r="K571" s="8">
        <v>5813</v>
      </c>
      <c r="L571" s="8">
        <v>5802</v>
      </c>
      <c r="M571" s="8">
        <v>5901</v>
      </c>
      <c r="N571" s="8">
        <v>5762</v>
      </c>
      <c r="O571" s="8">
        <v>5760</v>
      </c>
      <c r="P571" s="8">
        <v>5798</v>
      </c>
      <c r="Q571" s="8">
        <v>5898</v>
      </c>
      <c r="R571" s="8">
        <v>5951</v>
      </c>
      <c r="S571" s="8">
        <v>5935</v>
      </c>
      <c r="T571" s="8">
        <v>5938</v>
      </c>
      <c r="U571" s="8">
        <v>5940</v>
      </c>
      <c r="V571" s="8">
        <v>5952</v>
      </c>
      <c r="W571" s="8">
        <v>5973</v>
      </c>
      <c r="X571" s="8">
        <v>5988</v>
      </c>
      <c r="Y571" s="8">
        <v>5819</v>
      </c>
      <c r="Z571" s="8">
        <v>5911</v>
      </c>
      <c r="AA571" s="8">
        <v>5951</v>
      </c>
      <c r="AB571" s="8">
        <v>6041</v>
      </c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spans="1:47" ht="14.4">
      <c r="A572" s="3">
        <f>LOOKUP(D572,'AMFI DATA_2023H2'!F:L,'AMFI DATA_2023H2'!L:L)</f>
        <v>581</v>
      </c>
      <c r="B572" s="4" t="s">
        <v>1716</v>
      </c>
      <c r="C572" s="4" t="s">
        <v>1717</v>
      </c>
      <c r="D572" s="5" t="s">
        <v>1718</v>
      </c>
      <c r="E572" s="5">
        <v>6355.28</v>
      </c>
      <c r="F572" s="6">
        <f>LOOKUP(D572,'AMFI DATA_2023H2'!F:J,'AMFI DATA_2023H2'!J:J)</f>
        <v>5784.4390999999996</v>
      </c>
      <c r="G572" s="7">
        <f t="shared" si="2"/>
        <v>-1</v>
      </c>
      <c r="H572" s="8"/>
      <c r="I572" s="8">
        <v>6654</v>
      </c>
      <c r="J572" s="8">
        <v>6380</v>
      </c>
      <c r="K572" s="8">
        <v>6496</v>
      </c>
      <c r="L572" s="8">
        <v>6662</v>
      </c>
      <c r="M572" s="8">
        <v>6413</v>
      </c>
      <c r="N572" s="8">
        <v>6606</v>
      </c>
      <c r="O572" s="8">
        <v>6736</v>
      </c>
      <c r="P572" s="8">
        <v>6678</v>
      </c>
      <c r="Q572" s="8">
        <v>6649</v>
      </c>
      <c r="R572" s="8">
        <v>6059</v>
      </c>
      <c r="S572" s="8">
        <v>6291</v>
      </c>
      <c r="T572" s="8">
        <v>6343</v>
      </c>
      <c r="U572" s="8">
        <v>6077</v>
      </c>
      <c r="V572" s="8">
        <v>5650</v>
      </c>
      <c r="W572" s="8">
        <v>5732</v>
      </c>
      <c r="X572" s="8">
        <v>5742</v>
      </c>
      <c r="Y572" s="8">
        <v>5661</v>
      </c>
      <c r="Z572" s="8">
        <v>5519</v>
      </c>
      <c r="AA572" s="8">
        <v>5508</v>
      </c>
      <c r="AB572" s="8">
        <v>5557</v>
      </c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spans="1:47" ht="14.4">
      <c r="A573" s="3">
        <f>LOOKUP(D573,'AMFI DATA_2023H2'!F:L,'AMFI DATA_2023H2'!L:L)</f>
        <v>582</v>
      </c>
      <c r="B573" s="4" t="s">
        <v>1719</v>
      </c>
      <c r="C573" s="4" t="s">
        <v>1720</v>
      </c>
      <c r="D573" s="5" t="s">
        <v>1721</v>
      </c>
      <c r="E573" s="5">
        <v>3248.79</v>
      </c>
      <c r="F573" s="6">
        <f>LOOKUP(D573,'AMFI DATA_2023H2'!F:J,'AMFI DATA_2023H2'!J:J)</f>
        <v>5781.0319999999992</v>
      </c>
      <c r="G573" s="7">
        <f t="shared" si="2"/>
        <v>-1</v>
      </c>
      <c r="H573" s="8"/>
      <c r="I573" s="8">
        <v>6258</v>
      </c>
      <c r="J573" s="8">
        <v>6181</v>
      </c>
      <c r="K573" s="8">
        <v>6170</v>
      </c>
      <c r="L573" s="8">
        <v>6246</v>
      </c>
      <c r="M573" s="8">
        <v>6294</v>
      </c>
      <c r="N573" s="8">
        <v>6326</v>
      </c>
      <c r="O573" s="8">
        <v>6227</v>
      </c>
      <c r="P573" s="8">
        <v>6241</v>
      </c>
      <c r="Q573" s="8">
        <v>6282</v>
      </c>
      <c r="R573" s="8">
        <v>6337</v>
      </c>
      <c r="S573" s="8">
        <v>6490</v>
      </c>
      <c r="T573" s="8">
        <v>6501</v>
      </c>
      <c r="U573" s="8">
        <v>6480</v>
      </c>
      <c r="V573" s="8">
        <v>6443</v>
      </c>
      <c r="W573" s="8">
        <v>6561</v>
      </c>
      <c r="X573" s="8">
        <v>6459</v>
      </c>
      <c r="Y573" s="8">
        <v>6596</v>
      </c>
      <c r="Z573" s="8">
        <v>6679</v>
      </c>
      <c r="AA573" s="8">
        <v>6648</v>
      </c>
      <c r="AB573" s="8">
        <v>6760</v>
      </c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spans="1:47" ht="14.4">
      <c r="A574" s="3">
        <f>LOOKUP(D574,'AMFI DATA_2023H2'!F:L,'AMFI DATA_2023H2'!L:L)</f>
        <v>583</v>
      </c>
      <c r="B574" s="4" t="s">
        <v>1722</v>
      </c>
      <c r="C574" s="4" t="s">
        <v>1723</v>
      </c>
      <c r="D574" s="5" t="s">
        <v>1724</v>
      </c>
      <c r="E574" s="5">
        <v>5106.8500000000004</v>
      </c>
      <c r="F574" s="6">
        <f>LOOKUP(D574,'AMFI DATA_2023H2'!F:J,'AMFI DATA_2023H2'!J:J)</f>
        <v>5774.3035</v>
      </c>
      <c r="G574" s="7">
        <f t="shared" si="2"/>
        <v>-1</v>
      </c>
      <c r="H574" s="8"/>
      <c r="I574" s="8">
        <v>6048</v>
      </c>
      <c r="J574" s="8">
        <v>6053</v>
      </c>
      <c r="K574" s="8">
        <v>6061</v>
      </c>
      <c r="L574" s="8">
        <v>6301</v>
      </c>
      <c r="M574" s="8">
        <v>6142</v>
      </c>
      <c r="N574" s="8">
        <v>6232</v>
      </c>
      <c r="O574" s="8">
        <v>6128</v>
      </c>
      <c r="P574" s="8">
        <v>5798</v>
      </c>
      <c r="Q574" s="8">
        <v>5691</v>
      </c>
      <c r="R574" s="8">
        <v>5770</v>
      </c>
      <c r="S574" s="8">
        <v>5631</v>
      </c>
      <c r="T574" s="8">
        <v>5629</v>
      </c>
      <c r="U574" s="8">
        <v>5656</v>
      </c>
      <c r="V574" s="8">
        <v>5632</v>
      </c>
      <c r="W574" s="8">
        <v>5692</v>
      </c>
      <c r="X574" s="8">
        <v>5548</v>
      </c>
      <c r="Y574" s="8">
        <v>5521</v>
      </c>
      <c r="Z574" s="8">
        <v>5464</v>
      </c>
      <c r="AA574" s="8">
        <v>5538</v>
      </c>
      <c r="AB574" s="8">
        <v>5466</v>
      </c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spans="1:47" ht="14.4">
      <c r="A575" s="3">
        <f>LOOKUP(D575,'AMFI DATA_2023H2'!F:L,'AMFI DATA_2023H2'!L:L)</f>
        <v>584</v>
      </c>
      <c r="B575" s="4" t="s">
        <v>1725</v>
      </c>
      <c r="C575" s="4" t="s">
        <v>1726</v>
      </c>
      <c r="D575" s="5" t="s">
        <v>1727</v>
      </c>
      <c r="E575" s="5">
        <v>569.99</v>
      </c>
      <c r="F575" s="6">
        <f>LOOKUP(D575,'AMFI DATA_2023H2'!F:J,'AMFI DATA_2023H2'!J:J)</f>
        <v>5723.2733000000007</v>
      </c>
      <c r="G575" s="7">
        <f t="shared" si="2"/>
        <v>-1</v>
      </c>
      <c r="H575" s="8"/>
      <c r="I575" s="8">
        <v>5965</v>
      </c>
      <c r="J575" s="8">
        <v>5765</v>
      </c>
      <c r="K575" s="8">
        <v>5595</v>
      </c>
      <c r="L575" s="8">
        <v>5645</v>
      </c>
      <c r="M575" s="8">
        <v>5605</v>
      </c>
      <c r="N575" s="8">
        <v>5665</v>
      </c>
      <c r="O575" s="8">
        <v>5597</v>
      </c>
      <c r="P575" s="8">
        <v>5709</v>
      </c>
      <c r="Q575" s="8">
        <v>5649</v>
      </c>
      <c r="R575" s="8">
        <v>5621</v>
      </c>
      <c r="S575" s="8">
        <v>5683</v>
      </c>
      <c r="T575" s="8">
        <v>5676</v>
      </c>
      <c r="U575" s="8">
        <v>5685</v>
      </c>
      <c r="V575" s="8">
        <v>5598</v>
      </c>
      <c r="W575" s="8">
        <v>5634</v>
      </c>
      <c r="X575" s="8">
        <v>5727</v>
      </c>
      <c r="Y575" s="8">
        <v>5683</v>
      </c>
      <c r="Z575" s="8">
        <v>5613</v>
      </c>
      <c r="AA575" s="8">
        <v>5522</v>
      </c>
      <c r="AB575" s="8">
        <v>5517</v>
      </c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</row>
    <row r="576" spans="1:47" ht="14.4">
      <c r="A576" s="3">
        <f>LOOKUP(D576,'AMFI DATA_2023H2'!F:L,'AMFI DATA_2023H2'!L:L)</f>
        <v>585</v>
      </c>
      <c r="B576" s="4" t="s">
        <v>1728</v>
      </c>
      <c r="C576" s="4" t="s">
        <v>1729</v>
      </c>
      <c r="D576" s="5" t="s">
        <v>1730</v>
      </c>
      <c r="E576" s="5">
        <v>3146.46</v>
      </c>
      <c r="F576" s="6">
        <f>LOOKUP(D576,'AMFI DATA_2023H2'!F:J,'AMFI DATA_2023H2'!J:J)</f>
        <v>5695.98945</v>
      </c>
      <c r="G576" s="7">
        <f t="shared" si="2"/>
        <v>-1</v>
      </c>
      <c r="H576" s="8"/>
      <c r="I576" s="8">
        <v>8162</v>
      </c>
      <c r="J576" s="8">
        <v>8288</v>
      </c>
      <c r="K576" s="8">
        <v>8270</v>
      </c>
      <c r="L576" s="8">
        <v>8262</v>
      </c>
      <c r="M576" s="8">
        <v>8320</v>
      </c>
      <c r="N576" s="8">
        <v>8438</v>
      </c>
      <c r="O576" s="8">
        <v>8398</v>
      </c>
      <c r="P576" s="8">
        <v>8303</v>
      </c>
      <c r="Q576" s="8">
        <v>8297</v>
      </c>
      <c r="R576" s="8">
        <v>8114</v>
      </c>
      <c r="S576" s="8">
        <v>8106</v>
      </c>
      <c r="T576" s="8">
        <v>8231</v>
      </c>
      <c r="U576" s="8">
        <v>8082</v>
      </c>
      <c r="V576" s="8">
        <v>8071</v>
      </c>
      <c r="W576" s="8">
        <v>8093</v>
      </c>
      <c r="X576" s="8">
        <v>8058</v>
      </c>
      <c r="Y576" s="8">
        <v>7713</v>
      </c>
      <c r="Z576" s="8">
        <v>7800</v>
      </c>
      <c r="AA576" s="8">
        <v>7646</v>
      </c>
      <c r="AB576" s="8">
        <v>7520</v>
      </c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spans="1:47" ht="14.4">
      <c r="A577" s="3">
        <f>LOOKUP(D577,'AMFI DATA_2023H2'!F:L,'AMFI DATA_2023H2'!L:L)</f>
        <v>586</v>
      </c>
      <c r="B577" s="4" t="s">
        <v>1731</v>
      </c>
      <c r="C577" s="4" t="s">
        <v>1732</v>
      </c>
      <c r="D577" s="5" t="s">
        <v>1733</v>
      </c>
      <c r="E577" s="5">
        <v>3145.42</v>
      </c>
      <c r="F577" s="6">
        <f>LOOKUP(D577,'AMFI DATA_2023H2'!F:J,'AMFI DATA_2023H2'!J:J)</f>
        <v>5680.7757000000001</v>
      </c>
      <c r="G577" s="7">
        <f t="shared" si="2"/>
        <v>-1</v>
      </c>
      <c r="H577" s="8"/>
      <c r="I577" s="8">
        <v>7616</v>
      </c>
      <c r="J577" s="8">
        <v>7365</v>
      </c>
      <c r="K577" s="8">
        <v>7675</v>
      </c>
      <c r="L577" s="8">
        <v>7812</v>
      </c>
      <c r="M577" s="8">
        <v>8054</v>
      </c>
      <c r="N577" s="8">
        <v>8096</v>
      </c>
      <c r="O577" s="8">
        <v>7835</v>
      </c>
      <c r="P577" s="8">
        <v>7670</v>
      </c>
      <c r="Q577" s="8">
        <v>7562</v>
      </c>
      <c r="R577" s="8">
        <v>7372</v>
      </c>
      <c r="S577" s="8">
        <v>7299</v>
      </c>
      <c r="T577" s="8">
        <v>7134</v>
      </c>
      <c r="U577" s="8">
        <v>7080</v>
      </c>
      <c r="V577" s="8">
        <v>6896</v>
      </c>
      <c r="W577" s="8">
        <v>6518</v>
      </c>
      <c r="X577" s="8">
        <v>6407</v>
      </c>
      <c r="Y577" s="8">
        <v>6499</v>
      </c>
      <c r="Z577" s="8">
        <v>6482</v>
      </c>
      <c r="AA577" s="8">
        <v>6590</v>
      </c>
      <c r="AB577" s="8">
        <v>6579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</row>
    <row r="578" spans="1:47" ht="14.4">
      <c r="A578" s="3">
        <f>LOOKUP(D578,'AMFI DATA_2023H2'!F:L,'AMFI DATA_2023H2'!L:L)</f>
        <v>588</v>
      </c>
      <c r="B578" s="4" t="s">
        <v>1734</v>
      </c>
      <c r="C578" s="4" t="s">
        <v>1735</v>
      </c>
      <c r="D578" s="5" t="s">
        <v>1736</v>
      </c>
      <c r="E578" s="5">
        <v>4547.58</v>
      </c>
      <c r="F578" s="6">
        <f>LOOKUP(D578,'AMFI DATA_2023H2'!F:J,'AMFI DATA_2023H2'!J:J)</f>
        <v>5649.2565500000001</v>
      </c>
      <c r="G578" s="7">
        <f t="shared" si="2"/>
        <v>-1</v>
      </c>
      <c r="H578" s="8"/>
      <c r="I578" s="8">
        <v>6948</v>
      </c>
      <c r="J578" s="8">
        <v>6970</v>
      </c>
      <c r="K578" s="8">
        <v>6974</v>
      </c>
      <c r="L578" s="8">
        <v>7140</v>
      </c>
      <c r="M578" s="8">
        <v>7281</v>
      </c>
      <c r="N578" s="8">
        <v>7347</v>
      </c>
      <c r="O578" s="8">
        <v>7229</v>
      </c>
      <c r="P578" s="8">
        <v>7234</v>
      </c>
      <c r="Q578" s="8">
        <v>7299</v>
      </c>
      <c r="R578" s="8">
        <v>7347</v>
      </c>
      <c r="S578" s="8">
        <v>7447</v>
      </c>
      <c r="T578" s="8">
        <v>7432</v>
      </c>
      <c r="U578" s="8">
        <v>7356</v>
      </c>
      <c r="V578" s="8">
        <v>7396</v>
      </c>
      <c r="W578" s="8">
        <v>7420</v>
      </c>
      <c r="X578" s="8">
        <v>7358</v>
      </c>
      <c r="Y578" s="8">
        <v>7397</v>
      </c>
      <c r="Z578" s="8">
        <v>7468</v>
      </c>
      <c r="AA578" s="8">
        <v>7327</v>
      </c>
      <c r="AB578" s="8">
        <v>7375</v>
      </c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spans="1:47" ht="14.4">
      <c r="A579" s="3">
        <f>LOOKUP(D579,'AMFI DATA_2023H2'!F:L,'AMFI DATA_2023H2'!L:L)</f>
        <v>589</v>
      </c>
      <c r="B579" s="4" t="s">
        <v>1737</v>
      </c>
      <c r="C579" s="4" t="s">
        <v>1738</v>
      </c>
      <c r="D579" s="5" t="s">
        <v>1739</v>
      </c>
      <c r="E579" s="5">
        <v>2655.4</v>
      </c>
      <c r="F579" s="6">
        <f>LOOKUP(D579,'AMFI DATA_2023H2'!F:J,'AMFI DATA_2023H2'!J:J)</f>
        <v>5647.7874499999998</v>
      </c>
      <c r="G579" s="7">
        <f t="shared" si="2"/>
        <v>-1</v>
      </c>
      <c r="H579" s="8"/>
      <c r="I579" s="8">
        <v>12411</v>
      </c>
      <c r="J579" s="8">
        <v>11935</v>
      </c>
      <c r="K579" s="8">
        <v>11378</v>
      </c>
      <c r="L579" s="8">
        <v>11676</v>
      </c>
      <c r="M579" s="8">
        <v>12276</v>
      </c>
      <c r="N579" s="8">
        <v>11167</v>
      </c>
      <c r="O579" s="8">
        <v>10147</v>
      </c>
      <c r="P579" s="8">
        <v>10041</v>
      </c>
      <c r="Q579" s="8">
        <v>9979</v>
      </c>
      <c r="R579" s="8">
        <v>9848</v>
      </c>
      <c r="S579" s="8">
        <v>9863</v>
      </c>
      <c r="T579" s="8">
        <v>9327</v>
      </c>
      <c r="U579" s="8">
        <v>9001</v>
      </c>
      <c r="V579" s="8">
        <v>9314</v>
      </c>
      <c r="W579" s="8">
        <v>9334</v>
      </c>
      <c r="X579" s="8">
        <v>9317</v>
      </c>
      <c r="Y579" s="8">
        <v>9011</v>
      </c>
      <c r="Z579" s="8">
        <v>9219</v>
      </c>
      <c r="AA579" s="8">
        <v>9412</v>
      </c>
      <c r="AB579" s="8">
        <v>9623</v>
      </c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</row>
    <row r="580" spans="1:47" ht="14.4">
      <c r="A580" s="3">
        <f>LOOKUP(D580,'AMFI DATA_2023H2'!F:L,'AMFI DATA_2023H2'!L:L)</f>
        <v>590</v>
      </c>
      <c r="B580" s="4" t="s">
        <v>1740</v>
      </c>
      <c r="C580" s="4" t="s">
        <v>1741</v>
      </c>
      <c r="D580" s="5" t="s">
        <v>1742</v>
      </c>
      <c r="E580" s="5">
        <v>3681.95</v>
      </c>
      <c r="F580" s="6">
        <f>LOOKUP(D580,'AMFI DATA_2023H2'!F:J,'AMFI DATA_2023H2'!J:J)</f>
        <v>5635.9359999999997</v>
      </c>
      <c r="G580" s="7">
        <f t="shared" si="2"/>
        <v>-1</v>
      </c>
      <c r="H580" s="8"/>
      <c r="I580" s="8">
        <v>7218</v>
      </c>
      <c r="J580" s="8">
        <v>7143</v>
      </c>
      <c r="K580" s="8">
        <v>7141</v>
      </c>
      <c r="L580" s="8">
        <v>7288</v>
      </c>
      <c r="M580" s="8">
        <v>7365</v>
      </c>
      <c r="N580" s="8">
        <v>7389</v>
      </c>
      <c r="O580" s="8">
        <v>7540</v>
      </c>
      <c r="P580" s="8">
        <v>7549</v>
      </c>
      <c r="Q580" s="8">
        <v>7159</v>
      </c>
      <c r="R580" s="8">
        <v>6946</v>
      </c>
      <c r="S580" s="8">
        <v>7120</v>
      </c>
      <c r="T580" s="8">
        <v>7052</v>
      </c>
      <c r="U580" s="8">
        <v>7057</v>
      </c>
      <c r="V580" s="8">
        <v>7169</v>
      </c>
      <c r="W580" s="8">
        <v>7310</v>
      </c>
      <c r="X580" s="8">
        <v>7215</v>
      </c>
      <c r="Y580" s="8">
        <v>7174</v>
      </c>
      <c r="Z580" s="8">
        <v>7000</v>
      </c>
      <c r="AA580" s="8">
        <v>6900</v>
      </c>
      <c r="AB580" s="8">
        <v>6829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</row>
    <row r="581" spans="1:47" ht="14.4">
      <c r="A581" s="3">
        <f>LOOKUP(D581,'AMFI DATA_2023H2'!F:L,'AMFI DATA_2023H2'!L:L)</f>
        <v>591</v>
      </c>
      <c r="B581" s="4" t="s">
        <v>1743</v>
      </c>
      <c r="C581" s="4" t="s">
        <v>1744</v>
      </c>
      <c r="D581" s="5" t="s">
        <v>1745</v>
      </c>
      <c r="E581" s="5">
        <v>5093.22</v>
      </c>
      <c r="F581" s="6">
        <f>LOOKUP(D581,'AMFI DATA_2023H2'!F:J,'AMFI DATA_2023H2'!J:J)</f>
        <v>5617.2032999999992</v>
      </c>
      <c r="G581" s="7">
        <f t="shared" si="2"/>
        <v>-1</v>
      </c>
      <c r="H581" s="8"/>
      <c r="I581" s="8">
        <v>7504</v>
      </c>
      <c r="J581" s="8">
        <v>7415</v>
      </c>
      <c r="K581" s="8">
        <v>7565</v>
      </c>
      <c r="L581" s="8">
        <v>7182</v>
      </c>
      <c r="M581" s="8">
        <v>7513</v>
      </c>
      <c r="N581" s="8">
        <v>7430</v>
      </c>
      <c r="O581" s="8">
        <v>6675</v>
      </c>
      <c r="P581" s="8">
        <v>6183</v>
      </c>
      <c r="Q581" s="8">
        <v>5906</v>
      </c>
      <c r="R581" s="8">
        <v>5977</v>
      </c>
      <c r="S581" s="8">
        <v>6141</v>
      </c>
      <c r="T581" s="8">
        <v>6057</v>
      </c>
      <c r="U581" s="8">
        <v>6120</v>
      </c>
      <c r="V581" s="8">
        <v>5863</v>
      </c>
      <c r="W581" s="8">
        <v>5953</v>
      </c>
      <c r="X581" s="8">
        <v>5717</v>
      </c>
      <c r="Y581" s="8">
        <v>5472</v>
      </c>
      <c r="Z581" s="8">
        <v>5476</v>
      </c>
      <c r="AA581" s="8">
        <v>5450</v>
      </c>
      <c r="AB581" s="8">
        <v>5424</v>
      </c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spans="1:47" ht="14.4">
      <c r="A582" s="3">
        <f>LOOKUP(D582,'AMFI DATA_2023H2'!F:L,'AMFI DATA_2023H2'!L:L)</f>
        <v>592</v>
      </c>
      <c r="B582" s="4" t="s">
        <v>1746</v>
      </c>
      <c r="C582" s="4" t="s">
        <v>1747</v>
      </c>
      <c r="D582" s="5" t="s">
        <v>1748</v>
      </c>
      <c r="E582" s="5">
        <v>8864.76</v>
      </c>
      <c r="F582" s="6">
        <f>LOOKUP(D582,'AMFI DATA_2023H2'!F:J,'AMFI DATA_2023H2'!J:J)</f>
        <v>5587.6141000000007</v>
      </c>
      <c r="G582" s="7">
        <f t="shared" si="2"/>
        <v>-1</v>
      </c>
      <c r="H582" s="8"/>
      <c r="I582" s="8">
        <v>6535</v>
      </c>
      <c r="J582" s="8">
        <v>6694</v>
      </c>
      <c r="K582" s="8">
        <v>6578</v>
      </c>
      <c r="L582" s="8">
        <v>6706</v>
      </c>
      <c r="M582" s="8">
        <v>6776</v>
      </c>
      <c r="N582" s="8">
        <v>6892</v>
      </c>
      <c r="O582" s="8">
        <v>6481</v>
      </c>
      <c r="P582" s="8">
        <v>6381</v>
      </c>
      <c r="Q582" s="8">
        <v>6164</v>
      </c>
      <c r="R582" s="8">
        <v>6285</v>
      </c>
      <c r="S582" s="8">
        <v>6467</v>
      </c>
      <c r="T582" s="8">
        <v>6325</v>
      </c>
      <c r="U582" s="8">
        <v>5850</v>
      </c>
      <c r="V582" s="8">
        <v>5803</v>
      </c>
      <c r="W582" s="8">
        <v>5851</v>
      </c>
      <c r="X582" s="8">
        <v>5935</v>
      </c>
      <c r="Y582" s="8">
        <v>5766</v>
      </c>
      <c r="Z582" s="8">
        <v>5721</v>
      </c>
      <c r="AA582" s="8">
        <v>5815</v>
      </c>
      <c r="AB582" s="8">
        <v>5752</v>
      </c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spans="1:47" ht="14.4">
      <c r="A583" s="3">
        <f>LOOKUP(D583,'AMFI DATA_2023H2'!F:L,'AMFI DATA_2023H2'!L:L)</f>
        <v>593</v>
      </c>
      <c r="B583" s="4" t="s">
        <v>1749</v>
      </c>
      <c r="C583" s="4" t="s">
        <v>1750</v>
      </c>
      <c r="D583" s="5" t="s">
        <v>1751</v>
      </c>
      <c r="E583" s="5">
        <v>6070.39</v>
      </c>
      <c r="F583" s="6">
        <f>LOOKUP(D583,'AMFI DATA_2023H2'!F:J,'AMFI DATA_2023H2'!J:J)</f>
        <v>5485.7730499999998</v>
      </c>
      <c r="G583" s="7">
        <f t="shared" si="2"/>
        <v>-1</v>
      </c>
      <c r="H583" s="8"/>
      <c r="I583" s="8">
        <v>5149</v>
      </c>
      <c r="J583" s="8">
        <v>5101</v>
      </c>
      <c r="K583" s="8">
        <v>5255</v>
      </c>
      <c r="L583" s="8">
        <v>5294</v>
      </c>
      <c r="M583" s="8">
        <v>5272</v>
      </c>
      <c r="N583" s="8">
        <v>5280</v>
      </c>
      <c r="O583" s="8">
        <v>5328</v>
      </c>
      <c r="P583" s="8">
        <v>5310</v>
      </c>
      <c r="Q583" s="8">
        <v>5329</v>
      </c>
      <c r="R583" s="8">
        <v>5342</v>
      </c>
      <c r="S583" s="8">
        <v>5415</v>
      </c>
      <c r="T583" s="8">
        <v>5429</v>
      </c>
      <c r="U583" s="8">
        <v>5307</v>
      </c>
      <c r="V583" s="8">
        <v>5301</v>
      </c>
      <c r="W583" s="8">
        <v>5306</v>
      </c>
      <c r="X583" s="8">
        <v>5286</v>
      </c>
      <c r="Y583" s="8">
        <v>5199</v>
      </c>
      <c r="Z583" s="8">
        <v>5248</v>
      </c>
      <c r="AA583" s="8">
        <v>5289</v>
      </c>
      <c r="AB583" s="8">
        <v>5318</v>
      </c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spans="1:47" ht="14.4">
      <c r="A584" s="3">
        <f>LOOKUP(D584,'AMFI DATA_2023H2'!F:L,'AMFI DATA_2023H2'!L:L)</f>
        <v>594</v>
      </c>
      <c r="B584" s="4" t="s">
        <v>1752</v>
      </c>
      <c r="C584" s="4" t="s">
        <v>1753</v>
      </c>
      <c r="D584" s="5" t="s">
        <v>1754</v>
      </c>
      <c r="E584" s="5">
        <v>5001.3500000000004</v>
      </c>
      <c r="F584" s="6">
        <f>LOOKUP(D584,'AMFI DATA_2023H2'!F:J,'AMFI DATA_2023H2'!J:J)</f>
        <v>5481.9434499999998</v>
      </c>
      <c r="G584" s="7">
        <f t="shared" si="2"/>
        <v>-1</v>
      </c>
      <c r="H584" s="8"/>
      <c r="I584" s="8">
        <v>5414</v>
      </c>
      <c r="J584" s="8">
        <v>5420</v>
      </c>
      <c r="K584" s="8">
        <v>5476</v>
      </c>
      <c r="L584" s="8">
        <v>5569</v>
      </c>
      <c r="M584" s="8">
        <v>5607</v>
      </c>
      <c r="N584" s="8">
        <v>5620</v>
      </c>
      <c r="O584" s="8">
        <v>5591</v>
      </c>
      <c r="P584" s="8">
        <v>5611</v>
      </c>
      <c r="Q584" s="8">
        <v>5657</v>
      </c>
      <c r="R584" s="8">
        <v>5392</v>
      </c>
      <c r="S584" s="8">
        <v>5510</v>
      </c>
      <c r="T584" s="8">
        <v>5450</v>
      </c>
      <c r="U584" s="8">
        <v>5524</v>
      </c>
      <c r="V584" s="8">
        <v>5582</v>
      </c>
      <c r="W584" s="8">
        <v>5687</v>
      </c>
      <c r="X584" s="8">
        <v>5624</v>
      </c>
      <c r="Y584" s="8">
        <v>5570</v>
      </c>
      <c r="Z584" s="8">
        <v>5146</v>
      </c>
      <c r="AA584" s="8">
        <v>5048</v>
      </c>
      <c r="AB584" s="8">
        <v>5132</v>
      </c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spans="1:47" ht="14.4">
      <c r="A585" s="3">
        <f>LOOKUP(D585,'AMFI DATA_2023H2'!F:L,'AMFI DATA_2023H2'!L:L)</f>
        <v>595</v>
      </c>
      <c r="B585" s="4" t="s">
        <v>1755</v>
      </c>
      <c r="C585" s="4" t="s">
        <v>1756</v>
      </c>
      <c r="D585" s="5" t="s">
        <v>1757</v>
      </c>
      <c r="E585" s="5">
        <v>3242.88</v>
      </c>
      <c r="F585" s="6">
        <f>LOOKUP(D585,'AMFI DATA_2023H2'!F:J,'AMFI DATA_2023H2'!J:J)</f>
        <v>5475.5110500000001</v>
      </c>
      <c r="G585" s="7">
        <f t="shared" si="2"/>
        <v>-1</v>
      </c>
      <c r="H585" s="8"/>
      <c r="I585" s="8">
        <v>7158</v>
      </c>
      <c r="J585" s="8">
        <v>7155</v>
      </c>
      <c r="K585" s="8">
        <v>6965</v>
      </c>
      <c r="L585" s="8">
        <v>7253</v>
      </c>
      <c r="M585" s="8">
        <v>7280</v>
      </c>
      <c r="N585" s="8">
        <v>7393</v>
      </c>
      <c r="O585" s="8">
        <v>7407</v>
      </c>
      <c r="P585" s="8">
        <v>7393</v>
      </c>
      <c r="Q585" s="8">
        <v>7409</v>
      </c>
      <c r="R585" s="8">
        <v>7448</v>
      </c>
      <c r="S585" s="8">
        <v>7770</v>
      </c>
      <c r="T585" s="8">
        <v>7842</v>
      </c>
      <c r="U585" s="8">
        <v>7958</v>
      </c>
      <c r="V585" s="8">
        <v>7488</v>
      </c>
      <c r="W585" s="8">
        <v>7291</v>
      </c>
      <c r="X585" s="8">
        <v>7319</v>
      </c>
      <c r="Y585" s="8">
        <v>7411</v>
      </c>
      <c r="Z585" s="8">
        <v>7239</v>
      </c>
      <c r="AA585" s="8">
        <v>7201</v>
      </c>
      <c r="AB585" s="8">
        <v>7253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</row>
    <row r="586" spans="1:47" ht="14.4">
      <c r="A586" s="3">
        <f>LOOKUP(D586,'AMFI DATA_2023H2'!F:L,'AMFI DATA_2023H2'!L:L)</f>
        <v>596</v>
      </c>
      <c r="B586" s="4" t="s">
        <v>1758</v>
      </c>
      <c r="C586" s="4" t="s">
        <v>1759</v>
      </c>
      <c r="D586" s="5" t="s">
        <v>1760</v>
      </c>
      <c r="E586" s="5">
        <v>4076.04</v>
      </c>
      <c r="F586" s="6">
        <f>LOOKUP(D586,'AMFI DATA_2023H2'!F:J,'AMFI DATA_2023H2'!J:J)</f>
        <v>5444.7392999999993</v>
      </c>
      <c r="G586" s="7">
        <f t="shared" si="2"/>
        <v>-1</v>
      </c>
      <c r="H586" s="8"/>
      <c r="I586" s="8">
        <v>6649</v>
      </c>
      <c r="J586" s="8">
        <v>6796</v>
      </c>
      <c r="K586" s="8">
        <v>6866</v>
      </c>
      <c r="L586" s="8">
        <v>6809</v>
      </c>
      <c r="M586" s="8">
        <v>6883</v>
      </c>
      <c r="N586" s="8">
        <v>6840</v>
      </c>
      <c r="O586" s="8">
        <v>7016</v>
      </c>
      <c r="P586" s="8">
        <v>7008</v>
      </c>
      <c r="Q586" s="8">
        <v>6919</v>
      </c>
      <c r="R586" s="8">
        <v>6851</v>
      </c>
      <c r="S586" s="8">
        <v>6884</v>
      </c>
      <c r="T586" s="8">
        <v>6813</v>
      </c>
      <c r="U586" s="8">
        <v>6785</v>
      </c>
      <c r="V586" s="8">
        <v>6921</v>
      </c>
      <c r="W586" s="8">
        <v>6910</v>
      </c>
      <c r="X586" s="8">
        <v>6861</v>
      </c>
      <c r="Y586" s="8">
        <v>6716</v>
      </c>
      <c r="Z586" s="8">
        <v>6602</v>
      </c>
      <c r="AA586" s="8">
        <v>6459</v>
      </c>
      <c r="AB586" s="8">
        <v>6554</v>
      </c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spans="1:47" ht="14.4">
      <c r="A587" s="3">
        <f>LOOKUP(D587,'AMFI DATA_2023H2'!F:L,'AMFI DATA_2023H2'!L:L)</f>
        <v>597</v>
      </c>
      <c r="B587" s="4" t="s">
        <v>1761</v>
      </c>
      <c r="C587" s="4" t="s">
        <v>1762</v>
      </c>
      <c r="D587" s="5" t="s">
        <v>1763</v>
      </c>
      <c r="E587" s="5">
        <v>4540.78</v>
      </c>
      <c r="F587" s="6">
        <f>LOOKUP(D587,'AMFI DATA_2023H2'!F:J,'AMFI DATA_2023H2'!J:J)</f>
        <v>5419.0722999999998</v>
      </c>
      <c r="G587" s="7">
        <f t="shared" si="2"/>
        <v>-1</v>
      </c>
      <c r="H587" s="8"/>
      <c r="I587" s="8">
        <v>6174</v>
      </c>
      <c r="J587" s="8">
        <v>6265</v>
      </c>
      <c r="K587" s="8">
        <v>6180</v>
      </c>
      <c r="L587" s="8">
        <v>6298</v>
      </c>
      <c r="M587" s="8">
        <v>6329</v>
      </c>
      <c r="N587" s="8">
        <v>6383</v>
      </c>
      <c r="O587" s="8">
        <v>6404</v>
      </c>
      <c r="P587" s="8">
        <v>6404</v>
      </c>
      <c r="Q587" s="8">
        <v>6388</v>
      </c>
      <c r="R587" s="8">
        <v>6272</v>
      </c>
      <c r="S587" s="8">
        <v>6391</v>
      </c>
      <c r="T587" s="8">
        <v>6587</v>
      </c>
      <c r="U587" s="8">
        <v>6500</v>
      </c>
      <c r="V587" s="8">
        <v>6267</v>
      </c>
      <c r="W587" s="8">
        <v>5774</v>
      </c>
      <c r="X587" s="8">
        <v>5529</v>
      </c>
      <c r="Y587" s="8">
        <v>5622</v>
      </c>
      <c r="Z587" s="8">
        <v>5606</v>
      </c>
      <c r="AA587" s="8">
        <v>5630</v>
      </c>
      <c r="AB587" s="8">
        <v>5622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</row>
    <row r="588" spans="1:47" ht="14.4">
      <c r="A588" s="3">
        <f>LOOKUP(D588,'AMFI DATA_2023H2'!F:L,'AMFI DATA_2023H2'!L:L)</f>
        <v>598</v>
      </c>
      <c r="B588" s="4" t="s">
        <v>1764</v>
      </c>
      <c r="C588" s="4" t="s">
        <v>1765</v>
      </c>
      <c r="D588" s="5" t="s">
        <v>1766</v>
      </c>
      <c r="E588" s="5">
        <v>4753.45</v>
      </c>
      <c r="F588" s="6">
        <f>LOOKUP(D588,'AMFI DATA_2023H2'!F:J,'AMFI DATA_2023H2'!J:J)</f>
        <v>5405.5383999999995</v>
      </c>
      <c r="G588" s="7">
        <f t="shared" si="2"/>
        <v>-1</v>
      </c>
      <c r="H588" s="8"/>
      <c r="I588" s="8">
        <v>5660</v>
      </c>
      <c r="J588" s="8">
        <v>5660</v>
      </c>
      <c r="K588" s="8">
        <v>5686</v>
      </c>
      <c r="L588" s="8">
        <v>5795</v>
      </c>
      <c r="M588" s="8">
        <v>5789</v>
      </c>
      <c r="N588" s="8">
        <v>5815</v>
      </c>
      <c r="O588" s="8">
        <v>5691</v>
      </c>
      <c r="P588" s="8">
        <v>5669</v>
      </c>
      <c r="Q588" s="8">
        <v>5763</v>
      </c>
      <c r="R588" s="8">
        <v>5663</v>
      </c>
      <c r="S588" s="8">
        <v>5781</v>
      </c>
      <c r="T588" s="8">
        <v>5774</v>
      </c>
      <c r="U588" s="8">
        <v>5761</v>
      </c>
      <c r="V588" s="8">
        <v>5848</v>
      </c>
      <c r="W588" s="8">
        <v>5799</v>
      </c>
      <c r="X588" s="8">
        <v>5592</v>
      </c>
      <c r="Y588" s="8">
        <v>5355</v>
      </c>
      <c r="Z588" s="8">
        <v>5362</v>
      </c>
      <c r="AA588" s="8">
        <v>5443</v>
      </c>
      <c r="AB588" s="8">
        <v>5397</v>
      </c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</row>
    <row r="589" spans="1:47" ht="14.4">
      <c r="A589" s="3">
        <f>LOOKUP(D589,'AMFI DATA_2023H2'!F:L,'AMFI DATA_2023H2'!L:L)</f>
        <v>599</v>
      </c>
      <c r="B589" s="4" t="s">
        <v>1767</v>
      </c>
      <c r="C589" s="4" t="s">
        <v>1768</v>
      </c>
      <c r="D589" s="5" t="s">
        <v>1769</v>
      </c>
      <c r="E589" s="5">
        <v>4532.93</v>
      </c>
      <c r="F589" s="6">
        <f>LOOKUP(D589,'AMFI DATA_2023H2'!F:J,'AMFI DATA_2023H2'!J:J)</f>
        <v>5399.7213499999998</v>
      </c>
      <c r="G589" s="7">
        <f t="shared" si="2"/>
        <v>-1</v>
      </c>
      <c r="H589" s="8"/>
      <c r="I589" s="8">
        <v>5443</v>
      </c>
      <c r="J589" s="8">
        <v>5431</v>
      </c>
      <c r="K589" s="8">
        <v>5341</v>
      </c>
      <c r="L589" s="8">
        <v>5365</v>
      </c>
      <c r="M589" s="8">
        <v>5402</v>
      </c>
      <c r="N589" s="8">
        <v>5376</v>
      </c>
      <c r="O589" s="8">
        <v>5350</v>
      </c>
      <c r="P589" s="8">
        <v>5447</v>
      </c>
      <c r="Q589" s="8">
        <v>5405</v>
      </c>
      <c r="R589" s="8">
        <v>5362</v>
      </c>
      <c r="S589" s="8">
        <v>5492</v>
      </c>
      <c r="T589" s="8">
        <v>5447</v>
      </c>
      <c r="U589" s="8">
        <v>5413</v>
      </c>
      <c r="V589" s="8">
        <v>5382</v>
      </c>
      <c r="W589" s="8">
        <v>5391</v>
      </c>
      <c r="X589" s="8">
        <v>5518</v>
      </c>
      <c r="Y589" s="8">
        <v>5377</v>
      </c>
      <c r="Z589" s="8">
        <v>5348</v>
      </c>
      <c r="AA589" s="8">
        <v>5344</v>
      </c>
      <c r="AB589" s="8">
        <v>5377</v>
      </c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</row>
    <row r="590" spans="1:47" ht="14.4">
      <c r="A590" s="3">
        <f>LOOKUP(D590,'AMFI DATA_2023H2'!F:L,'AMFI DATA_2023H2'!L:L)</f>
        <v>600</v>
      </c>
      <c r="B590" s="4" t="s">
        <v>1770</v>
      </c>
      <c r="C590" s="4" t="s">
        <v>1771</v>
      </c>
      <c r="D590" s="5" t="s">
        <v>1772</v>
      </c>
      <c r="E590" s="5">
        <v>1192.04</v>
      </c>
      <c r="F590" s="6">
        <f>LOOKUP(D590,'AMFI DATA_2023H2'!F:J,'AMFI DATA_2023H2'!J:J)</f>
        <v>5379.0776499999993</v>
      </c>
      <c r="G590" s="7">
        <f t="shared" si="2"/>
        <v>-1</v>
      </c>
      <c r="H590" s="8"/>
      <c r="I590" s="8">
        <v>5800</v>
      </c>
      <c r="J590" s="8">
        <v>5778</v>
      </c>
      <c r="K590" s="8">
        <v>5864</v>
      </c>
      <c r="L590" s="8">
        <v>6055</v>
      </c>
      <c r="M590" s="8">
        <v>6305</v>
      </c>
      <c r="N590" s="8">
        <v>6343</v>
      </c>
      <c r="O590" s="8">
        <v>5920</v>
      </c>
      <c r="P590" s="8">
        <v>5893</v>
      </c>
      <c r="Q590" s="8">
        <v>5789</v>
      </c>
      <c r="R590" s="8">
        <v>5848</v>
      </c>
      <c r="S590" s="8">
        <v>6067</v>
      </c>
      <c r="T590" s="8">
        <v>6148</v>
      </c>
      <c r="U590" s="8">
        <v>5949</v>
      </c>
      <c r="V590" s="8">
        <v>6049</v>
      </c>
      <c r="W590" s="8">
        <v>5886</v>
      </c>
      <c r="X590" s="8">
        <v>5884</v>
      </c>
      <c r="Y590" s="8">
        <v>5830</v>
      </c>
      <c r="Z590" s="8">
        <v>5874</v>
      </c>
      <c r="AA590" s="8">
        <v>5902</v>
      </c>
      <c r="AB590" s="8">
        <v>5880</v>
      </c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spans="1:47" ht="14.4">
      <c r="A591" s="3">
        <f>LOOKUP(D591,'AMFI DATA_2023H2'!F:L,'AMFI DATA_2023H2'!L:L)</f>
        <v>601</v>
      </c>
      <c r="B591" s="4" t="s">
        <v>1773</v>
      </c>
      <c r="C591" s="4" t="s">
        <v>1774</v>
      </c>
      <c r="D591" s="5" t="s">
        <v>1775</v>
      </c>
      <c r="E591" s="5">
        <v>5438.65</v>
      </c>
      <c r="F591" s="6">
        <f>LOOKUP(D591,'AMFI DATA_2023H2'!F:J,'AMFI DATA_2023H2'!J:J)</f>
        <v>5334.2039999999997</v>
      </c>
      <c r="G591" s="7">
        <f t="shared" si="2"/>
        <v>-1</v>
      </c>
      <c r="H591" s="8"/>
      <c r="I591" s="8">
        <v>5059</v>
      </c>
      <c r="J591" s="8">
        <v>5015</v>
      </c>
      <c r="K591" s="8">
        <v>5018</v>
      </c>
      <c r="L591" s="8">
        <v>5025</v>
      </c>
      <c r="M591" s="8">
        <v>5047</v>
      </c>
      <c r="N591" s="8">
        <v>5037</v>
      </c>
      <c r="O591" s="8">
        <v>5042</v>
      </c>
      <c r="P591" s="8">
        <v>5038</v>
      </c>
      <c r="Q591" s="8">
        <v>4981</v>
      </c>
      <c r="R591" s="8">
        <v>5054</v>
      </c>
      <c r="S591" s="8">
        <v>5143</v>
      </c>
      <c r="T591" s="8">
        <v>5153</v>
      </c>
      <c r="U591" s="8">
        <v>5193</v>
      </c>
      <c r="V591" s="8">
        <v>5197</v>
      </c>
      <c r="W591" s="8">
        <v>5193</v>
      </c>
      <c r="X591" s="8">
        <v>5185</v>
      </c>
      <c r="Y591" s="8">
        <v>5091</v>
      </c>
      <c r="Z591" s="8">
        <v>5143</v>
      </c>
      <c r="AA591" s="8">
        <v>4917</v>
      </c>
      <c r="AB591" s="8">
        <v>4879</v>
      </c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spans="1:47" ht="14.4">
      <c r="A592" s="3">
        <f>LOOKUP(D592,'AMFI DATA_2023H2'!F:L,'AMFI DATA_2023H2'!L:L)</f>
        <v>602</v>
      </c>
      <c r="B592" s="4" t="s">
        <v>1776</v>
      </c>
      <c r="C592" s="4" t="s">
        <v>1777</v>
      </c>
      <c r="D592" s="5" t="s">
        <v>1778</v>
      </c>
      <c r="E592" s="5">
        <v>4983.43</v>
      </c>
      <c r="F592" s="6">
        <f>LOOKUP(D592,'AMFI DATA_2023H2'!F:J,'AMFI DATA_2023H2'!J:J)</f>
        <v>5300.3547500000004</v>
      </c>
      <c r="G592" s="7">
        <f t="shared" si="2"/>
        <v>-1</v>
      </c>
      <c r="H592" s="8"/>
      <c r="I592" s="8">
        <v>5611</v>
      </c>
      <c r="J592" s="8">
        <v>5521</v>
      </c>
      <c r="K592" s="8">
        <v>5571</v>
      </c>
      <c r="L592" s="8">
        <v>5583</v>
      </c>
      <c r="M592" s="8">
        <v>5651</v>
      </c>
      <c r="N592" s="8">
        <v>5598</v>
      </c>
      <c r="O592" s="8">
        <v>5636</v>
      </c>
      <c r="P592" s="8">
        <v>5699</v>
      </c>
      <c r="Q592" s="8">
        <v>5803</v>
      </c>
      <c r="R592" s="8">
        <v>5840</v>
      </c>
      <c r="S592" s="8">
        <v>5953</v>
      </c>
      <c r="T592" s="8">
        <v>5939</v>
      </c>
      <c r="U592" s="8">
        <v>6208</v>
      </c>
      <c r="V592" s="8">
        <v>6269</v>
      </c>
      <c r="W592" s="8">
        <v>5221</v>
      </c>
      <c r="X592" s="8">
        <v>5248</v>
      </c>
      <c r="Y592" s="8">
        <v>5216</v>
      </c>
      <c r="Z592" s="8">
        <v>5223</v>
      </c>
      <c r="AA592" s="8">
        <v>5267</v>
      </c>
      <c r="AB592" s="8">
        <v>5248</v>
      </c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spans="1:47" ht="14.4">
      <c r="A593" s="3">
        <f>LOOKUP(D593,'AMFI DATA_2023H2'!F:L,'AMFI DATA_2023H2'!L:L)</f>
        <v>603</v>
      </c>
      <c r="B593" s="4" t="s">
        <v>1779</v>
      </c>
      <c r="C593" s="4" t="s">
        <v>1780</v>
      </c>
      <c r="D593" s="5" t="s">
        <v>1781</v>
      </c>
      <c r="E593" s="5">
        <v>2646.13</v>
      </c>
      <c r="F593" s="6">
        <f>LOOKUP(D593,'AMFI DATA_2023H2'!F:J,'AMFI DATA_2023H2'!J:J)</f>
        <v>5278.5077999999994</v>
      </c>
      <c r="G593" s="7">
        <f t="shared" si="2"/>
        <v>-1</v>
      </c>
      <c r="H593" s="8"/>
      <c r="I593" s="8">
        <v>7598</v>
      </c>
      <c r="J593" s="8">
        <v>7291</v>
      </c>
      <c r="K593" s="8">
        <v>7066</v>
      </c>
      <c r="L593" s="8">
        <v>7188</v>
      </c>
      <c r="M593" s="8">
        <v>7268</v>
      </c>
      <c r="N593" s="8">
        <v>7106</v>
      </c>
      <c r="O593" s="8">
        <v>7295</v>
      </c>
      <c r="P593" s="8">
        <v>7074</v>
      </c>
      <c r="Q593" s="8">
        <v>6909</v>
      </c>
      <c r="R593" s="8">
        <v>7005</v>
      </c>
      <c r="S593" s="8">
        <v>7131</v>
      </c>
      <c r="T593" s="8">
        <v>7261</v>
      </c>
      <c r="U593" s="8">
        <v>7140</v>
      </c>
      <c r="V593" s="8">
        <v>6995</v>
      </c>
      <c r="W593" s="8">
        <v>6735</v>
      </c>
      <c r="X593" s="8">
        <v>6769</v>
      </c>
      <c r="Y593" s="8">
        <v>6808</v>
      </c>
      <c r="Z593" s="8">
        <v>6783</v>
      </c>
      <c r="AA593" s="8">
        <v>6838</v>
      </c>
      <c r="AB593" s="8">
        <v>6563</v>
      </c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spans="1:47" ht="14.4">
      <c r="A594" s="3">
        <f>LOOKUP(D594,'AMFI DATA_2023H2'!F:L,'AMFI DATA_2023H2'!L:L)</f>
        <v>604</v>
      </c>
      <c r="B594" s="4" t="s">
        <v>1782</v>
      </c>
      <c r="C594" s="4" t="s">
        <v>1783</v>
      </c>
      <c r="D594" s="5" t="s">
        <v>1784</v>
      </c>
      <c r="E594" s="5">
        <v>3813.17</v>
      </c>
      <c r="F594" s="6">
        <f>LOOKUP(D594,'AMFI DATA_2023H2'!F:J,'AMFI DATA_2023H2'!J:J)</f>
        <v>5275.5699000000004</v>
      </c>
      <c r="G594" s="7">
        <f t="shared" si="2"/>
        <v>-1</v>
      </c>
      <c r="H594" s="8"/>
      <c r="I594" s="8">
        <v>6051</v>
      </c>
      <c r="J594" s="8">
        <v>6043</v>
      </c>
      <c r="K594" s="8">
        <v>6287</v>
      </c>
      <c r="L594" s="8">
        <v>6399</v>
      </c>
      <c r="M594" s="8">
        <v>6334</v>
      </c>
      <c r="N594" s="8">
        <v>6263</v>
      </c>
      <c r="O594" s="8">
        <v>5969</v>
      </c>
      <c r="P594" s="8">
        <v>5717</v>
      </c>
      <c r="Q594" s="8">
        <v>5688</v>
      </c>
      <c r="R594" s="8">
        <v>5678</v>
      </c>
      <c r="S594" s="8">
        <v>5624</v>
      </c>
      <c r="T594" s="8">
        <v>5614</v>
      </c>
      <c r="U594" s="8">
        <v>5583</v>
      </c>
      <c r="V594" s="8">
        <v>5618</v>
      </c>
      <c r="W594" s="8">
        <v>5664</v>
      </c>
      <c r="X594" s="8">
        <v>5666</v>
      </c>
      <c r="Y594" s="8">
        <v>5638</v>
      </c>
      <c r="Z594" s="8">
        <v>5671</v>
      </c>
      <c r="AA594" s="8">
        <v>5680</v>
      </c>
      <c r="AB594" s="8">
        <v>5795</v>
      </c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spans="1:47" ht="14.4">
      <c r="A595" s="3">
        <f>LOOKUP(D595,'AMFI DATA_2023H2'!F:L,'AMFI DATA_2023H2'!L:L)</f>
        <v>605</v>
      </c>
      <c r="B595" s="4" t="s">
        <v>1785</v>
      </c>
      <c r="C595" s="4" t="s">
        <v>1786</v>
      </c>
      <c r="D595" s="5" t="s">
        <v>1787</v>
      </c>
      <c r="E595" s="5">
        <v>3892.18</v>
      </c>
      <c r="F595" s="6">
        <f>LOOKUP(D595,'AMFI DATA_2023H2'!F:J,'AMFI DATA_2023H2'!J:J)</f>
        <v>5273.62925</v>
      </c>
      <c r="G595" s="7">
        <f t="shared" si="2"/>
        <v>-1</v>
      </c>
      <c r="H595" s="8"/>
      <c r="I595" s="8">
        <v>8684</v>
      </c>
      <c r="J595" s="8">
        <v>8721</v>
      </c>
      <c r="K595" s="8">
        <v>8757</v>
      </c>
      <c r="L595" s="8">
        <v>8890</v>
      </c>
      <c r="M595" s="8">
        <v>8779</v>
      </c>
      <c r="N595" s="8">
        <v>8759</v>
      </c>
      <c r="O595" s="8">
        <v>8951</v>
      </c>
      <c r="P595" s="8">
        <v>9034</v>
      </c>
      <c r="Q595" s="8">
        <v>8494</v>
      </c>
      <c r="R595" s="8">
        <v>8214</v>
      </c>
      <c r="S595" s="8">
        <v>8282</v>
      </c>
      <c r="T595" s="8">
        <v>8334</v>
      </c>
      <c r="U595" s="8">
        <v>8426</v>
      </c>
      <c r="V595" s="8">
        <v>8384</v>
      </c>
      <c r="W595" s="8">
        <v>8680</v>
      </c>
      <c r="X595" s="8">
        <v>8488</v>
      </c>
      <c r="Y595" s="8">
        <v>7088</v>
      </c>
      <c r="Z595" s="8">
        <v>7066</v>
      </c>
      <c r="AA595" s="8">
        <v>7155</v>
      </c>
      <c r="AB595" s="8">
        <v>6595</v>
      </c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spans="1:47" ht="14.4">
      <c r="A596" s="3">
        <f>LOOKUP(D596,'AMFI DATA_2023H2'!F:L,'AMFI DATA_2023H2'!L:L)</f>
        <v>606</v>
      </c>
      <c r="B596" s="4" t="s">
        <v>1788</v>
      </c>
      <c r="C596" s="4" t="s">
        <v>1789</v>
      </c>
      <c r="D596" s="5" t="s">
        <v>1790</v>
      </c>
      <c r="E596" s="5">
        <v>4585.9799999999996</v>
      </c>
      <c r="F596" s="6">
        <f>LOOKUP(D596,'AMFI DATA_2023H2'!F:J,'AMFI DATA_2023H2'!J:J)</f>
        <v>5262.7739999999994</v>
      </c>
      <c r="G596" s="7">
        <f t="shared" si="2"/>
        <v>-1</v>
      </c>
      <c r="H596" s="8"/>
      <c r="I596" s="8">
        <v>6077</v>
      </c>
      <c r="J596" s="8">
        <v>5986</v>
      </c>
      <c r="K596" s="8">
        <v>5989</v>
      </c>
      <c r="L596" s="8">
        <v>6104</v>
      </c>
      <c r="M596" s="8">
        <v>6033</v>
      </c>
      <c r="N596" s="8">
        <v>5737</v>
      </c>
      <c r="O596" s="8">
        <v>5640</v>
      </c>
      <c r="P596" s="8">
        <v>5639</v>
      </c>
      <c r="Q596" s="8">
        <v>5525</v>
      </c>
      <c r="R596" s="8">
        <v>5581</v>
      </c>
      <c r="S596" s="8">
        <v>5628</v>
      </c>
      <c r="T596" s="8">
        <v>5661</v>
      </c>
      <c r="U596" s="8">
        <v>5633</v>
      </c>
      <c r="V596" s="8">
        <v>5688</v>
      </c>
      <c r="W596" s="8">
        <v>5728</v>
      </c>
      <c r="X596" s="8">
        <v>5689</v>
      </c>
      <c r="Y596" s="8">
        <v>5843</v>
      </c>
      <c r="Z596" s="8">
        <v>5883</v>
      </c>
      <c r="AA596" s="8">
        <v>5833</v>
      </c>
      <c r="AB596" s="8">
        <v>5608</v>
      </c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spans="1:47" ht="14.4">
      <c r="A597" s="3">
        <f>LOOKUP(D597,'AMFI DATA_2023H2'!F:L,'AMFI DATA_2023H2'!L:L)</f>
        <v>607</v>
      </c>
      <c r="B597" s="4" t="s">
        <v>1791</v>
      </c>
      <c r="C597" s="4" t="s">
        <v>1792</v>
      </c>
      <c r="D597" s="5" t="s">
        <v>1793</v>
      </c>
      <c r="E597" s="5">
        <v>2742.02</v>
      </c>
      <c r="F597" s="6">
        <f>LOOKUP(D597,'AMFI DATA_2023H2'!F:J,'AMFI DATA_2023H2'!J:J)</f>
        <v>5245.6579000000002</v>
      </c>
      <c r="G597" s="7">
        <f t="shared" si="2"/>
        <v>-1</v>
      </c>
      <c r="H597" s="8"/>
      <c r="I597" s="8">
        <v>5187</v>
      </c>
      <c r="J597" s="8">
        <v>5242</v>
      </c>
      <c r="K597" s="8">
        <v>5282</v>
      </c>
      <c r="L597" s="8">
        <v>5510</v>
      </c>
      <c r="M597" s="8">
        <v>5514</v>
      </c>
      <c r="N597" s="8">
        <v>5619</v>
      </c>
      <c r="O597" s="8">
        <v>5625</v>
      </c>
      <c r="P597" s="8">
        <v>5613</v>
      </c>
      <c r="Q597" s="8">
        <v>5656</v>
      </c>
      <c r="R597" s="8">
        <v>5691</v>
      </c>
      <c r="S597" s="8">
        <v>5751</v>
      </c>
      <c r="T597" s="8">
        <v>5650</v>
      </c>
      <c r="U597" s="8">
        <v>5419</v>
      </c>
      <c r="V597" s="8">
        <v>5412</v>
      </c>
      <c r="W597" s="8">
        <v>5356</v>
      </c>
      <c r="X597" s="8">
        <v>5345</v>
      </c>
      <c r="Y597" s="8">
        <v>5381</v>
      </c>
      <c r="Z597" s="8">
        <v>5480</v>
      </c>
      <c r="AA597" s="8">
        <v>5460</v>
      </c>
      <c r="AB597" s="8">
        <v>5383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</row>
    <row r="598" spans="1:47" ht="14.4">
      <c r="A598" s="3">
        <f>LOOKUP(D598,'AMFI DATA_2023H2'!F:L,'AMFI DATA_2023H2'!L:L)</f>
        <v>608</v>
      </c>
      <c r="B598" s="4" t="s">
        <v>1794</v>
      </c>
      <c r="C598" s="4" t="s">
        <v>1795</v>
      </c>
      <c r="D598" s="5" t="s">
        <v>1796</v>
      </c>
      <c r="E598" s="5">
        <v>27450.74</v>
      </c>
      <c r="F598" s="6">
        <f>LOOKUP(D598,'AMFI DATA_2023H2'!F:J,'AMFI DATA_2023H2'!J:J)</f>
        <v>5219.2464</v>
      </c>
      <c r="G598" s="7">
        <f t="shared" si="2"/>
        <v>-1</v>
      </c>
      <c r="H598" s="8"/>
      <c r="I598" s="8">
        <v>5033</v>
      </c>
      <c r="J598" s="8">
        <v>5049</v>
      </c>
      <c r="K598" s="8">
        <v>5046</v>
      </c>
      <c r="L598" s="8">
        <v>5138</v>
      </c>
      <c r="M598" s="8">
        <v>5212</v>
      </c>
      <c r="N598" s="8">
        <v>5160</v>
      </c>
      <c r="O598" s="8">
        <v>5136</v>
      </c>
      <c r="P598" s="8">
        <v>5147</v>
      </c>
      <c r="Q598" s="8">
        <v>5055</v>
      </c>
      <c r="R598" s="8">
        <v>5040</v>
      </c>
      <c r="S598" s="8">
        <v>5108</v>
      </c>
      <c r="T598" s="8">
        <v>5092</v>
      </c>
      <c r="U598" s="8">
        <v>5060</v>
      </c>
      <c r="V598" s="8">
        <v>5082</v>
      </c>
      <c r="W598" s="8">
        <v>5062</v>
      </c>
      <c r="X598" s="8">
        <v>5029</v>
      </c>
      <c r="Y598" s="8">
        <v>5121</v>
      </c>
      <c r="Z598" s="8">
        <v>5178</v>
      </c>
      <c r="AA598" s="8">
        <v>5197</v>
      </c>
      <c r="AB598" s="8">
        <v>5204</v>
      </c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spans="1:47" ht="14.4">
      <c r="A599" s="3">
        <f>LOOKUP(D599,'AMFI DATA_2023H2'!F:L,'AMFI DATA_2023H2'!L:L)</f>
        <v>609</v>
      </c>
      <c r="B599" s="4" t="s">
        <v>1797</v>
      </c>
      <c r="C599" s="4" t="s">
        <v>1798</v>
      </c>
      <c r="D599" s="5" t="s">
        <v>1799</v>
      </c>
      <c r="E599" s="5">
        <v>4890.54</v>
      </c>
      <c r="F599" s="6">
        <f>LOOKUP(D599,'AMFI DATA_2023H2'!F:J,'AMFI DATA_2023H2'!J:J)</f>
        <v>5210.0519999999997</v>
      </c>
      <c r="G599" s="7">
        <f t="shared" si="2"/>
        <v>-1</v>
      </c>
      <c r="H599" s="8"/>
      <c r="I599" s="8">
        <v>5700</v>
      </c>
      <c r="J599" s="8">
        <v>5638</v>
      </c>
      <c r="K599" s="8">
        <v>5565</v>
      </c>
      <c r="L599" s="8">
        <v>5583</v>
      </c>
      <c r="M599" s="8">
        <v>5655</v>
      </c>
      <c r="N599" s="8">
        <v>5721</v>
      </c>
      <c r="O599" s="8">
        <v>5784</v>
      </c>
      <c r="P599" s="8">
        <v>5691</v>
      </c>
      <c r="Q599" s="8">
        <v>5731</v>
      </c>
      <c r="R599" s="8">
        <v>5683</v>
      </c>
      <c r="S599" s="8">
        <v>5910</v>
      </c>
      <c r="T599" s="8">
        <v>5955</v>
      </c>
      <c r="U599" s="8">
        <v>5948</v>
      </c>
      <c r="V599" s="8">
        <v>5984</v>
      </c>
      <c r="W599" s="8">
        <v>5963</v>
      </c>
      <c r="X599" s="8">
        <v>5711</v>
      </c>
      <c r="Y599" s="8">
        <v>5719</v>
      </c>
      <c r="Z599" s="8">
        <v>5728</v>
      </c>
      <c r="AA599" s="8">
        <v>5799</v>
      </c>
      <c r="AB599" s="8">
        <v>5519</v>
      </c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spans="1:47" ht="14.4">
      <c r="A600" s="3">
        <f>LOOKUP(D600,'AMFI DATA_2023H2'!F:L,'AMFI DATA_2023H2'!L:L)</f>
        <v>610</v>
      </c>
      <c r="B600" s="4" t="s">
        <v>1800</v>
      </c>
      <c r="C600" s="4" t="s">
        <v>1801</v>
      </c>
      <c r="D600" s="5" t="s">
        <v>1802</v>
      </c>
      <c r="E600" s="5">
        <v>3117.03</v>
      </c>
      <c r="F600" s="6">
        <f>LOOKUP(D600,'AMFI DATA_2023H2'!F:J,'AMFI DATA_2023H2'!J:J)</f>
        <v>5130.1278000000002</v>
      </c>
      <c r="G600" s="7">
        <f t="shared" si="2"/>
        <v>-1</v>
      </c>
      <c r="H600" s="8"/>
      <c r="I600" s="8">
        <v>7667</v>
      </c>
      <c r="J600" s="8">
        <v>7150</v>
      </c>
      <c r="K600" s="8">
        <v>7145</v>
      </c>
      <c r="L600" s="8">
        <v>6889</v>
      </c>
      <c r="M600" s="8">
        <v>6843</v>
      </c>
      <c r="N600" s="8">
        <v>6802</v>
      </c>
      <c r="O600" s="8">
        <v>6776</v>
      </c>
      <c r="P600" s="8">
        <v>6651</v>
      </c>
      <c r="Q600" s="8">
        <v>6647</v>
      </c>
      <c r="R600" s="8">
        <v>6602</v>
      </c>
      <c r="S600" s="8">
        <v>6672</v>
      </c>
      <c r="T600" s="8">
        <v>6750</v>
      </c>
      <c r="U600" s="8">
        <v>6464</v>
      </c>
      <c r="V600" s="8">
        <v>6473</v>
      </c>
      <c r="W600" s="8">
        <v>6796</v>
      </c>
      <c r="X600" s="8">
        <v>6598</v>
      </c>
      <c r="Y600" s="8">
        <v>6497</v>
      </c>
      <c r="Z600" s="8">
        <v>6512</v>
      </c>
      <c r="AA600" s="8">
        <v>6329</v>
      </c>
      <c r="AB600" s="8">
        <v>6257</v>
      </c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spans="1:47" ht="14.4">
      <c r="A601" s="3">
        <f>LOOKUP(D601,'AMFI DATA_2023H2'!F:L,'AMFI DATA_2023H2'!L:L)</f>
        <v>611</v>
      </c>
      <c r="B601" s="4" t="s">
        <v>1803</v>
      </c>
      <c r="C601" s="4" t="s">
        <v>1804</v>
      </c>
      <c r="D601" s="5" t="s">
        <v>1805</v>
      </c>
      <c r="E601" s="5">
        <v>4060.08</v>
      </c>
      <c r="F601" s="6">
        <f>LOOKUP(D601,'AMFI DATA_2023H2'!F:J,'AMFI DATA_2023H2'!J:J)</f>
        <v>5041.2752</v>
      </c>
      <c r="G601" s="7">
        <f t="shared" si="2"/>
        <v>-1</v>
      </c>
      <c r="H601" s="8"/>
      <c r="I601" s="8">
        <v>6063</v>
      </c>
      <c r="J601" s="8">
        <v>6050</v>
      </c>
      <c r="K601" s="8">
        <v>6038</v>
      </c>
      <c r="L601" s="8">
        <v>6084</v>
      </c>
      <c r="M601" s="8">
        <v>6102</v>
      </c>
      <c r="N601" s="8">
        <v>6224</v>
      </c>
      <c r="O601" s="8">
        <v>6215</v>
      </c>
      <c r="P601" s="8">
        <v>6193</v>
      </c>
      <c r="Q601" s="8">
        <v>6171</v>
      </c>
      <c r="R601" s="8">
        <v>6159</v>
      </c>
      <c r="S601" s="8">
        <v>6252</v>
      </c>
      <c r="T601" s="8">
        <v>6410</v>
      </c>
      <c r="U601" s="8">
        <v>6179</v>
      </c>
      <c r="V601" s="8">
        <v>6179</v>
      </c>
      <c r="W601" s="8">
        <v>6278</v>
      </c>
      <c r="X601" s="8">
        <v>6222</v>
      </c>
      <c r="Y601" s="8">
        <v>6291</v>
      </c>
      <c r="Z601" s="8">
        <v>6364</v>
      </c>
      <c r="AA601" s="8">
        <v>6375</v>
      </c>
      <c r="AB601" s="8">
        <v>6082</v>
      </c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</row>
    <row r="602" spans="1:47" ht="14.4">
      <c r="A602" s="3">
        <f>LOOKUP(D602,'AMFI DATA_2023H2'!F:L,'AMFI DATA_2023H2'!L:L)</f>
        <v>612</v>
      </c>
      <c r="B602" s="4" t="s">
        <v>1806</v>
      </c>
      <c r="C602" s="4" t="s">
        <v>1807</v>
      </c>
      <c r="D602" s="5" t="s">
        <v>1808</v>
      </c>
      <c r="E602" s="5">
        <v>2574.38</v>
      </c>
      <c r="F602" s="6">
        <f>LOOKUP(D602,'AMFI DATA_2023H2'!F:J,'AMFI DATA_2023H2'!J:J)</f>
        <v>5034.9104499999994</v>
      </c>
      <c r="G602" s="7">
        <f t="shared" si="2"/>
        <v>-1</v>
      </c>
      <c r="H602" s="8"/>
      <c r="I602" s="8">
        <v>7994</v>
      </c>
      <c r="J602" s="8">
        <v>7830</v>
      </c>
      <c r="K602" s="8">
        <v>7847</v>
      </c>
      <c r="L602" s="8">
        <v>7822</v>
      </c>
      <c r="M602" s="8">
        <v>8051</v>
      </c>
      <c r="N602" s="8">
        <v>7693</v>
      </c>
      <c r="O602" s="8">
        <v>7422</v>
      </c>
      <c r="P602" s="8">
        <v>7382</v>
      </c>
      <c r="Q602" s="8">
        <v>7426</v>
      </c>
      <c r="R602" s="8">
        <v>7534</v>
      </c>
      <c r="S602" s="8">
        <v>7424</v>
      </c>
      <c r="T602" s="8">
        <v>7382</v>
      </c>
      <c r="U602" s="8">
        <v>7225</v>
      </c>
      <c r="V602" s="8">
        <v>7163</v>
      </c>
      <c r="W602" s="8">
        <v>7220</v>
      </c>
      <c r="X602" s="8">
        <v>7260</v>
      </c>
      <c r="Y602" s="8">
        <v>7163</v>
      </c>
      <c r="Z602" s="8">
        <v>6971</v>
      </c>
      <c r="AA602" s="8">
        <v>6998</v>
      </c>
      <c r="AB602" s="8">
        <v>7070</v>
      </c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spans="1:47" ht="14.4">
      <c r="A603" s="3">
        <f>LOOKUP(D603,'AMFI DATA_2023H2'!F:L,'AMFI DATA_2023H2'!L:L)</f>
        <v>613</v>
      </c>
      <c r="B603" s="4" t="s">
        <v>1809</v>
      </c>
      <c r="C603" s="4" t="s">
        <v>1810</v>
      </c>
      <c r="D603" s="5" t="s">
        <v>1811</v>
      </c>
      <c r="E603" s="5">
        <v>3624.59</v>
      </c>
      <c r="F603" s="6">
        <f>LOOKUP(D603,'AMFI DATA_2023H2'!F:J,'AMFI DATA_2023H2'!J:J)</f>
        <v>5027.6479500000005</v>
      </c>
      <c r="G603" s="7">
        <f t="shared" si="2"/>
        <v>-1</v>
      </c>
      <c r="H603" s="8"/>
      <c r="I603" s="8">
        <v>6441</v>
      </c>
      <c r="J603" s="8">
        <v>6435</v>
      </c>
      <c r="K603" s="8">
        <v>5939</v>
      </c>
      <c r="L603" s="8">
        <v>6207</v>
      </c>
      <c r="M603" s="8">
        <v>5832</v>
      </c>
      <c r="N603" s="8">
        <v>5692</v>
      </c>
      <c r="O603" s="8">
        <v>5554</v>
      </c>
      <c r="P603" s="8">
        <v>5504</v>
      </c>
      <c r="Q603" s="8">
        <v>5594</v>
      </c>
      <c r="R603" s="8">
        <v>5586</v>
      </c>
      <c r="S603" s="8">
        <v>5671</v>
      </c>
      <c r="T603" s="8">
        <v>5640</v>
      </c>
      <c r="U603" s="8">
        <v>5632</v>
      </c>
      <c r="V603" s="8">
        <v>5661</v>
      </c>
      <c r="W603" s="8">
        <v>5619</v>
      </c>
      <c r="X603" s="8">
        <v>5590</v>
      </c>
      <c r="Y603" s="8">
        <v>5594</v>
      </c>
      <c r="Z603" s="8">
        <v>5583</v>
      </c>
      <c r="AA603" s="8">
        <v>5464</v>
      </c>
      <c r="AB603" s="8">
        <v>5577</v>
      </c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  <row r="604" spans="1:47" ht="14.4">
      <c r="A604" s="3">
        <f>LOOKUP(D604,'AMFI DATA_2023H2'!F:L,'AMFI DATA_2023H2'!L:L)</f>
        <v>614</v>
      </c>
      <c r="B604" s="4" t="s">
        <v>1812</v>
      </c>
      <c r="C604" s="4" t="s">
        <v>1813</v>
      </c>
      <c r="D604" s="5" t="s">
        <v>1814</v>
      </c>
      <c r="E604" s="5">
        <v>2907.64</v>
      </c>
      <c r="F604" s="6">
        <f>LOOKUP(D604,'AMFI DATA_2023H2'!F:J,'AMFI DATA_2023H2'!J:J)</f>
        <v>4987.9485999999997</v>
      </c>
      <c r="G604" s="7">
        <f t="shared" si="2"/>
        <v>-1</v>
      </c>
      <c r="H604" s="8"/>
      <c r="I604" s="8">
        <v>5492</v>
      </c>
      <c r="J604" s="8">
        <v>5534</v>
      </c>
      <c r="K604" s="8">
        <v>5470</v>
      </c>
      <c r="L604" s="8">
        <v>5575</v>
      </c>
      <c r="M604" s="8">
        <v>5664</v>
      </c>
      <c r="N604" s="8">
        <v>5805</v>
      </c>
      <c r="O604" s="8">
        <v>5845</v>
      </c>
      <c r="P604" s="8">
        <v>5904</v>
      </c>
      <c r="Q604" s="8">
        <v>6019</v>
      </c>
      <c r="R604" s="8">
        <v>5770</v>
      </c>
      <c r="S604" s="8">
        <v>5734</v>
      </c>
      <c r="T604" s="8">
        <v>5770</v>
      </c>
      <c r="U604" s="8">
        <v>5803</v>
      </c>
      <c r="V604" s="8">
        <v>5821</v>
      </c>
      <c r="W604" s="8">
        <v>5951</v>
      </c>
      <c r="X604" s="8">
        <v>6086</v>
      </c>
      <c r="Y604" s="8">
        <v>6097</v>
      </c>
      <c r="Z604" s="8">
        <v>5902</v>
      </c>
      <c r="AA604" s="8">
        <v>5849</v>
      </c>
      <c r="AB604" s="8">
        <v>5806</v>
      </c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</row>
    <row r="605" spans="1:47" ht="14.4">
      <c r="A605" s="3">
        <f>LOOKUP(D605,'AMFI DATA_2023H2'!F:L,'AMFI DATA_2023H2'!L:L)</f>
        <v>615</v>
      </c>
      <c r="B605" s="4" t="s">
        <v>1815</v>
      </c>
      <c r="C605" s="4" t="s">
        <v>1816</v>
      </c>
      <c r="D605" s="5" t="s">
        <v>1817</v>
      </c>
      <c r="E605" s="5">
        <v>4060.08</v>
      </c>
      <c r="F605" s="6">
        <f>LOOKUP(D605,'AMFI DATA_2023H2'!F:J,'AMFI DATA_2023H2'!J:J)</f>
        <v>4977.04025</v>
      </c>
      <c r="G605" s="7">
        <f t="shared" si="2"/>
        <v>-1</v>
      </c>
      <c r="H605" s="8"/>
      <c r="I605" s="8">
        <v>7919</v>
      </c>
      <c r="J605" s="8">
        <v>7798</v>
      </c>
      <c r="K605" s="8">
        <v>7884</v>
      </c>
      <c r="L605" s="8">
        <v>8041</v>
      </c>
      <c r="M605" s="8">
        <v>7865</v>
      </c>
      <c r="N605" s="8">
        <v>8136</v>
      </c>
      <c r="O605" s="8">
        <v>7826</v>
      </c>
      <c r="P605" s="8">
        <v>7453</v>
      </c>
      <c r="Q605" s="8">
        <v>7098</v>
      </c>
      <c r="R605" s="8">
        <v>6760</v>
      </c>
      <c r="S605" s="8">
        <v>6669</v>
      </c>
      <c r="T605" s="8">
        <v>6652</v>
      </c>
      <c r="U605" s="8">
        <v>6660</v>
      </c>
      <c r="V605" s="8">
        <v>6626</v>
      </c>
      <c r="W605" s="8">
        <v>6631</v>
      </c>
      <c r="X605" s="8">
        <v>6649</v>
      </c>
      <c r="Y605" s="8">
        <v>6747</v>
      </c>
      <c r="Z605" s="8">
        <v>6852</v>
      </c>
      <c r="AA605" s="8">
        <v>6887</v>
      </c>
      <c r="AB605" s="8">
        <v>6844</v>
      </c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</row>
    <row r="606" spans="1:47" ht="14.4">
      <c r="A606" s="3">
        <f>LOOKUP(D606,'AMFI DATA_2023H2'!F:L,'AMFI DATA_2023H2'!L:L)</f>
        <v>616</v>
      </c>
      <c r="B606" s="4" t="s">
        <v>1818</v>
      </c>
      <c r="C606" s="4" t="s">
        <v>1819</v>
      </c>
      <c r="D606" s="5" t="s">
        <v>1820</v>
      </c>
      <c r="E606" s="5">
        <v>2879.94</v>
      </c>
      <c r="F606" s="6">
        <f>LOOKUP(D606,'AMFI DATA_2023H2'!F:J,'AMFI DATA_2023H2'!J:J)</f>
        <v>4944.9480000000003</v>
      </c>
      <c r="G606" s="7">
        <f t="shared" si="2"/>
        <v>-1</v>
      </c>
      <c r="H606" s="8"/>
      <c r="I606" s="8">
        <v>7049</v>
      </c>
      <c r="J606" s="8">
        <v>7051</v>
      </c>
      <c r="K606" s="8">
        <v>7043</v>
      </c>
      <c r="L606" s="8">
        <v>7085</v>
      </c>
      <c r="M606" s="8">
        <v>6748</v>
      </c>
      <c r="N606" s="8">
        <v>6847</v>
      </c>
      <c r="O606" s="8">
        <v>6878</v>
      </c>
      <c r="P606" s="8">
        <v>6868</v>
      </c>
      <c r="Q606" s="8">
        <v>6933</v>
      </c>
      <c r="R606" s="8">
        <v>6856</v>
      </c>
      <c r="S606" s="8">
        <v>6994</v>
      </c>
      <c r="T606" s="8">
        <v>6921</v>
      </c>
      <c r="U606" s="8">
        <v>6912</v>
      </c>
      <c r="V606" s="8">
        <v>7071</v>
      </c>
      <c r="W606" s="8">
        <v>6734</v>
      </c>
      <c r="X606" s="8">
        <v>6414</v>
      </c>
      <c r="Y606" s="8">
        <v>6156</v>
      </c>
      <c r="Z606" s="8">
        <v>6204</v>
      </c>
      <c r="AA606" s="8">
        <v>5908</v>
      </c>
      <c r="AB606" s="8">
        <v>5627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</row>
    <row r="607" spans="1:47" ht="14.4">
      <c r="A607" s="3">
        <f>LOOKUP(D607,'AMFI DATA_2023H2'!F:L,'AMFI DATA_2023H2'!L:L)</f>
        <v>617</v>
      </c>
      <c r="B607" s="4" t="s">
        <v>1821</v>
      </c>
      <c r="C607" s="4" t="s">
        <v>1822</v>
      </c>
      <c r="D607" s="5" t="s">
        <v>1823</v>
      </c>
      <c r="E607" s="5">
        <v>3978.72</v>
      </c>
      <c r="F607" s="6">
        <f>LOOKUP(D607,'AMFI DATA_2023H2'!F:J,'AMFI DATA_2023H2'!J:J)</f>
        <v>4907.0067500000005</v>
      </c>
      <c r="G607" s="7">
        <f t="shared" si="2"/>
        <v>-1</v>
      </c>
      <c r="H607" s="8"/>
      <c r="I607" s="8">
        <v>5050</v>
      </c>
      <c r="J607" s="8">
        <v>5054</v>
      </c>
      <c r="K607" s="8">
        <v>5043</v>
      </c>
      <c r="L607" s="8">
        <v>5070</v>
      </c>
      <c r="M607" s="8">
        <v>5112</v>
      </c>
      <c r="N607" s="8">
        <v>5078</v>
      </c>
      <c r="O607" s="8">
        <v>5071</v>
      </c>
      <c r="P607" s="8">
        <v>5011</v>
      </c>
      <c r="Q607" s="8">
        <v>5000</v>
      </c>
      <c r="R607" s="8">
        <v>5034</v>
      </c>
      <c r="S607" s="8">
        <v>5153</v>
      </c>
      <c r="T607" s="8">
        <v>5110</v>
      </c>
      <c r="U607" s="8">
        <v>5180</v>
      </c>
      <c r="V607" s="8">
        <v>5149</v>
      </c>
      <c r="W607" s="8">
        <v>5091</v>
      </c>
      <c r="X607" s="8">
        <v>5056</v>
      </c>
      <c r="Y607" s="8">
        <v>5084</v>
      </c>
      <c r="Z607" s="8">
        <v>5100</v>
      </c>
      <c r="AA607" s="8">
        <v>5174</v>
      </c>
      <c r="AB607" s="8">
        <v>5121</v>
      </c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</row>
    <row r="608" spans="1:47" ht="14.4">
      <c r="A608" s="3">
        <f>LOOKUP(D608,'AMFI DATA_2023H2'!F:L,'AMFI DATA_2023H2'!L:L)</f>
        <v>618</v>
      </c>
      <c r="B608" s="4" t="s">
        <v>1824</v>
      </c>
      <c r="C608" s="4" t="s">
        <v>1825</v>
      </c>
      <c r="D608" s="5" t="s">
        <v>1826</v>
      </c>
      <c r="E608" s="5">
        <v>3534.57</v>
      </c>
      <c r="F608" s="6">
        <f>LOOKUP(D608,'AMFI DATA_2023H2'!F:J,'AMFI DATA_2023H2'!J:J)</f>
        <v>4902.9718000000003</v>
      </c>
      <c r="G608" s="7">
        <f t="shared" si="2"/>
        <v>-1</v>
      </c>
      <c r="H608" s="8"/>
      <c r="I608" s="8">
        <v>5468</v>
      </c>
      <c r="J608" s="8">
        <v>5592</v>
      </c>
      <c r="K608" s="8">
        <v>5460</v>
      </c>
      <c r="L608" s="8">
        <v>5593</v>
      </c>
      <c r="M608" s="8">
        <v>5356</v>
      </c>
      <c r="N608" s="8">
        <v>5541</v>
      </c>
      <c r="O608" s="8">
        <v>5646</v>
      </c>
      <c r="P608" s="8">
        <v>5592</v>
      </c>
      <c r="Q608" s="8">
        <v>5538</v>
      </c>
      <c r="R608" s="8">
        <v>5451</v>
      </c>
      <c r="S608" s="8">
        <v>5270</v>
      </c>
      <c r="T608" s="8">
        <v>5028</v>
      </c>
      <c r="U608" s="8">
        <v>5065</v>
      </c>
      <c r="V608" s="8">
        <v>5224</v>
      </c>
      <c r="W608" s="8">
        <v>5260</v>
      </c>
      <c r="X608" s="8">
        <v>5195</v>
      </c>
      <c r="Y608" s="8">
        <v>0</v>
      </c>
      <c r="Z608" s="8">
        <v>5261</v>
      </c>
      <c r="AA608" s="8">
        <v>5339</v>
      </c>
      <c r="AB608" s="8">
        <v>5365</v>
      </c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</row>
    <row r="609" spans="1:47" ht="14.4">
      <c r="A609" s="3">
        <f>LOOKUP(D609,'AMFI DATA_2023H2'!F:L,'AMFI DATA_2023H2'!L:L)</f>
        <v>619</v>
      </c>
      <c r="B609" s="4" t="s">
        <v>1827</v>
      </c>
      <c r="C609" s="4" t="s">
        <v>1828</v>
      </c>
      <c r="D609" s="5" t="s">
        <v>1829</v>
      </c>
      <c r="E609" s="5">
        <v>3718.47</v>
      </c>
      <c r="F609" s="6">
        <f>LOOKUP(D609,'AMFI DATA_2023H2'!F:J,'AMFI DATA_2023H2'!J:J)</f>
        <v>4892.5181499999999</v>
      </c>
      <c r="G609" s="7">
        <f t="shared" si="2"/>
        <v>-1</v>
      </c>
      <c r="H609" s="8"/>
      <c r="I609" s="8">
        <v>5072</v>
      </c>
      <c r="J609" s="8">
        <v>5150</v>
      </c>
      <c r="K609" s="8">
        <v>5142</v>
      </c>
      <c r="L609" s="8">
        <v>5263</v>
      </c>
      <c r="M609" s="8">
        <v>5317</v>
      </c>
      <c r="N609" s="8">
        <v>5321</v>
      </c>
      <c r="O609" s="8">
        <v>5269</v>
      </c>
      <c r="P609" s="8">
        <v>5154</v>
      </c>
      <c r="Q609" s="8">
        <v>5010</v>
      </c>
      <c r="R609" s="8">
        <v>4969</v>
      </c>
      <c r="S609" s="8">
        <v>5130</v>
      </c>
      <c r="T609" s="8">
        <v>5075</v>
      </c>
      <c r="U609" s="8">
        <v>4953</v>
      </c>
      <c r="V609" s="8">
        <v>4961</v>
      </c>
      <c r="W609" s="8">
        <v>4945</v>
      </c>
      <c r="X609" s="8">
        <v>4974</v>
      </c>
      <c r="Y609" s="8">
        <v>5109</v>
      </c>
      <c r="Z609" s="8">
        <v>4990</v>
      </c>
      <c r="AA609" s="8">
        <v>5008</v>
      </c>
      <c r="AB609" s="8">
        <v>5036</v>
      </c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</row>
    <row r="610" spans="1:47" ht="14.4">
      <c r="A610" s="3">
        <f>LOOKUP(D610,'AMFI DATA_2023H2'!F:L,'AMFI DATA_2023H2'!L:L)</f>
        <v>620</v>
      </c>
      <c r="B610" s="4" t="s">
        <v>1830</v>
      </c>
      <c r="C610" s="4" t="s">
        <v>1831</v>
      </c>
      <c r="D610" s="5" t="s">
        <v>1832</v>
      </c>
      <c r="E610" s="5">
        <v>4028</v>
      </c>
      <c r="F610" s="6">
        <f>LOOKUP(D610,'AMFI DATA_2023H2'!F:J,'AMFI DATA_2023H2'!J:J)</f>
        <v>4890.8626999999997</v>
      </c>
      <c r="G610" s="7">
        <f t="shared" si="2"/>
        <v>-1</v>
      </c>
      <c r="H610" s="8"/>
      <c r="I610" s="8">
        <v>5449</v>
      </c>
      <c r="J610" s="8">
        <v>5369</v>
      </c>
      <c r="K610" s="8">
        <v>5412</v>
      </c>
      <c r="L610" s="8">
        <v>5444</v>
      </c>
      <c r="M610" s="8">
        <v>5509</v>
      </c>
      <c r="N610" s="8">
        <v>5555</v>
      </c>
      <c r="O610" s="8">
        <v>5578</v>
      </c>
      <c r="P610" s="8">
        <v>5493</v>
      </c>
      <c r="Q610" s="8">
        <v>5506</v>
      </c>
      <c r="R610" s="8">
        <v>5574</v>
      </c>
      <c r="S610" s="8">
        <v>5673</v>
      </c>
      <c r="T610" s="8">
        <v>5664</v>
      </c>
      <c r="U610" s="8">
        <v>5604</v>
      </c>
      <c r="V610" s="8">
        <v>5615</v>
      </c>
      <c r="W610" s="8">
        <v>5607</v>
      </c>
      <c r="X610" s="8">
        <v>5460</v>
      </c>
      <c r="Y610" s="8">
        <v>5419</v>
      </c>
      <c r="Z610" s="8">
        <v>5375</v>
      </c>
      <c r="AA610" s="8">
        <v>5332</v>
      </c>
      <c r="AB610" s="8">
        <v>5314</v>
      </c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</row>
    <row r="611" spans="1:47" ht="14.4">
      <c r="A611" s="3">
        <f>LOOKUP(D611,'AMFI DATA_2023H2'!F:L,'AMFI DATA_2023H2'!L:L)</f>
        <v>621</v>
      </c>
      <c r="B611" s="4" t="s">
        <v>1833</v>
      </c>
      <c r="C611" s="4" t="s">
        <v>1834</v>
      </c>
      <c r="D611" s="5" t="s">
        <v>1835</v>
      </c>
      <c r="E611" s="5">
        <v>4083.33</v>
      </c>
      <c r="F611" s="6">
        <f>LOOKUP(D611,'AMFI DATA_2023H2'!F:J,'AMFI DATA_2023H2'!J:J)</f>
        <v>4883.4746500000001</v>
      </c>
      <c r="G611" s="7">
        <f t="shared" si="2"/>
        <v>-1</v>
      </c>
      <c r="H611" s="8"/>
      <c r="I611" s="8">
        <v>6440</v>
      </c>
      <c r="J611" s="8">
        <v>6440</v>
      </c>
      <c r="K611" s="8">
        <v>6440</v>
      </c>
      <c r="L611" s="8">
        <v>6440</v>
      </c>
      <c r="M611" s="8">
        <v>6440</v>
      </c>
      <c r="N611" s="8">
        <v>6440</v>
      </c>
      <c r="O611" s="8">
        <v>6229</v>
      </c>
      <c r="P611" s="8">
        <v>6206</v>
      </c>
      <c r="Q611" s="8">
        <v>6183</v>
      </c>
      <c r="R611" s="8">
        <v>6149</v>
      </c>
      <c r="S611" s="8">
        <v>6231</v>
      </c>
      <c r="T611" s="8">
        <v>6234</v>
      </c>
      <c r="U611" s="8">
        <v>6045</v>
      </c>
      <c r="V611" s="8">
        <v>6072</v>
      </c>
      <c r="W611" s="8">
        <v>6008</v>
      </c>
      <c r="X611" s="8">
        <v>5993</v>
      </c>
      <c r="Y611" s="8">
        <v>5760</v>
      </c>
      <c r="Z611" s="8">
        <v>5680</v>
      </c>
      <c r="AA611" s="8">
        <v>5612</v>
      </c>
      <c r="AB611" s="8">
        <v>5505</v>
      </c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</row>
    <row r="612" spans="1:47" ht="14.4">
      <c r="A612" s="3">
        <f>LOOKUP(D612,'AMFI DATA_2023H2'!F:L,'AMFI DATA_2023H2'!L:L)</f>
        <v>622</v>
      </c>
      <c r="B612" s="4" t="s">
        <v>1836</v>
      </c>
      <c r="C612" s="4" t="s">
        <v>1837</v>
      </c>
      <c r="D612" s="5" t="s">
        <v>1838</v>
      </c>
      <c r="E612" s="5">
        <v>12090.43</v>
      </c>
      <c r="F612" s="6">
        <f>LOOKUP(D612,'AMFI DATA_2023H2'!F:J,'AMFI DATA_2023H2'!J:J)</f>
        <v>4877.7648499999996</v>
      </c>
      <c r="G612" s="7">
        <f t="shared" si="2"/>
        <v>-1</v>
      </c>
      <c r="H612" s="8"/>
      <c r="I612" s="8">
        <v>5305</v>
      </c>
      <c r="J612" s="8">
        <v>5257</v>
      </c>
      <c r="K612" s="8">
        <v>5365</v>
      </c>
      <c r="L612" s="8">
        <v>5505</v>
      </c>
      <c r="M612" s="8">
        <v>5535</v>
      </c>
      <c r="N612" s="8">
        <v>5316</v>
      </c>
      <c r="O612" s="8">
        <v>5157</v>
      </c>
      <c r="P612" s="8">
        <v>5241</v>
      </c>
      <c r="Q612" s="8">
        <v>5155</v>
      </c>
      <c r="R612" s="8">
        <v>5218</v>
      </c>
      <c r="S612" s="8">
        <v>5260</v>
      </c>
      <c r="T612" s="8">
        <v>5295</v>
      </c>
      <c r="U612" s="8">
        <v>5281</v>
      </c>
      <c r="V612" s="8">
        <v>5306</v>
      </c>
      <c r="W612" s="8">
        <v>5357</v>
      </c>
      <c r="X612" s="8">
        <v>5352</v>
      </c>
      <c r="Y612" s="8">
        <v>5348</v>
      </c>
      <c r="Z612" s="8">
        <v>5268</v>
      </c>
      <c r="AA612" s="8">
        <v>5299</v>
      </c>
      <c r="AB612" s="8">
        <v>5289</v>
      </c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</row>
    <row r="613" spans="1:47" ht="14.4">
      <c r="A613" s="3">
        <f>LOOKUP(D613,'AMFI DATA_2023H2'!F:L,'AMFI DATA_2023H2'!L:L)</f>
        <v>623</v>
      </c>
      <c r="B613" s="4" t="s">
        <v>1839</v>
      </c>
      <c r="C613" s="4" t="s">
        <v>1840</v>
      </c>
      <c r="D613" s="5" t="s">
        <v>1841</v>
      </c>
      <c r="E613" s="5">
        <v>5335.74</v>
      </c>
      <c r="F613" s="6">
        <f>LOOKUP(D613,'AMFI DATA_2023H2'!F:J,'AMFI DATA_2023H2'!J:J)</f>
        <v>4863.3313500000004</v>
      </c>
      <c r="G613" s="7">
        <f t="shared" si="2"/>
        <v>-1</v>
      </c>
      <c r="H613" s="8"/>
      <c r="I613" s="8">
        <v>4790</v>
      </c>
      <c r="J613" s="8">
        <v>4651</v>
      </c>
      <c r="K613" s="8">
        <v>4698</v>
      </c>
      <c r="L613" s="8">
        <v>4796</v>
      </c>
      <c r="M613" s="8">
        <v>4971</v>
      </c>
      <c r="N613" s="8">
        <v>4960</v>
      </c>
      <c r="O613" s="8">
        <v>4929</v>
      </c>
      <c r="P613" s="8">
        <v>4918</v>
      </c>
      <c r="Q613" s="8">
        <v>4947</v>
      </c>
      <c r="R613" s="8">
        <v>4980</v>
      </c>
      <c r="S613" s="8">
        <v>5007</v>
      </c>
      <c r="T613" s="8">
        <v>4997</v>
      </c>
      <c r="U613" s="8">
        <v>4963</v>
      </c>
      <c r="V613" s="8">
        <v>4886</v>
      </c>
      <c r="W613" s="8">
        <v>4907</v>
      </c>
      <c r="X613" s="8">
        <v>4838</v>
      </c>
      <c r="Y613" s="8">
        <v>4805</v>
      </c>
      <c r="Z613" s="8">
        <v>4890</v>
      </c>
      <c r="AA613" s="8">
        <v>4907</v>
      </c>
      <c r="AB613" s="8">
        <v>4928</v>
      </c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</row>
    <row r="614" spans="1:47" ht="14.4">
      <c r="A614" s="3">
        <f>LOOKUP(D614,'AMFI DATA_2023H2'!F:L,'AMFI DATA_2023H2'!L:L)</f>
        <v>624</v>
      </c>
      <c r="B614" s="4" t="s">
        <v>1842</v>
      </c>
      <c r="C614" s="4" t="s">
        <v>1843</v>
      </c>
      <c r="D614" s="5" t="s">
        <v>1844</v>
      </c>
      <c r="E614" s="5">
        <v>4091.18</v>
      </c>
      <c r="F614" s="6">
        <f>LOOKUP(D614,'AMFI DATA_2023H2'!F:J,'AMFI DATA_2023H2'!J:J)</f>
        <v>4861.5266499999998</v>
      </c>
      <c r="G614" s="7">
        <f t="shared" si="2"/>
        <v>-1</v>
      </c>
      <c r="H614" s="8"/>
      <c r="I614" s="8">
        <v>7324</v>
      </c>
      <c r="J614" s="8">
        <v>7349</v>
      </c>
      <c r="K614" s="8">
        <v>7413</v>
      </c>
      <c r="L614" s="8">
        <v>7268</v>
      </c>
      <c r="M614" s="8">
        <v>7440</v>
      </c>
      <c r="N614" s="8">
        <v>7377</v>
      </c>
      <c r="O614" s="8">
        <v>6726</v>
      </c>
      <c r="P614" s="8">
        <v>6821</v>
      </c>
      <c r="Q614" s="8">
        <v>6671</v>
      </c>
      <c r="R614" s="8">
        <v>6488</v>
      </c>
      <c r="S614" s="8">
        <v>6432</v>
      </c>
      <c r="T614" s="8">
        <v>6251</v>
      </c>
      <c r="U614" s="8">
        <v>6137</v>
      </c>
      <c r="V614" s="8">
        <v>6093</v>
      </c>
      <c r="W614" s="8">
        <v>6129</v>
      </c>
      <c r="X614" s="8">
        <v>5943</v>
      </c>
      <c r="Y614" s="8">
        <v>6012</v>
      </c>
      <c r="Z614" s="8">
        <v>6004</v>
      </c>
      <c r="AA614" s="8">
        <v>6099</v>
      </c>
      <c r="AB614" s="8">
        <v>6029</v>
      </c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</row>
    <row r="615" spans="1:47" ht="14.4">
      <c r="A615" s="3">
        <f>LOOKUP(D615,'AMFI DATA_2023H2'!F:L,'AMFI DATA_2023H2'!L:L)</f>
        <v>625</v>
      </c>
      <c r="B615" s="4" t="s">
        <v>1845</v>
      </c>
      <c r="C615" s="4" t="s">
        <v>1846</v>
      </c>
      <c r="D615" s="5" t="s">
        <v>1847</v>
      </c>
      <c r="E615" s="5">
        <v>3211.2</v>
      </c>
      <c r="F615" s="6">
        <f>LOOKUP(D615,'AMFI DATA_2023H2'!F:J,'AMFI DATA_2023H2'!J:J)</f>
        <v>4852.7162499999995</v>
      </c>
      <c r="G615" s="7">
        <f t="shared" si="2"/>
        <v>-1</v>
      </c>
      <c r="H615" s="8"/>
      <c r="I615" s="8">
        <v>6765</v>
      </c>
      <c r="J615" s="8">
        <v>6554</v>
      </c>
      <c r="K615" s="8">
        <v>6695</v>
      </c>
      <c r="L615" s="8">
        <v>6846</v>
      </c>
      <c r="M615" s="8">
        <v>6317</v>
      </c>
      <c r="N615" s="8">
        <v>6278</v>
      </c>
      <c r="O615" s="8">
        <v>6326</v>
      </c>
      <c r="P615" s="8">
        <v>6354</v>
      </c>
      <c r="Q615" s="8">
        <v>6323</v>
      </c>
      <c r="R615" s="8">
        <v>6278</v>
      </c>
      <c r="S615" s="8">
        <v>6371</v>
      </c>
      <c r="T615" s="8">
        <v>6400</v>
      </c>
      <c r="U615" s="8">
        <v>6427</v>
      </c>
      <c r="V615" s="8">
        <v>6424</v>
      </c>
      <c r="W615" s="8">
        <v>6379</v>
      </c>
      <c r="X615" s="8">
        <v>6288</v>
      </c>
      <c r="Y615" s="8">
        <v>6360</v>
      </c>
      <c r="Z615" s="8">
        <v>6270</v>
      </c>
      <c r="AA615" s="8">
        <v>6234</v>
      </c>
      <c r="AB615" s="8">
        <v>6233</v>
      </c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</row>
    <row r="616" spans="1:47" ht="14.4">
      <c r="A616" s="3">
        <f>LOOKUP(D616,'AMFI DATA_2023H2'!F:L,'AMFI DATA_2023H2'!L:L)</f>
        <v>626</v>
      </c>
      <c r="B616" s="4" t="s">
        <v>1848</v>
      </c>
      <c r="C616" s="4" t="s">
        <v>1849</v>
      </c>
      <c r="D616" s="5" t="s">
        <v>1850</v>
      </c>
      <c r="E616" s="5">
        <v>3849.55</v>
      </c>
      <c r="F616" s="6">
        <f>LOOKUP(D616,'AMFI DATA_2023H2'!F:J,'AMFI DATA_2023H2'!J:J)</f>
        <v>4848.7070000000003</v>
      </c>
      <c r="G616" s="7">
        <f t="shared" si="2"/>
        <v>-1</v>
      </c>
      <c r="H616" s="8"/>
      <c r="I616" s="8">
        <v>4924</v>
      </c>
      <c r="J616" s="8">
        <v>4912</v>
      </c>
      <c r="K616" s="8">
        <v>4888</v>
      </c>
      <c r="L616" s="8">
        <v>4932</v>
      </c>
      <c r="M616" s="8">
        <v>4930</v>
      </c>
      <c r="N616" s="8">
        <v>4827</v>
      </c>
      <c r="O616" s="8">
        <v>4799</v>
      </c>
      <c r="P616" s="8">
        <v>4803</v>
      </c>
      <c r="Q616" s="8">
        <v>4723</v>
      </c>
      <c r="R616" s="8">
        <v>4649</v>
      </c>
      <c r="S616" s="8">
        <v>4718</v>
      </c>
      <c r="T616" s="8">
        <v>4664</v>
      </c>
      <c r="U616" s="8">
        <v>4640</v>
      </c>
      <c r="V616" s="8">
        <v>4650</v>
      </c>
      <c r="W616" s="8">
        <v>4587</v>
      </c>
      <c r="X616" s="8">
        <v>4529</v>
      </c>
      <c r="Y616" s="8">
        <v>4572</v>
      </c>
      <c r="Z616" s="8">
        <v>4610</v>
      </c>
      <c r="AA616" s="8">
        <v>4575</v>
      </c>
      <c r="AB616" s="8">
        <v>4625</v>
      </c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</row>
    <row r="617" spans="1:47" ht="14.4">
      <c r="A617" s="3">
        <f>LOOKUP(D617,'AMFI DATA_2023H2'!F:L,'AMFI DATA_2023H2'!L:L)</f>
        <v>627</v>
      </c>
      <c r="B617" s="4" t="s">
        <v>1851</v>
      </c>
      <c r="C617" s="4" t="s">
        <v>1852</v>
      </c>
      <c r="D617" s="5" t="s">
        <v>1853</v>
      </c>
      <c r="E617" s="5">
        <v>2920.65</v>
      </c>
      <c r="F617" s="6">
        <f>LOOKUP(D617,'AMFI DATA_2023H2'!F:J,'AMFI DATA_2023H2'!J:J)</f>
        <v>4770.6378500000001</v>
      </c>
      <c r="G617" s="7">
        <f t="shared" si="2"/>
        <v>-1</v>
      </c>
      <c r="H617" s="8"/>
      <c r="I617" s="8">
        <v>5717</v>
      </c>
      <c r="J617" s="8">
        <v>5657</v>
      </c>
      <c r="K617" s="8">
        <v>5713</v>
      </c>
      <c r="L617" s="8">
        <v>5798</v>
      </c>
      <c r="M617" s="8">
        <v>5925</v>
      </c>
      <c r="N617" s="8">
        <v>5990</v>
      </c>
      <c r="O617" s="8">
        <v>5873</v>
      </c>
      <c r="P617" s="8">
        <v>5879</v>
      </c>
      <c r="Q617" s="8">
        <v>5854</v>
      </c>
      <c r="R617" s="8">
        <v>5785</v>
      </c>
      <c r="S617" s="8">
        <v>5753</v>
      </c>
      <c r="T617" s="8">
        <v>5655</v>
      </c>
      <c r="U617" s="8">
        <v>5596</v>
      </c>
      <c r="V617" s="8">
        <v>5537</v>
      </c>
      <c r="W617" s="8">
        <v>5574</v>
      </c>
      <c r="X617" s="8">
        <v>5632</v>
      </c>
      <c r="Y617" s="8">
        <v>5740</v>
      </c>
      <c r="Z617" s="8">
        <v>5653</v>
      </c>
      <c r="AA617" s="8">
        <v>5733</v>
      </c>
      <c r="AB617" s="8">
        <v>5654</v>
      </c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</row>
    <row r="618" spans="1:47" ht="14.4">
      <c r="A618" s="3">
        <f>LOOKUP(D618,'AMFI DATA_2023H2'!F:L,'AMFI DATA_2023H2'!L:L)</f>
        <v>628</v>
      </c>
      <c r="B618" s="4" t="s">
        <v>1854</v>
      </c>
      <c r="C618" s="4" t="s">
        <v>1855</v>
      </c>
      <c r="D618" s="5" t="s">
        <v>1856</v>
      </c>
      <c r="E618" s="5">
        <v>2389.8200000000002</v>
      </c>
      <c r="F618" s="6">
        <f>LOOKUP(D618,'AMFI DATA_2023H2'!F:J,'AMFI DATA_2023H2'!J:J)</f>
        <v>4759.3247499999998</v>
      </c>
      <c r="G618" s="7">
        <f t="shared" si="2"/>
        <v>-1</v>
      </c>
      <c r="H618" s="8"/>
      <c r="I618" s="8">
        <v>8339</v>
      </c>
      <c r="J618" s="8">
        <v>8402</v>
      </c>
      <c r="K618" s="8">
        <v>8057</v>
      </c>
      <c r="L618" s="8">
        <v>7884</v>
      </c>
      <c r="M618" s="8">
        <v>7902</v>
      </c>
      <c r="N618" s="8">
        <v>7474</v>
      </c>
      <c r="O618" s="8">
        <v>7486</v>
      </c>
      <c r="P618" s="8">
        <v>7581</v>
      </c>
      <c r="Q618" s="8">
        <v>7459</v>
      </c>
      <c r="R618" s="8">
        <v>7760</v>
      </c>
      <c r="S618" s="8">
        <v>7721</v>
      </c>
      <c r="T618" s="8">
        <v>7329</v>
      </c>
      <c r="U618" s="8">
        <v>6704</v>
      </c>
      <c r="V618" s="8">
        <v>6562</v>
      </c>
      <c r="W618" s="8">
        <v>6663</v>
      </c>
      <c r="X618" s="8">
        <v>6630</v>
      </c>
      <c r="Y618" s="8">
        <v>6698</v>
      </c>
      <c r="Z618" s="8">
        <v>6728</v>
      </c>
      <c r="AA618" s="8">
        <v>6811</v>
      </c>
      <c r="AB618" s="8">
        <v>6713</v>
      </c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</row>
    <row r="619" spans="1:47" ht="14.4">
      <c r="A619" s="3">
        <f>LOOKUP(D619,'AMFI DATA_2023H2'!F:L,'AMFI DATA_2023H2'!L:L)</f>
        <v>629</v>
      </c>
      <c r="B619" s="4" t="s">
        <v>1857</v>
      </c>
      <c r="C619" s="4" t="s">
        <v>1858</v>
      </c>
      <c r="D619" s="5" t="s">
        <v>1859</v>
      </c>
      <c r="E619" s="5">
        <v>2604.35</v>
      </c>
      <c r="F619" s="6">
        <f>LOOKUP(D619,'AMFI DATA_2023H2'!F:J,'AMFI DATA_2023H2'!J:J)</f>
        <v>4756.7932999999994</v>
      </c>
      <c r="G619" s="7">
        <f t="shared" si="2"/>
        <v>-1</v>
      </c>
      <c r="H619" s="8"/>
      <c r="I619" s="8">
        <v>7757</v>
      </c>
      <c r="J619" s="8">
        <v>7477</v>
      </c>
      <c r="K619" s="8">
        <v>7285</v>
      </c>
      <c r="L619" s="8">
        <v>7593</v>
      </c>
      <c r="M619" s="8">
        <v>7700</v>
      </c>
      <c r="N619" s="8">
        <v>7700</v>
      </c>
      <c r="O619" s="8">
        <v>7521</v>
      </c>
      <c r="P619" s="8">
        <v>7426</v>
      </c>
      <c r="Q619" s="8">
        <v>6828</v>
      </c>
      <c r="R619" s="8">
        <v>6761</v>
      </c>
      <c r="S619" s="8">
        <v>6824</v>
      </c>
      <c r="T619" s="8">
        <v>6865</v>
      </c>
      <c r="U619" s="8">
        <v>6747</v>
      </c>
      <c r="V619" s="8">
        <v>6547</v>
      </c>
      <c r="W619" s="8">
        <v>6596</v>
      </c>
      <c r="X619" s="8">
        <v>6840</v>
      </c>
      <c r="Y619" s="8">
        <v>6753</v>
      </c>
      <c r="Z619" s="8">
        <v>6807</v>
      </c>
      <c r="AA619" s="8">
        <v>6958</v>
      </c>
      <c r="AB619" s="8">
        <v>6783</v>
      </c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</row>
    <row r="620" spans="1:47" ht="14.4">
      <c r="A620" s="3">
        <f>LOOKUP(D620,'AMFI DATA_2023H2'!F:L,'AMFI DATA_2023H2'!L:L)</f>
        <v>630</v>
      </c>
      <c r="B620" s="4" t="s">
        <v>1860</v>
      </c>
      <c r="C620" s="4" t="s">
        <v>1861</v>
      </c>
      <c r="D620" s="5" t="s">
        <v>1862</v>
      </c>
      <c r="E620" s="5">
        <v>3871.94</v>
      </c>
      <c r="F620" s="6">
        <f>LOOKUP(D620,'AMFI DATA_2023H2'!F:J,'AMFI DATA_2023H2'!J:J)</f>
        <v>4744.5102000000006</v>
      </c>
      <c r="G620" s="7">
        <f t="shared" si="2"/>
        <v>-1</v>
      </c>
      <c r="H620" s="8"/>
      <c r="I620" s="8">
        <v>5995</v>
      </c>
      <c r="J620" s="8">
        <v>5942</v>
      </c>
      <c r="K620" s="8">
        <v>5997</v>
      </c>
      <c r="L620" s="8">
        <v>6057</v>
      </c>
      <c r="M620" s="8">
        <v>6066</v>
      </c>
      <c r="N620" s="8">
        <v>6002</v>
      </c>
      <c r="O620" s="8">
        <v>5987</v>
      </c>
      <c r="P620" s="8">
        <v>5966</v>
      </c>
      <c r="Q620" s="8">
        <v>5942</v>
      </c>
      <c r="R620" s="8">
        <v>5920</v>
      </c>
      <c r="S620" s="8">
        <v>5979</v>
      </c>
      <c r="T620" s="8">
        <v>5971</v>
      </c>
      <c r="U620" s="8">
        <v>5985</v>
      </c>
      <c r="V620" s="8">
        <v>5963</v>
      </c>
      <c r="W620" s="8">
        <v>6002</v>
      </c>
      <c r="X620" s="8">
        <v>6120</v>
      </c>
      <c r="Y620" s="8">
        <v>5989</v>
      </c>
      <c r="Z620" s="8">
        <v>6084</v>
      </c>
      <c r="AA620" s="8">
        <v>5903</v>
      </c>
      <c r="AB620" s="8">
        <v>5892</v>
      </c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</row>
    <row r="621" spans="1:47" ht="14.4">
      <c r="A621" s="3">
        <f>LOOKUP(D621,'AMFI DATA_2023H2'!F:L,'AMFI DATA_2023H2'!L:L)</f>
        <v>631</v>
      </c>
      <c r="B621" s="4" t="s">
        <v>1863</v>
      </c>
      <c r="C621" s="4" t="s">
        <v>1864</v>
      </c>
      <c r="D621" s="5" t="s">
        <v>1865</v>
      </c>
      <c r="E621" s="5">
        <v>3972.1</v>
      </c>
      <c r="F621" s="6">
        <f>LOOKUP(D621,'AMFI DATA_2023H2'!F:J,'AMFI DATA_2023H2'!J:J)</f>
        <v>4740.5632495999998</v>
      </c>
      <c r="G621" s="7">
        <f t="shared" si="2"/>
        <v>-1</v>
      </c>
      <c r="H621" s="8"/>
      <c r="I621" s="8">
        <v>6380</v>
      </c>
      <c r="J621" s="8">
        <v>6425</v>
      </c>
      <c r="K621" s="8">
        <v>6514</v>
      </c>
      <c r="L621" s="8">
        <v>6441</v>
      </c>
      <c r="M621" s="8">
        <v>6194</v>
      </c>
      <c r="N621" s="8">
        <v>6411</v>
      </c>
      <c r="O621" s="8">
        <v>6350</v>
      </c>
      <c r="P621" s="8">
        <v>6261</v>
      </c>
      <c r="Q621" s="8">
        <v>5890</v>
      </c>
      <c r="R621" s="8">
        <v>5866</v>
      </c>
      <c r="S621" s="8">
        <v>5773</v>
      </c>
      <c r="T621" s="8">
        <v>5685</v>
      </c>
      <c r="U621" s="8">
        <v>5623</v>
      </c>
      <c r="V621" s="8">
        <v>5467</v>
      </c>
      <c r="W621" s="8">
        <v>5490</v>
      </c>
      <c r="X621" s="8">
        <v>5464</v>
      </c>
      <c r="Y621" s="8">
        <v>5488</v>
      </c>
      <c r="Z621" s="8">
        <v>5555</v>
      </c>
      <c r="AA621" s="8">
        <v>5564</v>
      </c>
      <c r="AB621" s="8">
        <v>5479</v>
      </c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</row>
    <row r="622" spans="1:47" ht="14.4">
      <c r="A622" s="3">
        <f>LOOKUP(D622,'AMFI DATA_2023H2'!F:L,'AMFI DATA_2023H2'!L:L)</f>
        <v>632</v>
      </c>
      <c r="B622" s="4" t="s">
        <v>1866</v>
      </c>
      <c r="C622" s="4" t="s">
        <v>1867</v>
      </c>
      <c r="D622" s="5" t="s">
        <v>1868</v>
      </c>
      <c r="E622" s="5">
        <v>3086.2</v>
      </c>
      <c r="F622" s="6">
        <f>LOOKUP(D622,'AMFI DATA_2023H2'!F:J,'AMFI DATA_2023H2'!J:J)</f>
        <v>4733.5879500000001</v>
      </c>
      <c r="G622" s="7">
        <f t="shared" si="2"/>
        <v>-1</v>
      </c>
      <c r="H622" s="8"/>
      <c r="I622" s="8">
        <v>5448</v>
      </c>
      <c r="J622" s="8">
        <v>5464</v>
      </c>
      <c r="K622" s="8">
        <v>5491</v>
      </c>
      <c r="L622" s="8">
        <v>5363</v>
      </c>
      <c r="M622" s="8">
        <v>5413</v>
      </c>
      <c r="N622" s="8">
        <v>5625</v>
      </c>
      <c r="O622" s="8">
        <v>5622</v>
      </c>
      <c r="P622" s="8">
        <v>5731</v>
      </c>
      <c r="Q622" s="8">
        <v>5584</v>
      </c>
      <c r="R622" s="8">
        <v>5658</v>
      </c>
      <c r="S622" s="8">
        <v>5815</v>
      </c>
      <c r="T622" s="8">
        <v>5897</v>
      </c>
      <c r="U622" s="8">
        <v>5911</v>
      </c>
      <c r="V622" s="8">
        <v>5967</v>
      </c>
      <c r="W622" s="8">
        <v>6160</v>
      </c>
      <c r="X622" s="8">
        <v>6158</v>
      </c>
      <c r="Y622" s="8">
        <v>6260</v>
      </c>
      <c r="Z622" s="8">
        <v>6349</v>
      </c>
      <c r="AA622" s="8">
        <v>6393</v>
      </c>
      <c r="AB622" s="8">
        <v>6385</v>
      </c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</row>
    <row r="623" spans="1:47" ht="14.4">
      <c r="A623" s="3">
        <f>LOOKUP(D623,'AMFI DATA_2023H2'!F:L,'AMFI DATA_2023H2'!L:L)</f>
        <v>633</v>
      </c>
      <c r="B623" s="4" t="s">
        <v>1869</v>
      </c>
      <c r="C623" s="4" t="s">
        <v>1870</v>
      </c>
      <c r="D623" s="5" t="s">
        <v>1871</v>
      </c>
      <c r="E623" s="5">
        <v>6118.61</v>
      </c>
      <c r="F623" s="6">
        <f>LOOKUP(D623,'AMFI DATA_2023H2'!F:J,'AMFI DATA_2023H2'!J:J)</f>
        <v>4721.9142499999998</v>
      </c>
      <c r="G623" s="7">
        <f t="shared" si="2"/>
        <v>-1</v>
      </c>
      <c r="H623" s="8"/>
      <c r="I623" s="8">
        <v>4466</v>
      </c>
      <c r="J623" s="8">
        <v>4482</v>
      </c>
      <c r="K623" s="8">
        <v>4534</v>
      </c>
      <c r="L623" s="8">
        <v>4598</v>
      </c>
      <c r="M623" s="8">
        <v>4643</v>
      </c>
      <c r="N623" s="8">
        <v>4640</v>
      </c>
      <c r="O623" s="8">
        <v>4544</v>
      </c>
      <c r="P623" s="8">
        <v>4554</v>
      </c>
      <c r="Q623" s="8">
        <v>4596</v>
      </c>
      <c r="R623" s="8">
        <v>4556</v>
      </c>
      <c r="S623" s="8">
        <v>4590</v>
      </c>
      <c r="T623" s="8">
        <v>4576</v>
      </c>
      <c r="U623" s="8">
        <v>4578</v>
      </c>
      <c r="V623" s="8">
        <v>4610</v>
      </c>
      <c r="W623" s="8">
        <v>4615</v>
      </c>
      <c r="X623" s="8">
        <v>4607</v>
      </c>
      <c r="Y623" s="8">
        <v>4601</v>
      </c>
      <c r="Z623" s="8">
        <v>4616</v>
      </c>
      <c r="AA623" s="8">
        <v>4644</v>
      </c>
      <c r="AB623" s="8">
        <v>4629</v>
      </c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</row>
    <row r="624" spans="1:47" ht="14.4">
      <c r="A624" s="3">
        <f>LOOKUP(D624,'AMFI DATA_2023H2'!F:L,'AMFI DATA_2023H2'!L:L)</f>
        <v>634</v>
      </c>
      <c r="B624" s="4" t="s">
        <v>1872</v>
      </c>
      <c r="C624" s="4" t="s">
        <v>1873</v>
      </c>
      <c r="D624" s="5" t="s">
        <v>1874</v>
      </c>
      <c r="E624" s="5">
        <v>4168.12</v>
      </c>
      <c r="F624" s="6">
        <f>LOOKUP(D624,'AMFI DATA_2023H2'!F:J,'AMFI DATA_2023H2'!J:J)</f>
        <v>4712.0503499999995</v>
      </c>
      <c r="G624" s="7">
        <f t="shared" si="2"/>
        <v>-1</v>
      </c>
      <c r="H624" s="8"/>
      <c r="I624" s="8">
        <v>4007</v>
      </c>
      <c r="J624" s="8">
        <v>3931</v>
      </c>
      <c r="K624" s="8">
        <v>3984</v>
      </c>
      <c r="L624" s="8">
        <v>3952</v>
      </c>
      <c r="M624" s="8">
        <v>3991</v>
      </c>
      <c r="N624" s="8">
        <v>4022</v>
      </c>
      <c r="O624" s="8">
        <v>3996</v>
      </c>
      <c r="P624" s="8">
        <v>3970</v>
      </c>
      <c r="Q624" s="8">
        <v>4064</v>
      </c>
      <c r="R624" s="8">
        <v>4040</v>
      </c>
      <c r="S624" s="8">
        <v>4072</v>
      </c>
      <c r="T624" s="8">
        <v>3970</v>
      </c>
      <c r="U624" s="8">
        <v>3917</v>
      </c>
      <c r="V624" s="8">
        <v>4005</v>
      </c>
      <c r="W624" s="8">
        <v>4085</v>
      </c>
      <c r="X624" s="8">
        <v>4129</v>
      </c>
      <c r="Y624" s="8">
        <v>4215</v>
      </c>
      <c r="Z624" s="8">
        <v>4276</v>
      </c>
      <c r="AA624" s="8">
        <v>4295</v>
      </c>
      <c r="AB624" s="8">
        <v>4342</v>
      </c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</row>
    <row r="625" spans="1:47" ht="14.4">
      <c r="A625" s="3">
        <f>LOOKUP(D625,'AMFI DATA_2023H2'!F:L,'AMFI DATA_2023H2'!L:L)</f>
        <v>635</v>
      </c>
      <c r="B625" s="4" t="s">
        <v>1875</v>
      </c>
      <c r="C625" s="4" t="s">
        <v>1876</v>
      </c>
      <c r="D625" s="5" t="s">
        <v>1877</v>
      </c>
      <c r="E625" s="5">
        <v>3025.88</v>
      </c>
      <c r="F625" s="6">
        <f>LOOKUP(D625,'AMFI DATA_2023H2'!F:J,'AMFI DATA_2023H2'!J:J)</f>
        <v>4697.8271000000004</v>
      </c>
      <c r="G625" s="7">
        <f t="shared" si="2"/>
        <v>-1</v>
      </c>
      <c r="H625" s="8"/>
      <c r="I625" s="8">
        <v>5188</v>
      </c>
      <c r="J625" s="8">
        <v>5242</v>
      </c>
      <c r="K625" s="8">
        <v>5377</v>
      </c>
      <c r="L625" s="8">
        <v>5457</v>
      </c>
      <c r="M625" s="8">
        <v>5529</v>
      </c>
      <c r="N625" s="8">
        <v>5479</v>
      </c>
      <c r="O625" s="8">
        <v>5665</v>
      </c>
      <c r="P625" s="8">
        <v>5689</v>
      </c>
      <c r="Q625" s="8">
        <v>5699</v>
      </c>
      <c r="R625" s="8">
        <v>5711</v>
      </c>
      <c r="S625" s="8">
        <v>5809</v>
      </c>
      <c r="T625" s="8">
        <v>5769</v>
      </c>
      <c r="U625" s="8">
        <v>5737</v>
      </c>
      <c r="V625" s="8">
        <v>5794</v>
      </c>
      <c r="W625" s="8">
        <v>5752</v>
      </c>
      <c r="X625" s="8">
        <v>5818</v>
      </c>
      <c r="Y625" s="8">
        <v>5745</v>
      </c>
      <c r="Z625" s="8">
        <v>5608</v>
      </c>
      <c r="AA625" s="8">
        <v>5796</v>
      </c>
      <c r="AB625" s="8">
        <v>5864</v>
      </c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</row>
    <row r="626" spans="1:47" ht="14.4">
      <c r="A626" s="3">
        <f>LOOKUP(D626,'AMFI DATA_2023H2'!F:L,'AMFI DATA_2023H2'!L:L)</f>
        <v>637</v>
      </c>
      <c r="B626" s="4" t="s">
        <v>1878</v>
      </c>
      <c r="C626" s="4" t="s">
        <v>1879</v>
      </c>
      <c r="D626" s="5" t="s">
        <v>1880</v>
      </c>
      <c r="E626" s="5">
        <v>32821.410000000003</v>
      </c>
      <c r="F626" s="6">
        <f>LOOKUP(D626,'AMFI DATA_2023H2'!F:J,'AMFI DATA_2023H2'!J:J)</f>
        <v>4680.6961000000001</v>
      </c>
      <c r="G626" s="7">
        <f t="shared" si="2"/>
        <v>-1</v>
      </c>
      <c r="H626" s="8"/>
      <c r="I626" s="8">
        <v>4895</v>
      </c>
      <c r="J626" s="8">
        <v>4981</v>
      </c>
      <c r="K626" s="8">
        <v>4992</v>
      </c>
      <c r="L626" s="8">
        <v>4993</v>
      </c>
      <c r="M626" s="8">
        <v>5012</v>
      </c>
      <c r="N626" s="8">
        <v>5072</v>
      </c>
      <c r="O626" s="8">
        <v>5080</v>
      </c>
      <c r="P626" s="8">
        <v>5103</v>
      </c>
      <c r="Q626" s="8">
        <v>5111</v>
      </c>
      <c r="R626" s="8">
        <v>4957</v>
      </c>
      <c r="S626" s="8">
        <v>4921</v>
      </c>
      <c r="T626" s="8">
        <v>4866</v>
      </c>
      <c r="U626" s="8">
        <v>4902</v>
      </c>
      <c r="V626" s="8">
        <v>4894</v>
      </c>
      <c r="W626" s="8">
        <v>4978</v>
      </c>
      <c r="X626" s="8">
        <v>4739</v>
      </c>
      <c r="Y626" s="8">
        <v>4703</v>
      </c>
      <c r="Z626" s="8">
        <v>4950</v>
      </c>
      <c r="AA626" s="8">
        <v>5213</v>
      </c>
      <c r="AB626" s="8">
        <v>5232</v>
      </c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</row>
    <row r="627" spans="1:47" ht="14.4">
      <c r="A627" s="3">
        <f>LOOKUP(D627,'AMFI DATA_2023H2'!F:L,'AMFI DATA_2023H2'!L:L)</f>
        <v>638</v>
      </c>
      <c r="B627" s="4" t="s">
        <v>1881</v>
      </c>
      <c r="C627" s="4" t="s">
        <v>1882</v>
      </c>
      <c r="D627" s="5" t="s">
        <v>1883</v>
      </c>
      <c r="E627" s="5">
        <v>4233.5</v>
      </c>
      <c r="F627" s="6">
        <f>LOOKUP(D627,'AMFI DATA_2023H2'!F:J,'AMFI DATA_2023H2'!J:J)</f>
        <v>4660.1907499999998</v>
      </c>
      <c r="G627" s="7">
        <f t="shared" si="2"/>
        <v>-1</v>
      </c>
      <c r="H627" s="8"/>
      <c r="I627" s="8">
        <v>5362</v>
      </c>
      <c r="J627" s="8">
        <v>5305</v>
      </c>
      <c r="K627" s="8">
        <v>5311</v>
      </c>
      <c r="L627" s="8">
        <v>5260</v>
      </c>
      <c r="M627" s="8">
        <v>5176</v>
      </c>
      <c r="N627" s="8">
        <v>4777</v>
      </c>
      <c r="O627" s="8">
        <v>4829</v>
      </c>
      <c r="P627" s="8">
        <v>4876</v>
      </c>
      <c r="Q627" s="8">
        <v>4921</v>
      </c>
      <c r="R627" s="8">
        <v>5005</v>
      </c>
      <c r="S627" s="8">
        <v>4887</v>
      </c>
      <c r="T627" s="8">
        <v>4832</v>
      </c>
      <c r="U627" s="8">
        <v>4838</v>
      </c>
      <c r="V627" s="8">
        <v>4793</v>
      </c>
      <c r="W627" s="8">
        <v>4762</v>
      </c>
      <c r="X627" s="8">
        <v>4761</v>
      </c>
      <c r="Y627" s="8">
        <v>4575</v>
      </c>
      <c r="Z627" s="8">
        <v>4695</v>
      </c>
      <c r="AA627" s="8">
        <v>4694</v>
      </c>
      <c r="AB627" s="8">
        <v>4789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</row>
    <row r="628" spans="1:47" ht="14.4">
      <c r="A628" s="3">
        <f>LOOKUP(D628,'AMFI DATA_2023H2'!F:L,'AMFI DATA_2023H2'!L:L)</f>
        <v>639</v>
      </c>
      <c r="B628" s="4" t="s">
        <v>1884</v>
      </c>
      <c r="C628" s="4" t="s">
        <v>1885</v>
      </c>
      <c r="D628" s="5" t="s">
        <v>1886</v>
      </c>
      <c r="E628" s="5">
        <v>4164.3599999999997</v>
      </c>
      <c r="F628" s="6">
        <f>LOOKUP(D628,'AMFI DATA_2023H2'!F:J,'AMFI DATA_2023H2'!J:J)</f>
        <v>4631.93235</v>
      </c>
      <c r="G628" s="7">
        <f t="shared" si="2"/>
        <v>-1</v>
      </c>
      <c r="H628" s="8"/>
      <c r="I628" s="8">
        <v>4500</v>
      </c>
      <c r="J628" s="8">
        <v>4537</v>
      </c>
      <c r="K628" s="8">
        <v>4434</v>
      </c>
      <c r="L628" s="8">
        <v>4431</v>
      </c>
      <c r="M628" s="8">
        <v>4482</v>
      </c>
      <c r="N628" s="8">
        <v>4300</v>
      </c>
      <c r="O628" s="8">
        <v>4360</v>
      </c>
      <c r="P628" s="8">
        <v>4416</v>
      </c>
      <c r="Q628" s="8">
        <v>4465</v>
      </c>
      <c r="R628" s="8">
        <v>4488</v>
      </c>
      <c r="S628" s="8">
        <v>4498</v>
      </c>
      <c r="T628" s="8">
        <v>4533</v>
      </c>
      <c r="U628" s="8">
        <v>4527</v>
      </c>
      <c r="V628" s="8">
        <v>4598</v>
      </c>
      <c r="W628" s="8">
        <v>4584</v>
      </c>
      <c r="X628" s="8">
        <v>4604</v>
      </c>
      <c r="Y628" s="8">
        <v>4768</v>
      </c>
      <c r="Z628" s="8">
        <v>4850</v>
      </c>
      <c r="AA628" s="8">
        <v>4807</v>
      </c>
      <c r="AB628" s="8">
        <v>4894</v>
      </c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</row>
    <row r="629" spans="1:47" ht="14.4">
      <c r="A629" s="3">
        <f>LOOKUP(D629,'AMFI DATA_2023H2'!F:L,'AMFI DATA_2023H2'!L:L)</f>
        <v>642</v>
      </c>
      <c r="B629" s="4" t="s">
        <v>1887</v>
      </c>
      <c r="C629" s="4" t="s">
        <v>1888</v>
      </c>
      <c r="D629" s="5" t="s">
        <v>1889</v>
      </c>
      <c r="E629" s="5">
        <v>2383.96</v>
      </c>
      <c r="F629" s="6">
        <f>LOOKUP(D629,'AMFI DATA_2023H2'!F:J,'AMFI DATA_2023H2'!J:J)</f>
        <v>4538.4425499999998</v>
      </c>
      <c r="G629" s="7">
        <f t="shared" si="2"/>
        <v>-1</v>
      </c>
      <c r="H629" s="8"/>
      <c r="I629" s="8">
        <v>5551</v>
      </c>
      <c r="J629" s="8">
        <v>5306</v>
      </c>
      <c r="K629" s="8">
        <v>5349</v>
      </c>
      <c r="L629" s="8">
        <v>5449</v>
      </c>
      <c r="M629" s="8">
        <v>5534</v>
      </c>
      <c r="N629" s="8">
        <v>5628</v>
      </c>
      <c r="O629" s="8">
        <v>5617</v>
      </c>
      <c r="P629" s="8">
        <v>5672</v>
      </c>
      <c r="Q629" s="8">
        <v>5746</v>
      </c>
      <c r="R629" s="8">
        <v>5759</v>
      </c>
      <c r="S629" s="8">
        <v>5773</v>
      </c>
      <c r="T629" s="8">
        <v>5765</v>
      </c>
      <c r="U629" s="8">
        <v>5743</v>
      </c>
      <c r="V629" s="8">
        <v>5744</v>
      </c>
      <c r="W629" s="8">
        <v>5772</v>
      </c>
      <c r="X629" s="8">
        <v>5670</v>
      </c>
      <c r="Y629" s="8">
        <v>5716</v>
      </c>
      <c r="Z629" s="8">
        <v>5767</v>
      </c>
      <c r="AA629" s="8">
        <v>5713</v>
      </c>
      <c r="AB629" s="8">
        <v>5797</v>
      </c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</row>
    <row r="630" spans="1:47" ht="14.4">
      <c r="A630" s="3">
        <f>LOOKUP(D630,'AMFI DATA_2023H2'!F:L,'AMFI DATA_2023H2'!L:L)</f>
        <v>644</v>
      </c>
      <c r="B630" s="4" t="s">
        <v>1890</v>
      </c>
      <c r="C630" s="4" t="s">
        <v>1891</v>
      </c>
      <c r="D630" s="5" t="s">
        <v>1892</v>
      </c>
      <c r="E630" s="5">
        <v>2599.2399999999998</v>
      </c>
      <c r="F630" s="6">
        <f>LOOKUP(D630,'AMFI DATA_2023H2'!F:J,'AMFI DATA_2023H2'!J:J)</f>
        <v>4530.7784499999998</v>
      </c>
      <c r="G630" s="7">
        <f t="shared" si="2"/>
        <v>-1</v>
      </c>
      <c r="H630" s="8"/>
      <c r="I630" s="8">
        <v>6835</v>
      </c>
      <c r="J630" s="8">
        <v>6924</v>
      </c>
      <c r="K630" s="8">
        <v>6692</v>
      </c>
      <c r="L630" s="8">
        <v>6861</v>
      </c>
      <c r="M630" s="8">
        <v>7059</v>
      </c>
      <c r="N630" s="8">
        <v>7222</v>
      </c>
      <c r="O630" s="8">
        <v>7377</v>
      </c>
      <c r="P630" s="8">
        <v>7027</v>
      </c>
      <c r="Q630" s="8">
        <v>6902</v>
      </c>
      <c r="R630" s="8">
        <v>6819</v>
      </c>
      <c r="S630" s="8">
        <v>6977</v>
      </c>
      <c r="T630" s="8">
        <v>7204</v>
      </c>
      <c r="U630" s="8">
        <v>7064</v>
      </c>
      <c r="V630" s="8">
        <v>7122</v>
      </c>
      <c r="W630" s="8">
        <v>7286</v>
      </c>
      <c r="X630" s="8">
        <v>6946</v>
      </c>
      <c r="Y630" s="8">
        <v>6938</v>
      </c>
      <c r="Z630" s="8">
        <v>7194</v>
      </c>
      <c r="AA630" s="8">
        <v>6905</v>
      </c>
      <c r="AB630" s="8">
        <v>6585</v>
      </c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</row>
    <row r="631" spans="1:47" ht="14.4">
      <c r="A631" s="3">
        <f>LOOKUP(D631,'AMFI DATA_2023H2'!F:L,'AMFI DATA_2023H2'!L:L)</f>
        <v>645</v>
      </c>
      <c r="B631" s="4" t="s">
        <v>1893</v>
      </c>
      <c r="C631" s="4" t="s">
        <v>1894</v>
      </c>
      <c r="D631" s="5" t="s">
        <v>1895</v>
      </c>
      <c r="E631" s="5">
        <v>2391.34</v>
      </c>
      <c r="F631" s="6">
        <f>LOOKUP(D631,'AMFI DATA_2023H2'!F:J,'AMFI DATA_2023H2'!J:J)</f>
        <v>4502.8896000000004</v>
      </c>
      <c r="G631" s="7">
        <f t="shared" si="2"/>
        <v>-1</v>
      </c>
      <c r="H631" s="8"/>
      <c r="I631" s="8">
        <v>5612</v>
      </c>
      <c r="J631" s="8">
        <v>5460</v>
      </c>
      <c r="K631" s="8">
        <v>5403</v>
      </c>
      <c r="L631" s="8">
        <v>5536</v>
      </c>
      <c r="M631" s="8">
        <v>5482</v>
      </c>
      <c r="N631" s="8">
        <v>5557</v>
      </c>
      <c r="O631" s="8">
        <v>5413</v>
      </c>
      <c r="P631" s="8">
        <v>5087</v>
      </c>
      <c r="Q631" s="8">
        <v>4926</v>
      </c>
      <c r="R631" s="8">
        <v>5040</v>
      </c>
      <c r="S631" s="8">
        <v>5103</v>
      </c>
      <c r="T631" s="8">
        <v>5181</v>
      </c>
      <c r="U631" s="8">
        <v>5155</v>
      </c>
      <c r="V631" s="8">
        <v>5114</v>
      </c>
      <c r="W631" s="8">
        <v>4934</v>
      </c>
      <c r="X631" s="8">
        <v>5028</v>
      </c>
      <c r="Y631" s="8">
        <v>5022</v>
      </c>
      <c r="Z631" s="8">
        <v>5070</v>
      </c>
      <c r="AA631" s="8">
        <v>5196</v>
      </c>
      <c r="AB631" s="8">
        <v>5323</v>
      </c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</row>
    <row r="632" spans="1:47" ht="14.4">
      <c r="A632" s="3">
        <f>LOOKUP(D632,'AMFI DATA_2023H2'!F:L,'AMFI DATA_2023H2'!L:L)</f>
        <v>646</v>
      </c>
      <c r="B632" s="4" t="s">
        <v>1896</v>
      </c>
      <c r="C632" s="4" t="s">
        <v>1897</v>
      </c>
      <c r="D632" s="5" t="s">
        <v>1898</v>
      </c>
      <c r="E632" s="5">
        <v>4071.97</v>
      </c>
      <c r="F632" s="6">
        <f>LOOKUP(D632,'AMFI DATA_2023H2'!F:J,'AMFI DATA_2023H2'!J:J)</f>
        <v>4497.0684000000001</v>
      </c>
      <c r="G632" s="7">
        <f t="shared" si="2"/>
        <v>-1</v>
      </c>
      <c r="H632" s="8"/>
      <c r="I632" s="8">
        <v>4483</v>
      </c>
      <c r="J632" s="8">
        <v>4372</v>
      </c>
      <c r="K632" s="8">
        <v>4368</v>
      </c>
      <c r="L632" s="8">
        <v>4487</v>
      </c>
      <c r="M632" s="8">
        <v>4543</v>
      </c>
      <c r="N632" s="8">
        <v>4547</v>
      </c>
      <c r="O632" s="8">
        <v>4519</v>
      </c>
      <c r="P632" s="8">
        <v>4297</v>
      </c>
      <c r="Q632" s="8">
        <v>4335</v>
      </c>
      <c r="R632" s="8">
        <v>4341</v>
      </c>
      <c r="S632" s="8">
        <v>4427</v>
      </c>
      <c r="T632" s="8">
        <v>4425</v>
      </c>
      <c r="U632" s="8">
        <v>4437</v>
      </c>
      <c r="V632" s="8">
        <v>4401</v>
      </c>
      <c r="W632" s="8">
        <v>4459</v>
      </c>
      <c r="X632" s="8">
        <v>4459</v>
      </c>
      <c r="Y632" s="8">
        <v>4427</v>
      </c>
      <c r="Z632" s="8">
        <v>4367</v>
      </c>
      <c r="AA632" s="8">
        <v>4325</v>
      </c>
      <c r="AB632" s="8">
        <v>4307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</row>
    <row r="633" spans="1:47" ht="14.4">
      <c r="A633" s="3">
        <f>LOOKUP(D633,'AMFI DATA_2023H2'!F:L,'AMFI DATA_2023H2'!L:L)</f>
        <v>647</v>
      </c>
      <c r="B633" s="4" t="s">
        <v>1899</v>
      </c>
      <c r="C633" s="4" t="s">
        <v>1900</v>
      </c>
      <c r="D633" s="5" t="s">
        <v>1901</v>
      </c>
      <c r="E633" s="5">
        <v>3882.16</v>
      </c>
      <c r="F633" s="6">
        <f>LOOKUP(D633,'AMFI DATA_2023H2'!F:J,'AMFI DATA_2023H2'!J:J)</f>
        <v>4473.0026500000004</v>
      </c>
      <c r="G633" s="7">
        <f t="shared" si="2"/>
        <v>-1</v>
      </c>
      <c r="H633" s="8"/>
      <c r="I633" s="8">
        <v>4364</v>
      </c>
      <c r="J633" s="8">
        <v>4272</v>
      </c>
      <c r="K633" s="8">
        <v>4324</v>
      </c>
      <c r="L633" s="8">
        <v>4324</v>
      </c>
      <c r="M633" s="8">
        <v>4356</v>
      </c>
      <c r="N633" s="8">
        <v>4363</v>
      </c>
      <c r="O633" s="8">
        <v>4395</v>
      </c>
      <c r="P633" s="8">
        <v>4435</v>
      </c>
      <c r="Q633" s="8">
        <v>4391</v>
      </c>
      <c r="R633" s="8">
        <v>4402</v>
      </c>
      <c r="S633" s="8">
        <v>4494</v>
      </c>
      <c r="T633" s="8">
        <v>4532</v>
      </c>
      <c r="U633" s="8">
        <v>4377</v>
      </c>
      <c r="V633" s="8">
        <v>4390</v>
      </c>
      <c r="W633" s="8">
        <v>4437</v>
      </c>
      <c r="X633" s="8">
        <v>4397</v>
      </c>
      <c r="Y633" s="8">
        <v>4440</v>
      </c>
      <c r="Z633" s="8">
        <v>4418</v>
      </c>
      <c r="AA633" s="8">
        <v>4389</v>
      </c>
      <c r="AB633" s="8">
        <v>4378</v>
      </c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</row>
    <row r="634" spans="1:47" ht="14.4">
      <c r="A634" s="3">
        <f>LOOKUP(D634,'AMFI DATA_2023H2'!F:L,'AMFI DATA_2023H2'!L:L)</f>
        <v>648</v>
      </c>
      <c r="B634" s="4" t="s">
        <v>1902</v>
      </c>
      <c r="C634" s="4" t="s">
        <v>1903</v>
      </c>
      <c r="D634" s="5" t="s">
        <v>1904</v>
      </c>
      <c r="E634" s="5">
        <v>1428.39</v>
      </c>
      <c r="F634" s="6">
        <f>LOOKUP(D634,'AMFI DATA_2023H2'!F:J,'AMFI DATA_2023H2'!J:J)</f>
        <v>4452.8895499999999</v>
      </c>
      <c r="G634" s="7">
        <f t="shared" si="2"/>
        <v>-1</v>
      </c>
      <c r="H634" s="8"/>
      <c r="I634" s="8">
        <v>7548</v>
      </c>
      <c r="J634" s="8">
        <v>7303</v>
      </c>
      <c r="K634" s="8">
        <v>7410</v>
      </c>
      <c r="L634" s="8">
        <v>7503</v>
      </c>
      <c r="M634" s="8">
        <v>7367</v>
      </c>
      <c r="N634" s="8">
        <v>7408</v>
      </c>
      <c r="O634" s="8">
        <v>7333</v>
      </c>
      <c r="P634" s="8">
        <v>7496</v>
      </c>
      <c r="Q634" s="8">
        <v>7290</v>
      </c>
      <c r="R634" s="8">
        <v>7227</v>
      </c>
      <c r="S634" s="8">
        <v>7378</v>
      </c>
      <c r="T634" s="8">
        <v>7404</v>
      </c>
      <c r="U634" s="8">
        <v>7518</v>
      </c>
      <c r="V634" s="8">
        <v>7309</v>
      </c>
      <c r="W634" s="8">
        <v>7430</v>
      </c>
      <c r="X634" s="8">
        <v>7850</v>
      </c>
      <c r="Y634" s="8">
        <v>7766</v>
      </c>
      <c r="Z634" s="8">
        <v>7308</v>
      </c>
      <c r="AA634" s="8">
        <v>7000</v>
      </c>
      <c r="AB634" s="8">
        <v>6977</v>
      </c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</row>
    <row r="635" spans="1:47" ht="14.4">
      <c r="A635" s="3">
        <f>LOOKUP(D635,'AMFI DATA_2023H2'!F:L,'AMFI DATA_2023H2'!L:L)</f>
        <v>649</v>
      </c>
      <c r="B635" s="4" t="s">
        <v>1905</v>
      </c>
      <c r="C635" s="4" t="s">
        <v>1906</v>
      </c>
      <c r="D635" s="5" t="s">
        <v>1907</v>
      </c>
      <c r="E635" s="5">
        <v>2072.4</v>
      </c>
      <c r="F635" s="6">
        <f>LOOKUP(D635,'AMFI DATA_2023H2'!F:J,'AMFI DATA_2023H2'!J:J)</f>
        <v>4441.4063999999998</v>
      </c>
      <c r="G635" s="7">
        <f t="shared" si="2"/>
        <v>-1</v>
      </c>
      <c r="H635" s="8"/>
      <c r="I635" s="8">
        <v>5837</v>
      </c>
      <c r="J635" s="8">
        <v>5485</v>
      </c>
      <c r="K635" s="8">
        <v>5364</v>
      </c>
      <c r="L635" s="8">
        <v>5537</v>
      </c>
      <c r="M635" s="8">
        <v>5316</v>
      </c>
      <c r="N635" s="8">
        <v>5158</v>
      </c>
      <c r="O635" s="8">
        <v>5206</v>
      </c>
      <c r="P635" s="8">
        <v>5255</v>
      </c>
      <c r="Q635" s="8">
        <v>5058</v>
      </c>
      <c r="R635" s="8">
        <v>5104</v>
      </c>
      <c r="S635" s="8">
        <v>5023</v>
      </c>
      <c r="T635" s="8">
        <v>4750</v>
      </c>
      <c r="U635" s="8">
        <v>4737</v>
      </c>
      <c r="V635" s="8">
        <v>4707</v>
      </c>
      <c r="W635" s="8">
        <v>4665</v>
      </c>
      <c r="X635" s="8">
        <v>4737</v>
      </c>
      <c r="Y635" s="8">
        <v>4470</v>
      </c>
      <c r="Z635" s="8">
        <v>4561</v>
      </c>
      <c r="AA635" s="8">
        <v>4595</v>
      </c>
      <c r="AB635" s="8">
        <v>4496</v>
      </c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</row>
    <row r="636" spans="1:47" ht="14.4">
      <c r="A636" s="3">
        <f>LOOKUP(D636,'AMFI DATA_2023H2'!F:L,'AMFI DATA_2023H2'!L:L)</f>
        <v>650</v>
      </c>
      <c r="B636" s="4" t="s">
        <v>1908</v>
      </c>
      <c r="C636" s="4" t="s">
        <v>1909</v>
      </c>
      <c r="D636" s="5" t="s">
        <v>1910</v>
      </c>
      <c r="E636" s="5">
        <v>2845.43</v>
      </c>
      <c r="F636" s="6">
        <f>LOOKUP(D636,'AMFI DATA_2023H2'!F:J,'AMFI DATA_2023H2'!J:J)</f>
        <v>4440.1033499999994</v>
      </c>
      <c r="G636" s="7">
        <f t="shared" si="2"/>
        <v>-1</v>
      </c>
      <c r="H636" s="8"/>
      <c r="I636" s="8">
        <v>4685</v>
      </c>
      <c r="J636" s="8">
        <v>4624</v>
      </c>
      <c r="K636" s="8">
        <v>4645</v>
      </c>
      <c r="L636" s="8">
        <v>4746</v>
      </c>
      <c r="M636" s="8">
        <v>4658</v>
      </c>
      <c r="N636" s="8">
        <v>4593</v>
      </c>
      <c r="O636" s="8">
        <v>4594</v>
      </c>
      <c r="P636" s="8">
        <v>4574</v>
      </c>
      <c r="Q636" s="8">
        <v>4629</v>
      </c>
      <c r="R636" s="8">
        <v>4623</v>
      </c>
      <c r="S636" s="8">
        <v>4740</v>
      </c>
      <c r="T636" s="8">
        <v>4682</v>
      </c>
      <c r="U636" s="8">
        <v>4726</v>
      </c>
      <c r="V636" s="8">
        <v>4788</v>
      </c>
      <c r="W636" s="8">
        <v>4870</v>
      </c>
      <c r="X636" s="8">
        <v>4702</v>
      </c>
      <c r="Y636" s="8">
        <v>4725</v>
      </c>
      <c r="Z636" s="8">
        <v>4838</v>
      </c>
      <c r="AA636" s="8">
        <v>4859</v>
      </c>
      <c r="AB636" s="8">
        <v>4755</v>
      </c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</row>
    <row r="637" spans="1:47" ht="14.4">
      <c r="A637" s="3">
        <f>LOOKUP(D637,'AMFI DATA_2023H2'!F:L,'AMFI DATA_2023H2'!L:L)</f>
        <v>651</v>
      </c>
      <c r="B637" s="4" t="s">
        <v>1911</v>
      </c>
      <c r="C637" s="4" t="s">
        <v>1912</v>
      </c>
      <c r="D637" s="5" t="s">
        <v>1913</v>
      </c>
      <c r="E637" s="5">
        <v>3252.77</v>
      </c>
      <c r="F637" s="6">
        <f>LOOKUP(D637,'AMFI DATA_2023H2'!F:J,'AMFI DATA_2023H2'!J:J)</f>
        <v>4427.6455000000005</v>
      </c>
      <c r="G637" s="7">
        <f t="shared" si="2"/>
        <v>-1</v>
      </c>
      <c r="H637" s="8"/>
      <c r="I637" s="8">
        <v>5531</v>
      </c>
      <c r="J637" s="8">
        <v>5496</v>
      </c>
      <c r="K637" s="8">
        <v>5606</v>
      </c>
      <c r="L637" s="8">
        <v>5673</v>
      </c>
      <c r="M637" s="8">
        <v>5833</v>
      </c>
      <c r="N637" s="8">
        <v>5803</v>
      </c>
      <c r="O637" s="8">
        <v>5993</v>
      </c>
      <c r="P637" s="8">
        <v>5988</v>
      </c>
      <c r="Q637" s="8">
        <v>5504</v>
      </c>
      <c r="R637" s="8">
        <v>5496</v>
      </c>
      <c r="S637" s="8">
        <v>5546</v>
      </c>
      <c r="T637" s="8">
        <v>5409</v>
      </c>
      <c r="U637" s="8">
        <v>5501</v>
      </c>
      <c r="V637" s="8">
        <v>5181</v>
      </c>
      <c r="W637" s="8">
        <v>5234</v>
      </c>
      <c r="X637" s="8">
        <v>5194</v>
      </c>
      <c r="Y637" s="8">
        <v>5074</v>
      </c>
      <c r="Z637" s="8">
        <v>5046</v>
      </c>
      <c r="AA637" s="8">
        <v>5049</v>
      </c>
      <c r="AB637" s="8">
        <v>5026</v>
      </c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</row>
    <row r="638" spans="1:47" ht="14.4">
      <c r="A638" s="3">
        <f>LOOKUP(D638,'AMFI DATA_2023H2'!F:L,'AMFI DATA_2023H2'!L:L)</f>
        <v>654</v>
      </c>
      <c r="B638" s="4" t="s">
        <v>1914</v>
      </c>
      <c r="C638" s="4" t="s">
        <v>1915</v>
      </c>
      <c r="D638" s="5" t="s">
        <v>1916</v>
      </c>
      <c r="E638" s="5">
        <v>833.73</v>
      </c>
      <c r="F638" s="6">
        <f>LOOKUP(D638,'AMFI DATA_2023H2'!F:J,'AMFI DATA_2023H2'!J:J)</f>
        <v>4411.0977000000003</v>
      </c>
      <c r="G638" s="7">
        <f t="shared" si="2"/>
        <v>-1</v>
      </c>
      <c r="H638" s="8"/>
      <c r="I638" s="8">
        <v>5960</v>
      </c>
      <c r="J638" s="8">
        <v>5957</v>
      </c>
      <c r="K638" s="8">
        <v>5898</v>
      </c>
      <c r="L638" s="8">
        <v>5980</v>
      </c>
      <c r="M638" s="8">
        <v>6011</v>
      </c>
      <c r="N638" s="8">
        <v>6175</v>
      </c>
      <c r="O638" s="8">
        <v>6036</v>
      </c>
      <c r="P638" s="8">
        <v>5713</v>
      </c>
      <c r="Q638" s="8">
        <v>5671</v>
      </c>
      <c r="R638" s="8">
        <v>5580</v>
      </c>
      <c r="S638" s="8">
        <v>5586</v>
      </c>
      <c r="T638" s="8">
        <v>5620</v>
      </c>
      <c r="U638" s="8">
        <v>5566</v>
      </c>
      <c r="V638" s="8">
        <v>5383</v>
      </c>
      <c r="W638" s="8">
        <v>5494</v>
      </c>
      <c r="X638" s="8">
        <v>5408</v>
      </c>
      <c r="Y638" s="8">
        <v>5467</v>
      </c>
      <c r="Z638" s="8">
        <v>5530</v>
      </c>
      <c r="AA638" s="8">
        <v>5607</v>
      </c>
      <c r="AB638" s="8">
        <v>5650</v>
      </c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</row>
    <row r="639" spans="1:47" ht="14.4">
      <c r="A639" s="3">
        <f>LOOKUP(D639,'AMFI DATA_2023H2'!F:L,'AMFI DATA_2023H2'!L:L)</f>
        <v>655</v>
      </c>
      <c r="B639" s="4" t="s">
        <v>1917</v>
      </c>
      <c r="C639" s="4" t="s">
        <v>1918</v>
      </c>
      <c r="D639" s="5" t="s">
        <v>1919</v>
      </c>
      <c r="E639" s="5">
        <v>3020.21</v>
      </c>
      <c r="F639" s="6">
        <f>LOOKUP(D639,'AMFI DATA_2023H2'!F:J,'AMFI DATA_2023H2'!J:J)</f>
        <v>4397.9762499999997</v>
      </c>
      <c r="G639" s="7">
        <f t="shared" si="2"/>
        <v>-1</v>
      </c>
      <c r="H639" s="8"/>
      <c r="I639" s="8">
        <v>6278</v>
      </c>
      <c r="J639" s="8">
        <v>6200</v>
      </c>
      <c r="K639" s="8">
        <v>6078</v>
      </c>
      <c r="L639" s="8">
        <v>6229</v>
      </c>
      <c r="M639" s="8">
        <v>6286</v>
      </c>
      <c r="N639" s="8">
        <v>6209</v>
      </c>
      <c r="O639" s="8">
        <v>6334</v>
      </c>
      <c r="P639" s="8">
        <v>6363</v>
      </c>
      <c r="Q639" s="8">
        <v>6409</v>
      </c>
      <c r="R639" s="8">
        <v>6271</v>
      </c>
      <c r="S639" s="8">
        <v>6565</v>
      </c>
      <c r="T639" s="8">
        <v>6673</v>
      </c>
      <c r="U639" s="8">
        <v>6320</v>
      </c>
      <c r="V639" s="8">
        <v>6207</v>
      </c>
      <c r="W639" s="8">
        <v>5995</v>
      </c>
      <c r="X639" s="8">
        <v>5968</v>
      </c>
      <c r="Y639" s="8">
        <v>5899</v>
      </c>
      <c r="Z639" s="8">
        <v>6019</v>
      </c>
      <c r="AA639" s="8">
        <v>5979</v>
      </c>
      <c r="AB639" s="8">
        <v>5841</v>
      </c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</row>
    <row r="640" spans="1:47" ht="14.4">
      <c r="A640" s="3">
        <f>LOOKUP(D640,'AMFI DATA_2023H2'!F:L,'AMFI DATA_2023H2'!L:L)</f>
        <v>656</v>
      </c>
      <c r="B640" s="4" t="s">
        <v>1920</v>
      </c>
      <c r="C640" s="4" t="s">
        <v>1921</v>
      </c>
      <c r="D640" s="5" t="s">
        <v>1922</v>
      </c>
      <c r="E640" s="5">
        <v>357.21</v>
      </c>
      <c r="F640" s="6">
        <f>LOOKUP(D640,'AMFI DATA_2023H2'!F:J,'AMFI DATA_2023H2'!J:J)</f>
        <v>4385.6630000000005</v>
      </c>
      <c r="G640" s="7">
        <f t="shared" si="2"/>
        <v>-1</v>
      </c>
      <c r="H640" s="8"/>
      <c r="I640" s="8">
        <v>4298</v>
      </c>
      <c r="J640" s="8">
        <v>4305</v>
      </c>
      <c r="K640" s="8">
        <v>4370</v>
      </c>
      <c r="L640" s="8">
        <v>4427</v>
      </c>
      <c r="M640" s="8">
        <v>4591</v>
      </c>
      <c r="N640" s="8">
        <v>4612</v>
      </c>
      <c r="O640" s="8">
        <v>4580</v>
      </c>
      <c r="P640" s="8">
        <v>4534</v>
      </c>
      <c r="Q640" s="8">
        <v>4599</v>
      </c>
      <c r="R640" s="8">
        <v>4680</v>
      </c>
      <c r="S640" s="8">
        <v>4708</v>
      </c>
      <c r="T640" s="8">
        <v>4628</v>
      </c>
      <c r="U640" s="8">
        <v>4600</v>
      </c>
      <c r="V640" s="8">
        <v>4521</v>
      </c>
      <c r="W640" s="8">
        <v>4605</v>
      </c>
      <c r="X640" s="8">
        <v>4555</v>
      </c>
      <c r="Y640" s="8">
        <v>4782</v>
      </c>
      <c r="Z640" s="8">
        <v>4697</v>
      </c>
      <c r="AA640" s="8">
        <v>4772</v>
      </c>
      <c r="AB640" s="8">
        <v>4774</v>
      </c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</row>
    <row r="641" spans="1:47" ht="14.4">
      <c r="A641" s="3">
        <f>LOOKUP(D641,'AMFI DATA_2023H2'!F:L,'AMFI DATA_2023H2'!L:L)</f>
        <v>657</v>
      </c>
      <c r="B641" s="4" t="s">
        <v>1923</v>
      </c>
      <c r="C641" s="4" t="s">
        <v>1924</v>
      </c>
      <c r="D641" s="5" t="s">
        <v>1925</v>
      </c>
      <c r="E641" s="5">
        <v>5607.24</v>
      </c>
      <c r="F641" s="6">
        <f>LOOKUP(D641,'AMFI DATA_2023H2'!F:J,'AMFI DATA_2023H2'!J:J)</f>
        <v>4378.2528499999999</v>
      </c>
      <c r="G641" s="7">
        <f t="shared" si="2"/>
        <v>-1</v>
      </c>
      <c r="H641" s="8"/>
      <c r="I641" s="8">
        <v>3872</v>
      </c>
      <c r="J641" s="8">
        <v>3887</v>
      </c>
      <c r="K641" s="8">
        <v>3920</v>
      </c>
      <c r="L641" s="8">
        <v>4014</v>
      </c>
      <c r="M641" s="8">
        <v>3994</v>
      </c>
      <c r="N641" s="8">
        <v>4074</v>
      </c>
      <c r="O641" s="8">
        <v>4167</v>
      </c>
      <c r="P641" s="8">
        <v>4133</v>
      </c>
      <c r="Q641" s="8">
        <v>4035</v>
      </c>
      <c r="R641" s="8">
        <v>4027</v>
      </c>
      <c r="S641" s="8">
        <v>4077</v>
      </c>
      <c r="T641" s="8">
        <v>4177</v>
      </c>
      <c r="U641" s="8">
        <v>4169</v>
      </c>
      <c r="V641" s="8">
        <v>4195</v>
      </c>
      <c r="W641" s="8">
        <v>4057</v>
      </c>
      <c r="X641" s="8">
        <v>3907</v>
      </c>
      <c r="Y641" s="8">
        <v>3853</v>
      </c>
      <c r="Z641" s="8">
        <v>3942</v>
      </c>
      <c r="AA641" s="8">
        <v>3889</v>
      </c>
      <c r="AB641" s="8">
        <v>3833</v>
      </c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</row>
    <row r="642" spans="1:47" ht="14.4">
      <c r="A642" s="3">
        <f>LOOKUP(D642,'AMFI DATA_2023H2'!F:L,'AMFI DATA_2023H2'!L:L)</f>
        <v>658</v>
      </c>
      <c r="B642" s="4" t="s">
        <v>1926</v>
      </c>
      <c r="C642" s="4" t="s">
        <v>1927</v>
      </c>
      <c r="D642" s="5" t="s">
        <v>1928</v>
      </c>
      <c r="E642" s="5">
        <v>3739.86</v>
      </c>
      <c r="F642" s="6">
        <f>LOOKUP(D642,'AMFI DATA_2023H2'!F:J,'AMFI DATA_2023H2'!J:J)</f>
        <v>4375.2981500000005</v>
      </c>
      <c r="G642" s="7">
        <f t="shared" si="2"/>
        <v>-1</v>
      </c>
      <c r="H642" s="8"/>
      <c r="I642" s="8">
        <v>4881</v>
      </c>
      <c r="J642" s="8">
        <v>4780</v>
      </c>
      <c r="K642" s="8">
        <v>4952</v>
      </c>
      <c r="L642" s="8">
        <v>5028</v>
      </c>
      <c r="M642" s="8">
        <v>4957</v>
      </c>
      <c r="N642" s="8">
        <v>5076</v>
      </c>
      <c r="O642" s="8">
        <v>5093</v>
      </c>
      <c r="P642" s="8">
        <v>5055</v>
      </c>
      <c r="Q642" s="8">
        <v>5212</v>
      </c>
      <c r="R642" s="8">
        <v>5207</v>
      </c>
      <c r="S642" s="8">
        <v>5400</v>
      </c>
      <c r="T642" s="8">
        <v>5394</v>
      </c>
      <c r="U642" s="8">
        <v>5179</v>
      </c>
      <c r="V642" s="8">
        <v>5199</v>
      </c>
      <c r="W642" s="8">
        <v>5150</v>
      </c>
      <c r="X642" s="8">
        <v>5249</v>
      </c>
      <c r="Y642" s="8">
        <v>5114</v>
      </c>
      <c r="Z642" s="8">
        <v>4803</v>
      </c>
      <c r="AA642" s="8">
        <v>4726</v>
      </c>
      <c r="AB642" s="8">
        <v>4524</v>
      </c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</row>
    <row r="643" spans="1:47" ht="14.4">
      <c r="A643" s="3">
        <f>LOOKUP(D643,'AMFI DATA_2023H2'!F:L,'AMFI DATA_2023H2'!L:L)</f>
        <v>659</v>
      </c>
      <c r="B643" s="4" t="s">
        <v>1929</v>
      </c>
      <c r="C643" s="4" t="s">
        <v>1930</v>
      </c>
      <c r="D643" s="5" t="s">
        <v>1931</v>
      </c>
      <c r="E643" s="5">
        <v>3733.25</v>
      </c>
      <c r="F643" s="6">
        <f>LOOKUP(D643,'AMFI DATA_2023H2'!F:J,'AMFI DATA_2023H2'!J:J)</f>
        <v>4372.4994999999999</v>
      </c>
      <c r="G643" s="7">
        <f t="shared" si="2"/>
        <v>-1</v>
      </c>
      <c r="H643" s="8"/>
      <c r="I643" s="8">
        <v>4171</v>
      </c>
      <c r="J643" s="8">
        <v>4172</v>
      </c>
      <c r="K643" s="8">
        <v>4172</v>
      </c>
      <c r="L643" s="8">
        <v>4123</v>
      </c>
      <c r="M643" s="8">
        <v>4248</v>
      </c>
      <c r="N643" s="8">
        <v>4258</v>
      </c>
      <c r="O643" s="8">
        <v>4279</v>
      </c>
      <c r="P643" s="8">
        <v>4208</v>
      </c>
      <c r="Q643" s="8">
        <v>4223</v>
      </c>
      <c r="R643" s="8">
        <v>4252</v>
      </c>
      <c r="S643" s="8">
        <v>4245</v>
      </c>
      <c r="T643" s="8">
        <v>4306</v>
      </c>
      <c r="U643" s="8">
        <v>4289</v>
      </c>
      <c r="V643" s="8">
        <v>4182</v>
      </c>
      <c r="W643" s="8">
        <v>4228</v>
      </c>
      <c r="X643" s="8">
        <v>4138</v>
      </c>
      <c r="Y643" s="8">
        <v>4249</v>
      </c>
      <c r="Z643" s="8">
        <v>4359</v>
      </c>
      <c r="AA643" s="8">
        <v>4339</v>
      </c>
      <c r="AB643" s="8">
        <v>4427</v>
      </c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</row>
    <row r="644" spans="1:47" ht="14.4">
      <c r="A644" s="3">
        <f>LOOKUP(D644,'AMFI DATA_2023H2'!F:L,'AMFI DATA_2023H2'!L:L)</f>
        <v>660</v>
      </c>
      <c r="B644" s="4" t="s">
        <v>1932</v>
      </c>
      <c r="C644" s="4" t="s">
        <v>1933</v>
      </c>
      <c r="D644" s="5" t="s">
        <v>1934</v>
      </c>
      <c r="E644" s="5">
        <v>2977.92</v>
      </c>
      <c r="F644" s="6">
        <f>LOOKUP(D644,'AMFI DATA_2023H2'!F:J,'AMFI DATA_2023H2'!J:J)</f>
        <v>4368.9872500000001</v>
      </c>
      <c r="G644" s="7">
        <f t="shared" si="2"/>
        <v>-1</v>
      </c>
      <c r="H644" s="8"/>
      <c r="I644" s="8">
        <v>5091</v>
      </c>
      <c r="J644" s="8">
        <v>5055</v>
      </c>
      <c r="K644" s="8">
        <v>4927</v>
      </c>
      <c r="L644" s="8">
        <v>4986</v>
      </c>
      <c r="M644" s="8">
        <v>5088</v>
      </c>
      <c r="N644" s="8">
        <v>5246</v>
      </c>
      <c r="O644" s="8">
        <v>5295</v>
      </c>
      <c r="P644" s="8">
        <v>5378</v>
      </c>
      <c r="Q644" s="8">
        <v>5343</v>
      </c>
      <c r="R644" s="8">
        <v>5253</v>
      </c>
      <c r="S644" s="8">
        <v>5289</v>
      </c>
      <c r="T644" s="8">
        <v>5282</v>
      </c>
      <c r="U644" s="8">
        <v>5365</v>
      </c>
      <c r="V644" s="8">
        <v>5222</v>
      </c>
      <c r="W644" s="8">
        <v>5188</v>
      </c>
      <c r="X644" s="8">
        <v>5223</v>
      </c>
      <c r="Y644" s="8">
        <v>4991</v>
      </c>
      <c r="Z644" s="8">
        <v>5026</v>
      </c>
      <c r="AA644" s="8">
        <v>5116</v>
      </c>
      <c r="AB644" s="8">
        <v>5211</v>
      </c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</row>
    <row r="645" spans="1:47" ht="14.4">
      <c r="A645" s="3">
        <f>LOOKUP(D645,'AMFI DATA_2023H2'!F:L,'AMFI DATA_2023H2'!L:L)</f>
        <v>660</v>
      </c>
      <c r="B645" s="4" t="s">
        <v>1935</v>
      </c>
      <c r="C645" s="4" t="s">
        <v>1936</v>
      </c>
      <c r="D645" s="5" t="s">
        <v>1937</v>
      </c>
      <c r="E645" s="5">
        <v>2977.92</v>
      </c>
      <c r="F645" s="6">
        <f>LOOKUP(D645,'AMFI DATA_2023H2'!F:J,'AMFI DATA_2023H2'!J:J)</f>
        <v>4368.9872500000001</v>
      </c>
      <c r="G645" s="7">
        <f t="shared" si="2"/>
        <v>-1</v>
      </c>
      <c r="H645" s="8"/>
      <c r="I645" s="8">
        <v>1151</v>
      </c>
      <c r="J645" s="8">
        <v>1132</v>
      </c>
      <c r="K645" s="8">
        <v>1141</v>
      </c>
      <c r="L645" s="8">
        <v>1157</v>
      </c>
      <c r="M645" s="8">
        <v>1182</v>
      </c>
      <c r="N645" s="8">
        <v>1197</v>
      </c>
      <c r="O645" s="8">
        <v>1221</v>
      </c>
      <c r="P645" s="8">
        <v>1220</v>
      </c>
      <c r="Q645" s="8">
        <v>1159</v>
      </c>
      <c r="R645" s="8">
        <v>1162</v>
      </c>
      <c r="S645" s="8">
        <v>1149</v>
      </c>
      <c r="T645" s="8">
        <v>1152</v>
      </c>
      <c r="U645" s="8">
        <v>1156</v>
      </c>
      <c r="V645" s="8">
        <v>1128</v>
      </c>
      <c r="W645" s="8">
        <v>1127</v>
      </c>
      <c r="X645" s="8">
        <v>1098</v>
      </c>
      <c r="Y645" s="8">
        <v>1116</v>
      </c>
      <c r="Z645" s="8">
        <v>1141</v>
      </c>
      <c r="AA645" s="8">
        <v>1113</v>
      </c>
      <c r="AB645" s="8">
        <v>1111</v>
      </c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</row>
    <row r="646" spans="1:47" ht="14.4">
      <c r="A646" s="3">
        <f>LOOKUP(D646,'AMFI DATA_2023H2'!F:L,'AMFI DATA_2023H2'!L:L)</f>
        <v>661</v>
      </c>
      <c r="B646" s="4" t="s">
        <v>1938</v>
      </c>
      <c r="C646" s="4" t="s">
        <v>1939</v>
      </c>
      <c r="D646" s="5" t="s">
        <v>1940</v>
      </c>
      <c r="E646" s="5">
        <v>3952.88</v>
      </c>
      <c r="F646" s="6">
        <f>LOOKUP(D646,'AMFI DATA_2023H2'!F:J,'AMFI DATA_2023H2'!J:J)</f>
        <v>4368.3394500000004</v>
      </c>
      <c r="G646" s="7">
        <f t="shared" si="2"/>
        <v>-1</v>
      </c>
      <c r="H646" s="8"/>
      <c r="I646" s="8">
        <v>4973</v>
      </c>
      <c r="J646" s="8">
        <v>4916</v>
      </c>
      <c r="K646" s="8">
        <v>4992</v>
      </c>
      <c r="L646" s="8">
        <v>5075</v>
      </c>
      <c r="M646" s="8">
        <v>4979</v>
      </c>
      <c r="N646" s="8">
        <v>5012</v>
      </c>
      <c r="O646" s="8">
        <v>5040</v>
      </c>
      <c r="P646" s="8">
        <v>4956</v>
      </c>
      <c r="Q646" s="8">
        <v>4947</v>
      </c>
      <c r="R646" s="8">
        <v>5043</v>
      </c>
      <c r="S646" s="8">
        <v>5090</v>
      </c>
      <c r="T646" s="8">
        <v>5151</v>
      </c>
      <c r="U646" s="8">
        <v>5056</v>
      </c>
      <c r="V646" s="8">
        <v>5122</v>
      </c>
      <c r="W646" s="8">
        <v>4919</v>
      </c>
      <c r="X646" s="8">
        <v>4858</v>
      </c>
      <c r="Y646" s="8">
        <v>4846</v>
      </c>
      <c r="Z646" s="8">
        <v>4923</v>
      </c>
      <c r="AA646" s="8">
        <v>4930</v>
      </c>
      <c r="AB646" s="8">
        <v>4862</v>
      </c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</row>
    <row r="647" spans="1:47" ht="14.4">
      <c r="A647" s="3">
        <f>LOOKUP(D647,'AMFI DATA_2023H2'!F:L,'AMFI DATA_2023H2'!L:L)</f>
        <v>662</v>
      </c>
      <c r="B647" s="4" t="s">
        <v>1941</v>
      </c>
      <c r="C647" s="4" t="s">
        <v>1942</v>
      </c>
      <c r="D647" s="5" t="s">
        <v>1943</v>
      </c>
      <c r="E647" s="5">
        <v>4247.07</v>
      </c>
      <c r="F647" s="6">
        <f>LOOKUP(D647,'AMFI DATA_2023H2'!F:J,'AMFI DATA_2023H2'!J:J)</f>
        <v>4326.1466999999993</v>
      </c>
      <c r="G647" s="7">
        <f t="shared" si="2"/>
        <v>-1</v>
      </c>
      <c r="H647" s="8"/>
      <c r="I647" s="8">
        <v>3794</v>
      </c>
      <c r="J647" s="8">
        <v>3863</v>
      </c>
      <c r="K647" s="8">
        <v>3852</v>
      </c>
      <c r="L647" s="8">
        <v>3877</v>
      </c>
      <c r="M647" s="8">
        <v>3880</v>
      </c>
      <c r="N647" s="8">
        <v>3897</v>
      </c>
      <c r="O647" s="8">
        <v>3897</v>
      </c>
      <c r="P647" s="8">
        <v>3885</v>
      </c>
      <c r="Q647" s="8">
        <v>3928</v>
      </c>
      <c r="R647" s="8">
        <v>3899</v>
      </c>
      <c r="S647" s="8">
        <v>3908</v>
      </c>
      <c r="T647" s="8">
        <v>3906</v>
      </c>
      <c r="U647" s="8">
        <v>3936</v>
      </c>
      <c r="V647" s="8">
        <v>3887</v>
      </c>
      <c r="W647" s="8">
        <v>3912</v>
      </c>
      <c r="X647" s="8">
        <v>3921</v>
      </c>
      <c r="Y647" s="8">
        <v>3925</v>
      </c>
      <c r="Z647" s="8">
        <v>3947</v>
      </c>
      <c r="AA647" s="8">
        <v>4012</v>
      </c>
      <c r="AB647" s="8">
        <v>3975</v>
      </c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</row>
    <row r="648" spans="1:47" ht="14.4">
      <c r="A648" s="3">
        <f>LOOKUP(D648,'AMFI DATA_2023H2'!F:L,'AMFI DATA_2023H2'!L:L)</f>
        <v>663</v>
      </c>
      <c r="B648" s="4" t="s">
        <v>1944</v>
      </c>
      <c r="C648" s="4" t="s">
        <v>1945</v>
      </c>
      <c r="D648" s="5" t="s">
        <v>1946</v>
      </c>
      <c r="E648" s="5">
        <v>3907</v>
      </c>
      <c r="F648" s="6">
        <f>LOOKUP(D648,'AMFI DATA_2023H2'!F:J,'AMFI DATA_2023H2'!J:J)</f>
        <v>4320.8026</v>
      </c>
      <c r="G648" s="7">
        <f t="shared" si="2"/>
        <v>-1</v>
      </c>
      <c r="H648" s="8"/>
      <c r="I648" s="8">
        <v>5132</v>
      </c>
      <c r="J648" s="8">
        <v>5024</v>
      </c>
      <c r="K648" s="8">
        <v>5017</v>
      </c>
      <c r="L648" s="8">
        <v>5092</v>
      </c>
      <c r="M648" s="8">
        <v>5091</v>
      </c>
      <c r="N648" s="8">
        <v>5200</v>
      </c>
      <c r="O648" s="8">
        <v>5212</v>
      </c>
      <c r="P648" s="8">
        <v>5200</v>
      </c>
      <c r="Q648" s="8">
        <v>5161</v>
      </c>
      <c r="R648" s="8">
        <v>5091</v>
      </c>
      <c r="S648" s="8">
        <v>5178</v>
      </c>
      <c r="T648" s="8">
        <v>5204</v>
      </c>
      <c r="U648" s="8">
        <v>5226</v>
      </c>
      <c r="V648" s="8">
        <v>5257</v>
      </c>
      <c r="W648" s="8">
        <v>5286</v>
      </c>
      <c r="X648" s="8">
        <v>5269</v>
      </c>
      <c r="Y648" s="8">
        <v>5255</v>
      </c>
      <c r="Z648" s="8">
        <v>5341</v>
      </c>
      <c r="AA648" s="8">
        <v>5249</v>
      </c>
      <c r="AB648" s="8">
        <v>5222</v>
      </c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</row>
    <row r="649" spans="1:47" ht="14.4">
      <c r="A649" s="3">
        <f>LOOKUP(D649,'AMFI DATA_2023H2'!F:L,'AMFI DATA_2023H2'!L:L)</f>
        <v>664</v>
      </c>
      <c r="B649" s="4" t="s">
        <v>1947</v>
      </c>
      <c r="C649" s="4" t="s">
        <v>1948</v>
      </c>
      <c r="D649" s="5" t="s">
        <v>1949</v>
      </c>
      <c r="E649" s="5">
        <v>2602.13</v>
      </c>
      <c r="F649" s="6">
        <f>LOOKUP(D649,'AMFI DATA_2023H2'!F:J,'AMFI DATA_2023H2'!J:J)</f>
        <v>4309.6870500000005</v>
      </c>
      <c r="G649" s="7">
        <f t="shared" si="2"/>
        <v>-1</v>
      </c>
      <c r="H649" s="8"/>
      <c r="I649" s="8">
        <v>5483</v>
      </c>
      <c r="J649" s="8">
        <v>5393</v>
      </c>
      <c r="K649" s="8">
        <v>5431</v>
      </c>
      <c r="L649" s="8">
        <v>5583</v>
      </c>
      <c r="M649" s="8">
        <v>5683</v>
      </c>
      <c r="N649" s="8">
        <v>5669</v>
      </c>
      <c r="O649" s="8">
        <v>5766</v>
      </c>
      <c r="P649" s="8">
        <v>5719</v>
      </c>
      <c r="Q649" s="8">
        <v>5706</v>
      </c>
      <c r="R649" s="8">
        <v>5714</v>
      </c>
      <c r="S649" s="8">
        <v>5741</v>
      </c>
      <c r="T649" s="8">
        <v>5688</v>
      </c>
      <c r="U649" s="8">
        <v>5630</v>
      </c>
      <c r="V649" s="8">
        <v>5684</v>
      </c>
      <c r="W649" s="8">
        <v>5746</v>
      </c>
      <c r="X649" s="8">
        <v>5726</v>
      </c>
      <c r="Y649" s="8">
        <v>5820</v>
      </c>
      <c r="Z649" s="8">
        <v>5762</v>
      </c>
      <c r="AA649" s="8">
        <v>5833</v>
      </c>
      <c r="AB649" s="8">
        <v>5777</v>
      </c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</row>
    <row r="650" spans="1:47" ht="14.4">
      <c r="A650" s="3">
        <f>LOOKUP(D650,'AMFI DATA_2023H2'!F:L,'AMFI DATA_2023H2'!L:L)</f>
        <v>665</v>
      </c>
      <c r="B650" s="4" t="s">
        <v>1950</v>
      </c>
      <c r="C650" s="4" t="s">
        <v>1951</v>
      </c>
      <c r="D650" s="5" t="s">
        <v>1952</v>
      </c>
      <c r="E650" s="5">
        <v>4265.58</v>
      </c>
      <c r="F650" s="6">
        <f>LOOKUP(D650,'AMFI DATA_2023H2'!F:J,'AMFI DATA_2023H2'!J:J)</f>
        <v>4306.1408000000001</v>
      </c>
      <c r="G650" s="7">
        <f t="shared" si="2"/>
        <v>-1</v>
      </c>
      <c r="H650" s="8"/>
      <c r="I650" s="8">
        <v>3970</v>
      </c>
      <c r="J650" s="8">
        <v>3970</v>
      </c>
      <c r="K650" s="8">
        <v>3931</v>
      </c>
      <c r="L650" s="8">
        <v>3907</v>
      </c>
      <c r="M650" s="8">
        <v>3956</v>
      </c>
      <c r="N650" s="8">
        <v>4034</v>
      </c>
      <c r="O650" s="8">
        <v>4079</v>
      </c>
      <c r="P650" s="8">
        <v>4012</v>
      </c>
      <c r="Q650" s="8">
        <v>3911</v>
      </c>
      <c r="R650" s="8">
        <v>3899</v>
      </c>
      <c r="S650" s="8">
        <v>3886</v>
      </c>
      <c r="T650" s="8">
        <v>3926</v>
      </c>
      <c r="U650" s="8">
        <v>3879</v>
      </c>
      <c r="V650" s="8">
        <v>3887</v>
      </c>
      <c r="W650" s="8">
        <v>3879</v>
      </c>
      <c r="X650" s="8">
        <v>3861</v>
      </c>
      <c r="Y650" s="8">
        <v>3836</v>
      </c>
      <c r="Z650" s="8">
        <v>3864</v>
      </c>
      <c r="AA650" s="8">
        <v>3966</v>
      </c>
      <c r="AB650" s="8">
        <v>3923</v>
      </c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</row>
    <row r="651" spans="1:47" ht="14.4">
      <c r="A651" s="3">
        <f>LOOKUP(D651,'AMFI DATA_2023H2'!F:L,'AMFI DATA_2023H2'!L:L)</f>
        <v>666</v>
      </c>
      <c r="B651" s="4" t="s">
        <v>1953</v>
      </c>
      <c r="C651" s="4" t="s">
        <v>1954</v>
      </c>
      <c r="D651" s="5" t="s">
        <v>1955</v>
      </c>
      <c r="E651" s="5">
        <v>1743.41</v>
      </c>
      <c r="F651" s="6">
        <f>LOOKUP(D651,'AMFI DATA_2023H2'!F:J,'AMFI DATA_2023H2'!J:J)</f>
        <v>4248.9231</v>
      </c>
      <c r="G651" s="7">
        <f t="shared" si="2"/>
        <v>-1</v>
      </c>
      <c r="H651" s="8"/>
      <c r="I651" s="8">
        <v>7761</v>
      </c>
      <c r="J651" s="8">
        <v>7201</v>
      </c>
      <c r="K651" s="8">
        <v>7157</v>
      </c>
      <c r="L651" s="8">
        <v>7023</v>
      </c>
      <c r="M651" s="8">
        <v>7274</v>
      </c>
      <c r="N651" s="8">
        <v>6990</v>
      </c>
      <c r="O651" s="8">
        <v>7036</v>
      </c>
      <c r="P651" s="8">
        <v>6823</v>
      </c>
      <c r="Q651" s="8">
        <v>6912</v>
      </c>
      <c r="R651" s="8">
        <v>6820</v>
      </c>
      <c r="S651" s="8">
        <v>6691</v>
      </c>
      <c r="T651" s="8">
        <v>6659</v>
      </c>
      <c r="U651" s="8">
        <v>6647</v>
      </c>
      <c r="V651" s="8">
        <v>6545</v>
      </c>
      <c r="W651" s="8">
        <v>6664</v>
      </c>
      <c r="X651" s="8">
        <v>6565</v>
      </c>
      <c r="Y651" s="8">
        <v>6490</v>
      </c>
      <c r="Z651" s="8">
        <v>6653</v>
      </c>
      <c r="AA651" s="8">
        <v>6789</v>
      </c>
      <c r="AB651" s="8">
        <v>6634</v>
      </c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</row>
    <row r="652" spans="1:47" ht="14.4">
      <c r="A652" s="3">
        <f>LOOKUP(D652,'AMFI DATA_2023H2'!F:L,'AMFI DATA_2023H2'!L:L)</f>
        <v>667</v>
      </c>
      <c r="B652" s="4" t="s">
        <v>1956</v>
      </c>
      <c r="C652" s="4" t="s">
        <v>1957</v>
      </c>
      <c r="D652" s="5" t="s">
        <v>1958</v>
      </c>
      <c r="E652" s="5">
        <v>3997.07</v>
      </c>
      <c r="F652" s="6">
        <f>LOOKUP(D652,'AMFI DATA_2023H2'!F:J,'AMFI DATA_2023H2'!J:J)</f>
        <v>4238.5895500000006</v>
      </c>
      <c r="G652" s="7">
        <f t="shared" si="2"/>
        <v>-1</v>
      </c>
      <c r="H652" s="8"/>
      <c r="I652" s="8">
        <v>5259</v>
      </c>
      <c r="J652" s="8">
        <v>5304</v>
      </c>
      <c r="K652" s="8">
        <v>5310</v>
      </c>
      <c r="L652" s="8">
        <v>5295</v>
      </c>
      <c r="M652" s="8">
        <v>5389</v>
      </c>
      <c r="N652" s="8">
        <v>5348</v>
      </c>
      <c r="O652" s="8">
        <v>5255</v>
      </c>
      <c r="P652" s="8">
        <v>5323</v>
      </c>
      <c r="Q652" s="8">
        <v>5376</v>
      </c>
      <c r="R652" s="8">
        <v>5377</v>
      </c>
      <c r="S652" s="8">
        <v>5479</v>
      </c>
      <c r="T652" s="8">
        <v>5340</v>
      </c>
      <c r="U652" s="8">
        <v>5360</v>
      </c>
      <c r="V652" s="8">
        <v>5274</v>
      </c>
      <c r="W652" s="8">
        <v>5399</v>
      </c>
      <c r="X652" s="8">
        <v>5361</v>
      </c>
      <c r="Y652" s="8">
        <v>5232</v>
      </c>
      <c r="Z652" s="8">
        <v>5198</v>
      </c>
      <c r="AA652" s="8">
        <v>4978</v>
      </c>
      <c r="AB652" s="8">
        <v>4873</v>
      </c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</row>
    <row r="653" spans="1:47" ht="14.4">
      <c r="A653" s="3">
        <f>LOOKUP(D653,'AMFI DATA_2023H2'!F:L,'AMFI DATA_2023H2'!L:L)</f>
        <v>668</v>
      </c>
      <c r="B653" s="4" t="s">
        <v>1959</v>
      </c>
      <c r="C653" s="4" t="s">
        <v>1960</v>
      </c>
      <c r="D653" s="5" t="s">
        <v>1961</v>
      </c>
      <c r="E653" s="5">
        <v>3480.45</v>
      </c>
      <c r="F653" s="6">
        <f>LOOKUP(D653,'AMFI DATA_2023H2'!F:J,'AMFI DATA_2023H2'!J:J)</f>
        <v>4218.3248999999996</v>
      </c>
      <c r="G653" s="7">
        <f t="shared" si="2"/>
        <v>-1</v>
      </c>
      <c r="H653" s="8"/>
      <c r="I653" s="8">
        <v>4857</v>
      </c>
      <c r="J653" s="8">
        <v>4689</v>
      </c>
      <c r="K653" s="8">
        <v>4800</v>
      </c>
      <c r="L653" s="8">
        <v>4893</v>
      </c>
      <c r="M653" s="8">
        <v>4809</v>
      </c>
      <c r="N653" s="8">
        <v>4634</v>
      </c>
      <c r="O653" s="8">
        <v>4675</v>
      </c>
      <c r="P653" s="8">
        <v>4626</v>
      </c>
      <c r="Q653" s="8">
        <v>4657</v>
      </c>
      <c r="R653" s="8">
        <v>4685</v>
      </c>
      <c r="S653" s="8">
        <v>4768</v>
      </c>
      <c r="T653" s="8">
        <v>4721</v>
      </c>
      <c r="U653" s="8">
        <v>4761</v>
      </c>
      <c r="V653" s="8">
        <v>4727</v>
      </c>
      <c r="W653" s="8">
        <v>4788</v>
      </c>
      <c r="X653" s="8">
        <v>4834</v>
      </c>
      <c r="Y653" s="8">
        <v>4768</v>
      </c>
      <c r="Z653" s="8">
        <v>4837</v>
      </c>
      <c r="AA653" s="8">
        <v>4862</v>
      </c>
      <c r="AB653" s="8">
        <v>4803</v>
      </c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</row>
    <row r="654" spans="1:47" ht="14.4">
      <c r="A654" s="3">
        <f>LOOKUP(D654,'AMFI DATA_2023H2'!F:L,'AMFI DATA_2023H2'!L:L)</f>
        <v>669</v>
      </c>
      <c r="B654" s="4" t="s">
        <v>1962</v>
      </c>
      <c r="C654" s="4" t="s">
        <v>1963</v>
      </c>
      <c r="D654" s="5" t="s">
        <v>1964</v>
      </c>
      <c r="E654" s="5">
        <v>2487.46</v>
      </c>
      <c r="F654" s="6">
        <f>LOOKUP(D654,'AMFI DATA_2023H2'!F:J,'AMFI DATA_2023H2'!J:J)</f>
        <v>4187.4423999999999</v>
      </c>
      <c r="G654" s="7">
        <f t="shared" si="2"/>
        <v>-1</v>
      </c>
      <c r="H654" s="8"/>
      <c r="I654" s="8">
        <v>4989</v>
      </c>
      <c r="J654" s="8">
        <v>4945</v>
      </c>
      <c r="K654" s="8">
        <v>5014</v>
      </c>
      <c r="L654" s="8">
        <v>5135</v>
      </c>
      <c r="M654" s="8">
        <v>5137</v>
      </c>
      <c r="N654" s="8">
        <v>5184</v>
      </c>
      <c r="O654" s="8">
        <v>5063</v>
      </c>
      <c r="P654" s="8">
        <v>4980</v>
      </c>
      <c r="Q654" s="8">
        <v>4969</v>
      </c>
      <c r="R654" s="8">
        <v>4881</v>
      </c>
      <c r="S654" s="8">
        <v>4933</v>
      </c>
      <c r="T654" s="8">
        <v>4956</v>
      </c>
      <c r="U654" s="8">
        <v>4876</v>
      </c>
      <c r="V654" s="8">
        <v>4884</v>
      </c>
      <c r="W654" s="8">
        <v>4877</v>
      </c>
      <c r="X654" s="8">
        <v>4747</v>
      </c>
      <c r="Y654" s="8">
        <v>4752</v>
      </c>
      <c r="Z654" s="8">
        <v>4764</v>
      </c>
      <c r="AA654" s="8">
        <v>4746</v>
      </c>
      <c r="AB654" s="8">
        <v>4775</v>
      </c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</row>
    <row r="655" spans="1:47" ht="14.4">
      <c r="A655" s="3">
        <f>LOOKUP(D655,'AMFI DATA_2023H2'!F:L,'AMFI DATA_2023H2'!L:L)</f>
        <v>670</v>
      </c>
      <c r="B655" s="4" t="s">
        <v>1965</v>
      </c>
      <c r="C655" s="4" t="s">
        <v>1966</v>
      </c>
      <c r="D655" s="5" t="s">
        <v>1967</v>
      </c>
      <c r="E655" s="5">
        <v>2209.64</v>
      </c>
      <c r="F655" s="6">
        <f>LOOKUP(D655,'AMFI DATA_2023H2'!F:J,'AMFI DATA_2023H2'!J:J)</f>
        <v>4183.9050499999994</v>
      </c>
      <c r="G655" s="7">
        <f t="shared" si="2"/>
        <v>-1</v>
      </c>
      <c r="H655" s="8"/>
      <c r="I655" s="8">
        <v>4995</v>
      </c>
      <c r="J655" s="8">
        <v>4909</v>
      </c>
      <c r="K655" s="8">
        <v>5010</v>
      </c>
      <c r="L655" s="8">
        <v>5027</v>
      </c>
      <c r="M655" s="8">
        <v>5002</v>
      </c>
      <c r="N655" s="8">
        <v>5031</v>
      </c>
      <c r="O655" s="8">
        <v>4978</v>
      </c>
      <c r="P655" s="8">
        <v>4740</v>
      </c>
      <c r="Q655" s="8">
        <v>4765</v>
      </c>
      <c r="R655" s="8">
        <v>4658</v>
      </c>
      <c r="S655" s="8">
        <v>4744</v>
      </c>
      <c r="T655" s="8">
        <v>4586</v>
      </c>
      <c r="U655" s="8">
        <v>4458</v>
      </c>
      <c r="V655" s="8">
        <v>4467</v>
      </c>
      <c r="W655" s="8">
        <v>4541</v>
      </c>
      <c r="X655" s="8">
        <v>4382</v>
      </c>
      <c r="Y655" s="8">
        <v>4391</v>
      </c>
      <c r="Z655" s="8">
        <v>4457</v>
      </c>
      <c r="AA655" s="8">
        <v>4525</v>
      </c>
      <c r="AB655" s="8">
        <v>4512</v>
      </c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</row>
    <row r="656" spans="1:47" ht="14.4">
      <c r="A656" s="3">
        <f>LOOKUP(D656,'AMFI DATA_2023H2'!F:L,'AMFI DATA_2023H2'!L:L)</f>
        <v>671</v>
      </c>
      <c r="B656" s="4" t="s">
        <v>1968</v>
      </c>
      <c r="C656" s="4" t="s">
        <v>1969</v>
      </c>
      <c r="D656" s="5" t="s">
        <v>1970</v>
      </c>
      <c r="E656" s="5">
        <v>2832.21</v>
      </c>
      <c r="F656" s="6">
        <f>LOOKUP(D656,'AMFI DATA_2023H2'!F:J,'AMFI DATA_2023H2'!J:J)</f>
        <v>4175.5753000000004</v>
      </c>
      <c r="G656" s="7">
        <f t="shared" si="2"/>
        <v>-1</v>
      </c>
      <c r="H656" s="8"/>
      <c r="I656" s="8">
        <v>6253</v>
      </c>
      <c r="J656" s="8">
        <v>5972</v>
      </c>
      <c r="K656" s="8">
        <v>6071</v>
      </c>
      <c r="L656" s="8">
        <v>5851</v>
      </c>
      <c r="M656" s="8">
        <v>5936</v>
      </c>
      <c r="N656" s="8">
        <v>6034</v>
      </c>
      <c r="O656" s="8">
        <v>6188</v>
      </c>
      <c r="P656" s="8">
        <v>5719</v>
      </c>
      <c r="Q656" s="8">
        <v>5627</v>
      </c>
      <c r="R656" s="8">
        <v>5606</v>
      </c>
      <c r="S656" s="8">
        <v>5729</v>
      </c>
      <c r="T656" s="8">
        <v>5763</v>
      </c>
      <c r="U656" s="8">
        <v>5663</v>
      </c>
      <c r="V656" s="8">
        <v>5595</v>
      </c>
      <c r="W656" s="8">
        <v>5729</v>
      </c>
      <c r="X656" s="8">
        <v>5620</v>
      </c>
      <c r="Y656" s="8">
        <v>5698</v>
      </c>
      <c r="Z656" s="8">
        <v>5648</v>
      </c>
      <c r="AA656" s="8">
        <v>5523</v>
      </c>
      <c r="AB656" s="8">
        <v>5381</v>
      </c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</row>
    <row r="657" spans="1:47" ht="14.4">
      <c r="A657" s="3">
        <f>LOOKUP(D657,'AMFI DATA_2023H2'!F:L,'AMFI DATA_2023H2'!L:L)</f>
        <v>672</v>
      </c>
      <c r="B657" s="4" t="s">
        <v>1971</v>
      </c>
      <c r="C657" s="4" t="s">
        <v>1972</v>
      </c>
      <c r="D657" s="5" t="s">
        <v>1973</v>
      </c>
      <c r="E657" s="5">
        <v>3420.95</v>
      </c>
      <c r="F657" s="6">
        <f>LOOKUP(D657,'AMFI DATA_2023H2'!F:J,'AMFI DATA_2023H2'!J:J)</f>
        <v>4139.6332000000002</v>
      </c>
      <c r="G657" s="7">
        <f t="shared" si="2"/>
        <v>-1</v>
      </c>
      <c r="H657" s="8"/>
      <c r="I657" s="8">
        <v>5309</v>
      </c>
      <c r="J657" s="8">
        <v>5322</v>
      </c>
      <c r="K657" s="8">
        <v>5241</v>
      </c>
      <c r="L657" s="8">
        <v>5156</v>
      </c>
      <c r="M657" s="8">
        <v>5349</v>
      </c>
      <c r="N657" s="8">
        <v>5422</v>
      </c>
      <c r="O657" s="8">
        <v>5422</v>
      </c>
      <c r="P657" s="8">
        <v>5539</v>
      </c>
      <c r="Q657" s="8">
        <v>5363</v>
      </c>
      <c r="R657" s="8">
        <v>5358</v>
      </c>
      <c r="S657" s="8">
        <v>5268</v>
      </c>
      <c r="T657" s="8">
        <v>5111</v>
      </c>
      <c r="U657" s="8">
        <v>4786</v>
      </c>
      <c r="V657" s="8">
        <v>4735</v>
      </c>
      <c r="W657" s="8">
        <v>4754</v>
      </c>
      <c r="X657" s="8">
        <v>4722</v>
      </c>
      <c r="Y657" s="8">
        <v>4745</v>
      </c>
      <c r="Z657" s="8">
        <v>4842</v>
      </c>
      <c r="AA657" s="8">
        <v>4862</v>
      </c>
      <c r="AB657" s="8">
        <v>4843</v>
      </c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</row>
    <row r="658" spans="1:47" ht="14.4">
      <c r="A658" s="3">
        <f>LOOKUP(D658,'AMFI DATA_2023H2'!F:L,'AMFI DATA_2023H2'!L:L)</f>
        <v>673</v>
      </c>
      <c r="B658" s="4" t="s">
        <v>1974</v>
      </c>
      <c r="C658" s="4" t="s">
        <v>1975</v>
      </c>
      <c r="D658" s="5" t="s">
        <v>1976</v>
      </c>
      <c r="E658" s="5">
        <v>3395.62</v>
      </c>
      <c r="F658" s="6">
        <f>LOOKUP(D658,'AMFI DATA_2023H2'!F:J,'AMFI DATA_2023H2'!J:J)</f>
        <v>4103.6828999999998</v>
      </c>
      <c r="G658" s="7">
        <f t="shared" si="2"/>
        <v>-1</v>
      </c>
      <c r="H658" s="8"/>
      <c r="I658" s="8">
        <v>3923</v>
      </c>
      <c r="J658" s="8">
        <v>3893</v>
      </c>
      <c r="K658" s="8">
        <v>3994</v>
      </c>
      <c r="L658" s="8">
        <v>4082</v>
      </c>
      <c r="M658" s="8">
        <v>4035</v>
      </c>
      <c r="N658" s="8">
        <v>4194</v>
      </c>
      <c r="O658" s="8">
        <v>4162</v>
      </c>
      <c r="P658" s="8">
        <v>4194</v>
      </c>
      <c r="Q658" s="8">
        <v>4117</v>
      </c>
      <c r="R658" s="8">
        <v>4085</v>
      </c>
      <c r="S658" s="8">
        <v>3753</v>
      </c>
      <c r="T658" s="8">
        <v>3855</v>
      </c>
      <c r="U658" s="8">
        <v>3994</v>
      </c>
      <c r="V658" s="8">
        <v>4058</v>
      </c>
      <c r="W658" s="8">
        <v>3913</v>
      </c>
      <c r="X658" s="8">
        <v>4162</v>
      </c>
      <c r="Y658" s="8">
        <v>4587</v>
      </c>
      <c r="Z658" s="8">
        <v>4541</v>
      </c>
      <c r="AA658" s="8">
        <v>4521</v>
      </c>
      <c r="AB658" s="8">
        <v>4533</v>
      </c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</row>
    <row r="659" spans="1:47" ht="14.4">
      <c r="A659" s="3">
        <f>LOOKUP(D659,'AMFI DATA_2023H2'!F:L,'AMFI DATA_2023H2'!L:L)</f>
        <v>674</v>
      </c>
      <c r="B659" s="4" t="s">
        <v>1977</v>
      </c>
      <c r="C659" s="4" t="s">
        <v>1978</v>
      </c>
      <c r="D659" s="5" t="s">
        <v>1979</v>
      </c>
      <c r="E659" s="5">
        <v>2270.66</v>
      </c>
      <c r="F659" s="6">
        <f>LOOKUP(D659,'AMFI DATA_2023H2'!F:J,'AMFI DATA_2023H2'!J:J)</f>
        <v>4084.0366999999997</v>
      </c>
      <c r="G659" s="7">
        <f t="shared" si="2"/>
        <v>-1</v>
      </c>
      <c r="H659" s="8"/>
      <c r="I659" s="8">
        <v>5437</v>
      </c>
      <c r="J659" s="8">
        <v>5343</v>
      </c>
      <c r="K659" s="8">
        <v>5250</v>
      </c>
      <c r="L659" s="8">
        <v>5202</v>
      </c>
      <c r="M659" s="8">
        <v>5250</v>
      </c>
      <c r="N659" s="8">
        <v>5387</v>
      </c>
      <c r="O659" s="8">
        <v>5357</v>
      </c>
      <c r="P659" s="8">
        <v>5397</v>
      </c>
      <c r="Q659" s="8">
        <v>5529</v>
      </c>
      <c r="R659" s="8">
        <v>5493</v>
      </c>
      <c r="S659" s="8">
        <v>5517</v>
      </c>
      <c r="T659" s="8">
        <v>5448</v>
      </c>
      <c r="U659" s="8">
        <v>5514</v>
      </c>
      <c r="V659" s="8">
        <v>5570</v>
      </c>
      <c r="W659" s="8">
        <v>5632</v>
      </c>
      <c r="X659" s="8">
        <v>5507</v>
      </c>
      <c r="Y659" s="8">
        <v>5397</v>
      </c>
      <c r="Z659" s="8">
        <v>5424</v>
      </c>
      <c r="AA659" s="8">
        <v>5456</v>
      </c>
      <c r="AB659" s="8">
        <v>5510</v>
      </c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</row>
    <row r="660" spans="1:47" ht="14.4">
      <c r="A660" s="3">
        <f>LOOKUP(D660,'AMFI DATA_2023H2'!F:L,'AMFI DATA_2023H2'!L:L)</f>
        <v>675</v>
      </c>
      <c r="B660" s="4" t="s">
        <v>1980</v>
      </c>
      <c r="C660" s="4" t="s">
        <v>1981</v>
      </c>
      <c r="D660" s="5" t="s">
        <v>1982</v>
      </c>
      <c r="E660" s="5">
        <v>2289.98</v>
      </c>
      <c r="F660" s="6">
        <f>LOOKUP(D660,'AMFI DATA_2023H2'!F:J,'AMFI DATA_2023H2'!J:J)</f>
        <v>4076.5429999999997</v>
      </c>
      <c r="G660" s="7">
        <f t="shared" si="2"/>
        <v>-1</v>
      </c>
      <c r="H660" s="8"/>
      <c r="I660" s="8">
        <v>4723</v>
      </c>
      <c r="J660" s="8">
        <v>4691</v>
      </c>
      <c r="K660" s="8">
        <v>4694</v>
      </c>
      <c r="L660" s="8">
        <v>4779</v>
      </c>
      <c r="M660" s="8">
        <v>4849</v>
      </c>
      <c r="N660" s="8">
        <v>4944</v>
      </c>
      <c r="O660" s="8">
        <v>4947</v>
      </c>
      <c r="P660" s="8">
        <v>4950</v>
      </c>
      <c r="Q660" s="8">
        <v>4980</v>
      </c>
      <c r="R660" s="8">
        <v>4810</v>
      </c>
      <c r="S660" s="8">
        <v>4842</v>
      </c>
      <c r="T660" s="8">
        <v>4829</v>
      </c>
      <c r="U660" s="8">
        <v>4732</v>
      </c>
      <c r="V660" s="8">
        <v>4614</v>
      </c>
      <c r="W660" s="8">
        <v>4633</v>
      </c>
      <c r="X660" s="8">
        <v>4636</v>
      </c>
      <c r="Y660" s="8">
        <v>4695</v>
      </c>
      <c r="Z660" s="8">
        <v>4623</v>
      </c>
      <c r="AA660" s="8">
        <v>4628</v>
      </c>
      <c r="AB660" s="8">
        <v>4577</v>
      </c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</row>
    <row r="661" spans="1:47" ht="14.4">
      <c r="A661" s="3">
        <f>LOOKUP(D661,'AMFI DATA_2023H2'!F:L,'AMFI DATA_2023H2'!L:L)</f>
        <v>676</v>
      </c>
      <c r="B661" s="4" t="s">
        <v>1983</v>
      </c>
      <c r="C661" s="4" t="s">
        <v>1984</v>
      </c>
      <c r="D661" s="5" t="s">
        <v>1985</v>
      </c>
      <c r="E661" s="5">
        <v>4335.12</v>
      </c>
      <c r="F661" s="6">
        <f>LOOKUP(D661,'AMFI DATA_2023H2'!F:J,'AMFI DATA_2023H2'!J:J)</f>
        <v>4070.4666500000003</v>
      </c>
      <c r="G661" s="7">
        <f t="shared" si="2"/>
        <v>-1</v>
      </c>
      <c r="H661" s="8"/>
      <c r="I661" s="8">
        <v>3911</v>
      </c>
      <c r="J661" s="8">
        <v>3965</v>
      </c>
      <c r="K661" s="8">
        <v>3973</v>
      </c>
      <c r="L661" s="8">
        <v>4030</v>
      </c>
      <c r="M661" s="8">
        <v>4100</v>
      </c>
      <c r="N661" s="8">
        <v>4238</v>
      </c>
      <c r="O661" s="8">
        <v>4264</v>
      </c>
      <c r="P661" s="8">
        <v>4147</v>
      </c>
      <c r="Q661" s="8">
        <v>3941</v>
      </c>
      <c r="R661" s="8">
        <v>3895</v>
      </c>
      <c r="S661" s="8">
        <v>3895</v>
      </c>
      <c r="T661" s="8">
        <v>3915</v>
      </c>
      <c r="U661" s="8">
        <v>3846</v>
      </c>
      <c r="V661" s="8">
        <v>3864</v>
      </c>
      <c r="W661" s="8">
        <v>3838</v>
      </c>
      <c r="X661" s="8">
        <v>3903</v>
      </c>
      <c r="Y661" s="8">
        <v>3921</v>
      </c>
      <c r="Z661" s="8">
        <v>3987</v>
      </c>
      <c r="AA661" s="8">
        <v>3907</v>
      </c>
      <c r="AB661" s="8">
        <v>4006</v>
      </c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</row>
    <row r="662" spans="1:47" ht="14.4">
      <c r="A662" s="3">
        <f>LOOKUP(D662,'AMFI DATA_2023H2'!F:L,'AMFI DATA_2023H2'!L:L)</f>
        <v>677</v>
      </c>
      <c r="B662" s="4" t="s">
        <v>1986</v>
      </c>
      <c r="C662" s="4" t="s">
        <v>1987</v>
      </c>
      <c r="D662" s="5" t="s">
        <v>1988</v>
      </c>
      <c r="E662" s="5">
        <v>156.49</v>
      </c>
      <c r="F662" s="6">
        <f>LOOKUP(D662,'AMFI DATA_2023H2'!F:J,'AMFI DATA_2023H2'!J:J)</f>
        <v>4068.0266000000001</v>
      </c>
      <c r="G662" s="7">
        <f t="shared" si="2"/>
        <v>-1</v>
      </c>
      <c r="H662" s="8"/>
      <c r="I662" s="8">
        <v>3726</v>
      </c>
      <c r="J662" s="8">
        <v>3816</v>
      </c>
      <c r="K662" s="8">
        <v>3712</v>
      </c>
      <c r="L662" s="8">
        <v>3820</v>
      </c>
      <c r="M662" s="8">
        <v>3939</v>
      </c>
      <c r="N662" s="8">
        <v>4092</v>
      </c>
      <c r="O662" s="8">
        <v>4116</v>
      </c>
      <c r="P662" s="8">
        <v>4018</v>
      </c>
      <c r="Q662" s="8">
        <v>4003</v>
      </c>
      <c r="R662" s="8">
        <v>4119</v>
      </c>
      <c r="S662" s="8">
        <v>4172</v>
      </c>
      <c r="T662" s="8">
        <v>4267</v>
      </c>
      <c r="U662" s="8">
        <v>4297</v>
      </c>
      <c r="V662" s="8">
        <v>4323</v>
      </c>
      <c r="W662" s="8">
        <v>4404</v>
      </c>
      <c r="X662" s="8">
        <v>4222</v>
      </c>
      <c r="Y662" s="8">
        <v>4294</v>
      </c>
      <c r="Z662" s="8">
        <v>4233</v>
      </c>
      <c r="AA662" s="8">
        <v>4213</v>
      </c>
      <c r="AB662" s="8">
        <v>4256</v>
      </c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</row>
    <row r="663" spans="1:47" ht="14.4">
      <c r="A663" s="3">
        <f>LOOKUP(D663,'AMFI DATA_2023H2'!F:L,'AMFI DATA_2023H2'!L:L)</f>
        <v>678</v>
      </c>
      <c r="B663" s="4" t="s">
        <v>1989</v>
      </c>
      <c r="C663" s="4" t="s">
        <v>1990</v>
      </c>
      <c r="D663" s="5" t="s">
        <v>1991</v>
      </c>
      <c r="E663" s="5">
        <v>3418.9</v>
      </c>
      <c r="F663" s="6">
        <f>LOOKUP(D663,'AMFI DATA_2023H2'!F:J,'AMFI DATA_2023H2'!J:J)</f>
        <v>4062.3188500000001</v>
      </c>
      <c r="G663" s="7">
        <f t="shared" si="2"/>
        <v>-1</v>
      </c>
      <c r="H663" s="8"/>
      <c r="I663" s="8">
        <v>4506</v>
      </c>
      <c r="J663" s="8">
        <v>4506</v>
      </c>
      <c r="K663" s="8">
        <v>4537</v>
      </c>
      <c r="L663" s="8">
        <v>4718</v>
      </c>
      <c r="M663" s="8">
        <v>4655</v>
      </c>
      <c r="N663" s="8">
        <v>4660</v>
      </c>
      <c r="O663" s="8">
        <v>4641</v>
      </c>
      <c r="P663" s="8">
        <v>4613</v>
      </c>
      <c r="Q663" s="8">
        <v>4584</v>
      </c>
      <c r="R663" s="8">
        <v>4594</v>
      </c>
      <c r="S663" s="8">
        <v>4585</v>
      </c>
      <c r="T663" s="8">
        <v>4596</v>
      </c>
      <c r="U663" s="8">
        <v>4625</v>
      </c>
      <c r="V663" s="8">
        <v>4780</v>
      </c>
      <c r="W663" s="8">
        <v>4740</v>
      </c>
      <c r="X663" s="8">
        <v>4702</v>
      </c>
      <c r="Y663" s="8">
        <v>4640</v>
      </c>
      <c r="Z663" s="8">
        <v>4611</v>
      </c>
      <c r="AA663" s="8">
        <v>4569</v>
      </c>
      <c r="AB663" s="8">
        <v>4523</v>
      </c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</row>
    <row r="664" spans="1:47" ht="14.4">
      <c r="A664" s="3">
        <f>LOOKUP(D664,'AMFI DATA_2023H2'!F:L,'AMFI DATA_2023H2'!L:L)</f>
        <v>679</v>
      </c>
      <c r="B664" s="4" t="s">
        <v>1992</v>
      </c>
      <c r="C664" s="4" t="s">
        <v>1993</v>
      </c>
      <c r="D664" s="5" t="s">
        <v>1994</v>
      </c>
      <c r="E664" s="5">
        <v>2457.4899999999998</v>
      </c>
      <c r="F664" s="6">
        <f>LOOKUP(D664,'AMFI DATA_2023H2'!F:J,'AMFI DATA_2023H2'!J:J)</f>
        <v>4052.9445500000002</v>
      </c>
      <c r="G664" s="7">
        <f t="shared" si="2"/>
        <v>-1</v>
      </c>
      <c r="H664" s="8"/>
      <c r="I664" s="8">
        <v>4333</v>
      </c>
      <c r="J664" s="8">
        <v>4093</v>
      </c>
      <c r="K664" s="8">
        <v>4169</v>
      </c>
      <c r="L664" s="8">
        <v>4269</v>
      </c>
      <c r="M664" s="8">
        <v>4320</v>
      </c>
      <c r="N664" s="8">
        <v>4396</v>
      </c>
      <c r="O664" s="8">
        <v>4301</v>
      </c>
      <c r="P664" s="8">
        <v>4049</v>
      </c>
      <c r="Q664" s="8">
        <v>4001</v>
      </c>
      <c r="R664" s="8">
        <v>3898</v>
      </c>
      <c r="S664" s="8">
        <v>3997</v>
      </c>
      <c r="T664" s="8">
        <v>4048</v>
      </c>
      <c r="U664" s="8">
        <v>4049</v>
      </c>
      <c r="V664" s="8">
        <v>4108</v>
      </c>
      <c r="W664" s="8">
        <v>4115</v>
      </c>
      <c r="X664" s="8">
        <v>4078</v>
      </c>
      <c r="Y664" s="8">
        <v>4046</v>
      </c>
      <c r="Z664" s="8">
        <v>4112</v>
      </c>
      <c r="AA664" s="8">
        <v>4099</v>
      </c>
      <c r="AB664" s="8">
        <v>4109</v>
      </c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</row>
    <row r="665" spans="1:47" ht="14.4">
      <c r="A665" s="3">
        <f>LOOKUP(D665,'AMFI DATA_2023H2'!F:L,'AMFI DATA_2023H2'!L:L)</f>
        <v>680</v>
      </c>
      <c r="B665" s="4" t="s">
        <v>1995</v>
      </c>
      <c r="C665" s="4" t="s">
        <v>1996</v>
      </c>
      <c r="D665" s="5" t="s">
        <v>1997</v>
      </c>
      <c r="E665" s="5">
        <v>3527.76</v>
      </c>
      <c r="F665" s="6">
        <f>LOOKUP(D665,'AMFI DATA_2023H2'!F:J,'AMFI DATA_2023H2'!J:J)</f>
        <v>4051.1513</v>
      </c>
      <c r="G665" s="7">
        <f t="shared" si="2"/>
        <v>-1</v>
      </c>
      <c r="H665" s="8"/>
      <c r="I665" s="8">
        <v>3839</v>
      </c>
      <c r="J665" s="8">
        <v>3712</v>
      </c>
      <c r="K665" s="8">
        <v>3918</v>
      </c>
      <c r="L665" s="8">
        <v>3918</v>
      </c>
      <c r="M665" s="8">
        <v>3874</v>
      </c>
      <c r="N665" s="8">
        <v>3989</v>
      </c>
      <c r="O665" s="8">
        <v>3942</v>
      </c>
      <c r="P665" s="8">
        <v>3922</v>
      </c>
      <c r="Q665" s="8">
        <v>3936</v>
      </c>
      <c r="R665" s="8">
        <v>3899</v>
      </c>
      <c r="S665" s="8">
        <v>3858</v>
      </c>
      <c r="T665" s="8">
        <v>3848</v>
      </c>
      <c r="U665" s="8">
        <v>3904</v>
      </c>
      <c r="V665" s="8">
        <v>3907</v>
      </c>
      <c r="W665" s="8">
        <v>3891</v>
      </c>
      <c r="X665" s="8">
        <v>3891</v>
      </c>
      <c r="Y665" s="8">
        <v>3927</v>
      </c>
      <c r="Z665" s="8">
        <v>3947</v>
      </c>
      <c r="AA665" s="8">
        <v>3924</v>
      </c>
      <c r="AB665" s="8">
        <v>3890</v>
      </c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</row>
    <row r="666" spans="1:47" ht="14.4">
      <c r="A666" s="3">
        <f>LOOKUP(D666,'AMFI DATA_2023H2'!F:L,'AMFI DATA_2023H2'!L:L)</f>
        <v>681</v>
      </c>
      <c r="B666" s="4" t="s">
        <v>1998</v>
      </c>
      <c r="C666" s="4" t="s">
        <v>1999</v>
      </c>
      <c r="D666" s="5" t="s">
        <v>2000</v>
      </c>
      <c r="E666" s="5">
        <v>2605.35</v>
      </c>
      <c r="F666" s="6">
        <f>LOOKUP(D666,'AMFI DATA_2023H2'!F:J,'AMFI DATA_2023H2'!J:J)</f>
        <v>4048.5288499999997</v>
      </c>
      <c r="G666" s="7">
        <f t="shared" si="2"/>
        <v>-1</v>
      </c>
      <c r="H666" s="8"/>
      <c r="I666" s="8">
        <v>4338</v>
      </c>
      <c r="J666" s="8">
        <v>4217</v>
      </c>
      <c r="K666" s="8">
        <v>4151</v>
      </c>
      <c r="L666" s="8">
        <v>4287</v>
      </c>
      <c r="M666" s="8">
        <v>4373</v>
      </c>
      <c r="N666" s="8">
        <v>4427</v>
      </c>
      <c r="O666" s="8">
        <v>4455</v>
      </c>
      <c r="P666" s="8">
        <v>4441</v>
      </c>
      <c r="Q666" s="8">
        <v>4401</v>
      </c>
      <c r="R666" s="8">
        <v>4334</v>
      </c>
      <c r="S666" s="8">
        <v>4441</v>
      </c>
      <c r="T666" s="8">
        <v>4310</v>
      </c>
      <c r="U666" s="8">
        <v>4185</v>
      </c>
      <c r="V666" s="8">
        <v>4178</v>
      </c>
      <c r="W666" s="8">
        <v>4185</v>
      </c>
      <c r="X666" s="8">
        <v>4067</v>
      </c>
      <c r="Y666" s="8">
        <v>4090</v>
      </c>
      <c r="Z666" s="8">
        <v>4095</v>
      </c>
      <c r="AA666" s="8">
        <v>4150</v>
      </c>
      <c r="AB666" s="8">
        <v>4178</v>
      </c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</row>
    <row r="667" spans="1:47" ht="14.4">
      <c r="A667" s="3">
        <f>LOOKUP(D667,'AMFI DATA_2023H2'!F:L,'AMFI DATA_2023H2'!L:L)</f>
        <v>683</v>
      </c>
      <c r="B667" s="4" t="s">
        <v>2001</v>
      </c>
      <c r="C667" s="4" t="s">
        <v>2002</v>
      </c>
      <c r="D667" s="5" t="s">
        <v>2003</v>
      </c>
      <c r="E667" s="5">
        <v>3279.6</v>
      </c>
      <c r="F667" s="6">
        <f>LOOKUP(D667,'AMFI DATA_2023H2'!F:J,'AMFI DATA_2023H2'!J:J)</f>
        <v>4037.1817499999997</v>
      </c>
      <c r="G667" s="7">
        <f t="shared" si="2"/>
        <v>-1</v>
      </c>
      <c r="H667" s="8"/>
      <c r="I667" s="8">
        <v>5341</v>
      </c>
      <c r="J667" s="8">
        <v>5378</v>
      </c>
      <c r="K667" s="8">
        <v>5207</v>
      </c>
      <c r="L667" s="8">
        <v>5320</v>
      </c>
      <c r="M667" s="8">
        <v>5180</v>
      </c>
      <c r="N667" s="8">
        <v>5338</v>
      </c>
      <c r="O667" s="8">
        <v>5365</v>
      </c>
      <c r="P667" s="8">
        <v>5473</v>
      </c>
      <c r="Q667" s="8">
        <v>5661</v>
      </c>
      <c r="R667" s="8">
        <v>5593</v>
      </c>
      <c r="S667" s="8">
        <v>4678</v>
      </c>
      <c r="T667" s="8">
        <v>4200</v>
      </c>
      <c r="U667" s="8">
        <v>4196</v>
      </c>
      <c r="V667" s="8">
        <v>4145</v>
      </c>
      <c r="W667" s="8">
        <v>4181</v>
      </c>
      <c r="X667" s="8">
        <v>4209</v>
      </c>
      <c r="Y667" s="8">
        <v>4199</v>
      </c>
      <c r="Z667" s="8">
        <v>4013</v>
      </c>
      <c r="AA667" s="8">
        <v>4048</v>
      </c>
      <c r="AB667" s="8">
        <v>3971</v>
      </c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</row>
    <row r="668" spans="1:47" ht="14.4">
      <c r="A668" s="3">
        <f>LOOKUP(D668,'AMFI DATA_2023H2'!F:L,'AMFI DATA_2023H2'!L:L)</f>
        <v>684</v>
      </c>
      <c r="B668" s="4" t="s">
        <v>2004</v>
      </c>
      <c r="C668" s="4" t="s">
        <v>2005</v>
      </c>
      <c r="D668" s="5" t="s">
        <v>2006</v>
      </c>
      <c r="E668" s="5">
        <v>2612.11</v>
      </c>
      <c r="F668" s="6">
        <f>LOOKUP(D668,'AMFI DATA_2023H2'!F:J,'AMFI DATA_2023H2'!J:J)</f>
        <v>4008.8519999999999</v>
      </c>
      <c r="G668" s="7">
        <f t="shared" si="2"/>
        <v>-1</v>
      </c>
      <c r="H668" s="8"/>
      <c r="I668" s="8">
        <v>5478</v>
      </c>
      <c r="J668" s="8">
        <v>5473</v>
      </c>
      <c r="K668" s="8">
        <v>5417</v>
      </c>
      <c r="L668" s="8">
        <v>5592</v>
      </c>
      <c r="M668" s="8">
        <v>5592</v>
      </c>
      <c r="N668" s="8">
        <v>5610</v>
      </c>
      <c r="O668" s="8">
        <v>5487</v>
      </c>
      <c r="P668" s="8">
        <v>5358</v>
      </c>
      <c r="Q668" s="8">
        <v>5221</v>
      </c>
      <c r="R668" s="8">
        <v>5092</v>
      </c>
      <c r="S668" s="8">
        <v>5212</v>
      </c>
      <c r="T668" s="8">
        <v>5177</v>
      </c>
      <c r="U668" s="8">
        <v>5223</v>
      </c>
      <c r="V668" s="8">
        <v>5029</v>
      </c>
      <c r="W668" s="8">
        <v>5062</v>
      </c>
      <c r="X668" s="8">
        <v>4879</v>
      </c>
      <c r="Y668" s="8">
        <v>4644</v>
      </c>
      <c r="Z668" s="8">
        <v>4546</v>
      </c>
      <c r="AA668" s="8">
        <v>4485</v>
      </c>
      <c r="AB668" s="8">
        <v>4447</v>
      </c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</row>
    <row r="669" spans="1:47" ht="14.4">
      <c r="A669" s="3">
        <f>LOOKUP(D669,'AMFI DATA_2023H2'!F:L,'AMFI DATA_2023H2'!L:L)</f>
        <v>685</v>
      </c>
      <c r="B669" s="4" t="s">
        <v>2007</v>
      </c>
      <c r="C669" s="4" t="s">
        <v>2008</v>
      </c>
      <c r="D669" s="5" t="s">
        <v>2009</v>
      </c>
      <c r="E669" s="5">
        <v>4388.28</v>
      </c>
      <c r="F669" s="6">
        <f>LOOKUP(D669,'AMFI DATA_2023H2'!F:J,'AMFI DATA_2023H2'!J:J)</f>
        <v>4000.6848</v>
      </c>
      <c r="G669" s="7">
        <f t="shared" si="2"/>
        <v>-1</v>
      </c>
      <c r="H669" s="8"/>
      <c r="I669" s="8">
        <v>3898</v>
      </c>
      <c r="J669" s="8">
        <v>3941</v>
      </c>
      <c r="K669" s="8">
        <v>3908</v>
      </c>
      <c r="L669" s="8">
        <v>3964</v>
      </c>
      <c r="M669" s="8">
        <v>3983</v>
      </c>
      <c r="N669" s="8">
        <v>3950</v>
      </c>
      <c r="O669" s="8">
        <v>3982</v>
      </c>
      <c r="P669" s="8">
        <v>3943</v>
      </c>
      <c r="Q669" s="8">
        <v>3966</v>
      </c>
      <c r="R669" s="8">
        <v>3950</v>
      </c>
      <c r="S669" s="8">
        <v>4009</v>
      </c>
      <c r="T669" s="8">
        <v>4037</v>
      </c>
      <c r="U669" s="8">
        <v>3985</v>
      </c>
      <c r="V669" s="8">
        <v>4014</v>
      </c>
      <c r="W669" s="8">
        <v>4079</v>
      </c>
      <c r="X669" s="8">
        <v>4105</v>
      </c>
      <c r="Y669" s="8">
        <v>4024</v>
      </c>
      <c r="Z669" s="8">
        <v>4110</v>
      </c>
      <c r="AA669" s="8">
        <v>3856</v>
      </c>
      <c r="AB669" s="8">
        <v>3891</v>
      </c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</row>
    <row r="670" spans="1:47" ht="14.4">
      <c r="A670" s="3">
        <f>LOOKUP(D670,'AMFI DATA_2023H2'!F:L,'AMFI DATA_2023H2'!L:L)</f>
        <v>686</v>
      </c>
      <c r="B670" s="4" t="s">
        <v>2010</v>
      </c>
      <c r="C670" s="4" t="s">
        <v>2011</v>
      </c>
      <c r="D670" s="5" t="s">
        <v>2012</v>
      </c>
      <c r="E670" s="5">
        <v>3862.02</v>
      </c>
      <c r="F670" s="6">
        <f>LOOKUP(D670,'AMFI DATA_2023H2'!F:J,'AMFI DATA_2023H2'!J:J)</f>
        <v>3998.8085000000001</v>
      </c>
      <c r="G670" s="7">
        <f t="shared" si="2"/>
        <v>-1</v>
      </c>
      <c r="H670" s="8"/>
      <c r="I670" s="8">
        <v>3966</v>
      </c>
      <c r="J670" s="8">
        <v>3974</v>
      </c>
      <c r="K670" s="8">
        <v>3918</v>
      </c>
      <c r="L670" s="8">
        <v>3989</v>
      </c>
      <c r="M670" s="8">
        <v>4040</v>
      </c>
      <c r="N670" s="8">
        <v>4001</v>
      </c>
      <c r="O670" s="8">
        <v>4103</v>
      </c>
      <c r="P670" s="8">
        <v>3933</v>
      </c>
      <c r="Q670" s="8">
        <v>3965</v>
      </c>
      <c r="R670" s="8">
        <v>3982</v>
      </c>
      <c r="S670" s="8">
        <v>3885</v>
      </c>
      <c r="T670" s="8">
        <v>3909</v>
      </c>
      <c r="U670" s="8">
        <v>3960</v>
      </c>
      <c r="V670" s="8">
        <v>3942</v>
      </c>
      <c r="W670" s="8">
        <v>3932</v>
      </c>
      <c r="X670" s="8">
        <v>3873</v>
      </c>
      <c r="Y670" s="8">
        <v>3866</v>
      </c>
      <c r="Z670" s="8">
        <v>3989</v>
      </c>
      <c r="AA670" s="8">
        <v>3877</v>
      </c>
      <c r="AB670" s="8">
        <v>3915</v>
      </c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</row>
    <row r="671" spans="1:47" ht="14.4">
      <c r="A671" s="3">
        <f>LOOKUP(D671,'AMFI DATA_2023H2'!F:L,'AMFI DATA_2023H2'!L:L)</f>
        <v>687</v>
      </c>
      <c r="B671" s="4" t="s">
        <v>2013</v>
      </c>
      <c r="C671" s="4" t="s">
        <v>2014</v>
      </c>
      <c r="D671" s="5" t="s">
        <v>2015</v>
      </c>
      <c r="E671" s="5">
        <v>2539.38</v>
      </c>
      <c r="F671" s="6">
        <f>LOOKUP(D671,'AMFI DATA_2023H2'!F:J,'AMFI DATA_2023H2'!J:J)</f>
        <v>3996.6529</v>
      </c>
      <c r="G671" s="7">
        <f t="shared" si="2"/>
        <v>-1</v>
      </c>
      <c r="H671" s="8"/>
      <c r="I671" s="8">
        <v>4949</v>
      </c>
      <c r="J671" s="8">
        <v>4895</v>
      </c>
      <c r="K671" s="8">
        <v>4854</v>
      </c>
      <c r="L671" s="8">
        <v>4945</v>
      </c>
      <c r="M671" s="8">
        <v>5166</v>
      </c>
      <c r="N671" s="8">
        <v>5088</v>
      </c>
      <c r="O671" s="8">
        <v>5276</v>
      </c>
      <c r="P671" s="8">
        <v>4825</v>
      </c>
      <c r="Q671" s="8">
        <v>4696</v>
      </c>
      <c r="R671" s="8">
        <v>4598</v>
      </c>
      <c r="S671" s="8">
        <v>4718</v>
      </c>
      <c r="T671" s="8">
        <v>4698</v>
      </c>
      <c r="U671" s="8">
        <v>4448</v>
      </c>
      <c r="V671" s="8">
        <v>4355</v>
      </c>
      <c r="W671" s="8">
        <v>4386</v>
      </c>
      <c r="X671" s="8">
        <v>4324</v>
      </c>
      <c r="Y671" s="8">
        <v>4303</v>
      </c>
      <c r="Z671" s="8">
        <v>4348</v>
      </c>
      <c r="AA671" s="8">
        <v>4320</v>
      </c>
      <c r="AB671" s="8">
        <v>4395</v>
      </c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</row>
    <row r="672" spans="1:47" ht="14.4">
      <c r="A672" s="3">
        <f>LOOKUP(D672,'AMFI DATA_2023H2'!F:L,'AMFI DATA_2023H2'!L:L)</f>
        <v>688</v>
      </c>
      <c r="B672" s="4" t="s">
        <v>2016</v>
      </c>
      <c r="C672" s="4" t="s">
        <v>2017</v>
      </c>
      <c r="D672" s="5" t="s">
        <v>2018</v>
      </c>
      <c r="E672" s="5">
        <v>3029.8</v>
      </c>
      <c r="F672" s="6">
        <f>LOOKUP(D672,'AMFI DATA_2023H2'!F:J,'AMFI DATA_2023H2'!J:J)</f>
        <v>3992.94065</v>
      </c>
      <c r="G672" s="7">
        <f t="shared" si="2"/>
        <v>-1</v>
      </c>
      <c r="H672" s="8"/>
      <c r="I672" s="8">
        <v>5403</v>
      </c>
      <c r="J672" s="8">
        <v>5344</v>
      </c>
      <c r="K672" s="8">
        <v>5334</v>
      </c>
      <c r="L672" s="8">
        <v>5381</v>
      </c>
      <c r="M672" s="8">
        <v>5487</v>
      </c>
      <c r="N672" s="8">
        <v>5333</v>
      </c>
      <c r="O672" s="8">
        <v>5208</v>
      </c>
      <c r="P672" s="8">
        <v>5152</v>
      </c>
      <c r="Q672" s="8">
        <v>5010</v>
      </c>
      <c r="R672" s="8">
        <v>4855</v>
      </c>
      <c r="S672" s="8">
        <v>4782</v>
      </c>
      <c r="T672" s="8">
        <v>4753</v>
      </c>
      <c r="U672" s="8">
        <v>4694</v>
      </c>
      <c r="V672" s="8">
        <v>4584</v>
      </c>
      <c r="W672" s="8">
        <v>4661</v>
      </c>
      <c r="X672" s="8">
        <v>4580</v>
      </c>
      <c r="Y672" s="8">
        <v>4543</v>
      </c>
      <c r="Z672" s="8">
        <v>4430</v>
      </c>
      <c r="AA672" s="8">
        <v>4385</v>
      </c>
      <c r="AB672" s="8">
        <v>4343</v>
      </c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</row>
    <row r="673" spans="1:47" ht="14.4">
      <c r="A673" s="3">
        <f>LOOKUP(D673,'AMFI DATA_2023H2'!F:L,'AMFI DATA_2023H2'!L:L)</f>
        <v>689</v>
      </c>
      <c r="B673" s="4" t="s">
        <v>2019</v>
      </c>
      <c r="C673" s="4" t="s">
        <v>2020</v>
      </c>
      <c r="D673" s="5" t="s">
        <v>2021</v>
      </c>
      <c r="E673" s="5">
        <v>2564.0700000000002</v>
      </c>
      <c r="F673" s="6">
        <f>LOOKUP(D673,'AMFI DATA_2023H2'!F:J,'AMFI DATA_2023H2'!J:J)</f>
        <v>3987.2705500000002</v>
      </c>
      <c r="G673" s="7">
        <f t="shared" si="2"/>
        <v>-1</v>
      </c>
      <c r="H673" s="8"/>
      <c r="I673" s="8">
        <v>3533</v>
      </c>
      <c r="J673" s="8">
        <v>3569</v>
      </c>
      <c r="K673" s="8">
        <v>3576</v>
      </c>
      <c r="L673" s="8">
        <v>3511</v>
      </c>
      <c r="M673" s="8">
        <v>3554</v>
      </c>
      <c r="N673" s="8">
        <v>3585</v>
      </c>
      <c r="O673" s="8">
        <v>3515</v>
      </c>
      <c r="P673" s="8">
        <v>3554</v>
      </c>
      <c r="Q673" s="8">
        <v>3628</v>
      </c>
      <c r="R673" s="8">
        <v>3672</v>
      </c>
      <c r="S673" s="8">
        <v>3721</v>
      </c>
      <c r="T673" s="8">
        <v>3737</v>
      </c>
      <c r="U673" s="8">
        <v>3781</v>
      </c>
      <c r="V673" s="8">
        <v>3809</v>
      </c>
      <c r="W673" s="8">
        <v>3382</v>
      </c>
      <c r="X673" s="8">
        <v>3439</v>
      </c>
      <c r="Y673" s="8">
        <v>3549</v>
      </c>
      <c r="Z673" s="8">
        <v>3575</v>
      </c>
      <c r="AA673" s="8">
        <v>3579</v>
      </c>
      <c r="AB673" s="8">
        <v>3596</v>
      </c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</row>
    <row r="674" spans="1:47" ht="14.4">
      <c r="A674" s="3">
        <f>LOOKUP(D674,'AMFI DATA_2023H2'!F:L,'AMFI DATA_2023H2'!L:L)</f>
        <v>690</v>
      </c>
      <c r="B674" s="4" t="s">
        <v>2022</v>
      </c>
      <c r="C674" s="4" t="s">
        <v>2023</v>
      </c>
      <c r="D674" s="5" t="s">
        <v>2024</v>
      </c>
      <c r="E674" s="5">
        <v>4613.6099999999997</v>
      </c>
      <c r="F674" s="6">
        <f>LOOKUP(D674,'AMFI DATA_2023H2'!F:J,'AMFI DATA_2023H2'!J:J)</f>
        <v>3986.4477999999999</v>
      </c>
      <c r="G674" s="7">
        <f t="shared" si="2"/>
        <v>-1</v>
      </c>
      <c r="H674" s="8"/>
      <c r="I674" s="8">
        <v>4083</v>
      </c>
      <c r="J674" s="8">
        <v>4128</v>
      </c>
      <c r="K674" s="8">
        <v>4170</v>
      </c>
      <c r="L674" s="8">
        <v>4107</v>
      </c>
      <c r="M674" s="8">
        <v>4094</v>
      </c>
      <c r="N674" s="8">
        <v>4134</v>
      </c>
      <c r="O674" s="8">
        <v>4175</v>
      </c>
      <c r="P674" s="8">
        <v>4202</v>
      </c>
      <c r="Q674" s="8">
        <v>4305</v>
      </c>
      <c r="R674" s="8">
        <v>4267</v>
      </c>
      <c r="S674" s="8">
        <v>4352</v>
      </c>
      <c r="T674" s="8">
        <v>4203</v>
      </c>
      <c r="U674" s="8">
        <v>4154</v>
      </c>
      <c r="V674" s="8">
        <v>4058</v>
      </c>
      <c r="W674" s="8">
        <v>3990</v>
      </c>
      <c r="X674" s="8">
        <v>4009</v>
      </c>
      <c r="Y674" s="8">
        <v>4003</v>
      </c>
      <c r="Z674" s="8">
        <v>4033</v>
      </c>
      <c r="AA674" s="8">
        <v>4011</v>
      </c>
      <c r="AB674" s="8">
        <v>4162</v>
      </c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</row>
    <row r="675" spans="1:47" ht="14.4">
      <c r="A675" s="3">
        <f>LOOKUP(D675,'AMFI DATA_2023H2'!F:L,'AMFI DATA_2023H2'!L:L)</f>
        <v>691</v>
      </c>
      <c r="B675" s="4" t="s">
        <v>2025</v>
      </c>
      <c r="C675" s="4" t="s">
        <v>2026</v>
      </c>
      <c r="D675" s="5" t="s">
        <v>2027</v>
      </c>
      <c r="E675" s="5">
        <v>16476.38</v>
      </c>
      <c r="F675" s="6">
        <f>LOOKUP(D675,'AMFI DATA_2023H2'!F:J,'AMFI DATA_2023H2'!J:J)</f>
        <v>3966.4115999999999</v>
      </c>
      <c r="G675" s="7">
        <f t="shared" si="2"/>
        <v>-1</v>
      </c>
      <c r="H675" s="8"/>
      <c r="I675" s="8">
        <v>3490</v>
      </c>
      <c r="J675" s="8">
        <v>3535</v>
      </c>
      <c r="K675" s="8">
        <v>3601</v>
      </c>
      <c r="L675" s="8">
        <v>3648</v>
      </c>
      <c r="M675" s="8">
        <v>3665</v>
      </c>
      <c r="N675" s="8">
        <v>3706</v>
      </c>
      <c r="O675" s="8">
        <v>3713</v>
      </c>
      <c r="P675" s="8">
        <v>3681</v>
      </c>
      <c r="Q675" s="8">
        <v>3734</v>
      </c>
      <c r="R675" s="8">
        <v>3845</v>
      </c>
      <c r="S675" s="8">
        <v>3808</v>
      </c>
      <c r="T675" s="8">
        <v>3716</v>
      </c>
      <c r="U675" s="8">
        <v>3707</v>
      </c>
      <c r="V675" s="8">
        <v>3618</v>
      </c>
      <c r="W675" s="8">
        <v>3658</v>
      </c>
      <c r="X675" s="8">
        <v>3675</v>
      </c>
      <c r="Y675" s="8">
        <v>3751</v>
      </c>
      <c r="Z675" s="8">
        <v>3812</v>
      </c>
      <c r="AA675" s="8">
        <v>3767</v>
      </c>
      <c r="AB675" s="8">
        <v>3803</v>
      </c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</row>
    <row r="676" spans="1:47" ht="14.4">
      <c r="A676" s="3">
        <f>LOOKUP(D676,'AMFI DATA_2023H2'!F:L,'AMFI DATA_2023H2'!L:L)</f>
        <v>692</v>
      </c>
      <c r="B676" s="4" t="s">
        <v>2028</v>
      </c>
      <c r="C676" s="4" t="s">
        <v>2029</v>
      </c>
      <c r="D676" s="5" t="s">
        <v>2030</v>
      </c>
      <c r="E676" s="5">
        <v>615.66</v>
      </c>
      <c r="F676" s="6">
        <f>LOOKUP(D676,'AMFI DATA_2023H2'!F:J,'AMFI DATA_2023H2'!J:J)</f>
        <v>3959.2963</v>
      </c>
      <c r="G676" s="7">
        <f t="shared" si="2"/>
        <v>-1</v>
      </c>
      <c r="H676" s="8"/>
      <c r="I676" s="8">
        <v>4180</v>
      </c>
      <c r="J676" s="8">
        <v>4118</v>
      </c>
      <c r="K676" s="8">
        <v>4193</v>
      </c>
      <c r="L676" s="8">
        <v>4233</v>
      </c>
      <c r="M676" s="8">
        <v>4220</v>
      </c>
      <c r="N676" s="8">
        <v>4267</v>
      </c>
      <c r="O676" s="8">
        <v>4259</v>
      </c>
      <c r="P676" s="8">
        <v>4308</v>
      </c>
      <c r="Q676" s="8">
        <v>4342</v>
      </c>
      <c r="R676" s="8">
        <v>4255</v>
      </c>
      <c r="S676" s="8">
        <v>4301</v>
      </c>
      <c r="T676" s="8">
        <v>4442</v>
      </c>
      <c r="U676" s="8">
        <v>4414</v>
      </c>
      <c r="V676" s="8">
        <v>4365</v>
      </c>
      <c r="W676" s="8">
        <v>4078</v>
      </c>
      <c r="X676" s="8">
        <v>4074</v>
      </c>
      <c r="Y676" s="8">
        <v>4004</v>
      </c>
      <c r="Z676" s="8">
        <v>3932</v>
      </c>
      <c r="AA676" s="8">
        <v>3894</v>
      </c>
      <c r="AB676" s="8">
        <v>3741</v>
      </c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</row>
    <row r="677" spans="1:47" ht="14.4">
      <c r="A677" s="3">
        <f>LOOKUP(D677,'AMFI DATA_2023H2'!F:L,'AMFI DATA_2023H2'!L:L)</f>
        <v>693</v>
      </c>
      <c r="B677" s="4" t="s">
        <v>2031</v>
      </c>
      <c r="C677" s="4" t="s">
        <v>2032</v>
      </c>
      <c r="D677" s="5" t="s">
        <v>2033</v>
      </c>
      <c r="E677" s="5">
        <v>2554.08</v>
      </c>
      <c r="F677" s="6">
        <f>LOOKUP(D677,'AMFI DATA_2023H2'!F:J,'AMFI DATA_2023H2'!J:J)</f>
        <v>3952.7352499999997</v>
      </c>
      <c r="G677" s="7">
        <f t="shared" si="2"/>
        <v>-1</v>
      </c>
      <c r="H677" s="8"/>
      <c r="I677" s="8">
        <v>5494</v>
      </c>
      <c r="J677" s="8">
        <v>5510</v>
      </c>
      <c r="K677" s="8">
        <v>5429</v>
      </c>
      <c r="L677" s="8">
        <v>5564</v>
      </c>
      <c r="M677" s="8">
        <v>5667</v>
      </c>
      <c r="N677" s="8">
        <v>5795</v>
      </c>
      <c r="O677" s="8">
        <v>5497</v>
      </c>
      <c r="P677" s="8">
        <v>5499</v>
      </c>
      <c r="Q677" s="8">
        <v>5642</v>
      </c>
      <c r="R677" s="8">
        <v>5710</v>
      </c>
      <c r="S677" s="8">
        <v>5712</v>
      </c>
      <c r="T677" s="8">
        <v>5713</v>
      </c>
      <c r="U677" s="8">
        <v>5634</v>
      </c>
      <c r="V677" s="8">
        <v>5508</v>
      </c>
      <c r="W677" s="8">
        <v>5381</v>
      </c>
      <c r="X677" s="8">
        <v>5145</v>
      </c>
      <c r="Y677" s="8">
        <v>5074</v>
      </c>
      <c r="Z677" s="8">
        <v>5106</v>
      </c>
      <c r="AA677" s="8">
        <v>5138</v>
      </c>
      <c r="AB677" s="8">
        <v>4954</v>
      </c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</row>
    <row r="678" spans="1:47" ht="14.4">
      <c r="A678" s="3">
        <f>LOOKUP(D678,'AMFI DATA_2023H2'!F:L,'AMFI DATA_2023H2'!L:L)</f>
        <v>694</v>
      </c>
      <c r="B678" s="4" t="s">
        <v>2034</v>
      </c>
      <c r="C678" s="4" t="s">
        <v>2035</v>
      </c>
      <c r="D678" s="5" t="s">
        <v>2036</v>
      </c>
      <c r="E678" s="5">
        <v>1463.67</v>
      </c>
      <c r="F678" s="6">
        <f>LOOKUP(D678,'AMFI DATA_2023H2'!F:J,'AMFI DATA_2023H2'!J:J)</f>
        <v>3949.2882500000001</v>
      </c>
      <c r="G678" s="7">
        <f t="shared" si="2"/>
        <v>-1</v>
      </c>
      <c r="H678" s="8"/>
      <c r="I678" s="8">
        <v>4797</v>
      </c>
      <c r="J678" s="8">
        <v>4831</v>
      </c>
      <c r="K678" s="8">
        <v>4796</v>
      </c>
      <c r="L678" s="8">
        <v>4906</v>
      </c>
      <c r="M678" s="8">
        <v>5048</v>
      </c>
      <c r="N678" s="8">
        <v>4951</v>
      </c>
      <c r="O678" s="8">
        <v>4921</v>
      </c>
      <c r="P678" s="8">
        <v>4887</v>
      </c>
      <c r="Q678" s="8">
        <v>4978</v>
      </c>
      <c r="R678" s="8">
        <v>4956</v>
      </c>
      <c r="S678" s="8">
        <v>4958</v>
      </c>
      <c r="T678" s="8">
        <v>4959</v>
      </c>
      <c r="U678" s="8">
        <v>4850</v>
      </c>
      <c r="V678" s="8">
        <v>4901</v>
      </c>
      <c r="W678" s="8">
        <v>5022</v>
      </c>
      <c r="X678" s="8">
        <v>4653</v>
      </c>
      <c r="Y678" s="8">
        <v>4615</v>
      </c>
      <c r="Z678" s="8">
        <v>4702</v>
      </c>
      <c r="AA678" s="8">
        <v>4742</v>
      </c>
      <c r="AB678" s="8">
        <v>4793</v>
      </c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</row>
    <row r="679" spans="1:47" ht="14.4">
      <c r="A679" s="3">
        <f>LOOKUP(D679,'AMFI DATA_2023H2'!F:L,'AMFI DATA_2023H2'!L:L)</f>
        <v>695</v>
      </c>
      <c r="B679" s="4" t="s">
        <v>2037</v>
      </c>
      <c r="C679" s="4" t="s">
        <v>2038</v>
      </c>
      <c r="D679" s="5" t="s">
        <v>2039</v>
      </c>
      <c r="E679" s="5">
        <v>2166.67</v>
      </c>
      <c r="F679" s="6">
        <f>LOOKUP(D679,'AMFI DATA_2023H2'!F:J,'AMFI DATA_2023H2'!J:J)</f>
        <v>3938.00315</v>
      </c>
      <c r="G679" s="7">
        <f t="shared" si="2"/>
        <v>-1</v>
      </c>
      <c r="H679" s="8"/>
      <c r="I679" s="8">
        <v>4569</v>
      </c>
      <c r="J679" s="8">
        <v>4579</v>
      </c>
      <c r="K679" s="8">
        <v>4540</v>
      </c>
      <c r="L679" s="8">
        <v>4561</v>
      </c>
      <c r="M679" s="8">
        <v>4523</v>
      </c>
      <c r="N679" s="8">
        <v>4595</v>
      </c>
      <c r="O679" s="8">
        <v>4646</v>
      </c>
      <c r="P679" s="8">
        <v>4539</v>
      </c>
      <c r="Q679" s="8">
        <v>4512</v>
      </c>
      <c r="R679" s="8">
        <v>4584</v>
      </c>
      <c r="S679" s="8">
        <v>4615</v>
      </c>
      <c r="T679" s="8">
        <v>4629</v>
      </c>
      <c r="U679" s="8">
        <v>4579</v>
      </c>
      <c r="V679" s="8">
        <v>4554</v>
      </c>
      <c r="W679" s="8">
        <v>4496</v>
      </c>
      <c r="X679" s="8">
        <v>4514</v>
      </c>
      <c r="Y679" s="8">
        <v>4496</v>
      </c>
      <c r="Z679" s="8">
        <v>4496</v>
      </c>
      <c r="AA679" s="8">
        <v>4505</v>
      </c>
      <c r="AB679" s="8">
        <v>4566</v>
      </c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</row>
    <row r="680" spans="1:47" ht="14.4">
      <c r="A680" s="3">
        <f>LOOKUP(D680,'AMFI DATA_2023H2'!F:L,'AMFI DATA_2023H2'!L:L)</f>
        <v>696</v>
      </c>
      <c r="B680" s="4" t="s">
        <v>2040</v>
      </c>
      <c r="C680" s="4" t="s">
        <v>2041</v>
      </c>
      <c r="D680" s="5" t="s">
        <v>2042</v>
      </c>
      <c r="E680" s="5">
        <v>2714.14</v>
      </c>
      <c r="F680" s="6">
        <f>LOOKUP(D680,'AMFI DATA_2023H2'!F:J,'AMFI DATA_2023H2'!J:J)</f>
        <v>3923.6253500000003</v>
      </c>
      <c r="G680" s="7">
        <f t="shared" si="2"/>
        <v>-1</v>
      </c>
      <c r="H680" s="8"/>
      <c r="I680" s="8">
        <v>6529</v>
      </c>
      <c r="J680" s="8">
        <v>6580</v>
      </c>
      <c r="K680" s="8">
        <v>6168</v>
      </c>
      <c r="L680" s="8">
        <v>6371</v>
      </c>
      <c r="M680" s="8">
        <v>6604</v>
      </c>
      <c r="N680" s="8">
        <v>6721</v>
      </c>
      <c r="O680" s="8">
        <v>6675</v>
      </c>
      <c r="P680" s="8">
        <v>6650</v>
      </c>
      <c r="Q680" s="8">
        <v>6763</v>
      </c>
      <c r="R680" s="8">
        <v>6641</v>
      </c>
      <c r="S680" s="8">
        <v>7015</v>
      </c>
      <c r="T680" s="8">
        <v>7111</v>
      </c>
      <c r="U680" s="8">
        <v>7116</v>
      </c>
      <c r="V680" s="8">
        <v>6978</v>
      </c>
      <c r="W680" s="8">
        <v>6772</v>
      </c>
      <c r="X680" s="8">
        <v>6108</v>
      </c>
      <c r="Y680" s="8">
        <v>5926</v>
      </c>
      <c r="Z680" s="8">
        <v>6017</v>
      </c>
      <c r="AA680" s="8">
        <v>6039</v>
      </c>
      <c r="AB680" s="8">
        <v>5918</v>
      </c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</row>
    <row r="681" spans="1:47" ht="14.4">
      <c r="A681" s="3">
        <f>LOOKUP(D681,'AMFI DATA_2023H2'!F:L,'AMFI DATA_2023H2'!L:L)</f>
        <v>697</v>
      </c>
      <c r="B681" s="4" t="s">
        <v>2043</v>
      </c>
      <c r="C681" s="4" t="s">
        <v>2044</v>
      </c>
      <c r="D681" s="5" t="s">
        <v>2045</v>
      </c>
      <c r="E681" s="5">
        <v>3035.57</v>
      </c>
      <c r="F681" s="6">
        <f>LOOKUP(D681,'AMFI DATA_2023H2'!F:J,'AMFI DATA_2023H2'!J:J)</f>
        <v>3916.3403500000004</v>
      </c>
      <c r="G681" s="7">
        <f t="shared" si="2"/>
        <v>-1</v>
      </c>
      <c r="H681" s="8"/>
      <c r="I681" s="8">
        <v>3493</v>
      </c>
      <c r="J681" s="8">
        <v>3410</v>
      </c>
      <c r="K681" s="8">
        <v>3500</v>
      </c>
      <c r="L681" s="8">
        <v>3601</v>
      </c>
      <c r="M681" s="8">
        <v>3650</v>
      </c>
      <c r="N681" s="8">
        <v>3717</v>
      </c>
      <c r="O681" s="8">
        <v>3673</v>
      </c>
      <c r="P681" s="8">
        <v>3640</v>
      </c>
      <c r="Q681" s="8">
        <v>3537</v>
      </c>
      <c r="R681" s="8">
        <v>3514</v>
      </c>
      <c r="S681" s="8">
        <v>3600</v>
      </c>
      <c r="T681" s="8">
        <v>3641</v>
      </c>
      <c r="U681" s="8">
        <v>3655</v>
      </c>
      <c r="V681" s="8">
        <v>3633</v>
      </c>
      <c r="W681" s="8">
        <v>3654</v>
      </c>
      <c r="X681" s="8">
        <v>3677</v>
      </c>
      <c r="Y681" s="8">
        <v>3590</v>
      </c>
      <c r="Z681" s="8">
        <v>3625</v>
      </c>
      <c r="AA681" s="8">
        <v>3623</v>
      </c>
      <c r="AB681" s="8">
        <v>3698</v>
      </c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</row>
    <row r="682" spans="1:47" ht="14.4">
      <c r="A682" s="3">
        <f>LOOKUP(D682,'AMFI DATA_2023H2'!F:L,'AMFI DATA_2023H2'!L:L)</f>
        <v>698</v>
      </c>
      <c r="B682" s="4" t="s">
        <v>2046</v>
      </c>
      <c r="C682" s="4" t="s">
        <v>2047</v>
      </c>
      <c r="D682" s="5" t="s">
        <v>2048</v>
      </c>
      <c r="E682" s="5">
        <v>3194.5</v>
      </c>
      <c r="F682" s="6">
        <f>LOOKUP(D682,'AMFI DATA_2023H2'!F:J,'AMFI DATA_2023H2'!J:J)</f>
        <v>3900.60925</v>
      </c>
      <c r="G682" s="7">
        <f t="shared" si="2"/>
        <v>-1</v>
      </c>
      <c r="H682" s="8"/>
      <c r="I682" s="8">
        <v>5380</v>
      </c>
      <c r="J682" s="8">
        <v>5484</v>
      </c>
      <c r="K682" s="8">
        <v>5756</v>
      </c>
      <c r="L682" s="8">
        <v>5698</v>
      </c>
      <c r="M682" s="8">
        <v>5663</v>
      </c>
      <c r="N682" s="8">
        <v>5689</v>
      </c>
      <c r="O682" s="8">
        <v>5884</v>
      </c>
      <c r="P682" s="8">
        <v>5565</v>
      </c>
      <c r="Q682" s="8">
        <v>5409</v>
      </c>
      <c r="R682" s="8">
        <v>5376</v>
      </c>
      <c r="S682" s="8">
        <v>5329</v>
      </c>
      <c r="T682" s="8">
        <v>5234</v>
      </c>
      <c r="U682" s="8">
        <v>5221</v>
      </c>
      <c r="V682" s="8">
        <v>5020</v>
      </c>
      <c r="W682" s="8">
        <v>4935</v>
      </c>
      <c r="X682" s="8">
        <v>4846</v>
      </c>
      <c r="Y682" s="8">
        <v>4920</v>
      </c>
      <c r="Z682" s="8">
        <v>4902</v>
      </c>
      <c r="AA682" s="8">
        <v>4890</v>
      </c>
      <c r="AB682" s="8">
        <v>4772</v>
      </c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</row>
    <row r="683" spans="1:47" ht="14.4">
      <c r="A683" s="3">
        <f>LOOKUP(D683,'AMFI DATA_2023H2'!F:L,'AMFI DATA_2023H2'!L:L)</f>
        <v>699</v>
      </c>
      <c r="B683" s="4" t="s">
        <v>2049</v>
      </c>
      <c r="C683" s="4" t="s">
        <v>2050</v>
      </c>
      <c r="D683" s="5" t="s">
        <v>2051</v>
      </c>
      <c r="E683" s="5">
        <v>4034.31</v>
      </c>
      <c r="F683" s="6">
        <f>LOOKUP(D683,'AMFI DATA_2023H2'!F:J,'AMFI DATA_2023H2'!J:J)</f>
        <v>3892.9881500000001</v>
      </c>
      <c r="G683" s="7">
        <f t="shared" si="2"/>
        <v>-1</v>
      </c>
      <c r="H683" s="8"/>
      <c r="I683" s="8">
        <v>3789</v>
      </c>
      <c r="J683" s="8">
        <v>3726</v>
      </c>
      <c r="K683" s="8">
        <v>3762</v>
      </c>
      <c r="L683" s="8">
        <v>3822</v>
      </c>
      <c r="M683" s="8">
        <v>3914</v>
      </c>
      <c r="N683" s="8">
        <v>3809</v>
      </c>
      <c r="O683" s="8">
        <v>3817</v>
      </c>
      <c r="P683" s="8">
        <v>3742</v>
      </c>
      <c r="Q683" s="8">
        <v>3781</v>
      </c>
      <c r="R683" s="8">
        <v>3819</v>
      </c>
      <c r="S683" s="8">
        <v>3865</v>
      </c>
      <c r="T683" s="8">
        <v>3855</v>
      </c>
      <c r="U683" s="8">
        <v>3773</v>
      </c>
      <c r="V683" s="8">
        <v>3662</v>
      </c>
      <c r="W683" s="8">
        <v>3664</v>
      </c>
      <c r="X683" s="8">
        <v>3693</v>
      </c>
      <c r="Y683" s="8">
        <v>3692</v>
      </c>
      <c r="Z683" s="8">
        <v>3685</v>
      </c>
      <c r="AA683" s="8">
        <v>3700</v>
      </c>
      <c r="AB683" s="8">
        <v>3632</v>
      </c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</row>
    <row r="684" spans="1:47" ht="14.4">
      <c r="A684" s="3">
        <f>LOOKUP(D684,'AMFI DATA_2023H2'!F:L,'AMFI DATA_2023H2'!L:L)</f>
        <v>700</v>
      </c>
      <c r="B684" s="4" t="s">
        <v>2052</v>
      </c>
      <c r="C684" s="4" t="s">
        <v>2053</v>
      </c>
      <c r="D684" s="5" t="s">
        <v>2054</v>
      </c>
      <c r="E684" s="5">
        <v>30988.15</v>
      </c>
      <c r="F684" s="6">
        <f>LOOKUP(D684,'AMFI DATA_2023H2'!F:J,'AMFI DATA_2023H2'!J:J)</f>
        <v>3880.8414499999999</v>
      </c>
      <c r="G684" s="7">
        <f t="shared" si="2"/>
        <v>-1</v>
      </c>
      <c r="H684" s="8"/>
      <c r="I684" s="8">
        <v>3295</v>
      </c>
      <c r="J684" s="8">
        <v>3300</v>
      </c>
      <c r="K684" s="8">
        <v>3338</v>
      </c>
      <c r="L684" s="8">
        <v>3316</v>
      </c>
      <c r="M684" s="8">
        <v>3346</v>
      </c>
      <c r="N684" s="8">
        <v>3365</v>
      </c>
      <c r="O684" s="8">
        <v>3355</v>
      </c>
      <c r="P684" s="8">
        <v>3366</v>
      </c>
      <c r="Q684" s="8">
        <v>3390</v>
      </c>
      <c r="R684" s="8">
        <v>3416</v>
      </c>
      <c r="S684" s="8">
        <v>3561</v>
      </c>
      <c r="T684" s="8">
        <v>3579</v>
      </c>
      <c r="U684" s="8">
        <v>3606</v>
      </c>
      <c r="V684" s="8">
        <v>3594</v>
      </c>
      <c r="W684" s="8">
        <v>3575</v>
      </c>
      <c r="X684" s="8">
        <v>3582</v>
      </c>
      <c r="Y684" s="8">
        <v>3543</v>
      </c>
      <c r="Z684" s="8">
        <v>3566</v>
      </c>
      <c r="AA684" s="8">
        <v>3512</v>
      </c>
      <c r="AB684" s="8">
        <v>3555</v>
      </c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</row>
    <row r="685" spans="1:47" ht="14.4">
      <c r="A685" s="3">
        <f>LOOKUP(D685,'AMFI DATA_2023H2'!F:L,'AMFI DATA_2023H2'!L:L)</f>
        <v>701</v>
      </c>
      <c r="B685" s="4" t="s">
        <v>2055</v>
      </c>
      <c r="C685" s="4" t="s">
        <v>2056</v>
      </c>
      <c r="D685" s="5" t="s">
        <v>2057</v>
      </c>
      <c r="E685" s="5">
        <v>2602.58</v>
      </c>
      <c r="F685" s="6">
        <f>LOOKUP(D685,'AMFI DATA_2023H2'!F:J,'AMFI DATA_2023H2'!J:J)</f>
        <v>3871.4528500000001</v>
      </c>
      <c r="G685" s="7">
        <f t="shared" si="2"/>
        <v>-1</v>
      </c>
      <c r="H685" s="8"/>
      <c r="I685" s="8">
        <v>4574</v>
      </c>
      <c r="J685" s="8">
        <v>4612</v>
      </c>
      <c r="K685" s="8">
        <v>4527</v>
      </c>
      <c r="L685" s="8">
        <v>4494</v>
      </c>
      <c r="M685" s="8">
        <v>4609</v>
      </c>
      <c r="N685" s="8">
        <v>4671</v>
      </c>
      <c r="O685" s="8">
        <v>4662</v>
      </c>
      <c r="P685" s="8">
        <v>4654</v>
      </c>
      <c r="Q685" s="8">
        <v>4667</v>
      </c>
      <c r="R685" s="8">
        <v>4505</v>
      </c>
      <c r="S685" s="8">
        <v>4546</v>
      </c>
      <c r="T685" s="8">
        <v>4508</v>
      </c>
      <c r="U685" s="8">
        <v>4558</v>
      </c>
      <c r="V685" s="8">
        <v>4611</v>
      </c>
      <c r="W685" s="8">
        <v>4636</v>
      </c>
      <c r="X685" s="8">
        <v>4622</v>
      </c>
      <c r="Y685" s="8">
        <v>4664</v>
      </c>
      <c r="Z685" s="8">
        <v>4737</v>
      </c>
      <c r="AA685" s="8">
        <v>4715</v>
      </c>
      <c r="AB685" s="8">
        <v>4612</v>
      </c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</row>
    <row r="686" spans="1:47" ht="14.4">
      <c r="A686" s="3">
        <f>LOOKUP(D686,'AMFI DATA_2023H2'!F:L,'AMFI DATA_2023H2'!L:L)</f>
        <v>702</v>
      </c>
      <c r="B686" s="4" t="s">
        <v>2058</v>
      </c>
      <c r="C686" s="4" t="s">
        <v>2059</v>
      </c>
      <c r="D686" s="5" t="s">
        <v>2060</v>
      </c>
      <c r="E686" s="5">
        <v>3998.73</v>
      </c>
      <c r="F686" s="6">
        <f>LOOKUP(D686,'AMFI DATA_2023H2'!F:J,'AMFI DATA_2023H2'!J:J)</f>
        <v>3863.6392999999998</v>
      </c>
      <c r="G686" s="7">
        <f t="shared" si="2"/>
        <v>-1</v>
      </c>
      <c r="H686" s="8"/>
      <c r="I686" s="8">
        <v>3815</v>
      </c>
      <c r="J686" s="8">
        <v>3839</v>
      </c>
      <c r="K686" s="8">
        <v>3872</v>
      </c>
      <c r="L686" s="8">
        <v>3923</v>
      </c>
      <c r="M686" s="8">
        <v>3982</v>
      </c>
      <c r="N686" s="8">
        <v>3931</v>
      </c>
      <c r="O686" s="8">
        <v>3917</v>
      </c>
      <c r="P686" s="8">
        <v>3920</v>
      </c>
      <c r="Q686" s="8">
        <v>3994</v>
      </c>
      <c r="R686" s="8">
        <v>3901</v>
      </c>
      <c r="S686" s="8">
        <v>3901</v>
      </c>
      <c r="T686" s="8">
        <v>3942</v>
      </c>
      <c r="U686" s="8">
        <v>3909</v>
      </c>
      <c r="V686" s="8">
        <v>3976</v>
      </c>
      <c r="W686" s="8">
        <v>3898</v>
      </c>
      <c r="X686" s="8">
        <v>3935</v>
      </c>
      <c r="Y686" s="8">
        <v>3922</v>
      </c>
      <c r="Z686" s="8">
        <v>4014</v>
      </c>
      <c r="AA686" s="8">
        <v>4028</v>
      </c>
      <c r="AB686" s="8">
        <v>3972</v>
      </c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</row>
    <row r="687" spans="1:47" ht="14.4">
      <c r="A687" s="3">
        <f>LOOKUP(D687,'AMFI DATA_2023H2'!F:L,'AMFI DATA_2023H2'!L:L)</f>
        <v>703</v>
      </c>
      <c r="B687" s="4" t="s">
        <v>2061</v>
      </c>
      <c r="C687" s="4" t="s">
        <v>2062</v>
      </c>
      <c r="D687" s="5" t="s">
        <v>2063</v>
      </c>
      <c r="E687" s="5">
        <v>3660.94</v>
      </c>
      <c r="F687" s="6">
        <f>LOOKUP(D687,'AMFI DATA_2023H2'!F:J,'AMFI DATA_2023H2'!J:J)</f>
        <v>3854.2642999999998</v>
      </c>
      <c r="G687" s="7">
        <f t="shared" si="2"/>
        <v>-1</v>
      </c>
      <c r="H687" s="8"/>
      <c r="I687" s="8">
        <v>4544</v>
      </c>
      <c r="J687" s="8">
        <v>4459</v>
      </c>
      <c r="K687" s="8">
        <v>4495</v>
      </c>
      <c r="L687" s="8">
        <v>4504</v>
      </c>
      <c r="M687" s="8">
        <v>4664</v>
      </c>
      <c r="N687" s="8">
        <v>4425</v>
      </c>
      <c r="O687" s="8">
        <v>4431</v>
      </c>
      <c r="P687" s="8">
        <v>4454</v>
      </c>
      <c r="Q687" s="8">
        <v>4457</v>
      </c>
      <c r="R687" s="8">
        <v>4466</v>
      </c>
      <c r="S687" s="8">
        <v>4569</v>
      </c>
      <c r="T687" s="8">
        <v>4635</v>
      </c>
      <c r="U687" s="8">
        <v>4655</v>
      </c>
      <c r="V687" s="8">
        <v>4718</v>
      </c>
      <c r="W687" s="8">
        <v>4564</v>
      </c>
      <c r="X687" s="8">
        <v>4558</v>
      </c>
      <c r="Y687" s="8">
        <v>4527</v>
      </c>
      <c r="Z687" s="8">
        <v>4604</v>
      </c>
      <c r="AA687" s="8">
        <v>4638</v>
      </c>
      <c r="AB687" s="8">
        <v>4392</v>
      </c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</row>
    <row r="688" spans="1:47" ht="14.4">
      <c r="A688" s="3">
        <f>LOOKUP(D688,'AMFI DATA_2023H2'!F:L,'AMFI DATA_2023H2'!L:L)</f>
        <v>704</v>
      </c>
      <c r="B688" s="4" t="s">
        <v>2064</v>
      </c>
      <c r="C688" s="4" t="s">
        <v>2065</v>
      </c>
      <c r="D688" s="5" t="s">
        <v>2066</v>
      </c>
      <c r="E688" s="5">
        <v>3970.55</v>
      </c>
      <c r="F688" s="6">
        <f>LOOKUP(D688,'AMFI DATA_2023H2'!F:J,'AMFI DATA_2023H2'!J:J)</f>
        <v>3834.5274499999996</v>
      </c>
      <c r="G688" s="7">
        <f t="shared" si="2"/>
        <v>-1</v>
      </c>
      <c r="H688" s="8"/>
      <c r="I688" s="8">
        <v>3870</v>
      </c>
      <c r="J688" s="8">
        <v>3892</v>
      </c>
      <c r="K688" s="8">
        <v>3907</v>
      </c>
      <c r="L688" s="8">
        <v>4056</v>
      </c>
      <c r="M688" s="8">
        <v>4086</v>
      </c>
      <c r="N688" s="8">
        <v>3881</v>
      </c>
      <c r="O688" s="8">
        <v>3782</v>
      </c>
      <c r="P688" s="8">
        <v>3798</v>
      </c>
      <c r="Q688" s="8">
        <v>3784</v>
      </c>
      <c r="R688" s="8">
        <v>3819</v>
      </c>
      <c r="S688" s="8">
        <v>3850</v>
      </c>
      <c r="T688" s="8">
        <v>3749</v>
      </c>
      <c r="U688" s="8">
        <v>3740</v>
      </c>
      <c r="V688" s="8">
        <v>3744</v>
      </c>
      <c r="W688" s="8">
        <v>3755</v>
      </c>
      <c r="X688" s="8">
        <v>3741</v>
      </c>
      <c r="Y688" s="8">
        <v>3745</v>
      </c>
      <c r="Z688" s="8">
        <v>3736</v>
      </c>
      <c r="AA688" s="8">
        <v>3737</v>
      </c>
      <c r="AB688" s="8">
        <v>3734</v>
      </c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</row>
    <row r="689" spans="1:47" ht="14.4">
      <c r="A689" s="3">
        <f>LOOKUP(D689,'AMFI DATA_2023H2'!F:L,'AMFI DATA_2023H2'!L:L)</f>
        <v>705</v>
      </c>
      <c r="B689" s="4" t="s">
        <v>2067</v>
      </c>
      <c r="C689" s="4" t="s">
        <v>2068</v>
      </c>
      <c r="D689" s="5" t="s">
        <v>2069</v>
      </c>
      <c r="E689" s="5">
        <v>2155.36</v>
      </c>
      <c r="F689" s="6">
        <f>LOOKUP(D689,'AMFI DATA_2023H2'!F:J,'AMFI DATA_2023H2'!J:J)</f>
        <v>3834.4483</v>
      </c>
      <c r="G689" s="7">
        <f t="shared" si="2"/>
        <v>-1</v>
      </c>
      <c r="H689" s="8"/>
      <c r="I689" s="8">
        <v>5416</v>
      </c>
      <c r="J689" s="8">
        <v>5415</v>
      </c>
      <c r="K689" s="8">
        <v>5057</v>
      </c>
      <c r="L689" s="8">
        <v>5105</v>
      </c>
      <c r="M689" s="8">
        <v>5142</v>
      </c>
      <c r="N689" s="8">
        <v>5206</v>
      </c>
      <c r="O689" s="8">
        <v>5278</v>
      </c>
      <c r="P689" s="8">
        <v>5370</v>
      </c>
      <c r="Q689" s="8">
        <v>5065</v>
      </c>
      <c r="R689" s="8">
        <v>5051</v>
      </c>
      <c r="S689" s="8">
        <v>4919</v>
      </c>
      <c r="T689" s="8">
        <v>4947</v>
      </c>
      <c r="U689" s="8">
        <v>4964</v>
      </c>
      <c r="V689" s="8">
        <v>4860</v>
      </c>
      <c r="W689" s="8">
        <v>4965</v>
      </c>
      <c r="X689" s="8">
        <v>4880</v>
      </c>
      <c r="Y689" s="8">
        <v>5039</v>
      </c>
      <c r="Z689" s="8">
        <v>4899</v>
      </c>
      <c r="AA689" s="8">
        <v>4826</v>
      </c>
      <c r="AB689" s="8">
        <v>4833</v>
      </c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</row>
    <row r="690" spans="1:47" ht="14.4">
      <c r="A690" s="3">
        <f>LOOKUP(D690,'AMFI DATA_2023H2'!F:L,'AMFI DATA_2023H2'!L:L)</f>
        <v>706</v>
      </c>
      <c r="B690" s="4" t="s">
        <v>2070</v>
      </c>
      <c r="C690" s="4" t="s">
        <v>2071</v>
      </c>
      <c r="D690" s="5" t="s">
        <v>2072</v>
      </c>
      <c r="E690" s="5">
        <v>3625.6</v>
      </c>
      <c r="F690" s="6">
        <f>LOOKUP(D690,'AMFI DATA_2023H2'!F:J,'AMFI DATA_2023H2'!J:J)</f>
        <v>3808.2193499999998</v>
      </c>
      <c r="G690" s="7">
        <f t="shared" si="2"/>
        <v>-1</v>
      </c>
      <c r="H690" s="8"/>
      <c r="I690" s="8">
        <v>3634</v>
      </c>
      <c r="J690" s="8">
        <v>3677</v>
      </c>
      <c r="K690" s="8">
        <v>3633</v>
      </c>
      <c r="L690" s="8">
        <v>3646</v>
      </c>
      <c r="M690" s="8">
        <v>3700</v>
      </c>
      <c r="N690" s="8">
        <v>3729</v>
      </c>
      <c r="O690" s="8">
        <v>3703</v>
      </c>
      <c r="P690" s="8">
        <v>3681</v>
      </c>
      <c r="Q690" s="8">
        <v>3614</v>
      </c>
      <c r="R690" s="8">
        <v>3601</v>
      </c>
      <c r="S690" s="8">
        <v>3636</v>
      </c>
      <c r="T690" s="8">
        <v>3679</v>
      </c>
      <c r="U690" s="8">
        <v>3578</v>
      </c>
      <c r="V690" s="8">
        <v>3567</v>
      </c>
      <c r="W690" s="8">
        <v>3571</v>
      </c>
      <c r="X690" s="8">
        <v>3552</v>
      </c>
      <c r="Y690" s="8">
        <v>3585</v>
      </c>
      <c r="Z690" s="8">
        <v>3589</v>
      </c>
      <c r="AA690" s="8">
        <v>3550</v>
      </c>
      <c r="AB690" s="8">
        <v>3566</v>
      </c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</row>
    <row r="691" spans="1:47" ht="14.4">
      <c r="A691" s="3">
        <f>LOOKUP(D691,'AMFI DATA_2023H2'!F:L,'AMFI DATA_2023H2'!L:L)</f>
        <v>707</v>
      </c>
      <c r="B691" s="4" t="s">
        <v>120</v>
      </c>
      <c r="C691" s="4" t="s">
        <v>2073</v>
      </c>
      <c r="D691" s="5" t="s">
        <v>2074</v>
      </c>
      <c r="E691" s="5">
        <v>2124.84</v>
      </c>
      <c r="F691" s="6">
        <f>LOOKUP(D691,'AMFI DATA_2023H2'!F:J,'AMFI DATA_2023H2'!J:J)</f>
        <v>3771.6407499999996</v>
      </c>
      <c r="G691" s="7">
        <f t="shared" si="2"/>
        <v>-1</v>
      </c>
      <c r="H691" s="8"/>
      <c r="I691" s="8">
        <v>4096</v>
      </c>
      <c r="J691" s="8">
        <v>3945</v>
      </c>
      <c r="K691" s="8">
        <v>4052</v>
      </c>
      <c r="L691" s="8">
        <v>4021</v>
      </c>
      <c r="M691" s="8">
        <v>4095</v>
      </c>
      <c r="N691" s="8">
        <v>4133</v>
      </c>
      <c r="O691" s="8">
        <v>4156</v>
      </c>
      <c r="P691" s="8">
        <v>4214</v>
      </c>
      <c r="Q691" s="8">
        <v>4137</v>
      </c>
      <c r="R691" s="8">
        <v>4103</v>
      </c>
      <c r="S691" s="8">
        <v>4278</v>
      </c>
      <c r="T691" s="8">
        <v>4199</v>
      </c>
      <c r="U691" s="8">
        <v>4178</v>
      </c>
      <c r="V691" s="8">
        <v>4225</v>
      </c>
      <c r="W691" s="8">
        <v>4278</v>
      </c>
      <c r="X691" s="8">
        <v>4313</v>
      </c>
      <c r="Y691" s="8">
        <v>4268</v>
      </c>
      <c r="Z691" s="8">
        <v>4369</v>
      </c>
      <c r="AA691" s="8">
        <v>4322</v>
      </c>
      <c r="AB691" s="8">
        <v>4313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</row>
    <row r="692" spans="1:47" ht="14.4">
      <c r="A692" s="3">
        <f>LOOKUP(D692,'AMFI DATA_2023H2'!F:L,'AMFI DATA_2023H2'!L:L)</f>
        <v>708</v>
      </c>
      <c r="B692" s="4" t="s">
        <v>2075</v>
      </c>
      <c r="C692" s="4" t="s">
        <v>2076</v>
      </c>
      <c r="D692" s="5" t="s">
        <v>2077</v>
      </c>
      <c r="E692" s="5">
        <v>3536.31</v>
      </c>
      <c r="F692" s="6">
        <f>LOOKUP(D692,'AMFI DATA_2023H2'!F:J,'AMFI DATA_2023H2'!J:J)</f>
        <v>3750.1127500000002</v>
      </c>
      <c r="G692" s="7">
        <f t="shared" si="2"/>
        <v>-1</v>
      </c>
      <c r="H692" s="8"/>
      <c r="I692" s="8">
        <v>4613</v>
      </c>
      <c r="J692" s="8">
        <v>4657</v>
      </c>
      <c r="K692" s="8">
        <v>4675</v>
      </c>
      <c r="L692" s="8">
        <v>4736</v>
      </c>
      <c r="M692" s="8">
        <v>4793</v>
      </c>
      <c r="N692" s="8">
        <v>4878</v>
      </c>
      <c r="O692" s="8">
        <v>4894</v>
      </c>
      <c r="P692" s="8">
        <v>4816</v>
      </c>
      <c r="Q692" s="8">
        <v>4864</v>
      </c>
      <c r="R692" s="8">
        <v>4995</v>
      </c>
      <c r="S692" s="8">
        <v>4927</v>
      </c>
      <c r="T692" s="8">
        <v>4824</v>
      </c>
      <c r="U692" s="8">
        <v>4630</v>
      </c>
      <c r="V692" s="8">
        <v>4562</v>
      </c>
      <c r="W692" s="8">
        <v>4535</v>
      </c>
      <c r="X692" s="8">
        <v>4148</v>
      </c>
      <c r="Y692" s="8">
        <v>4148</v>
      </c>
      <c r="Z692" s="8">
        <v>3965</v>
      </c>
      <c r="AA692" s="8">
        <v>3928</v>
      </c>
      <c r="AB692" s="8">
        <v>3931</v>
      </c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</row>
    <row r="693" spans="1:47" ht="14.4">
      <c r="A693" s="3">
        <f>LOOKUP(D693,'AMFI DATA_2023H2'!F:L,'AMFI DATA_2023H2'!L:L)</f>
        <v>709</v>
      </c>
      <c r="B693" s="4" t="s">
        <v>2078</v>
      </c>
      <c r="C693" s="4" t="s">
        <v>2079</v>
      </c>
      <c r="D693" s="5" t="s">
        <v>2080</v>
      </c>
      <c r="E693" s="5">
        <v>1908.34</v>
      </c>
      <c r="F693" s="6">
        <f>LOOKUP(D693,'AMFI DATA_2023H2'!F:J,'AMFI DATA_2023H2'!J:J)</f>
        <v>3740.1067499999999</v>
      </c>
      <c r="G693" s="7">
        <f t="shared" si="2"/>
        <v>-1</v>
      </c>
      <c r="H693" s="8"/>
      <c r="I693" s="8">
        <v>5682</v>
      </c>
      <c r="J693" s="8">
        <v>5639</v>
      </c>
      <c r="K693" s="8">
        <v>5574</v>
      </c>
      <c r="L693" s="8">
        <v>5580</v>
      </c>
      <c r="M693" s="8">
        <v>5757</v>
      </c>
      <c r="N693" s="8">
        <v>5827</v>
      </c>
      <c r="O693" s="8">
        <v>5832</v>
      </c>
      <c r="P693" s="8">
        <v>6138</v>
      </c>
      <c r="Q693" s="8">
        <v>5853</v>
      </c>
      <c r="R693" s="8">
        <v>5923</v>
      </c>
      <c r="S693" s="8">
        <v>5644</v>
      </c>
      <c r="T693" s="8">
        <v>5343</v>
      </c>
      <c r="U693" s="8">
        <v>5123</v>
      </c>
      <c r="V693" s="8">
        <v>5000</v>
      </c>
      <c r="W693" s="8">
        <v>4946</v>
      </c>
      <c r="X693" s="8">
        <v>4838</v>
      </c>
      <c r="Y693" s="8">
        <v>4731</v>
      </c>
      <c r="Z693" s="8">
        <v>4887</v>
      </c>
      <c r="AA693" s="8">
        <v>4957</v>
      </c>
      <c r="AB693" s="8">
        <v>4914</v>
      </c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</row>
    <row r="694" spans="1:47" ht="14.4">
      <c r="A694" s="3">
        <f>LOOKUP(D694,'AMFI DATA_2023H2'!F:L,'AMFI DATA_2023H2'!L:L)</f>
        <v>712</v>
      </c>
      <c r="B694" s="4" t="s">
        <v>2081</v>
      </c>
      <c r="C694" s="4" t="s">
        <v>2082</v>
      </c>
      <c r="D694" s="5" t="s">
        <v>2083</v>
      </c>
      <c r="E694" s="5">
        <v>4057.16</v>
      </c>
      <c r="F694" s="6">
        <f>LOOKUP(D694,'AMFI DATA_2023H2'!F:J,'AMFI DATA_2023H2'!J:J)</f>
        <v>3680.3963999999996</v>
      </c>
      <c r="G694" s="7">
        <f t="shared" si="2"/>
        <v>-1</v>
      </c>
      <c r="H694" s="8"/>
      <c r="I694" s="8">
        <v>3436</v>
      </c>
      <c r="J694" s="8">
        <v>3335</v>
      </c>
      <c r="K694" s="8">
        <v>3431</v>
      </c>
      <c r="L694" s="8">
        <v>3465</v>
      </c>
      <c r="M694" s="8">
        <v>3474</v>
      </c>
      <c r="N694" s="8">
        <v>3501</v>
      </c>
      <c r="O694" s="8">
        <v>3532</v>
      </c>
      <c r="P694" s="8">
        <v>3547</v>
      </c>
      <c r="Q694" s="8">
        <v>3609</v>
      </c>
      <c r="R694" s="8">
        <v>3705</v>
      </c>
      <c r="S694" s="8">
        <v>3753</v>
      </c>
      <c r="T694" s="8">
        <v>3742</v>
      </c>
      <c r="U694" s="8">
        <v>3724</v>
      </c>
      <c r="V694" s="8">
        <v>3723</v>
      </c>
      <c r="W694" s="8">
        <v>3746</v>
      </c>
      <c r="X694" s="8">
        <v>3753</v>
      </c>
      <c r="Y694" s="8">
        <v>3695</v>
      </c>
      <c r="Z694" s="8">
        <v>3758</v>
      </c>
      <c r="AA694" s="8">
        <v>3797</v>
      </c>
      <c r="AB694" s="8">
        <v>3667</v>
      </c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</row>
    <row r="695" spans="1:47" ht="14.4">
      <c r="A695" s="3">
        <f>LOOKUP(D695,'AMFI DATA_2023H2'!F:L,'AMFI DATA_2023H2'!L:L)</f>
        <v>713</v>
      </c>
      <c r="B695" s="4" t="s">
        <v>2084</v>
      </c>
      <c r="C695" s="4" t="s">
        <v>2085</v>
      </c>
      <c r="D695" s="5" t="s">
        <v>2086</v>
      </c>
      <c r="E695" s="5">
        <v>2076.4</v>
      </c>
      <c r="F695" s="6">
        <f>LOOKUP(D695,'AMFI DATA_2023H2'!F:J,'AMFI DATA_2023H2'!J:J)</f>
        <v>3680.145</v>
      </c>
      <c r="G695" s="7">
        <f t="shared" si="2"/>
        <v>-1</v>
      </c>
      <c r="H695" s="8"/>
      <c r="I695" s="8">
        <v>4996</v>
      </c>
      <c r="J695" s="8">
        <v>4758</v>
      </c>
      <c r="K695" s="8">
        <v>4825</v>
      </c>
      <c r="L695" s="8">
        <v>4824</v>
      </c>
      <c r="M695" s="8">
        <v>5039</v>
      </c>
      <c r="N695" s="8">
        <v>4993</v>
      </c>
      <c r="O695" s="8">
        <v>4701</v>
      </c>
      <c r="P695" s="8">
        <v>4721</v>
      </c>
      <c r="Q695" s="8">
        <v>4706</v>
      </c>
      <c r="R695" s="8">
        <v>4674</v>
      </c>
      <c r="S695" s="8">
        <v>4718</v>
      </c>
      <c r="T695" s="8">
        <v>4836</v>
      </c>
      <c r="U695" s="8">
        <v>4832</v>
      </c>
      <c r="V695" s="8">
        <v>4937</v>
      </c>
      <c r="W695" s="8">
        <v>4949</v>
      </c>
      <c r="X695" s="8">
        <v>4898</v>
      </c>
      <c r="Y695" s="8">
        <v>4665</v>
      </c>
      <c r="Z695" s="8">
        <v>4434</v>
      </c>
      <c r="AA695" s="8">
        <v>4216</v>
      </c>
      <c r="AB695" s="8">
        <v>4023</v>
      </c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</row>
    <row r="696" spans="1:47" ht="14.4">
      <c r="A696" s="3">
        <f>LOOKUP(D696,'AMFI DATA_2023H2'!F:L,'AMFI DATA_2023H2'!L:L)</f>
        <v>714</v>
      </c>
      <c r="B696" s="4" t="s">
        <v>2087</v>
      </c>
      <c r="C696" s="4" t="s">
        <v>2088</v>
      </c>
      <c r="D696" s="5" t="s">
        <v>2089</v>
      </c>
      <c r="E696" s="5">
        <v>3067.34</v>
      </c>
      <c r="F696" s="6">
        <f>LOOKUP(D696,'AMFI DATA_2023H2'!F:J,'AMFI DATA_2023H2'!J:J)</f>
        <v>3679.857</v>
      </c>
      <c r="G696" s="7">
        <f t="shared" si="2"/>
        <v>-1</v>
      </c>
      <c r="H696" s="8"/>
      <c r="I696" s="8">
        <v>4821</v>
      </c>
      <c r="J696" s="8">
        <v>4640</v>
      </c>
      <c r="K696" s="8">
        <v>4650</v>
      </c>
      <c r="L696" s="8">
        <v>4709</v>
      </c>
      <c r="M696" s="8">
        <v>4744</v>
      </c>
      <c r="N696" s="8">
        <v>4841</v>
      </c>
      <c r="O696" s="8">
        <v>5007</v>
      </c>
      <c r="P696" s="8">
        <v>4621</v>
      </c>
      <c r="Q696" s="8">
        <v>4551</v>
      </c>
      <c r="R696" s="8">
        <v>4574</v>
      </c>
      <c r="S696" s="8">
        <v>4429</v>
      </c>
      <c r="T696" s="8">
        <v>4586</v>
      </c>
      <c r="U696" s="8">
        <v>4507</v>
      </c>
      <c r="V696" s="8">
        <v>4554</v>
      </c>
      <c r="W696" s="8">
        <v>4579</v>
      </c>
      <c r="X696" s="8">
        <v>4572</v>
      </c>
      <c r="Y696" s="8">
        <v>4672</v>
      </c>
      <c r="Z696" s="8">
        <v>4809</v>
      </c>
      <c r="AA696" s="8">
        <v>4574</v>
      </c>
      <c r="AB696" s="8">
        <v>4542</v>
      </c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</row>
    <row r="697" spans="1:47" ht="14.4">
      <c r="A697" s="3">
        <f>LOOKUP(D697,'AMFI DATA_2023H2'!F:L,'AMFI DATA_2023H2'!L:L)</f>
        <v>715</v>
      </c>
      <c r="B697" s="4" t="s">
        <v>2090</v>
      </c>
      <c r="C697" s="4" t="s">
        <v>2091</v>
      </c>
      <c r="D697" s="5" t="s">
        <v>2092</v>
      </c>
      <c r="E697" s="5">
        <v>3361.56</v>
      </c>
      <c r="F697" s="6">
        <f>LOOKUP(D697,'AMFI DATA_2023H2'!F:J,'AMFI DATA_2023H2'!J:J)</f>
        <v>3679.4998999999998</v>
      </c>
      <c r="G697" s="7">
        <f t="shared" si="2"/>
        <v>-1</v>
      </c>
      <c r="H697" s="8"/>
      <c r="I697" s="8">
        <v>4127</v>
      </c>
      <c r="J697" s="8">
        <v>4099</v>
      </c>
      <c r="K697" s="8">
        <v>4046</v>
      </c>
      <c r="L697" s="8">
        <v>4000</v>
      </c>
      <c r="M697" s="8">
        <v>3938</v>
      </c>
      <c r="N697" s="8">
        <v>4044</v>
      </c>
      <c r="O697" s="8">
        <v>4056</v>
      </c>
      <c r="P697" s="8">
        <v>3968</v>
      </c>
      <c r="Q697" s="8">
        <v>3874</v>
      </c>
      <c r="R697" s="8">
        <v>3926</v>
      </c>
      <c r="S697" s="8">
        <v>4001</v>
      </c>
      <c r="T697" s="8">
        <v>4045</v>
      </c>
      <c r="U697" s="8">
        <v>3974</v>
      </c>
      <c r="V697" s="8">
        <v>3859</v>
      </c>
      <c r="W697" s="8">
        <v>3870</v>
      </c>
      <c r="X697" s="8">
        <v>3781</v>
      </c>
      <c r="Y697" s="8">
        <v>3822</v>
      </c>
      <c r="Z697" s="8">
        <v>3782</v>
      </c>
      <c r="AA697" s="8">
        <v>3783</v>
      </c>
      <c r="AB697" s="8">
        <v>3680</v>
      </c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</row>
    <row r="698" spans="1:47" ht="14.4">
      <c r="A698" s="3">
        <f>LOOKUP(D698,'AMFI DATA_2023H2'!F:L,'AMFI DATA_2023H2'!L:L)</f>
        <v>716</v>
      </c>
      <c r="B698" s="4" t="s">
        <v>2093</v>
      </c>
      <c r="C698" s="4" t="s">
        <v>2094</v>
      </c>
      <c r="D698" s="5" t="s">
        <v>2095</v>
      </c>
      <c r="E698" s="5">
        <v>3012.33</v>
      </c>
      <c r="F698" s="6">
        <f>LOOKUP(D698,'AMFI DATA_2023H2'!F:J,'AMFI DATA_2023H2'!J:J)</f>
        <v>3638.4270499999998</v>
      </c>
      <c r="G698" s="7">
        <f t="shared" si="2"/>
        <v>-1</v>
      </c>
      <c r="H698" s="8"/>
      <c r="I698" s="8">
        <v>4277</v>
      </c>
      <c r="J698" s="8">
        <v>4230</v>
      </c>
      <c r="K698" s="8">
        <v>4080</v>
      </c>
      <c r="L698" s="8">
        <v>4113</v>
      </c>
      <c r="M698" s="8">
        <v>4103</v>
      </c>
      <c r="N698" s="8">
        <v>4081</v>
      </c>
      <c r="O698" s="8">
        <v>4098</v>
      </c>
      <c r="P698" s="8">
        <v>4118</v>
      </c>
      <c r="Q698" s="8">
        <v>4104</v>
      </c>
      <c r="R698" s="8">
        <v>4131</v>
      </c>
      <c r="S698" s="8">
        <v>4205</v>
      </c>
      <c r="T698" s="8">
        <v>4223</v>
      </c>
      <c r="U698" s="8">
        <v>4204</v>
      </c>
      <c r="V698" s="8">
        <v>4190</v>
      </c>
      <c r="W698" s="8">
        <v>4182</v>
      </c>
      <c r="X698" s="8">
        <v>4197</v>
      </c>
      <c r="Y698" s="8">
        <v>0</v>
      </c>
      <c r="Z698" s="8">
        <v>4217</v>
      </c>
      <c r="AA698" s="8">
        <v>4276</v>
      </c>
      <c r="AB698" s="8">
        <v>4201</v>
      </c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</row>
    <row r="699" spans="1:47" ht="14.4">
      <c r="A699" s="3">
        <f>LOOKUP(D699,'AMFI DATA_2023H2'!F:L,'AMFI DATA_2023H2'!L:L)</f>
        <v>717</v>
      </c>
      <c r="B699" s="4" t="s">
        <v>2096</v>
      </c>
      <c r="C699" s="4" t="s">
        <v>2097</v>
      </c>
      <c r="D699" s="5" t="s">
        <v>2098</v>
      </c>
      <c r="E699" s="5">
        <v>2630.1</v>
      </c>
      <c r="F699" s="6">
        <f>LOOKUP(D699,'AMFI DATA_2023H2'!F:J,'AMFI DATA_2023H2'!J:J)</f>
        <v>3637.9575</v>
      </c>
      <c r="G699" s="7">
        <f t="shared" si="2"/>
        <v>-1</v>
      </c>
      <c r="H699" s="8"/>
      <c r="I699" s="8">
        <v>3976</v>
      </c>
      <c r="J699" s="8">
        <v>4030</v>
      </c>
      <c r="K699" s="8">
        <v>4162</v>
      </c>
      <c r="L699" s="8">
        <v>4024</v>
      </c>
      <c r="M699" s="8">
        <v>3835</v>
      </c>
      <c r="N699" s="8">
        <v>3888</v>
      </c>
      <c r="O699" s="8">
        <v>3910</v>
      </c>
      <c r="P699" s="8">
        <v>3749</v>
      </c>
      <c r="Q699" s="8">
        <v>3695</v>
      </c>
      <c r="R699" s="8">
        <v>3695</v>
      </c>
      <c r="S699" s="8">
        <v>3765</v>
      </c>
      <c r="T699" s="8">
        <v>3741</v>
      </c>
      <c r="U699" s="8">
        <v>3749</v>
      </c>
      <c r="V699" s="8">
        <v>3786</v>
      </c>
      <c r="W699" s="8">
        <v>3826</v>
      </c>
      <c r="X699" s="8">
        <v>3759</v>
      </c>
      <c r="Y699" s="8">
        <v>3830</v>
      </c>
      <c r="Z699" s="8">
        <v>3858</v>
      </c>
      <c r="AA699" s="8">
        <v>3849</v>
      </c>
      <c r="AB699" s="8">
        <v>3784</v>
      </c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</row>
    <row r="700" spans="1:47" ht="14.4">
      <c r="A700" s="3">
        <f>LOOKUP(D700,'AMFI DATA_2023H2'!F:L,'AMFI DATA_2023H2'!L:L)</f>
        <v>718</v>
      </c>
      <c r="B700" s="4" t="s">
        <v>2099</v>
      </c>
      <c r="C700" s="4" t="s">
        <v>2100</v>
      </c>
      <c r="D700" s="5" t="s">
        <v>2101</v>
      </c>
      <c r="E700" s="5">
        <v>2385.21</v>
      </c>
      <c r="F700" s="6">
        <f>LOOKUP(D700,'AMFI DATA_2023H2'!F:J,'AMFI DATA_2023H2'!J:J)</f>
        <v>3636.0556999999999</v>
      </c>
      <c r="G700" s="7">
        <f t="shared" si="2"/>
        <v>-1</v>
      </c>
      <c r="H700" s="8"/>
      <c r="I700" s="8">
        <v>3513</v>
      </c>
      <c r="J700" s="8">
        <v>3648</v>
      </c>
      <c r="K700" s="8">
        <v>3758</v>
      </c>
      <c r="L700" s="8">
        <v>3708</v>
      </c>
      <c r="M700" s="8">
        <v>3799</v>
      </c>
      <c r="N700" s="8">
        <v>3642</v>
      </c>
      <c r="O700" s="8">
        <v>3412</v>
      </c>
      <c r="P700" s="8">
        <v>3272</v>
      </c>
      <c r="Q700" s="8">
        <v>3377</v>
      </c>
      <c r="R700" s="8">
        <v>3482</v>
      </c>
      <c r="S700" s="8">
        <v>3527</v>
      </c>
      <c r="T700" s="8">
        <v>3515</v>
      </c>
      <c r="U700" s="8">
        <v>3509</v>
      </c>
      <c r="V700" s="8">
        <v>3514</v>
      </c>
      <c r="W700" s="8">
        <v>3552</v>
      </c>
      <c r="X700" s="8">
        <v>3532</v>
      </c>
      <c r="Y700" s="8">
        <v>3492</v>
      </c>
      <c r="Z700" s="8">
        <v>3382</v>
      </c>
      <c r="AA700" s="8">
        <v>3426</v>
      </c>
      <c r="AB700" s="8">
        <v>3395</v>
      </c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</row>
    <row r="701" spans="1:47" ht="14.4">
      <c r="A701" s="3">
        <f>LOOKUP(D701,'AMFI DATA_2023H2'!F:L,'AMFI DATA_2023H2'!L:L)</f>
        <v>719</v>
      </c>
      <c r="B701" s="4" t="s">
        <v>2102</v>
      </c>
      <c r="C701" s="4" t="s">
        <v>2103</v>
      </c>
      <c r="D701" s="5" t="s">
        <v>2104</v>
      </c>
      <c r="E701" s="5">
        <v>2891.88</v>
      </c>
      <c r="F701" s="6">
        <f>LOOKUP(D701,'AMFI DATA_2023H2'!F:J,'AMFI DATA_2023H2'!J:J)</f>
        <v>3630.8573999999999</v>
      </c>
      <c r="G701" s="7">
        <f t="shared" si="2"/>
        <v>-1</v>
      </c>
      <c r="H701" s="8"/>
      <c r="I701" s="8">
        <v>4345</v>
      </c>
      <c r="J701" s="8">
        <v>4276</v>
      </c>
      <c r="K701" s="8">
        <v>4247</v>
      </c>
      <c r="L701" s="8">
        <v>4326</v>
      </c>
      <c r="M701" s="8">
        <v>4357</v>
      </c>
      <c r="N701" s="8">
        <v>4348</v>
      </c>
      <c r="O701" s="8">
        <v>4377</v>
      </c>
      <c r="P701" s="8">
        <v>4377</v>
      </c>
      <c r="Q701" s="8">
        <v>4368</v>
      </c>
      <c r="R701" s="8">
        <v>4361</v>
      </c>
      <c r="S701" s="8">
        <v>4415</v>
      </c>
      <c r="T701" s="8">
        <v>4424</v>
      </c>
      <c r="U701" s="8">
        <v>4774</v>
      </c>
      <c r="V701" s="8">
        <v>4722</v>
      </c>
      <c r="W701" s="8">
        <v>4570</v>
      </c>
      <c r="X701" s="8">
        <v>4599</v>
      </c>
      <c r="Y701" s="8">
        <v>4592</v>
      </c>
      <c r="Z701" s="8">
        <v>4712</v>
      </c>
      <c r="AA701" s="8">
        <v>4265</v>
      </c>
      <c r="AB701" s="8">
        <v>4007</v>
      </c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</row>
    <row r="702" spans="1:47" ht="14.4">
      <c r="A702" s="3">
        <f>LOOKUP(D702,'AMFI DATA_2023H2'!F:L,'AMFI DATA_2023H2'!L:L)</f>
        <v>720</v>
      </c>
      <c r="B702" s="4" t="s">
        <v>2105</v>
      </c>
      <c r="C702" s="4" t="s">
        <v>2106</v>
      </c>
      <c r="D702" s="5" t="s">
        <v>2107</v>
      </c>
      <c r="E702" s="5">
        <v>4377.3500000000004</v>
      </c>
      <c r="F702" s="6">
        <f>LOOKUP(D702,'AMFI DATA_2023H2'!F:J,'AMFI DATA_2023H2'!J:J)</f>
        <v>3588.27315</v>
      </c>
      <c r="G702" s="7">
        <f t="shared" si="2"/>
        <v>-1</v>
      </c>
      <c r="H702" s="8"/>
      <c r="I702" s="8">
        <v>3263</v>
      </c>
      <c r="J702" s="8">
        <v>3304</v>
      </c>
      <c r="K702" s="8">
        <v>3362</v>
      </c>
      <c r="L702" s="8">
        <v>3433</v>
      </c>
      <c r="M702" s="8">
        <v>3489</v>
      </c>
      <c r="N702" s="8">
        <v>3513</v>
      </c>
      <c r="O702" s="8">
        <v>3523</v>
      </c>
      <c r="P702" s="8">
        <v>3507</v>
      </c>
      <c r="Q702" s="8">
        <v>3422</v>
      </c>
      <c r="R702" s="8">
        <v>3475</v>
      </c>
      <c r="S702" s="8">
        <v>3535</v>
      </c>
      <c r="T702" s="8">
        <v>3552</v>
      </c>
      <c r="U702" s="8">
        <v>3542</v>
      </c>
      <c r="V702" s="8">
        <v>3488</v>
      </c>
      <c r="W702" s="8">
        <v>3374</v>
      </c>
      <c r="X702" s="8">
        <v>3301</v>
      </c>
      <c r="Y702" s="8">
        <v>3289</v>
      </c>
      <c r="Z702" s="8">
        <v>3347</v>
      </c>
      <c r="AA702" s="8">
        <v>3186</v>
      </c>
      <c r="AB702" s="8">
        <v>3194</v>
      </c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</row>
    <row r="703" spans="1:47" ht="14.4">
      <c r="A703" s="3">
        <f>LOOKUP(D703,'AMFI DATA_2023H2'!F:L,'AMFI DATA_2023H2'!L:L)</f>
        <v>721</v>
      </c>
      <c r="B703" s="4" t="s">
        <v>2108</v>
      </c>
      <c r="C703" s="4" t="s">
        <v>2109</v>
      </c>
      <c r="D703" s="5" t="s">
        <v>2110</v>
      </c>
      <c r="E703" s="5">
        <v>3939.1</v>
      </c>
      <c r="F703" s="6">
        <f>LOOKUP(D703,'AMFI DATA_2023H2'!F:J,'AMFI DATA_2023H2'!J:J)</f>
        <v>3585.4149499999999</v>
      </c>
      <c r="G703" s="7">
        <f t="shared" si="2"/>
        <v>-1</v>
      </c>
      <c r="H703" s="8"/>
      <c r="I703" s="8">
        <v>3613</v>
      </c>
      <c r="J703" s="8">
        <v>3597</v>
      </c>
      <c r="K703" s="8">
        <v>3607</v>
      </c>
      <c r="L703" s="8">
        <v>3670</v>
      </c>
      <c r="M703" s="8">
        <v>3737</v>
      </c>
      <c r="N703" s="8">
        <v>3752</v>
      </c>
      <c r="O703" s="8">
        <v>3734</v>
      </c>
      <c r="P703" s="8">
        <v>3663</v>
      </c>
      <c r="Q703" s="8">
        <v>3690</v>
      </c>
      <c r="R703" s="8">
        <v>3713</v>
      </c>
      <c r="S703" s="8">
        <v>3721</v>
      </c>
      <c r="T703" s="8">
        <v>3702</v>
      </c>
      <c r="U703" s="8">
        <v>3792</v>
      </c>
      <c r="V703" s="8">
        <v>3776</v>
      </c>
      <c r="W703" s="8">
        <v>3699</v>
      </c>
      <c r="X703" s="8">
        <v>3733</v>
      </c>
      <c r="Y703" s="8">
        <v>3799</v>
      </c>
      <c r="Z703" s="8">
        <v>3837</v>
      </c>
      <c r="AA703" s="8">
        <v>3863</v>
      </c>
      <c r="AB703" s="8">
        <v>3748</v>
      </c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</row>
    <row r="704" spans="1:47" ht="14.4">
      <c r="A704" s="3">
        <f>LOOKUP(D704,'AMFI DATA_2023H2'!F:L,'AMFI DATA_2023H2'!L:L)</f>
        <v>722</v>
      </c>
      <c r="B704" s="4" t="s">
        <v>2111</v>
      </c>
      <c r="C704" s="4" t="s">
        <v>2112</v>
      </c>
      <c r="D704" s="5" t="s">
        <v>2113</v>
      </c>
      <c r="E704" s="5">
        <v>2182.3000000000002</v>
      </c>
      <c r="F704" s="6">
        <f>LOOKUP(D704,'AMFI DATA_2023H2'!F:J,'AMFI DATA_2023H2'!J:J)</f>
        <v>3576.8343</v>
      </c>
      <c r="G704" s="7">
        <f t="shared" si="2"/>
        <v>-1</v>
      </c>
      <c r="H704" s="8"/>
      <c r="I704" s="8">
        <v>4200</v>
      </c>
      <c r="J704" s="8">
        <v>4260</v>
      </c>
      <c r="K704" s="8">
        <v>4231</v>
      </c>
      <c r="L704" s="8">
        <v>4306</v>
      </c>
      <c r="M704" s="8">
        <v>4370</v>
      </c>
      <c r="N704" s="8">
        <v>4376</v>
      </c>
      <c r="O704" s="8">
        <v>4237</v>
      </c>
      <c r="P704" s="8">
        <v>4214</v>
      </c>
      <c r="Q704" s="8">
        <v>4241</v>
      </c>
      <c r="R704" s="8">
        <v>4260</v>
      </c>
      <c r="S704" s="8">
        <v>4353</v>
      </c>
      <c r="T704" s="8">
        <v>4363</v>
      </c>
      <c r="U704" s="8">
        <v>4375</v>
      </c>
      <c r="V704" s="8">
        <v>4310</v>
      </c>
      <c r="W704" s="8">
        <v>4336</v>
      </c>
      <c r="X704" s="8">
        <v>4271</v>
      </c>
      <c r="Y704" s="8">
        <v>4297</v>
      </c>
      <c r="Z704" s="8">
        <v>4323</v>
      </c>
      <c r="AA704" s="8">
        <v>4370</v>
      </c>
      <c r="AB704" s="8">
        <v>4329</v>
      </c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</row>
    <row r="705" spans="1:47" ht="14.4">
      <c r="A705" s="3">
        <f>LOOKUP(D705,'AMFI DATA_2023H2'!F:L,'AMFI DATA_2023H2'!L:L)</f>
        <v>723</v>
      </c>
      <c r="B705" s="4" t="s">
        <v>2114</v>
      </c>
      <c r="C705" s="4" t="s">
        <v>2115</v>
      </c>
      <c r="D705" s="5" t="s">
        <v>2116</v>
      </c>
      <c r="E705" s="5">
        <v>2852.8</v>
      </c>
      <c r="F705" s="6">
        <f>LOOKUP(D705,'AMFI DATA_2023H2'!F:J,'AMFI DATA_2023H2'!J:J)</f>
        <v>3557.4137499999997</v>
      </c>
      <c r="G705" s="7">
        <f t="shared" si="2"/>
        <v>-1</v>
      </c>
      <c r="H705" s="8"/>
      <c r="I705" s="8">
        <v>3485</v>
      </c>
      <c r="J705" s="8">
        <v>3476</v>
      </c>
      <c r="K705" s="8">
        <v>3561</v>
      </c>
      <c r="L705" s="8">
        <v>3645</v>
      </c>
      <c r="M705" s="8">
        <v>3651</v>
      </c>
      <c r="N705" s="8">
        <v>3555</v>
      </c>
      <c r="O705" s="8">
        <v>3570</v>
      </c>
      <c r="P705" s="8">
        <v>3550</v>
      </c>
      <c r="Q705" s="8">
        <v>3604</v>
      </c>
      <c r="R705" s="8">
        <v>3500</v>
      </c>
      <c r="S705" s="8">
        <v>3553</v>
      </c>
      <c r="T705" s="8">
        <v>3611</v>
      </c>
      <c r="U705" s="8">
        <v>3529</v>
      </c>
      <c r="V705" s="8">
        <v>3520</v>
      </c>
      <c r="W705" s="8">
        <v>3572</v>
      </c>
      <c r="X705" s="8">
        <v>3617</v>
      </c>
      <c r="Y705" s="8">
        <v>3627</v>
      </c>
      <c r="Z705" s="8">
        <v>3715</v>
      </c>
      <c r="AA705" s="8">
        <v>3659</v>
      </c>
      <c r="AB705" s="8">
        <v>3619</v>
      </c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</row>
    <row r="706" spans="1:47" ht="14.4">
      <c r="A706" s="3">
        <f>LOOKUP(D706,'AMFI DATA_2023H2'!F:L,'AMFI DATA_2023H2'!L:L)</f>
        <v>724</v>
      </c>
      <c r="B706" s="4" t="s">
        <v>2117</v>
      </c>
      <c r="C706" s="4" t="s">
        <v>2118</v>
      </c>
      <c r="D706" s="5" t="s">
        <v>2119</v>
      </c>
      <c r="E706" s="5">
        <v>5803.59</v>
      </c>
      <c r="F706" s="6">
        <f>LOOKUP(D706,'AMFI DATA_2023H2'!F:J,'AMFI DATA_2023H2'!J:J)</f>
        <v>3553.7996499999999</v>
      </c>
      <c r="G706" s="7">
        <f t="shared" si="2"/>
        <v>-1</v>
      </c>
      <c r="H706" s="8"/>
      <c r="I706" s="8">
        <v>3655</v>
      </c>
      <c r="J706" s="8">
        <v>3570</v>
      </c>
      <c r="K706" s="8">
        <v>3596</v>
      </c>
      <c r="L706" s="8">
        <v>3624</v>
      </c>
      <c r="M706" s="8">
        <v>3676</v>
      </c>
      <c r="N706" s="8">
        <v>3683</v>
      </c>
      <c r="O706" s="8">
        <v>3694</v>
      </c>
      <c r="P706" s="8">
        <v>3637</v>
      </c>
      <c r="Q706" s="8">
        <v>3595</v>
      </c>
      <c r="R706" s="8">
        <v>3578</v>
      </c>
      <c r="S706" s="8">
        <v>3624</v>
      </c>
      <c r="T706" s="8">
        <v>3724</v>
      </c>
      <c r="U706" s="8">
        <v>3631</v>
      </c>
      <c r="V706" s="8">
        <v>3580</v>
      </c>
      <c r="W706" s="8">
        <v>3542</v>
      </c>
      <c r="X706" s="8">
        <v>3540</v>
      </c>
      <c r="Y706" s="8">
        <v>3546</v>
      </c>
      <c r="Z706" s="8">
        <v>3587</v>
      </c>
      <c r="AA706" s="8">
        <v>3584</v>
      </c>
      <c r="AB706" s="8">
        <v>3555</v>
      </c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</row>
    <row r="707" spans="1:47" ht="14.4">
      <c r="A707" s="3">
        <f>LOOKUP(D707,'AMFI DATA_2023H2'!F:L,'AMFI DATA_2023H2'!L:L)</f>
        <v>725</v>
      </c>
      <c r="B707" s="4" t="s">
        <v>2120</v>
      </c>
      <c r="C707" s="4" t="s">
        <v>2121</v>
      </c>
      <c r="D707" s="5" t="s">
        <v>2122</v>
      </c>
      <c r="E707" s="5">
        <v>3472.85</v>
      </c>
      <c r="F707" s="6">
        <f>LOOKUP(D707,'AMFI DATA_2023H2'!F:J,'AMFI DATA_2023H2'!J:J)</f>
        <v>3551.8573999999999</v>
      </c>
      <c r="G707" s="7">
        <f t="shared" si="2"/>
        <v>-1</v>
      </c>
      <c r="H707" s="8"/>
      <c r="I707" s="8">
        <v>5582</v>
      </c>
      <c r="J707" s="8">
        <v>5494</v>
      </c>
      <c r="K707" s="8">
        <v>5340</v>
      </c>
      <c r="L707" s="8">
        <v>5277</v>
      </c>
      <c r="M707" s="8">
        <v>4920</v>
      </c>
      <c r="N707" s="8">
        <v>4987</v>
      </c>
      <c r="O707" s="8">
        <v>5009</v>
      </c>
      <c r="P707" s="8">
        <v>4910</v>
      </c>
      <c r="Q707" s="8">
        <v>4972</v>
      </c>
      <c r="R707" s="8">
        <v>4815</v>
      </c>
      <c r="S707" s="8">
        <v>4907</v>
      </c>
      <c r="T707" s="8">
        <v>5014</v>
      </c>
      <c r="U707" s="8">
        <v>4996</v>
      </c>
      <c r="V707" s="8">
        <v>5041</v>
      </c>
      <c r="W707" s="8">
        <v>4889</v>
      </c>
      <c r="X707" s="8">
        <v>4469</v>
      </c>
      <c r="Y707" s="8">
        <v>4489</v>
      </c>
      <c r="Z707" s="8">
        <v>4202</v>
      </c>
      <c r="AA707" s="8">
        <v>4214</v>
      </c>
      <c r="AB707" s="8">
        <v>4133</v>
      </c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</row>
    <row r="708" spans="1:47" ht="14.4">
      <c r="A708" s="3">
        <f>LOOKUP(D708,'AMFI DATA_2023H2'!F:L,'AMFI DATA_2023H2'!L:L)</f>
        <v>726</v>
      </c>
      <c r="B708" s="4" t="s">
        <v>2123</v>
      </c>
      <c r="C708" s="4" t="s">
        <v>2124</v>
      </c>
      <c r="D708" s="5" t="s">
        <v>2125</v>
      </c>
      <c r="E708" s="5">
        <v>2739.5</v>
      </c>
      <c r="F708" s="6">
        <f>LOOKUP(D708,'AMFI DATA_2023H2'!F:J,'AMFI DATA_2023H2'!J:J)</f>
        <v>3546.3645999999999</v>
      </c>
      <c r="G708" s="7">
        <f t="shared" si="2"/>
        <v>-1</v>
      </c>
      <c r="H708" s="8"/>
      <c r="I708" s="8">
        <v>5056</v>
      </c>
      <c r="J708" s="8">
        <v>4921</v>
      </c>
      <c r="K708" s="8">
        <v>4909</v>
      </c>
      <c r="L708" s="8">
        <v>4999</v>
      </c>
      <c r="M708" s="8">
        <v>4911</v>
      </c>
      <c r="N708" s="8">
        <v>5015</v>
      </c>
      <c r="O708" s="8">
        <v>5025</v>
      </c>
      <c r="P708" s="8">
        <v>5045</v>
      </c>
      <c r="Q708" s="8">
        <v>4989</v>
      </c>
      <c r="R708" s="8">
        <v>4882</v>
      </c>
      <c r="S708" s="8">
        <v>4764</v>
      </c>
      <c r="T708" s="8">
        <v>4730</v>
      </c>
      <c r="U708" s="8">
        <v>4382</v>
      </c>
      <c r="V708" s="8">
        <v>4345</v>
      </c>
      <c r="W708" s="8">
        <v>4363</v>
      </c>
      <c r="X708" s="8">
        <v>4365</v>
      </c>
      <c r="Y708" s="8">
        <v>4405</v>
      </c>
      <c r="Z708" s="8">
        <v>4378</v>
      </c>
      <c r="AA708" s="8">
        <v>4493</v>
      </c>
      <c r="AB708" s="8">
        <v>4315</v>
      </c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</row>
    <row r="709" spans="1:47" ht="14.4">
      <c r="A709" s="3">
        <f>LOOKUP(D709,'AMFI DATA_2023H2'!F:L,'AMFI DATA_2023H2'!L:L)</f>
        <v>727</v>
      </c>
      <c r="B709" s="4" t="s">
        <v>2126</v>
      </c>
      <c r="C709" s="4" t="s">
        <v>2127</v>
      </c>
      <c r="D709" s="5" t="s">
        <v>2128</v>
      </c>
      <c r="E709" s="5">
        <v>2240.4699999999998</v>
      </c>
      <c r="F709" s="6">
        <f>LOOKUP(D709,'AMFI DATA_2023H2'!F:J,'AMFI DATA_2023H2'!J:J)</f>
        <v>3538.2624999999998</v>
      </c>
      <c r="G709" s="7">
        <f t="shared" si="2"/>
        <v>-1</v>
      </c>
      <c r="H709" s="8"/>
      <c r="I709" s="8">
        <v>4180</v>
      </c>
      <c r="J709" s="8">
        <v>4165</v>
      </c>
      <c r="K709" s="8">
        <v>4096</v>
      </c>
      <c r="L709" s="8">
        <v>4192</v>
      </c>
      <c r="M709" s="8">
        <v>4329</v>
      </c>
      <c r="N709" s="8">
        <v>4250</v>
      </c>
      <c r="O709" s="8">
        <v>4470</v>
      </c>
      <c r="P709" s="8">
        <v>4392</v>
      </c>
      <c r="Q709" s="8">
        <v>4333</v>
      </c>
      <c r="R709" s="8">
        <v>4209</v>
      </c>
      <c r="S709" s="8">
        <v>4205</v>
      </c>
      <c r="T709" s="8">
        <v>4256</v>
      </c>
      <c r="U709" s="8">
        <v>4268</v>
      </c>
      <c r="V709" s="8">
        <v>4230</v>
      </c>
      <c r="W709" s="8">
        <v>4067</v>
      </c>
      <c r="X709" s="8">
        <v>4082</v>
      </c>
      <c r="Y709" s="8">
        <v>3992</v>
      </c>
      <c r="Z709" s="8">
        <v>4063</v>
      </c>
      <c r="AA709" s="8">
        <v>4111</v>
      </c>
      <c r="AB709" s="8">
        <v>4129</v>
      </c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</row>
    <row r="710" spans="1:47" ht="14.4">
      <c r="A710" s="3">
        <f>LOOKUP(D710,'AMFI DATA_2023H2'!F:L,'AMFI DATA_2023H2'!L:L)</f>
        <v>728</v>
      </c>
      <c r="B710" s="4" t="s">
        <v>2129</v>
      </c>
      <c r="C710" s="4" t="s">
        <v>2130</v>
      </c>
      <c r="D710" s="5" t="s">
        <v>2131</v>
      </c>
      <c r="E710" s="5">
        <v>1366.41</v>
      </c>
      <c r="F710" s="6">
        <f>LOOKUP(D710,'AMFI DATA_2023H2'!F:J,'AMFI DATA_2023H2'!J:J)</f>
        <v>3532.2736</v>
      </c>
      <c r="G710" s="7">
        <f t="shared" si="2"/>
        <v>-1</v>
      </c>
      <c r="H710" s="8"/>
      <c r="I710" s="8">
        <v>6368</v>
      </c>
      <c r="J710" s="8">
        <v>6275</v>
      </c>
      <c r="K710" s="8">
        <v>6284</v>
      </c>
      <c r="L710" s="8">
        <v>6506</v>
      </c>
      <c r="M710" s="8">
        <v>6627</v>
      </c>
      <c r="N710" s="8">
        <v>6746</v>
      </c>
      <c r="O710" s="8">
        <v>6909</v>
      </c>
      <c r="P710" s="8">
        <v>0</v>
      </c>
      <c r="Q710" s="8">
        <v>7107</v>
      </c>
      <c r="R710" s="8">
        <v>7312</v>
      </c>
      <c r="S710" s="8">
        <v>7463</v>
      </c>
      <c r="T710" s="8">
        <v>7548</v>
      </c>
      <c r="U710" s="8">
        <v>7530</v>
      </c>
      <c r="V710" s="8">
        <v>7172</v>
      </c>
      <c r="W710" s="8">
        <v>6830</v>
      </c>
      <c r="X710" s="8">
        <v>6505</v>
      </c>
      <c r="Y710" s="8">
        <v>6204</v>
      </c>
      <c r="Z710" s="8">
        <v>6096</v>
      </c>
      <c r="AA710" s="8">
        <v>6245</v>
      </c>
      <c r="AB710" s="8">
        <v>6167</v>
      </c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</row>
    <row r="711" spans="1:47" ht="14.4">
      <c r="A711" s="3">
        <f>LOOKUP(D711,'AMFI DATA_2023H2'!F:L,'AMFI DATA_2023H2'!L:L)</f>
        <v>729</v>
      </c>
      <c r="B711" s="4" t="s">
        <v>2132</v>
      </c>
      <c r="C711" s="4" t="s">
        <v>2133</v>
      </c>
      <c r="D711" s="5" t="s">
        <v>2134</v>
      </c>
      <c r="E711" s="5">
        <v>2232.25</v>
      </c>
      <c r="F711" s="6">
        <f>LOOKUP(D711,'AMFI DATA_2023H2'!F:J,'AMFI DATA_2023H2'!J:J)</f>
        <v>3521.2194</v>
      </c>
      <c r="G711" s="7">
        <f t="shared" si="2"/>
        <v>-1</v>
      </c>
      <c r="H711" s="8"/>
      <c r="I711" s="8">
        <v>4599</v>
      </c>
      <c r="J711" s="8">
        <v>4442</v>
      </c>
      <c r="K711" s="8">
        <v>4336</v>
      </c>
      <c r="L711" s="8">
        <v>4355</v>
      </c>
      <c r="M711" s="8">
        <v>4421</v>
      </c>
      <c r="N711" s="8">
        <v>4446</v>
      </c>
      <c r="O711" s="8">
        <v>4505</v>
      </c>
      <c r="P711" s="8">
        <v>4539</v>
      </c>
      <c r="Q711" s="8">
        <v>4583</v>
      </c>
      <c r="R711" s="8">
        <v>4628</v>
      </c>
      <c r="S711" s="8">
        <v>4811</v>
      </c>
      <c r="T711" s="8">
        <v>4821</v>
      </c>
      <c r="U711" s="8">
        <v>4711</v>
      </c>
      <c r="V711" s="8">
        <v>4724</v>
      </c>
      <c r="W711" s="8">
        <v>4753</v>
      </c>
      <c r="X711" s="8">
        <v>4535</v>
      </c>
      <c r="Y711" s="8">
        <v>4488</v>
      </c>
      <c r="Z711" s="8">
        <v>4564</v>
      </c>
      <c r="AA711" s="8">
        <v>4485</v>
      </c>
      <c r="AB711" s="8">
        <v>4603</v>
      </c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</row>
    <row r="712" spans="1:47" ht="14.4">
      <c r="A712" s="3">
        <f>LOOKUP(D712,'AMFI DATA_2023H2'!F:L,'AMFI DATA_2023H2'!L:L)</f>
        <v>730</v>
      </c>
      <c r="B712" s="4" t="s">
        <v>2135</v>
      </c>
      <c r="C712" s="4" t="s">
        <v>2136</v>
      </c>
      <c r="D712" s="5" t="s">
        <v>2137</v>
      </c>
      <c r="E712" s="5">
        <v>2993.26</v>
      </c>
      <c r="F712" s="6">
        <f>LOOKUP(D712,'AMFI DATA_2023H2'!F:J,'AMFI DATA_2023H2'!J:J)</f>
        <v>3510.0210999999999</v>
      </c>
      <c r="G712" s="7">
        <f t="shared" si="2"/>
        <v>-1</v>
      </c>
      <c r="H712" s="8"/>
      <c r="I712" s="8">
        <v>3275</v>
      </c>
      <c r="J712" s="8">
        <v>3256</v>
      </c>
      <c r="K712" s="8">
        <v>3275</v>
      </c>
      <c r="L712" s="8">
        <v>3273</v>
      </c>
      <c r="M712" s="8">
        <v>3286</v>
      </c>
      <c r="N712" s="8">
        <v>3290</v>
      </c>
      <c r="O712" s="8">
        <v>3277</v>
      </c>
      <c r="P712" s="8">
        <v>3282</v>
      </c>
      <c r="Q712" s="8">
        <v>3300</v>
      </c>
      <c r="R712" s="8">
        <v>3290</v>
      </c>
      <c r="S712" s="8">
        <v>3306</v>
      </c>
      <c r="T712" s="8">
        <v>3326</v>
      </c>
      <c r="U712" s="8">
        <v>3317</v>
      </c>
      <c r="V712" s="8">
        <v>3333</v>
      </c>
      <c r="W712" s="8">
        <v>3339</v>
      </c>
      <c r="X712" s="8">
        <v>3342</v>
      </c>
      <c r="Y712" s="8">
        <v>3328</v>
      </c>
      <c r="Z712" s="8">
        <v>3308</v>
      </c>
      <c r="AA712" s="8">
        <v>3294</v>
      </c>
      <c r="AB712" s="8">
        <v>3320</v>
      </c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</row>
    <row r="713" spans="1:47" ht="14.4">
      <c r="A713" s="3">
        <f>LOOKUP(D713,'AMFI DATA_2023H2'!F:L,'AMFI DATA_2023H2'!L:L)</f>
        <v>731</v>
      </c>
      <c r="B713" s="4" t="s">
        <v>2138</v>
      </c>
      <c r="C713" s="4" t="s">
        <v>2139</v>
      </c>
      <c r="D713" s="5" t="s">
        <v>2140</v>
      </c>
      <c r="E713" s="5">
        <v>2138.62</v>
      </c>
      <c r="F713" s="6">
        <f>LOOKUP(D713,'AMFI DATA_2023H2'!F:J,'AMFI DATA_2023H2'!J:J)</f>
        <v>3506.9679500000002</v>
      </c>
      <c r="G713" s="7">
        <f t="shared" si="2"/>
        <v>-1</v>
      </c>
      <c r="H713" s="8"/>
      <c r="I713" s="8">
        <v>4067</v>
      </c>
      <c r="J713" s="8">
        <v>4102</v>
      </c>
      <c r="K713" s="8">
        <v>4039</v>
      </c>
      <c r="L713" s="8">
        <v>4196</v>
      </c>
      <c r="M713" s="8">
        <v>4256</v>
      </c>
      <c r="N713" s="8">
        <v>4202</v>
      </c>
      <c r="O713" s="8">
        <v>4232</v>
      </c>
      <c r="P713" s="8">
        <v>4162</v>
      </c>
      <c r="Q713" s="8">
        <v>4200</v>
      </c>
      <c r="R713" s="8">
        <v>4180</v>
      </c>
      <c r="S713" s="8">
        <v>4241</v>
      </c>
      <c r="T713" s="8">
        <v>4309</v>
      </c>
      <c r="U713" s="8">
        <v>3975</v>
      </c>
      <c r="V713" s="8">
        <v>3914</v>
      </c>
      <c r="W713" s="8">
        <v>3945</v>
      </c>
      <c r="X713" s="8">
        <v>3815</v>
      </c>
      <c r="Y713" s="8">
        <v>3677</v>
      </c>
      <c r="Z713" s="8">
        <v>3728</v>
      </c>
      <c r="AA713" s="8">
        <v>3699</v>
      </c>
      <c r="AB713" s="8">
        <v>3670</v>
      </c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</row>
    <row r="714" spans="1:47" ht="14.4">
      <c r="A714" s="3">
        <f>LOOKUP(D714,'AMFI DATA_2023H2'!F:L,'AMFI DATA_2023H2'!L:L)</f>
        <v>732</v>
      </c>
      <c r="B714" s="4" t="s">
        <v>2141</v>
      </c>
      <c r="C714" s="4" t="s">
        <v>2142</v>
      </c>
      <c r="D714" s="5" t="s">
        <v>2143</v>
      </c>
      <c r="E714" s="5">
        <v>2835.48</v>
      </c>
      <c r="F714" s="6">
        <f>LOOKUP(D714,'AMFI DATA_2023H2'!F:J,'AMFI DATA_2023H2'!J:J)</f>
        <v>3498.0916999999999</v>
      </c>
      <c r="G714" s="7">
        <f t="shared" si="2"/>
        <v>-1</v>
      </c>
      <c r="H714" s="8"/>
      <c r="I714" s="8">
        <v>3676</v>
      </c>
      <c r="J714" s="8">
        <v>3620</v>
      </c>
      <c r="K714" s="8">
        <v>3675</v>
      </c>
      <c r="L714" s="8">
        <v>3723</v>
      </c>
      <c r="M714" s="8">
        <v>3839</v>
      </c>
      <c r="N714" s="8">
        <v>3834</v>
      </c>
      <c r="O714" s="8">
        <v>3918</v>
      </c>
      <c r="P714" s="8">
        <v>3868</v>
      </c>
      <c r="Q714" s="8">
        <v>3850</v>
      </c>
      <c r="R714" s="8">
        <v>3891</v>
      </c>
      <c r="S714" s="8">
        <v>3943</v>
      </c>
      <c r="T714" s="8">
        <v>3938</v>
      </c>
      <c r="U714" s="8">
        <v>3980</v>
      </c>
      <c r="V714" s="8">
        <v>4004</v>
      </c>
      <c r="W714" s="8">
        <v>4086</v>
      </c>
      <c r="X714" s="8">
        <v>4005</v>
      </c>
      <c r="Y714" s="8">
        <v>4088</v>
      </c>
      <c r="Z714" s="8">
        <v>4128</v>
      </c>
      <c r="AA714" s="8">
        <v>4092</v>
      </c>
      <c r="AB714" s="8">
        <v>3875</v>
      </c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</row>
    <row r="715" spans="1:47" ht="14.4">
      <c r="A715" s="3">
        <f>LOOKUP(D715,'AMFI DATA_2023H2'!F:L,'AMFI DATA_2023H2'!L:L)</f>
        <v>733</v>
      </c>
      <c r="B715" s="4" t="s">
        <v>2144</v>
      </c>
      <c r="C715" s="4" t="s">
        <v>2145</v>
      </c>
      <c r="D715" s="5" t="s">
        <v>2146</v>
      </c>
      <c r="E715" s="5">
        <v>58.98</v>
      </c>
      <c r="F715" s="6">
        <f>LOOKUP(D715,'AMFI DATA_2023H2'!F:J,'AMFI DATA_2023H2'!J:J)</f>
        <v>3493.3182999999999</v>
      </c>
      <c r="G715" s="7">
        <f t="shared" si="2"/>
        <v>-1</v>
      </c>
      <c r="H715" s="8"/>
      <c r="I715" s="8">
        <v>3989</v>
      </c>
      <c r="J715" s="8">
        <v>3980</v>
      </c>
      <c r="K715" s="8">
        <v>4066</v>
      </c>
      <c r="L715" s="8">
        <v>4053</v>
      </c>
      <c r="M715" s="8">
        <v>4242</v>
      </c>
      <c r="N715" s="8">
        <v>4216</v>
      </c>
      <c r="O715" s="8">
        <v>4188</v>
      </c>
      <c r="P715" s="8">
        <v>3833</v>
      </c>
      <c r="Q715" s="8">
        <v>3839</v>
      </c>
      <c r="R715" s="8">
        <v>3892</v>
      </c>
      <c r="S715" s="8">
        <v>3855</v>
      </c>
      <c r="T715" s="8">
        <v>3956</v>
      </c>
      <c r="U715" s="8">
        <v>3688</v>
      </c>
      <c r="V715" s="8">
        <v>3745</v>
      </c>
      <c r="W715" s="8">
        <v>3771</v>
      </c>
      <c r="X715" s="8">
        <v>3637</v>
      </c>
      <c r="Y715" s="8">
        <v>3734</v>
      </c>
      <c r="Z715" s="8">
        <v>3812</v>
      </c>
      <c r="AA715" s="8">
        <v>3712</v>
      </c>
      <c r="AB715" s="8">
        <v>3784</v>
      </c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</row>
    <row r="716" spans="1:47" ht="14.4">
      <c r="A716" s="3">
        <f>LOOKUP(D716,'AMFI DATA_2023H2'!F:L,'AMFI DATA_2023H2'!L:L)</f>
        <v>734</v>
      </c>
      <c r="B716" s="4" t="s">
        <v>2147</v>
      </c>
      <c r="C716" s="4" t="s">
        <v>2148</v>
      </c>
      <c r="D716" s="5" t="s">
        <v>2149</v>
      </c>
      <c r="E716" s="5">
        <v>2003.69</v>
      </c>
      <c r="F716" s="6">
        <f>LOOKUP(D716,'AMFI DATA_2023H2'!F:J,'AMFI DATA_2023H2'!J:J)</f>
        <v>3483.7811999999999</v>
      </c>
      <c r="G716" s="7">
        <f t="shared" si="2"/>
        <v>-1</v>
      </c>
      <c r="H716" s="8"/>
      <c r="I716" s="8">
        <v>3940</v>
      </c>
      <c r="J716" s="8">
        <v>3944</v>
      </c>
      <c r="K716" s="8">
        <v>3902</v>
      </c>
      <c r="L716" s="8">
        <v>4017</v>
      </c>
      <c r="M716" s="8">
        <v>4094</v>
      </c>
      <c r="N716" s="8">
        <v>4096</v>
      </c>
      <c r="O716" s="8">
        <v>4190</v>
      </c>
      <c r="P716" s="8">
        <v>3924</v>
      </c>
      <c r="Q716" s="8">
        <v>3998</v>
      </c>
      <c r="R716" s="8">
        <v>4018</v>
      </c>
      <c r="S716" s="8">
        <v>4085</v>
      </c>
      <c r="T716" s="8">
        <v>4103</v>
      </c>
      <c r="U716" s="8">
        <v>4121</v>
      </c>
      <c r="V716" s="8">
        <v>4215</v>
      </c>
      <c r="W716" s="8">
        <v>4202</v>
      </c>
      <c r="X716" s="8">
        <v>4010</v>
      </c>
      <c r="Y716" s="8">
        <v>3985</v>
      </c>
      <c r="Z716" s="8">
        <v>4057</v>
      </c>
      <c r="AA716" s="8">
        <v>4088</v>
      </c>
      <c r="AB716" s="8">
        <v>3984</v>
      </c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</row>
    <row r="717" spans="1:47" ht="14.4">
      <c r="A717" s="3">
        <f>LOOKUP(D717,'AMFI DATA_2023H2'!F:L,'AMFI DATA_2023H2'!L:L)</f>
        <v>735</v>
      </c>
      <c r="B717" s="4" t="s">
        <v>2150</v>
      </c>
      <c r="C717" s="4" t="s">
        <v>2151</v>
      </c>
      <c r="D717" s="5" t="s">
        <v>2152</v>
      </c>
      <c r="E717" s="5">
        <v>2419.67</v>
      </c>
      <c r="F717" s="6">
        <f>LOOKUP(D717,'AMFI DATA_2023H2'!F:J,'AMFI DATA_2023H2'!J:J)</f>
        <v>3470.9472999999998</v>
      </c>
      <c r="G717" s="7">
        <f t="shared" si="2"/>
        <v>-1</v>
      </c>
      <c r="H717" s="8"/>
      <c r="I717" s="8">
        <v>4158</v>
      </c>
      <c r="J717" s="8">
        <v>4142</v>
      </c>
      <c r="K717" s="8">
        <v>4087</v>
      </c>
      <c r="L717" s="8">
        <v>4090</v>
      </c>
      <c r="M717" s="8">
        <v>4185</v>
      </c>
      <c r="N717" s="8">
        <v>4273</v>
      </c>
      <c r="O717" s="8">
        <v>4141</v>
      </c>
      <c r="P717" s="8">
        <v>4063</v>
      </c>
      <c r="Q717" s="8">
        <v>4016</v>
      </c>
      <c r="R717" s="8">
        <v>3982</v>
      </c>
      <c r="S717" s="8">
        <v>3972</v>
      </c>
      <c r="T717" s="8">
        <v>4002</v>
      </c>
      <c r="U717" s="8">
        <v>4006</v>
      </c>
      <c r="V717" s="8">
        <v>3879</v>
      </c>
      <c r="W717" s="8">
        <v>3924</v>
      </c>
      <c r="X717" s="8">
        <v>3944</v>
      </c>
      <c r="Y717" s="8">
        <v>4013</v>
      </c>
      <c r="Z717" s="8">
        <v>3990</v>
      </c>
      <c r="AA717" s="8">
        <v>4011</v>
      </c>
      <c r="AB717" s="8">
        <v>4119</v>
      </c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</row>
    <row r="718" spans="1:47" ht="14.4">
      <c r="A718" s="3">
        <f>LOOKUP(D718,'AMFI DATA_2023H2'!F:L,'AMFI DATA_2023H2'!L:L)</f>
        <v>736</v>
      </c>
      <c r="B718" s="4" t="s">
        <v>2153</v>
      </c>
      <c r="C718" s="4" t="s">
        <v>2154</v>
      </c>
      <c r="D718" s="5" t="s">
        <v>2155</v>
      </c>
      <c r="E718" s="5">
        <v>2843.6</v>
      </c>
      <c r="F718" s="6">
        <f>LOOKUP(D718,'AMFI DATA_2023H2'!F:J,'AMFI DATA_2023H2'!J:J)</f>
        <v>3469.91815</v>
      </c>
      <c r="G718" s="7">
        <f t="shared" si="2"/>
        <v>-1</v>
      </c>
      <c r="H718" s="8"/>
      <c r="I718" s="8">
        <v>5018</v>
      </c>
      <c r="J718" s="8">
        <v>4279</v>
      </c>
      <c r="K718" s="8">
        <v>4298</v>
      </c>
      <c r="L718" s="8">
        <v>3754</v>
      </c>
      <c r="M718" s="8">
        <v>3759</v>
      </c>
      <c r="N718" s="8">
        <v>3721</v>
      </c>
      <c r="O718" s="8">
        <v>3772</v>
      </c>
      <c r="P718" s="8">
        <v>3791</v>
      </c>
      <c r="Q718" s="8">
        <v>3570</v>
      </c>
      <c r="R718" s="8">
        <v>3541</v>
      </c>
      <c r="S718" s="8">
        <v>3622</v>
      </c>
      <c r="T718" s="8">
        <v>3548</v>
      </c>
      <c r="U718" s="8">
        <v>3462</v>
      </c>
      <c r="V718" s="8">
        <v>3439</v>
      </c>
      <c r="W718" s="8">
        <v>3521</v>
      </c>
      <c r="X718" s="8">
        <v>3457</v>
      </c>
      <c r="Y718" s="8">
        <v>3285</v>
      </c>
      <c r="Z718" s="8">
        <v>3203</v>
      </c>
      <c r="AA718" s="8">
        <v>3216</v>
      </c>
      <c r="AB718" s="8">
        <v>3235</v>
      </c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</row>
    <row r="719" spans="1:47" ht="14.4">
      <c r="A719" s="3">
        <f>LOOKUP(D719,'AMFI DATA_2023H2'!F:L,'AMFI DATA_2023H2'!L:L)</f>
        <v>737</v>
      </c>
      <c r="B719" s="4" t="s">
        <v>2156</v>
      </c>
      <c r="C719" s="4" t="s">
        <v>2157</v>
      </c>
      <c r="D719" s="5" t="s">
        <v>2158</v>
      </c>
      <c r="E719" s="5">
        <v>2958.51</v>
      </c>
      <c r="F719" s="6">
        <f>LOOKUP(D719,'AMFI DATA_2023H2'!F:J,'AMFI DATA_2023H2'!J:J)</f>
        <v>3465.85475</v>
      </c>
      <c r="G719" s="7">
        <f t="shared" si="2"/>
        <v>-1</v>
      </c>
      <c r="H719" s="8"/>
      <c r="I719" s="8">
        <v>3901</v>
      </c>
      <c r="J719" s="8">
        <v>3973</v>
      </c>
      <c r="K719" s="8">
        <v>3975</v>
      </c>
      <c r="L719" s="8">
        <v>3978</v>
      </c>
      <c r="M719" s="8">
        <v>4082</v>
      </c>
      <c r="N719" s="8">
        <v>4133</v>
      </c>
      <c r="O719" s="8">
        <v>4199</v>
      </c>
      <c r="P719" s="8">
        <v>4195</v>
      </c>
      <c r="Q719" s="8">
        <v>4254</v>
      </c>
      <c r="R719" s="8">
        <v>4046</v>
      </c>
      <c r="S719" s="8">
        <v>4139</v>
      </c>
      <c r="T719" s="8">
        <v>4321</v>
      </c>
      <c r="U719" s="8">
        <v>4346</v>
      </c>
      <c r="V719" s="8">
        <v>4179</v>
      </c>
      <c r="W719" s="8">
        <v>3895</v>
      </c>
      <c r="X719" s="8">
        <v>3881</v>
      </c>
      <c r="Y719" s="8">
        <v>3618</v>
      </c>
      <c r="Z719" s="8">
        <v>3672</v>
      </c>
      <c r="AA719" s="8">
        <v>3565</v>
      </c>
      <c r="AB719" s="8">
        <v>3590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</row>
    <row r="720" spans="1:47" ht="14.4">
      <c r="A720" s="3">
        <f>LOOKUP(D720,'AMFI DATA_2023H2'!F:L,'AMFI DATA_2023H2'!L:L)</f>
        <v>738</v>
      </c>
      <c r="B720" s="4" t="s">
        <v>2159</v>
      </c>
      <c r="C720" s="4" t="s">
        <v>2160</v>
      </c>
      <c r="D720" s="5" t="s">
        <v>2161</v>
      </c>
      <c r="E720" s="5">
        <v>1793.94</v>
      </c>
      <c r="F720" s="6">
        <f>LOOKUP(D720,'AMFI DATA_2023H2'!F:J,'AMFI DATA_2023H2'!J:J)</f>
        <v>3459.4391000000001</v>
      </c>
      <c r="G720" s="7">
        <f t="shared" si="2"/>
        <v>-1</v>
      </c>
      <c r="H720" s="8"/>
      <c r="I720" s="8">
        <v>5720</v>
      </c>
      <c r="J720" s="8">
        <v>5653</v>
      </c>
      <c r="K720" s="8">
        <v>5714</v>
      </c>
      <c r="L720" s="8">
        <v>5731</v>
      </c>
      <c r="M720" s="8">
        <v>5928</v>
      </c>
      <c r="N720" s="8">
        <v>6061</v>
      </c>
      <c r="O720" s="8">
        <v>6101</v>
      </c>
      <c r="P720" s="8">
        <v>5835</v>
      </c>
      <c r="Q720" s="8">
        <v>5764</v>
      </c>
      <c r="R720" s="8">
        <v>5666</v>
      </c>
      <c r="S720" s="8">
        <v>5727</v>
      </c>
      <c r="T720" s="8">
        <v>5640</v>
      </c>
      <c r="U720" s="8">
        <v>5615</v>
      </c>
      <c r="V720" s="8">
        <v>5657</v>
      </c>
      <c r="W720" s="8">
        <v>5742</v>
      </c>
      <c r="X720" s="8">
        <v>5900</v>
      </c>
      <c r="Y720" s="8">
        <v>5364</v>
      </c>
      <c r="Z720" s="8">
        <v>5142</v>
      </c>
      <c r="AA720" s="8">
        <v>5000</v>
      </c>
      <c r="AB720" s="8">
        <v>5054</v>
      </c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</row>
    <row r="721" spans="1:47" ht="14.4">
      <c r="A721" s="3">
        <f>LOOKUP(D721,'AMFI DATA_2023H2'!F:L,'AMFI DATA_2023H2'!L:L)</f>
        <v>739</v>
      </c>
      <c r="B721" s="4" t="s">
        <v>2162</v>
      </c>
      <c r="C721" s="4" t="s">
        <v>2163</v>
      </c>
      <c r="D721" s="5" t="s">
        <v>2164</v>
      </c>
      <c r="E721" s="5">
        <v>1560.19</v>
      </c>
      <c r="F721" s="6">
        <f>LOOKUP(D721,'AMFI DATA_2023H2'!F:J,'AMFI DATA_2023H2'!J:J)</f>
        <v>3444.9784500000001</v>
      </c>
      <c r="G721" s="7">
        <f t="shared" si="2"/>
        <v>-1</v>
      </c>
      <c r="H721" s="8"/>
      <c r="I721" s="8">
        <v>3696</v>
      </c>
      <c r="J721" s="8">
        <v>3635</v>
      </c>
      <c r="K721" s="8">
        <v>3715</v>
      </c>
      <c r="L721" s="8">
        <v>3721</v>
      </c>
      <c r="M721" s="8">
        <v>3767</v>
      </c>
      <c r="N721" s="8">
        <v>3771</v>
      </c>
      <c r="O721" s="8">
        <v>3737</v>
      </c>
      <c r="P721" s="8">
        <v>3754</v>
      </c>
      <c r="Q721" s="8">
        <v>3667</v>
      </c>
      <c r="R721" s="8">
        <v>3671</v>
      </c>
      <c r="S721" s="8">
        <v>3762</v>
      </c>
      <c r="T721" s="8">
        <v>3741</v>
      </c>
      <c r="U721" s="8">
        <v>3761</v>
      </c>
      <c r="V721" s="8">
        <v>3757</v>
      </c>
      <c r="W721" s="8">
        <v>3811</v>
      </c>
      <c r="X721" s="8">
        <v>4124</v>
      </c>
      <c r="Y721" s="8">
        <v>4123</v>
      </c>
      <c r="Z721" s="8">
        <v>4177</v>
      </c>
      <c r="AA721" s="8">
        <v>4096</v>
      </c>
      <c r="AB721" s="8">
        <v>3870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</row>
    <row r="722" spans="1:47" ht="14.4">
      <c r="A722" s="3">
        <f>LOOKUP(D722,'AMFI DATA_2023H2'!F:L,'AMFI DATA_2023H2'!L:L)</f>
        <v>740</v>
      </c>
      <c r="B722" s="4" t="s">
        <v>2165</v>
      </c>
      <c r="C722" s="4" t="s">
        <v>2166</v>
      </c>
      <c r="D722" s="5" t="s">
        <v>2167</v>
      </c>
      <c r="E722" s="5">
        <v>1905.3</v>
      </c>
      <c r="F722" s="6">
        <f>LOOKUP(D722,'AMFI DATA_2023H2'!F:J,'AMFI DATA_2023H2'!J:J)</f>
        <v>3434.2257</v>
      </c>
      <c r="G722" s="7">
        <f t="shared" si="2"/>
        <v>-1</v>
      </c>
      <c r="H722" s="8"/>
      <c r="I722" s="8">
        <v>3421</v>
      </c>
      <c r="J722" s="8">
        <v>3422</v>
      </c>
      <c r="K722" s="8">
        <v>3467</v>
      </c>
      <c r="L722" s="8">
        <v>3520</v>
      </c>
      <c r="M722" s="8">
        <v>3645</v>
      </c>
      <c r="N722" s="8">
        <v>3548</v>
      </c>
      <c r="O722" s="8">
        <v>3382</v>
      </c>
      <c r="P722" s="8">
        <v>3373</v>
      </c>
      <c r="Q722" s="8">
        <v>3395</v>
      </c>
      <c r="R722" s="8">
        <v>3388</v>
      </c>
      <c r="S722" s="8">
        <v>3429</v>
      </c>
      <c r="T722" s="8">
        <v>3391</v>
      </c>
      <c r="U722" s="8">
        <v>3397</v>
      </c>
      <c r="V722" s="8">
        <v>3422</v>
      </c>
      <c r="W722" s="8">
        <v>3385</v>
      </c>
      <c r="X722" s="8">
        <v>3403</v>
      </c>
      <c r="Y722" s="8">
        <v>3392</v>
      </c>
      <c r="Z722" s="8">
        <v>3410</v>
      </c>
      <c r="AA722" s="8">
        <v>3442</v>
      </c>
      <c r="AB722" s="8">
        <v>3422</v>
      </c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</row>
    <row r="723" spans="1:47" ht="14.4">
      <c r="A723" s="3">
        <f>LOOKUP(D723,'AMFI DATA_2023H2'!F:L,'AMFI DATA_2023H2'!L:L)</f>
        <v>741</v>
      </c>
      <c r="B723" s="4" t="s">
        <v>2168</v>
      </c>
      <c r="C723" s="4" t="s">
        <v>2169</v>
      </c>
      <c r="D723" s="5" t="s">
        <v>2170</v>
      </c>
      <c r="E723" s="5">
        <v>2782.07</v>
      </c>
      <c r="F723" s="6">
        <f>LOOKUP(D723,'AMFI DATA_2023H2'!F:J,'AMFI DATA_2023H2'!J:J)</f>
        <v>3432.1648500000001</v>
      </c>
      <c r="G723" s="7">
        <f t="shared" si="2"/>
        <v>-1</v>
      </c>
      <c r="H723" s="8"/>
      <c r="I723" s="8">
        <v>3732</v>
      </c>
      <c r="J723" s="8">
        <v>3904</v>
      </c>
      <c r="K723" s="8">
        <v>3769</v>
      </c>
      <c r="L723" s="8">
        <v>3916</v>
      </c>
      <c r="M723" s="8">
        <v>3867</v>
      </c>
      <c r="N723" s="8">
        <v>4198</v>
      </c>
      <c r="O723" s="8">
        <v>4384</v>
      </c>
      <c r="P723" s="8">
        <v>4382</v>
      </c>
      <c r="Q723" s="8">
        <v>4056</v>
      </c>
      <c r="R723" s="8">
        <v>4242</v>
      </c>
      <c r="S723" s="8">
        <v>3983</v>
      </c>
      <c r="T723" s="8">
        <v>3590</v>
      </c>
      <c r="U723" s="8">
        <v>3471</v>
      </c>
      <c r="V723" s="8">
        <v>3519</v>
      </c>
      <c r="W723" s="8">
        <v>3567</v>
      </c>
      <c r="X723" s="8">
        <v>3375</v>
      </c>
      <c r="Y723" s="8">
        <v>3410</v>
      </c>
      <c r="Z723" s="8">
        <v>3546</v>
      </c>
      <c r="AA723" s="8">
        <v>3566</v>
      </c>
      <c r="AB723" s="8">
        <v>3637</v>
      </c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</row>
    <row r="724" spans="1:47" ht="14.4">
      <c r="A724" s="3">
        <f>LOOKUP(D724,'AMFI DATA_2023H2'!F:L,'AMFI DATA_2023H2'!L:L)</f>
        <v>742</v>
      </c>
      <c r="B724" s="4" t="s">
        <v>2171</v>
      </c>
      <c r="C724" s="4" t="s">
        <v>2172</v>
      </c>
      <c r="D724" s="5" t="s">
        <v>2173</v>
      </c>
      <c r="E724" s="5">
        <v>723.97</v>
      </c>
      <c r="F724" s="6">
        <f>LOOKUP(D724,'AMFI DATA_2023H2'!F:J,'AMFI DATA_2023H2'!J:J)</f>
        <v>3427.8427000000001</v>
      </c>
      <c r="G724" s="7">
        <f t="shared" si="2"/>
        <v>-1</v>
      </c>
      <c r="H724" s="8"/>
      <c r="I724" s="8">
        <v>3455</v>
      </c>
      <c r="J724" s="8">
        <v>3495</v>
      </c>
      <c r="K724" s="8">
        <v>3505</v>
      </c>
      <c r="L724" s="8">
        <v>3471</v>
      </c>
      <c r="M724" s="8">
        <v>3556</v>
      </c>
      <c r="N724" s="8">
        <v>3599</v>
      </c>
      <c r="O724" s="8">
        <v>3688</v>
      </c>
      <c r="P724" s="8">
        <v>3703</v>
      </c>
      <c r="Q724" s="8">
        <v>3761</v>
      </c>
      <c r="R724" s="8">
        <v>3756</v>
      </c>
      <c r="S724" s="8">
        <v>3761</v>
      </c>
      <c r="T724" s="8">
        <v>3753</v>
      </c>
      <c r="U724" s="8">
        <v>3772</v>
      </c>
      <c r="V724" s="8">
        <v>3808</v>
      </c>
      <c r="W724" s="8">
        <v>3859</v>
      </c>
      <c r="X724" s="8">
        <v>4206</v>
      </c>
      <c r="Y724" s="8">
        <v>3829</v>
      </c>
      <c r="Z724" s="8">
        <v>3826</v>
      </c>
      <c r="AA724" s="8">
        <v>3896</v>
      </c>
      <c r="AB724" s="8">
        <v>3845</v>
      </c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</row>
    <row r="725" spans="1:47" ht="14.4">
      <c r="A725" s="3">
        <f>LOOKUP(D725,'AMFI DATA_2023H2'!F:L,'AMFI DATA_2023H2'!L:L)</f>
        <v>743</v>
      </c>
      <c r="B725" s="4" t="s">
        <v>2174</v>
      </c>
      <c r="C725" s="4" t="s">
        <v>2175</v>
      </c>
      <c r="D725" s="5" t="s">
        <v>2176</v>
      </c>
      <c r="E725" s="5">
        <v>1736.69</v>
      </c>
      <c r="F725" s="6">
        <f>LOOKUP(D725,'AMFI DATA_2023H2'!F:J,'AMFI DATA_2023H2'!J:J)</f>
        <v>3403.1188499999998</v>
      </c>
      <c r="G725" s="7">
        <f t="shared" si="2"/>
        <v>-1</v>
      </c>
      <c r="H725" s="8"/>
      <c r="I725" s="8">
        <v>4905</v>
      </c>
      <c r="J725" s="8">
        <v>4830</v>
      </c>
      <c r="K725" s="8">
        <v>4884</v>
      </c>
      <c r="L725" s="8">
        <v>4914</v>
      </c>
      <c r="M725" s="8">
        <v>4906</v>
      </c>
      <c r="N725" s="8">
        <v>4940</v>
      </c>
      <c r="O725" s="8">
        <v>4920</v>
      </c>
      <c r="P725" s="8">
        <v>4880</v>
      </c>
      <c r="Q725" s="8">
        <v>4908</v>
      </c>
      <c r="R725" s="8">
        <v>4540</v>
      </c>
      <c r="S725" s="8">
        <v>4586</v>
      </c>
      <c r="T725" s="8">
        <v>4654</v>
      </c>
      <c r="U725" s="8">
        <v>4469</v>
      </c>
      <c r="V725" s="8">
        <v>4455</v>
      </c>
      <c r="W725" s="8">
        <v>4501</v>
      </c>
      <c r="X725" s="8">
        <v>4570</v>
      </c>
      <c r="Y725" s="8">
        <v>4562</v>
      </c>
      <c r="Z725" s="8">
        <v>4684</v>
      </c>
      <c r="AA725" s="8">
        <v>4637</v>
      </c>
      <c r="AB725" s="8">
        <v>4425</v>
      </c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</row>
    <row r="726" spans="1:47" ht="14.4">
      <c r="A726" s="3">
        <f>LOOKUP(D726,'AMFI DATA_2023H2'!F:L,'AMFI DATA_2023H2'!L:L)</f>
        <v>744</v>
      </c>
      <c r="B726" s="4" t="s">
        <v>2177</v>
      </c>
      <c r="C726" s="4" t="s">
        <v>2178</v>
      </c>
      <c r="D726" s="5" t="s">
        <v>2179</v>
      </c>
      <c r="E726" s="5">
        <v>2836.49</v>
      </c>
      <c r="F726" s="6">
        <f>LOOKUP(D726,'AMFI DATA_2023H2'!F:J,'AMFI DATA_2023H2'!J:J)</f>
        <v>3396.6108000000004</v>
      </c>
      <c r="G726" s="7">
        <f t="shared" si="2"/>
        <v>-1</v>
      </c>
      <c r="H726" s="8"/>
      <c r="I726" s="8">
        <v>3609</v>
      </c>
      <c r="J726" s="8">
        <v>3594</v>
      </c>
      <c r="K726" s="8">
        <v>3503</v>
      </c>
      <c r="L726" s="8">
        <v>3602</v>
      </c>
      <c r="M726" s="8">
        <v>3568</v>
      </c>
      <c r="N726" s="8">
        <v>3646</v>
      </c>
      <c r="O726" s="8">
        <v>3665</v>
      </c>
      <c r="P726" s="8">
        <v>3631</v>
      </c>
      <c r="Q726" s="8">
        <v>3660</v>
      </c>
      <c r="R726" s="8">
        <v>3751</v>
      </c>
      <c r="S726" s="8">
        <v>3787</v>
      </c>
      <c r="T726" s="8">
        <v>3765</v>
      </c>
      <c r="U726" s="8">
        <v>3802</v>
      </c>
      <c r="V726" s="8">
        <v>3805</v>
      </c>
      <c r="W726" s="8">
        <v>3832</v>
      </c>
      <c r="X726" s="8">
        <v>3807</v>
      </c>
      <c r="Y726" s="8">
        <v>3815</v>
      </c>
      <c r="Z726" s="8">
        <v>3799</v>
      </c>
      <c r="AA726" s="8">
        <v>3801</v>
      </c>
      <c r="AB726" s="8">
        <v>3717</v>
      </c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</row>
    <row r="727" spans="1:47" ht="14.4">
      <c r="A727" s="3">
        <f>LOOKUP(D727,'AMFI DATA_2023H2'!F:L,'AMFI DATA_2023H2'!L:L)</f>
        <v>745</v>
      </c>
      <c r="B727" s="4" t="s">
        <v>2180</v>
      </c>
      <c r="C727" s="4" t="s">
        <v>2181</v>
      </c>
      <c r="D727" s="5" t="s">
        <v>2182</v>
      </c>
      <c r="E727" s="5">
        <v>2786.2</v>
      </c>
      <c r="F727" s="6">
        <f>LOOKUP(D727,'AMFI DATA_2023H2'!F:J,'AMFI DATA_2023H2'!J:J)</f>
        <v>3394.1615999999999</v>
      </c>
      <c r="G727" s="7">
        <f t="shared" si="2"/>
        <v>-1</v>
      </c>
      <c r="H727" s="8"/>
      <c r="I727" s="8">
        <v>5111</v>
      </c>
      <c r="J727" s="8">
        <v>4904</v>
      </c>
      <c r="K727" s="8">
        <v>4988</v>
      </c>
      <c r="L727" s="8">
        <v>4619</v>
      </c>
      <c r="M727" s="8">
        <v>4672</v>
      </c>
      <c r="N727" s="8">
        <v>4090</v>
      </c>
      <c r="O727" s="8">
        <v>4143</v>
      </c>
      <c r="P727" s="8">
        <v>3993</v>
      </c>
      <c r="Q727" s="8">
        <v>3941</v>
      </c>
      <c r="R727" s="8">
        <v>3933</v>
      </c>
      <c r="S727" s="8">
        <v>4005</v>
      </c>
      <c r="T727" s="8">
        <v>4091</v>
      </c>
      <c r="U727" s="8">
        <v>3960</v>
      </c>
      <c r="V727" s="8">
        <v>3963</v>
      </c>
      <c r="W727" s="8">
        <v>3917</v>
      </c>
      <c r="X727" s="8">
        <v>3867</v>
      </c>
      <c r="Y727" s="8">
        <v>3860</v>
      </c>
      <c r="Z727" s="8">
        <v>3802</v>
      </c>
      <c r="AA727" s="8">
        <v>3909</v>
      </c>
      <c r="AB727" s="8">
        <v>3777</v>
      </c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</row>
    <row r="728" spans="1:47" ht="14.4">
      <c r="A728" s="3">
        <f>LOOKUP(D728,'AMFI DATA_2023H2'!F:L,'AMFI DATA_2023H2'!L:L)</f>
        <v>746</v>
      </c>
      <c r="B728" s="4" t="s">
        <v>2183</v>
      </c>
      <c r="C728" s="4" t="s">
        <v>2184</v>
      </c>
      <c r="D728" s="5" t="s">
        <v>2185</v>
      </c>
      <c r="E728" s="5">
        <v>1123.27</v>
      </c>
      <c r="F728" s="6">
        <f>LOOKUP(D728,'AMFI DATA_2023H2'!F:J,'AMFI DATA_2023H2'!J:J)</f>
        <v>3393.1336499999998</v>
      </c>
      <c r="G728" s="7">
        <f t="shared" si="2"/>
        <v>-1</v>
      </c>
      <c r="H728" s="8"/>
      <c r="I728" s="8">
        <v>5658</v>
      </c>
      <c r="J728" s="8">
        <v>5585</v>
      </c>
      <c r="K728" s="8">
        <v>5692</v>
      </c>
      <c r="L728" s="8">
        <v>5756</v>
      </c>
      <c r="M728" s="8">
        <v>5732</v>
      </c>
      <c r="N728" s="8">
        <v>5810</v>
      </c>
      <c r="O728" s="8">
        <v>5948</v>
      </c>
      <c r="P728" s="8">
        <v>5934</v>
      </c>
      <c r="Q728" s="8">
        <v>6015</v>
      </c>
      <c r="R728" s="8">
        <v>5859</v>
      </c>
      <c r="S728" s="8">
        <v>5668</v>
      </c>
      <c r="T728" s="8">
        <v>5642</v>
      </c>
      <c r="U728" s="8">
        <v>5375</v>
      </c>
      <c r="V728" s="8">
        <v>5358</v>
      </c>
      <c r="W728" s="8">
        <v>5461</v>
      </c>
      <c r="X728" s="8">
        <v>5387</v>
      </c>
      <c r="Y728" s="8">
        <v>5424</v>
      </c>
      <c r="Z728" s="8">
        <v>5476</v>
      </c>
      <c r="AA728" s="8">
        <v>5568</v>
      </c>
      <c r="AB728" s="8">
        <v>5398</v>
      </c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</row>
    <row r="729" spans="1:47" ht="14.4">
      <c r="A729" s="3">
        <f>LOOKUP(D729,'AMFI DATA_2023H2'!F:L,'AMFI DATA_2023H2'!L:L)</f>
        <v>747</v>
      </c>
      <c r="B729" s="4" t="s">
        <v>2186</v>
      </c>
      <c r="C729" s="4" t="s">
        <v>2187</v>
      </c>
      <c r="D729" s="5" t="s">
        <v>2188</v>
      </c>
      <c r="E729" s="5">
        <v>3503.04</v>
      </c>
      <c r="F729" s="6">
        <f>LOOKUP(D729,'AMFI DATA_2023H2'!F:J,'AMFI DATA_2023H2'!J:J)</f>
        <v>3365.8388999999997</v>
      </c>
      <c r="G729" s="7">
        <f t="shared" si="2"/>
        <v>-1</v>
      </c>
      <c r="H729" s="8"/>
      <c r="I729" s="8">
        <v>3257</v>
      </c>
      <c r="J729" s="8">
        <v>3249</v>
      </c>
      <c r="K729" s="8">
        <v>3298</v>
      </c>
      <c r="L729" s="8">
        <v>3331</v>
      </c>
      <c r="M729" s="8">
        <v>3385</v>
      </c>
      <c r="N729" s="8">
        <v>3362</v>
      </c>
      <c r="O729" s="8">
        <v>3325</v>
      </c>
      <c r="P729" s="8">
        <v>3269</v>
      </c>
      <c r="Q729" s="8">
        <v>3256</v>
      </c>
      <c r="R729" s="8">
        <v>3230</v>
      </c>
      <c r="S729" s="8">
        <v>3230</v>
      </c>
      <c r="T729" s="8">
        <v>3321</v>
      </c>
      <c r="U729" s="8">
        <v>3331</v>
      </c>
      <c r="V729" s="8">
        <v>3325</v>
      </c>
      <c r="W729" s="8">
        <v>3274</v>
      </c>
      <c r="X729" s="8">
        <v>3242</v>
      </c>
      <c r="Y729" s="8">
        <v>3249</v>
      </c>
      <c r="Z729" s="8">
        <v>3261</v>
      </c>
      <c r="AA729" s="8">
        <v>3264</v>
      </c>
      <c r="AB729" s="8">
        <v>3328</v>
      </c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</row>
    <row r="730" spans="1:47" ht="14.4">
      <c r="A730" s="3">
        <f>LOOKUP(D730,'AMFI DATA_2023H2'!F:L,'AMFI DATA_2023H2'!L:L)</f>
        <v>748</v>
      </c>
      <c r="B730" s="4" t="s">
        <v>2189</v>
      </c>
      <c r="C730" s="4" t="s">
        <v>2190</v>
      </c>
      <c r="D730" s="5" t="s">
        <v>2191</v>
      </c>
      <c r="E730" s="5">
        <v>2504.42</v>
      </c>
      <c r="F730" s="6">
        <f>LOOKUP(D730,'AMFI DATA_2023H2'!F:J,'AMFI DATA_2023H2'!J:J)</f>
        <v>3360.2757499999998</v>
      </c>
      <c r="G730" s="7">
        <f t="shared" si="2"/>
        <v>-1</v>
      </c>
      <c r="H730" s="8"/>
      <c r="I730" s="8">
        <v>3350</v>
      </c>
      <c r="J730" s="8">
        <v>3340</v>
      </c>
      <c r="K730" s="8">
        <v>3363</v>
      </c>
      <c r="L730" s="8">
        <v>3438</v>
      </c>
      <c r="M730" s="8">
        <v>3495</v>
      </c>
      <c r="N730" s="8">
        <v>3453</v>
      </c>
      <c r="O730" s="8">
        <v>3483</v>
      </c>
      <c r="P730" s="8">
        <v>3510</v>
      </c>
      <c r="Q730" s="8">
        <v>3518</v>
      </c>
      <c r="R730" s="8">
        <v>3547</v>
      </c>
      <c r="S730" s="8">
        <v>3510</v>
      </c>
      <c r="T730" s="8">
        <v>3548</v>
      </c>
      <c r="U730" s="8">
        <v>3619</v>
      </c>
      <c r="V730" s="8">
        <v>3451</v>
      </c>
      <c r="W730" s="8">
        <v>3445</v>
      </c>
      <c r="X730" s="8">
        <v>3429</v>
      </c>
      <c r="Y730" s="8">
        <v>3350</v>
      </c>
      <c r="Z730" s="8">
        <v>3347</v>
      </c>
      <c r="AA730" s="8">
        <v>3302</v>
      </c>
      <c r="AB730" s="8">
        <v>3225</v>
      </c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</row>
    <row r="731" spans="1:47" ht="14.4">
      <c r="A731" s="3">
        <f>LOOKUP(D731,'AMFI DATA_2023H2'!F:L,'AMFI DATA_2023H2'!L:L)</f>
        <v>749</v>
      </c>
      <c r="B731" s="4" t="s">
        <v>2192</v>
      </c>
      <c r="C731" s="4" t="s">
        <v>2193</v>
      </c>
      <c r="D731" s="5" t="s">
        <v>2194</v>
      </c>
      <c r="E731" s="5">
        <v>2875.36</v>
      </c>
      <c r="F731" s="6">
        <f>LOOKUP(D731,'AMFI DATA_2023H2'!F:J,'AMFI DATA_2023H2'!J:J)</f>
        <v>3341.55915</v>
      </c>
      <c r="G731" s="7">
        <f t="shared" si="2"/>
        <v>-1</v>
      </c>
      <c r="H731" s="8"/>
      <c r="I731" s="8">
        <v>3177</v>
      </c>
      <c r="J731" s="8">
        <v>3141</v>
      </c>
      <c r="K731" s="8">
        <v>3206</v>
      </c>
      <c r="L731" s="8">
        <v>3230</v>
      </c>
      <c r="M731" s="8">
        <v>3244</v>
      </c>
      <c r="N731" s="8">
        <v>3255</v>
      </c>
      <c r="O731" s="8">
        <v>3259</v>
      </c>
      <c r="P731" s="8">
        <v>3266</v>
      </c>
      <c r="Q731" s="8">
        <v>3268</v>
      </c>
      <c r="R731" s="8">
        <v>3262</v>
      </c>
      <c r="S731" s="8">
        <v>3295</v>
      </c>
      <c r="T731" s="8">
        <v>3310</v>
      </c>
      <c r="U731" s="8">
        <v>3302</v>
      </c>
      <c r="V731" s="8">
        <v>3293</v>
      </c>
      <c r="W731" s="8">
        <v>3355</v>
      </c>
      <c r="X731" s="8">
        <v>3337</v>
      </c>
      <c r="Y731" s="8">
        <v>3268</v>
      </c>
      <c r="Z731" s="8">
        <v>3259</v>
      </c>
      <c r="AA731" s="8">
        <v>3259</v>
      </c>
      <c r="AB731" s="8">
        <v>3268</v>
      </c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</row>
    <row r="732" spans="1:47" ht="14.4">
      <c r="A732" s="3">
        <f>LOOKUP(D732,'AMFI DATA_2023H2'!F:L,'AMFI DATA_2023H2'!L:L)</f>
        <v>750</v>
      </c>
      <c r="B732" s="4" t="s">
        <v>2195</v>
      </c>
      <c r="C732" s="4" t="s">
        <v>2196</v>
      </c>
      <c r="D732" s="5" t="s">
        <v>2197</v>
      </c>
      <c r="E732" s="5">
        <v>3485.17</v>
      </c>
      <c r="F732" s="6">
        <f>LOOKUP(D732,'AMFI DATA_2023H2'!F:J,'AMFI DATA_2023H2'!J:J)</f>
        <v>3327.7748999999999</v>
      </c>
      <c r="G732" s="7">
        <f t="shared" si="2"/>
        <v>-1</v>
      </c>
      <c r="H732" s="8"/>
      <c r="I732" s="8">
        <v>3069</v>
      </c>
      <c r="J732" s="8">
        <v>3074</v>
      </c>
      <c r="K732" s="8">
        <v>3227</v>
      </c>
      <c r="L732" s="8">
        <v>3208</v>
      </c>
      <c r="M732" s="8">
        <v>3269</v>
      </c>
      <c r="N732" s="8">
        <v>3194</v>
      </c>
      <c r="O732" s="8">
        <v>3170</v>
      </c>
      <c r="P732" s="8">
        <v>3173</v>
      </c>
      <c r="Q732" s="8">
        <v>3154</v>
      </c>
      <c r="R732" s="8">
        <v>3189</v>
      </c>
      <c r="S732" s="8">
        <v>3151</v>
      </c>
      <c r="T732" s="8">
        <v>3175</v>
      </c>
      <c r="U732" s="8">
        <v>3219</v>
      </c>
      <c r="V732" s="8">
        <v>3204</v>
      </c>
      <c r="W732" s="8">
        <v>3231</v>
      </c>
      <c r="X732" s="8">
        <v>3206</v>
      </c>
      <c r="Y732" s="8">
        <v>3147</v>
      </c>
      <c r="Z732" s="8">
        <v>3157</v>
      </c>
      <c r="AA732" s="8">
        <v>3143</v>
      </c>
      <c r="AB732" s="8">
        <v>3159</v>
      </c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</row>
    <row r="733" spans="1:47" ht="14.4">
      <c r="A733" s="3">
        <f>LOOKUP(D733,'AMFI DATA_2023H2'!F:L,'AMFI DATA_2023H2'!L:L)</f>
        <v>751</v>
      </c>
      <c r="B733" s="4" t="s">
        <v>2198</v>
      </c>
      <c r="C733" s="4" t="s">
        <v>2199</v>
      </c>
      <c r="D733" s="5" t="s">
        <v>2200</v>
      </c>
      <c r="E733" s="5">
        <v>1647.04</v>
      </c>
      <c r="F733" s="6">
        <f>LOOKUP(D733,'AMFI DATA_2023H2'!F:J,'AMFI DATA_2023H2'!J:J)</f>
        <v>3327.47055</v>
      </c>
      <c r="G733" s="7">
        <f t="shared" si="2"/>
        <v>-1</v>
      </c>
      <c r="H733" s="8"/>
      <c r="I733" s="8">
        <v>4095</v>
      </c>
      <c r="J733" s="8">
        <v>4049</v>
      </c>
      <c r="K733" s="8">
        <v>4051</v>
      </c>
      <c r="L733" s="8">
        <v>4167</v>
      </c>
      <c r="M733" s="8">
        <v>4197</v>
      </c>
      <c r="N733" s="8">
        <v>4281</v>
      </c>
      <c r="O733" s="8">
        <v>4277</v>
      </c>
      <c r="P733" s="8">
        <v>4326</v>
      </c>
      <c r="Q733" s="8">
        <v>4292</v>
      </c>
      <c r="R733" s="8">
        <v>4340</v>
      </c>
      <c r="S733" s="8">
        <v>4337</v>
      </c>
      <c r="T733" s="8">
        <v>4343</v>
      </c>
      <c r="U733" s="8">
        <v>4408</v>
      </c>
      <c r="V733" s="8">
        <v>4380</v>
      </c>
      <c r="W733" s="8">
        <v>4393</v>
      </c>
      <c r="X733" s="8">
        <v>4258</v>
      </c>
      <c r="Y733" s="8">
        <v>4296</v>
      </c>
      <c r="Z733" s="8">
        <v>4300</v>
      </c>
      <c r="AA733" s="8">
        <v>4362</v>
      </c>
      <c r="AB733" s="8">
        <v>4346</v>
      </c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</row>
    <row r="734" spans="1:47" ht="14.4">
      <c r="A734" s="3">
        <f>LOOKUP(D734,'AMFI DATA_2023H2'!F:L,'AMFI DATA_2023H2'!L:L)</f>
        <v>752</v>
      </c>
      <c r="B734" s="4" t="s">
        <v>2201</v>
      </c>
      <c r="C734" s="4" t="s">
        <v>2202</v>
      </c>
      <c r="D734" s="5" t="s">
        <v>2203</v>
      </c>
      <c r="E734" s="5">
        <v>2277.75</v>
      </c>
      <c r="F734" s="6">
        <f>LOOKUP(D734,'AMFI DATA_2023H2'!F:J,'AMFI DATA_2023H2'!J:J)</f>
        <v>3319.7905500000002</v>
      </c>
      <c r="G734" s="7">
        <f t="shared" si="2"/>
        <v>-1</v>
      </c>
      <c r="H734" s="8"/>
      <c r="I734" s="8">
        <v>4570</v>
      </c>
      <c r="J734" s="8">
        <v>4518</v>
      </c>
      <c r="K734" s="8">
        <v>4448</v>
      </c>
      <c r="L734" s="8">
        <v>4416</v>
      </c>
      <c r="M734" s="8">
        <v>4399</v>
      </c>
      <c r="N734" s="8">
        <v>4536</v>
      </c>
      <c r="O734" s="8">
        <v>4556</v>
      </c>
      <c r="P734" s="8">
        <v>4538</v>
      </c>
      <c r="Q734" s="8">
        <v>4560</v>
      </c>
      <c r="R734" s="8">
        <v>4045</v>
      </c>
      <c r="S734" s="8">
        <v>4031</v>
      </c>
      <c r="T734" s="8">
        <v>4097</v>
      </c>
      <c r="U734" s="8">
        <v>4007</v>
      </c>
      <c r="V734" s="8">
        <v>3835</v>
      </c>
      <c r="W734" s="8">
        <v>3846</v>
      </c>
      <c r="X734" s="8">
        <v>3908</v>
      </c>
      <c r="Y734" s="8">
        <v>3846</v>
      </c>
      <c r="Z734" s="8">
        <v>3881</v>
      </c>
      <c r="AA734" s="8">
        <v>3930</v>
      </c>
      <c r="AB734" s="8">
        <v>3859</v>
      </c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</row>
    <row r="735" spans="1:47" ht="14.4">
      <c r="A735" s="3">
        <f>LOOKUP(D735,'AMFI DATA_2023H2'!F:L,'AMFI DATA_2023H2'!L:L)</f>
        <v>753</v>
      </c>
      <c r="B735" s="4" t="s">
        <v>2204</v>
      </c>
      <c r="C735" s="4" t="s">
        <v>2205</v>
      </c>
      <c r="D735" s="5" t="s">
        <v>2206</v>
      </c>
      <c r="E735" s="5">
        <v>2924.51</v>
      </c>
      <c r="F735" s="6">
        <f>LOOKUP(D735,'AMFI DATA_2023H2'!F:J,'AMFI DATA_2023H2'!J:J)</f>
        <v>3308.1291499999998</v>
      </c>
      <c r="G735" s="7">
        <f t="shared" si="2"/>
        <v>-1</v>
      </c>
      <c r="H735" s="8"/>
      <c r="I735" s="8">
        <v>3772</v>
      </c>
      <c r="J735" s="8">
        <v>3727</v>
      </c>
      <c r="K735" s="8">
        <v>3726</v>
      </c>
      <c r="L735" s="8">
        <v>3757</v>
      </c>
      <c r="M735" s="8">
        <v>3690</v>
      </c>
      <c r="N735" s="8">
        <v>3658</v>
      </c>
      <c r="O735" s="8">
        <v>3646</v>
      </c>
      <c r="P735" s="8">
        <v>3680</v>
      </c>
      <c r="Q735" s="8">
        <v>3693</v>
      </c>
      <c r="R735" s="8">
        <v>3709</v>
      </c>
      <c r="S735" s="8">
        <v>3705</v>
      </c>
      <c r="T735" s="8">
        <v>3663</v>
      </c>
      <c r="U735" s="8">
        <v>3629</v>
      </c>
      <c r="V735" s="8">
        <v>3598</v>
      </c>
      <c r="W735" s="8">
        <v>3613</v>
      </c>
      <c r="X735" s="8">
        <v>3432</v>
      </c>
      <c r="Y735" s="8">
        <v>3422</v>
      </c>
      <c r="Z735" s="8">
        <v>3462</v>
      </c>
      <c r="AA735" s="8">
        <v>3445</v>
      </c>
      <c r="AB735" s="8">
        <v>3419</v>
      </c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</row>
    <row r="736" spans="1:47" ht="14.4">
      <c r="A736" s="3">
        <f>LOOKUP(D736,'AMFI DATA_2023H2'!F:L,'AMFI DATA_2023H2'!L:L)</f>
        <v>754</v>
      </c>
      <c r="B736" s="4" t="s">
        <v>2207</v>
      </c>
      <c r="C736" s="4" t="s">
        <v>2208</v>
      </c>
      <c r="D736" s="5" t="s">
        <v>2209</v>
      </c>
      <c r="E736" s="5">
        <v>2404.89</v>
      </c>
      <c r="F736" s="6">
        <f>LOOKUP(D736,'AMFI DATA_2023H2'!F:J,'AMFI DATA_2023H2'!J:J)</f>
        <v>3299.9230499999999</v>
      </c>
      <c r="G736" s="7">
        <f t="shared" si="2"/>
        <v>-1</v>
      </c>
      <c r="H736" s="8"/>
      <c r="I736" s="8">
        <v>3957</v>
      </c>
      <c r="J736" s="8">
        <v>3828</v>
      </c>
      <c r="K736" s="8">
        <v>3848</v>
      </c>
      <c r="L736" s="8">
        <v>3847</v>
      </c>
      <c r="M736" s="8">
        <v>3774</v>
      </c>
      <c r="N736" s="8">
        <v>3791</v>
      </c>
      <c r="O736" s="8">
        <v>3652</v>
      </c>
      <c r="P736" s="8">
        <v>3745</v>
      </c>
      <c r="Q736" s="8">
        <v>3718</v>
      </c>
      <c r="R736" s="8">
        <v>3398</v>
      </c>
      <c r="S736" s="8">
        <v>3463</v>
      </c>
      <c r="T736" s="8">
        <v>3465</v>
      </c>
      <c r="U736" s="8">
        <v>3497</v>
      </c>
      <c r="V736" s="8">
        <v>3531</v>
      </c>
      <c r="W736" s="8">
        <v>3515</v>
      </c>
      <c r="X736" s="8">
        <v>3486</v>
      </c>
      <c r="Y736" s="8">
        <v>3507</v>
      </c>
      <c r="Z736" s="8">
        <v>3449</v>
      </c>
      <c r="AA736" s="8">
        <v>3446</v>
      </c>
      <c r="AB736" s="8">
        <v>3307</v>
      </c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</row>
    <row r="737" spans="1:47" ht="14.4">
      <c r="A737" s="3">
        <f>LOOKUP(D737,'AMFI DATA_2023H2'!F:L,'AMFI DATA_2023H2'!L:L)</f>
        <v>755</v>
      </c>
      <c r="B737" s="4" t="s">
        <v>2210</v>
      </c>
      <c r="C737" s="4" t="s">
        <v>2211</v>
      </c>
      <c r="D737" s="5" t="s">
        <v>2212</v>
      </c>
      <c r="E737" s="5">
        <v>1748.41</v>
      </c>
      <c r="F737" s="6">
        <f>LOOKUP(D737,'AMFI DATA_2023H2'!F:J,'AMFI DATA_2023H2'!J:J)</f>
        <v>3282.4949499999998</v>
      </c>
      <c r="G737" s="7">
        <f t="shared" si="2"/>
        <v>-1</v>
      </c>
      <c r="H737" s="8"/>
      <c r="I737" s="8">
        <v>4669</v>
      </c>
      <c r="J737" s="8">
        <v>4427</v>
      </c>
      <c r="K737" s="8">
        <v>4241</v>
      </c>
      <c r="L737" s="8">
        <v>4176</v>
      </c>
      <c r="M737" s="8">
        <v>4244</v>
      </c>
      <c r="N737" s="8">
        <v>4175</v>
      </c>
      <c r="O737" s="8">
        <v>3976</v>
      </c>
      <c r="P737" s="8">
        <v>3949</v>
      </c>
      <c r="Q737" s="8">
        <v>3974</v>
      </c>
      <c r="R737" s="8">
        <v>3839</v>
      </c>
      <c r="S737" s="8">
        <v>3861</v>
      </c>
      <c r="T737" s="8">
        <v>3804</v>
      </c>
      <c r="U737" s="8">
        <v>3842</v>
      </c>
      <c r="V737" s="8">
        <v>3860</v>
      </c>
      <c r="W737" s="8">
        <v>3842</v>
      </c>
      <c r="X737" s="8">
        <v>3930</v>
      </c>
      <c r="Y737" s="8">
        <v>3976</v>
      </c>
      <c r="Z737" s="8">
        <v>3962</v>
      </c>
      <c r="AA737" s="8">
        <v>3874</v>
      </c>
      <c r="AB737" s="8">
        <v>3913</v>
      </c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</row>
    <row r="738" spans="1:47" ht="14.4">
      <c r="A738" s="3">
        <f>LOOKUP(D738,'AMFI DATA_2023H2'!F:L,'AMFI DATA_2023H2'!L:L)</f>
        <v>756</v>
      </c>
      <c r="B738" s="4" t="s">
        <v>2213</v>
      </c>
      <c r="C738" s="4" t="s">
        <v>2214</v>
      </c>
      <c r="D738" s="5" t="s">
        <v>2215</v>
      </c>
      <c r="E738" s="5">
        <v>2764.97</v>
      </c>
      <c r="F738" s="6">
        <f>LOOKUP(D738,'AMFI DATA_2023H2'!F:J,'AMFI DATA_2023H2'!J:J)</f>
        <v>3282.2844</v>
      </c>
      <c r="G738" s="7">
        <f t="shared" si="2"/>
        <v>-1</v>
      </c>
      <c r="H738" s="8"/>
      <c r="I738" s="8">
        <v>3336</v>
      </c>
      <c r="J738" s="8">
        <v>3304</v>
      </c>
      <c r="K738" s="8">
        <v>3294</v>
      </c>
      <c r="L738" s="8">
        <v>3371</v>
      </c>
      <c r="M738" s="8">
        <v>3294</v>
      </c>
      <c r="N738" s="8">
        <v>3361</v>
      </c>
      <c r="O738" s="8">
        <v>3402</v>
      </c>
      <c r="P738" s="8">
        <v>3390</v>
      </c>
      <c r="Q738" s="8">
        <v>3450</v>
      </c>
      <c r="R738" s="8">
        <v>3443</v>
      </c>
      <c r="S738" s="8">
        <v>3468</v>
      </c>
      <c r="T738" s="8">
        <v>3364</v>
      </c>
      <c r="U738" s="8">
        <v>3462</v>
      </c>
      <c r="V738" s="8">
        <v>3446</v>
      </c>
      <c r="W738" s="8">
        <v>3442</v>
      </c>
      <c r="X738" s="8">
        <v>3169</v>
      </c>
      <c r="Y738" s="8">
        <v>3133</v>
      </c>
      <c r="Z738" s="8">
        <v>3117</v>
      </c>
      <c r="AA738" s="8">
        <v>3146</v>
      </c>
      <c r="AB738" s="8">
        <v>3090</v>
      </c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</row>
    <row r="739" spans="1:47" ht="14.4">
      <c r="A739" s="3">
        <f>LOOKUP(D739,'AMFI DATA_2023H2'!F:L,'AMFI DATA_2023H2'!L:L)</f>
        <v>757</v>
      </c>
      <c r="B739" s="4" t="s">
        <v>2216</v>
      </c>
      <c r="C739" s="4" t="s">
        <v>2217</v>
      </c>
      <c r="D739" s="5" t="s">
        <v>2218</v>
      </c>
      <c r="E739" s="5">
        <v>2495.4699999999998</v>
      </c>
      <c r="F739" s="6">
        <f>LOOKUP(D739,'AMFI DATA_2023H2'!F:J,'AMFI DATA_2023H2'!J:J)</f>
        <v>3278.1228000000001</v>
      </c>
      <c r="G739" s="7">
        <f t="shared" si="2"/>
        <v>-1</v>
      </c>
      <c r="H739" s="8"/>
      <c r="I739" s="8">
        <v>3161</v>
      </c>
      <c r="J739" s="8">
        <v>3181</v>
      </c>
      <c r="K739" s="8">
        <v>3138</v>
      </c>
      <c r="L739" s="8">
        <v>3166</v>
      </c>
      <c r="M739" s="8">
        <v>3191</v>
      </c>
      <c r="N739" s="8">
        <v>3228</v>
      </c>
      <c r="O739" s="8">
        <v>3252</v>
      </c>
      <c r="P739" s="8">
        <v>3238</v>
      </c>
      <c r="Q739" s="8">
        <v>3265</v>
      </c>
      <c r="R739" s="8">
        <v>3251</v>
      </c>
      <c r="S739" s="8">
        <v>3238</v>
      </c>
      <c r="T739" s="8">
        <v>3254</v>
      </c>
      <c r="U739" s="8">
        <v>3226</v>
      </c>
      <c r="V739" s="8">
        <v>3218</v>
      </c>
      <c r="W739" s="8">
        <v>3240</v>
      </c>
      <c r="X739" s="8">
        <v>3138</v>
      </c>
      <c r="Y739" s="8">
        <v>2995</v>
      </c>
      <c r="Z739" s="8">
        <v>3008</v>
      </c>
      <c r="AA739" s="8">
        <v>3016</v>
      </c>
      <c r="AB739" s="8">
        <v>3061</v>
      </c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</row>
    <row r="740" spans="1:47" ht="14.4">
      <c r="A740" s="3">
        <f>LOOKUP(D740,'AMFI DATA_2023H2'!F:L,'AMFI DATA_2023H2'!L:L)</f>
        <v>758</v>
      </c>
      <c r="B740" s="4" t="s">
        <v>2219</v>
      </c>
      <c r="C740" s="4" t="s">
        <v>2220</v>
      </c>
      <c r="D740" s="5" t="s">
        <v>2221</v>
      </c>
      <c r="E740" s="5">
        <v>2016.15</v>
      </c>
      <c r="F740" s="6">
        <f>LOOKUP(D740,'AMFI DATA_2023H2'!F:J,'AMFI DATA_2023H2'!J:J)</f>
        <v>3252.6066499999997</v>
      </c>
      <c r="G740" s="7">
        <f t="shared" si="2"/>
        <v>-1</v>
      </c>
      <c r="H740" s="8"/>
      <c r="I740" s="8">
        <v>4617</v>
      </c>
      <c r="J740" s="8">
        <v>4713</v>
      </c>
      <c r="K740" s="8">
        <v>4671</v>
      </c>
      <c r="L740" s="8">
        <v>4686</v>
      </c>
      <c r="M740" s="8">
        <v>4885</v>
      </c>
      <c r="N740" s="8">
        <v>5044</v>
      </c>
      <c r="O740" s="8">
        <v>4985</v>
      </c>
      <c r="P740" s="8">
        <v>4993</v>
      </c>
      <c r="Q740" s="8">
        <v>4914</v>
      </c>
      <c r="R740" s="8">
        <v>5243</v>
      </c>
      <c r="S740" s="8">
        <v>5569</v>
      </c>
      <c r="T740" s="8">
        <v>5560</v>
      </c>
      <c r="U740" s="8">
        <v>5439</v>
      </c>
      <c r="V740" s="8">
        <v>5636</v>
      </c>
      <c r="W740" s="8">
        <v>5255</v>
      </c>
      <c r="X740" s="8">
        <v>4860</v>
      </c>
      <c r="Y740" s="8">
        <v>4831</v>
      </c>
      <c r="Z740" s="8">
        <v>4909</v>
      </c>
      <c r="AA740" s="8">
        <v>5128</v>
      </c>
      <c r="AB740" s="8">
        <v>5179</v>
      </c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</row>
    <row r="741" spans="1:47" ht="14.4">
      <c r="A741" s="3">
        <f>LOOKUP(D741,'AMFI DATA_2023H2'!F:L,'AMFI DATA_2023H2'!L:L)</f>
        <v>759</v>
      </c>
      <c r="B741" s="4" t="s">
        <v>2222</v>
      </c>
      <c r="C741" s="4" t="s">
        <v>2223</v>
      </c>
      <c r="D741" s="5" t="s">
        <v>2224</v>
      </c>
      <c r="E741" s="5">
        <v>2604.11</v>
      </c>
      <c r="F741" s="6">
        <f>LOOKUP(D741,'AMFI DATA_2023H2'!F:J,'AMFI DATA_2023H2'!J:J)</f>
        <v>3247.6437999999998</v>
      </c>
      <c r="G741" s="7">
        <f t="shared" si="2"/>
        <v>-1</v>
      </c>
      <c r="H741" s="8"/>
      <c r="I741" s="8">
        <v>4252</v>
      </c>
      <c r="J741" s="8">
        <v>4222</v>
      </c>
      <c r="K741" s="8">
        <v>4209</v>
      </c>
      <c r="L741" s="8">
        <v>4222</v>
      </c>
      <c r="M741" s="8">
        <v>4342</v>
      </c>
      <c r="N741" s="8">
        <v>4266</v>
      </c>
      <c r="O741" s="8">
        <v>4363</v>
      </c>
      <c r="P741" s="8">
        <v>4408</v>
      </c>
      <c r="Q741" s="8">
        <v>4262</v>
      </c>
      <c r="R741" s="8">
        <v>4390</v>
      </c>
      <c r="S741" s="8">
        <v>4124</v>
      </c>
      <c r="T741" s="8">
        <v>4018</v>
      </c>
      <c r="U741" s="8">
        <v>3892</v>
      </c>
      <c r="V741" s="8">
        <v>3882</v>
      </c>
      <c r="W741" s="8">
        <v>3839</v>
      </c>
      <c r="X741" s="8">
        <v>3749</v>
      </c>
      <c r="Y741" s="8">
        <v>3758</v>
      </c>
      <c r="Z741" s="8">
        <v>3834</v>
      </c>
      <c r="AA741" s="8">
        <v>3917</v>
      </c>
      <c r="AB741" s="8">
        <v>3903</v>
      </c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</row>
    <row r="742" spans="1:47" ht="14.4">
      <c r="A742" s="3">
        <f>LOOKUP(D742,'AMFI DATA_2023H2'!F:L,'AMFI DATA_2023H2'!L:L)</f>
        <v>760</v>
      </c>
      <c r="B742" s="4" t="s">
        <v>2225</v>
      </c>
      <c r="C742" s="4" t="s">
        <v>2226</v>
      </c>
      <c r="D742" s="5" t="s">
        <v>2227</v>
      </c>
      <c r="E742" s="5">
        <v>2351.08</v>
      </c>
      <c r="F742" s="6">
        <f>LOOKUP(D742,'AMFI DATA_2023H2'!F:J,'AMFI DATA_2023H2'!J:J)</f>
        <v>3241.9012499999999</v>
      </c>
      <c r="G742" s="7">
        <f t="shared" si="2"/>
        <v>-1</v>
      </c>
      <c r="H742" s="8"/>
      <c r="I742" s="8">
        <v>3893</v>
      </c>
      <c r="J742" s="8">
        <v>3937</v>
      </c>
      <c r="K742" s="8">
        <v>3867</v>
      </c>
      <c r="L742" s="8">
        <v>3965</v>
      </c>
      <c r="M742" s="8">
        <v>3989</v>
      </c>
      <c r="N742" s="8">
        <v>3997</v>
      </c>
      <c r="O742" s="8">
        <v>4048</v>
      </c>
      <c r="P742" s="8">
        <v>3865</v>
      </c>
      <c r="Q742" s="8">
        <v>3928</v>
      </c>
      <c r="R742" s="8">
        <v>3952</v>
      </c>
      <c r="S742" s="8">
        <v>4073</v>
      </c>
      <c r="T742" s="8">
        <v>3982</v>
      </c>
      <c r="U742" s="8">
        <v>4049</v>
      </c>
      <c r="V742" s="8">
        <v>3889</v>
      </c>
      <c r="W742" s="8">
        <v>3968</v>
      </c>
      <c r="X742" s="8">
        <v>3908</v>
      </c>
      <c r="Y742" s="8">
        <v>3981</v>
      </c>
      <c r="Z742" s="8">
        <v>3792</v>
      </c>
      <c r="AA742" s="8">
        <v>3720</v>
      </c>
      <c r="AB742" s="8">
        <v>3736</v>
      </c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</row>
    <row r="743" spans="1:47" ht="14.4">
      <c r="A743" s="3">
        <f>LOOKUP(D743,'AMFI DATA_2023H2'!F:L,'AMFI DATA_2023H2'!L:L)</f>
        <v>761</v>
      </c>
      <c r="B743" s="4" t="s">
        <v>2228</v>
      </c>
      <c r="C743" s="4" t="s">
        <v>2229</v>
      </c>
      <c r="D743" s="5" t="s">
        <v>2230</v>
      </c>
      <c r="E743" s="5">
        <v>133.1</v>
      </c>
      <c r="F743" s="6">
        <f>LOOKUP(D743,'AMFI DATA_2023H2'!F:J,'AMFI DATA_2023H2'!J:J)</f>
        <v>3231.5095000000001</v>
      </c>
      <c r="G743" s="7">
        <f t="shared" si="2"/>
        <v>-1</v>
      </c>
      <c r="H743" s="8"/>
      <c r="I743" s="8">
        <v>3255</v>
      </c>
      <c r="J743" s="8">
        <v>3209</v>
      </c>
      <c r="K743" s="8">
        <v>3189</v>
      </c>
      <c r="L743" s="8">
        <v>3217</v>
      </c>
      <c r="M743" s="8">
        <v>3261</v>
      </c>
      <c r="N743" s="8">
        <v>3307</v>
      </c>
      <c r="O743" s="8">
        <v>3357</v>
      </c>
      <c r="P743" s="8">
        <v>3252</v>
      </c>
      <c r="Q743" s="8">
        <v>3275</v>
      </c>
      <c r="R743" s="8">
        <v>3261</v>
      </c>
      <c r="S743" s="8">
        <v>3228</v>
      </c>
      <c r="T743" s="8">
        <v>3219</v>
      </c>
      <c r="U743" s="8">
        <v>3187</v>
      </c>
      <c r="V743" s="8">
        <v>3170</v>
      </c>
      <c r="W743" s="8">
        <v>3219</v>
      </c>
      <c r="X743" s="8">
        <v>3228</v>
      </c>
      <c r="Y743" s="8">
        <v>3222</v>
      </c>
      <c r="Z743" s="8">
        <v>3267</v>
      </c>
      <c r="AA743" s="8">
        <v>3258</v>
      </c>
      <c r="AB743" s="8">
        <v>3265</v>
      </c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</row>
    <row r="744" spans="1:47" ht="14.4">
      <c r="A744" s="3">
        <f>LOOKUP(D744,'AMFI DATA_2023H2'!F:L,'AMFI DATA_2023H2'!L:L)</f>
        <v>762</v>
      </c>
      <c r="B744" s="4" t="s">
        <v>2231</v>
      </c>
      <c r="C744" s="4" t="s">
        <v>2232</v>
      </c>
      <c r="D744" s="5" t="s">
        <v>2233</v>
      </c>
      <c r="E744" s="5">
        <v>1832.42</v>
      </c>
      <c r="F744" s="6">
        <f>LOOKUP(D744,'AMFI DATA_2023H2'!F:J,'AMFI DATA_2023H2'!J:J)</f>
        <v>3213.0798999999997</v>
      </c>
      <c r="G744" s="7">
        <f t="shared" si="2"/>
        <v>-1</v>
      </c>
      <c r="H744" s="8"/>
      <c r="I744" s="8">
        <v>3366</v>
      </c>
      <c r="J744" s="8">
        <v>3379</v>
      </c>
      <c r="K744" s="8">
        <v>3400</v>
      </c>
      <c r="L744" s="8">
        <v>3471</v>
      </c>
      <c r="M744" s="8">
        <v>3501</v>
      </c>
      <c r="N744" s="8">
        <v>3545</v>
      </c>
      <c r="O744" s="8">
        <v>3579</v>
      </c>
      <c r="P744" s="8">
        <v>3589</v>
      </c>
      <c r="Q744" s="8">
        <v>3598</v>
      </c>
      <c r="R744" s="8">
        <v>3592</v>
      </c>
      <c r="S744" s="8">
        <v>3651</v>
      </c>
      <c r="T744" s="8">
        <v>3640</v>
      </c>
      <c r="U744" s="8">
        <v>3596</v>
      </c>
      <c r="V744" s="8">
        <v>3575</v>
      </c>
      <c r="W744" s="8">
        <v>3595</v>
      </c>
      <c r="X744" s="8">
        <v>3556</v>
      </c>
      <c r="Y744" s="8">
        <v>3537</v>
      </c>
      <c r="Z744" s="8">
        <v>3582</v>
      </c>
      <c r="AA744" s="8">
        <v>3543</v>
      </c>
      <c r="AB744" s="8">
        <v>3564</v>
      </c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</row>
    <row r="745" spans="1:47" ht="14.4">
      <c r="A745" s="3">
        <f>LOOKUP(D745,'AMFI DATA_2023H2'!F:L,'AMFI DATA_2023H2'!L:L)</f>
        <v>763</v>
      </c>
      <c r="B745" s="4" t="s">
        <v>2234</v>
      </c>
      <c r="C745" s="4" t="s">
        <v>2235</v>
      </c>
      <c r="D745" s="5" t="s">
        <v>2236</v>
      </c>
      <c r="E745" s="5">
        <v>2562.44</v>
      </c>
      <c r="F745" s="6">
        <f>LOOKUP(D745,'AMFI DATA_2023H2'!F:J,'AMFI DATA_2023H2'!J:J)</f>
        <v>3178.9614499999998</v>
      </c>
      <c r="G745" s="7">
        <f t="shared" si="2"/>
        <v>-1</v>
      </c>
      <c r="H745" s="8"/>
      <c r="I745" s="8">
        <v>4373</v>
      </c>
      <c r="J745" s="8">
        <v>4318</v>
      </c>
      <c r="K745" s="8">
        <v>4373</v>
      </c>
      <c r="L745" s="8">
        <v>4406</v>
      </c>
      <c r="M745" s="8">
        <v>4494</v>
      </c>
      <c r="N745" s="8">
        <v>4526</v>
      </c>
      <c r="O745" s="8">
        <v>4487</v>
      </c>
      <c r="P745" s="8">
        <v>4549</v>
      </c>
      <c r="Q745" s="8">
        <v>4372</v>
      </c>
      <c r="R745" s="8">
        <v>4388</v>
      </c>
      <c r="S745" s="8">
        <v>4323</v>
      </c>
      <c r="T745" s="8">
        <v>4254</v>
      </c>
      <c r="U745" s="8">
        <v>4186</v>
      </c>
      <c r="V745" s="8">
        <v>4098</v>
      </c>
      <c r="W745" s="8">
        <v>4136</v>
      </c>
      <c r="X745" s="8">
        <v>4189</v>
      </c>
      <c r="Y745" s="8">
        <v>4247</v>
      </c>
      <c r="Z745" s="8">
        <v>4282</v>
      </c>
      <c r="AA745" s="8">
        <v>4256</v>
      </c>
      <c r="AB745" s="8">
        <v>4083</v>
      </c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</row>
    <row r="746" spans="1:47" ht="14.4">
      <c r="A746" s="3">
        <f>LOOKUP(D746,'AMFI DATA_2023H2'!F:L,'AMFI DATA_2023H2'!L:L)</f>
        <v>764</v>
      </c>
      <c r="B746" s="4" t="s">
        <v>2237</v>
      </c>
      <c r="C746" s="4" t="s">
        <v>2238</v>
      </c>
      <c r="D746" s="5" t="s">
        <v>2239</v>
      </c>
      <c r="E746" s="5">
        <v>3180.28</v>
      </c>
      <c r="F746" s="6">
        <f>LOOKUP(D746,'AMFI DATA_2023H2'!F:J,'AMFI DATA_2023H2'!J:J)</f>
        <v>3172.1187500000001</v>
      </c>
      <c r="G746" s="7">
        <f t="shared" si="2"/>
        <v>-1</v>
      </c>
      <c r="H746" s="8"/>
      <c r="I746" s="8">
        <v>3399</v>
      </c>
      <c r="J746" s="8">
        <v>3384</v>
      </c>
      <c r="K746" s="8">
        <v>3372</v>
      </c>
      <c r="L746" s="8">
        <v>3417</v>
      </c>
      <c r="M746" s="8">
        <v>3457</v>
      </c>
      <c r="N746" s="8">
        <v>3466</v>
      </c>
      <c r="O746" s="8">
        <v>3433</v>
      </c>
      <c r="P746" s="8">
        <v>3445</v>
      </c>
      <c r="Q746" s="8">
        <v>3457</v>
      </c>
      <c r="R746" s="8">
        <v>3460</v>
      </c>
      <c r="S746" s="8">
        <v>3492</v>
      </c>
      <c r="T746" s="8">
        <v>3514</v>
      </c>
      <c r="U746" s="8">
        <v>3517</v>
      </c>
      <c r="V746" s="8">
        <v>3513</v>
      </c>
      <c r="W746" s="8">
        <v>3499</v>
      </c>
      <c r="X746" s="8">
        <v>3492</v>
      </c>
      <c r="Y746" s="8">
        <v>3482</v>
      </c>
      <c r="Z746" s="8">
        <v>3483</v>
      </c>
      <c r="AA746" s="8">
        <v>3365</v>
      </c>
      <c r="AB746" s="8">
        <v>3336</v>
      </c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</row>
    <row r="747" spans="1:47" ht="14.4">
      <c r="A747" s="3">
        <f>LOOKUP(D747,'AMFI DATA_2023H2'!F:L,'AMFI DATA_2023H2'!L:L)</f>
        <v>765</v>
      </c>
      <c r="B747" s="4" t="s">
        <v>2240</v>
      </c>
      <c r="C747" s="4" t="s">
        <v>2241</v>
      </c>
      <c r="D747" s="5" t="s">
        <v>2242</v>
      </c>
      <c r="E747" s="5">
        <v>3159.35</v>
      </c>
      <c r="F747" s="6">
        <f>LOOKUP(D747,'AMFI DATA_2023H2'!F:J,'AMFI DATA_2023H2'!J:J)</f>
        <v>3166.1941500000003</v>
      </c>
      <c r="G747" s="7">
        <f t="shared" si="2"/>
        <v>-1</v>
      </c>
      <c r="H747" s="8"/>
      <c r="I747" s="8">
        <v>3612</v>
      </c>
      <c r="J747" s="8">
        <v>3531</v>
      </c>
      <c r="K747" s="8">
        <v>3503</v>
      </c>
      <c r="L747" s="8">
        <v>3485</v>
      </c>
      <c r="M747" s="8">
        <v>3562</v>
      </c>
      <c r="N747" s="8">
        <v>3652</v>
      </c>
      <c r="O747" s="8">
        <v>3675</v>
      </c>
      <c r="P747" s="8">
        <v>3598</v>
      </c>
      <c r="Q747" s="8">
        <v>3544</v>
      </c>
      <c r="R747" s="8">
        <v>3573</v>
      </c>
      <c r="S747" s="8">
        <v>3634</v>
      </c>
      <c r="T747" s="8">
        <v>3748</v>
      </c>
      <c r="U747" s="8">
        <v>3753</v>
      </c>
      <c r="V747" s="8">
        <v>3630</v>
      </c>
      <c r="W747" s="8">
        <v>3628</v>
      </c>
      <c r="X747" s="8">
        <v>3526</v>
      </c>
      <c r="Y747" s="8">
        <v>3431</v>
      </c>
      <c r="Z747" s="8">
        <v>3457</v>
      </c>
      <c r="AA747" s="8">
        <v>3349</v>
      </c>
      <c r="AB747" s="8">
        <v>3135</v>
      </c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</row>
    <row r="748" spans="1:47" ht="14.4">
      <c r="A748" s="3">
        <f>LOOKUP(D748,'AMFI DATA_2023H2'!F:L,'AMFI DATA_2023H2'!L:L)</f>
        <v>766</v>
      </c>
      <c r="B748" s="4" t="s">
        <v>2243</v>
      </c>
      <c r="C748" s="4" t="s">
        <v>2244</v>
      </c>
      <c r="D748" s="5" t="s">
        <v>2245</v>
      </c>
      <c r="E748" s="5">
        <v>2642.57</v>
      </c>
      <c r="F748" s="6">
        <f>LOOKUP(D748,'AMFI DATA_2023H2'!F:J,'AMFI DATA_2023H2'!J:J)</f>
        <v>3154.29295</v>
      </c>
      <c r="G748" s="7">
        <f t="shared" si="2"/>
        <v>-1</v>
      </c>
      <c r="H748" s="8"/>
      <c r="I748" s="8">
        <v>4513</v>
      </c>
      <c r="J748" s="8">
        <v>4468</v>
      </c>
      <c r="K748" s="8">
        <v>4516</v>
      </c>
      <c r="L748" s="8">
        <v>4627</v>
      </c>
      <c r="M748" s="8">
        <v>4678</v>
      </c>
      <c r="N748" s="8">
        <v>4670</v>
      </c>
      <c r="O748" s="8">
        <v>4705</v>
      </c>
      <c r="P748" s="8">
        <v>4744</v>
      </c>
      <c r="Q748" s="8">
        <v>4766</v>
      </c>
      <c r="R748" s="8">
        <v>4754</v>
      </c>
      <c r="S748" s="8">
        <v>4808</v>
      </c>
      <c r="T748" s="8">
        <v>4537</v>
      </c>
      <c r="U748" s="8">
        <v>4468</v>
      </c>
      <c r="V748" s="8">
        <v>4167</v>
      </c>
      <c r="W748" s="8">
        <v>4176</v>
      </c>
      <c r="X748" s="8">
        <v>4139</v>
      </c>
      <c r="Y748" s="8">
        <v>4206</v>
      </c>
      <c r="Z748" s="8">
        <v>4174</v>
      </c>
      <c r="AA748" s="8">
        <v>4216</v>
      </c>
      <c r="AB748" s="8">
        <v>4302</v>
      </c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</row>
    <row r="749" spans="1:47" ht="14.4">
      <c r="A749" s="3">
        <f>LOOKUP(D749,'AMFI DATA_2023H2'!F:L,'AMFI DATA_2023H2'!L:L)</f>
        <v>767</v>
      </c>
      <c r="B749" s="4" t="s">
        <v>2246</v>
      </c>
      <c r="C749" s="4" t="s">
        <v>2247</v>
      </c>
      <c r="D749" s="5" t="s">
        <v>2248</v>
      </c>
      <c r="E749" s="5">
        <v>3180.82</v>
      </c>
      <c r="F749" s="6">
        <f>LOOKUP(D749,'AMFI DATA_2023H2'!F:J,'AMFI DATA_2023H2'!J:J)</f>
        <v>3151.81585</v>
      </c>
      <c r="G749" s="7">
        <f t="shared" si="2"/>
        <v>-1</v>
      </c>
      <c r="H749" s="8"/>
      <c r="I749" s="8">
        <v>3517</v>
      </c>
      <c r="J749" s="8">
        <v>3498</v>
      </c>
      <c r="K749" s="8">
        <v>3492</v>
      </c>
      <c r="L749" s="8">
        <v>3599</v>
      </c>
      <c r="M749" s="8">
        <v>3519</v>
      </c>
      <c r="N749" s="8">
        <v>3472</v>
      </c>
      <c r="O749" s="8">
        <v>3471</v>
      </c>
      <c r="P749" s="8">
        <v>3443</v>
      </c>
      <c r="Q749" s="8">
        <v>3510</v>
      </c>
      <c r="R749" s="8">
        <v>3557</v>
      </c>
      <c r="S749" s="8">
        <v>3599</v>
      </c>
      <c r="T749" s="8">
        <v>3642</v>
      </c>
      <c r="U749" s="8">
        <v>3594</v>
      </c>
      <c r="V749" s="8">
        <v>3601</v>
      </c>
      <c r="W749" s="8">
        <v>3677</v>
      </c>
      <c r="X749" s="8">
        <v>3624</v>
      </c>
      <c r="Y749" s="8">
        <v>3667</v>
      </c>
      <c r="Z749" s="8">
        <v>3797</v>
      </c>
      <c r="AA749" s="8">
        <v>3669</v>
      </c>
      <c r="AB749" s="8">
        <v>3686</v>
      </c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</row>
    <row r="750" spans="1:47" ht="14.4">
      <c r="A750" s="3">
        <f>LOOKUP(D750,'AMFI DATA_2023H2'!F:L,'AMFI DATA_2023H2'!L:L)</f>
        <v>769</v>
      </c>
      <c r="B750" s="4" t="s">
        <v>2249</v>
      </c>
      <c r="C750" s="4" t="s">
        <v>2250</v>
      </c>
      <c r="D750" s="5" t="s">
        <v>2251</v>
      </c>
      <c r="E750" s="5">
        <v>2780.16</v>
      </c>
      <c r="F750" s="6">
        <f>LOOKUP(D750,'AMFI DATA_2023H2'!F:J,'AMFI DATA_2023H2'!J:J)</f>
        <v>3140.3746000000001</v>
      </c>
      <c r="G750" s="7">
        <f t="shared" si="2"/>
        <v>-1</v>
      </c>
      <c r="H750" s="8"/>
      <c r="I750" s="8">
        <v>3267</v>
      </c>
      <c r="J750" s="8">
        <v>3277</v>
      </c>
      <c r="K750" s="8">
        <v>3322</v>
      </c>
      <c r="L750" s="8">
        <v>3440</v>
      </c>
      <c r="M750" s="8">
        <v>3463</v>
      </c>
      <c r="N750" s="8">
        <v>3462</v>
      </c>
      <c r="O750" s="8">
        <v>3496</v>
      </c>
      <c r="P750" s="8">
        <v>3511</v>
      </c>
      <c r="Q750" s="8">
        <v>3464</v>
      </c>
      <c r="R750" s="8">
        <v>3476</v>
      </c>
      <c r="S750" s="8">
        <v>3392</v>
      </c>
      <c r="T750" s="8">
        <v>3409</v>
      </c>
      <c r="U750" s="8">
        <v>3408</v>
      </c>
      <c r="V750" s="8">
        <v>3469</v>
      </c>
      <c r="W750" s="8">
        <v>3499</v>
      </c>
      <c r="X750" s="8">
        <v>3471</v>
      </c>
      <c r="Y750" s="8">
        <v>3503</v>
      </c>
      <c r="Z750" s="8">
        <v>3602</v>
      </c>
      <c r="AA750" s="8">
        <v>3364</v>
      </c>
      <c r="AB750" s="8">
        <v>3350</v>
      </c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</row>
    <row r="751" spans="1:47" ht="14.4">
      <c r="A751" s="3">
        <f>LOOKUP(D751,'AMFI DATA_2023H2'!F:L,'AMFI DATA_2023H2'!L:L)</f>
        <v>770</v>
      </c>
      <c r="B751" s="4" t="s">
        <v>2252</v>
      </c>
      <c r="C751" s="4" t="s">
        <v>2253</v>
      </c>
      <c r="D751" s="5" t="s">
        <v>2254</v>
      </c>
      <c r="E751" s="5">
        <v>3019.75</v>
      </c>
      <c r="F751" s="6">
        <f>LOOKUP(D751,'AMFI DATA_2023H2'!F:J,'AMFI DATA_2023H2'!J:J)</f>
        <v>3119.0364500000001</v>
      </c>
      <c r="G751" s="7">
        <f t="shared" si="2"/>
        <v>-1</v>
      </c>
      <c r="H751" s="8"/>
      <c r="I751" s="8">
        <v>3204</v>
      </c>
      <c r="J751" s="8">
        <v>3281</v>
      </c>
      <c r="K751" s="8">
        <v>3238</v>
      </c>
      <c r="L751" s="8">
        <v>3286</v>
      </c>
      <c r="M751" s="8">
        <v>3374</v>
      </c>
      <c r="N751" s="8">
        <v>3411</v>
      </c>
      <c r="O751" s="8">
        <v>3399</v>
      </c>
      <c r="P751" s="8">
        <v>3393</v>
      </c>
      <c r="Q751" s="8">
        <v>3399</v>
      </c>
      <c r="R751" s="8">
        <v>3282</v>
      </c>
      <c r="S751" s="8">
        <v>3306</v>
      </c>
      <c r="T751" s="8">
        <v>3185</v>
      </c>
      <c r="U751" s="8">
        <v>3038</v>
      </c>
      <c r="V751" s="8">
        <v>3035</v>
      </c>
      <c r="W751" s="8">
        <v>3053</v>
      </c>
      <c r="X751" s="8">
        <v>3047</v>
      </c>
      <c r="Y751" s="8">
        <v>3038</v>
      </c>
      <c r="Z751" s="8">
        <v>3015</v>
      </c>
      <c r="AA751" s="8">
        <v>3056</v>
      </c>
      <c r="AB751" s="8">
        <v>3074</v>
      </c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</row>
    <row r="752" spans="1:47" ht="14.4">
      <c r="A752" s="3">
        <f>LOOKUP(D752,'AMFI DATA_2023H2'!F:L,'AMFI DATA_2023H2'!L:L)</f>
        <v>771</v>
      </c>
      <c r="B752" s="4" t="s">
        <v>2255</v>
      </c>
      <c r="C752" s="4" t="s">
        <v>2256</v>
      </c>
      <c r="D752" s="5" t="s">
        <v>2257</v>
      </c>
      <c r="E752" s="5">
        <v>2729.18</v>
      </c>
      <c r="F752" s="6">
        <f>LOOKUP(D752,'AMFI DATA_2023H2'!F:J,'AMFI DATA_2023H2'!J:J)</f>
        <v>3117.9087</v>
      </c>
      <c r="G752" s="7">
        <f t="shared" si="2"/>
        <v>-1</v>
      </c>
      <c r="H752" s="8"/>
      <c r="I752" s="8">
        <v>3621</v>
      </c>
      <c r="J752" s="8">
        <v>3598</v>
      </c>
      <c r="K752" s="8">
        <v>3450</v>
      </c>
      <c r="L752" s="8">
        <v>3572</v>
      </c>
      <c r="M752" s="8">
        <v>3640</v>
      </c>
      <c r="N752" s="8">
        <v>3659</v>
      </c>
      <c r="O752" s="8">
        <v>3687</v>
      </c>
      <c r="P752" s="8">
        <v>3716</v>
      </c>
      <c r="Q752" s="8">
        <v>3774</v>
      </c>
      <c r="R752" s="8">
        <v>3752</v>
      </c>
      <c r="S752" s="8">
        <v>3772</v>
      </c>
      <c r="T752" s="8">
        <v>3683</v>
      </c>
      <c r="U752" s="8">
        <v>3773</v>
      </c>
      <c r="V752" s="8">
        <v>3685</v>
      </c>
      <c r="W752" s="8">
        <v>3773</v>
      </c>
      <c r="X752" s="8">
        <v>3328</v>
      </c>
      <c r="Y752" s="8">
        <v>3403</v>
      </c>
      <c r="Z752" s="8">
        <v>3349</v>
      </c>
      <c r="AA752" s="8">
        <v>3376</v>
      </c>
      <c r="AB752" s="8">
        <v>3372</v>
      </c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</row>
    <row r="753" spans="1:47" ht="14.4">
      <c r="A753" s="3">
        <f>LOOKUP(D753,'AMFI DATA_2023H2'!F:L,'AMFI DATA_2023H2'!L:L)</f>
        <v>772</v>
      </c>
      <c r="B753" s="4" t="s">
        <v>2258</v>
      </c>
      <c r="C753" s="4" t="s">
        <v>2259</v>
      </c>
      <c r="D753" s="5" t="s">
        <v>2260</v>
      </c>
      <c r="E753" s="5">
        <v>1885.75</v>
      </c>
      <c r="F753" s="6">
        <f>LOOKUP(D753,'AMFI DATA_2023H2'!F:J,'AMFI DATA_2023H2'!J:J)</f>
        <v>3117.5967500000002</v>
      </c>
      <c r="G753" s="7">
        <f t="shared" si="2"/>
        <v>-1</v>
      </c>
      <c r="H753" s="8"/>
      <c r="I753" s="8">
        <v>5277</v>
      </c>
      <c r="J753" s="8">
        <v>5193</v>
      </c>
      <c r="K753" s="8">
        <v>5188</v>
      </c>
      <c r="L753" s="8">
        <v>5265</v>
      </c>
      <c r="M753" s="8">
        <v>5288</v>
      </c>
      <c r="N753" s="8">
        <v>5229</v>
      </c>
      <c r="O753" s="8">
        <v>5305</v>
      </c>
      <c r="P753" s="8">
        <v>5174</v>
      </c>
      <c r="Q753" s="8">
        <v>5257</v>
      </c>
      <c r="R753" s="8">
        <v>5274</v>
      </c>
      <c r="S753" s="8">
        <v>5300</v>
      </c>
      <c r="T753" s="8">
        <v>5308</v>
      </c>
      <c r="U753" s="8">
        <v>5345</v>
      </c>
      <c r="V753" s="8">
        <v>5370</v>
      </c>
      <c r="W753" s="8">
        <v>5493</v>
      </c>
      <c r="X753" s="8">
        <v>5477</v>
      </c>
      <c r="Y753" s="8">
        <v>5474</v>
      </c>
      <c r="Z753" s="8">
        <v>5498</v>
      </c>
      <c r="AA753" s="8">
        <v>5241</v>
      </c>
      <c r="AB753" s="8">
        <v>5190</v>
      </c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</row>
    <row r="754" spans="1:47" ht="14.4">
      <c r="A754" s="3">
        <f>LOOKUP(D754,'AMFI DATA_2023H2'!F:L,'AMFI DATA_2023H2'!L:L)</f>
        <v>773</v>
      </c>
      <c r="B754" s="4" t="s">
        <v>2261</v>
      </c>
      <c r="C754" s="4" t="s">
        <v>2262</v>
      </c>
      <c r="D754" s="5" t="s">
        <v>2263</v>
      </c>
      <c r="E754" s="5">
        <v>3212.33</v>
      </c>
      <c r="F754" s="6">
        <f>LOOKUP(D754,'AMFI DATA_2023H2'!F:J,'AMFI DATA_2023H2'!J:J)</f>
        <v>3115.0886878000001</v>
      </c>
      <c r="G754" s="7">
        <f t="shared" si="2"/>
        <v>-1</v>
      </c>
      <c r="H754" s="8"/>
      <c r="I754" s="8">
        <v>2909</v>
      </c>
      <c r="J754" s="8">
        <v>2876</v>
      </c>
      <c r="K754" s="8">
        <v>2905</v>
      </c>
      <c r="L754" s="8">
        <v>2929</v>
      </c>
      <c r="M754" s="8">
        <v>2925</v>
      </c>
      <c r="N754" s="8">
        <v>2902</v>
      </c>
      <c r="O754" s="8">
        <v>2913</v>
      </c>
      <c r="P754" s="8">
        <v>2938</v>
      </c>
      <c r="Q754" s="8">
        <v>2942</v>
      </c>
      <c r="R754" s="8">
        <v>2907</v>
      </c>
      <c r="S754" s="8">
        <v>2963</v>
      </c>
      <c r="T754" s="8">
        <v>3019</v>
      </c>
      <c r="U754" s="8">
        <v>3088</v>
      </c>
      <c r="V754" s="8">
        <v>3071</v>
      </c>
      <c r="W754" s="8">
        <v>3054</v>
      </c>
      <c r="X754" s="8">
        <v>3039</v>
      </c>
      <c r="Y754" s="8">
        <v>2968</v>
      </c>
      <c r="Z754" s="8">
        <v>2915</v>
      </c>
      <c r="AA754" s="8">
        <v>2886</v>
      </c>
      <c r="AB754" s="8">
        <v>2897</v>
      </c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</row>
    <row r="755" spans="1:47" ht="14.4">
      <c r="A755" s="3">
        <f>LOOKUP(D755,'AMFI DATA_2023H2'!F:L,'AMFI DATA_2023H2'!L:L)</f>
        <v>774</v>
      </c>
      <c r="B755" s="4" t="s">
        <v>2264</v>
      </c>
      <c r="C755" s="4" t="s">
        <v>2265</v>
      </c>
      <c r="D755" s="5" t="s">
        <v>2266</v>
      </c>
      <c r="E755" s="5">
        <v>2029.92</v>
      </c>
      <c r="F755" s="6">
        <f>LOOKUP(D755,'AMFI DATA_2023H2'!F:J,'AMFI DATA_2023H2'!J:J)</f>
        <v>3109.3706999999999</v>
      </c>
      <c r="G755" s="7">
        <f t="shared" si="2"/>
        <v>-1</v>
      </c>
      <c r="H755" s="8"/>
      <c r="I755" s="8">
        <v>4410</v>
      </c>
      <c r="J755" s="8">
        <v>4460</v>
      </c>
      <c r="K755" s="8">
        <v>4345</v>
      </c>
      <c r="L755" s="8">
        <v>4452</v>
      </c>
      <c r="M755" s="8">
        <v>4473</v>
      </c>
      <c r="N755" s="8">
        <v>4371</v>
      </c>
      <c r="O755" s="8">
        <v>4387</v>
      </c>
      <c r="P755" s="8">
        <v>4374</v>
      </c>
      <c r="Q755" s="8">
        <v>4384</v>
      </c>
      <c r="R755" s="8">
        <v>4323</v>
      </c>
      <c r="S755" s="8">
        <v>4356</v>
      </c>
      <c r="T755" s="8">
        <v>4370</v>
      </c>
      <c r="U755" s="8">
        <v>4358</v>
      </c>
      <c r="V755" s="8">
        <v>4385</v>
      </c>
      <c r="W755" s="8">
        <v>4484</v>
      </c>
      <c r="X755" s="8">
        <v>4446</v>
      </c>
      <c r="Y755" s="8">
        <v>4473</v>
      </c>
      <c r="Z755" s="8">
        <v>4718</v>
      </c>
      <c r="AA755" s="8">
        <v>4493</v>
      </c>
      <c r="AB755" s="8">
        <v>3742</v>
      </c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</row>
    <row r="756" spans="1:47" ht="14.4">
      <c r="A756" s="3">
        <f>LOOKUP(D756,'AMFI DATA_2023H2'!F:L,'AMFI DATA_2023H2'!L:L)</f>
        <v>775</v>
      </c>
      <c r="B756" s="4" t="s">
        <v>2267</v>
      </c>
      <c r="C756" s="4" t="s">
        <v>2268</v>
      </c>
      <c r="D756" s="5" t="s">
        <v>2269</v>
      </c>
      <c r="E756" s="5">
        <v>1972.05</v>
      </c>
      <c r="F756" s="6">
        <f>LOOKUP(D756,'AMFI DATA_2023H2'!F:J,'AMFI DATA_2023H2'!J:J)</f>
        <v>3108.9040500000001</v>
      </c>
      <c r="G756" s="7">
        <f t="shared" si="2"/>
        <v>-1</v>
      </c>
      <c r="H756" s="8"/>
      <c r="I756" s="8">
        <v>5394</v>
      </c>
      <c r="J756" s="8">
        <v>5446</v>
      </c>
      <c r="K756" s="8">
        <v>5270</v>
      </c>
      <c r="L756" s="8">
        <v>5340</v>
      </c>
      <c r="M756" s="8">
        <v>5576</v>
      </c>
      <c r="N756" s="8">
        <v>5436</v>
      </c>
      <c r="O756" s="8">
        <v>5448</v>
      </c>
      <c r="P756" s="8">
        <v>5563</v>
      </c>
      <c r="Q756" s="8">
        <v>5243</v>
      </c>
      <c r="R756" s="8">
        <v>4848</v>
      </c>
      <c r="S756" s="8">
        <v>4882</v>
      </c>
      <c r="T756" s="8">
        <v>5115</v>
      </c>
      <c r="U756" s="8">
        <v>4488</v>
      </c>
      <c r="V756" s="8">
        <v>4359</v>
      </c>
      <c r="W756" s="8">
        <v>4443</v>
      </c>
      <c r="X756" s="8">
        <v>4435</v>
      </c>
      <c r="Y756" s="8">
        <v>4456</v>
      </c>
      <c r="Z756" s="8">
        <v>4534</v>
      </c>
      <c r="AA756" s="8">
        <v>4490</v>
      </c>
      <c r="AB756" s="8">
        <v>4411</v>
      </c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</row>
    <row r="757" spans="1:47" ht="14.4">
      <c r="A757" s="3">
        <f>LOOKUP(D757,'AMFI DATA_2023H2'!F:L,'AMFI DATA_2023H2'!L:L)</f>
        <v>779</v>
      </c>
      <c r="B757" s="4" t="s">
        <v>2270</v>
      </c>
      <c r="C757" s="4" t="s">
        <v>2271</v>
      </c>
      <c r="D757" s="5" t="s">
        <v>2272</v>
      </c>
      <c r="E757" s="5">
        <v>2063.67</v>
      </c>
      <c r="F757" s="6">
        <f>LOOKUP(D757,'AMFI DATA_2023H2'!F:J,'AMFI DATA_2023H2'!J:J)</f>
        <v>3058.0002500000001</v>
      </c>
      <c r="G757" s="7">
        <f t="shared" si="2"/>
        <v>-1</v>
      </c>
      <c r="H757" s="8"/>
      <c r="I757" s="8">
        <v>6978</v>
      </c>
      <c r="J757" s="8">
        <v>6964</v>
      </c>
      <c r="K757" s="8">
        <v>6868</v>
      </c>
      <c r="L757" s="8">
        <v>6457</v>
      </c>
      <c r="M757" s="8">
        <v>6051</v>
      </c>
      <c r="N757" s="8">
        <v>5398</v>
      </c>
      <c r="O757" s="8">
        <v>5455</v>
      </c>
      <c r="P757" s="8">
        <v>4826</v>
      </c>
      <c r="Q757" s="8">
        <v>4576</v>
      </c>
      <c r="R757" s="8">
        <v>4462</v>
      </c>
      <c r="S757" s="8">
        <v>4403</v>
      </c>
      <c r="T757" s="8">
        <v>4554</v>
      </c>
      <c r="U757" s="8">
        <v>4540</v>
      </c>
      <c r="V757" s="8">
        <v>4548</v>
      </c>
      <c r="W757" s="8">
        <v>4637</v>
      </c>
      <c r="X757" s="8">
        <v>4715</v>
      </c>
      <c r="Y757" s="8">
        <v>4530</v>
      </c>
      <c r="Z757" s="8">
        <v>4368</v>
      </c>
      <c r="AA757" s="8">
        <v>4533</v>
      </c>
      <c r="AB757" s="8">
        <v>3999</v>
      </c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</row>
    <row r="758" spans="1:47" ht="14.4">
      <c r="A758" s="3">
        <f>LOOKUP(D758,'AMFI DATA_2023H2'!F:L,'AMFI DATA_2023H2'!L:L)</f>
        <v>780</v>
      </c>
      <c r="B758" s="4" t="s">
        <v>2273</v>
      </c>
      <c r="C758" s="4" t="s">
        <v>2274</v>
      </c>
      <c r="D758" s="5" t="s">
        <v>2275</v>
      </c>
      <c r="E758" s="5">
        <v>2108.6999999999998</v>
      </c>
      <c r="F758" s="6">
        <f>LOOKUP(D758,'AMFI DATA_2023H2'!F:J,'AMFI DATA_2023H2'!J:J)</f>
        <v>3053.9931500000002</v>
      </c>
      <c r="G758" s="7">
        <f t="shared" si="2"/>
        <v>-1</v>
      </c>
      <c r="H758" s="8"/>
      <c r="I758" s="8">
        <v>2903</v>
      </c>
      <c r="J758" s="8">
        <v>2957</v>
      </c>
      <c r="K758" s="8">
        <v>2888</v>
      </c>
      <c r="L758" s="8">
        <v>2939</v>
      </c>
      <c r="M758" s="8">
        <v>2979</v>
      </c>
      <c r="N758" s="8">
        <v>3044</v>
      </c>
      <c r="O758" s="8">
        <v>3043</v>
      </c>
      <c r="P758" s="8">
        <v>3081</v>
      </c>
      <c r="Q758" s="8">
        <v>3072</v>
      </c>
      <c r="R758" s="8">
        <v>3037</v>
      </c>
      <c r="S758" s="8">
        <v>3128</v>
      </c>
      <c r="T758" s="8">
        <v>3092</v>
      </c>
      <c r="U758" s="8">
        <v>3166</v>
      </c>
      <c r="V758" s="8">
        <v>3110</v>
      </c>
      <c r="W758" s="8">
        <v>3204</v>
      </c>
      <c r="X758" s="8">
        <v>3258</v>
      </c>
      <c r="Y758" s="8">
        <v>3262</v>
      </c>
      <c r="Z758" s="8">
        <v>3258</v>
      </c>
      <c r="AA758" s="8">
        <v>3284</v>
      </c>
      <c r="AB758" s="8">
        <v>3311</v>
      </c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</row>
    <row r="759" spans="1:47" ht="14.4">
      <c r="A759" s="3">
        <f>LOOKUP(D759,'AMFI DATA_2023H2'!F:L,'AMFI DATA_2023H2'!L:L)</f>
        <v>782</v>
      </c>
      <c r="B759" s="4" t="s">
        <v>2276</v>
      </c>
      <c r="C759" s="4" t="s">
        <v>2277</v>
      </c>
      <c r="D759" s="5" t="s">
        <v>2278</v>
      </c>
      <c r="E759" s="5">
        <v>2199.25</v>
      </c>
      <c r="F759" s="6">
        <f>LOOKUP(D759,'AMFI DATA_2023H2'!F:J,'AMFI DATA_2023H2'!J:J)</f>
        <v>3042.2470000000003</v>
      </c>
      <c r="G759" s="7">
        <f t="shared" si="2"/>
        <v>-1</v>
      </c>
      <c r="H759" s="8"/>
      <c r="I759" s="8">
        <v>2879</v>
      </c>
      <c r="J759" s="8">
        <v>2864</v>
      </c>
      <c r="K759" s="8">
        <v>2859</v>
      </c>
      <c r="L759" s="8">
        <v>2859</v>
      </c>
      <c r="M759" s="8">
        <v>2870</v>
      </c>
      <c r="N759" s="8">
        <v>2862</v>
      </c>
      <c r="O759" s="8">
        <v>2824</v>
      </c>
      <c r="P759" s="8">
        <v>2778</v>
      </c>
      <c r="Q759" s="8">
        <v>2780</v>
      </c>
      <c r="R759" s="8">
        <v>2791</v>
      </c>
      <c r="S759" s="8">
        <v>2867</v>
      </c>
      <c r="T759" s="8">
        <v>2888</v>
      </c>
      <c r="U759" s="8">
        <v>2903</v>
      </c>
      <c r="V759" s="8">
        <v>2823</v>
      </c>
      <c r="W759" s="8">
        <v>2779</v>
      </c>
      <c r="X759" s="8">
        <v>2868</v>
      </c>
      <c r="Y759" s="8">
        <v>3030</v>
      </c>
      <c r="Z759" s="8">
        <v>3131</v>
      </c>
      <c r="AA759" s="8">
        <v>3091</v>
      </c>
      <c r="AB759" s="8">
        <v>3142</v>
      </c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</row>
    <row r="760" spans="1:47" ht="14.4">
      <c r="A760" s="3">
        <f>LOOKUP(D760,'AMFI DATA_2023H2'!F:L,'AMFI DATA_2023H2'!L:L)</f>
        <v>783</v>
      </c>
      <c r="B760" s="4" t="s">
        <v>2279</v>
      </c>
      <c r="C760" s="4" t="s">
        <v>2280</v>
      </c>
      <c r="D760" s="5" t="s">
        <v>2281</v>
      </c>
      <c r="E760" s="5">
        <v>2492.08</v>
      </c>
      <c r="F760" s="6">
        <f>LOOKUP(D760,'AMFI DATA_2023H2'!F:J,'AMFI DATA_2023H2'!J:J)</f>
        <v>3040.8199000000004</v>
      </c>
      <c r="G760" s="7">
        <f t="shared" si="2"/>
        <v>-1</v>
      </c>
      <c r="H760" s="8"/>
      <c r="I760" s="8">
        <v>3500</v>
      </c>
      <c r="J760" s="8">
        <v>3391</v>
      </c>
      <c r="K760" s="8">
        <v>3228</v>
      </c>
      <c r="L760" s="8">
        <v>3220</v>
      </c>
      <c r="M760" s="8">
        <v>3383</v>
      </c>
      <c r="N760" s="8">
        <v>3503</v>
      </c>
      <c r="O760" s="8">
        <v>3579</v>
      </c>
      <c r="P760" s="8">
        <v>3575</v>
      </c>
      <c r="Q760" s="8">
        <v>3605</v>
      </c>
      <c r="R760" s="8">
        <v>3593</v>
      </c>
      <c r="S760" s="8">
        <v>3437</v>
      </c>
      <c r="T760" s="8">
        <v>3457</v>
      </c>
      <c r="U760" s="8">
        <v>3265</v>
      </c>
      <c r="V760" s="8">
        <v>3355</v>
      </c>
      <c r="W760" s="8">
        <v>3205</v>
      </c>
      <c r="X760" s="8">
        <v>3177</v>
      </c>
      <c r="Y760" s="8">
        <v>3289</v>
      </c>
      <c r="Z760" s="8">
        <v>3256</v>
      </c>
      <c r="AA760" s="8">
        <v>3358</v>
      </c>
      <c r="AB760" s="8">
        <v>3274</v>
      </c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</row>
    <row r="761" spans="1:47" ht="14.4">
      <c r="A761" s="3">
        <f>LOOKUP(D761,'AMFI DATA_2023H2'!F:L,'AMFI DATA_2023H2'!L:L)</f>
        <v>784</v>
      </c>
      <c r="B761" s="4" t="s">
        <v>2282</v>
      </c>
      <c r="C761" s="4" t="s">
        <v>2283</v>
      </c>
      <c r="D761" s="5" t="s">
        <v>2284</v>
      </c>
      <c r="E761" s="5">
        <v>2402.14</v>
      </c>
      <c r="F761" s="6">
        <f>LOOKUP(D761,'AMFI DATA_2023H2'!F:J,'AMFI DATA_2023H2'!J:J)</f>
        <v>3037.0920500000002</v>
      </c>
      <c r="G761" s="7">
        <f t="shared" si="2"/>
        <v>-1</v>
      </c>
      <c r="H761" s="8"/>
      <c r="I761" s="8">
        <v>3414</v>
      </c>
      <c r="J761" s="8">
        <v>3414</v>
      </c>
      <c r="K761" s="8">
        <v>3453</v>
      </c>
      <c r="L761" s="8">
        <v>3509</v>
      </c>
      <c r="M761" s="8">
        <v>3454</v>
      </c>
      <c r="N761" s="8">
        <v>3360</v>
      </c>
      <c r="O761" s="8">
        <v>3362</v>
      </c>
      <c r="P761" s="8">
        <v>3400</v>
      </c>
      <c r="Q761" s="8">
        <v>3506</v>
      </c>
      <c r="R761" s="8">
        <v>3270</v>
      </c>
      <c r="S761" s="8">
        <v>3248</v>
      </c>
      <c r="T761" s="8">
        <v>3278</v>
      </c>
      <c r="U761" s="8">
        <v>3293</v>
      </c>
      <c r="V761" s="8">
        <v>3329</v>
      </c>
      <c r="W761" s="8">
        <v>3375</v>
      </c>
      <c r="X761" s="8">
        <v>3417</v>
      </c>
      <c r="Y761" s="8">
        <v>3367</v>
      </c>
      <c r="Z761" s="8">
        <v>3241</v>
      </c>
      <c r="AA761" s="8">
        <v>3238</v>
      </c>
      <c r="AB761" s="8">
        <v>3335</v>
      </c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</row>
    <row r="762" spans="1:47" ht="14.4">
      <c r="A762" s="3">
        <f>LOOKUP(D762,'AMFI DATA_2023H2'!F:L,'AMFI DATA_2023H2'!L:L)</f>
        <v>785</v>
      </c>
      <c r="B762" s="4" t="s">
        <v>2285</v>
      </c>
      <c r="C762" s="4" t="s">
        <v>2286</v>
      </c>
      <c r="D762" s="5" t="s">
        <v>2287</v>
      </c>
      <c r="E762" s="5">
        <v>1657.02</v>
      </c>
      <c r="F762" s="6">
        <f>LOOKUP(D762,'AMFI DATA_2023H2'!F:J,'AMFI DATA_2023H2'!J:J)</f>
        <v>3015.0473499999998</v>
      </c>
      <c r="G762" s="7">
        <f t="shared" si="2"/>
        <v>-1</v>
      </c>
      <c r="H762" s="8"/>
      <c r="I762" s="8">
        <v>3425</v>
      </c>
      <c r="J762" s="8">
        <v>3412</v>
      </c>
      <c r="K762" s="8">
        <v>3342</v>
      </c>
      <c r="L762" s="8">
        <v>3386</v>
      </c>
      <c r="M762" s="8">
        <v>3438</v>
      </c>
      <c r="N762" s="8">
        <v>3503</v>
      </c>
      <c r="O762" s="8">
        <v>3551</v>
      </c>
      <c r="P762" s="8">
        <v>3555</v>
      </c>
      <c r="Q762" s="8">
        <v>3633</v>
      </c>
      <c r="R762" s="8">
        <v>3586</v>
      </c>
      <c r="S762" s="8">
        <v>3594</v>
      </c>
      <c r="T762" s="8">
        <v>3634</v>
      </c>
      <c r="U762" s="8">
        <v>3702</v>
      </c>
      <c r="V762" s="8">
        <v>3614</v>
      </c>
      <c r="W762" s="8">
        <v>3572</v>
      </c>
      <c r="X762" s="8">
        <v>3538</v>
      </c>
      <c r="Y762" s="8">
        <v>3559</v>
      </c>
      <c r="Z762" s="8">
        <v>3646</v>
      </c>
      <c r="AA762" s="8">
        <v>3574</v>
      </c>
      <c r="AB762" s="8">
        <v>3618</v>
      </c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</row>
    <row r="763" spans="1:47" ht="14.4">
      <c r="A763" s="3">
        <f>LOOKUP(D763,'AMFI DATA_2023H2'!F:L,'AMFI DATA_2023H2'!L:L)</f>
        <v>787</v>
      </c>
      <c r="B763" s="4" t="s">
        <v>2288</v>
      </c>
      <c r="C763" s="4" t="s">
        <v>2289</v>
      </c>
      <c r="D763" s="5" t="s">
        <v>2290</v>
      </c>
      <c r="E763" s="5">
        <v>2270.12</v>
      </c>
      <c r="F763" s="6">
        <f>LOOKUP(D763,'AMFI DATA_2023H2'!F:J,'AMFI DATA_2023H2'!J:J)</f>
        <v>3010.6279999999997</v>
      </c>
      <c r="G763" s="7">
        <f t="shared" si="2"/>
        <v>-1</v>
      </c>
      <c r="H763" s="8"/>
      <c r="I763" s="8">
        <v>3033</v>
      </c>
      <c r="J763" s="8">
        <v>3055</v>
      </c>
      <c r="K763" s="8">
        <v>3034</v>
      </c>
      <c r="L763" s="8">
        <v>3079</v>
      </c>
      <c r="M763" s="8">
        <v>3047</v>
      </c>
      <c r="N763" s="8">
        <v>3099</v>
      </c>
      <c r="O763" s="8">
        <v>3105</v>
      </c>
      <c r="P763" s="8">
        <v>3038</v>
      </c>
      <c r="Q763" s="8">
        <v>3067</v>
      </c>
      <c r="R763" s="8">
        <v>2982</v>
      </c>
      <c r="S763" s="8">
        <v>2972</v>
      </c>
      <c r="T763" s="8">
        <v>2984</v>
      </c>
      <c r="U763" s="8">
        <v>2935</v>
      </c>
      <c r="V763" s="8">
        <v>2971</v>
      </c>
      <c r="W763" s="8">
        <v>3001</v>
      </c>
      <c r="X763" s="8">
        <v>3007</v>
      </c>
      <c r="Y763" s="8">
        <v>3061</v>
      </c>
      <c r="Z763" s="8">
        <v>3029</v>
      </c>
      <c r="AA763" s="8">
        <v>3039</v>
      </c>
      <c r="AB763" s="8">
        <v>3042</v>
      </c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</row>
    <row r="764" spans="1:47" ht="14.4">
      <c r="A764" s="3">
        <f>LOOKUP(D764,'AMFI DATA_2023H2'!F:L,'AMFI DATA_2023H2'!L:L)</f>
        <v>788</v>
      </c>
      <c r="B764" s="4" t="s">
        <v>2291</v>
      </c>
      <c r="C764" s="4" t="s">
        <v>2292</v>
      </c>
      <c r="D764" s="5" t="s">
        <v>2293</v>
      </c>
      <c r="E764" s="5">
        <v>2084.21</v>
      </c>
      <c r="F764" s="6">
        <f>LOOKUP(D764,'AMFI DATA_2023H2'!F:J,'AMFI DATA_2023H2'!J:J)</f>
        <v>3000.3896</v>
      </c>
      <c r="G764" s="7">
        <f t="shared" si="2"/>
        <v>-1</v>
      </c>
      <c r="H764" s="8"/>
      <c r="I764" s="8">
        <v>4151</v>
      </c>
      <c r="J764" s="8">
        <v>4058</v>
      </c>
      <c r="K764" s="8">
        <v>4034</v>
      </c>
      <c r="L764" s="8">
        <v>4103</v>
      </c>
      <c r="M764" s="8">
        <v>4186</v>
      </c>
      <c r="N764" s="8">
        <v>4222</v>
      </c>
      <c r="O764" s="8">
        <v>4234</v>
      </c>
      <c r="P764" s="8">
        <v>4152</v>
      </c>
      <c r="Q764" s="8">
        <v>4162</v>
      </c>
      <c r="R764" s="8">
        <v>4311</v>
      </c>
      <c r="S764" s="8">
        <v>4126</v>
      </c>
      <c r="T764" s="8">
        <v>4141</v>
      </c>
      <c r="U764" s="8">
        <v>4139</v>
      </c>
      <c r="V764" s="8">
        <v>3845</v>
      </c>
      <c r="W764" s="8">
        <v>3874</v>
      </c>
      <c r="X764" s="8">
        <v>3889</v>
      </c>
      <c r="Y764" s="8">
        <v>3990</v>
      </c>
      <c r="Z764" s="8">
        <v>3771</v>
      </c>
      <c r="AA764" s="8">
        <v>3738</v>
      </c>
      <c r="AB764" s="8">
        <v>3726</v>
      </c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</row>
    <row r="765" spans="1:47" ht="14.4">
      <c r="A765" s="3">
        <f>LOOKUP(D765,'AMFI DATA_2023H2'!F:L,'AMFI DATA_2023H2'!L:L)</f>
        <v>789</v>
      </c>
      <c r="B765" s="4" t="s">
        <v>2294</v>
      </c>
      <c r="C765" s="4" t="s">
        <v>2295</v>
      </c>
      <c r="D765" s="5" t="s">
        <v>2296</v>
      </c>
      <c r="E765" s="5">
        <v>2575.5100000000002</v>
      </c>
      <c r="F765" s="6">
        <f>LOOKUP(D765,'AMFI DATA_2023H2'!F:J,'AMFI DATA_2023H2'!J:J)</f>
        <v>2999.3404</v>
      </c>
      <c r="G765" s="7">
        <f t="shared" si="2"/>
        <v>-1</v>
      </c>
      <c r="H765" s="8"/>
      <c r="I765" s="8">
        <v>3313</v>
      </c>
      <c r="J765" s="8">
        <v>3311</v>
      </c>
      <c r="K765" s="8">
        <v>3347</v>
      </c>
      <c r="L765" s="8">
        <v>3368</v>
      </c>
      <c r="M765" s="8">
        <v>3454</v>
      </c>
      <c r="N765" s="8">
        <v>3565</v>
      </c>
      <c r="O765" s="8">
        <v>3604</v>
      </c>
      <c r="P765" s="8">
        <v>3599</v>
      </c>
      <c r="Q765" s="8">
        <v>3508</v>
      </c>
      <c r="R765" s="8">
        <v>3528</v>
      </c>
      <c r="S765" s="8">
        <v>3500</v>
      </c>
      <c r="T765" s="8">
        <v>3461</v>
      </c>
      <c r="U765" s="8">
        <v>3519</v>
      </c>
      <c r="V765" s="8">
        <v>3507</v>
      </c>
      <c r="W765" s="8">
        <v>3449</v>
      </c>
      <c r="X765" s="8">
        <v>3410</v>
      </c>
      <c r="Y765" s="8">
        <v>3484</v>
      </c>
      <c r="Z765" s="8">
        <v>3454</v>
      </c>
      <c r="AA765" s="8">
        <v>3526</v>
      </c>
      <c r="AB765" s="8">
        <v>3578</v>
      </c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</row>
    <row r="766" spans="1:47" ht="14.4">
      <c r="A766" s="3">
        <f>LOOKUP(D766,'AMFI DATA_2023H2'!F:L,'AMFI DATA_2023H2'!L:L)</f>
        <v>790</v>
      </c>
      <c r="B766" s="4" t="s">
        <v>2297</v>
      </c>
      <c r="C766" s="4" t="s">
        <v>2298</v>
      </c>
      <c r="D766" s="5" t="s">
        <v>2299</v>
      </c>
      <c r="E766" s="5">
        <v>2375.8000000000002</v>
      </c>
      <c r="F766" s="6">
        <f>LOOKUP(D766,'AMFI DATA_2023H2'!F:J,'AMFI DATA_2023H2'!J:J)</f>
        <v>2993.8134</v>
      </c>
      <c r="G766" s="7">
        <f t="shared" si="2"/>
        <v>-1</v>
      </c>
      <c r="H766" s="8"/>
      <c r="I766" s="8">
        <v>2979</v>
      </c>
      <c r="J766" s="8">
        <v>2959</v>
      </c>
      <c r="K766" s="8">
        <v>2946</v>
      </c>
      <c r="L766" s="8">
        <v>2988</v>
      </c>
      <c r="M766" s="8">
        <v>2944</v>
      </c>
      <c r="N766" s="8">
        <v>2935</v>
      </c>
      <c r="O766" s="8">
        <v>2965</v>
      </c>
      <c r="P766" s="8">
        <v>2952</v>
      </c>
      <c r="Q766" s="8">
        <v>2981</v>
      </c>
      <c r="R766" s="8">
        <v>2956</v>
      </c>
      <c r="S766" s="8">
        <v>2977</v>
      </c>
      <c r="T766" s="8">
        <v>3040</v>
      </c>
      <c r="U766" s="8">
        <v>3105</v>
      </c>
      <c r="V766" s="8">
        <v>3077</v>
      </c>
      <c r="W766" s="8">
        <v>3077</v>
      </c>
      <c r="X766" s="8">
        <v>3041</v>
      </c>
      <c r="Y766" s="8">
        <v>3039</v>
      </c>
      <c r="Z766" s="8">
        <v>3055</v>
      </c>
      <c r="AA766" s="8">
        <v>3049</v>
      </c>
      <c r="AB766" s="8">
        <v>3087</v>
      </c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</row>
    <row r="767" spans="1:47" ht="14.4">
      <c r="A767" s="3">
        <f>LOOKUP(D767,'AMFI DATA_2023H2'!F:L,'AMFI DATA_2023H2'!L:L)</f>
        <v>791</v>
      </c>
      <c r="B767" s="4" t="s">
        <v>2300</v>
      </c>
      <c r="C767" s="4" t="s">
        <v>2301</v>
      </c>
      <c r="D767" s="5" t="s">
        <v>2302</v>
      </c>
      <c r="E767" s="5">
        <v>2395.83</v>
      </c>
      <c r="F767" s="6">
        <f>LOOKUP(D767,'AMFI DATA_2023H2'!F:J,'AMFI DATA_2023H2'!J:J)</f>
        <v>2989.4525999999996</v>
      </c>
      <c r="G767" s="7">
        <f t="shared" ref="G767:G1021" si="3">H767/F767-1</f>
        <v>-1</v>
      </c>
      <c r="H767" s="8"/>
      <c r="I767" s="8">
        <v>2795</v>
      </c>
      <c r="J767" s="8">
        <v>2819</v>
      </c>
      <c r="K767" s="8">
        <v>2840</v>
      </c>
      <c r="L767" s="8">
        <v>2901</v>
      </c>
      <c r="M767" s="8">
        <v>2895</v>
      </c>
      <c r="N767" s="8">
        <v>2862</v>
      </c>
      <c r="O767" s="8">
        <v>2857</v>
      </c>
      <c r="P767" s="8">
        <v>2897</v>
      </c>
      <c r="Q767" s="8">
        <v>2904</v>
      </c>
      <c r="R767" s="8">
        <v>2931</v>
      </c>
      <c r="S767" s="8">
        <v>2952</v>
      </c>
      <c r="T767" s="8">
        <v>2888</v>
      </c>
      <c r="U767" s="8">
        <v>2878</v>
      </c>
      <c r="V767" s="8">
        <v>2878</v>
      </c>
      <c r="W767" s="8">
        <v>2883</v>
      </c>
      <c r="X767" s="8">
        <v>2847</v>
      </c>
      <c r="Y767" s="8">
        <v>2843</v>
      </c>
      <c r="Z767" s="8">
        <v>2891</v>
      </c>
      <c r="AA767" s="8">
        <v>2810</v>
      </c>
      <c r="AB767" s="8">
        <v>2833</v>
      </c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</row>
    <row r="768" spans="1:47" ht="14.4">
      <c r="A768" s="3">
        <f>LOOKUP(D768,'AMFI DATA_2023H2'!F:L,'AMFI DATA_2023H2'!L:L)</f>
        <v>792</v>
      </c>
      <c r="B768" s="4" t="s">
        <v>2303</v>
      </c>
      <c r="C768" s="4" t="s">
        <v>2304</v>
      </c>
      <c r="D768" s="5" t="s">
        <v>2305</v>
      </c>
      <c r="E768" s="5">
        <v>1855.94</v>
      </c>
      <c r="F768" s="6">
        <f>LOOKUP(D768,'AMFI DATA_2023H2'!F:J,'AMFI DATA_2023H2'!J:J)</f>
        <v>2957.7514000000001</v>
      </c>
      <c r="G768" s="7">
        <f t="shared" si="3"/>
        <v>-1</v>
      </c>
      <c r="H768" s="8"/>
      <c r="I768" s="8">
        <v>3525</v>
      </c>
      <c r="J768" s="8">
        <v>3551</v>
      </c>
      <c r="K768" s="8">
        <v>3496</v>
      </c>
      <c r="L768" s="8">
        <v>3572</v>
      </c>
      <c r="M768" s="8">
        <v>3561</v>
      </c>
      <c r="N768" s="8">
        <v>3608</v>
      </c>
      <c r="O768" s="8">
        <v>3737</v>
      </c>
      <c r="P768" s="8">
        <v>3440</v>
      </c>
      <c r="Q768" s="8">
        <v>3429</v>
      </c>
      <c r="R768" s="8">
        <v>3366</v>
      </c>
      <c r="S768" s="8">
        <v>3407</v>
      </c>
      <c r="T768" s="8">
        <v>3478</v>
      </c>
      <c r="U768" s="8">
        <v>3307</v>
      </c>
      <c r="V768" s="8">
        <v>3308</v>
      </c>
      <c r="W768" s="8">
        <v>3347</v>
      </c>
      <c r="X768" s="8">
        <v>3294</v>
      </c>
      <c r="Y768" s="8">
        <v>3285</v>
      </c>
      <c r="Z768" s="8">
        <v>3345</v>
      </c>
      <c r="AA768" s="8">
        <v>3370</v>
      </c>
      <c r="AB768" s="8">
        <v>3381</v>
      </c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</row>
    <row r="769" spans="1:47" ht="14.4">
      <c r="A769" s="3">
        <f>LOOKUP(D769,'AMFI DATA_2023H2'!F:L,'AMFI DATA_2023H2'!L:L)</f>
        <v>793</v>
      </c>
      <c r="B769" s="4" t="s">
        <v>2306</v>
      </c>
      <c r="C769" s="4" t="s">
        <v>2307</v>
      </c>
      <c r="D769" s="5" t="s">
        <v>2308</v>
      </c>
      <c r="E769" s="5">
        <v>2470.3000000000002</v>
      </c>
      <c r="F769" s="6">
        <f>LOOKUP(D769,'AMFI DATA_2023H2'!F:J,'AMFI DATA_2023H2'!J:J)</f>
        <v>2933.5083</v>
      </c>
      <c r="G769" s="7">
        <f t="shared" si="3"/>
        <v>-1</v>
      </c>
      <c r="H769" s="8"/>
      <c r="I769" s="8">
        <v>3334</v>
      </c>
      <c r="J769" s="8">
        <v>3242</v>
      </c>
      <c r="K769" s="8">
        <v>3252</v>
      </c>
      <c r="L769" s="8">
        <v>3393</v>
      </c>
      <c r="M769" s="8">
        <v>3342</v>
      </c>
      <c r="N769" s="8">
        <v>3350</v>
      </c>
      <c r="O769" s="8">
        <v>3338</v>
      </c>
      <c r="P769" s="8">
        <v>3322</v>
      </c>
      <c r="Q769" s="8">
        <v>3295</v>
      </c>
      <c r="R769" s="8">
        <v>3271</v>
      </c>
      <c r="S769" s="8">
        <v>3305</v>
      </c>
      <c r="T769" s="8">
        <v>3314</v>
      </c>
      <c r="U769" s="8">
        <v>3341</v>
      </c>
      <c r="V769" s="8">
        <v>3422</v>
      </c>
      <c r="W769" s="8">
        <v>3404</v>
      </c>
      <c r="X769" s="8">
        <v>3394</v>
      </c>
      <c r="Y769" s="8">
        <v>3358</v>
      </c>
      <c r="Z769" s="8">
        <v>3356</v>
      </c>
      <c r="AA769" s="8">
        <v>3308</v>
      </c>
      <c r="AB769" s="8">
        <v>3275</v>
      </c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</row>
    <row r="770" spans="1:47" ht="14.4">
      <c r="A770" s="3">
        <f>LOOKUP(D770,'AMFI DATA_2023H2'!F:L,'AMFI DATA_2023H2'!L:L)</f>
        <v>794</v>
      </c>
      <c r="B770" s="4" t="s">
        <v>2309</v>
      </c>
      <c r="C770" s="4" t="s">
        <v>2310</v>
      </c>
      <c r="D770" s="5" t="s">
        <v>2311</v>
      </c>
      <c r="E770" s="5">
        <v>2124.2800000000002</v>
      </c>
      <c r="F770" s="6">
        <f>LOOKUP(D770,'AMFI DATA_2023H2'!F:J,'AMFI DATA_2023H2'!J:J)</f>
        <v>2931.4671499999999</v>
      </c>
      <c r="G770" s="7">
        <f t="shared" si="3"/>
        <v>-1</v>
      </c>
      <c r="H770" s="8"/>
      <c r="I770" s="8">
        <v>3392</v>
      </c>
      <c r="J770" s="8">
        <v>3405</v>
      </c>
      <c r="K770" s="8">
        <v>3292</v>
      </c>
      <c r="L770" s="8">
        <v>3282</v>
      </c>
      <c r="M770" s="8">
        <v>3233</v>
      </c>
      <c r="N770" s="8">
        <v>3275</v>
      </c>
      <c r="O770" s="8">
        <v>3280</v>
      </c>
      <c r="P770" s="8">
        <v>3323</v>
      </c>
      <c r="Q770" s="8">
        <v>3308</v>
      </c>
      <c r="R770" s="8">
        <v>3324</v>
      </c>
      <c r="S770" s="8">
        <v>3355</v>
      </c>
      <c r="T770" s="8">
        <v>3376</v>
      </c>
      <c r="U770" s="8">
        <v>3331</v>
      </c>
      <c r="V770" s="8">
        <v>3351</v>
      </c>
      <c r="W770" s="8">
        <v>3378</v>
      </c>
      <c r="X770" s="8">
        <v>3344</v>
      </c>
      <c r="Y770" s="8">
        <v>3330</v>
      </c>
      <c r="Z770" s="8">
        <v>3401</v>
      </c>
      <c r="AA770" s="8">
        <v>3422</v>
      </c>
      <c r="AB770" s="8">
        <v>3437</v>
      </c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</row>
    <row r="771" spans="1:47" ht="14.4">
      <c r="A771" s="3">
        <f>LOOKUP(D771,'AMFI DATA_2023H2'!F:L,'AMFI DATA_2023H2'!L:L)</f>
        <v>795</v>
      </c>
      <c r="B771" s="4" t="s">
        <v>2312</v>
      </c>
      <c r="C771" s="4" t="s">
        <v>2313</v>
      </c>
      <c r="D771" s="5" t="s">
        <v>2314</v>
      </c>
      <c r="E771" s="5">
        <v>1612.07</v>
      </c>
      <c r="F771" s="6">
        <f>LOOKUP(D771,'AMFI DATA_2023H2'!F:J,'AMFI DATA_2023H2'!J:J)</f>
        <v>2915.2075</v>
      </c>
      <c r="G771" s="7">
        <f t="shared" si="3"/>
        <v>-1</v>
      </c>
      <c r="H771" s="8"/>
      <c r="I771" s="8">
        <v>3212</v>
      </c>
      <c r="J771" s="8">
        <v>3202</v>
      </c>
      <c r="K771" s="8">
        <v>3225</v>
      </c>
      <c r="L771" s="8">
        <v>3265</v>
      </c>
      <c r="M771" s="8">
        <v>3347</v>
      </c>
      <c r="N771" s="8">
        <v>3293</v>
      </c>
      <c r="O771" s="8">
        <v>3255</v>
      </c>
      <c r="P771" s="8">
        <v>3289</v>
      </c>
      <c r="Q771" s="8">
        <v>3246</v>
      </c>
      <c r="R771" s="8">
        <v>3247</v>
      </c>
      <c r="S771" s="8">
        <v>3311</v>
      </c>
      <c r="T771" s="8">
        <v>3327</v>
      </c>
      <c r="U771" s="8">
        <v>3164</v>
      </c>
      <c r="V771" s="8">
        <v>3168</v>
      </c>
      <c r="W771" s="8">
        <v>3212</v>
      </c>
      <c r="X771" s="8">
        <v>3179</v>
      </c>
      <c r="Y771" s="8">
        <v>3088</v>
      </c>
      <c r="Z771" s="8">
        <v>3128</v>
      </c>
      <c r="AA771" s="8">
        <v>3161</v>
      </c>
      <c r="AB771" s="8">
        <v>3111</v>
      </c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</row>
    <row r="772" spans="1:47" ht="14.4">
      <c r="A772" s="3">
        <f>LOOKUP(D772,'AMFI DATA_2023H2'!F:L,'AMFI DATA_2023H2'!L:L)</f>
        <v>796</v>
      </c>
      <c r="B772" s="4" t="s">
        <v>2315</v>
      </c>
      <c r="C772" s="4" t="s">
        <v>2316</v>
      </c>
      <c r="D772" s="5" t="s">
        <v>2317</v>
      </c>
      <c r="E772" s="5">
        <v>1486.73</v>
      </c>
      <c r="F772" s="6">
        <f>LOOKUP(D772,'AMFI DATA_2023H2'!F:J,'AMFI DATA_2023H2'!J:J)</f>
        <v>2900.6975499999999</v>
      </c>
      <c r="G772" s="7">
        <f t="shared" si="3"/>
        <v>-1</v>
      </c>
      <c r="H772" s="8"/>
      <c r="I772" s="8">
        <v>3859</v>
      </c>
      <c r="J772" s="8">
        <v>3838</v>
      </c>
      <c r="K772" s="8">
        <v>3715</v>
      </c>
      <c r="L772" s="8">
        <v>3827</v>
      </c>
      <c r="M772" s="8">
        <v>3837</v>
      </c>
      <c r="N772" s="8">
        <v>3823</v>
      </c>
      <c r="O772" s="8">
        <v>3650</v>
      </c>
      <c r="P772" s="8">
        <v>3705</v>
      </c>
      <c r="Q772" s="8">
        <v>3636</v>
      </c>
      <c r="R772" s="8">
        <v>3707</v>
      </c>
      <c r="S772" s="8">
        <v>3240</v>
      </c>
      <c r="T772" s="8">
        <v>3243</v>
      </c>
      <c r="U772" s="8">
        <v>3243</v>
      </c>
      <c r="V772" s="8">
        <v>3185</v>
      </c>
      <c r="W772" s="8">
        <v>3231</v>
      </c>
      <c r="X772" s="8">
        <v>3259</v>
      </c>
      <c r="Y772" s="8">
        <v>3292</v>
      </c>
      <c r="Z772" s="8">
        <v>3317</v>
      </c>
      <c r="AA772" s="8">
        <v>3309</v>
      </c>
      <c r="AB772" s="8">
        <v>3077</v>
      </c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</row>
    <row r="773" spans="1:47" ht="14.4">
      <c r="A773" s="3">
        <f>LOOKUP(D773,'AMFI DATA_2023H2'!F:L,'AMFI DATA_2023H2'!L:L)</f>
        <v>797</v>
      </c>
      <c r="B773" s="4" t="s">
        <v>2318</v>
      </c>
      <c r="C773" s="4" t="s">
        <v>2319</v>
      </c>
      <c r="D773" s="5" t="s">
        <v>2320</v>
      </c>
      <c r="E773" s="5">
        <v>2366.9899999999998</v>
      </c>
      <c r="F773" s="6">
        <f>LOOKUP(D773,'AMFI DATA_2023H2'!F:J,'AMFI DATA_2023H2'!J:J)</f>
        <v>2885.9155500000002</v>
      </c>
      <c r="G773" s="7">
        <f t="shared" si="3"/>
        <v>-1</v>
      </c>
      <c r="H773" s="8"/>
      <c r="I773" s="8">
        <v>3238</v>
      </c>
      <c r="J773" s="8">
        <v>3230</v>
      </c>
      <c r="K773" s="8">
        <v>3214</v>
      </c>
      <c r="L773" s="8">
        <v>3186</v>
      </c>
      <c r="M773" s="8">
        <v>3214</v>
      </c>
      <c r="N773" s="8">
        <v>3228</v>
      </c>
      <c r="O773" s="8">
        <v>3313</v>
      </c>
      <c r="P773" s="8">
        <v>3142</v>
      </c>
      <c r="Q773" s="8">
        <v>3193</v>
      </c>
      <c r="R773" s="8">
        <v>3216</v>
      </c>
      <c r="S773" s="8">
        <v>3172</v>
      </c>
      <c r="T773" s="8">
        <v>3192</v>
      </c>
      <c r="U773" s="8">
        <v>3176</v>
      </c>
      <c r="V773" s="8">
        <v>3011</v>
      </c>
      <c r="W773" s="8">
        <v>2914</v>
      </c>
      <c r="X773" s="8">
        <v>2882</v>
      </c>
      <c r="Y773" s="8">
        <v>2851</v>
      </c>
      <c r="Z773" s="8">
        <v>2901</v>
      </c>
      <c r="AA773" s="8">
        <v>2920</v>
      </c>
      <c r="AB773" s="8">
        <v>2933</v>
      </c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</row>
    <row r="774" spans="1:47" ht="14.4">
      <c r="A774" s="3">
        <f>LOOKUP(D774,'AMFI DATA_2023H2'!F:L,'AMFI DATA_2023H2'!L:L)</f>
        <v>798</v>
      </c>
      <c r="B774" s="4" t="s">
        <v>2321</v>
      </c>
      <c r="C774" s="4" t="s">
        <v>2322</v>
      </c>
      <c r="D774" s="5" t="s">
        <v>2323</v>
      </c>
      <c r="E774" s="5">
        <v>2117.64</v>
      </c>
      <c r="F774" s="6">
        <f>LOOKUP(D774,'AMFI DATA_2023H2'!F:J,'AMFI DATA_2023H2'!J:J)</f>
        <v>2878.97145</v>
      </c>
      <c r="G774" s="7">
        <f t="shared" si="3"/>
        <v>-1</v>
      </c>
      <c r="H774" s="8"/>
      <c r="I774" s="8">
        <v>2819</v>
      </c>
      <c r="J774" s="8">
        <v>2878</v>
      </c>
      <c r="K774" s="8">
        <v>2902</v>
      </c>
      <c r="L774" s="8">
        <v>2796</v>
      </c>
      <c r="M774" s="8">
        <v>2803</v>
      </c>
      <c r="N774" s="8">
        <v>2840</v>
      </c>
      <c r="O774" s="8">
        <v>2864</v>
      </c>
      <c r="P774" s="8">
        <v>2898</v>
      </c>
      <c r="Q774" s="8">
        <v>2894</v>
      </c>
      <c r="R774" s="8">
        <v>2802</v>
      </c>
      <c r="S774" s="8">
        <v>2793</v>
      </c>
      <c r="T774" s="8">
        <v>2810</v>
      </c>
      <c r="U774" s="8">
        <v>2858</v>
      </c>
      <c r="V774" s="8">
        <v>2875</v>
      </c>
      <c r="W774" s="8">
        <v>2893</v>
      </c>
      <c r="X774" s="8">
        <v>2907</v>
      </c>
      <c r="Y774" s="8">
        <v>2915</v>
      </c>
      <c r="Z774" s="8">
        <v>2951</v>
      </c>
      <c r="AA774" s="8">
        <v>2966</v>
      </c>
      <c r="AB774" s="8">
        <v>2973</v>
      </c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</row>
    <row r="775" spans="1:47" ht="14.4">
      <c r="A775" s="3">
        <f>LOOKUP(D775,'AMFI DATA_2023H2'!F:L,'AMFI DATA_2023H2'!L:L)</f>
        <v>799</v>
      </c>
      <c r="B775" s="4" t="s">
        <v>2324</v>
      </c>
      <c r="C775" s="4" t="s">
        <v>2325</v>
      </c>
      <c r="D775" s="5" t="s">
        <v>2326</v>
      </c>
      <c r="E775" s="5">
        <v>1704.76</v>
      </c>
      <c r="F775" s="6">
        <f>LOOKUP(D775,'AMFI DATA_2023H2'!F:J,'AMFI DATA_2023H2'!J:J)</f>
        <v>2870.1725999999999</v>
      </c>
      <c r="G775" s="7">
        <f t="shared" si="3"/>
        <v>-1</v>
      </c>
      <c r="H775" s="8"/>
      <c r="I775" s="8">
        <v>3115</v>
      </c>
      <c r="J775" s="8">
        <v>3112</v>
      </c>
      <c r="K775" s="8">
        <v>3449</v>
      </c>
      <c r="L775" s="8">
        <v>3852</v>
      </c>
      <c r="M775" s="8">
        <v>3923</v>
      </c>
      <c r="N775" s="8">
        <v>3691</v>
      </c>
      <c r="O775" s="8">
        <v>3366</v>
      </c>
      <c r="P775" s="8">
        <v>3358</v>
      </c>
      <c r="Q775" s="8">
        <v>3294</v>
      </c>
      <c r="R775" s="8">
        <v>3325</v>
      </c>
      <c r="S775" s="8">
        <v>3310</v>
      </c>
      <c r="T775" s="8">
        <v>3331</v>
      </c>
      <c r="U775" s="8">
        <v>3335</v>
      </c>
      <c r="V775" s="8">
        <v>3268</v>
      </c>
      <c r="W775" s="8">
        <v>3294</v>
      </c>
      <c r="X775" s="8">
        <v>3265</v>
      </c>
      <c r="Y775" s="8">
        <v>3248</v>
      </c>
      <c r="Z775" s="8">
        <v>3294</v>
      </c>
      <c r="AA775" s="8">
        <v>3318</v>
      </c>
      <c r="AB775" s="8">
        <v>3385</v>
      </c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</row>
    <row r="776" spans="1:47" ht="14.4">
      <c r="A776" s="3">
        <f>LOOKUP(D776,'AMFI DATA_2023H2'!F:L,'AMFI DATA_2023H2'!L:L)</f>
        <v>800</v>
      </c>
      <c r="B776" s="4" t="s">
        <v>2327</v>
      </c>
      <c r="C776" s="4" t="s">
        <v>2328</v>
      </c>
      <c r="D776" s="5" t="s">
        <v>2329</v>
      </c>
      <c r="E776" s="5">
        <v>1926.41</v>
      </c>
      <c r="F776" s="6">
        <f>LOOKUP(D776,'AMFI DATA_2023H2'!F:J,'AMFI DATA_2023H2'!J:J)</f>
        <v>2867.1100999999999</v>
      </c>
      <c r="G776" s="7">
        <f t="shared" si="3"/>
        <v>-1</v>
      </c>
      <c r="H776" s="8"/>
      <c r="I776" s="8">
        <v>3682</v>
      </c>
      <c r="J776" s="8">
        <v>3603</v>
      </c>
      <c r="K776" s="8">
        <v>3628</v>
      </c>
      <c r="L776" s="8">
        <v>3699</v>
      </c>
      <c r="M776" s="8">
        <v>3785</v>
      </c>
      <c r="N776" s="8">
        <v>3831</v>
      </c>
      <c r="O776" s="8">
        <v>3880</v>
      </c>
      <c r="P776" s="8">
        <v>3825</v>
      </c>
      <c r="Q776" s="8">
        <v>3907</v>
      </c>
      <c r="R776" s="8">
        <v>3805</v>
      </c>
      <c r="S776" s="8">
        <v>3739</v>
      </c>
      <c r="T776" s="8">
        <v>3266</v>
      </c>
      <c r="U776" s="8">
        <v>3276</v>
      </c>
      <c r="V776" s="8">
        <v>3245</v>
      </c>
      <c r="W776" s="8">
        <v>3242</v>
      </c>
      <c r="X776" s="8">
        <v>3244</v>
      </c>
      <c r="Y776" s="8">
        <v>3254</v>
      </c>
      <c r="Z776" s="8">
        <v>3263</v>
      </c>
      <c r="AA776" s="8">
        <v>3295</v>
      </c>
      <c r="AB776" s="8">
        <v>3252</v>
      </c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</row>
    <row r="777" spans="1:47" ht="14.4">
      <c r="A777" s="3">
        <f>LOOKUP(D777,'AMFI DATA_2023H2'!F:L,'AMFI DATA_2023H2'!L:L)</f>
        <v>801</v>
      </c>
      <c r="B777" s="4" t="s">
        <v>2330</v>
      </c>
      <c r="C777" s="4" t="s">
        <v>2331</v>
      </c>
      <c r="D777" s="5" t="s">
        <v>2332</v>
      </c>
      <c r="E777" s="5">
        <v>2096.3000000000002</v>
      </c>
      <c r="F777" s="6">
        <f>LOOKUP(D777,'AMFI DATA_2023H2'!F:J,'AMFI DATA_2023H2'!J:J)</f>
        <v>2859.4039000000002</v>
      </c>
      <c r="G777" s="7">
        <f t="shared" si="3"/>
        <v>-1</v>
      </c>
      <c r="H777" s="8"/>
      <c r="I777" s="8">
        <v>3740</v>
      </c>
      <c r="J777" s="8">
        <v>3706</v>
      </c>
      <c r="K777" s="8">
        <v>3658</v>
      </c>
      <c r="L777" s="8">
        <v>3615</v>
      </c>
      <c r="M777" s="8">
        <v>3606</v>
      </c>
      <c r="N777" s="8">
        <v>3612</v>
      </c>
      <c r="O777" s="8">
        <v>3607</v>
      </c>
      <c r="P777" s="8">
        <v>3598</v>
      </c>
      <c r="Q777" s="8">
        <v>3499</v>
      </c>
      <c r="R777" s="8">
        <v>3475</v>
      </c>
      <c r="S777" s="8">
        <v>3516</v>
      </c>
      <c r="T777" s="8">
        <v>3512</v>
      </c>
      <c r="U777" s="8">
        <v>3510</v>
      </c>
      <c r="V777" s="8">
        <v>3534</v>
      </c>
      <c r="W777" s="8">
        <v>3548</v>
      </c>
      <c r="X777" s="8">
        <v>3526</v>
      </c>
      <c r="Y777" s="8">
        <v>3577</v>
      </c>
      <c r="Z777" s="8">
        <v>3621</v>
      </c>
      <c r="AA777" s="8">
        <v>3577</v>
      </c>
      <c r="AB777" s="8">
        <v>3490</v>
      </c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</row>
    <row r="778" spans="1:47" ht="14.4">
      <c r="A778" s="3">
        <f>LOOKUP(D778,'AMFI DATA_2023H2'!F:L,'AMFI DATA_2023H2'!L:L)</f>
        <v>803</v>
      </c>
      <c r="B778" s="4" t="s">
        <v>2333</v>
      </c>
      <c r="C778" s="4" t="s">
        <v>2334</v>
      </c>
      <c r="D778" s="5" t="s">
        <v>2335</v>
      </c>
      <c r="E778" s="5">
        <v>2850.34</v>
      </c>
      <c r="F778" s="6">
        <f>LOOKUP(D778,'AMFI DATA_2023H2'!F:J,'AMFI DATA_2023H2'!J:J)</f>
        <v>2845.0379000000003</v>
      </c>
      <c r="G778" s="7">
        <f t="shared" si="3"/>
        <v>-1</v>
      </c>
      <c r="H778" s="8"/>
      <c r="I778" s="8">
        <v>2854</v>
      </c>
      <c r="J778" s="8">
        <v>2843</v>
      </c>
      <c r="K778" s="8">
        <v>2860</v>
      </c>
      <c r="L778" s="8">
        <v>2917</v>
      </c>
      <c r="M778" s="8">
        <v>2954</v>
      </c>
      <c r="N778" s="8">
        <v>2974</v>
      </c>
      <c r="O778" s="8">
        <v>2986</v>
      </c>
      <c r="P778" s="8">
        <v>2941</v>
      </c>
      <c r="Q778" s="8">
        <v>2932</v>
      </c>
      <c r="R778" s="8">
        <v>2967</v>
      </c>
      <c r="S778" s="8">
        <v>2969</v>
      </c>
      <c r="T778" s="8">
        <v>2910</v>
      </c>
      <c r="U778" s="8">
        <v>2849</v>
      </c>
      <c r="V778" s="8">
        <v>2868</v>
      </c>
      <c r="W778" s="8">
        <v>2880</v>
      </c>
      <c r="X778" s="8">
        <v>2781</v>
      </c>
      <c r="Y778" s="8">
        <v>2793</v>
      </c>
      <c r="Z778" s="8">
        <v>2780</v>
      </c>
      <c r="AA778" s="8">
        <v>2739</v>
      </c>
      <c r="AB778" s="8">
        <v>2722</v>
      </c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</row>
    <row r="779" spans="1:47" ht="14.4">
      <c r="A779" s="3">
        <f>LOOKUP(D779,'AMFI DATA_2023H2'!F:L,'AMFI DATA_2023H2'!L:L)</f>
        <v>804</v>
      </c>
      <c r="B779" s="4" t="s">
        <v>2336</v>
      </c>
      <c r="C779" s="4" t="s">
        <v>2337</v>
      </c>
      <c r="D779" s="5" t="s">
        <v>2338</v>
      </c>
      <c r="E779" s="5">
        <v>3430.74</v>
      </c>
      <c r="F779" s="6">
        <f>LOOKUP(D779,'AMFI DATA_2023H2'!F:J,'AMFI DATA_2023H2'!J:J)</f>
        <v>2826.8918999999996</v>
      </c>
      <c r="G779" s="7">
        <f t="shared" si="3"/>
        <v>-1</v>
      </c>
      <c r="H779" s="8"/>
      <c r="I779" s="8">
        <v>2575</v>
      </c>
      <c r="J779" s="8">
        <v>2542</v>
      </c>
      <c r="K779" s="8">
        <v>2583</v>
      </c>
      <c r="L779" s="8">
        <v>2571</v>
      </c>
      <c r="M779" s="8">
        <v>2512</v>
      </c>
      <c r="N779" s="8">
        <v>2500</v>
      </c>
      <c r="O779" s="8">
        <v>2459</v>
      </c>
      <c r="P779" s="8">
        <v>2450</v>
      </c>
      <c r="Q779" s="8">
        <v>2463</v>
      </c>
      <c r="R779" s="8">
        <v>2469</v>
      </c>
      <c r="S779" s="8">
        <v>2477</v>
      </c>
      <c r="T779" s="8">
        <v>2453</v>
      </c>
      <c r="U779" s="8">
        <v>2383</v>
      </c>
      <c r="V779" s="8">
        <v>2419</v>
      </c>
      <c r="W779" s="8">
        <v>2462</v>
      </c>
      <c r="X779" s="8">
        <v>2461</v>
      </c>
      <c r="Y779" s="8">
        <v>2469</v>
      </c>
      <c r="Z779" s="8">
        <v>2524</v>
      </c>
      <c r="AA779" s="8">
        <v>2597</v>
      </c>
      <c r="AB779" s="8">
        <v>2650</v>
      </c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</row>
    <row r="780" spans="1:47" ht="14.4">
      <c r="A780" s="3">
        <f>LOOKUP(D780,'AMFI DATA_2023H2'!F:L,'AMFI DATA_2023H2'!L:L)</f>
        <v>805</v>
      </c>
      <c r="B780" s="4" t="s">
        <v>2339</v>
      </c>
      <c r="C780" s="4" t="s">
        <v>2340</v>
      </c>
      <c r="D780" s="5" t="s">
        <v>2341</v>
      </c>
      <c r="E780" s="5">
        <v>3180.67</v>
      </c>
      <c r="F780" s="6">
        <f>LOOKUP(D780,'AMFI DATA_2023H2'!F:J,'AMFI DATA_2023H2'!J:J)</f>
        <v>2815.55285</v>
      </c>
      <c r="G780" s="7">
        <f t="shared" si="3"/>
        <v>-1</v>
      </c>
      <c r="H780" s="8"/>
      <c r="I780" s="8">
        <v>2654</v>
      </c>
      <c r="J780" s="8">
        <v>2661</v>
      </c>
      <c r="K780" s="8">
        <v>2653</v>
      </c>
      <c r="L780" s="8">
        <v>2714</v>
      </c>
      <c r="M780" s="8">
        <v>2718</v>
      </c>
      <c r="N780" s="8">
        <v>2712</v>
      </c>
      <c r="O780" s="8">
        <v>2703</v>
      </c>
      <c r="P780" s="8">
        <v>2741</v>
      </c>
      <c r="Q780" s="8">
        <v>2788</v>
      </c>
      <c r="R780" s="8">
        <v>2815</v>
      </c>
      <c r="S780" s="8">
        <v>2884</v>
      </c>
      <c r="T780" s="8">
        <v>2860</v>
      </c>
      <c r="U780" s="8">
        <v>2852</v>
      </c>
      <c r="V780" s="8">
        <v>2876</v>
      </c>
      <c r="W780" s="8">
        <v>2809</v>
      </c>
      <c r="X780" s="8">
        <v>2806</v>
      </c>
      <c r="Y780" s="8">
        <v>2843</v>
      </c>
      <c r="Z780" s="8">
        <v>2876</v>
      </c>
      <c r="AA780" s="8">
        <v>2844</v>
      </c>
      <c r="AB780" s="8">
        <v>2901</v>
      </c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</row>
    <row r="781" spans="1:47" ht="14.4">
      <c r="A781" s="3">
        <f>LOOKUP(D781,'AMFI DATA_2023H2'!F:L,'AMFI DATA_2023H2'!L:L)</f>
        <v>806</v>
      </c>
      <c r="B781" s="4" t="s">
        <v>2342</v>
      </c>
      <c r="C781" s="4" t="s">
        <v>2343</v>
      </c>
      <c r="D781" s="5" t="s">
        <v>2344</v>
      </c>
      <c r="E781" s="5">
        <v>1907.89</v>
      </c>
      <c r="F781" s="6">
        <f>LOOKUP(D781,'AMFI DATA_2023H2'!F:J,'AMFI DATA_2023H2'!J:J)</f>
        <v>2809.9694</v>
      </c>
      <c r="G781" s="7">
        <f t="shared" si="3"/>
        <v>-1</v>
      </c>
      <c r="H781" s="8"/>
      <c r="I781" s="8">
        <v>4109</v>
      </c>
      <c r="J781" s="8">
        <v>3895</v>
      </c>
      <c r="K781" s="8">
        <v>3553</v>
      </c>
      <c r="L781" s="8">
        <v>3615</v>
      </c>
      <c r="M781" s="8">
        <v>3626</v>
      </c>
      <c r="N781" s="8">
        <v>3624</v>
      </c>
      <c r="O781" s="8">
        <v>3698</v>
      </c>
      <c r="P781" s="8">
        <v>3622</v>
      </c>
      <c r="Q781" s="8">
        <v>3644</v>
      </c>
      <c r="R781" s="8">
        <v>3701</v>
      </c>
      <c r="S781" s="8">
        <v>3566</v>
      </c>
      <c r="T781" s="8">
        <v>3567</v>
      </c>
      <c r="U781" s="8">
        <v>3490</v>
      </c>
      <c r="V781" s="8">
        <v>3490</v>
      </c>
      <c r="W781" s="8">
        <v>3467</v>
      </c>
      <c r="X781" s="8">
        <v>3450</v>
      </c>
      <c r="Y781" s="8">
        <v>3416</v>
      </c>
      <c r="Z781" s="8">
        <v>3511</v>
      </c>
      <c r="AA781" s="8">
        <v>3490</v>
      </c>
      <c r="AB781" s="8">
        <v>3059</v>
      </c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</row>
    <row r="782" spans="1:47" ht="14.4">
      <c r="A782" s="3">
        <f>LOOKUP(D782,'AMFI DATA_2023H2'!F:L,'AMFI DATA_2023H2'!L:L)</f>
        <v>807</v>
      </c>
      <c r="B782" s="4" t="s">
        <v>2345</v>
      </c>
      <c r="C782" s="4" t="s">
        <v>2346</v>
      </c>
      <c r="D782" s="5" t="s">
        <v>2347</v>
      </c>
      <c r="E782" s="5">
        <v>1815.15</v>
      </c>
      <c r="F782" s="6">
        <f>LOOKUP(D782,'AMFI DATA_2023H2'!F:J,'AMFI DATA_2023H2'!J:J)</f>
        <v>2802.00065</v>
      </c>
      <c r="G782" s="7">
        <f t="shared" si="3"/>
        <v>-1</v>
      </c>
      <c r="H782" s="8"/>
      <c r="I782" s="8">
        <v>5128</v>
      </c>
      <c r="J782" s="8">
        <v>5059</v>
      </c>
      <c r="K782" s="8">
        <v>4854</v>
      </c>
      <c r="L782" s="8">
        <v>4649</v>
      </c>
      <c r="M782" s="8">
        <v>4967</v>
      </c>
      <c r="N782" s="8">
        <v>4830</v>
      </c>
      <c r="O782" s="8">
        <v>4854</v>
      </c>
      <c r="P782" s="8">
        <v>4713</v>
      </c>
      <c r="Q782" s="8">
        <v>4762</v>
      </c>
      <c r="R782" s="8">
        <v>4738</v>
      </c>
      <c r="S782" s="8">
        <v>4893</v>
      </c>
      <c r="T782" s="8">
        <v>4778</v>
      </c>
      <c r="U782" s="8">
        <v>4481</v>
      </c>
      <c r="V782" s="8">
        <v>4409</v>
      </c>
      <c r="W782" s="8">
        <v>4440</v>
      </c>
      <c r="X782" s="8">
        <v>4507</v>
      </c>
      <c r="Y782" s="8">
        <v>4347</v>
      </c>
      <c r="Z782" s="8">
        <v>4403</v>
      </c>
      <c r="AA782" s="8">
        <v>4477</v>
      </c>
      <c r="AB782" s="8">
        <v>4222</v>
      </c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</row>
    <row r="783" spans="1:47" ht="14.4">
      <c r="A783" s="3">
        <f>LOOKUP(D783,'AMFI DATA_2023H2'!F:L,'AMFI DATA_2023H2'!L:L)</f>
        <v>808</v>
      </c>
      <c r="B783" s="4" t="s">
        <v>2348</v>
      </c>
      <c r="C783" s="4" t="s">
        <v>2349</v>
      </c>
      <c r="D783" s="5" t="s">
        <v>2350</v>
      </c>
      <c r="E783" s="5">
        <v>1630.42</v>
      </c>
      <c r="F783" s="6">
        <f>LOOKUP(D783,'AMFI DATA_2023H2'!F:J,'AMFI DATA_2023H2'!J:J)</f>
        <v>2798.5621999999998</v>
      </c>
      <c r="G783" s="7">
        <f t="shared" si="3"/>
        <v>-1</v>
      </c>
      <c r="H783" s="8"/>
      <c r="I783" s="8">
        <v>3828</v>
      </c>
      <c r="J783" s="8">
        <v>3701</v>
      </c>
      <c r="K783" s="8">
        <v>3728</v>
      </c>
      <c r="L783" s="8">
        <v>3781</v>
      </c>
      <c r="M783" s="8">
        <v>3702</v>
      </c>
      <c r="N783" s="8">
        <v>3853</v>
      </c>
      <c r="O783" s="8">
        <v>3817</v>
      </c>
      <c r="P783" s="8">
        <v>3723</v>
      </c>
      <c r="Q783" s="8">
        <v>3762</v>
      </c>
      <c r="R783" s="8">
        <v>3859</v>
      </c>
      <c r="S783" s="8">
        <v>3766</v>
      </c>
      <c r="T783" s="8">
        <v>3712</v>
      </c>
      <c r="U783" s="8">
        <v>3741</v>
      </c>
      <c r="V783" s="8">
        <v>3711</v>
      </c>
      <c r="W783" s="8">
        <v>3674</v>
      </c>
      <c r="X783" s="8">
        <v>3620</v>
      </c>
      <c r="Y783" s="8">
        <v>3682</v>
      </c>
      <c r="Z783" s="8">
        <v>3602</v>
      </c>
      <c r="AA783" s="8">
        <v>3632</v>
      </c>
      <c r="AB783" s="8">
        <v>3524</v>
      </c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</row>
    <row r="784" spans="1:47" ht="14.4">
      <c r="A784" s="3">
        <f>LOOKUP(D784,'AMFI DATA_2023H2'!F:L,'AMFI DATA_2023H2'!L:L)</f>
        <v>809</v>
      </c>
      <c r="B784" s="4" t="s">
        <v>2351</v>
      </c>
      <c r="C784" s="4" t="s">
        <v>2352</v>
      </c>
      <c r="D784" s="5" t="s">
        <v>2353</v>
      </c>
      <c r="E784" s="5">
        <v>1358.43</v>
      </c>
      <c r="F784" s="6">
        <f>LOOKUP(D784,'AMFI DATA_2023H2'!F:J,'AMFI DATA_2023H2'!J:J)</f>
        <v>2798.3935499999998</v>
      </c>
      <c r="G784" s="7">
        <f t="shared" si="3"/>
        <v>-1</v>
      </c>
      <c r="H784" s="8"/>
      <c r="I784" s="8">
        <v>4741</v>
      </c>
      <c r="J784" s="8">
        <v>4851</v>
      </c>
      <c r="K784" s="8">
        <v>4831</v>
      </c>
      <c r="L784" s="8">
        <v>5028</v>
      </c>
      <c r="M784" s="8">
        <v>4981</v>
      </c>
      <c r="N784" s="8">
        <v>5269</v>
      </c>
      <c r="O784" s="8">
        <v>5145</v>
      </c>
      <c r="P784" s="8">
        <v>5030</v>
      </c>
      <c r="Q784" s="8">
        <v>4490</v>
      </c>
      <c r="R784" s="8">
        <v>4221</v>
      </c>
      <c r="S784" s="8">
        <v>4052</v>
      </c>
      <c r="T784" s="8">
        <v>4136</v>
      </c>
      <c r="U784" s="8">
        <v>3959</v>
      </c>
      <c r="V784" s="8">
        <v>4004</v>
      </c>
      <c r="W784" s="8">
        <v>4040</v>
      </c>
      <c r="X784" s="8">
        <v>3982</v>
      </c>
      <c r="Y784" s="8">
        <v>4000</v>
      </c>
      <c r="Z784" s="8">
        <v>4081</v>
      </c>
      <c r="AA784" s="8">
        <v>4120</v>
      </c>
      <c r="AB784" s="8">
        <v>4087</v>
      </c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</row>
    <row r="785" spans="1:47" ht="14.4">
      <c r="A785" s="3">
        <f>LOOKUP(D785,'AMFI DATA_2023H2'!F:L,'AMFI DATA_2023H2'!L:L)</f>
        <v>810</v>
      </c>
      <c r="B785" s="4" t="s">
        <v>2354</v>
      </c>
      <c r="C785" s="4" t="s">
        <v>2355</v>
      </c>
      <c r="D785" s="5" t="s">
        <v>2356</v>
      </c>
      <c r="E785" s="5">
        <v>2271.5300000000002</v>
      </c>
      <c r="F785" s="6">
        <f>LOOKUP(D785,'AMFI DATA_2023H2'!F:J,'AMFI DATA_2023H2'!J:J)</f>
        <v>2796.5050000000001</v>
      </c>
      <c r="G785" s="7">
        <f t="shared" si="3"/>
        <v>-1</v>
      </c>
      <c r="H785" s="8"/>
      <c r="I785" s="8">
        <v>3302</v>
      </c>
      <c r="J785" s="8">
        <v>3328</v>
      </c>
      <c r="K785" s="8">
        <v>3359</v>
      </c>
      <c r="L785" s="8">
        <v>3376</v>
      </c>
      <c r="M785" s="8">
        <v>3419</v>
      </c>
      <c r="N785" s="8">
        <v>3393</v>
      </c>
      <c r="O785" s="8">
        <v>3382</v>
      </c>
      <c r="P785" s="8">
        <v>3406</v>
      </c>
      <c r="Q785" s="8">
        <v>3358</v>
      </c>
      <c r="R785" s="8">
        <v>3385</v>
      </c>
      <c r="S785" s="8">
        <v>3409</v>
      </c>
      <c r="T785" s="8">
        <v>3418</v>
      </c>
      <c r="U785" s="8">
        <v>3424</v>
      </c>
      <c r="V785" s="8">
        <v>3416</v>
      </c>
      <c r="W785" s="8">
        <v>3451</v>
      </c>
      <c r="X785" s="8">
        <v>3464</v>
      </c>
      <c r="Y785" s="8">
        <v>3511</v>
      </c>
      <c r="Z785" s="8">
        <v>3527</v>
      </c>
      <c r="AA785" s="8">
        <v>3564</v>
      </c>
      <c r="AB785" s="8">
        <v>3485</v>
      </c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</row>
    <row r="786" spans="1:47" ht="14.4">
      <c r="A786" s="3">
        <f>LOOKUP(D786,'AMFI DATA_2023H2'!F:L,'AMFI DATA_2023H2'!L:L)</f>
        <v>811</v>
      </c>
      <c r="B786" s="4" t="s">
        <v>2357</v>
      </c>
      <c r="C786" s="4" t="s">
        <v>2358</v>
      </c>
      <c r="D786" s="5" t="s">
        <v>2359</v>
      </c>
      <c r="E786" s="5">
        <v>1426.71</v>
      </c>
      <c r="F786" s="6">
        <f>LOOKUP(D786,'AMFI DATA_2023H2'!F:J,'AMFI DATA_2023H2'!J:J)</f>
        <v>2793.9871499999999</v>
      </c>
      <c r="G786" s="7">
        <f t="shared" si="3"/>
        <v>-1</v>
      </c>
      <c r="H786" s="8"/>
      <c r="I786" s="8">
        <v>2496</v>
      </c>
      <c r="J786" s="8">
        <v>2485</v>
      </c>
      <c r="K786" s="8">
        <v>2494</v>
      </c>
      <c r="L786" s="8">
        <v>2525</v>
      </c>
      <c r="M786" s="8">
        <v>2541</v>
      </c>
      <c r="N786" s="8">
        <v>2550</v>
      </c>
      <c r="O786" s="8">
        <v>2479</v>
      </c>
      <c r="P786" s="8">
        <v>2501</v>
      </c>
      <c r="Q786" s="8">
        <v>2516</v>
      </c>
      <c r="R786" s="8">
        <v>2538</v>
      </c>
      <c r="S786" s="8">
        <v>2600</v>
      </c>
      <c r="T786" s="8">
        <v>2654</v>
      </c>
      <c r="U786" s="8">
        <v>2663</v>
      </c>
      <c r="V786" s="8">
        <v>2657</v>
      </c>
      <c r="W786" s="8">
        <v>2692</v>
      </c>
      <c r="X786" s="8">
        <v>2670</v>
      </c>
      <c r="Y786" s="8">
        <v>2671</v>
      </c>
      <c r="Z786" s="8">
        <v>2721</v>
      </c>
      <c r="AA786" s="8">
        <v>2735</v>
      </c>
      <c r="AB786" s="8">
        <v>2755</v>
      </c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</row>
    <row r="787" spans="1:47" ht="14.4">
      <c r="A787" s="3">
        <f>LOOKUP(D787,'AMFI DATA_2023H2'!F:L,'AMFI DATA_2023H2'!L:L)</f>
        <v>813</v>
      </c>
      <c r="B787" s="4" t="s">
        <v>2360</v>
      </c>
      <c r="C787" s="4" t="s">
        <v>2361</v>
      </c>
      <c r="D787" s="5" t="s">
        <v>2362</v>
      </c>
      <c r="E787" s="5">
        <v>2537.15</v>
      </c>
      <c r="F787" s="6">
        <f>LOOKUP(D787,'AMFI DATA_2023H2'!F:J,'AMFI DATA_2023H2'!J:J)</f>
        <v>2782.5828999999999</v>
      </c>
      <c r="G787" s="7">
        <f t="shared" si="3"/>
        <v>-1</v>
      </c>
      <c r="H787" s="8"/>
      <c r="I787" s="8">
        <v>2716</v>
      </c>
      <c r="J787" s="8">
        <v>2742</v>
      </c>
      <c r="K787" s="8">
        <v>2658</v>
      </c>
      <c r="L787" s="8">
        <v>2684</v>
      </c>
      <c r="M787" s="8">
        <v>2690</v>
      </c>
      <c r="N787" s="8">
        <v>2701</v>
      </c>
      <c r="O787" s="8">
        <v>2707</v>
      </c>
      <c r="P787" s="8">
        <v>2681</v>
      </c>
      <c r="Q787" s="8">
        <v>2704</v>
      </c>
      <c r="R787" s="8">
        <v>2664</v>
      </c>
      <c r="S787" s="8">
        <v>2646</v>
      </c>
      <c r="T787" s="8">
        <v>2659</v>
      </c>
      <c r="U787" s="8">
        <v>2749</v>
      </c>
      <c r="V787" s="8">
        <v>2746</v>
      </c>
      <c r="W787" s="8">
        <v>2757</v>
      </c>
      <c r="X787" s="8">
        <v>2765</v>
      </c>
      <c r="Y787" s="8">
        <v>2778</v>
      </c>
      <c r="Z787" s="8">
        <v>2775</v>
      </c>
      <c r="AA787" s="8">
        <v>2765</v>
      </c>
      <c r="AB787" s="8">
        <v>2751</v>
      </c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</row>
    <row r="788" spans="1:47" ht="14.4">
      <c r="A788" s="3">
        <f>LOOKUP(D788,'AMFI DATA_2023H2'!F:L,'AMFI DATA_2023H2'!L:L)</f>
        <v>814</v>
      </c>
      <c r="B788" s="4" t="s">
        <v>2363</v>
      </c>
      <c r="C788" s="4" t="s">
        <v>2364</v>
      </c>
      <c r="D788" s="5" t="s">
        <v>2365</v>
      </c>
      <c r="E788" s="5">
        <v>2061.36</v>
      </c>
      <c r="F788" s="6">
        <f>LOOKUP(D788,'AMFI DATA_2023H2'!F:J,'AMFI DATA_2023H2'!J:J)</f>
        <v>2757.8256000000001</v>
      </c>
      <c r="G788" s="7">
        <f t="shared" si="3"/>
        <v>-1</v>
      </c>
      <c r="H788" s="8"/>
      <c r="I788" s="8">
        <v>2904</v>
      </c>
      <c r="J788" s="8">
        <v>2895</v>
      </c>
      <c r="K788" s="8">
        <v>2927</v>
      </c>
      <c r="L788" s="8">
        <v>2956</v>
      </c>
      <c r="M788" s="8">
        <v>2983</v>
      </c>
      <c r="N788" s="8">
        <v>3001</v>
      </c>
      <c r="O788" s="8">
        <v>3021</v>
      </c>
      <c r="P788" s="8">
        <v>3014</v>
      </c>
      <c r="Q788" s="8">
        <v>2987</v>
      </c>
      <c r="R788" s="8">
        <v>2993</v>
      </c>
      <c r="S788" s="8">
        <v>3038</v>
      </c>
      <c r="T788" s="8">
        <v>3075</v>
      </c>
      <c r="U788" s="8">
        <v>2905</v>
      </c>
      <c r="V788" s="8">
        <v>2937</v>
      </c>
      <c r="W788" s="8">
        <v>2948</v>
      </c>
      <c r="X788" s="8">
        <v>2801</v>
      </c>
      <c r="Y788" s="8">
        <v>2817</v>
      </c>
      <c r="Z788" s="8">
        <v>2871</v>
      </c>
      <c r="AA788" s="8">
        <v>2890</v>
      </c>
      <c r="AB788" s="8">
        <v>2792</v>
      </c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</row>
    <row r="789" spans="1:47" ht="14.4">
      <c r="A789" s="3">
        <f>LOOKUP(D789,'AMFI DATA_2023H2'!F:L,'AMFI DATA_2023H2'!L:L)</f>
        <v>815</v>
      </c>
      <c r="B789" s="4" t="s">
        <v>2366</v>
      </c>
      <c r="C789" s="4" t="s">
        <v>2367</v>
      </c>
      <c r="D789" s="5" t="s">
        <v>2368</v>
      </c>
      <c r="E789" s="5">
        <v>2076.21</v>
      </c>
      <c r="F789" s="6">
        <f>LOOKUP(D789,'AMFI DATA_2023H2'!F:J,'AMFI DATA_2023H2'!J:J)</f>
        <v>2757.6049499999999</v>
      </c>
      <c r="G789" s="7">
        <f t="shared" si="3"/>
        <v>-1</v>
      </c>
      <c r="H789" s="8"/>
      <c r="I789" s="8">
        <v>4210</v>
      </c>
      <c r="J789" s="8">
        <v>4257</v>
      </c>
      <c r="K789" s="8">
        <v>4134</v>
      </c>
      <c r="L789" s="8">
        <v>4216</v>
      </c>
      <c r="M789" s="8">
        <v>4308</v>
      </c>
      <c r="N789" s="8">
        <v>4308</v>
      </c>
      <c r="O789" s="8">
        <v>4363</v>
      </c>
      <c r="P789" s="8">
        <v>4217</v>
      </c>
      <c r="Q789" s="8">
        <v>4286</v>
      </c>
      <c r="R789" s="8">
        <v>4252</v>
      </c>
      <c r="S789" s="8">
        <v>4280</v>
      </c>
      <c r="T789" s="8">
        <v>4463</v>
      </c>
      <c r="U789" s="8">
        <v>4412</v>
      </c>
      <c r="V789" s="8">
        <v>4095</v>
      </c>
      <c r="W789" s="8">
        <v>3679</v>
      </c>
      <c r="X789" s="8">
        <v>3564</v>
      </c>
      <c r="Y789" s="8">
        <v>3597</v>
      </c>
      <c r="Z789" s="8">
        <v>3634</v>
      </c>
      <c r="AA789" s="8">
        <v>3541</v>
      </c>
      <c r="AB789" s="8">
        <v>3588</v>
      </c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</row>
    <row r="790" spans="1:47" ht="14.4">
      <c r="A790" s="3">
        <f>LOOKUP(D790,'AMFI DATA_2023H2'!F:L,'AMFI DATA_2023H2'!L:L)</f>
        <v>816</v>
      </c>
      <c r="B790" s="4" t="s">
        <v>2369</v>
      </c>
      <c r="C790" s="4" t="s">
        <v>2370</v>
      </c>
      <c r="D790" s="5" t="s">
        <v>2371</v>
      </c>
      <c r="E790" s="5">
        <v>2362.35</v>
      </c>
      <c r="F790" s="6">
        <f>LOOKUP(D790,'AMFI DATA_2023H2'!F:J,'AMFI DATA_2023H2'!J:J)</f>
        <v>2754.6693999999998</v>
      </c>
      <c r="G790" s="7">
        <f t="shared" si="3"/>
        <v>-1</v>
      </c>
      <c r="H790" s="8"/>
      <c r="I790" s="8">
        <v>2820</v>
      </c>
      <c r="J790" s="8">
        <v>2819</v>
      </c>
      <c r="K790" s="8">
        <v>2785</v>
      </c>
      <c r="L790" s="8">
        <v>2793</v>
      </c>
      <c r="M790" s="8">
        <v>2838</v>
      </c>
      <c r="N790" s="8">
        <v>2836</v>
      </c>
      <c r="O790" s="8">
        <v>2801</v>
      </c>
      <c r="P790" s="8">
        <v>2796</v>
      </c>
      <c r="Q790" s="8">
        <v>2781</v>
      </c>
      <c r="R790" s="8">
        <v>2789</v>
      </c>
      <c r="S790" s="8">
        <v>2825</v>
      </c>
      <c r="T790" s="8">
        <v>2798</v>
      </c>
      <c r="U790" s="8">
        <v>2813</v>
      </c>
      <c r="V790" s="8">
        <v>2750</v>
      </c>
      <c r="W790" s="8">
        <v>2759</v>
      </c>
      <c r="X790" s="8">
        <v>2749</v>
      </c>
      <c r="Y790" s="8">
        <v>2768</v>
      </c>
      <c r="Z790" s="8">
        <v>2753</v>
      </c>
      <c r="AA790" s="8">
        <v>2738</v>
      </c>
      <c r="AB790" s="8">
        <v>2727</v>
      </c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</row>
    <row r="791" spans="1:47" ht="14.4">
      <c r="A791" s="3">
        <f>LOOKUP(D791,'AMFI DATA_2023H2'!F:L,'AMFI DATA_2023H2'!L:L)</f>
        <v>817</v>
      </c>
      <c r="B791" s="4" t="s">
        <v>2372</v>
      </c>
      <c r="C791" s="4" t="s">
        <v>2373</v>
      </c>
      <c r="D791" s="5" t="s">
        <v>2374</v>
      </c>
      <c r="E791" s="5">
        <v>1724.58</v>
      </c>
      <c r="F791" s="6">
        <f>LOOKUP(D791,'AMFI DATA_2023H2'!F:J,'AMFI DATA_2023H2'!J:J)</f>
        <v>2747.3173500000003</v>
      </c>
      <c r="G791" s="7">
        <f t="shared" si="3"/>
        <v>-1</v>
      </c>
      <c r="H791" s="8"/>
      <c r="I791" s="8">
        <v>2831</v>
      </c>
      <c r="J791" s="8">
        <v>2748</v>
      </c>
      <c r="K791" s="8">
        <v>2785</v>
      </c>
      <c r="L791" s="8">
        <v>2814</v>
      </c>
      <c r="M791" s="8">
        <v>2804</v>
      </c>
      <c r="N791" s="8">
        <v>2830</v>
      </c>
      <c r="O791" s="8">
        <v>2822</v>
      </c>
      <c r="P791" s="8">
        <v>2841</v>
      </c>
      <c r="Q791" s="8">
        <v>2855</v>
      </c>
      <c r="R791" s="8">
        <v>2820</v>
      </c>
      <c r="S791" s="8">
        <v>2864</v>
      </c>
      <c r="T791" s="8">
        <v>2804</v>
      </c>
      <c r="U791" s="8">
        <v>2799</v>
      </c>
      <c r="V791" s="8">
        <v>2856</v>
      </c>
      <c r="W791" s="8">
        <v>2890</v>
      </c>
      <c r="X791" s="8">
        <v>2843</v>
      </c>
      <c r="Y791" s="8">
        <v>2757</v>
      </c>
      <c r="Z791" s="8">
        <v>2770</v>
      </c>
      <c r="AA791" s="8">
        <v>2786</v>
      </c>
      <c r="AB791" s="8">
        <v>2787</v>
      </c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</row>
    <row r="792" spans="1:47" ht="14.4">
      <c r="A792" s="3">
        <f>LOOKUP(D792,'AMFI DATA_2023H2'!F:L,'AMFI DATA_2023H2'!L:L)</f>
        <v>818</v>
      </c>
      <c r="B792" s="4" t="s">
        <v>2375</v>
      </c>
      <c r="C792" s="4" t="s">
        <v>2376</v>
      </c>
      <c r="D792" s="5" t="s">
        <v>2377</v>
      </c>
      <c r="E792" s="5">
        <v>667.93</v>
      </c>
      <c r="F792" s="6">
        <f>LOOKUP(D792,'AMFI DATA_2023H2'!F:J,'AMFI DATA_2023H2'!J:J)</f>
        <v>2745.8929499999999</v>
      </c>
      <c r="G792" s="7">
        <f t="shared" si="3"/>
        <v>-1</v>
      </c>
      <c r="H792" s="8"/>
      <c r="I792" s="8">
        <v>2643</v>
      </c>
      <c r="J792" s="8">
        <v>2650</v>
      </c>
      <c r="K792" s="8">
        <v>2534</v>
      </c>
      <c r="L792" s="8">
        <v>2642</v>
      </c>
      <c r="M792" s="8">
        <v>2636</v>
      </c>
      <c r="N792" s="8">
        <v>2706</v>
      </c>
      <c r="O792" s="8">
        <v>2602</v>
      </c>
      <c r="P792" s="8">
        <v>2607</v>
      </c>
      <c r="Q792" s="8">
        <v>2625</v>
      </c>
      <c r="R792" s="8">
        <v>2617</v>
      </c>
      <c r="S792" s="8">
        <v>2684</v>
      </c>
      <c r="T792" s="8">
        <v>2672</v>
      </c>
      <c r="U792" s="8">
        <v>2702</v>
      </c>
      <c r="V792" s="8">
        <v>2619</v>
      </c>
      <c r="W792" s="8">
        <v>2651</v>
      </c>
      <c r="X792" s="8">
        <v>2721</v>
      </c>
      <c r="Y792" s="8">
        <v>2662</v>
      </c>
      <c r="Z792" s="8">
        <v>2697</v>
      </c>
      <c r="AA792" s="8">
        <v>2712</v>
      </c>
      <c r="AB792" s="8">
        <v>2740</v>
      </c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</row>
    <row r="793" spans="1:47" ht="14.4">
      <c r="A793" s="3">
        <f>LOOKUP(D793,'AMFI DATA_2023H2'!F:L,'AMFI DATA_2023H2'!L:L)</f>
        <v>819</v>
      </c>
      <c r="B793" s="4" t="s">
        <v>2378</v>
      </c>
      <c r="C793" s="4" t="s">
        <v>2379</v>
      </c>
      <c r="D793" s="5" t="s">
        <v>2380</v>
      </c>
      <c r="E793" s="5">
        <v>2030.39</v>
      </c>
      <c r="F793" s="6">
        <f>LOOKUP(D793,'AMFI DATA_2023H2'!F:J,'AMFI DATA_2023H2'!J:J)</f>
        <v>2739.72145</v>
      </c>
      <c r="G793" s="7">
        <f t="shared" si="3"/>
        <v>-1</v>
      </c>
      <c r="H793" s="8"/>
      <c r="I793" s="8">
        <v>3434</v>
      </c>
      <c r="J793" s="8">
        <v>3396</v>
      </c>
      <c r="K793" s="8">
        <v>3382</v>
      </c>
      <c r="L793" s="8">
        <v>3429</v>
      </c>
      <c r="M793" s="8">
        <v>3447</v>
      </c>
      <c r="N793" s="8">
        <v>3481</v>
      </c>
      <c r="O793" s="8">
        <v>3553</v>
      </c>
      <c r="P793" s="8">
        <v>3476</v>
      </c>
      <c r="Q793" s="8">
        <v>3249</v>
      </c>
      <c r="R793" s="8">
        <v>3288</v>
      </c>
      <c r="S793" s="8">
        <v>3231</v>
      </c>
      <c r="T793" s="8">
        <v>3256</v>
      </c>
      <c r="U793" s="8">
        <v>3268</v>
      </c>
      <c r="V793" s="8">
        <v>3178</v>
      </c>
      <c r="W793" s="8">
        <v>3149</v>
      </c>
      <c r="X793" s="8">
        <v>3164</v>
      </c>
      <c r="Y793" s="8">
        <v>3169</v>
      </c>
      <c r="Z793" s="8">
        <v>3259</v>
      </c>
      <c r="AA793" s="8">
        <v>3201</v>
      </c>
      <c r="AB793" s="8">
        <v>3237</v>
      </c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</row>
    <row r="794" spans="1:47" ht="14.4">
      <c r="A794" s="3">
        <f>LOOKUP(D794,'AMFI DATA_2023H2'!F:L,'AMFI DATA_2023H2'!L:L)</f>
        <v>820</v>
      </c>
      <c r="B794" s="4" t="s">
        <v>2381</v>
      </c>
      <c r="C794" s="4" t="s">
        <v>2382</v>
      </c>
      <c r="D794" s="5" t="s">
        <v>2383</v>
      </c>
      <c r="E794" s="5">
        <v>2270.2199999999998</v>
      </c>
      <c r="F794" s="6">
        <f>LOOKUP(D794,'AMFI DATA_2023H2'!F:J,'AMFI DATA_2023H2'!J:J)</f>
        <v>2734.2871</v>
      </c>
      <c r="G794" s="7">
        <f t="shared" si="3"/>
        <v>-1</v>
      </c>
      <c r="H794" s="8"/>
      <c r="I794" s="8">
        <v>2859</v>
      </c>
      <c r="J794" s="8">
        <v>2674</v>
      </c>
      <c r="K794" s="8">
        <v>2673</v>
      </c>
      <c r="L794" s="8">
        <v>2731</v>
      </c>
      <c r="M794" s="8">
        <v>2745</v>
      </c>
      <c r="N794" s="8">
        <v>2675</v>
      </c>
      <c r="O794" s="8">
        <v>2668</v>
      </c>
      <c r="P794" s="8">
        <v>2679</v>
      </c>
      <c r="Q794" s="8">
        <v>2701</v>
      </c>
      <c r="R794" s="8">
        <v>2669</v>
      </c>
      <c r="S794" s="8">
        <v>2682</v>
      </c>
      <c r="T794" s="8">
        <v>2680</v>
      </c>
      <c r="U794" s="8">
        <v>2673</v>
      </c>
      <c r="V794" s="8">
        <v>2664</v>
      </c>
      <c r="W794" s="8">
        <v>2685</v>
      </c>
      <c r="X794" s="8">
        <v>2694</v>
      </c>
      <c r="Y794" s="8">
        <v>2703</v>
      </c>
      <c r="Z794" s="8">
        <v>2700</v>
      </c>
      <c r="AA794" s="8">
        <v>2687</v>
      </c>
      <c r="AB794" s="8">
        <v>2666</v>
      </c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</row>
    <row r="795" spans="1:47" ht="14.4">
      <c r="A795" s="3">
        <f>LOOKUP(D795,'AMFI DATA_2023H2'!F:L,'AMFI DATA_2023H2'!L:L)</f>
        <v>821</v>
      </c>
      <c r="B795" s="4" t="s">
        <v>2384</v>
      </c>
      <c r="C795" s="4" t="s">
        <v>2385</v>
      </c>
      <c r="D795" s="5" t="s">
        <v>2386</v>
      </c>
      <c r="E795" s="5">
        <v>2830.14</v>
      </c>
      <c r="F795" s="6">
        <f>LOOKUP(D795,'AMFI DATA_2023H2'!F:J,'AMFI DATA_2023H2'!J:J)</f>
        <v>2728.2390999999998</v>
      </c>
      <c r="G795" s="7">
        <f t="shared" si="3"/>
        <v>-1</v>
      </c>
      <c r="H795" s="8"/>
      <c r="I795" s="8">
        <v>3130</v>
      </c>
      <c r="J795" s="8">
        <v>3159</v>
      </c>
      <c r="K795" s="8">
        <v>3142</v>
      </c>
      <c r="L795" s="8">
        <v>3147</v>
      </c>
      <c r="M795" s="8">
        <v>3212</v>
      </c>
      <c r="N795" s="8">
        <v>3155</v>
      </c>
      <c r="O795" s="8">
        <v>3227</v>
      </c>
      <c r="P795" s="8">
        <v>3230</v>
      </c>
      <c r="Q795" s="8">
        <v>3228</v>
      </c>
      <c r="R795" s="8">
        <v>3220</v>
      </c>
      <c r="S795" s="8">
        <v>3221</v>
      </c>
      <c r="T795" s="8">
        <v>3139</v>
      </c>
      <c r="U795" s="8">
        <v>3193</v>
      </c>
      <c r="V795" s="8">
        <v>3128</v>
      </c>
      <c r="W795" s="8">
        <v>2818</v>
      </c>
      <c r="X795" s="8">
        <v>2770</v>
      </c>
      <c r="Y795" s="8">
        <v>2754</v>
      </c>
      <c r="Z795" s="8">
        <v>2764</v>
      </c>
      <c r="AA795" s="8">
        <v>2774</v>
      </c>
      <c r="AB795" s="8">
        <v>2803</v>
      </c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</row>
    <row r="796" spans="1:47" ht="14.4">
      <c r="A796" s="3">
        <f>LOOKUP(D796,'AMFI DATA_2023H2'!F:L,'AMFI DATA_2023H2'!L:L)</f>
        <v>822</v>
      </c>
      <c r="B796" s="4" t="s">
        <v>2387</v>
      </c>
      <c r="C796" s="4" t="s">
        <v>2388</v>
      </c>
      <c r="D796" s="5" t="s">
        <v>2389</v>
      </c>
      <c r="E796" s="5">
        <v>1891.56</v>
      </c>
      <c r="F796" s="6">
        <f>LOOKUP(D796,'AMFI DATA_2023H2'!F:J,'AMFI DATA_2023H2'!J:J)</f>
        <v>2719.7538</v>
      </c>
      <c r="G796" s="7">
        <f t="shared" si="3"/>
        <v>-1</v>
      </c>
      <c r="H796" s="8"/>
      <c r="I796" s="8">
        <v>2659</v>
      </c>
      <c r="J796" s="8">
        <v>2665</v>
      </c>
      <c r="K796" s="8">
        <v>2686</v>
      </c>
      <c r="L796" s="8">
        <v>2713</v>
      </c>
      <c r="M796" s="8">
        <v>2759</v>
      </c>
      <c r="N796" s="8">
        <v>2742</v>
      </c>
      <c r="O796" s="8">
        <v>2734</v>
      </c>
      <c r="P796" s="8">
        <v>2697</v>
      </c>
      <c r="Q796" s="8">
        <v>2698</v>
      </c>
      <c r="R796" s="8">
        <v>2704</v>
      </c>
      <c r="S796" s="8">
        <v>2738</v>
      </c>
      <c r="T796" s="8">
        <v>2734</v>
      </c>
      <c r="U796" s="8">
        <v>2761</v>
      </c>
      <c r="V796" s="8">
        <v>2781</v>
      </c>
      <c r="W796" s="8">
        <v>2794</v>
      </c>
      <c r="X796" s="8">
        <v>2886</v>
      </c>
      <c r="Y796" s="8">
        <v>2811</v>
      </c>
      <c r="Z796" s="8">
        <v>2804</v>
      </c>
      <c r="AA796" s="8">
        <v>2762</v>
      </c>
      <c r="AB796" s="8">
        <v>2702</v>
      </c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</row>
    <row r="797" spans="1:47" ht="14.4">
      <c r="A797" s="3">
        <f>LOOKUP(D797,'AMFI DATA_2023H2'!F:L,'AMFI DATA_2023H2'!L:L)</f>
        <v>823</v>
      </c>
      <c r="B797" s="4" t="s">
        <v>2390</v>
      </c>
      <c r="C797" s="4" t="s">
        <v>2391</v>
      </c>
      <c r="D797" s="5" t="s">
        <v>2392</v>
      </c>
      <c r="E797" s="5">
        <v>1428.5</v>
      </c>
      <c r="F797" s="6">
        <f>LOOKUP(D797,'AMFI DATA_2023H2'!F:J,'AMFI DATA_2023H2'!J:J)</f>
        <v>2694.3303999999998</v>
      </c>
      <c r="G797" s="7">
        <f t="shared" si="3"/>
        <v>-1</v>
      </c>
      <c r="H797" s="8"/>
      <c r="I797" s="8">
        <v>3533</v>
      </c>
      <c r="J797" s="8">
        <v>3456</v>
      </c>
      <c r="K797" s="8">
        <v>3510</v>
      </c>
      <c r="L797" s="8">
        <v>3471</v>
      </c>
      <c r="M797" s="8">
        <v>3482</v>
      </c>
      <c r="N797" s="8">
        <v>3494</v>
      </c>
      <c r="O797" s="8">
        <v>3433</v>
      </c>
      <c r="P797" s="8">
        <v>3463</v>
      </c>
      <c r="Q797" s="8">
        <v>3475</v>
      </c>
      <c r="R797" s="8">
        <v>3498</v>
      </c>
      <c r="S797" s="8">
        <v>3557</v>
      </c>
      <c r="T797" s="8">
        <v>3572</v>
      </c>
      <c r="U797" s="8">
        <v>3661</v>
      </c>
      <c r="V797" s="8">
        <v>3548</v>
      </c>
      <c r="W797" s="8">
        <v>3492</v>
      </c>
      <c r="X797" s="8">
        <v>3553</v>
      </c>
      <c r="Y797" s="8">
        <v>3546</v>
      </c>
      <c r="Z797" s="8">
        <v>3556</v>
      </c>
      <c r="AA797" s="8">
        <v>3483</v>
      </c>
      <c r="AB797" s="8">
        <v>3361</v>
      </c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</row>
    <row r="798" spans="1:47" ht="14.4">
      <c r="A798" s="3">
        <f>LOOKUP(D798,'AMFI DATA_2023H2'!F:L,'AMFI DATA_2023H2'!L:L)</f>
        <v>824</v>
      </c>
      <c r="B798" s="4" t="s">
        <v>2393</v>
      </c>
      <c r="C798" s="4" t="s">
        <v>2394</v>
      </c>
      <c r="D798" s="5" t="s">
        <v>2395</v>
      </c>
      <c r="E798" s="5">
        <v>2615.29</v>
      </c>
      <c r="F798" s="6">
        <f>LOOKUP(D798,'AMFI DATA_2023H2'!F:J,'AMFI DATA_2023H2'!J:J)</f>
        <v>2685.1013499999999</v>
      </c>
      <c r="G798" s="7">
        <f t="shared" si="3"/>
        <v>-1</v>
      </c>
      <c r="H798" s="8"/>
      <c r="I798" s="8">
        <v>2376</v>
      </c>
      <c r="J798" s="8">
        <v>2363</v>
      </c>
      <c r="K798" s="8">
        <v>2383</v>
      </c>
      <c r="L798" s="8">
        <v>2391</v>
      </c>
      <c r="M798" s="8">
        <v>2404</v>
      </c>
      <c r="N798" s="8">
        <v>2365</v>
      </c>
      <c r="O798" s="8">
        <v>2414</v>
      </c>
      <c r="P798" s="8">
        <v>2454</v>
      </c>
      <c r="Q798" s="8">
        <v>2477</v>
      </c>
      <c r="R798" s="8">
        <v>2502</v>
      </c>
      <c r="S798" s="8">
        <v>2535</v>
      </c>
      <c r="T798" s="8">
        <v>2515</v>
      </c>
      <c r="U798" s="8">
        <v>2539</v>
      </c>
      <c r="V798" s="8">
        <v>2523</v>
      </c>
      <c r="W798" s="8">
        <v>2535</v>
      </c>
      <c r="X798" s="8">
        <v>2520</v>
      </c>
      <c r="Y798" s="8">
        <v>2480</v>
      </c>
      <c r="Z798" s="8">
        <v>2496</v>
      </c>
      <c r="AA798" s="8">
        <v>2492</v>
      </c>
      <c r="AB798" s="8">
        <v>2457</v>
      </c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</row>
    <row r="799" spans="1:47" ht="14.4">
      <c r="A799" s="3">
        <f>LOOKUP(D799,'AMFI DATA_2023H2'!F:L,'AMFI DATA_2023H2'!L:L)</f>
        <v>825</v>
      </c>
      <c r="B799" s="4" t="s">
        <v>2396</v>
      </c>
      <c r="C799" s="4" t="s">
        <v>2397</v>
      </c>
      <c r="D799" s="5" t="s">
        <v>2398</v>
      </c>
      <c r="E799" s="5">
        <v>2471.04</v>
      </c>
      <c r="F799" s="6">
        <f>LOOKUP(D799,'AMFI DATA_2023H2'!F:J,'AMFI DATA_2023H2'!J:J)</f>
        <v>2679.7732500000002</v>
      </c>
      <c r="G799" s="7">
        <f t="shared" si="3"/>
        <v>-1</v>
      </c>
      <c r="H799" s="8"/>
      <c r="I799" s="8">
        <v>2728</v>
      </c>
      <c r="J799" s="8">
        <v>2664</v>
      </c>
      <c r="K799" s="8">
        <v>2589</v>
      </c>
      <c r="L799" s="8">
        <v>2633</v>
      </c>
      <c r="M799" s="8">
        <v>2640</v>
      </c>
      <c r="N799" s="8">
        <v>2611</v>
      </c>
      <c r="O799" s="8">
        <v>2604</v>
      </c>
      <c r="P799" s="8">
        <v>2602</v>
      </c>
      <c r="Q799" s="8">
        <v>2589</v>
      </c>
      <c r="R799" s="8">
        <v>2600</v>
      </c>
      <c r="S799" s="8">
        <v>2610</v>
      </c>
      <c r="T799" s="8">
        <v>2606</v>
      </c>
      <c r="U799" s="8">
        <v>2633</v>
      </c>
      <c r="V799" s="8">
        <v>2608</v>
      </c>
      <c r="W799" s="8">
        <v>2617</v>
      </c>
      <c r="X799" s="8">
        <v>2656</v>
      </c>
      <c r="Y799" s="8">
        <v>2645</v>
      </c>
      <c r="Z799" s="8">
        <v>2701</v>
      </c>
      <c r="AA799" s="8">
        <v>2628</v>
      </c>
      <c r="AB799" s="8">
        <v>2590</v>
      </c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</row>
    <row r="800" spans="1:47" ht="14.4">
      <c r="A800" s="3">
        <f>LOOKUP(D800,'AMFI DATA_2023H2'!F:L,'AMFI DATA_2023H2'!L:L)</f>
        <v>826</v>
      </c>
      <c r="B800" s="4" t="s">
        <v>2399</v>
      </c>
      <c r="C800" s="4" t="s">
        <v>2400</v>
      </c>
      <c r="D800" s="5" t="s">
        <v>2401</v>
      </c>
      <c r="E800" s="5">
        <v>1539.99</v>
      </c>
      <c r="F800" s="6">
        <f>LOOKUP(D800,'AMFI DATA_2023H2'!F:J,'AMFI DATA_2023H2'!J:J)</f>
        <v>2676.2165999999997</v>
      </c>
      <c r="G800" s="7">
        <f t="shared" si="3"/>
        <v>-1</v>
      </c>
      <c r="H800" s="8"/>
      <c r="I800" s="8">
        <v>3401</v>
      </c>
      <c r="J800" s="8">
        <v>3286</v>
      </c>
      <c r="K800" s="8">
        <v>3165</v>
      </c>
      <c r="L800" s="8">
        <v>3197</v>
      </c>
      <c r="M800" s="8">
        <v>3247</v>
      </c>
      <c r="N800" s="8">
        <v>3257</v>
      </c>
      <c r="O800" s="8">
        <v>3302</v>
      </c>
      <c r="P800" s="8">
        <v>3228</v>
      </c>
      <c r="Q800" s="8">
        <v>3244</v>
      </c>
      <c r="R800" s="8">
        <v>3222</v>
      </c>
      <c r="S800" s="8">
        <v>3283</v>
      </c>
      <c r="T800" s="8">
        <v>3308</v>
      </c>
      <c r="U800" s="8">
        <v>3298</v>
      </c>
      <c r="V800" s="8">
        <v>3235</v>
      </c>
      <c r="W800" s="8">
        <v>3252</v>
      </c>
      <c r="X800" s="8">
        <v>3268</v>
      </c>
      <c r="Y800" s="8">
        <v>3269</v>
      </c>
      <c r="Z800" s="8">
        <v>3316</v>
      </c>
      <c r="AA800" s="8">
        <v>3334</v>
      </c>
      <c r="AB800" s="8">
        <v>3321</v>
      </c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</row>
    <row r="801" spans="1:47" ht="14.4">
      <c r="A801" s="3">
        <f>LOOKUP(D801,'AMFI DATA_2023H2'!F:L,'AMFI DATA_2023H2'!L:L)</f>
        <v>827</v>
      </c>
      <c r="B801" s="4" t="s">
        <v>2402</v>
      </c>
      <c r="C801" s="4" t="s">
        <v>2403</v>
      </c>
      <c r="D801" s="5" t="s">
        <v>2404</v>
      </c>
      <c r="E801" s="5">
        <v>3732.01</v>
      </c>
      <c r="F801" s="6">
        <f>LOOKUP(D801,'AMFI DATA_2023H2'!F:J,'AMFI DATA_2023H2'!J:J)</f>
        <v>2661.1163000000001</v>
      </c>
      <c r="G801" s="7">
        <f t="shared" si="3"/>
        <v>-1</v>
      </c>
      <c r="H801" s="8"/>
      <c r="I801" s="8">
        <v>2899</v>
      </c>
      <c r="J801" s="8">
        <v>2882</v>
      </c>
      <c r="K801" s="8">
        <v>2894</v>
      </c>
      <c r="L801" s="8">
        <v>2921</v>
      </c>
      <c r="M801" s="8">
        <v>2873</v>
      </c>
      <c r="N801" s="8">
        <v>2840</v>
      </c>
      <c r="O801" s="8">
        <v>2883</v>
      </c>
      <c r="P801" s="8">
        <v>2879</v>
      </c>
      <c r="Q801" s="8">
        <v>2879</v>
      </c>
      <c r="R801" s="8">
        <v>2783</v>
      </c>
      <c r="S801" s="8">
        <v>2789</v>
      </c>
      <c r="T801" s="8">
        <v>2779</v>
      </c>
      <c r="U801" s="8">
        <v>2783</v>
      </c>
      <c r="V801" s="8">
        <v>2819</v>
      </c>
      <c r="W801" s="8">
        <v>2818</v>
      </c>
      <c r="X801" s="8">
        <v>2808</v>
      </c>
      <c r="Y801" s="8">
        <v>2777</v>
      </c>
      <c r="Z801" s="8">
        <v>2818</v>
      </c>
      <c r="AA801" s="8">
        <v>2824</v>
      </c>
      <c r="AB801" s="8">
        <v>2791</v>
      </c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</row>
    <row r="802" spans="1:47" ht="14.4">
      <c r="A802" s="3">
        <f>LOOKUP(D802,'AMFI DATA_2023H2'!F:L,'AMFI DATA_2023H2'!L:L)</f>
        <v>828</v>
      </c>
      <c r="B802" s="4" t="s">
        <v>2405</v>
      </c>
      <c r="C802" s="4" t="s">
        <v>2406</v>
      </c>
      <c r="D802" s="5" t="s">
        <v>2407</v>
      </c>
      <c r="E802" s="5">
        <v>2083.2600000000002</v>
      </c>
      <c r="F802" s="6">
        <f>LOOKUP(D802,'AMFI DATA_2023H2'!F:J,'AMFI DATA_2023H2'!J:J)</f>
        <v>2653.2473</v>
      </c>
      <c r="G802" s="7">
        <f t="shared" si="3"/>
        <v>-1</v>
      </c>
      <c r="H802" s="8"/>
      <c r="I802" s="8">
        <v>4559</v>
      </c>
      <c r="J802" s="8">
        <v>4506</v>
      </c>
      <c r="K802" s="8">
        <v>4430</v>
      </c>
      <c r="L802" s="8">
        <v>4277</v>
      </c>
      <c r="M802" s="8">
        <v>4412</v>
      </c>
      <c r="N802" s="8">
        <v>4385</v>
      </c>
      <c r="O802" s="8">
        <v>4245</v>
      </c>
      <c r="P802" s="8">
        <v>3976</v>
      </c>
      <c r="Q802" s="8">
        <v>3763</v>
      </c>
      <c r="R802" s="8">
        <v>3754</v>
      </c>
      <c r="S802" s="8">
        <v>3830</v>
      </c>
      <c r="T802" s="8">
        <v>3874</v>
      </c>
      <c r="U802" s="8">
        <v>3927</v>
      </c>
      <c r="V802" s="8">
        <v>3783</v>
      </c>
      <c r="W802" s="8">
        <v>3809</v>
      </c>
      <c r="X802" s="8">
        <v>3741</v>
      </c>
      <c r="Y802" s="8">
        <v>3800</v>
      </c>
      <c r="Z802" s="8">
        <v>3790</v>
      </c>
      <c r="AA802" s="8">
        <v>3937</v>
      </c>
      <c r="AB802" s="8">
        <v>3846</v>
      </c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</row>
    <row r="803" spans="1:47" ht="14.4">
      <c r="A803" s="3">
        <f>LOOKUP(D803,'AMFI DATA_2023H2'!F:L,'AMFI DATA_2023H2'!L:L)</f>
        <v>829</v>
      </c>
      <c r="B803" s="4" t="s">
        <v>2408</v>
      </c>
      <c r="C803" s="4" t="s">
        <v>2409</v>
      </c>
      <c r="D803" s="5" t="s">
        <v>2410</v>
      </c>
      <c r="E803" s="5">
        <v>1730.19</v>
      </c>
      <c r="F803" s="6">
        <f>LOOKUP(D803,'AMFI DATA_2023H2'!F:J,'AMFI DATA_2023H2'!J:J)</f>
        <v>2649.7271000000001</v>
      </c>
      <c r="G803" s="7">
        <f t="shared" si="3"/>
        <v>-1</v>
      </c>
      <c r="H803" s="8"/>
      <c r="I803" s="8">
        <v>2845</v>
      </c>
      <c r="J803" s="8">
        <v>2840</v>
      </c>
      <c r="K803" s="8">
        <v>2840</v>
      </c>
      <c r="L803" s="8">
        <v>2809</v>
      </c>
      <c r="M803" s="8">
        <v>2832</v>
      </c>
      <c r="N803" s="8">
        <v>2841</v>
      </c>
      <c r="O803" s="8">
        <v>2856</v>
      </c>
      <c r="P803" s="8">
        <v>2872</v>
      </c>
      <c r="Q803" s="8">
        <v>2871</v>
      </c>
      <c r="R803" s="8">
        <v>2871</v>
      </c>
      <c r="S803" s="8">
        <v>2854</v>
      </c>
      <c r="T803" s="8">
        <v>2845</v>
      </c>
      <c r="U803" s="8">
        <v>2811</v>
      </c>
      <c r="V803" s="8">
        <v>2880</v>
      </c>
      <c r="W803" s="8">
        <v>2849</v>
      </c>
      <c r="X803" s="8">
        <v>2948</v>
      </c>
      <c r="Y803" s="8">
        <v>2789</v>
      </c>
      <c r="Z803" s="8">
        <v>2820</v>
      </c>
      <c r="AA803" s="8">
        <v>2866</v>
      </c>
      <c r="AB803" s="8">
        <v>2784</v>
      </c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</row>
    <row r="804" spans="1:47" ht="14.4">
      <c r="A804" s="3">
        <f>LOOKUP(D804,'AMFI DATA_2023H2'!F:L,'AMFI DATA_2023H2'!L:L)</f>
        <v>830</v>
      </c>
      <c r="B804" s="4" t="s">
        <v>2411</v>
      </c>
      <c r="C804" s="4" t="s">
        <v>2412</v>
      </c>
      <c r="D804" s="5" t="s">
        <v>2413</v>
      </c>
      <c r="E804" s="5">
        <v>2775.74</v>
      </c>
      <c r="F804" s="6">
        <f>LOOKUP(D804,'AMFI DATA_2023H2'!F:J,'AMFI DATA_2023H2'!J:J)</f>
        <v>2646.8173999999999</v>
      </c>
      <c r="G804" s="7">
        <f t="shared" si="3"/>
        <v>-1</v>
      </c>
      <c r="H804" s="8"/>
      <c r="I804" s="8">
        <v>2421</v>
      </c>
      <c r="J804" s="8">
        <v>2419</v>
      </c>
      <c r="K804" s="8">
        <v>2438</v>
      </c>
      <c r="L804" s="8">
        <v>2444</v>
      </c>
      <c r="M804" s="8">
        <v>2447</v>
      </c>
      <c r="N804" s="8">
        <v>2461</v>
      </c>
      <c r="O804" s="8">
        <v>2450</v>
      </c>
      <c r="P804" s="8">
        <v>2460</v>
      </c>
      <c r="Q804" s="8">
        <v>2470</v>
      </c>
      <c r="R804" s="8">
        <v>2485</v>
      </c>
      <c r="S804" s="8">
        <v>2490</v>
      </c>
      <c r="T804" s="8">
        <v>2533</v>
      </c>
      <c r="U804" s="8">
        <v>2534</v>
      </c>
      <c r="V804" s="8">
        <v>2582</v>
      </c>
      <c r="W804" s="8">
        <v>2599</v>
      </c>
      <c r="X804" s="8">
        <v>2611</v>
      </c>
      <c r="Y804" s="8">
        <v>2606</v>
      </c>
      <c r="Z804" s="8">
        <v>2595</v>
      </c>
      <c r="AA804" s="8">
        <v>2598</v>
      </c>
      <c r="AB804" s="8">
        <v>2618</v>
      </c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</row>
    <row r="805" spans="1:47" ht="14.4">
      <c r="A805" s="3">
        <f>LOOKUP(D805,'AMFI DATA_2023H2'!F:L,'AMFI DATA_2023H2'!L:L)</f>
        <v>831</v>
      </c>
      <c r="B805" s="4" t="s">
        <v>2414</v>
      </c>
      <c r="C805" s="4" t="s">
        <v>2415</v>
      </c>
      <c r="D805" s="5" t="s">
        <v>2416</v>
      </c>
      <c r="E805" s="5">
        <v>2343.48</v>
      </c>
      <c r="F805" s="6">
        <f>LOOKUP(D805,'AMFI DATA_2023H2'!F:J,'AMFI DATA_2023H2'!J:J)</f>
        <v>2646.3136500000001</v>
      </c>
      <c r="G805" s="7">
        <f t="shared" si="3"/>
        <v>-1</v>
      </c>
      <c r="H805" s="8"/>
      <c r="I805" s="8">
        <v>2529</v>
      </c>
      <c r="J805" s="8">
        <v>2573</v>
      </c>
      <c r="K805" s="8">
        <v>2511</v>
      </c>
      <c r="L805" s="8">
        <v>2504</v>
      </c>
      <c r="M805" s="8">
        <v>2515</v>
      </c>
      <c r="N805" s="8">
        <v>2565</v>
      </c>
      <c r="O805" s="8">
        <v>2491</v>
      </c>
      <c r="P805" s="8">
        <v>2481</v>
      </c>
      <c r="Q805" s="8">
        <v>2495</v>
      </c>
      <c r="R805" s="8">
        <v>2498</v>
      </c>
      <c r="S805" s="8">
        <v>2510</v>
      </c>
      <c r="T805" s="8">
        <v>2560</v>
      </c>
      <c r="U805" s="8">
        <v>2529</v>
      </c>
      <c r="V805" s="8">
        <v>2533</v>
      </c>
      <c r="W805" s="8">
        <v>2587</v>
      </c>
      <c r="X805" s="8">
        <v>2519</v>
      </c>
      <c r="Y805" s="8">
        <v>2502</v>
      </c>
      <c r="Z805" s="8">
        <v>2507</v>
      </c>
      <c r="AA805" s="8">
        <v>2526</v>
      </c>
      <c r="AB805" s="8">
        <v>2521</v>
      </c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</row>
    <row r="806" spans="1:47" ht="14.4">
      <c r="A806" s="3">
        <f>LOOKUP(D806,'AMFI DATA_2023H2'!F:L,'AMFI DATA_2023H2'!L:L)</f>
        <v>832</v>
      </c>
      <c r="B806" s="4" t="s">
        <v>2417</v>
      </c>
      <c r="C806" s="4" t="s">
        <v>2418</v>
      </c>
      <c r="D806" s="5" t="s">
        <v>2419</v>
      </c>
      <c r="E806" s="5">
        <v>2498.5</v>
      </c>
      <c r="F806" s="6">
        <f>LOOKUP(D806,'AMFI DATA_2023H2'!F:J,'AMFI DATA_2023H2'!J:J)</f>
        <v>2645.8816999999999</v>
      </c>
      <c r="G806" s="7">
        <f t="shared" si="3"/>
        <v>-1</v>
      </c>
      <c r="H806" s="8"/>
      <c r="I806" s="8">
        <v>2648</v>
      </c>
      <c r="J806" s="8">
        <v>2656</v>
      </c>
      <c r="K806" s="8">
        <v>2625</v>
      </c>
      <c r="L806" s="8">
        <v>2617</v>
      </c>
      <c r="M806" s="8">
        <v>2690</v>
      </c>
      <c r="N806" s="8">
        <v>2693</v>
      </c>
      <c r="O806" s="8">
        <v>2725</v>
      </c>
      <c r="P806" s="8">
        <v>2720</v>
      </c>
      <c r="Q806" s="8">
        <v>2603</v>
      </c>
      <c r="R806" s="8">
        <v>2604</v>
      </c>
      <c r="S806" s="8">
        <v>2568</v>
      </c>
      <c r="T806" s="8">
        <v>2573</v>
      </c>
      <c r="U806" s="8">
        <v>2604</v>
      </c>
      <c r="V806" s="8">
        <v>2590</v>
      </c>
      <c r="W806" s="8">
        <v>2597</v>
      </c>
      <c r="X806" s="8">
        <v>2617</v>
      </c>
      <c r="Y806" s="8">
        <v>2609</v>
      </c>
      <c r="Z806" s="8">
        <v>2584</v>
      </c>
      <c r="AA806" s="8">
        <v>2458</v>
      </c>
      <c r="AB806" s="8">
        <v>2420</v>
      </c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</row>
    <row r="807" spans="1:47" ht="14.4">
      <c r="A807" s="3">
        <f>LOOKUP(D807,'AMFI DATA_2023H2'!F:L,'AMFI DATA_2023H2'!L:L)</f>
        <v>833</v>
      </c>
      <c r="B807" s="4" t="s">
        <v>2420</v>
      </c>
      <c r="C807" s="4" t="s">
        <v>2421</v>
      </c>
      <c r="D807" s="5" t="s">
        <v>2422</v>
      </c>
      <c r="E807" s="5">
        <v>2089.1799999999998</v>
      </c>
      <c r="F807" s="6">
        <f>LOOKUP(D807,'AMFI DATA_2023H2'!F:J,'AMFI DATA_2023H2'!J:J)</f>
        <v>2643.2944499999999</v>
      </c>
      <c r="G807" s="7">
        <f t="shared" si="3"/>
        <v>-1</v>
      </c>
      <c r="H807" s="8"/>
      <c r="I807" s="8">
        <v>2843</v>
      </c>
      <c r="J807" s="8">
        <v>2792</v>
      </c>
      <c r="K807" s="8">
        <v>2787</v>
      </c>
      <c r="L807" s="8">
        <v>2813</v>
      </c>
      <c r="M807" s="8">
        <v>2840</v>
      </c>
      <c r="N807" s="8">
        <v>2792</v>
      </c>
      <c r="O807" s="8">
        <v>2785</v>
      </c>
      <c r="P807" s="8">
        <v>2749</v>
      </c>
      <c r="Q807" s="8">
        <v>2747</v>
      </c>
      <c r="R807" s="8">
        <v>2722</v>
      </c>
      <c r="S807" s="8">
        <v>2727</v>
      </c>
      <c r="T807" s="8">
        <v>2751</v>
      </c>
      <c r="U807" s="8">
        <v>2729</v>
      </c>
      <c r="V807" s="8">
        <v>2753</v>
      </c>
      <c r="W807" s="8">
        <v>2649</v>
      </c>
      <c r="X807" s="8">
        <v>2619</v>
      </c>
      <c r="Y807" s="8">
        <v>2592</v>
      </c>
      <c r="Z807" s="8">
        <v>2612</v>
      </c>
      <c r="AA807" s="8">
        <v>2640</v>
      </c>
      <c r="AB807" s="8">
        <v>2640</v>
      </c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</row>
    <row r="808" spans="1:47" ht="14.4">
      <c r="A808" s="3">
        <f>LOOKUP(D808,'AMFI DATA_2023H2'!F:L,'AMFI DATA_2023H2'!L:L)</f>
        <v>835</v>
      </c>
      <c r="B808" s="4" t="s">
        <v>2423</v>
      </c>
      <c r="C808" s="4" t="s">
        <v>2424</v>
      </c>
      <c r="D808" s="5" t="s">
        <v>2425</v>
      </c>
      <c r="E808" s="5">
        <v>2656.17</v>
      </c>
      <c r="F808" s="6">
        <f>LOOKUP(D808,'AMFI DATA_2023H2'!F:J,'AMFI DATA_2023H2'!J:J)</f>
        <v>2623.9180999999999</v>
      </c>
      <c r="G808" s="7">
        <f t="shared" si="3"/>
        <v>-1</v>
      </c>
      <c r="H808" s="8"/>
      <c r="I808" s="8">
        <v>2405</v>
      </c>
      <c r="J808" s="8">
        <v>2440</v>
      </c>
      <c r="K808" s="8">
        <v>2453</v>
      </c>
      <c r="L808" s="8">
        <v>2492</v>
      </c>
      <c r="M808" s="8">
        <v>2514</v>
      </c>
      <c r="N808" s="8">
        <v>2482</v>
      </c>
      <c r="O808" s="8">
        <v>2517</v>
      </c>
      <c r="P808" s="8">
        <v>2503</v>
      </c>
      <c r="Q808" s="8">
        <v>2508</v>
      </c>
      <c r="R808" s="8">
        <v>2516</v>
      </c>
      <c r="S808" s="8">
        <v>2557</v>
      </c>
      <c r="T808" s="8">
        <v>2567</v>
      </c>
      <c r="U808" s="8">
        <v>2555</v>
      </c>
      <c r="V808" s="8">
        <v>2586</v>
      </c>
      <c r="W808" s="8">
        <v>2581</v>
      </c>
      <c r="X808" s="8">
        <v>2591</v>
      </c>
      <c r="Y808" s="8">
        <v>2594</v>
      </c>
      <c r="Z808" s="8">
        <v>2588</v>
      </c>
      <c r="AA808" s="8">
        <v>2603</v>
      </c>
      <c r="AB808" s="8">
        <v>2595</v>
      </c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</row>
    <row r="809" spans="1:47" ht="14.4">
      <c r="A809" s="3">
        <f>LOOKUP(D809,'AMFI DATA_2023H2'!F:L,'AMFI DATA_2023H2'!L:L)</f>
        <v>836</v>
      </c>
      <c r="B809" s="4" t="s">
        <v>2426</v>
      </c>
      <c r="C809" s="4" t="s">
        <v>2427</v>
      </c>
      <c r="D809" s="5" t="s">
        <v>2428</v>
      </c>
      <c r="E809" s="5">
        <v>1738.28</v>
      </c>
      <c r="F809" s="6">
        <f>LOOKUP(D809,'AMFI DATA_2023H2'!F:J,'AMFI DATA_2023H2'!J:J)</f>
        <v>2600.8553499999998</v>
      </c>
      <c r="G809" s="7">
        <f t="shared" si="3"/>
        <v>-1</v>
      </c>
      <c r="H809" s="8"/>
      <c r="I809" s="8">
        <v>2911</v>
      </c>
      <c r="J809" s="8">
        <v>2803</v>
      </c>
      <c r="K809" s="8">
        <v>2908</v>
      </c>
      <c r="L809" s="8">
        <v>2856</v>
      </c>
      <c r="M809" s="8">
        <v>2922</v>
      </c>
      <c r="N809" s="8">
        <v>2888</v>
      </c>
      <c r="O809" s="8">
        <v>2948</v>
      </c>
      <c r="P809" s="8">
        <v>2994</v>
      </c>
      <c r="Q809" s="8">
        <v>2974</v>
      </c>
      <c r="R809" s="8">
        <v>2963</v>
      </c>
      <c r="S809" s="8">
        <v>3027</v>
      </c>
      <c r="T809" s="8">
        <v>3002</v>
      </c>
      <c r="U809" s="8">
        <v>2989</v>
      </c>
      <c r="V809" s="8">
        <v>2991</v>
      </c>
      <c r="W809" s="8">
        <v>2919</v>
      </c>
      <c r="X809" s="8">
        <v>2911</v>
      </c>
      <c r="Y809" s="8">
        <v>2908</v>
      </c>
      <c r="Z809" s="8">
        <v>2901</v>
      </c>
      <c r="AA809" s="8">
        <v>2906</v>
      </c>
      <c r="AB809" s="8">
        <v>2948</v>
      </c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</row>
    <row r="810" spans="1:47" ht="14.4">
      <c r="A810" s="3">
        <f>LOOKUP(D810,'AMFI DATA_2023H2'!F:L,'AMFI DATA_2023H2'!L:L)</f>
        <v>837</v>
      </c>
      <c r="B810" s="4" t="s">
        <v>2429</v>
      </c>
      <c r="C810" s="4" t="s">
        <v>2430</v>
      </c>
      <c r="D810" s="5" t="s">
        <v>2431</v>
      </c>
      <c r="E810" s="5">
        <v>1993.67</v>
      </c>
      <c r="F810" s="6">
        <f>LOOKUP(D810,'AMFI DATA_2023H2'!F:J,'AMFI DATA_2023H2'!J:J)</f>
        <v>2579.7526500000004</v>
      </c>
      <c r="G810" s="7">
        <f t="shared" si="3"/>
        <v>-1</v>
      </c>
      <c r="H810" s="8"/>
      <c r="I810" s="8">
        <v>3377</v>
      </c>
      <c r="J810" s="8">
        <v>3236</v>
      </c>
      <c r="K810" s="8">
        <v>3285</v>
      </c>
      <c r="L810" s="8">
        <v>3390</v>
      </c>
      <c r="M810" s="8">
        <v>3418</v>
      </c>
      <c r="N810" s="8">
        <v>3387</v>
      </c>
      <c r="O810" s="8">
        <v>3417</v>
      </c>
      <c r="P810" s="8">
        <v>3431</v>
      </c>
      <c r="Q810" s="8">
        <v>3395</v>
      </c>
      <c r="R810" s="8">
        <v>3387</v>
      </c>
      <c r="S810" s="8">
        <v>3422</v>
      </c>
      <c r="T810" s="8">
        <v>3446</v>
      </c>
      <c r="U810" s="8">
        <v>3420</v>
      </c>
      <c r="V810" s="8">
        <v>3432</v>
      </c>
      <c r="W810" s="8">
        <v>3489</v>
      </c>
      <c r="X810" s="8">
        <v>3508</v>
      </c>
      <c r="Y810" s="8">
        <v>3522</v>
      </c>
      <c r="Z810" s="8">
        <v>3541</v>
      </c>
      <c r="AA810" s="8">
        <v>3507</v>
      </c>
      <c r="AB810" s="8">
        <v>3482</v>
      </c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</row>
    <row r="811" spans="1:47" ht="14.4">
      <c r="A811" s="3">
        <f>LOOKUP(D811,'AMFI DATA_2023H2'!F:L,'AMFI DATA_2023H2'!L:L)</f>
        <v>838</v>
      </c>
      <c r="B811" s="4" t="s">
        <v>2432</v>
      </c>
      <c r="C811" s="4" t="s">
        <v>2433</v>
      </c>
      <c r="D811" s="5" t="s">
        <v>2434</v>
      </c>
      <c r="E811" s="5">
        <v>1087.9000000000001</v>
      </c>
      <c r="F811" s="6">
        <f>LOOKUP(D811,'AMFI DATA_2023H2'!F:J,'AMFI DATA_2023H2'!J:J)</f>
        <v>2579.5383499999998</v>
      </c>
      <c r="G811" s="7">
        <f t="shared" si="3"/>
        <v>-1</v>
      </c>
      <c r="H811" s="8"/>
      <c r="I811" s="8">
        <v>3970</v>
      </c>
      <c r="J811" s="8">
        <v>3944</v>
      </c>
      <c r="K811" s="8">
        <v>3927</v>
      </c>
      <c r="L811" s="8">
        <v>3979</v>
      </c>
      <c r="M811" s="8">
        <v>4005</v>
      </c>
      <c r="N811" s="8">
        <v>3836</v>
      </c>
      <c r="O811" s="8">
        <v>3873</v>
      </c>
      <c r="P811" s="8">
        <v>3856</v>
      </c>
      <c r="Q811" s="8">
        <v>3831</v>
      </c>
      <c r="R811" s="8">
        <v>3850</v>
      </c>
      <c r="S811" s="8">
        <v>3979</v>
      </c>
      <c r="T811" s="8">
        <v>3816</v>
      </c>
      <c r="U811" s="8">
        <v>3793</v>
      </c>
      <c r="V811" s="8">
        <v>3847</v>
      </c>
      <c r="W811" s="8">
        <v>3863</v>
      </c>
      <c r="X811" s="8">
        <v>3852</v>
      </c>
      <c r="Y811" s="8">
        <v>3903</v>
      </c>
      <c r="Z811" s="8">
        <v>3925</v>
      </c>
      <c r="AA811" s="8">
        <v>3757</v>
      </c>
      <c r="AB811" s="8">
        <v>3829</v>
      </c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</row>
    <row r="812" spans="1:47" ht="14.4">
      <c r="A812" s="3">
        <f>LOOKUP(D812,'AMFI DATA_2023H2'!F:L,'AMFI DATA_2023H2'!L:L)</f>
        <v>839</v>
      </c>
      <c r="B812" s="4" t="s">
        <v>2435</v>
      </c>
      <c r="C812" s="4" t="s">
        <v>2436</v>
      </c>
      <c r="D812" s="5" t="s">
        <v>2437</v>
      </c>
      <c r="E812" s="5">
        <v>2190.7199999999998</v>
      </c>
      <c r="F812" s="6">
        <f>LOOKUP(D812,'AMFI DATA_2023H2'!F:J,'AMFI DATA_2023H2'!J:J)</f>
        <v>2572.2293500000001</v>
      </c>
      <c r="G812" s="7">
        <f t="shared" si="3"/>
        <v>-1</v>
      </c>
      <c r="H812" s="8"/>
      <c r="I812" s="8">
        <v>2493</v>
      </c>
      <c r="J812" s="8">
        <v>2488</v>
      </c>
      <c r="K812" s="8">
        <v>2472</v>
      </c>
      <c r="L812" s="8">
        <v>2437</v>
      </c>
      <c r="M812" s="8">
        <v>2392</v>
      </c>
      <c r="N812" s="8">
        <v>2373</v>
      </c>
      <c r="O812" s="8">
        <v>2353</v>
      </c>
      <c r="P812" s="8">
        <v>2352</v>
      </c>
      <c r="Q812" s="8">
        <v>2364</v>
      </c>
      <c r="R812" s="8">
        <v>2414</v>
      </c>
      <c r="S812" s="8">
        <v>2443</v>
      </c>
      <c r="T812" s="8">
        <v>2431</v>
      </c>
      <c r="U812" s="8">
        <v>2411</v>
      </c>
      <c r="V812" s="8">
        <v>2394</v>
      </c>
      <c r="W812" s="8">
        <v>2419</v>
      </c>
      <c r="X812" s="8">
        <v>2432</v>
      </c>
      <c r="Y812" s="8">
        <v>2434</v>
      </c>
      <c r="Z812" s="8">
        <v>2428</v>
      </c>
      <c r="AA812" s="8">
        <v>2408</v>
      </c>
      <c r="AB812" s="8">
        <v>2404</v>
      </c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</row>
    <row r="813" spans="1:47" ht="14.4">
      <c r="A813" s="3">
        <f>LOOKUP(D813,'AMFI DATA_2023H2'!F:L,'AMFI DATA_2023H2'!L:L)</f>
        <v>840</v>
      </c>
      <c r="B813" s="4" t="s">
        <v>2438</v>
      </c>
      <c r="C813" s="4" t="s">
        <v>2439</v>
      </c>
      <c r="D813" s="5" t="s">
        <v>2440</v>
      </c>
      <c r="E813" s="5">
        <v>2347.58</v>
      </c>
      <c r="F813" s="6">
        <f>LOOKUP(D813,'AMFI DATA_2023H2'!F:J,'AMFI DATA_2023H2'!J:J)</f>
        <v>2568.8840499999997</v>
      </c>
      <c r="G813" s="7">
        <f t="shared" si="3"/>
        <v>-1</v>
      </c>
      <c r="H813" s="8"/>
      <c r="I813" s="8">
        <v>2496</v>
      </c>
      <c r="J813" s="8">
        <v>2505</v>
      </c>
      <c r="K813" s="8">
        <v>2512</v>
      </c>
      <c r="L813" s="8">
        <v>2517</v>
      </c>
      <c r="M813" s="8">
        <v>2506</v>
      </c>
      <c r="N813" s="8">
        <v>2495</v>
      </c>
      <c r="O813" s="8">
        <v>2507</v>
      </c>
      <c r="P813" s="8">
        <v>2502</v>
      </c>
      <c r="Q813" s="8">
        <v>2486</v>
      </c>
      <c r="R813" s="8">
        <v>2483</v>
      </c>
      <c r="S813" s="8">
        <v>2491</v>
      </c>
      <c r="T813" s="8">
        <v>2473</v>
      </c>
      <c r="U813" s="8">
        <v>2497</v>
      </c>
      <c r="V813" s="8">
        <v>2519</v>
      </c>
      <c r="W813" s="8">
        <v>2508</v>
      </c>
      <c r="X813" s="8">
        <v>2503</v>
      </c>
      <c r="Y813" s="8">
        <v>2508</v>
      </c>
      <c r="Z813" s="8">
        <v>2508</v>
      </c>
      <c r="AA813" s="8">
        <v>2531</v>
      </c>
      <c r="AB813" s="8">
        <v>2519</v>
      </c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</row>
    <row r="814" spans="1:47" ht="14.4">
      <c r="A814" s="3">
        <f>LOOKUP(D814,'AMFI DATA_2023H2'!F:L,'AMFI DATA_2023H2'!L:L)</f>
        <v>841</v>
      </c>
      <c r="B814" s="4" t="s">
        <v>2441</v>
      </c>
      <c r="C814" s="4" t="s">
        <v>2442</v>
      </c>
      <c r="D814" s="5" t="s">
        <v>2443</v>
      </c>
      <c r="E814" s="5">
        <v>1743.08</v>
      </c>
      <c r="F814" s="6">
        <f>LOOKUP(D814,'AMFI DATA_2023H2'!F:J,'AMFI DATA_2023H2'!J:J)</f>
        <v>2559.05735</v>
      </c>
      <c r="G814" s="7">
        <f t="shared" si="3"/>
        <v>-1</v>
      </c>
      <c r="H814" s="8"/>
      <c r="I814" s="8">
        <v>3503</v>
      </c>
      <c r="J814" s="8">
        <v>3200</v>
      </c>
      <c r="K814" s="8">
        <v>3202</v>
      </c>
      <c r="L814" s="8">
        <v>3288</v>
      </c>
      <c r="M814" s="8">
        <v>3273</v>
      </c>
      <c r="N814" s="8">
        <v>3236</v>
      </c>
      <c r="O814" s="8">
        <v>3447</v>
      </c>
      <c r="P814" s="8">
        <v>2870</v>
      </c>
      <c r="Q814" s="8">
        <v>2927</v>
      </c>
      <c r="R814" s="8">
        <v>2845</v>
      </c>
      <c r="S814" s="8">
        <v>2875</v>
      </c>
      <c r="T814" s="8">
        <v>2942</v>
      </c>
      <c r="U814" s="8">
        <v>2957</v>
      </c>
      <c r="V814" s="8">
        <v>2882</v>
      </c>
      <c r="W814" s="8">
        <v>2898</v>
      </c>
      <c r="X814" s="8">
        <v>2858</v>
      </c>
      <c r="Y814" s="8">
        <v>2800</v>
      </c>
      <c r="Z814" s="8">
        <v>2934</v>
      </c>
      <c r="AA814" s="8">
        <v>2853</v>
      </c>
      <c r="AB814" s="8">
        <v>2773</v>
      </c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</row>
    <row r="815" spans="1:47" ht="14.4">
      <c r="A815" s="3">
        <f>LOOKUP(D815,'AMFI DATA_2023H2'!F:L,'AMFI DATA_2023H2'!L:L)</f>
        <v>842</v>
      </c>
      <c r="B815" s="4" t="s">
        <v>2444</v>
      </c>
      <c r="C815" s="4" t="s">
        <v>2445</v>
      </c>
      <c r="D815" s="5" t="s">
        <v>2446</v>
      </c>
      <c r="E815" s="5">
        <v>1373.7</v>
      </c>
      <c r="F815" s="6">
        <f>LOOKUP(D815,'AMFI DATA_2023H2'!F:J,'AMFI DATA_2023H2'!J:J)</f>
        <v>2557.21135</v>
      </c>
      <c r="G815" s="7">
        <f t="shared" si="3"/>
        <v>-1</v>
      </c>
      <c r="H815" s="8"/>
      <c r="I815" s="8">
        <v>2515</v>
      </c>
      <c r="J815" s="8">
        <v>2533</v>
      </c>
      <c r="K815" s="8">
        <v>2537</v>
      </c>
      <c r="L815" s="8">
        <v>2583</v>
      </c>
      <c r="M815" s="8">
        <v>2585</v>
      </c>
      <c r="N815" s="8">
        <v>2641</v>
      </c>
      <c r="O815" s="8">
        <v>2608</v>
      </c>
      <c r="P815" s="8">
        <v>2585</v>
      </c>
      <c r="Q815" s="8">
        <v>2578</v>
      </c>
      <c r="R815" s="8">
        <v>2596</v>
      </c>
      <c r="S815" s="8">
        <v>2633</v>
      </c>
      <c r="T815" s="8">
        <v>2590</v>
      </c>
      <c r="U815" s="8">
        <v>2543</v>
      </c>
      <c r="V815" s="8">
        <v>2527</v>
      </c>
      <c r="W815" s="8">
        <v>2521</v>
      </c>
      <c r="X815" s="8">
        <v>2499</v>
      </c>
      <c r="Y815" s="8">
        <v>2473</v>
      </c>
      <c r="Z815" s="8">
        <v>2514</v>
      </c>
      <c r="AA815" s="8">
        <v>2498</v>
      </c>
      <c r="AB815" s="8">
        <v>2498</v>
      </c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</row>
    <row r="816" spans="1:47" ht="14.4">
      <c r="A816" s="3">
        <f>LOOKUP(D816,'AMFI DATA_2023H2'!F:L,'AMFI DATA_2023H2'!L:L)</f>
        <v>843</v>
      </c>
      <c r="B816" s="4" t="s">
        <v>2447</v>
      </c>
      <c r="C816" s="4" t="s">
        <v>2448</v>
      </c>
      <c r="D816" s="5" t="s">
        <v>2449</v>
      </c>
      <c r="E816" s="5">
        <v>1923.04</v>
      </c>
      <c r="F816" s="6">
        <f>LOOKUP(D816,'AMFI DATA_2023H2'!F:J,'AMFI DATA_2023H2'!J:J)</f>
        <v>2552.8649</v>
      </c>
      <c r="G816" s="7">
        <f t="shared" si="3"/>
        <v>-1</v>
      </c>
      <c r="H816" s="8"/>
      <c r="I816" s="8">
        <v>2559</v>
      </c>
      <c r="J816" s="8">
        <v>2584</v>
      </c>
      <c r="K816" s="8">
        <v>2654</v>
      </c>
      <c r="L816" s="8">
        <v>2630</v>
      </c>
      <c r="M816" s="8">
        <v>2682</v>
      </c>
      <c r="N816" s="8">
        <v>2708</v>
      </c>
      <c r="O816" s="8">
        <v>2740</v>
      </c>
      <c r="P816" s="8">
        <v>2608</v>
      </c>
      <c r="Q816" s="8">
        <v>2640</v>
      </c>
      <c r="R816" s="8">
        <v>2608</v>
      </c>
      <c r="S816" s="8">
        <v>2645</v>
      </c>
      <c r="T816" s="8">
        <v>2623</v>
      </c>
      <c r="U816" s="8">
        <v>2638</v>
      </c>
      <c r="V816" s="8">
        <v>2626</v>
      </c>
      <c r="W816" s="8">
        <v>2634</v>
      </c>
      <c r="X816" s="8">
        <v>2625</v>
      </c>
      <c r="Y816" s="8">
        <v>2632</v>
      </c>
      <c r="Z816" s="8">
        <v>2625</v>
      </c>
      <c r="AA816" s="8">
        <v>2654</v>
      </c>
      <c r="AB816" s="8">
        <v>2619</v>
      </c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</row>
    <row r="817" spans="1:47" ht="14.4">
      <c r="A817" s="3">
        <f>LOOKUP(D817,'AMFI DATA_2023H2'!F:L,'AMFI DATA_2023H2'!L:L)</f>
        <v>844</v>
      </c>
      <c r="B817" s="4" t="s">
        <v>2450</v>
      </c>
      <c r="C817" s="4" t="s">
        <v>2451</v>
      </c>
      <c r="D817" s="5" t="s">
        <v>2452</v>
      </c>
      <c r="E817" s="5">
        <v>2072</v>
      </c>
      <c r="F817" s="6">
        <f>LOOKUP(D817,'AMFI DATA_2023H2'!F:J,'AMFI DATA_2023H2'!J:J)</f>
        <v>2545.3626999999997</v>
      </c>
      <c r="G817" s="7">
        <f t="shared" si="3"/>
        <v>-1</v>
      </c>
      <c r="H817" s="8"/>
      <c r="I817" s="8">
        <v>2863</v>
      </c>
      <c r="J817" s="8">
        <v>2841</v>
      </c>
      <c r="K817" s="8">
        <v>2830</v>
      </c>
      <c r="L817" s="8">
        <v>2849</v>
      </c>
      <c r="M817" s="8">
        <v>2913</v>
      </c>
      <c r="N817" s="8">
        <v>2928</v>
      </c>
      <c r="O817" s="8">
        <v>2918</v>
      </c>
      <c r="P817" s="8">
        <v>2900</v>
      </c>
      <c r="Q817" s="8">
        <v>2856</v>
      </c>
      <c r="R817" s="8">
        <v>2931</v>
      </c>
      <c r="S817" s="8">
        <v>2980</v>
      </c>
      <c r="T817" s="8">
        <v>3005</v>
      </c>
      <c r="U817" s="8">
        <v>2937</v>
      </c>
      <c r="V817" s="8">
        <v>2908</v>
      </c>
      <c r="W817" s="8">
        <v>2915</v>
      </c>
      <c r="X817" s="8">
        <v>2954</v>
      </c>
      <c r="Y817" s="8">
        <v>3002</v>
      </c>
      <c r="Z817" s="8">
        <v>3013</v>
      </c>
      <c r="AA817" s="8">
        <v>3033</v>
      </c>
      <c r="AB817" s="8">
        <v>2972</v>
      </c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</row>
    <row r="818" spans="1:47" ht="14.4">
      <c r="A818" s="3">
        <f>LOOKUP(D818,'AMFI DATA_2023H2'!F:L,'AMFI DATA_2023H2'!L:L)</f>
        <v>845</v>
      </c>
      <c r="B818" s="4" t="s">
        <v>2453</v>
      </c>
      <c r="C818" s="4" t="s">
        <v>2454</v>
      </c>
      <c r="D818" s="5" t="s">
        <v>2455</v>
      </c>
      <c r="E818" s="5">
        <v>1877.85</v>
      </c>
      <c r="F818" s="6">
        <f>LOOKUP(D818,'AMFI DATA_2023H2'!F:J,'AMFI DATA_2023H2'!J:J)</f>
        <v>2542.3499000000002</v>
      </c>
      <c r="G818" s="7">
        <f t="shared" si="3"/>
        <v>-1</v>
      </c>
      <c r="H818" s="8"/>
      <c r="I818" s="8">
        <v>2503</v>
      </c>
      <c r="J818" s="8">
        <v>2364</v>
      </c>
      <c r="K818" s="8">
        <v>2422</v>
      </c>
      <c r="L818" s="8">
        <v>2479</v>
      </c>
      <c r="M818" s="8">
        <v>2514</v>
      </c>
      <c r="N818" s="8">
        <v>2513</v>
      </c>
      <c r="O818" s="8">
        <v>2461</v>
      </c>
      <c r="P818" s="8">
        <v>2485</v>
      </c>
      <c r="Q818" s="8">
        <v>2481</v>
      </c>
      <c r="R818" s="8">
        <v>2422</v>
      </c>
      <c r="S818" s="8">
        <v>2430</v>
      </c>
      <c r="T818" s="8">
        <v>2277</v>
      </c>
      <c r="U818" s="8">
        <v>2222</v>
      </c>
      <c r="V818" s="8">
        <v>2206</v>
      </c>
      <c r="W818" s="8">
        <v>2222</v>
      </c>
      <c r="X818" s="8">
        <v>2174</v>
      </c>
      <c r="Y818" s="8">
        <v>2141</v>
      </c>
      <c r="Z818" s="8">
        <v>2172</v>
      </c>
      <c r="AA818" s="8">
        <v>2133</v>
      </c>
      <c r="AB818" s="8">
        <v>2129</v>
      </c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</row>
    <row r="819" spans="1:47" ht="14.4">
      <c r="A819" s="3">
        <f>LOOKUP(D819,'AMFI DATA_2023H2'!F:L,'AMFI DATA_2023H2'!L:L)</f>
        <v>846</v>
      </c>
      <c r="B819" s="4" t="s">
        <v>2456</v>
      </c>
      <c r="C819" s="4" t="s">
        <v>2457</v>
      </c>
      <c r="D819" s="5" t="s">
        <v>2458</v>
      </c>
      <c r="E819" s="5">
        <v>1462.6</v>
      </c>
      <c r="F819" s="6">
        <f>LOOKUP(D819,'AMFI DATA_2023H2'!F:J,'AMFI DATA_2023H2'!J:J)</f>
        <v>2529.3960999999999</v>
      </c>
      <c r="G819" s="7">
        <f t="shared" si="3"/>
        <v>-1</v>
      </c>
      <c r="H819" s="8"/>
      <c r="I819" s="8">
        <v>3441</v>
      </c>
      <c r="J819" s="8">
        <v>3426</v>
      </c>
      <c r="K819" s="8">
        <v>3347</v>
      </c>
      <c r="L819" s="8">
        <v>3515</v>
      </c>
      <c r="M819" s="8">
        <v>3506</v>
      </c>
      <c r="N819" s="8">
        <v>3557</v>
      </c>
      <c r="O819" s="8">
        <v>3581</v>
      </c>
      <c r="P819" s="8">
        <v>3590</v>
      </c>
      <c r="Q819" s="8">
        <v>3666</v>
      </c>
      <c r="R819" s="8">
        <v>3657</v>
      </c>
      <c r="S819" s="8">
        <v>3734</v>
      </c>
      <c r="T819" s="8">
        <v>3735</v>
      </c>
      <c r="U819" s="8">
        <v>3730</v>
      </c>
      <c r="V819" s="8">
        <v>3428</v>
      </c>
      <c r="W819" s="8">
        <v>3463</v>
      </c>
      <c r="X819" s="8">
        <v>3253</v>
      </c>
      <c r="Y819" s="8">
        <v>2761</v>
      </c>
      <c r="Z819" s="8">
        <v>2796</v>
      </c>
      <c r="AA819" s="8">
        <v>2772</v>
      </c>
      <c r="AB819" s="8">
        <v>2796</v>
      </c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</row>
    <row r="820" spans="1:47" ht="14.4">
      <c r="A820" s="3">
        <f>LOOKUP(D820,'AMFI DATA_2023H2'!F:L,'AMFI DATA_2023H2'!L:L)</f>
        <v>847</v>
      </c>
      <c r="B820" s="4" t="s">
        <v>2459</v>
      </c>
      <c r="C820" s="4" t="s">
        <v>2460</v>
      </c>
      <c r="D820" s="5" t="s">
        <v>2461</v>
      </c>
      <c r="E820" s="5">
        <v>2478.75</v>
      </c>
      <c r="F820" s="6">
        <f>LOOKUP(D820,'AMFI DATA_2023H2'!F:J,'AMFI DATA_2023H2'!J:J)</f>
        <v>2528.4050999999999</v>
      </c>
      <c r="G820" s="7">
        <f t="shared" si="3"/>
        <v>-1</v>
      </c>
      <c r="H820" s="8"/>
      <c r="I820" s="8">
        <v>2211</v>
      </c>
      <c r="J820" s="8">
        <v>2188</v>
      </c>
      <c r="K820" s="8">
        <v>2170</v>
      </c>
      <c r="L820" s="8">
        <v>2196</v>
      </c>
      <c r="M820" s="8">
        <v>2215</v>
      </c>
      <c r="N820" s="8">
        <v>2236</v>
      </c>
      <c r="O820" s="8">
        <v>2230</v>
      </c>
      <c r="P820" s="8">
        <v>2236</v>
      </c>
      <c r="Q820" s="8">
        <v>2259</v>
      </c>
      <c r="R820" s="8">
        <v>2270</v>
      </c>
      <c r="S820" s="8">
        <v>2236</v>
      </c>
      <c r="T820" s="8">
        <v>2242</v>
      </c>
      <c r="U820" s="8">
        <v>2230</v>
      </c>
      <c r="V820" s="8">
        <v>2261</v>
      </c>
      <c r="W820" s="8">
        <v>2253</v>
      </c>
      <c r="X820" s="8">
        <v>2275</v>
      </c>
      <c r="Y820" s="8">
        <v>2203</v>
      </c>
      <c r="Z820" s="8">
        <v>2241</v>
      </c>
      <c r="AA820" s="8">
        <v>2250</v>
      </c>
      <c r="AB820" s="8">
        <v>2158</v>
      </c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</row>
    <row r="821" spans="1:47" ht="14.4">
      <c r="A821" s="3">
        <f>LOOKUP(D821,'AMFI DATA_2023H2'!F:L,'AMFI DATA_2023H2'!L:L)</f>
        <v>848</v>
      </c>
      <c r="B821" s="4" t="s">
        <v>2462</v>
      </c>
      <c r="C821" s="4" t="s">
        <v>2463</v>
      </c>
      <c r="D821" s="5" t="s">
        <v>2464</v>
      </c>
      <c r="E821" s="5">
        <v>2140.9299999999998</v>
      </c>
      <c r="F821" s="6">
        <f>LOOKUP(D821,'AMFI DATA_2023H2'!F:J,'AMFI DATA_2023H2'!J:J)</f>
        <v>2520.8296</v>
      </c>
      <c r="G821" s="7">
        <f t="shared" si="3"/>
        <v>-1</v>
      </c>
      <c r="H821" s="8"/>
      <c r="I821" s="8">
        <v>2669</v>
      </c>
      <c r="J821" s="8">
        <v>2644</v>
      </c>
      <c r="K821" s="8">
        <v>2723</v>
      </c>
      <c r="L821" s="8">
        <v>2677</v>
      </c>
      <c r="M821" s="8">
        <v>2731</v>
      </c>
      <c r="N821" s="8">
        <v>2752</v>
      </c>
      <c r="O821" s="8">
        <v>2734</v>
      </c>
      <c r="P821" s="8">
        <v>0</v>
      </c>
      <c r="Q821" s="8">
        <v>2749</v>
      </c>
      <c r="R821" s="8">
        <v>2756</v>
      </c>
      <c r="S821" s="8">
        <v>2780</v>
      </c>
      <c r="T821" s="8">
        <v>2802</v>
      </c>
      <c r="U821" s="8">
        <v>2820</v>
      </c>
      <c r="V821" s="8">
        <v>2847</v>
      </c>
      <c r="W821" s="8">
        <v>2783</v>
      </c>
      <c r="X821" s="8">
        <v>2722</v>
      </c>
      <c r="Y821" s="8">
        <v>2730</v>
      </c>
      <c r="Z821" s="8">
        <v>2765</v>
      </c>
      <c r="AA821" s="8">
        <v>2804</v>
      </c>
      <c r="AB821" s="8">
        <v>2751</v>
      </c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</row>
    <row r="822" spans="1:47" ht="14.4">
      <c r="A822" s="3">
        <f>LOOKUP(D822,'AMFI DATA_2023H2'!F:L,'AMFI DATA_2023H2'!L:L)</f>
        <v>850</v>
      </c>
      <c r="B822" s="4" t="s">
        <v>2465</v>
      </c>
      <c r="C822" s="4" t="s">
        <v>2466</v>
      </c>
      <c r="D822" s="5" t="s">
        <v>2467</v>
      </c>
      <c r="E822" s="5">
        <v>2780.42</v>
      </c>
      <c r="F822" s="6">
        <f>LOOKUP(D822,'AMFI DATA_2023H2'!F:J,'AMFI DATA_2023H2'!J:J)</f>
        <v>2513.2335000000003</v>
      </c>
      <c r="G822" s="7">
        <f t="shared" si="3"/>
        <v>-1</v>
      </c>
      <c r="H822" s="8"/>
      <c r="I822" s="8">
        <v>2015</v>
      </c>
      <c r="J822" s="8">
        <v>1973</v>
      </c>
      <c r="K822" s="8">
        <v>2002</v>
      </c>
      <c r="L822" s="8">
        <v>1998</v>
      </c>
      <c r="M822" s="8">
        <v>2012</v>
      </c>
      <c r="N822" s="8">
        <v>2007</v>
      </c>
      <c r="O822" s="8">
        <v>2026</v>
      </c>
      <c r="P822" s="8">
        <v>2028</v>
      </c>
      <c r="Q822" s="8">
        <v>2084</v>
      </c>
      <c r="R822" s="8">
        <v>2104</v>
      </c>
      <c r="S822" s="8">
        <v>2138</v>
      </c>
      <c r="T822" s="8">
        <v>2124</v>
      </c>
      <c r="U822" s="8">
        <v>2150</v>
      </c>
      <c r="V822" s="8">
        <v>2183</v>
      </c>
      <c r="W822" s="8">
        <v>2114</v>
      </c>
      <c r="X822" s="8">
        <v>2164</v>
      </c>
      <c r="Y822" s="8">
        <v>2167</v>
      </c>
      <c r="Z822" s="8">
        <v>2182</v>
      </c>
      <c r="AA822" s="8">
        <v>2244</v>
      </c>
      <c r="AB822" s="8">
        <v>2176</v>
      </c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</row>
    <row r="823" spans="1:47" ht="14.4">
      <c r="A823" s="3">
        <f>LOOKUP(D823,'AMFI DATA_2023H2'!F:L,'AMFI DATA_2023H2'!L:L)</f>
        <v>851</v>
      </c>
      <c r="B823" s="4" t="s">
        <v>2468</v>
      </c>
      <c r="C823" s="4" t="s">
        <v>2469</v>
      </c>
      <c r="D823" s="5" t="s">
        <v>2470</v>
      </c>
      <c r="E823" s="5">
        <v>1936.64</v>
      </c>
      <c r="F823" s="6">
        <f>LOOKUP(D823,'AMFI DATA_2023H2'!F:J,'AMFI DATA_2023H2'!J:J)</f>
        <v>2511.0967000000001</v>
      </c>
      <c r="G823" s="7">
        <f t="shared" si="3"/>
        <v>-1</v>
      </c>
      <c r="H823" s="8"/>
      <c r="I823" s="8">
        <v>2834</v>
      </c>
      <c r="J823" s="8">
        <v>2845</v>
      </c>
      <c r="K823" s="8">
        <v>2821</v>
      </c>
      <c r="L823" s="8">
        <v>2855</v>
      </c>
      <c r="M823" s="8">
        <v>2868</v>
      </c>
      <c r="N823" s="8">
        <v>2905</v>
      </c>
      <c r="O823" s="8">
        <v>2872</v>
      </c>
      <c r="P823" s="8">
        <v>2854</v>
      </c>
      <c r="Q823" s="8">
        <v>2863</v>
      </c>
      <c r="R823" s="8">
        <v>2792</v>
      </c>
      <c r="S823" s="8">
        <v>2846</v>
      </c>
      <c r="T823" s="8">
        <v>2888</v>
      </c>
      <c r="U823" s="8">
        <v>2835</v>
      </c>
      <c r="V823" s="8">
        <v>2793</v>
      </c>
      <c r="W823" s="8">
        <v>2784</v>
      </c>
      <c r="X823" s="8">
        <v>2833</v>
      </c>
      <c r="Y823" s="8">
        <v>2860</v>
      </c>
      <c r="Z823" s="8">
        <v>2864</v>
      </c>
      <c r="AA823" s="8">
        <v>2803</v>
      </c>
      <c r="AB823" s="8">
        <v>2791</v>
      </c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</row>
    <row r="824" spans="1:47" ht="14.4">
      <c r="A824" s="3">
        <f>LOOKUP(D824,'AMFI DATA_2023H2'!F:L,'AMFI DATA_2023H2'!L:L)</f>
        <v>852</v>
      </c>
      <c r="B824" s="4" t="s">
        <v>2471</v>
      </c>
      <c r="C824" s="4" t="s">
        <v>2472</v>
      </c>
      <c r="D824" s="5" t="s">
        <v>2473</v>
      </c>
      <c r="E824" s="5">
        <v>2122.23</v>
      </c>
      <c r="F824" s="6">
        <f>LOOKUP(D824,'AMFI DATA_2023H2'!F:J,'AMFI DATA_2023H2'!J:J)</f>
        <v>2508.9935500000001</v>
      </c>
      <c r="G824" s="7">
        <f t="shared" si="3"/>
        <v>-1</v>
      </c>
      <c r="H824" s="8"/>
      <c r="I824" s="8">
        <v>2796</v>
      </c>
      <c r="J824" s="8">
        <v>2807</v>
      </c>
      <c r="K824" s="8">
        <v>2743</v>
      </c>
      <c r="L824" s="8">
        <v>2759</v>
      </c>
      <c r="M824" s="8">
        <v>2827</v>
      </c>
      <c r="N824" s="8">
        <v>2634</v>
      </c>
      <c r="O824" s="8">
        <v>2622</v>
      </c>
      <c r="P824" s="8">
        <v>2654</v>
      </c>
      <c r="Q824" s="8">
        <v>2676</v>
      </c>
      <c r="R824" s="8">
        <v>2597</v>
      </c>
      <c r="S824" s="8">
        <v>2655</v>
      </c>
      <c r="T824" s="8">
        <v>2694</v>
      </c>
      <c r="U824" s="8">
        <v>2735</v>
      </c>
      <c r="V824" s="8">
        <v>2758</v>
      </c>
      <c r="W824" s="8">
        <v>2757</v>
      </c>
      <c r="X824" s="8">
        <v>2739</v>
      </c>
      <c r="Y824" s="8">
        <v>2748</v>
      </c>
      <c r="Z824" s="8">
        <v>2795</v>
      </c>
      <c r="AA824" s="8">
        <v>2744</v>
      </c>
      <c r="AB824" s="8">
        <v>2769</v>
      </c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</row>
    <row r="825" spans="1:47" ht="14.4">
      <c r="A825" s="3">
        <f>LOOKUP(D825,'AMFI DATA_2023H2'!F:L,'AMFI DATA_2023H2'!L:L)</f>
        <v>853</v>
      </c>
      <c r="B825" s="4" t="s">
        <v>2474</v>
      </c>
      <c r="C825" s="4" t="s">
        <v>2475</v>
      </c>
      <c r="D825" s="5" t="s">
        <v>2476</v>
      </c>
      <c r="E825" s="5">
        <v>2058.81</v>
      </c>
      <c r="F825" s="6">
        <f>LOOKUP(D825,'AMFI DATA_2023H2'!F:J,'AMFI DATA_2023H2'!J:J)</f>
        <v>2502.5965500000002</v>
      </c>
      <c r="G825" s="7">
        <f t="shared" si="3"/>
        <v>-1</v>
      </c>
      <c r="H825" s="8"/>
      <c r="I825" s="8">
        <v>2959</v>
      </c>
      <c r="J825" s="8">
        <v>2834</v>
      </c>
      <c r="K825" s="8">
        <v>2780</v>
      </c>
      <c r="L825" s="8">
        <v>2847</v>
      </c>
      <c r="M825" s="8">
        <v>2879</v>
      </c>
      <c r="N825" s="8">
        <v>2891</v>
      </c>
      <c r="O825" s="8">
        <v>2856</v>
      </c>
      <c r="P825" s="8">
        <v>2842</v>
      </c>
      <c r="Q825" s="8">
        <v>2844</v>
      </c>
      <c r="R825" s="8">
        <v>2876</v>
      </c>
      <c r="S825" s="8">
        <v>2900</v>
      </c>
      <c r="T825" s="8">
        <v>2839</v>
      </c>
      <c r="U825" s="8">
        <v>2878</v>
      </c>
      <c r="V825" s="8">
        <v>2872</v>
      </c>
      <c r="W825" s="8">
        <v>2899</v>
      </c>
      <c r="X825" s="8">
        <v>2925</v>
      </c>
      <c r="Y825" s="8">
        <v>2944</v>
      </c>
      <c r="Z825" s="8">
        <v>2970</v>
      </c>
      <c r="AA825" s="8">
        <v>3025</v>
      </c>
      <c r="AB825" s="8">
        <v>3073</v>
      </c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</row>
    <row r="826" spans="1:47" ht="14.4">
      <c r="A826" s="3">
        <f>LOOKUP(D826,'AMFI DATA_2023H2'!F:L,'AMFI DATA_2023H2'!L:L)</f>
        <v>854</v>
      </c>
      <c r="B826" s="4" t="s">
        <v>2477</v>
      </c>
      <c r="C826" s="4" t="s">
        <v>2478</v>
      </c>
      <c r="D826" s="5" t="s">
        <v>2479</v>
      </c>
      <c r="E826" s="5">
        <v>1372.91</v>
      </c>
      <c r="F826" s="6">
        <f>LOOKUP(D826,'AMFI DATA_2023H2'!F:J,'AMFI DATA_2023H2'!J:J)</f>
        <v>2496.7896000000001</v>
      </c>
      <c r="G826" s="7">
        <f t="shared" si="3"/>
        <v>-1</v>
      </c>
      <c r="H826" s="8"/>
      <c r="I826" s="8">
        <v>3143</v>
      </c>
      <c r="J826" s="8">
        <v>3109</v>
      </c>
      <c r="K826" s="8">
        <v>3143</v>
      </c>
      <c r="L826" s="8">
        <v>3155</v>
      </c>
      <c r="M826" s="8">
        <v>3231</v>
      </c>
      <c r="N826" s="8">
        <v>3211</v>
      </c>
      <c r="O826" s="8">
        <v>3257</v>
      </c>
      <c r="P826" s="8">
        <v>3319</v>
      </c>
      <c r="Q826" s="8">
        <v>3171</v>
      </c>
      <c r="R826" s="8">
        <v>3060</v>
      </c>
      <c r="S826" s="8">
        <v>3128</v>
      </c>
      <c r="T826" s="8">
        <v>3137</v>
      </c>
      <c r="U826" s="8">
        <v>3166</v>
      </c>
      <c r="V826" s="8">
        <v>3215</v>
      </c>
      <c r="W826" s="8">
        <v>3251</v>
      </c>
      <c r="X826" s="8">
        <v>3193</v>
      </c>
      <c r="Y826" s="8">
        <v>3041</v>
      </c>
      <c r="Z826" s="8">
        <v>2909</v>
      </c>
      <c r="AA826" s="8">
        <v>2907</v>
      </c>
      <c r="AB826" s="8">
        <v>2912</v>
      </c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</row>
    <row r="827" spans="1:47" ht="14.4">
      <c r="A827" s="3">
        <f>LOOKUP(D827,'AMFI DATA_2023H2'!F:L,'AMFI DATA_2023H2'!L:L)</f>
        <v>856</v>
      </c>
      <c r="B827" s="4" t="s">
        <v>2480</v>
      </c>
      <c r="C827" s="4" t="s">
        <v>2481</v>
      </c>
      <c r="D827" s="5" t="s">
        <v>2482</v>
      </c>
      <c r="E827" s="5">
        <v>1999.65</v>
      </c>
      <c r="F827" s="6">
        <f>LOOKUP(D827,'AMFI DATA_2023H2'!F:J,'AMFI DATA_2023H2'!J:J)</f>
        <v>2488.5259500000002</v>
      </c>
      <c r="G827" s="7">
        <f t="shared" si="3"/>
        <v>-1</v>
      </c>
      <c r="H827" s="8"/>
      <c r="I827" s="8">
        <v>2674</v>
      </c>
      <c r="J827" s="8">
        <v>2545</v>
      </c>
      <c r="K827" s="8">
        <v>2598</v>
      </c>
      <c r="L827" s="8">
        <v>2636</v>
      </c>
      <c r="M827" s="8">
        <v>2636</v>
      </c>
      <c r="N827" s="8">
        <v>2670</v>
      </c>
      <c r="O827" s="8">
        <v>2692</v>
      </c>
      <c r="P827" s="8">
        <v>2698</v>
      </c>
      <c r="Q827" s="8">
        <v>2683</v>
      </c>
      <c r="R827" s="8">
        <v>2663</v>
      </c>
      <c r="S827" s="8">
        <v>2740</v>
      </c>
      <c r="T827" s="8">
        <v>2695</v>
      </c>
      <c r="U827" s="8">
        <v>2694</v>
      </c>
      <c r="V827" s="8">
        <v>2705</v>
      </c>
      <c r="W827" s="8">
        <v>2706</v>
      </c>
      <c r="X827" s="8">
        <v>2669</v>
      </c>
      <c r="Y827" s="8">
        <v>2701</v>
      </c>
      <c r="Z827" s="8">
        <v>2708</v>
      </c>
      <c r="AA827" s="8">
        <v>2723</v>
      </c>
      <c r="AB827" s="8">
        <v>2774</v>
      </c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</row>
    <row r="828" spans="1:47" ht="14.4">
      <c r="A828" s="3">
        <f>LOOKUP(D828,'AMFI DATA_2023H2'!F:L,'AMFI DATA_2023H2'!L:L)</f>
        <v>857</v>
      </c>
      <c r="B828" s="4" t="s">
        <v>2483</v>
      </c>
      <c r="C828" s="4" t="s">
        <v>2484</v>
      </c>
      <c r="D828" s="5" t="s">
        <v>2485</v>
      </c>
      <c r="E828" s="5">
        <v>2221.6999999999998</v>
      </c>
      <c r="F828" s="6">
        <f>LOOKUP(D828,'AMFI DATA_2023H2'!F:J,'AMFI DATA_2023H2'!J:J)</f>
        <v>2485.9646000000002</v>
      </c>
      <c r="G828" s="7">
        <f t="shared" si="3"/>
        <v>-1</v>
      </c>
      <c r="H828" s="8"/>
      <c r="I828" s="8">
        <v>3063</v>
      </c>
      <c r="J828" s="8">
        <v>3066</v>
      </c>
      <c r="K828" s="8">
        <v>3135</v>
      </c>
      <c r="L828" s="8">
        <v>3186</v>
      </c>
      <c r="M828" s="8">
        <v>3294</v>
      </c>
      <c r="N828" s="8">
        <v>3274</v>
      </c>
      <c r="O828" s="8">
        <v>3116</v>
      </c>
      <c r="P828" s="8">
        <v>3027</v>
      </c>
      <c r="Q828" s="8">
        <v>3025</v>
      </c>
      <c r="R828" s="8">
        <v>2999</v>
      </c>
      <c r="S828" s="8">
        <v>2799</v>
      </c>
      <c r="T828" s="8">
        <v>2793</v>
      </c>
      <c r="U828" s="8">
        <v>2792</v>
      </c>
      <c r="V828" s="8">
        <v>2742</v>
      </c>
      <c r="W828" s="8">
        <v>2648</v>
      </c>
      <c r="X828" s="8">
        <v>2749</v>
      </c>
      <c r="Y828" s="8">
        <v>2763</v>
      </c>
      <c r="Z828" s="8">
        <v>2764</v>
      </c>
      <c r="AA828" s="8">
        <v>2762</v>
      </c>
      <c r="AB828" s="8">
        <v>2699</v>
      </c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</row>
    <row r="829" spans="1:47" ht="14.4">
      <c r="A829" s="3">
        <f>LOOKUP(D829,'AMFI DATA_2023H2'!F:L,'AMFI DATA_2023H2'!L:L)</f>
        <v>858</v>
      </c>
      <c r="B829" s="4" t="s">
        <v>2486</v>
      </c>
      <c r="C829" s="4" t="s">
        <v>2487</v>
      </c>
      <c r="D829" s="5" t="s">
        <v>2488</v>
      </c>
      <c r="E829" s="5">
        <v>1908.94</v>
      </c>
      <c r="F829" s="6">
        <f>LOOKUP(D829,'AMFI DATA_2023H2'!F:J,'AMFI DATA_2023H2'!J:J)</f>
        <v>2474.7363999999998</v>
      </c>
      <c r="G829" s="7">
        <f t="shared" si="3"/>
        <v>-1</v>
      </c>
      <c r="H829" s="8"/>
      <c r="I829" s="8">
        <v>3404</v>
      </c>
      <c r="J829" s="8">
        <v>3372</v>
      </c>
      <c r="K829" s="8">
        <v>3211</v>
      </c>
      <c r="L829" s="8">
        <v>3324</v>
      </c>
      <c r="M829" s="8">
        <v>3364</v>
      </c>
      <c r="N829" s="8">
        <v>3452</v>
      </c>
      <c r="O829" s="8">
        <v>3477</v>
      </c>
      <c r="P829" s="8">
        <v>3430</v>
      </c>
      <c r="Q829" s="8">
        <v>3523</v>
      </c>
      <c r="R829" s="8">
        <v>3321</v>
      </c>
      <c r="S829" s="8">
        <v>3153</v>
      </c>
      <c r="T829" s="8">
        <v>3253</v>
      </c>
      <c r="U829" s="8">
        <v>3291</v>
      </c>
      <c r="V829" s="8">
        <v>3041</v>
      </c>
      <c r="W829" s="8">
        <v>2869</v>
      </c>
      <c r="X829" s="8">
        <v>2840</v>
      </c>
      <c r="Y829" s="8">
        <v>2898</v>
      </c>
      <c r="Z829" s="8">
        <v>2927</v>
      </c>
      <c r="AA829" s="8">
        <v>2968</v>
      </c>
      <c r="AB829" s="8">
        <v>2948</v>
      </c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</row>
    <row r="830" spans="1:47" ht="14.4">
      <c r="A830" s="3">
        <f>LOOKUP(D830,'AMFI DATA_2023H2'!F:L,'AMFI DATA_2023H2'!L:L)</f>
        <v>859</v>
      </c>
      <c r="B830" s="4" t="s">
        <v>2489</v>
      </c>
      <c r="C830" s="4" t="s">
        <v>2490</v>
      </c>
      <c r="D830" s="5" t="s">
        <v>2491</v>
      </c>
      <c r="E830" s="5">
        <v>2080.3200000000002</v>
      </c>
      <c r="F830" s="6">
        <f>LOOKUP(D830,'AMFI DATA_2023H2'!F:J,'AMFI DATA_2023H2'!J:J)</f>
        <v>2465.7622000000001</v>
      </c>
      <c r="G830" s="7">
        <f t="shared" si="3"/>
        <v>-1</v>
      </c>
      <c r="H830" s="8"/>
      <c r="I830" s="8">
        <v>2395</v>
      </c>
      <c r="J830" s="8">
        <v>2380</v>
      </c>
      <c r="K830" s="8">
        <v>2392</v>
      </c>
      <c r="L830" s="8">
        <v>2446</v>
      </c>
      <c r="M830" s="8">
        <v>2525</v>
      </c>
      <c r="N830" s="8">
        <v>2491</v>
      </c>
      <c r="O830" s="8">
        <v>2468</v>
      </c>
      <c r="P830" s="8">
        <v>2437</v>
      </c>
      <c r="Q830" s="8">
        <v>2447</v>
      </c>
      <c r="R830" s="8">
        <v>2524</v>
      </c>
      <c r="S830" s="8">
        <v>2452</v>
      </c>
      <c r="T830" s="8">
        <v>2389</v>
      </c>
      <c r="U830" s="8">
        <v>2345</v>
      </c>
      <c r="V830" s="8">
        <v>2341</v>
      </c>
      <c r="W830" s="8">
        <v>2374</v>
      </c>
      <c r="X830" s="8">
        <v>2338</v>
      </c>
      <c r="Y830" s="8">
        <v>2384</v>
      </c>
      <c r="Z830" s="8">
        <v>2407</v>
      </c>
      <c r="AA830" s="8">
        <v>2413</v>
      </c>
      <c r="AB830" s="8">
        <v>2410</v>
      </c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</row>
    <row r="831" spans="1:47" ht="14.4">
      <c r="A831" s="3">
        <f>LOOKUP(D831,'AMFI DATA_2023H2'!F:L,'AMFI DATA_2023H2'!L:L)</f>
        <v>860</v>
      </c>
      <c r="B831" s="4" t="s">
        <v>2492</v>
      </c>
      <c r="C831" s="4" t="s">
        <v>2493</v>
      </c>
      <c r="D831" s="5" t="s">
        <v>2494</v>
      </c>
      <c r="E831" s="5">
        <v>1428.39</v>
      </c>
      <c r="F831" s="6">
        <f>LOOKUP(D831,'AMFI DATA_2023H2'!F:J,'AMFI DATA_2023H2'!J:J)</f>
        <v>2462.6653500000002</v>
      </c>
      <c r="G831" s="7">
        <f t="shared" si="3"/>
        <v>-1</v>
      </c>
      <c r="H831" s="8"/>
      <c r="I831" s="8">
        <v>2854</v>
      </c>
      <c r="J831" s="8">
        <v>2837</v>
      </c>
      <c r="K831" s="8">
        <v>2781</v>
      </c>
      <c r="L831" s="8">
        <v>2853</v>
      </c>
      <c r="M831" s="8">
        <v>2900</v>
      </c>
      <c r="N831" s="8">
        <v>2872</v>
      </c>
      <c r="O831" s="8">
        <v>2943</v>
      </c>
      <c r="P831" s="8">
        <v>2886</v>
      </c>
      <c r="Q831" s="8">
        <v>2827</v>
      </c>
      <c r="R831" s="8">
        <v>2861</v>
      </c>
      <c r="S831" s="8">
        <v>2948</v>
      </c>
      <c r="T831" s="8">
        <v>2923</v>
      </c>
      <c r="U831" s="8">
        <v>2937</v>
      </c>
      <c r="V831" s="8">
        <v>2945</v>
      </c>
      <c r="W831" s="8">
        <v>2976</v>
      </c>
      <c r="X831" s="8">
        <v>2973</v>
      </c>
      <c r="Y831" s="8">
        <v>3014</v>
      </c>
      <c r="Z831" s="8">
        <v>2909</v>
      </c>
      <c r="AA831" s="8">
        <v>2966</v>
      </c>
      <c r="AB831" s="8">
        <v>2942</v>
      </c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</row>
    <row r="832" spans="1:47" ht="14.4">
      <c r="A832" s="3">
        <f>LOOKUP(D832,'AMFI DATA_2023H2'!F:L,'AMFI DATA_2023H2'!L:L)</f>
        <v>861</v>
      </c>
      <c r="B832" s="4" t="s">
        <v>2495</v>
      </c>
      <c r="C832" s="4" t="s">
        <v>2496</v>
      </c>
      <c r="D832" s="5" t="s">
        <v>2497</v>
      </c>
      <c r="E832" s="5">
        <v>2816.39</v>
      </c>
      <c r="F832" s="6">
        <f>LOOKUP(D832,'AMFI DATA_2023H2'!F:J,'AMFI DATA_2023H2'!J:J)</f>
        <v>2457.9776999999999</v>
      </c>
      <c r="G832" s="7">
        <f t="shared" si="3"/>
        <v>-1</v>
      </c>
      <c r="H832" s="8"/>
      <c r="I832" s="8">
        <v>2406</v>
      </c>
      <c r="J832" s="8">
        <v>2381</v>
      </c>
      <c r="K832" s="8">
        <v>2377</v>
      </c>
      <c r="L832" s="8">
        <v>2466</v>
      </c>
      <c r="M832" s="8">
        <v>2480</v>
      </c>
      <c r="N832" s="8">
        <v>2468</v>
      </c>
      <c r="O832" s="8">
        <v>2491</v>
      </c>
      <c r="P832" s="8">
        <v>2419</v>
      </c>
      <c r="Q832" s="8">
        <v>2422</v>
      </c>
      <c r="R832" s="8">
        <v>2446</v>
      </c>
      <c r="S832" s="8">
        <v>2575</v>
      </c>
      <c r="T832" s="8">
        <v>2630</v>
      </c>
      <c r="U832" s="8">
        <v>2576</v>
      </c>
      <c r="V832" s="8">
        <v>2561</v>
      </c>
      <c r="W832" s="8">
        <v>2382</v>
      </c>
      <c r="X832" s="8">
        <v>2375</v>
      </c>
      <c r="Y832" s="8">
        <v>2301</v>
      </c>
      <c r="Z832" s="8">
        <v>2323</v>
      </c>
      <c r="AA832" s="8">
        <v>2349</v>
      </c>
      <c r="AB832" s="8">
        <v>2325</v>
      </c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</row>
    <row r="833" spans="1:47" ht="14.4">
      <c r="A833" s="3">
        <f>LOOKUP(D833,'AMFI DATA_2023H2'!F:L,'AMFI DATA_2023H2'!L:L)</f>
        <v>862</v>
      </c>
      <c r="B833" s="4" t="s">
        <v>2498</v>
      </c>
      <c r="C833" s="4" t="s">
        <v>2499</v>
      </c>
      <c r="D833" s="5" t="s">
        <v>2500</v>
      </c>
      <c r="E833" s="5">
        <v>1842.58</v>
      </c>
      <c r="F833" s="6">
        <f>LOOKUP(D833,'AMFI DATA_2023H2'!F:J,'AMFI DATA_2023H2'!J:J)</f>
        <v>2455.3867500000001</v>
      </c>
      <c r="G833" s="7">
        <f t="shared" si="3"/>
        <v>-1</v>
      </c>
      <c r="H833" s="8"/>
      <c r="I833" s="8">
        <v>2955</v>
      </c>
      <c r="J833" s="8">
        <v>3035</v>
      </c>
      <c r="K833" s="8">
        <v>3024</v>
      </c>
      <c r="L833" s="8">
        <v>3009</v>
      </c>
      <c r="M833" s="8">
        <v>2994</v>
      </c>
      <c r="N833" s="8">
        <v>3129</v>
      </c>
      <c r="O833" s="8">
        <v>3087</v>
      </c>
      <c r="P833" s="8">
        <v>3156</v>
      </c>
      <c r="Q833" s="8">
        <v>3010</v>
      </c>
      <c r="R833" s="8">
        <v>2910</v>
      </c>
      <c r="S833" s="8">
        <v>2918</v>
      </c>
      <c r="T833" s="8">
        <v>2946</v>
      </c>
      <c r="U833" s="8">
        <v>3014</v>
      </c>
      <c r="V833" s="8">
        <v>2988</v>
      </c>
      <c r="W833" s="8">
        <v>2805</v>
      </c>
      <c r="X833" s="8">
        <v>2678</v>
      </c>
      <c r="Y833" s="8">
        <v>2763</v>
      </c>
      <c r="Z833" s="8">
        <v>2480</v>
      </c>
      <c r="AA833" s="8">
        <v>2487</v>
      </c>
      <c r="AB833" s="8">
        <v>2454</v>
      </c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</row>
    <row r="834" spans="1:47" ht="14.4">
      <c r="A834" s="3">
        <f>LOOKUP(D834,'AMFI DATA_2023H2'!F:L,'AMFI DATA_2023H2'!L:L)</f>
        <v>863</v>
      </c>
      <c r="B834" s="4" t="s">
        <v>2501</v>
      </c>
      <c r="C834" s="4" t="s">
        <v>2502</v>
      </c>
      <c r="D834" s="5" t="s">
        <v>2503</v>
      </c>
      <c r="E834" s="5">
        <v>1240.24</v>
      </c>
      <c r="F834" s="6">
        <f>LOOKUP(D834,'AMFI DATA_2023H2'!F:J,'AMFI DATA_2023H2'!J:J)</f>
        <v>2443.7696999999998</v>
      </c>
      <c r="G834" s="7">
        <f t="shared" si="3"/>
        <v>-1</v>
      </c>
      <c r="H834" s="8"/>
      <c r="I834" s="8">
        <v>2359</v>
      </c>
      <c r="J834" s="8">
        <v>2331</v>
      </c>
      <c r="K834" s="8">
        <v>2303</v>
      </c>
      <c r="L834" s="8">
        <v>2248</v>
      </c>
      <c r="M834" s="8">
        <v>2204</v>
      </c>
      <c r="N834" s="8">
        <v>2142</v>
      </c>
      <c r="O834" s="8">
        <v>2146</v>
      </c>
      <c r="P834" s="8">
        <v>2157</v>
      </c>
      <c r="Q834" s="8">
        <v>2176</v>
      </c>
      <c r="R834" s="8">
        <v>2186</v>
      </c>
      <c r="S834" s="8">
        <v>2185</v>
      </c>
      <c r="T834" s="8">
        <v>2180</v>
      </c>
      <c r="U834" s="8">
        <v>2186</v>
      </c>
      <c r="V834" s="8">
        <v>2192</v>
      </c>
      <c r="W834" s="8">
        <v>2225</v>
      </c>
      <c r="X834" s="8">
        <v>2205</v>
      </c>
      <c r="Y834" s="8">
        <v>2205</v>
      </c>
      <c r="Z834" s="8">
        <v>2210</v>
      </c>
      <c r="AA834" s="8">
        <v>2239</v>
      </c>
      <c r="AB834" s="8">
        <v>2261</v>
      </c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</row>
    <row r="835" spans="1:47" ht="14.4">
      <c r="A835" s="3">
        <f>LOOKUP(D835,'AMFI DATA_2023H2'!F:L,'AMFI DATA_2023H2'!L:L)</f>
        <v>864</v>
      </c>
      <c r="B835" s="4" t="s">
        <v>2504</v>
      </c>
      <c r="C835" s="4" t="s">
        <v>2505</v>
      </c>
      <c r="D835" s="5" t="s">
        <v>2506</v>
      </c>
      <c r="E835" s="5">
        <v>27277.58</v>
      </c>
      <c r="F835" s="6">
        <f>LOOKUP(D835,'AMFI DATA_2023H2'!F:J,'AMFI DATA_2023H2'!J:J)</f>
        <v>2415.6677</v>
      </c>
      <c r="G835" s="7">
        <f t="shared" si="3"/>
        <v>-1</v>
      </c>
      <c r="H835" s="8"/>
      <c r="I835" s="8">
        <v>2676</v>
      </c>
      <c r="J835" s="8">
        <v>2644</v>
      </c>
      <c r="K835" s="8">
        <v>2667</v>
      </c>
      <c r="L835" s="8">
        <v>2709</v>
      </c>
      <c r="M835" s="8">
        <v>2665</v>
      </c>
      <c r="N835" s="8">
        <v>2693</v>
      </c>
      <c r="O835" s="8">
        <v>2704</v>
      </c>
      <c r="P835" s="8">
        <v>2669</v>
      </c>
      <c r="Q835" s="8">
        <v>2693</v>
      </c>
      <c r="R835" s="8">
        <v>2685</v>
      </c>
      <c r="S835" s="8">
        <v>2736</v>
      </c>
      <c r="T835" s="8">
        <v>2727</v>
      </c>
      <c r="U835" s="8">
        <v>2750</v>
      </c>
      <c r="V835" s="8">
        <v>2677</v>
      </c>
      <c r="W835" s="8">
        <v>2712</v>
      </c>
      <c r="X835" s="8">
        <v>2699</v>
      </c>
      <c r="Y835" s="8">
        <v>2768</v>
      </c>
      <c r="Z835" s="8">
        <v>2801</v>
      </c>
      <c r="AA835" s="8">
        <v>2707</v>
      </c>
      <c r="AB835" s="8">
        <v>2548</v>
      </c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</row>
    <row r="836" spans="1:47" ht="14.4">
      <c r="A836" s="3">
        <f>LOOKUP(D836,'AMFI DATA_2023H2'!F:L,'AMFI DATA_2023H2'!L:L)</f>
        <v>865</v>
      </c>
      <c r="B836" s="4" t="s">
        <v>2507</v>
      </c>
      <c r="C836" s="4" t="s">
        <v>2508</v>
      </c>
      <c r="D836" s="5" t="s">
        <v>2509</v>
      </c>
      <c r="E836" s="5">
        <v>1883.92</v>
      </c>
      <c r="F836" s="6">
        <f>LOOKUP(D836,'AMFI DATA_2023H2'!F:J,'AMFI DATA_2023H2'!J:J)</f>
        <v>2411.2927</v>
      </c>
      <c r="G836" s="7">
        <f t="shared" si="3"/>
        <v>-1</v>
      </c>
      <c r="H836" s="8"/>
      <c r="I836" s="8">
        <v>2501</v>
      </c>
      <c r="J836" s="8">
        <v>2492</v>
      </c>
      <c r="K836" s="8">
        <v>2547</v>
      </c>
      <c r="L836" s="8">
        <v>2556</v>
      </c>
      <c r="M836" s="8">
        <v>2613</v>
      </c>
      <c r="N836" s="8">
        <v>2632</v>
      </c>
      <c r="O836" s="8">
        <v>2671</v>
      </c>
      <c r="P836" s="8">
        <v>2546</v>
      </c>
      <c r="Q836" s="8">
        <v>2568</v>
      </c>
      <c r="R836" s="8">
        <v>2573</v>
      </c>
      <c r="S836" s="8">
        <v>2547</v>
      </c>
      <c r="T836" s="8">
        <v>2567</v>
      </c>
      <c r="U836" s="8">
        <v>2535</v>
      </c>
      <c r="V836" s="8">
        <v>2544</v>
      </c>
      <c r="W836" s="8">
        <v>2568</v>
      </c>
      <c r="X836" s="8">
        <v>2590</v>
      </c>
      <c r="Y836" s="8">
        <v>2602</v>
      </c>
      <c r="Z836" s="8">
        <v>2615</v>
      </c>
      <c r="AA836" s="8">
        <v>2626</v>
      </c>
      <c r="AB836" s="8">
        <v>2613</v>
      </c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</row>
    <row r="837" spans="1:47" ht="14.4">
      <c r="A837" s="3">
        <f>LOOKUP(D837,'AMFI DATA_2023H2'!F:L,'AMFI DATA_2023H2'!L:L)</f>
        <v>866</v>
      </c>
      <c r="B837" s="4" t="s">
        <v>2510</v>
      </c>
      <c r="C837" s="4" t="s">
        <v>2511</v>
      </c>
      <c r="D837" s="5" t="s">
        <v>2512</v>
      </c>
      <c r="E837" s="5">
        <v>2022.18</v>
      </c>
      <c r="F837" s="6">
        <f>LOOKUP(D837,'AMFI DATA_2023H2'!F:J,'AMFI DATA_2023H2'!J:J)</f>
        <v>2398.1791499999999</v>
      </c>
      <c r="G837" s="7">
        <f t="shared" si="3"/>
        <v>-1</v>
      </c>
      <c r="H837" s="8"/>
      <c r="I837" s="8">
        <v>2352</v>
      </c>
      <c r="J837" s="8">
        <v>2291</v>
      </c>
      <c r="K837" s="8">
        <v>2288</v>
      </c>
      <c r="L837" s="8">
        <v>2312</v>
      </c>
      <c r="M837" s="8">
        <v>2350</v>
      </c>
      <c r="N837" s="8">
        <v>2388</v>
      </c>
      <c r="O837" s="8">
        <v>2256</v>
      </c>
      <c r="P837" s="8">
        <v>2243</v>
      </c>
      <c r="Q837" s="8">
        <v>2279</v>
      </c>
      <c r="R837" s="8">
        <v>2330</v>
      </c>
      <c r="S837" s="8">
        <v>2377</v>
      </c>
      <c r="T837" s="8">
        <v>2376</v>
      </c>
      <c r="U837" s="8">
        <v>2327</v>
      </c>
      <c r="V837" s="8">
        <v>2362</v>
      </c>
      <c r="W837" s="8">
        <v>2406</v>
      </c>
      <c r="X837" s="8">
        <v>2412</v>
      </c>
      <c r="Y837" s="8">
        <v>2423</v>
      </c>
      <c r="Z837" s="8">
        <v>2392</v>
      </c>
      <c r="AA837" s="8">
        <v>2423</v>
      </c>
      <c r="AB837" s="8">
        <v>2397</v>
      </c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</row>
    <row r="838" spans="1:47" ht="14.4">
      <c r="A838" s="3">
        <f>LOOKUP(D838,'AMFI DATA_2023H2'!F:L,'AMFI DATA_2023H2'!L:L)</f>
        <v>867</v>
      </c>
      <c r="B838" s="4" t="s">
        <v>2513</v>
      </c>
      <c r="C838" s="4" t="s">
        <v>2514</v>
      </c>
      <c r="D838" s="5" t="s">
        <v>2515</v>
      </c>
      <c r="E838" s="5">
        <v>2089.3200000000002</v>
      </c>
      <c r="F838" s="6">
        <f>LOOKUP(D838,'AMFI DATA_2023H2'!F:J,'AMFI DATA_2023H2'!J:J)</f>
        <v>2393.1495500000001</v>
      </c>
      <c r="G838" s="7">
        <f t="shared" si="3"/>
        <v>-1</v>
      </c>
      <c r="H838" s="8"/>
      <c r="I838" s="8">
        <v>2606</v>
      </c>
      <c r="J838" s="8">
        <v>2522</v>
      </c>
      <c r="K838" s="8">
        <v>2550</v>
      </c>
      <c r="L838" s="8">
        <v>2607</v>
      </c>
      <c r="M838" s="8">
        <v>2586</v>
      </c>
      <c r="N838" s="8">
        <v>2544</v>
      </c>
      <c r="O838" s="8">
        <v>2534</v>
      </c>
      <c r="P838" s="8">
        <v>2526</v>
      </c>
      <c r="Q838" s="8">
        <v>2569</v>
      </c>
      <c r="R838" s="8">
        <v>2521</v>
      </c>
      <c r="S838" s="8">
        <v>2589</v>
      </c>
      <c r="T838" s="8">
        <v>2705</v>
      </c>
      <c r="U838" s="8">
        <v>2660</v>
      </c>
      <c r="V838" s="8">
        <v>2760</v>
      </c>
      <c r="W838" s="8">
        <v>2754</v>
      </c>
      <c r="X838" s="8">
        <v>2621</v>
      </c>
      <c r="Y838" s="8">
        <v>2637</v>
      </c>
      <c r="Z838" s="8">
        <v>2557</v>
      </c>
      <c r="AA838" s="8">
        <v>2550</v>
      </c>
      <c r="AB838" s="8">
        <v>2496</v>
      </c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</row>
    <row r="839" spans="1:47" ht="14.4">
      <c r="A839" s="3">
        <f>LOOKUP(D839,'AMFI DATA_2023H2'!F:L,'AMFI DATA_2023H2'!L:L)</f>
        <v>868</v>
      </c>
      <c r="B839" s="4" t="s">
        <v>2516</v>
      </c>
      <c r="C839" s="4" t="s">
        <v>2517</v>
      </c>
      <c r="D839" s="5" t="s">
        <v>2518</v>
      </c>
      <c r="E839" s="5">
        <v>1731.47</v>
      </c>
      <c r="F839" s="6">
        <f>LOOKUP(D839,'AMFI DATA_2023H2'!F:J,'AMFI DATA_2023H2'!J:J)</f>
        <v>2391.5117</v>
      </c>
      <c r="G839" s="7">
        <f t="shared" si="3"/>
        <v>-1</v>
      </c>
      <c r="H839" s="8"/>
      <c r="I839" s="8">
        <v>2231</v>
      </c>
      <c r="J839" s="8">
        <v>2220</v>
      </c>
      <c r="K839" s="8">
        <v>2119</v>
      </c>
      <c r="L839" s="8">
        <v>2142</v>
      </c>
      <c r="M839" s="8">
        <v>2185</v>
      </c>
      <c r="N839" s="8">
        <v>2202</v>
      </c>
      <c r="O839" s="8">
        <v>2201</v>
      </c>
      <c r="P839" s="8">
        <v>2203</v>
      </c>
      <c r="Q839" s="8">
        <v>2205</v>
      </c>
      <c r="R839" s="8">
        <v>2215</v>
      </c>
      <c r="S839" s="8">
        <v>2285</v>
      </c>
      <c r="T839" s="8">
        <v>2283</v>
      </c>
      <c r="U839" s="8">
        <v>2249</v>
      </c>
      <c r="V839" s="8">
        <v>2193</v>
      </c>
      <c r="W839" s="8">
        <v>2192</v>
      </c>
      <c r="X839" s="8">
        <v>2199</v>
      </c>
      <c r="Y839" s="8">
        <v>2177</v>
      </c>
      <c r="Z839" s="8">
        <v>2182</v>
      </c>
      <c r="AA839" s="8">
        <v>2184</v>
      </c>
      <c r="AB839" s="8">
        <v>2181</v>
      </c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</row>
    <row r="840" spans="1:47" ht="14.4">
      <c r="A840" s="3">
        <f>LOOKUP(D840,'AMFI DATA_2023H2'!F:L,'AMFI DATA_2023H2'!L:L)</f>
        <v>869</v>
      </c>
      <c r="B840" s="4" t="s">
        <v>2519</v>
      </c>
      <c r="C840" s="4" t="s">
        <v>2520</v>
      </c>
      <c r="D840" s="5" t="s">
        <v>2521</v>
      </c>
      <c r="E840" s="5">
        <v>1055.96</v>
      </c>
      <c r="F840" s="6">
        <f>LOOKUP(D840,'AMFI DATA_2023H2'!F:J,'AMFI DATA_2023H2'!J:J)</f>
        <v>2380.3760499999999</v>
      </c>
      <c r="G840" s="7">
        <f t="shared" si="3"/>
        <v>-1</v>
      </c>
      <c r="H840" s="8"/>
      <c r="I840" s="8">
        <v>3211</v>
      </c>
      <c r="J840" s="8">
        <v>3188</v>
      </c>
      <c r="K840" s="8">
        <v>3160</v>
      </c>
      <c r="L840" s="8">
        <v>3192</v>
      </c>
      <c r="M840" s="8">
        <v>3223</v>
      </c>
      <c r="N840" s="8">
        <v>3271</v>
      </c>
      <c r="O840" s="8">
        <v>3277</v>
      </c>
      <c r="P840" s="8">
        <v>3291</v>
      </c>
      <c r="Q840" s="8">
        <v>3277</v>
      </c>
      <c r="R840" s="8">
        <v>3339</v>
      </c>
      <c r="S840" s="8">
        <v>3418</v>
      </c>
      <c r="T840" s="8">
        <v>3495</v>
      </c>
      <c r="U840" s="8">
        <v>3463</v>
      </c>
      <c r="V840" s="8">
        <v>3299</v>
      </c>
      <c r="W840" s="8">
        <v>3142</v>
      </c>
      <c r="X840" s="8">
        <v>3001</v>
      </c>
      <c r="Y840" s="8">
        <v>3014</v>
      </c>
      <c r="Z840" s="8">
        <v>3104</v>
      </c>
      <c r="AA840" s="8">
        <v>3149</v>
      </c>
      <c r="AB840" s="8">
        <v>3093</v>
      </c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</row>
    <row r="841" spans="1:47" ht="14.4">
      <c r="A841" s="3">
        <f>LOOKUP(D841,'AMFI DATA_2023H2'!F:L,'AMFI DATA_2023H2'!L:L)</f>
        <v>870</v>
      </c>
      <c r="B841" s="4" t="s">
        <v>2522</v>
      </c>
      <c r="C841" s="4" t="s">
        <v>2523</v>
      </c>
      <c r="D841" s="5" t="s">
        <v>2524</v>
      </c>
      <c r="E841" s="5">
        <v>1393.14</v>
      </c>
      <c r="F841" s="6">
        <f>LOOKUP(D841,'AMFI DATA_2023H2'!F:J,'AMFI DATA_2023H2'!J:J)</f>
        <v>2375.6851500000002</v>
      </c>
      <c r="G841" s="7">
        <f t="shared" si="3"/>
        <v>-1</v>
      </c>
      <c r="H841" s="8"/>
      <c r="I841" s="8">
        <v>2582</v>
      </c>
      <c r="J841" s="8">
        <v>2527</v>
      </c>
      <c r="K841" s="8">
        <v>2509</v>
      </c>
      <c r="L841" s="8">
        <v>2578</v>
      </c>
      <c r="M841" s="8">
        <v>2629</v>
      </c>
      <c r="N841" s="8">
        <v>2699</v>
      </c>
      <c r="O841" s="8">
        <v>2606</v>
      </c>
      <c r="P841" s="8">
        <v>2554</v>
      </c>
      <c r="Q841" s="8">
        <v>2582</v>
      </c>
      <c r="R841" s="8">
        <v>2579</v>
      </c>
      <c r="S841" s="8">
        <v>2601</v>
      </c>
      <c r="T841" s="8">
        <v>2625</v>
      </c>
      <c r="U841" s="8">
        <v>2582</v>
      </c>
      <c r="V841" s="8">
        <v>2558</v>
      </c>
      <c r="W841" s="8">
        <v>2558</v>
      </c>
      <c r="X841" s="8">
        <v>2452</v>
      </c>
      <c r="Y841" s="8">
        <v>2457</v>
      </c>
      <c r="Z841" s="8">
        <v>2476</v>
      </c>
      <c r="AA841" s="8">
        <v>2484</v>
      </c>
      <c r="AB841" s="8">
        <v>2482</v>
      </c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</row>
    <row r="842" spans="1:47" ht="14.4">
      <c r="A842" s="3">
        <f>LOOKUP(D842,'AMFI DATA_2023H2'!F:L,'AMFI DATA_2023H2'!L:L)</f>
        <v>871</v>
      </c>
      <c r="B842" s="4" t="s">
        <v>2525</v>
      </c>
      <c r="C842" s="4" t="s">
        <v>2526</v>
      </c>
      <c r="D842" s="5" t="s">
        <v>2527</v>
      </c>
      <c r="E842" s="5">
        <v>1882.15</v>
      </c>
      <c r="F842" s="6">
        <f>LOOKUP(D842,'AMFI DATA_2023H2'!F:J,'AMFI DATA_2023H2'!J:J)</f>
        <v>2372.1661999999997</v>
      </c>
      <c r="G842" s="7">
        <f t="shared" si="3"/>
        <v>-1</v>
      </c>
      <c r="H842" s="8"/>
      <c r="I842" s="8">
        <v>2589</v>
      </c>
      <c r="J842" s="8">
        <v>2734</v>
      </c>
      <c r="K842" s="8">
        <v>2672</v>
      </c>
      <c r="L842" s="8">
        <v>2742</v>
      </c>
      <c r="M842" s="8">
        <v>2711</v>
      </c>
      <c r="N842" s="8">
        <v>2745</v>
      </c>
      <c r="O842" s="8">
        <v>2784</v>
      </c>
      <c r="P842" s="8">
        <v>2787</v>
      </c>
      <c r="Q842" s="8">
        <v>2777</v>
      </c>
      <c r="R842" s="8">
        <v>2774</v>
      </c>
      <c r="S842" s="8">
        <v>2890</v>
      </c>
      <c r="T842" s="8">
        <v>2975</v>
      </c>
      <c r="U842" s="8">
        <v>2966</v>
      </c>
      <c r="V842" s="8">
        <v>2888</v>
      </c>
      <c r="W842" s="8">
        <v>2818</v>
      </c>
      <c r="X842" s="8">
        <v>2871</v>
      </c>
      <c r="Y842" s="8">
        <v>2813</v>
      </c>
      <c r="Z842" s="8">
        <v>2896</v>
      </c>
      <c r="AA842" s="8">
        <v>2860</v>
      </c>
      <c r="AB842" s="8">
        <v>2828</v>
      </c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</row>
    <row r="843" spans="1:47" ht="14.4">
      <c r="A843" s="3">
        <f>LOOKUP(D843,'AMFI DATA_2023H2'!F:L,'AMFI DATA_2023H2'!L:L)</f>
        <v>872</v>
      </c>
      <c r="B843" s="4" t="s">
        <v>2528</v>
      </c>
      <c r="C843" s="4" t="s">
        <v>2529</v>
      </c>
      <c r="D843" s="5" t="s">
        <v>2530</v>
      </c>
      <c r="E843" s="5">
        <v>1216.98</v>
      </c>
      <c r="F843" s="6">
        <f>LOOKUP(D843,'AMFI DATA_2023H2'!F:J,'AMFI DATA_2023H2'!J:J)</f>
        <v>2365.3014499999999</v>
      </c>
      <c r="G843" s="7">
        <f t="shared" si="3"/>
        <v>-1</v>
      </c>
      <c r="H843" s="8"/>
      <c r="I843" s="8">
        <v>2323</v>
      </c>
      <c r="J843" s="8">
        <v>2320</v>
      </c>
      <c r="K843" s="8">
        <v>2358</v>
      </c>
      <c r="L843" s="8">
        <v>2373</v>
      </c>
      <c r="M843" s="8">
        <v>2434</v>
      </c>
      <c r="N843" s="8">
        <v>2480</v>
      </c>
      <c r="O843" s="8">
        <v>2491</v>
      </c>
      <c r="P843" s="8">
        <v>2573</v>
      </c>
      <c r="Q843" s="8">
        <v>2613</v>
      </c>
      <c r="R843" s="8">
        <v>2598</v>
      </c>
      <c r="S843" s="8">
        <v>2531</v>
      </c>
      <c r="T843" s="8">
        <v>2557</v>
      </c>
      <c r="U843" s="8">
        <v>2583</v>
      </c>
      <c r="V843" s="8">
        <v>2498</v>
      </c>
      <c r="W843" s="8">
        <v>2478</v>
      </c>
      <c r="X843" s="8">
        <v>2375</v>
      </c>
      <c r="Y843" s="8">
        <v>2278</v>
      </c>
      <c r="Z843" s="8">
        <v>2328</v>
      </c>
      <c r="AA843" s="8">
        <v>2335</v>
      </c>
      <c r="AB843" s="8">
        <v>2295</v>
      </c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</row>
    <row r="844" spans="1:47" ht="14.4">
      <c r="A844" s="3">
        <f>LOOKUP(D844,'AMFI DATA_2023H2'!F:L,'AMFI DATA_2023H2'!L:L)</f>
        <v>873</v>
      </c>
      <c r="B844" s="4" t="s">
        <v>2531</v>
      </c>
      <c r="C844" s="4" t="s">
        <v>2532</v>
      </c>
      <c r="D844" s="5" t="s">
        <v>2533</v>
      </c>
      <c r="E844" s="5">
        <v>1611.94</v>
      </c>
      <c r="F844" s="6">
        <f>LOOKUP(D844,'AMFI DATA_2023H2'!F:J,'AMFI DATA_2023H2'!J:J)</f>
        <v>2359.1713500000001</v>
      </c>
      <c r="G844" s="7">
        <f t="shared" si="3"/>
        <v>-1</v>
      </c>
      <c r="H844" s="8"/>
      <c r="I844" s="8">
        <v>2438</v>
      </c>
      <c r="J844" s="8">
        <v>2438</v>
      </c>
      <c r="K844" s="8">
        <v>2368</v>
      </c>
      <c r="L844" s="8">
        <v>2423</v>
      </c>
      <c r="M844" s="8">
        <v>2465</v>
      </c>
      <c r="N844" s="8">
        <v>2472</v>
      </c>
      <c r="O844" s="8">
        <v>2443</v>
      </c>
      <c r="P844" s="8">
        <v>2456</v>
      </c>
      <c r="Q844" s="8">
        <v>2465</v>
      </c>
      <c r="R844" s="8">
        <v>2483</v>
      </c>
      <c r="S844" s="8">
        <v>2473</v>
      </c>
      <c r="T844" s="8">
        <v>2462</v>
      </c>
      <c r="U844" s="8">
        <v>2509</v>
      </c>
      <c r="V844" s="8">
        <v>2564</v>
      </c>
      <c r="W844" s="8">
        <v>2573</v>
      </c>
      <c r="X844" s="8">
        <v>2567</v>
      </c>
      <c r="Y844" s="8">
        <v>2536</v>
      </c>
      <c r="Z844" s="8">
        <v>2544</v>
      </c>
      <c r="AA844" s="8">
        <v>2542</v>
      </c>
      <c r="AB844" s="8">
        <v>2580</v>
      </c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</row>
    <row r="845" spans="1:47" ht="14.4">
      <c r="A845" s="3">
        <f>LOOKUP(D845,'AMFI DATA_2023H2'!F:L,'AMFI DATA_2023H2'!L:L)</f>
        <v>874</v>
      </c>
      <c r="B845" s="4" t="s">
        <v>2534</v>
      </c>
      <c r="C845" s="4" t="s">
        <v>2535</v>
      </c>
      <c r="D845" s="5" t="s">
        <v>2536</v>
      </c>
      <c r="E845" s="5">
        <v>2047.12</v>
      </c>
      <c r="F845" s="6">
        <f>LOOKUP(D845,'AMFI DATA_2023H2'!F:J,'AMFI DATA_2023H2'!J:J)</f>
        <v>2330.46135</v>
      </c>
      <c r="G845" s="7">
        <f t="shared" si="3"/>
        <v>-1</v>
      </c>
      <c r="H845" s="8"/>
      <c r="I845" s="8">
        <v>2464</v>
      </c>
      <c r="J845" s="8">
        <v>2457</v>
      </c>
      <c r="K845" s="8">
        <v>2483</v>
      </c>
      <c r="L845" s="8">
        <v>2475</v>
      </c>
      <c r="M845" s="8">
        <v>2511</v>
      </c>
      <c r="N845" s="8">
        <v>2465</v>
      </c>
      <c r="O845" s="8">
        <v>2456</v>
      </c>
      <c r="P845" s="8">
        <v>2427</v>
      </c>
      <c r="Q845" s="8">
        <v>2373</v>
      </c>
      <c r="R845" s="8">
        <v>2333</v>
      </c>
      <c r="S845" s="8">
        <v>2455</v>
      </c>
      <c r="T845" s="8">
        <v>2499</v>
      </c>
      <c r="U845" s="8">
        <v>2536</v>
      </c>
      <c r="V845" s="8">
        <v>2574</v>
      </c>
      <c r="W845" s="8">
        <v>2442</v>
      </c>
      <c r="X845" s="8">
        <v>2466</v>
      </c>
      <c r="Y845" s="8">
        <v>2438</v>
      </c>
      <c r="Z845" s="8">
        <v>2476</v>
      </c>
      <c r="AA845" s="8">
        <v>2401</v>
      </c>
      <c r="AB845" s="8">
        <v>2370</v>
      </c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</row>
    <row r="846" spans="1:47" ht="14.4">
      <c r="A846" s="3">
        <f>LOOKUP(D846,'AMFI DATA_2023H2'!F:L,'AMFI DATA_2023H2'!L:L)</f>
        <v>875</v>
      </c>
      <c r="B846" s="4" t="s">
        <v>2537</v>
      </c>
      <c r="C846" s="4" t="s">
        <v>2538</v>
      </c>
      <c r="D846" s="5" t="s">
        <v>2539</v>
      </c>
      <c r="E846" s="5">
        <v>1094.23</v>
      </c>
      <c r="F846" s="6">
        <f>LOOKUP(D846,'AMFI DATA_2023H2'!F:J,'AMFI DATA_2023H2'!J:J)</f>
        <v>2322.2202500000003</v>
      </c>
      <c r="G846" s="7">
        <f t="shared" si="3"/>
        <v>-1</v>
      </c>
      <c r="H846" s="8"/>
      <c r="I846" s="8">
        <v>2384</v>
      </c>
      <c r="J846" s="8">
        <v>2404</v>
      </c>
      <c r="K846" s="8">
        <v>2443</v>
      </c>
      <c r="L846" s="8">
        <v>2522</v>
      </c>
      <c r="M846" s="8">
        <v>2505</v>
      </c>
      <c r="N846" s="8">
        <v>2557</v>
      </c>
      <c r="O846" s="8">
        <v>2558</v>
      </c>
      <c r="P846" s="8">
        <v>2613</v>
      </c>
      <c r="Q846" s="8">
        <v>2664</v>
      </c>
      <c r="R846" s="8">
        <v>2662</v>
      </c>
      <c r="S846" s="8">
        <v>2725</v>
      </c>
      <c r="T846" s="8">
        <v>2721</v>
      </c>
      <c r="U846" s="8">
        <v>2723</v>
      </c>
      <c r="V846" s="8">
        <v>2732</v>
      </c>
      <c r="W846" s="8">
        <v>2744</v>
      </c>
      <c r="X846" s="8">
        <v>2752</v>
      </c>
      <c r="Y846" s="8">
        <v>2714</v>
      </c>
      <c r="Z846" s="8">
        <v>2764</v>
      </c>
      <c r="AA846" s="8">
        <v>2777</v>
      </c>
      <c r="AB846" s="8">
        <v>2786</v>
      </c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</row>
    <row r="847" spans="1:47" ht="14.4">
      <c r="A847" s="3">
        <f>LOOKUP(D847,'AMFI DATA_2023H2'!F:L,'AMFI DATA_2023H2'!L:L)</f>
        <v>876</v>
      </c>
      <c r="B847" s="4" t="s">
        <v>2540</v>
      </c>
      <c r="C847" s="4" t="s">
        <v>2541</v>
      </c>
      <c r="D847" s="5" t="s">
        <v>2542</v>
      </c>
      <c r="E847" s="5">
        <v>1387.94</v>
      </c>
      <c r="F847" s="6">
        <f>LOOKUP(D847,'AMFI DATA_2023H2'!F:J,'AMFI DATA_2023H2'!J:J)</f>
        <v>2308.1107000000002</v>
      </c>
      <c r="G847" s="7">
        <f t="shared" si="3"/>
        <v>-1</v>
      </c>
      <c r="H847" s="8"/>
      <c r="I847" s="8">
        <v>2330</v>
      </c>
      <c r="J847" s="8">
        <v>2327</v>
      </c>
      <c r="K847" s="8">
        <v>2370</v>
      </c>
      <c r="L847" s="8">
        <v>2381</v>
      </c>
      <c r="M847" s="8">
        <v>2437</v>
      </c>
      <c r="N847" s="8">
        <v>2583</v>
      </c>
      <c r="O847" s="8">
        <v>2582</v>
      </c>
      <c r="P847" s="8">
        <v>2539</v>
      </c>
      <c r="Q847" s="8">
        <v>2575</v>
      </c>
      <c r="R847" s="8">
        <v>2553</v>
      </c>
      <c r="S847" s="8">
        <v>2563</v>
      </c>
      <c r="T847" s="8">
        <v>2572</v>
      </c>
      <c r="U847" s="8">
        <v>2460</v>
      </c>
      <c r="V847" s="8">
        <v>2453</v>
      </c>
      <c r="W847" s="8">
        <v>2384</v>
      </c>
      <c r="X847" s="8">
        <v>2259</v>
      </c>
      <c r="Y847" s="8">
        <v>2239</v>
      </c>
      <c r="Z847" s="8">
        <v>2241</v>
      </c>
      <c r="AA847" s="8">
        <v>2264</v>
      </c>
      <c r="AB847" s="8">
        <v>2205</v>
      </c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</row>
    <row r="848" spans="1:47" ht="14.4">
      <c r="A848" s="3">
        <f>LOOKUP(D848,'AMFI DATA_2023H2'!F:L,'AMFI DATA_2023H2'!L:L)</f>
        <v>877</v>
      </c>
      <c r="B848" s="4" t="s">
        <v>2543</v>
      </c>
      <c r="C848" s="4" t="s">
        <v>2544</v>
      </c>
      <c r="D848" s="5" t="s">
        <v>2545</v>
      </c>
      <c r="E848" s="5">
        <v>1923.71</v>
      </c>
      <c r="F848" s="6">
        <f>LOOKUP(D848,'AMFI DATA_2023H2'!F:J,'AMFI DATA_2023H2'!J:J)</f>
        <v>2281.5770499999999</v>
      </c>
      <c r="G848" s="7">
        <f t="shared" si="3"/>
        <v>-1</v>
      </c>
      <c r="H848" s="8"/>
      <c r="I848" s="8">
        <v>2714</v>
      </c>
      <c r="J848" s="8">
        <v>2745</v>
      </c>
      <c r="K848" s="8">
        <v>2747</v>
      </c>
      <c r="L848" s="8">
        <v>2846</v>
      </c>
      <c r="M848" s="8">
        <v>2890</v>
      </c>
      <c r="N848" s="8">
        <v>2852</v>
      </c>
      <c r="O848" s="8">
        <v>2767</v>
      </c>
      <c r="P848" s="8">
        <v>2782</v>
      </c>
      <c r="Q848" s="8">
        <v>2780</v>
      </c>
      <c r="R848" s="8">
        <v>2752</v>
      </c>
      <c r="S848" s="8">
        <v>2788</v>
      </c>
      <c r="T848" s="8">
        <v>2737</v>
      </c>
      <c r="U848" s="8">
        <v>2781</v>
      </c>
      <c r="V848" s="8">
        <v>2842</v>
      </c>
      <c r="W848" s="8">
        <v>2578</v>
      </c>
      <c r="X848" s="8">
        <v>2509</v>
      </c>
      <c r="Y848" s="8">
        <v>2504</v>
      </c>
      <c r="Z848" s="8">
        <v>2542</v>
      </c>
      <c r="AA848" s="8">
        <v>2574</v>
      </c>
      <c r="AB848" s="8">
        <v>2560</v>
      </c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</row>
    <row r="849" spans="1:47" ht="14.4">
      <c r="A849" s="3">
        <f>LOOKUP(D849,'AMFI DATA_2023H2'!F:L,'AMFI DATA_2023H2'!L:L)</f>
        <v>878</v>
      </c>
      <c r="B849" s="4" t="s">
        <v>2546</v>
      </c>
      <c r="C849" s="4" t="s">
        <v>2547</v>
      </c>
      <c r="D849" s="5" t="s">
        <v>2548</v>
      </c>
      <c r="E849" s="5">
        <v>1555.31</v>
      </c>
      <c r="F849" s="6">
        <f>LOOKUP(D849,'AMFI DATA_2023H2'!F:J,'AMFI DATA_2023H2'!J:J)</f>
        <v>2280.9465500000001</v>
      </c>
      <c r="G849" s="7">
        <f t="shared" si="3"/>
        <v>-1</v>
      </c>
      <c r="H849" s="8"/>
      <c r="I849" s="8">
        <v>3072</v>
      </c>
      <c r="J849" s="8">
        <v>3123</v>
      </c>
      <c r="K849" s="8">
        <v>3059</v>
      </c>
      <c r="L849" s="8">
        <v>3089</v>
      </c>
      <c r="M849" s="8">
        <v>3251</v>
      </c>
      <c r="N849" s="8">
        <v>3313</v>
      </c>
      <c r="O849" s="8">
        <v>3310</v>
      </c>
      <c r="P849" s="8">
        <v>3214</v>
      </c>
      <c r="Q849" s="8">
        <v>3221</v>
      </c>
      <c r="R849" s="8">
        <v>3073</v>
      </c>
      <c r="S849" s="8">
        <v>3082</v>
      </c>
      <c r="T849" s="8">
        <v>3109</v>
      </c>
      <c r="U849" s="8">
        <v>3109</v>
      </c>
      <c r="V849" s="8">
        <v>3151</v>
      </c>
      <c r="W849" s="8">
        <v>3002</v>
      </c>
      <c r="X849" s="8">
        <v>2860</v>
      </c>
      <c r="Y849" s="8">
        <v>2854</v>
      </c>
      <c r="Z849" s="8">
        <v>2949</v>
      </c>
      <c r="AA849" s="8">
        <v>2944</v>
      </c>
      <c r="AB849" s="8">
        <v>2960</v>
      </c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</row>
    <row r="850" spans="1:47" ht="14.4">
      <c r="A850" s="3">
        <f>LOOKUP(D850,'AMFI DATA_2023H2'!F:L,'AMFI DATA_2023H2'!L:L)</f>
        <v>879</v>
      </c>
      <c r="B850" s="4" t="s">
        <v>2549</v>
      </c>
      <c r="C850" s="4" t="s">
        <v>2550</v>
      </c>
      <c r="D850" s="5" t="s">
        <v>2551</v>
      </c>
      <c r="E850" s="5">
        <v>1496.4</v>
      </c>
      <c r="F850" s="6">
        <f>LOOKUP(D850,'AMFI DATA_2023H2'!F:J,'AMFI DATA_2023H2'!J:J)</f>
        <v>2268.7703000000001</v>
      </c>
      <c r="G850" s="7">
        <f t="shared" si="3"/>
        <v>-1</v>
      </c>
      <c r="H850" s="8"/>
      <c r="I850" s="8">
        <v>2922</v>
      </c>
      <c r="J850" s="8">
        <v>2935</v>
      </c>
      <c r="K850" s="8">
        <v>2944</v>
      </c>
      <c r="L850" s="8">
        <v>2882</v>
      </c>
      <c r="M850" s="8">
        <v>2966</v>
      </c>
      <c r="N850" s="8">
        <v>3059</v>
      </c>
      <c r="O850" s="8">
        <v>3081</v>
      </c>
      <c r="P850" s="8">
        <v>3123</v>
      </c>
      <c r="Q850" s="8">
        <v>2997</v>
      </c>
      <c r="R850" s="8">
        <v>3037</v>
      </c>
      <c r="S850" s="8">
        <v>2822</v>
      </c>
      <c r="T850" s="8">
        <v>2765</v>
      </c>
      <c r="U850" s="8">
        <v>2733</v>
      </c>
      <c r="V850" s="8">
        <v>2734</v>
      </c>
      <c r="W850" s="8">
        <v>2732</v>
      </c>
      <c r="X850" s="8">
        <v>2722</v>
      </c>
      <c r="Y850" s="8">
        <v>2687</v>
      </c>
      <c r="Z850" s="8">
        <v>2707</v>
      </c>
      <c r="AA850" s="8">
        <v>2675</v>
      </c>
      <c r="AB850" s="8">
        <v>2618</v>
      </c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</row>
    <row r="851" spans="1:47" ht="14.4">
      <c r="A851" s="3">
        <f>LOOKUP(D851,'AMFI DATA_2023H2'!F:L,'AMFI DATA_2023H2'!L:L)</f>
        <v>880</v>
      </c>
      <c r="B851" s="4" t="s">
        <v>2552</v>
      </c>
      <c r="C851" s="4" t="s">
        <v>2553</v>
      </c>
      <c r="D851" s="5" t="s">
        <v>2554</v>
      </c>
      <c r="E851" s="5">
        <v>1671.25</v>
      </c>
      <c r="F851" s="6">
        <f>LOOKUP(D851,'AMFI DATA_2023H2'!F:J,'AMFI DATA_2023H2'!J:J)</f>
        <v>2262.9231</v>
      </c>
      <c r="G851" s="7">
        <f t="shared" si="3"/>
        <v>-1</v>
      </c>
      <c r="H851" s="8"/>
      <c r="I851" s="8">
        <v>2957</v>
      </c>
      <c r="J851" s="8">
        <v>2975</v>
      </c>
      <c r="K851" s="8">
        <v>3011</v>
      </c>
      <c r="L851" s="8">
        <v>3063</v>
      </c>
      <c r="M851" s="8">
        <v>3090</v>
      </c>
      <c r="N851" s="8">
        <v>3130</v>
      </c>
      <c r="O851" s="8">
        <v>2722</v>
      </c>
      <c r="P851" s="8">
        <v>2748</v>
      </c>
      <c r="Q851" s="8">
        <v>2820</v>
      </c>
      <c r="R851" s="8">
        <v>2770</v>
      </c>
      <c r="S851" s="8">
        <v>2865</v>
      </c>
      <c r="T851" s="8">
        <v>2834</v>
      </c>
      <c r="U851" s="8">
        <v>2836</v>
      </c>
      <c r="V851" s="8">
        <v>2868</v>
      </c>
      <c r="W851" s="8">
        <v>2938</v>
      </c>
      <c r="X851" s="8">
        <v>2793</v>
      </c>
      <c r="Y851" s="8">
        <v>2772</v>
      </c>
      <c r="Z851" s="8">
        <v>2766</v>
      </c>
      <c r="AA851" s="8">
        <v>2763</v>
      </c>
      <c r="AB851" s="8">
        <v>2819</v>
      </c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</row>
    <row r="852" spans="1:47" ht="14.4">
      <c r="A852" s="3">
        <f>LOOKUP(D852,'AMFI DATA_2023H2'!F:L,'AMFI DATA_2023H2'!L:L)</f>
        <v>881</v>
      </c>
      <c r="B852" s="4" t="s">
        <v>2555</v>
      </c>
      <c r="C852" s="4" t="s">
        <v>2556</v>
      </c>
      <c r="D852" s="5" t="s">
        <v>2557</v>
      </c>
      <c r="E852" s="5">
        <v>1587.48</v>
      </c>
      <c r="F852" s="6">
        <f>LOOKUP(D852,'AMFI DATA_2023H2'!F:J,'AMFI DATA_2023H2'!J:J)</f>
        <v>2251.6712499999999</v>
      </c>
      <c r="G852" s="7">
        <f t="shared" si="3"/>
        <v>-1</v>
      </c>
      <c r="H852" s="8"/>
      <c r="I852" s="8">
        <v>2688</v>
      </c>
      <c r="J852" s="8">
        <v>2656</v>
      </c>
      <c r="K852" s="8">
        <v>2657</v>
      </c>
      <c r="L852" s="8">
        <v>2636</v>
      </c>
      <c r="M852" s="8">
        <v>2630</v>
      </c>
      <c r="N852" s="8">
        <v>2632</v>
      </c>
      <c r="O852" s="8">
        <v>2617</v>
      </c>
      <c r="P852" s="8">
        <v>2676</v>
      </c>
      <c r="Q852" s="8">
        <v>2689</v>
      </c>
      <c r="R852" s="8">
        <v>2703</v>
      </c>
      <c r="S852" s="8">
        <v>2762</v>
      </c>
      <c r="T852" s="8">
        <v>2747</v>
      </c>
      <c r="U852" s="8">
        <v>2739</v>
      </c>
      <c r="V852" s="8">
        <v>2796</v>
      </c>
      <c r="W852" s="8">
        <v>2784</v>
      </c>
      <c r="X852" s="8">
        <v>2691</v>
      </c>
      <c r="Y852" s="8">
        <v>2723</v>
      </c>
      <c r="Z852" s="8">
        <v>2741</v>
      </c>
      <c r="AA852" s="8">
        <v>2662</v>
      </c>
      <c r="AB852" s="8">
        <v>2648</v>
      </c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</row>
    <row r="853" spans="1:47" ht="14.4">
      <c r="A853" s="3">
        <f>LOOKUP(D853,'AMFI DATA_2023H2'!F:L,'AMFI DATA_2023H2'!L:L)</f>
        <v>882</v>
      </c>
      <c r="B853" s="4" t="s">
        <v>2558</v>
      </c>
      <c r="C853" s="4" t="s">
        <v>2559</v>
      </c>
      <c r="D853" s="5" t="s">
        <v>2560</v>
      </c>
      <c r="E853" s="5">
        <v>1426.71</v>
      </c>
      <c r="F853" s="6">
        <f>LOOKUP(D853,'AMFI DATA_2023H2'!F:J,'AMFI DATA_2023H2'!J:J)</f>
        <v>2249.4068500000003</v>
      </c>
      <c r="G853" s="7">
        <f t="shared" si="3"/>
        <v>-1</v>
      </c>
      <c r="H853" s="8"/>
      <c r="I853" s="8">
        <v>4336</v>
      </c>
      <c r="J853" s="8">
        <v>4233</v>
      </c>
      <c r="K853" s="8">
        <v>4254</v>
      </c>
      <c r="L853" s="8">
        <v>4368</v>
      </c>
      <c r="M853" s="8">
        <v>4286</v>
      </c>
      <c r="N853" s="8">
        <v>4458</v>
      </c>
      <c r="O853" s="8">
        <v>4549</v>
      </c>
      <c r="P853" s="8">
        <v>4604</v>
      </c>
      <c r="Q853" s="8">
        <v>4689</v>
      </c>
      <c r="R853" s="8">
        <v>4669</v>
      </c>
      <c r="S853" s="8">
        <v>4471</v>
      </c>
      <c r="T853" s="8">
        <v>4651</v>
      </c>
      <c r="U853" s="8">
        <v>4321</v>
      </c>
      <c r="V853" s="8">
        <v>4348</v>
      </c>
      <c r="W853" s="8">
        <v>4295</v>
      </c>
      <c r="X853" s="8">
        <v>4326</v>
      </c>
      <c r="Y853" s="8">
        <v>4407</v>
      </c>
      <c r="Z853" s="8">
        <v>4502</v>
      </c>
      <c r="AA853" s="8">
        <v>4097</v>
      </c>
      <c r="AB853" s="8">
        <v>3413</v>
      </c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</row>
    <row r="854" spans="1:47" ht="14.4">
      <c r="A854" s="3">
        <f>LOOKUP(D854,'AMFI DATA_2023H2'!F:L,'AMFI DATA_2023H2'!L:L)</f>
        <v>883</v>
      </c>
      <c r="B854" s="4" t="s">
        <v>2561</v>
      </c>
      <c r="C854" s="4" t="s">
        <v>2562</v>
      </c>
      <c r="D854" s="5" t="s">
        <v>2563</v>
      </c>
      <c r="E854" s="5">
        <v>1613.73</v>
      </c>
      <c r="F854" s="6">
        <f>LOOKUP(D854,'AMFI DATA_2023H2'!F:J,'AMFI DATA_2023H2'!J:J)</f>
        <v>2244.0544499999996</v>
      </c>
      <c r="G854" s="7">
        <f t="shared" si="3"/>
        <v>-1</v>
      </c>
      <c r="H854" s="8"/>
      <c r="I854" s="8">
        <v>2969</v>
      </c>
      <c r="J854" s="8">
        <v>2951</v>
      </c>
      <c r="K854" s="8">
        <v>2950</v>
      </c>
      <c r="L854" s="8">
        <v>3002</v>
      </c>
      <c r="M854" s="8">
        <v>2843</v>
      </c>
      <c r="N854" s="8">
        <v>2858</v>
      </c>
      <c r="O854" s="8">
        <v>2867</v>
      </c>
      <c r="P854" s="8">
        <v>2838</v>
      </c>
      <c r="Q854" s="8">
        <v>2812</v>
      </c>
      <c r="R854" s="8">
        <v>2805</v>
      </c>
      <c r="S854" s="8">
        <v>2765</v>
      </c>
      <c r="T854" s="8">
        <v>2811</v>
      </c>
      <c r="U854" s="8">
        <v>2765</v>
      </c>
      <c r="V854" s="8">
        <v>2811</v>
      </c>
      <c r="W854" s="8">
        <v>2814</v>
      </c>
      <c r="X854" s="8">
        <v>2818</v>
      </c>
      <c r="Y854" s="8">
        <v>2818</v>
      </c>
      <c r="Z854" s="8">
        <v>2789</v>
      </c>
      <c r="AA854" s="8">
        <v>2816</v>
      </c>
      <c r="AB854" s="8">
        <v>2510</v>
      </c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</row>
    <row r="855" spans="1:47" ht="14.4">
      <c r="A855" s="3">
        <f>LOOKUP(D855,'AMFI DATA_2023H2'!F:L,'AMFI DATA_2023H2'!L:L)</f>
        <v>884</v>
      </c>
      <c r="B855" s="4" t="s">
        <v>2564</v>
      </c>
      <c r="C855" s="4" t="s">
        <v>2565</v>
      </c>
      <c r="D855" s="5" t="s">
        <v>2566</v>
      </c>
      <c r="E855" s="5">
        <v>1910.85</v>
      </c>
      <c r="F855" s="6">
        <f>LOOKUP(D855,'AMFI DATA_2023H2'!F:J,'AMFI DATA_2023H2'!J:J)</f>
        <v>2241.6749499999996</v>
      </c>
      <c r="G855" s="7">
        <f t="shared" si="3"/>
        <v>-1</v>
      </c>
      <c r="H855" s="8"/>
      <c r="I855" s="8">
        <v>2446</v>
      </c>
      <c r="J855" s="8">
        <v>2475</v>
      </c>
      <c r="K855" s="8">
        <v>2459</v>
      </c>
      <c r="L855" s="8">
        <v>2528</v>
      </c>
      <c r="M855" s="8">
        <v>2537</v>
      </c>
      <c r="N855" s="8">
        <v>2569</v>
      </c>
      <c r="O855" s="8">
        <v>2584</v>
      </c>
      <c r="P855" s="8">
        <v>2575</v>
      </c>
      <c r="Q855" s="8">
        <v>2507</v>
      </c>
      <c r="R855" s="8">
        <v>2432</v>
      </c>
      <c r="S855" s="8">
        <v>2469</v>
      </c>
      <c r="T855" s="8">
        <v>2515</v>
      </c>
      <c r="U855" s="8">
        <v>2536</v>
      </c>
      <c r="V855" s="8">
        <v>2406</v>
      </c>
      <c r="W855" s="8">
        <v>2405</v>
      </c>
      <c r="X855" s="8">
        <v>2432</v>
      </c>
      <c r="Y855" s="8">
        <v>2449</v>
      </c>
      <c r="Z855" s="8">
        <v>2485</v>
      </c>
      <c r="AA855" s="8">
        <v>2515</v>
      </c>
      <c r="AB855" s="8">
        <v>2442</v>
      </c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</row>
    <row r="856" spans="1:47" ht="14.4">
      <c r="A856" s="3">
        <f>LOOKUP(D856,'AMFI DATA_2023H2'!F:L,'AMFI DATA_2023H2'!L:L)</f>
        <v>885</v>
      </c>
      <c r="B856" s="4" t="s">
        <v>2567</v>
      </c>
      <c r="C856" s="4" t="s">
        <v>2568</v>
      </c>
      <c r="D856" s="5" t="s">
        <v>2569</v>
      </c>
      <c r="E856" s="5">
        <v>1183.6099999999999</v>
      </c>
      <c r="F856" s="6">
        <f>LOOKUP(D856,'AMFI DATA_2023H2'!F:J,'AMFI DATA_2023H2'!J:J)</f>
        <v>2237.1968500000003</v>
      </c>
      <c r="G856" s="7">
        <f t="shared" si="3"/>
        <v>-1</v>
      </c>
      <c r="H856" s="8"/>
      <c r="I856" s="8">
        <v>2961</v>
      </c>
      <c r="J856" s="8">
        <v>2835</v>
      </c>
      <c r="K856" s="8">
        <v>2781</v>
      </c>
      <c r="L856" s="8">
        <v>2725</v>
      </c>
      <c r="M856" s="8">
        <v>2803</v>
      </c>
      <c r="N856" s="8">
        <v>2825</v>
      </c>
      <c r="O856" s="8">
        <v>2894</v>
      </c>
      <c r="P856" s="8">
        <v>2877</v>
      </c>
      <c r="Q856" s="8">
        <v>2849</v>
      </c>
      <c r="R856" s="8">
        <v>2823</v>
      </c>
      <c r="S856" s="8">
        <v>2698</v>
      </c>
      <c r="T856" s="8">
        <v>2685</v>
      </c>
      <c r="U856" s="8">
        <v>2695</v>
      </c>
      <c r="V856" s="8">
        <v>2642</v>
      </c>
      <c r="W856" s="8">
        <v>2667</v>
      </c>
      <c r="X856" s="8">
        <v>2706</v>
      </c>
      <c r="Y856" s="8">
        <v>2744</v>
      </c>
      <c r="Z856" s="8">
        <v>2706</v>
      </c>
      <c r="AA856" s="8">
        <v>2713</v>
      </c>
      <c r="AB856" s="8">
        <v>2615</v>
      </c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</row>
    <row r="857" spans="1:47" ht="14.4">
      <c r="A857" s="3">
        <f>LOOKUP(D857,'AMFI DATA_2023H2'!F:L,'AMFI DATA_2023H2'!L:L)</f>
        <v>886</v>
      </c>
      <c r="B857" s="4" t="s">
        <v>2570</v>
      </c>
      <c r="C857" s="4" t="s">
        <v>2571</v>
      </c>
      <c r="D857" s="5" t="s">
        <v>2572</v>
      </c>
      <c r="E857" s="5">
        <v>2064.87</v>
      </c>
      <c r="F857" s="6">
        <f>LOOKUP(D857,'AMFI DATA_2023H2'!F:J,'AMFI DATA_2023H2'!J:J)</f>
        <v>2229.8462</v>
      </c>
      <c r="G857" s="7">
        <f t="shared" si="3"/>
        <v>-1</v>
      </c>
      <c r="H857" s="8"/>
      <c r="I857" s="8">
        <v>2308</v>
      </c>
      <c r="J857" s="8">
        <v>2323</v>
      </c>
      <c r="K857" s="8">
        <v>2304</v>
      </c>
      <c r="L857" s="8">
        <v>2303</v>
      </c>
      <c r="M857" s="8">
        <v>2404</v>
      </c>
      <c r="N857" s="8">
        <v>2397</v>
      </c>
      <c r="O857" s="8">
        <v>2426</v>
      </c>
      <c r="P857" s="8">
        <v>2404</v>
      </c>
      <c r="Q857" s="8">
        <v>2390</v>
      </c>
      <c r="R857" s="8">
        <v>2390</v>
      </c>
      <c r="S857" s="8">
        <v>2376</v>
      </c>
      <c r="T857" s="8">
        <v>2371</v>
      </c>
      <c r="U857" s="8">
        <v>2351</v>
      </c>
      <c r="V857" s="8">
        <v>2375</v>
      </c>
      <c r="W857" s="8">
        <v>2355</v>
      </c>
      <c r="X857" s="8">
        <v>2331</v>
      </c>
      <c r="Y857" s="8">
        <v>2376</v>
      </c>
      <c r="Z857" s="8">
        <v>2431</v>
      </c>
      <c r="AA857" s="8">
        <v>2497</v>
      </c>
      <c r="AB857" s="8">
        <v>2471</v>
      </c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</row>
    <row r="858" spans="1:47" ht="14.4">
      <c r="A858" s="3">
        <f>LOOKUP(D858,'AMFI DATA_2023H2'!F:L,'AMFI DATA_2023H2'!L:L)</f>
        <v>888</v>
      </c>
      <c r="B858" s="4" t="s">
        <v>2573</v>
      </c>
      <c r="C858" s="4" t="s">
        <v>2574</v>
      </c>
      <c r="D858" s="5" t="s">
        <v>2575</v>
      </c>
      <c r="E858" s="5">
        <v>2543.92</v>
      </c>
      <c r="F858" s="6">
        <f>LOOKUP(D858,'AMFI DATA_2023H2'!F:J,'AMFI DATA_2023H2'!J:J)</f>
        <v>2209.00945</v>
      </c>
      <c r="G858" s="7">
        <f t="shared" si="3"/>
        <v>-1</v>
      </c>
      <c r="H858" s="8"/>
      <c r="I858" s="8">
        <v>2222</v>
      </c>
      <c r="J858" s="8">
        <v>2190</v>
      </c>
      <c r="K858" s="8">
        <v>2176</v>
      </c>
      <c r="L858" s="8">
        <v>2211</v>
      </c>
      <c r="M858" s="8">
        <v>2239</v>
      </c>
      <c r="N858" s="8">
        <v>2301</v>
      </c>
      <c r="O858" s="8">
        <v>2311</v>
      </c>
      <c r="P858" s="8">
        <v>2270</v>
      </c>
      <c r="Q858" s="8">
        <v>2309</v>
      </c>
      <c r="R858" s="8">
        <v>2318</v>
      </c>
      <c r="S858" s="8">
        <v>2322</v>
      </c>
      <c r="T858" s="8">
        <v>2324</v>
      </c>
      <c r="U858" s="8">
        <v>2291</v>
      </c>
      <c r="V858" s="8">
        <v>2298</v>
      </c>
      <c r="W858" s="8">
        <v>2258</v>
      </c>
      <c r="X858" s="8">
        <v>2162</v>
      </c>
      <c r="Y858" s="8">
        <v>2153</v>
      </c>
      <c r="Z858" s="8">
        <v>2164</v>
      </c>
      <c r="AA858" s="8">
        <v>2139</v>
      </c>
      <c r="AB858" s="8">
        <v>2120</v>
      </c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</row>
    <row r="859" spans="1:47" ht="14.4">
      <c r="A859" s="3">
        <f>LOOKUP(D859,'AMFI DATA_2023H2'!F:L,'AMFI DATA_2023H2'!L:L)</f>
        <v>889</v>
      </c>
      <c r="B859" s="4" t="s">
        <v>2576</v>
      </c>
      <c r="C859" s="4" t="s">
        <v>2577</v>
      </c>
      <c r="D859" s="5" t="s">
        <v>2578</v>
      </c>
      <c r="E859" s="5">
        <v>1837.14</v>
      </c>
      <c r="F859" s="6">
        <f>LOOKUP(D859,'AMFI DATA_2023H2'!F:J,'AMFI DATA_2023H2'!J:J)</f>
        <v>2205.0075999999999</v>
      </c>
      <c r="G859" s="7">
        <f t="shared" si="3"/>
        <v>-1</v>
      </c>
      <c r="H859" s="8"/>
      <c r="I859" s="8">
        <v>2972</v>
      </c>
      <c r="J859" s="8">
        <v>2928</v>
      </c>
      <c r="K859" s="8">
        <v>2993</v>
      </c>
      <c r="L859" s="8">
        <v>2981</v>
      </c>
      <c r="M859" s="8">
        <v>3046</v>
      </c>
      <c r="N859" s="8">
        <v>3076</v>
      </c>
      <c r="O859" s="8">
        <v>3143</v>
      </c>
      <c r="P859" s="8">
        <v>3218</v>
      </c>
      <c r="Q859" s="8">
        <v>3204</v>
      </c>
      <c r="R859" s="8">
        <v>3097</v>
      </c>
      <c r="S859" s="8">
        <v>3164</v>
      </c>
      <c r="T859" s="8">
        <v>3183</v>
      </c>
      <c r="U859" s="8">
        <v>3124</v>
      </c>
      <c r="V859" s="8">
        <v>3012</v>
      </c>
      <c r="W859" s="8">
        <v>2969</v>
      </c>
      <c r="X859" s="8">
        <v>2944</v>
      </c>
      <c r="Y859" s="8">
        <v>2934</v>
      </c>
      <c r="Z859" s="8">
        <v>2902</v>
      </c>
      <c r="AA859" s="8">
        <v>2826</v>
      </c>
      <c r="AB859" s="8">
        <v>2843</v>
      </c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</row>
    <row r="860" spans="1:47" ht="14.4">
      <c r="A860" s="3">
        <f>LOOKUP(D860,'AMFI DATA_2023H2'!F:L,'AMFI DATA_2023H2'!L:L)</f>
        <v>890</v>
      </c>
      <c r="B860" s="4" t="s">
        <v>2579</v>
      </c>
      <c r="C860" s="4" t="s">
        <v>2580</v>
      </c>
      <c r="D860" s="5" t="s">
        <v>2581</v>
      </c>
      <c r="E860" s="5">
        <v>1187.06</v>
      </c>
      <c r="F860" s="6">
        <f>LOOKUP(D860,'AMFI DATA_2023H2'!F:J,'AMFI DATA_2023H2'!J:J)</f>
        <v>2203.73785</v>
      </c>
      <c r="G860" s="7">
        <f t="shared" si="3"/>
        <v>-1</v>
      </c>
      <c r="H860" s="8"/>
      <c r="I860" s="8">
        <v>2823</v>
      </c>
      <c r="J860" s="8">
        <v>2845</v>
      </c>
      <c r="K860" s="8">
        <v>2843</v>
      </c>
      <c r="L860" s="8">
        <v>2850</v>
      </c>
      <c r="M860" s="8">
        <v>2962</v>
      </c>
      <c r="N860" s="8">
        <v>2738</v>
      </c>
      <c r="O860" s="8">
        <v>2672</v>
      </c>
      <c r="P860" s="8">
        <v>2629</v>
      </c>
      <c r="Q860" s="8">
        <v>2736</v>
      </c>
      <c r="R860" s="8">
        <v>2682</v>
      </c>
      <c r="S860" s="8">
        <v>2485</v>
      </c>
      <c r="T860" s="8">
        <v>2458</v>
      </c>
      <c r="U860" s="8">
        <v>2405</v>
      </c>
      <c r="V860" s="8">
        <v>2341</v>
      </c>
      <c r="W860" s="8">
        <v>2427</v>
      </c>
      <c r="X860" s="8">
        <v>2344</v>
      </c>
      <c r="Y860" s="8">
        <v>2372</v>
      </c>
      <c r="Z860" s="8">
        <v>2374</v>
      </c>
      <c r="AA860" s="8">
        <v>2313</v>
      </c>
      <c r="AB860" s="8">
        <v>2319</v>
      </c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</row>
    <row r="861" spans="1:47" ht="14.4">
      <c r="A861" s="3">
        <f>LOOKUP(D861,'AMFI DATA_2023H2'!F:L,'AMFI DATA_2023H2'!L:L)</f>
        <v>891</v>
      </c>
      <c r="B861" s="4" t="s">
        <v>2582</v>
      </c>
      <c r="C861" s="4" t="s">
        <v>2583</v>
      </c>
      <c r="D861" s="5" t="s">
        <v>2584</v>
      </c>
      <c r="E861" s="5">
        <v>1981.71</v>
      </c>
      <c r="F861" s="6">
        <f>LOOKUP(D861,'AMFI DATA_2023H2'!F:J,'AMFI DATA_2023H2'!J:J)</f>
        <v>2185.9486999999999</v>
      </c>
      <c r="G861" s="7">
        <f t="shared" si="3"/>
        <v>-1</v>
      </c>
      <c r="H861" s="8"/>
      <c r="I861" s="8">
        <v>2209</v>
      </c>
      <c r="J861" s="8">
        <v>2219</v>
      </c>
      <c r="K861" s="8">
        <v>2194</v>
      </c>
      <c r="L861" s="8">
        <v>2238</v>
      </c>
      <c r="M861" s="8">
        <v>2308</v>
      </c>
      <c r="N861" s="8">
        <v>2320</v>
      </c>
      <c r="O861" s="8">
        <v>2308</v>
      </c>
      <c r="P861" s="8">
        <v>2260</v>
      </c>
      <c r="Q861" s="8">
        <v>2157</v>
      </c>
      <c r="R861" s="8">
        <v>2154</v>
      </c>
      <c r="S861" s="8">
        <v>2180</v>
      </c>
      <c r="T861" s="8">
        <v>2162</v>
      </c>
      <c r="U861" s="8">
        <v>2182</v>
      </c>
      <c r="V861" s="8">
        <v>2197</v>
      </c>
      <c r="W861" s="8">
        <v>2161</v>
      </c>
      <c r="X861" s="8">
        <v>2120</v>
      </c>
      <c r="Y861" s="8">
        <v>2145</v>
      </c>
      <c r="Z861" s="8">
        <v>2120</v>
      </c>
      <c r="AA861" s="8">
        <v>2085</v>
      </c>
      <c r="AB861" s="8">
        <v>2114</v>
      </c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</row>
    <row r="862" spans="1:47" ht="14.4">
      <c r="A862" s="3">
        <f>LOOKUP(D862,'AMFI DATA_2023H2'!F:L,'AMFI DATA_2023H2'!L:L)</f>
        <v>892</v>
      </c>
      <c r="B862" s="4" t="s">
        <v>2585</v>
      </c>
      <c r="C862" s="4" t="s">
        <v>2586</v>
      </c>
      <c r="D862" s="5" t="s">
        <v>2587</v>
      </c>
      <c r="E862" s="5">
        <v>1470.35</v>
      </c>
      <c r="F862" s="6">
        <f>LOOKUP(D862,'AMFI DATA_2023H2'!F:J,'AMFI DATA_2023H2'!J:J)</f>
        <v>2173.9094</v>
      </c>
      <c r="G862" s="7">
        <f t="shared" si="3"/>
        <v>-1</v>
      </c>
      <c r="H862" s="8"/>
      <c r="I862" s="8">
        <v>2763</v>
      </c>
      <c r="J862" s="8">
        <v>2706</v>
      </c>
      <c r="K862" s="8">
        <v>2698</v>
      </c>
      <c r="L862" s="8">
        <v>2760</v>
      </c>
      <c r="M862" s="8">
        <v>2779</v>
      </c>
      <c r="N862" s="8">
        <v>2771</v>
      </c>
      <c r="O862" s="8">
        <v>2700</v>
      </c>
      <c r="P862" s="8">
        <v>2717</v>
      </c>
      <c r="Q862" s="8">
        <v>2595</v>
      </c>
      <c r="R862" s="8">
        <v>2662</v>
      </c>
      <c r="S862" s="8">
        <v>2631</v>
      </c>
      <c r="T862" s="8">
        <v>2645</v>
      </c>
      <c r="U862" s="8">
        <v>2668</v>
      </c>
      <c r="V862" s="8">
        <v>2648</v>
      </c>
      <c r="W862" s="8">
        <v>2549</v>
      </c>
      <c r="X862" s="8">
        <v>2542</v>
      </c>
      <c r="Y862" s="8">
        <v>2528</v>
      </c>
      <c r="Z862" s="8">
        <v>2524</v>
      </c>
      <c r="AA862" s="8">
        <v>2553</v>
      </c>
      <c r="AB862" s="8">
        <v>2642</v>
      </c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</row>
    <row r="863" spans="1:47" ht="14.4">
      <c r="A863" s="3">
        <f>LOOKUP(D863,'AMFI DATA_2023H2'!F:L,'AMFI DATA_2023H2'!L:L)</f>
        <v>893</v>
      </c>
      <c r="B863" s="4" t="s">
        <v>2588</v>
      </c>
      <c r="C863" s="4" t="s">
        <v>2589</v>
      </c>
      <c r="D863" s="5" t="s">
        <v>2590</v>
      </c>
      <c r="E863" s="5">
        <v>1256.1300000000001</v>
      </c>
      <c r="F863" s="6">
        <f>LOOKUP(D863,'AMFI DATA_2023H2'!F:J,'AMFI DATA_2023H2'!J:J)</f>
        <v>2173.8579</v>
      </c>
      <c r="G863" s="7">
        <f t="shared" si="3"/>
        <v>-1</v>
      </c>
      <c r="H863" s="8"/>
      <c r="I863" s="8">
        <v>2877</v>
      </c>
      <c r="J863" s="8">
        <v>2922</v>
      </c>
      <c r="K863" s="8">
        <v>2982</v>
      </c>
      <c r="L863" s="8">
        <v>2949</v>
      </c>
      <c r="M863" s="8">
        <v>3026</v>
      </c>
      <c r="N863" s="8">
        <v>3004</v>
      </c>
      <c r="O863" s="8">
        <v>3044</v>
      </c>
      <c r="P863" s="8">
        <v>2999</v>
      </c>
      <c r="Q863" s="8">
        <v>2866</v>
      </c>
      <c r="R863" s="8">
        <v>2938</v>
      </c>
      <c r="S863" s="8">
        <v>2979</v>
      </c>
      <c r="T863" s="8">
        <v>3004</v>
      </c>
      <c r="U863" s="8">
        <v>2929</v>
      </c>
      <c r="V863" s="8">
        <v>2957</v>
      </c>
      <c r="W863" s="8">
        <v>2713</v>
      </c>
      <c r="X863" s="8">
        <v>2657</v>
      </c>
      <c r="Y863" s="8">
        <v>2653</v>
      </c>
      <c r="Z863" s="8">
        <v>2707</v>
      </c>
      <c r="AA863" s="8">
        <v>2674</v>
      </c>
      <c r="AB863" s="8">
        <v>2792</v>
      </c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</row>
    <row r="864" spans="1:47" ht="14.4">
      <c r="A864" s="3">
        <f>LOOKUP(D864,'AMFI DATA_2023H2'!F:L,'AMFI DATA_2023H2'!L:L)</f>
        <v>894</v>
      </c>
      <c r="B864" s="4" t="s">
        <v>2591</v>
      </c>
      <c r="C864" s="4" t="s">
        <v>2592</v>
      </c>
      <c r="D864" s="5" t="s">
        <v>2593</v>
      </c>
      <c r="E864" s="5">
        <v>3319.96</v>
      </c>
      <c r="F864" s="6">
        <f>LOOKUP(D864,'AMFI DATA_2023H2'!F:J,'AMFI DATA_2023H2'!J:J)</f>
        <v>2172.7592000000004</v>
      </c>
      <c r="G864" s="7">
        <f t="shared" si="3"/>
        <v>-1</v>
      </c>
      <c r="H864" s="8"/>
      <c r="I864" s="8">
        <v>905</v>
      </c>
      <c r="J864" s="8">
        <v>884</v>
      </c>
      <c r="K864" s="8">
        <v>870</v>
      </c>
      <c r="L864" s="8">
        <v>854</v>
      </c>
      <c r="M864" s="8">
        <v>871</v>
      </c>
      <c r="N864" s="8">
        <v>884</v>
      </c>
      <c r="O864" s="8">
        <v>906</v>
      </c>
      <c r="P864" s="8">
        <v>924</v>
      </c>
      <c r="Q864" s="8">
        <v>943</v>
      </c>
      <c r="R864" s="8">
        <v>961</v>
      </c>
      <c r="S864" s="8">
        <v>981</v>
      </c>
      <c r="T864" s="8">
        <v>993</v>
      </c>
      <c r="U864" s="8">
        <v>1020</v>
      </c>
      <c r="V864" s="8">
        <v>1041</v>
      </c>
      <c r="W864" s="8">
        <v>1062</v>
      </c>
      <c r="X864" s="8">
        <v>1060</v>
      </c>
      <c r="Y864" s="8">
        <v>1081</v>
      </c>
      <c r="Z864" s="8">
        <v>1103</v>
      </c>
      <c r="AA864" s="8">
        <v>1116</v>
      </c>
      <c r="AB864" s="8">
        <v>1143</v>
      </c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</row>
    <row r="865" spans="1:47" ht="14.4">
      <c r="A865" s="3">
        <f>LOOKUP(D865,'AMFI DATA_2023H2'!F:L,'AMFI DATA_2023H2'!L:L)</f>
        <v>895</v>
      </c>
      <c r="B865" s="4" t="s">
        <v>2594</v>
      </c>
      <c r="C865" s="4" t="s">
        <v>2595</v>
      </c>
      <c r="D865" s="5" t="s">
        <v>2596</v>
      </c>
      <c r="E865" s="5">
        <v>1326.33</v>
      </c>
      <c r="F865" s="6">
        <f>LOOKUP(D865,'AMFI DATA_2023H2'!F:J,'AMFI DATA_2023H2'!J:J)</f>
        <v>2172.3615</v>
      </c>
      <c r="G865" s="7">
        <f t="shared" si="3"/>
        <v>-1</v>
      </c>
      <c r="H865" s="8"/>
      <c r="I865" s="8">
        <v>2238</v>
      </c>
      <c r="J865" s="8">
        <v>2237</v>
      </c>
      <c r="K865" s="8">
        <v>2209</v>
      </c>
      <c r="L865" s="8">
        <v>2235</v>
      </c>
      <c r="M865" s="8">
        <v>2280</v>
      </c>
      <c r="N865" s="8">
        <v>2292</v>
      </c>
      <c r="O865" s="8">
        <v>2217</v>
      </c>
      <c r="P865" s="8">
        <v>2179</v>
      </c>
      <c r="Q865" s="8">
        <v>2206</v>
      </c>
      <c r="R865" s="8">
        <v>2203</v>
      </c>
      <c r="S865" s="8">
        <v>2250</v>
      </c>
      <c r="T865" s="8">
        <v>2287</v>
      </c>
      <c r="U865" s="8">
        <v>2207</v>
      </c>
      <c r="V865" s="8">
        <v>2216</v>
      </c>
      <c r="W865" s="8">
        <v>2234</v>
      </c>
      <c r="X865" s="8">
        <v>2225</v>
      </c>
      <c r="Y865" s="8">
        <v>2235</v>
      </c>
      <c r="Z865" s="8">
        <v>2277</v>
      </c>
      <c r="AA865" s="8">
        <v>2268</v>
      </c>
      <c r="AB865" s="8">
        <v>2300</v>
      </c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</row>
    <row r="866" spans="1:47" ht="14.4">
      <c r="A866" s="3">
        <f>LOOKUP(D866,'AMFI DATA_2023H2'!F:L,'AMFI DATA_2023H2'!L:L)</f>
        <v>896</v>
      </c>
      <c r="B866" s="4" t="s">
        <v>2597</v>
      </c>
      <c r="C866" s="4" t="s">
        <v>2598</v>
      </c>
      <c r="D866" s="5" t="s">
        <v>2599</v>
      </c>
      <c r="E866" s="5">
        <v>1957.06</v>
      </c>
      <c r="F866" s="6">
        <f>LOOKUP(D866,'AMFI DATA_2023H2'!F:J,'AMFI DATA_2023H2'!J:J)</f>
        <v>2170.6014500000001</v>
      </c>
      <c r="G866" s="7">
        <f t="shared" si="3"/>
        <v>-1</v>
      </c>
      <c r="H866" s="8"/>
      <c r="I866" s="8">
        <v>2701</v>
      </c>
      <c r="J866" s="8">
        <v>2830</v>
      </c>
      <c r="K866" s="8">
        <v>2743</v>
      </c>
      <c r="L866" s="8">
        <v>2781</v>
      </c>
      <c r="M866" s="8">
        <v>2896</v>
      </c>
      <c r="N866" s="8">
        <v>2612</v>
      </c>
      <c r="O866" s="8">
        <v>2331</v>
      </c>
      <c r="P866" s="8">
        <v>2300</v>
      </c>
      <c r="Q866" s="8">
        <v>2295</v>
      </c>
      <c r="R866" s="8">
        <v>2248</v>
      </c>
      <c r="S866" s="8">
        <v>2187</v>
      </c>
      <c r="T866" s="8">
        <v>2117</v>
      </c>
      <c r="U866" s="8">
        <v>2140</v>
      </c>
      <c r="V866" s="8">
        <v>2118</v>
      </c>
      <c r="W866" s="8">
        <v>2126</v>
      </c>
      <c r="X866" s="8">
        <v>2114</v>
      </c>
      <c r="Y866" s="8">
        <v>2135</v>
      </c>
      <c r="Z866" s="8">
        <v>2130</v>
      </c>
      <c r="AA866" s="8">
        <v>2091</v>
      </c>
      <c r="AB866" s="8">
        <v>2072</v>
      </c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</row>
    <row r="867" spans="1:47" ht="14.4">
      <c r="A867" s="3">
        <f>LOOKUP(D867,'AMFI DATA_2023H2'!F:L,'AMFI DATA_2023H2'!L:L)</f>
        <v>897</v>
      </c>
      <c r="B867" s="4" t="s">
        <v>2600</v>
      </c>
      <c r="C867" s="4" t="s">
        <v>2601</v>
      </c>
      <c r="D867" s="5" t="s">
        <v>2602</v>
      </c>
      <c r="E867" s="5">
        <v>1783.56</v>
      </c>
      <c r="F867" s="6">
        <f>LOOKUP(D867,'AMFI DATA_2023H2'!F:J,'AMFI DATA_2023H2'!J:J)</f>
        <v>2168.3476000000001</v>
      </c>
      <c r="G867" s="7">
        <f t="shared" si="3"/>
        <v>-1</v>
      </c>
      <c r="H867" s="8"/>
      <c r="I867" s="8">
        <v>2261</v>
      </c>
      <c r="J867" s="8">
        <v>2242</v>
      </c>
      <c r="K867" s="8">
        <v>2226</v>
      </c>
      <c r="L867" s="8">
        <v>2250</v>
      </c>
      <c r="M867" s="8">
        <v>2338</v>
      </c>
      <c r="N867" s="8">
        <v>2283</v>
      </c>
      <c r="O867" s="8">
        <v>2322</v>
      </c>
      <c r="P867" s="8">
        <v>2393</v>
      </c>
      <c r="Q867" s="8">
        <v>2279</v>
      </c>
      <c r="R867" s="8">
        <v>2306</v>
      </c>
      <c r="S867" s="8">
        <v>2294</v>
      </c>
      <c r="T867" s="8">
        <v>2271</v>
      </c>
      <c r="U867" s="8">
        <v>2269</v>
      </c>
      <c r="V867" s="8">
        <v>2091</v>
      </c>
      <c r="W867" s="8">
        <v>2081</v>
      </c>
      <c r="X867" s="8">
        <v>2043</v>
      </c>
      <c r="Y867" s="8">
        <v>2068</v>
      </c>
      <c r="Z867" s="8">
        <v>2035</v>
      </c>
      <c r="AA867" s="8">
        <v>2035</v>
      </c>
      <c r="AB867" s="8">
        <v>1993</v>
      </c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</row>
    <row r="868" spans="1:47" ht="14.4">
      <c r="A868" s="3">
        <f>LOOKUP(D868,'AMFI DATA_2023H2'!F:L,'AMFI DATA_2023H2'!L:L)</f>
        <v>898</v>
      </c>
      <c r="B868" s="4" t="s">
        <v>2603</v>
      </c>
      <c r="C868" s="4" t="s">
        <v>2604</v>
      </c>
      <c r="D868" s="5" t="s">
        <v>2605</v>
      </c>
      <c r="E868" s="5">
        <v>961.77</v>
      </c>
      <c r="F868" s="6">
        <f>LOOKUP(D868,'AMFI DATA_2023H2'!F:J,'AMFI DATA_2023H2'!J:J)</f>
        <v>2167.2802499999998</v>
      </c>
      <c r="G868" s="7">
        <f t="shared" si="3"/>
        <v>-1</v>
      </c>
      <c r="H868" s="8"/>
      <c r="I868" s="8">
        <v>2657</v>
      </c>
      <c r="J868" s="8">
        <v>2640</v>
      </c>
      <c r="K868" s="8">
        <v>2665</v>
      </c>
      <c r="L868" s="8">
        <v>2749</v>
      </c>
      <c r="M868" s="8">
        <v>2798</v>
      </c>
      <c r="N868" s="8">
        <v>2795</v>
      </c>
      <c r="O868" s="8">
        <v>2775</v>
      </c>
      <c r="P868" s="8">
        <v>2748</v>
      </c>
      <c r="Q868" s="8">
        <v>2809</v>
      </c>
      <c r="R868" s="8">
        <v>2918</v>
      </c>
      <c r="S868" s="8">
        <v>3045</v>
      </c>
      <c r="T868" s="8">
        <v>3001</v>
      </c>
      <c r="U868" s="8">
        <v>2984</v>
      </c>
      <c r="V868" s="8">
        <v>2940</v>
      </c>
      <c r="W868" s="8">
        <v>2914</v>
      </c>
      <c r="X868" s="8">
        <v>2789</v>
      </c>
      <c r="Y868" s="8">
        <v>2788</v>
      </c>
      <c r="Z868" s="8">
        <v>2817</v>
      </c>
      <c r="AA868" s="8">
        <v>2878</v>
      </c>
      <c r="AB868" s="8">
        <v>2849</v>
      </c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</row>
    <row r="869" spans="1:47" ht="14.4">
      <c r="A869" s="3">
        <f>LOOKUP(D869,'AMFI DATA_2023H2'!F:L,'AMFI DATA_2023H2'!L:L)</f>
        <v>899</v>
      </c>
      <c r="B869" s="4" t="s">
        <v>2606</v>
      </c>
      <c r="C869" s="4" t="s">
        <v>2607</v>
      </c>
      <c r="D869" s="5" t="s">
        <v>2608</v>
      </c>
      <c r="E869" s="5">
        <v>1732.8</v>
      </c>
      <c r="F869" s="6">
        <f>LOOKUP(D869,'AMFI DATA_2023H2'!F:J,'AMFI DATA_2023H2'!J:J)</f>
        <v>2163.5086499999998</v>
      </c>
      <c r="G869" s="7">
        <f t="shared" si="3"/>
        <v>-1</v>
      </c>
      <c r="H869" s="8"/>
      <c r="I869" s="8">
        <v>2301</v>
      </c>
      <c r="J869" s="8">
        <v>2301</v>
      </c>
      <c r="K869" s="8">
        <v>2280</v>
      </c>
      <c r="L869" s="8">
        <v>2311</v>
      </c>
      <c r="M869" s="8">
        <v>2371</v>
      </c>
      <c r="N869" s="8">
        <v>2398</v>
      </c>
      <c r="O869" s="8">
        <v>2325</v>
      </c>
      <c r="P869" s="8">
        <v>2370</v>
      </c>
      <c r="Q869" s="8">
        <v>2400</v>
      </c>
      <c r="R869" s="8">
        <v>2244</v>
      </c>
      <c r="S869" s="8">
        <v>2259</v>
      </c>
      <c r="T869" s="8">
        <v>2263</v>
      </c>
      <c r="U869" s="8">
        <v>2280</v>
      </c>
      <c r="V869" s="8">
        <v>2295</v>
      </c>
      <c r="W869" s="8">
        <v>2318</v>
      </c>
      <c r="X869" s="8">
        <v>2309</v>
      </c>
      <c r="Y869" s="8">
        <v>2370</v>
      </c>
      <c r="Z869" s="8">
        <v>2324</v>
      </c>
      <c r="AA869" s="8">
        <v>2336</v>
      </c>
      <c r="AB869" s="8">
        <v>2334</v>
      </c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</row>
    <row r="870" spans="1:47" ht="14.4">
      <c r="A870" s="3">
        <f>LOOKUP(D870,'AMFI DATA_2023H2'!F:L,'AMFI DATA_2023H2'!L:L)</f>
        <v>900</v>
      </c>
      <c r="B870" s="4" t="s">
        <v>2609</v>
      </c>
      <c r="C870" s="4" t="s">
        <v>2610</v>
      </c>
      <c r="D870" s="5" t="s">
        <v>2611</v>
      </c>
      <c r="E870" s="5">
        <v>2055.09</v>
      </c>
      <c r="F870" s="6">
        <f>LOOKUP(D870,'AMFI DATA_2023H2'!F:J,'AMFI DATA_2023H2'!J:J)</f>
        <v>2159.4214999999999</v>
      </c>
      <c r="G870" s="7">
        <f t="shared" si="3"/>
        <v>-1</v>
      </c>
      <c r="H870" s="8"/>
      <c r="I870" s="8">
        <v>2130</v>
      </c>
      <c r="J870" s="8">
        <v>2122</v>
      </c>
      <c r="K870" s="8">
        <v>2151</v>
      </c>
      <c r="L870" s="8">
        <v>2151</v>
      </c>
      <c r="M870" s="8">
        <v>2131</v>
      </c>
      <c r="N870" s="8">
        <v>2137</v>
      </c>
      <c r="O870" s="8">
        <v>2107</v>
      </c>
      <c r="P870" s="8">
        <v>2115</v>
      </c>
      <c r="Q870" s="8">
        <v>2085</v>
      </c>
      <c r="R870" s="8">
        <v>2144</v>
      </c>
      <c r="S870" s="8">
        <v>2107</v>
      </c>
      <c r="T870" s="8">
        <v>2076</v>
      </c>
      <c r="U870" s="8">
        <v>2115</v>
      </c>
      <c r="V870" s="8">
        <v>2141</v>
      </c>
      <c r="W870" s="8">
        <v>2144</v>
      </c>
      <c r="X870" s="8">
        <v>2142</v>
      </c>
      <c r="Y870" s="8">
        <v>2124</v>
      </c>
      <c r="Z870" s="8">
        <v>2153</v>
      </c>
      <c r="AA870" s="8">
        <v>2154</v>
      </c>
      <c r="AB870" s="8">
        <v>2149</v>
      </c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</row>
    <row r="871" spans="1:47" ht="14.4">
      <c r="A871" s="3">
        <f>LOOKUP(D871,'AMFI DATA_2023H2'!F:L,'AMFI DATA_2023H2'!L:L)</f>
        <v>902</v>
      </c>
      <c r="B871" s="4" t="s">
        <v>2612</v>
      </c>
      <c r="C871" s="4" t="s">
        <v>2613</v>
      </c>
      <c r="D871" s="5" t="s">
        <v>2614</v>
      </c>
      <c r="E871" s="5">
        <v>1496.96</v>
      </c>
      <c r="F871" s="6">
        <f>LOOKUP(D871,'AMFI DATA_2023H2'!F:J,'AMFI DATA_2023H2'!J:J)</f>
        <v>2153.4293499999999</v>
      </c>
      <c r="G871" s="7">
        <f t="shared" si="3"/>
        <v>-1</v>
      </c>
      <c r="H871" s="8"/>
      <c r="I871" s="8">
        <v>2370</v>
      </c>
      <c r="J871" s="8">
        <v>2304</v>
      </c>
      <c r="K871" s="8">
        <v>2321</v>
      </c>
      <c r="L871" s="8">
        <v>2358</v>
      </c>
      <c r="M871" s="8">
        <v>2375</v>
      </c>
      <c r="N871" s="8">
        <v>2375</v>
      </c>
      <c r="O871" s="8">
        <v>2373</v>
      </c>
      <c r="P871" s="8">
        <v>2383</v>
      </c>
      <c r="Q871" s="8">
        <v>2380</v>
      </c>
      <c r="R871" s="8">
        <v>2370</v>
      </c>
      <c r="S871" s="8">
        <v>2419</v>
      </c>
      <c r="T871" s="8">
        <v>2414</v>
      </c>
      <c r="U871" s="8">
        <v>2412</v>
      </c>
      <c r="V871" s="8">
        <v>2423</v>
      </c>
      <c r="W871" s="8">
        <v>2403</v>
      </c>
      <c r="X871" s="8">
        <v>2436</v>
      </c>
      <c r="Y871" s="8">
        <v>2431</v>
      </c>
      <c r="Z871" s="8">
        <v>2493</v>
      </c>
      <c r="AA871" s="8">
        <v>2507</v>
      </c>
      <c r="AB871" s="8">
        <v>2445</v>
      </c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</row>
    <row r="872" spans="1:47" ht="14.4">
      <c r="A872" s="3">
        <f>LOOKUP(D872,'AMFI DATA_2023H2'!F:L,'AMFI DATA_2023H2'!L:L)</f>
        <v>903</v>
      </c>
      <c r="B872" s="4" t="s">
        <v>2615</v>
      </c>
      <c r="C872" s="4" t="s">
        <v>2616</v>
      </c>
      <c r="D872" s="5" t="s">
        <v>2617</v>
      </c>
      <c r="E872" s="5">
        <v>1933.83</v>
      </c>
      <c r="F872" s="6">
        <f>LOOKUP(D872,'AMFI DATA_2023H2'!F:J,'AMFI DATA_2023H2'!J:J)</f>
        <v>2148.7035000000001</v>
      </c>
      <c r="G872" s="7">
        <f t="shared" si="3"/>
        <v>-1</v>
      </c>
      <c r="H872" s="8"/>
      <c r="I872" s="8">
        <v>2808</v>
      </c>
      <c r="J872" s="8">
        <v>2777</v>
      </c>
      <c r="K872" s="8">
        <v>2734</v>
      </c>
      <c r="L872" s="8">
        <v>2767</v>
      </c>
      <c r="M872" s="8">
        <v>2764</v>
      </c>
      <c r="N872" s="8">
        <v>2798</v>
      </c>
      <c r="O872" s="8">
        <v>2793</v>
      </c>
      <c r="P872" s="8">
        <v>2832</v>
      </c>
      <c r="Q872" s="8">
        <v>2867</v>
      </c>
      <c r="R872" s="8">
        <v>2867</v>
      </c>
      <c r="S872" s="8">
        <v>2921</v>
      </c>
      <c r="T872" s="8">
        <v>2801</v>
      </c>
      <c r="U872" s="8">
        <v>2639</v>
      </c>
      <c r="V872" s="8">
        <v>2607</v>
      </c>
      <c r="W872" s="8">
        <v>2569</v>
      </c>
      <c r="X872" s="8">
        <v>2372</v>
      </c>
      <c r="Y872" s="8">
        <v>2319</v>
      </c>
      <c r="Z872" s="8">
        <v>2324</v>
      </c>
      <c r="AA872" s="8">
        <v>2342</v>
      </c>
      <c r="AB872" s="8">
        <v>2292</v>
      </c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</row>
    <row r="873" spans="1:47" ht="14.4">
      <c r="A873" s="3">
        <f>LOOKUP(D873,'AMFI DATA_2023H2'!F:L,'AMFI DATA_2023H2'!L:L)</f>
        <v>904</v>
      </c>
      <c r="B873" s="4" t="s">
        <v>2618</v>
      </c>
      <c r="C873" s="4" t="s">
        <v>2619</v>
      </c>
      <c r="D873" s="5" t="s">
        <v>2620</v>
      </c>
      <c r="E873" s="5">
        <v>1540.43</v>
      </c>
      <c r="F873" s="6">
        <f>LOOKUP(D873,'AMFI DATA_2023H2'!F:J,'AMFI DATA_2023H2'!J:J)</f>
        <v>2145.2779</v>
      </c>
      <c r="G873" s="7">
        <f t="shared" si="3"/>
        <v>-1</v>
      </c>
      <c r="H873" s="8"/>
      <c r="I873" s="8">
        <v>2615</v>
      </c>
      <c r="J873" s="8">
        <v>2584</v>
      </c>
      <c r="K873" s="8">
        <v>2499</v>
      </c>
      <c r="L873" s="8">
        <v>2484</v>
      </c>
      <c r="M873" s="8">
        <v>2557</v>
      </c>
      <c r="N873" s="8">
        <v>2632</v>
      </c>
      <c r="O873" s="8">
        <v>2786</v>
      </c>
      <c r="P873" s="8">
        <v>2767</v>
      </c>
      <c r="Q873" s="8">
        <v>2720</v>
      </c>
      <c r="R873" s="8">
        <v>2727</v>
      </c>
      <c r="S873" s="8">
        <v>2715</v>
      </c>
      <c r="T873" s="8">
        <v>2726</v>
      </c>
      <c r="U873" s="8">
        <v>2744</v>
      </c>
      <c r="V873" s="8">
        <v>2798</v>
      </c>
      <c r="W873" s="8">
        <v>2799</v>
      </c>
      <c r="X873" s="8">
        <v>2747</v>
      </c>
      <c r="Y873" s="8">
        <v>2675</v>
      </c>
      <c r="Z873" s="8">
        <v>2682</v>
      </c>
      <c r="AA873" s="8">
        <v>2616</v>
      </c>
      <c r="AB873" s="8">
        <v>2301</v>
      </c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</row>
    <row r="874" spans="1:47" ht="14.4">
      <c r="A874" s="3">
        <f>LOOKUP(D874,'AMFI DATA_2023H2'!F:L,'AMFI DATA_2023H2'!L:L)</f>
        <v>905</v>
      </c>
      <c r="B874" s="4" t="s">
        <v>2621</v>
      </c>
      <c r="C874" s="4" t="s">
        <v>2622</v>
      </c>
      <c r="D874" s="5" t="s">
        <v>2623</v>
      </c>
      <c r="E874" s="5">
        <v>1790.52</v>
      </c>
      <c r="F874" s="6">
        <f>LOOKUP(D874,'AMFI DATA_2023H2'!F:J,'AMFI DATA_2023H2'!J:J)</f>
        <v>2140.2496000000001</v>
      </c>
      <c r="G874" s="7">
        <f t="shared" si="3"/>
        <v>-1</v>
      </c>
      <c r="H874" s="8"/>
      <c r="I874" s="8">
        <v>2447</v>
      </c>
      <c r="J874" s="8">
        <v>2417</v>
      </c>
      <c r="K874" s="8">
        <v>2424</v>
      </c>
      <c r="L874" s="8">
        <v>2464</v>
      </c>
      <c r="M874" s="8">
        <v>2508</v>
      </c>
      <c r="N874" s="8">
        <v>2526</v>
      </c>
      <c r="O874" s="8">
        <v>2452</v>
      </c>
      <c r="P874" s="8">
        <v>2428</v>
      </c>
      <c r="Q874" s="8">
        <v>2460</v>
      </c>
      <c r="R874" s="8">
        <v>2464</v>
      </c>
      <c r="S874" s="8">
        <v>2527</v>
      </c>
      <c r="T874" s="8">
        <v>2592</v>
      </c>
      <c r="U874" s="8">
        <v>2614</v>
      </c>
      <c r="V874" s="8">
        <v>2630</v>
      </c>
      <c r="W874" s="8">
        <v>2538</v>
      </c>
      <c r="X874" s="8">
        <v>2535</v>
      </c>
      <c r="Y874" s="8">
        <v>2545</v>
      </c>
      <c r="Z874" s="8">
        <v>2541</v>
      </c>
      <c r="AA874" s="8">
        <v>2547</v>
      </c>
      <c r="AB874" s="8">
        <v>2391</v>
      </c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</row>
    <row r="875" spans="1:47" ht="14.4">
      <c r="A875" s="3">
        <f>LOOKUP(D875,'AMFI DATA_2023H2'!F:L,'AMFI DATA_2023H2'!L:L)</f>
        <v>906</v>
      </c>
      <c r="B875" s="4" t="s">
        <v>2624</v>
      </c>
      <c r="C875" s="4" t="s">
        <v>2625</v>
      </c>
      <c r="D875" s="5" t="s">
        <v>2626</v>
      </c>
      <c r="E875" s="5">
        <v>1776.31</v>
      </c>
      <c r="F875" s="6">
        <f>LOOKUP(D875,'AMFI DATA_2023H2'!F:J,'AMFI DATA_2023H2'!J:J)</f>
        <v>2138.3530499999997</v>
      </c>
      <c r="G875" s="7">
        <f t="shared" si="3"/>
        <v>-1</v>
      </c>
      <c r="H875" s="8"/>
      <c r="I875" s="8">
        <v>2162</v>
      </c>
      <c r="J875" s="8">
        <v>2143</v>
      </c>
      <c r="K875" s="8">
        <v>2162</v>
      </c>
      <c r="L875" s="8">
        <v>2159</v>
      </c>
      <c r="M875" s="8">
        <v>2149</v>
      </c>
      <c r="N875" s="8">
        <v>2194</v>
      </c>
      <c r="O875" s="8">
        <v>2149</v>
      </c>
      <c r="P875" s="8">
        <v>2153</v>
      </c>
      <c r="Q875" s="8">
        <v>2166</v>
      </c>
      <c r="R875" s="8">
        <v>2200</v>
      </c>
      <c r="S875" s="8">
        <v>2234</v>
      </c>
      <c r="T875" s="8">
        <v>2250</v>
      </c>
      <c r="U875" s="8">
        <v>2302</v>
      </c>
      <c r="V875" s="8">
        <v>2282</v>
      </c>
      <c r="W875" s="8">
        <v>2281</v>
      </c>
      <c r="X875" s="8">
        <v>2330</v>
      </c>
      <c r="Y875" s="8">
        <v>2346</v>
      </c>
      <c r="Z875" s="8">
        <v>2341</v>
      </c>
      <c r="AA875" s="8">
        <v>2310</v>
      </c>
      <c r="AB875" s="8">
        <v>2245</v>
      </c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</row>
    <row r="876" spans="1:47" ht="14.4">
      <c r="A876" s="3">
        <f>LOOKUP(D876,'AMFI DATA_2023H2'!F:L,'AMFI DATA_2023H2'!L:L)</f>
        <v>907</v>
      </c>
      <c r="B876" s="4" t="s">
        <v>2627</v>
      </c>
      <c r="C876" s="4" t="s">
        <v>2628</v>
      </c>
      <c r="D876" s="5" t="s">
        <v>2629</v>
      </c>
      <c r="E876" s="5">
        <v>1972.66</v>
      </c>
      <c r="F876" s="6">
        <f>LOOKUP(D876,'AMFI DATA_2023H2'!F:J,'AMFI DATA_2023H2'!J:J)</f>
        <v>2131.9917999999998</v>
      </c>
      <c r="G876" s="7">
        <f t="shared" si="3"/>
        <v>-1</v>
      </c>
      <c r="H876" s="8"/>
      <c r="I876" s="8">
        <v>2116</v>
      </c>
      <c r="J876" s="8">
        <v>2116</v>
      </c>
      <c r="K876" s="8">
        <v>2123</v>
      </c>
      <c r="L876" s="8">
        <v>2179</v>
      </c>
      <c r="M876" s="8">
        <v>2177</v>
      </c>
      <c r="N876" s="8">
        <v>2159</v>
      </c>
      <c r="O876" s="8">
        <v>2159</v>
      </c>
      <c r="P876" s="8">
        <v>2123</v>
      </c>
      <c r="Q876" s="8">
        <v>2168</v>
      </c>
      <c r="R876" s="8">
        <v>2149</v>
      </c>
      <c r="S876" s="8">
        <v>2165</v>
      </c>
      <c r="T876" s="8">
        <v>2181</v>
      </c>
      <c r="U876" s="8">
        <v>2177</v>
      </c>
      <c r="V876" s="8">
        <v>2165</v>
      </c>
      <c r="W876" s="8">
        <v>2178</v>
      </c>
      <c r="X876" s="8">
        <v>2139</v>
      </c>
      <c r="Y876" s="8">
        <v>2139</v>
      </c>
      <c r="Z876" s="8">
        <v>2126</v>
      </c>
      <c r="AA876" s="8">
        <v>2110</v>
      </c>
      <c r="AB876" s="8">
        <v>2109</v>
      </c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</row>
    <row r="877" spans="1:47" ht="14.4">
      <c r="A877" s="3">
        <f>LOOKUP(D877,'AMFI DATA_2023H2'!F:L,'AMFI DATA_2023H2'!L:L)</f>
        <v>908</v>
      </c>
      <c r="B877" s="4" t="s">
        <v>2630</v>
      </c>
      <c r="C877" s="4" t="s">
        <v>2631</v>
      </c>
      <c r="D877" s="5" t="s">
        <v>2632</v>
      </c>
      <c r="E877" s="5">
        <v>1845.2</v>
      </c>
      <c r="F877" s="6">
        <f>LOOKUP(D877,'AMFI DATA_2023H2'!F:J,'AMFI DATA_2023H2'!J:J)</f>
        <v>2129.7658499999998</v>
      </c>
      <c r="G877" s="7">
        <f t="shared" si="3"/>
        <v>-1</v>
      </c>
      <c r="H877" s="8"/>
      <c r="I877" s="8">
        <v>3109</v>
      </c>
      <c r="J877" s="8">
        <v>3253</v>
      </c>
      <c r="K877" s="8">
        <v>2935</v>
      </c>
      <c r="L877" s="8">
        <v>2999</v>
      </c>
      <c r="M877" s="8">
        <v>2742</v>
      </c>
      <c r="N877" s="8">
        <v>2706</v>
      </c>
      <c r="O877" s="8">
        <v>2782</v>
      </c>
      <c r="P877" s="8">
        <v>2808</v>
      </c>
      <c r="Q877" s="8">
        <v>2808</v>
      </c>
      <c r="R877" s="8">
        <v>2870</v>
      </c>
      <c r="S877" s="8">
        <v>2656</v>
      </c>
      <c r="T877" s="8">
        <v>2687</v>
      </c>
      <c r="U877" s="8">
        <v>2599</v>
      </c>
      <c r="V877" s="8">
        <v>2631</v>
      </c>
      <c r="W877" s="8">
        <v>2663</v>
      </c>
      <c r="X877" s="8">
        <v>2560</v>
      </c>
      <c r="Y877" s="8">
        <v>2501</v>
      </c>
      <c r="Z877" s="8">
        <v>2529</v>
      </c>
      <c r="AA877" s="8">
        <v>2446</v>
      </c>
      <c r="AB877" s="8">
        <v>2304</v>
      </c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</row>
    <row r="878" spans="1:47" ht="14.4">
      <c r="A878" s="3">
        <f>LOOKUP(D878,'AMFI DATA_2023H2'!F:L,'AMFI DATA_2023H2'!L:L)</f>
        <v>909</v>
      </c>
      <c r="B878" s="4" t="s">
        <v>2633</v>
      </c>
      <c r="C878" s="4" t="s">
        <v>2634</v>
      </c>
      <c r="D878" s="5" t="s">
        <v>2635</v>
      </c>
      <c r="E878" s="5">
        <v>1296.83</v>
      </c>
      <c r="F878" s="6">
        <f>LOOKUP(D878,'AMFI DATA_2023H2'!F:J,'AMFI DATA_2023H2'!J:J)</f>
        <v>2127.2457999999997</v>
      </c>
      <c r="G878" s="7">
        <f t="shared" si="3"/>
        <v>-1</v>
      </c>
      <c r="H878" s="8"/>
      <c r="I878" s="8">
        <v>2762</v>
      </c>
      <c r="J878" s="8">
        <v>2672</v>
      </c>
      <c r="K878" s="8">
        <v>2681</v>
      </c>
      <c r="L878" s="8">
        <v>2681</v>
      </c>
      <c r="M878" s="8">
        <v>2752</v>
      </c>
      <c r="N878" s="8">
        <v>2774</v>
      </c>
      <c r="O878" s="8">
        <v>2814</v>
      </c>
      <c r="P878" s="8">
        <v>2822</v>
      </c>
      <c r="Q878" s="8">
        <v>2824</v>
      </c>
      <c r="R878" s="8">
        <v>2716</v>
      </c>
      <c r="S878" s="8">
        <v>2785</v>
      </c>
      <c r="T878" s="8">
        <v>2814</v>
      </c>
      <c r="U878" s="8">
        <v>2782</v>
      </c>
      <c r="V878" s="8">
        <v>2791</v>
      </c>
      <c r="W878" s="8">
        <v>2744</v>
      </c>
      <c r="X878" s="8">
        <v>2633</v>
      </c>
      <c r="Y878" s="8">
        <v>2676</v>
      </c>
      <c r="Z878" s="8">
        <v>2651</v>
      </c>
      <c r="AA878" s="8">
        <v>2654</v>
      </c>
      <c r="AB878" s="8">
        <v>2533</v>
      </c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</row>
    <row r="879" spans="1:47" ht="14.4">
      <c r="A879" s="3">
        <f>LOOKUP(D879,'AMFI DATA_2023H2'!F:L,'AMFI DATA_2023H2'!L:L)</f>
        <v>910</v>
      </c>
      <c r="B879" s="4" t="s">
        <v>2636</v>
      </c>
      <c r="C879" s="4" t="s">
        <v>2637</v>
      </c>
      <c r="D879" s="5" t="s">
        <v>2638</v>
      </c>
      <c r="E879" s="5">
        <v>133.1</v>
      </c>
      <c r="F879" s="6">
        <f>LOOKUP(D879,'AMFI DATA_2023H2'!F:J,'AMFI DATA_2023H2'!J:J)</f>
        <v>2124.6133500000001</v>
      </c>
      <c r="G879" s="7">
        <f t="shared" si="3"/>
        <v>-1</v>
      </c>
      <c r="H879" s="8"/>
      <c r="I879" s="8">
        <v>2712</v>
      </c>
      <c r="J879" s="8">
        <v>2715</v>
      </c>
      <c r="K879" s="8">
        <v>2683</v>
      </c>
      <c r="L879" s="8">
        <v>2821</v>
      </c>
      <c r="M879" s="8">
        <v>2747</v>
      </c>
      <c r="N879" s="8">
        <v>2784</v>
      </c>
      <c r="O879" s="8">
        <v>2814</v>
      </c>
      <c r="P879" s="8">
        <v>2830</v>
      </c>
      <c r="Q879" s="8">
        <v>2606</v>
      </c>
      <c r="R879" s="8">
        <v>2401</v>
      </c>
      <c r="S879" s="8">
        <v>2338</v>
      </c>
      <c r="T879" s="8">
        <v>2327</v>
      </c>
      <c r="U879" s="8">
        <v>2386</v>
      </c>
      <c r="V879" s="8">
        <v>2383</v>
      </c>
      <c r="W879" s="8">
        <v>2335</v>
      </c>
      <c r="X879" s="8">
        <v>2260</v>
      </c>
      <c r="Y879" s="8">
        <v>2275</v>
      </c>
      <c r="Z879" s="8">
        <v>2246</v>
      </c>
      <c r="AA879" s="8">
        <v>2220</v>
      </c>
      <c r="AB879" s="8">
        <v>2201</v>
      </c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</row>
    <row r="880" spans="1:47" ht="14.4">
      <c r="A880" s="3">
        <f>LOOKUP(D880,'AMFI DATA_2023H2'!F:L,'AMFI DATA_2023H2'!L:L)</f>
        <v>911</v>
      </c>
      <c r="B880" s="4" t="s">
        <v>2639</v>
      </c>
      <c r="C880" s="4" t="s">
        <v>2640</v>
      </c>
      <c r="D880" s="5" t="s">
        <v>2641</v>
      </c>
      <c r="E880" s="5">
        <v>1925.46</v>
      </c>
      <c r="F880" s="6">
        <f>LOOKUP(D880,'AMFI DATA_2023H2'!F:J,'AMFI DATA_2023H2'!J:J)</f>
        <v>2116.7695000000003</v>
      </c>
      <c r="G880" s="7">
        <f t="shared" si="3"/>
        <v>-1</v>
      </c>
      <c r="H880" s="8"/>
      <c r="I880" s="8">
        <v>2519</v>
      </c>
      <c r="J880" s="8">
        <v>2440</v>
      </c>
      <c r="K880" s="8">
        <v>2426</v>
      </c>
      <c r="L880" s="8">
        <v>2494</v>
      </c>
      <c r="M880" s="8">
        <v>2558</v>
      </c>
      <c r="N880" s="8">
        <v>2448</v>
      </c>
      <c r="O880" s="8">
        <v>2470</v>
      </c>
      <c r="P880" s="8">
        <v>2376</v>
      </c>
      <c r="Q880" s="8">
        <v>2364</v>
      </c>
      <c r="R880" s="8">
        <v>2342</v>
      </c>
      <c r="S880" s="8">
        <v>2377</v>
      </c>
      <c r="T880" s="8">
        <v>2395</v>
      </c>
      <c r="U880" s="8">
        <v>2401</v>
      </c>
      <c r="V880" s="8">
        <v>2424</v>
      </c>
      <c r="W880" s="8">
        <v>2374</v>
      </c>
      <c r="X880" s="8">
        <v>2245</v>
      </c>
      <c r="Y880" s="8">
        <v>2204</v>
      </c>
      <c r="Z880" s="8">
        <v>2297</v>
      </c>
      <c r="AA880" s="8">
        <v>2314</v>
      </c>
      <c r="AB880" s="8">
        <v>2136</v>
      </c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</row>
    <row r="881" spans="1:47" ht="14.4">
      <c r="A881" s="3">
        <f>LOOKUP(D881,'AMFI DATA_2023H2'!F:L,'AMFI DATA_2023H2'!L:L)</f>
        <v>912</v>
      </c>
      <c r="B881" s="4" t="s">
        <v>2642</v>
      </c>
      <c r="C881" s="4" t="s">
        <v>2643</v>
      </c>
      <c r="D881" s="5" t="s">
        <v>2644</v>
      </c>
      <c r="E881" s="5">
        <v>1751.67</v>
      </c>
      <c r="F881" s="6">
        <f>LOOKUP(D881,'AMFI DATA_2023H2'!F:J,'AMFI DATA_2023H2'!J:J)</f>
        <v>2108.5153499999997</v>
      </c>
      <c r="G881" s="7">
        <f t="shared" si="3"/>
        <v>-1</v>
      </c>
      <c r="H881" s="8"/>
      <c r="I881" s="8">
        <v>2832</v>
      </c>
      <c r="J881" s="8">
        <v>2724</v>
      </c>
      <c r="K881" s="8">
        <v>2735</v>
      </c>
      <c r="L881" s="8">
        <v>2722</v>
      </c>
      <c r="M881" s="8">
        <v>2790</v>
      </c>
      <c r="N881" s="8">
        <v>2764</v>
      </c>
      <c r="O881" s="8">
        <v>2617</v>
      </c>
      <c r="P881" s="8">
        <v>2507</v>
      </c>
      <c r="Q881" s="8">
        <v>2381</v>
      </c>
      <c r="R881" s="8">
        <v>2368</v>
      </c>
      <c r="S881" s="8">
        <v>2330</v>
      </c>
      <c r="T881" s="8">
        <v>2360</v>
      </c>
      <c r="U881" s="8">
        <v>2354</v>
      </c>
      <c r="V881" s="8">
        <v>2339</v>
      </c>
      <c r="W881" s="8">
        <v>2363</v>
      </c>
      <c r="X881" s="8">
        <v>2300</v>
      </c>
      <c r="Y881" s="8">
        <v>2322</v>
      </c>
      <c r="Z881" s="8">
        <v>2294</v>
      </c>
      <c r="AA881" s="8">
        <v>2318</v>
      </c>
      <c r="AB881" s="8">
        <v>2241</v>
      </c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</row>
    <row r="882" spans="1:47" ht="14.4">
      <c r="A882" s="3">
        <f>LOOKUP(D882,'AMFI DATA_2023H2'!F:L,'AMFI DATA_2023H2'!L:L)</f>
        <v>913</v>
      </c>
      <c r="B882" s="4" t="s">
        <v>2645</v>
      </c>
      <c r="C882" s="4" t="s">
        <v>2646</v>
      </c>
      <c r="D882" s="5" t="s">
        <v>2647</v>
      </c>
      <c r="E882" s="5">
        <v>1746.04</v>
      </c>
      <c r="F882" s="6">
        <f>LOOKUP(D882,'AMFI DATA_2023H2'!F:J,'AMFI DATA_2023H2'!J:J)</f>
        <v>2104.5936999999999</v>
      </c>
      <c r="G882" s="7">
        <f t="shared" si="3"/>
        <v>-1</v>
      </c>
      <c r="H882" s="8"/>
      <c r="I882" s="8">
        <v>2238</v>
      </c>
      <c r="J882" s="8">
        <v>2223</v>
      </c>
      <c r="K882" s="8">
        <v>2231</v>
      </c>
      <c r="L882" s="8">
        <v>2252</v>
      </c>
      <c r="M882" s="8">
        <v>2304</v>
      </c>
      <c r="N882" s="8">
        <v>2340</v>
      </c>
      <c r="O882" s="8">
        <v>2358</v>
      </c>
      <c r="P882" s="8">
        <v>2282</v>
      </c>
      <c r="Q882" s="8">
        <v>2283</v>
      </c>
      <c r="R882" s="8">
        <v>2298</v>
      </c>
      <c r="S882" s="8">
        <v>2349</v>
      </c>
      <c r="T882" s="8">
        <v>2261</v>
      </c>
      <c r="U882" s="8">
        <v>2277</v>
      </c>
      <c r="V882" s="8">
        <v>2239</v>
      </c>
      <c r="W882" s="8">
        <v>2227</v>
      </c>
      <c r="X882" s="8">
        <v>2247</v>
      </c>
      <c r="Y882" s="8">
        <v>2247</v>
      </c>
      <c r="Z882" s="8">
        <v>2255</v>
      </c>
      <c r="AA882" s="8">
        <v>2252</v>
      </c>
      <c r="AB882" s="8">
        <v>2189</v>
      </c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</row>
    <row r="883" spans="1:47" ht="14.4">
      <c r="A883" s="3">
        <f>LOOKUP(D883,'AMFI DATA_2023H2'!F:L,'AMFI DATA_2023H2'!L:L)</f>
        <v>914</v>
      </c>
      <c r="B883" s="4" t="s">
        <v>2648</v>
      </c>
      <c r="C883" s="4" t="s">
        <v>2649</v>
      </c>
      <c r="D883" s="5" t="s">
        <v>2650</v>
      </c>
      <c r="E883" s="5">
        <v>1392.78</v>
      </c>
      <c r="F883" s="6">
        <f>LOOKUP(D883,'AMFI DATA_2023H2'!F:J,'AMFI DATA_2023H2'!J:J)</f>
        <v>2098.9264999999996</v>
      </c>
      <c r="G883" s="7">
        <f t="shared" si="3"/>
        <v>-1</v>
      </c>
      <c r="H883" s="8"/>
      <c r="I883" s="8">
        <v>2170</v>
      </c>
      <c r="J883" s="8">
        <v>2151</v>
      </c>
      <c r="K883" s="8">
        <v>2172</v>
      </c>
      <c r="L883" s="8">
        <v>2173</v>
      </c>
      <c r="M883" s="8">
        <v>2213</v>
      </c>
      <c r="N883" s="8">
        <v>2180</v>
      </c>
      <c r="O883" s="8">
        <v>2144</v>
      </c>
      <c r="P883" s="8">
        <v>2154</v>
      </c>
      <c r="Q883" s="8">
        <v>2172</v>
      </c>
      <c r="R883" s="8">
        <v>2207</v>
      </c>
      <c r="S883" s="8">
        <v>2165</v>
      </c>
      <c r="T883" s="8">
        <v>2030</v>
      </c>
      <c r="U883" s="8">
        <v>2041</v>
      </c>
      <c r="V883" s="8">
        <v>2016</v>
      </c>
      <c r="W883" s="8">
        <v>2045</v>
      </c>
      <c r="X883" s="8">
        <v>2017</v>
      </c>
      <c r="Y883" s="8">
        <v>2031</v>
      </c>
      <c r="Z883" s="8">
        <v>2049</v>
      </c>
      <c r="AA883" s="8">
        <v>2052</v>
      </c>
      <c r="AB883" s="8">
        <v>2021</v>
      </c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</row>
    <row r="884" spans="1:47" ht="14.4">
      <c r="A884" s="3">
        <f>LOOKUP(D884,'AMFI DATA_2023H2'!F:L,'AMFI DATA_2023H2'!L:L)</f>
        <v>917</v>
      </c>
      <c r="B884" s="4" t="s">
        <v>2651</v>
      </c>
      <c r="C884" s="4" t="s">
        <v>2652</v>
      </c>
      <c r="D884" s="5" t="s">
        <v>2653</v>
      </c>
      <c r="E884" s="5">
        <v>1695.89</v>
      </c>
      <c r="F884" s="6">
        <f>LOOKUP(D884,'AMFI DATA_2023H2'!F:J,'AMFI DATA_2023H2'!J:J)</f>
        <v>2093.9998500000002</v>
      </c>
      <c r="G884" s="7">
        <f t="shared" si="3"/>
        <v>-1</v>
      </c>
      <c r="H884" s="8"/>
      <c r="I884" s="8">
        <v>2424</v>
      </c>
      <c r="J884" s="8">
        <v>2400</v>
      </c>
      <c r="K884" s="8">
        <v>2425</v>
      </c>
      <c r="L884" s="8">
        <v>2440</v>
      </c>
      <c r="M884" s="8">
        <v>2516</v>
      </c>
      <c r="N884" s="8">
        <v>2407</v>
      </c>
      <c r="O884" s="8">
        <v>2397</v>
      </c>
      <c r="P884" s="8">
        <v>2335</v>
      </c>
      <c r="Q884" s="8">
        <v>2371</v>
      </c>
      <c r="R884" s="8">
        <v>2345</v>
      </c>
      <c r="S884" s="8">
        <v>2414</v>
      </c>
      <c r="T884" s="8">
        <v>2393</v>
      </c>
      <c r="U884" s="8">
        <v>2395</v>
      </c>
      <c r="V884" s="8">
        <v>2423</v>
      </c>
      <c r="W884" s="8">
        <v>2344</v>
      </c>
      <c r="X884" s="8">
        <v>2324</v>
      </c>
      <c r="Y884" s="8">
        <v>2335</v>
      </c>
      <c r="Z884" s="8">
        <v>2356</v>
      </c>
      <c r="AA884" s="8">
        <v>2392</v>
      </c>
      <c r="AB884" s="8">
        <v>2366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</row>
    <row r="885" spans="1:47" ht="14.4">
      <c r="A885" s="3">
        <f>LOOKUP(D885,'AMFI DATA_2023H2'!F:L,'AMFI DATA_2023H2'!L:L)</f>
        <v>919</v>
      </c>
      <c r="B885" s="4" t="s">
        <v>2654</v>
      </c>
      <c r="C885" s="4" t="s">
        <v>2655</v>
      </c>
      <c r="D885" s="5" t="s">
        <v>2656</v>
      </c>
      <c r="E885" s="5">
        <v>1689.45</v>
      </c>
      <c r="F885" s="6">
        <f>LOOKUP(D885,'AMFI DATA_2023H2'!F:J,'AMFI DATA_2023H2'!J:J)</f>
        <v>2088.8838500000002</v>
      </c>
      <c r="G885" s="7">
        <f t="shared" si="3"/>
        <v>-1</v>
      </c>
      <c r="H885" s="8"/>
      <c r="I885" s="8">
        <v>2315</v>
      </c>
      <c r="J885" s="8">
        <v>2257</v>
      </c>
      <c r="K885" s="8">
        <v>2270</v>
      </c>
      <c r="L885" s="8">
        <v>2288</v>
      </c>
      <c r="M885" s="8">
        <v>2370</v>
      </c>
      <c r="N885" s="8">
        <v>2297</v>
      </c>
      <c r="O885" s="8">
        <v>2296</v>
      </c>
      <c r="P885" s="8">
        <v>2303</v>
      </c>
      <c r="Q885" s="8">
        <v>2267</v>
      </c>
      <c r="R885" s="8">
        <v>2274</v>
      </c>
      <c r="S885" s="8">
        <v>2271</v>
      </c>
      <c r="T885" s="8">
        <v>2264</v>
      </c>
      <c r="U885" s="8">
        <v>2224</v>
      </c>
      <c r="V885" s="8">
        <v>2217</v>
      </c>
      <c r="W885" s="8">
        <v>2244</v>
      </c>
      <c r="X885" s="8">
        <v>2243</v>
      </c>
      <c r="Y885" s="8">
        <v>2238</v>
      </c>
      <c r="Z885" s="8">
        <v>2270</v>
      </c>
      <c r="AA885" s="8">
        <v>2236</v>
      </c>
      <c r="AB885" s="8">
        <v>2245</v>
      </c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</row>
    <row r="886" spans="1:47" ht="14.4">
      <c r="A886" s="3">
        <f>LOOKUP(D886,'AMFI DATA_2023H2'!F:L,'AMFI DATA_2023H2'!L:L)</f>
        <v>920</v>
      </c>
      <c r="B886" s="4" t="s">
        <v>2657</v>
      </c>
      <c r="C886" s="4" t="s">
        <v>2658</v>
      </c>
      <c r="D886" s="5" t="s">
        <v>2659</v>
      </c>
      <c r="E886" s="5">
        <v>1600.24</v>
      </c>
      <c r="F886" s="6">
        <f>LOOKUP(D886,'AMFI DATA_2023H2'!F:J,'AMFI DATA_2023H2'!J:J)</f>
        <v>2088.2843000000003</v>
      </c>
      <c r="G886" s="7">
        <f t="shared" si="3"/>
        <v>-1</v>
      </c>
      <c r="H886" s="8"/>
      <c r="I886" s="8">
        <v>2377</v>
      </c>
      <c r="J886" s="8">
        <v>2343</v>
      </c>
      <c r="K886" s="8">
        <v>2365</v>
      </c>
      <c r="L886" s="8">
        <v>2391</v>
      </c>
      <c r="M886" s="8">
        <v>2433</v>
      </c>
      <c r="N886" s="8">
        <v>2402</v>
      </c>
      <c r="O886" s="8">
        <v>2397</v>
      </c>
      <c r="P886" s="8">
        <v>2378</v>
      </c>
      <c r="Q886" s="8">
        <v>2399</v>
      </c>
      <c r="R886" s="8">
        <v>2389</v>
      </c>
      <c r="S886" s="8">
        <v>2432</v>
      </c>
      <c r="T886" s="8">
        <v>2415</v>
      </c>
      <c r="U886" s="8">
        <v>2419</v>
      </c>
      <c r="V886" s="8">
        <v>2434</v>
      </c>
      <c r="W886" s="8">
        <v>2457</v>
      </c>
      <c r="X886" s="8">
        <v>2464</v>
      </c>
      <c r="Y886" s="8">
        <v>2474</v>
      </c>
      <c r="Z886" s="8">
        <v>2484</v>
      </c>
      <c r="AA886" s="8">
        <v>2453</v>
      </c>
      <c r="AB886" s="8">
        <v>2350</v>
      </c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</row>
    <row r="887" spans="1:47" ht="14.4">
      <c r="A887" s="3">
        <f>LOOKUP(D887,'AMFI DATA_2023H2'!F:L,'AMFI DATA_2023H2'!L:L)</f>
        <v>921</v>
      </c>
      <c r="B887" s="4" t="s">
        <v>2660</v>
      </c>
      <c r="C887" s="4" t="s">
        <v>2661</v>
      </c>
      <c r="D887" s="5" t="s">
        <v>2662</v>
      </c>
      <c r="E887" s="5">
        <v>1778.87</v>
      </c>
      <c r="F887" s="6">
        <f>LOOKUP(D887,'AMFI DATA_2023H2'!F:J,'AMFI DATA_2023H2'!J:J)</f>
        <v>2087.2562499999999</v>
      </c>
      <c r="G887" s="7">
        <f t="shared" si="3"/>
        <v>-1</v>
      </c>
      <c r="H887" s="8"/>
      <c r="I887" s="8">
        <v>2131</v>
      </c>
      <c r="J887" s="8">
        <v>2051</v>
      </c>
      <c r="K887" s="8">
        <v>2082</v>
      </c>
      <c r="L887" s="8">
        <v>2099</v>
      </c>
      <c r="M887" s="8">
        <v>2167</v>
      </c>
      <c r="N887" s="8">
        <v>2168</v>
      </c>
      <c r="O887" s="8">
        <v>2170</v>
      </c>
      <c r="P887" s="8">
        <v>2176</v>
      </c>
      <c r="Q887" s="8">
        <v>2203</v>
      </c>
      <c r="R887" s="8">
        <v>2101</v>
      </c>
      <c r="S887" s="8">
        <v>2098</v>
      </c>
      <c r="T887" s="8">
        <v>2098</v>
      </c>
      <c r="U887" s="8">
        <v>2117</v>
      </c>
      <c r="V887" s="8">
        <v>2045</v>
      </c>
      <c r="W887" s="8">
        <v>2064</v>
      </c>
      <c r="X887" s="8">
        <v>2085</v>
      </c>
      <c r="Y887" s="8">
        <v>2066</v>
      </c>
      <c r="Z887" s="8">
        <v>2063</v>
      </c>
      <c r="AA887" s="8">
        <v>2076</v>
      </c>
      <c r="AB887" s="8">
        <v>2049</v>
      </c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</row>
    <row r="888" spans="1:47" ht="14.4">
      <c r="A888" s="3">
        <f>LOOKUP(D888,'AMFI DATA_2023H2'!F:L,'AMFI DATA_2023H2'!L:L)</f>
        <v>922</v>
      </c>
      <c r="B888" s="4" t="s">
        <v>2663</v>
      </c>
      <c r="C888" s="4" t="s">
        <v>2664</v>
      </c>
      <c r="D888" s="5" t="s">
        <v>2665</v>
      </c>
      <c r="E888" s="5">
        <v>1726.49</v>
      </c>
      <c r="F888" s="6">
        <f>LOOKUP(D888,'AMFI DATA_2023H2'!F:J,'AMFI DATA_2023H2'!J:J)</f>
        <v>2084.0743499999999</v>
      </c>
      <c r="G888" s="7">
        <f t="shared" si="3"/>
        <v>-1</v>
      </c>
      <c r="H888" s="8"/>
      <c r="I888" s="8">
        <v>2493</v>
      </c>
      <c r="J888" s="8">
        <v>2486</v>
      </c>
      <c r="K888" s="8">
        <v>2473</v>
      </c>
      <c r="L888" s="8">
        <v>2504</v>
      </c>
      <c r="M888" s="8">
        <v>2482</v>
      </c>
      <c r="N888" s="8">
        <v>2353</v>
      </c>
      <c r="O888" s="8">
        <v>2357</v>
      </c>
      <c r="P888" s="8">
        <v>2362</v>
      </c>
      <c r="Q888" s="8">
        <v>2386</v>
      </c>
      <c r="R888" s="8">
        <v>2368</v>
      </c>
      <c r="S888" s="8">
        <v>2373</v>
      </c>
      <c r="T888" s="8">
        <v>2368</v>
      </c>
      <c r="U888" s="8">
        <v>2367</v>
      </c>
      <c r="V888" s="8">
        <v>2350</v>
      </c>
      <c r="W888" s="8">
        <v>2393</v>
      </c>
      <c r="X888" s="8">
        <v>2425</v>
      </c>
      <c r="Y888" s="8">
        <v>2419</v>
      </c>
      <c r="Z888" s="8">
        <v>2418</v>
      </c>
      <c r="AA888" s="8">
        <v>2416</v>
      </c>
      <c r="AB888" s="8">
        <v>2350</v>
      </c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</row>
    <row r="889" spans="1:47" ht="14.4">
      <c r="A889" s="3">
        <f>LOOKUP(D889,'AMFI DATA_2023H2'!F:L,'AMFI DATA_2023H2'!L:L)</f>
        <v>923</v>
      </c>
      <c r="B889" s="4" t="s">
        <v>2666</v>
      </c>
      <c r="C889" s="4" t="s">
        <v>2667</v>
      </c>
      <c r="D889" s="5" t="s">
        <v>2668</v>
      </c>
      <c r="E889" s="5">
        <v>1680.74</v>
      </c>
      <c r="F889" s="6">
        <f>LOOKUP(D889,'AMFI DATA_2023H2'!F:J,'AMFI DATA_2023H2'!J:J)</f>
        <v>2078.9198999999999</v>
      </c>
      <c r="G889" s="7">
        <f t="shared" si="3"/>
        <v>-1</v>
      </c>
      <c r="H889" s="8"/>
      <c r="I889" s="8">
        <v>2489</v>
      </c>
      <c r="J889" s="8">
        <v>2465</v>
      </c>
      <c r="K889" s="8">
        <v>2506</v>
      </c>
      <c r="L889" s="8">
        <v>2600</v>
      </c>
      <c r="M889" s="8">
        <v>2590</v>
      </c>
      <c r="N889" s="8">
        <v>2490</v>
      </c>
      <c r="O889" s="8">
        <v>2478</v>
      </c>
      <c r="P889" s="8">
        <v>2490</v>
      </c>
      <c r="Q889" s="8">
        <v>2522</v>
      </c>
      <c r="R889" s="8">
        <v>2354</v>
      </c>
      <c r="S889" s="8">
        <v>2309</v>
      </c>
      <c r="T889" s="8">
        <v>2323</v>
      </c>
      <c r="U889" s="8">
        <v>2303</v>
      </c>
      <c r="V889" s="8">
        <v>2278</v>
      </c>
      <c r="W889" s="8">
        <v>2219</v>
      </c>
      <c r="X889" s="8">
        <v>2168</v>
      </c>
      <c r="Y889" s="8">
        <v>2153</v>
      </c>
      <c r="Z889" s="8">
        <v>2149</v>
      </c>
      <c r="AA889" s="8">
        <v>2149</v>
      </c>
      <c r="AB889" s="8">
        <v>2174</v>
      </c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</row>
    <row r="890" spans="1:47" ht="14.4">
      <c r="A890" s="3">
        <f>LOOKUP(D890,'AMFI DATA_2023H2'!F:L,'AMFI DATA_2023H2'!L:L)</f>
        <v>924</v>
      </c>
      <c r="B890" s="4" t="s">
        <v>2669</v>
      </c>
      <c r="C890" s="4" t="s">
        <v>2670</v>
      </c>
      <c r="D890" s="5" t="s">
        <v>2671</v>
      </c>
      <c r="E890" s="5">
        <v>1340.07</v>
      </c>
      <c r="F890" s="6">
        <f>LOOKUP(D890,'AMFI DATA_2023H2'!F:J,'AMFI DATA_2023H2'!J:J)</f>
        <v>2078.31835</v>
      </c>
      <c r="G890" s="7">
        <f t="shared" si="3"/>
        <v>-1</v>
      </c>
      <c r="H890" s="8"/>
      <c r="I890" s="8">
        <v>2559</v>
      </c>
      <c r="J890" s="8">
        <v>2549</v>
      </c>
      <c r="K890" s="8">
        <v>2445</v>
      </c>
      <c r="L890" s="8">
        <v>2416</v>
      </c>
      <c r="M890" s="8">
        <v>2383</v>
      </c>
      <c r="N890" s="8">
        <v>2338</v>
      </c>
      <c r="O890" s="8">
        <v>2340</v>
      </c>
      <c r="P890" s="8">
        <v>2318</v>
      </c>
      <c r="Q890" s="8">
        <v>2276</v>
      </c>
      <c r="R890" s="8">
        <v>2250</v>
      </c>
      <c r="S890" s="8">
        <v>2328</v>
      </c>
      <c r="T890" s="8">
        <v>2315</v>
      </c>
      <c r="U890" s="8">
        <v>2331</v>
      </c>
      <c r="V890" s="8">
        <v>2216</v>
      </c>
      <c r="W890" s="8">
        <v>2198</v>
      </c>
      <c r="X890" s="8">
        <v>2235</v>
      </c>
      <c r="Y890" s="8">
        <v>2249</v>
      </c>
      <c r="Z890" s="8">
        <v>2263</v>
      </c>
      <c r="AA890" s="8">
        <v>2277</v>
      </c>
      <c r="AB890" s="8">
        <v>2255</v>
      </c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</row>
    <row r="891" spans="1:47" ht="14.4">
      <c r="A891" s="3">
        <f>LOOKUP(D891,'AMFI DATA_2023H2'!F:L,'AMFI DATA_2023H2'!L:L)</f>
        <v>925</v>
      </c>
      <c r="B891" s="4" t="s">
        <v>2672</v>
      </c>
      <c r="C891" s="4" t="s">
        <v>2673</v>
      </c>
      <c r="D891" s="5" t="s">
        <v>2674</v>
      </c>
      <c r="E891" s="5">
        <v>1356.87</v>
      </c>
      <c r="F891" s="6">
        <f>LOOKUP(D891,'AMFI DATA_2023H2'!F:J,'AMFI DATA_2023H2'!J:J)</f>
        <v>2072.6669499999998</v>
      </c>
      <c r="G891" s="7">
        <f t="shared" si="3"/>
        <v>-1</v>
      </c>
      <c r="H891" s="8"/>
      <c r="I891" s="8">
        <v>4037</v>
      </c>
      <c r="J891" s="8">
        <v>3827</v>
      </c>
      <c r="K891" s="8">
        <v>3776</v>
      </c>
      <c r="L891" s="8">
        <v>3927</v>
      </c>
      <c r="M891" s="8">
        <v>4000</v>
      </c>
      <c r="N891" s="8">
        <v>3880</v>
      </c>
      <c r="O891" s="8">
        <v>3752</v>
      </c>
      <c r="P891" s="8">
        <v>0</v>
      </c>
      <c r="Q891" s="8">
        <v>3967</v>
      </c>
      <c r="R891" s="8">
        <v>4043</v>
      </c>
      <c r="S891" s="8">
        <v>4219</v>
      </c>
      <c r="T891" s="8">
        <v>4197</v>
      </c>
      <c r="U891" s="8">
        <v>3964</v>
      </c>
      <c r="V891" s="8">
        <v>3426</v>
      </c>
      <c r="W891" s="8">
        <v>3310</v>
      </c>
      <c r="X891" s="8">
        <v>3067</v>
      </c>
      <c r="Y891" s="8">
        <v>2970</v>
      </c>
      <c r="Z891" s="8">
        <v>3004</v>
      </c>
      <c r="AA891" s="8">
        <v>3088</v>
      </c>
      <c r="AB891" s="8">
        <v>3064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</row>
    <row r="892" spans="1:47" ht="14.4">
      <c r="A892" s="3">
        <f>LOOKUP(D892,'AMFI DATA_2023H2'!F:L,'AMFI DATA_2023H2'!L:L)</f>
        <v>926</v>
      </c>
      <c r="B892" s="4" t="s">
        <v>2675</v>
      </c>
      <c r="C892" s="4" t="s">
        <v>2676</v>
      </c>
      <c r="D892" s="5" t="s">
        <v>2677</v>
      </c>
      <c r="E892" s="5">
        <v>2262.9299999999998</v>
      </c>
      <c r="F892" s="6">
        <f>LOOKUP(D892,'AMFI DATA_2023H2'!F:J,'AMFI DATA_2023H2'!J:J)</f>
        <v>2064.027</v>
      </c>
      <c r="G892" s="7">
        <f t="shared" si="3"/>
        <v>-1</v>
      </c>
      <c r="H892" s="8"/>
      <c r="I892" s="8">
        <v>1847</v>
      </c>
      <c r="J892" s="8">
        <v>1861</v>
      </c>
      <c r="K892" s="8">
        <v>1866</v>
      </c>
      <c r="L892" s="8">
        <v>1860</v>
      </c>
      <c r="M892" s="8">
        <v>1852</v>
      </c>
      <c r="N892" s="8">
        <v>1871</v>
      </c>
      <c r="O892" s="8">
        <v>1894</v>
      </c>
      <c r="P892" s="8">
        <v>1912</v>
      </c>
      <c r="Q892" s="8">
        <v>1915</v>
      </c>
      <c r="R892" s="8">
        <v>1932</v>
      </c>
      <c r="S892" s="8">
        <v>1964</v>
      </c>
      <c r="T892" s="8">
        <v>1878</v>
      </c>
      <c r="U892" s="8">
        <v>1877</v>
      </c>
      <c r="V892" s="8">
        <v>1891</v>
      </c>
      <c r="W892" s="8">
        <v>1907</v>
      </c>
      <c r="X892" s="8">
        <v>1859</v>
      </c>
      <c r="Y892" s="8">
        <v>1867</v>
      </c>
      <c r="Z892" s="8">
        <v>1845</v>
      </c>
      <c r="AA892" s="8">
        <v>1883</v>
      </c>
      <c r="AB892" s="8">
        <v>1883</v>
      </c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</row>
    <row r="893" spans="1:47" ht="14.4">
      <c r="A893" s="3">
        <f>LOOKUP(D893,'AMFI DATA_2023H2'!F:L,'AMFI DATA_2023H2'!L:L)</f>
        <v>927</v>
      </c>
      <c r="B893" s="4" t="s">
        <v>2678</v>
      </c>
      <c r="C893" s="4" t="s">
        <v>2679</v>
      </c>
      <c r="D893" s="5" t="s">
        <v>2680</v>
      </c>
      <c r="E893" s="5">
        <v>1266.18</v>
      </c>
      <c r="F893" s="6">
        <f>LOOKUP(D893,'AMFI DATA_2023H2'!F:J,'AMFI DATA_2023H2'!J:J)</f>
        <v>2062.9168500000001</v>
      </c>
      <c r="G893" s="7">
        <f t="shared" si="3"/>
        <v>-1</v>
      </c>
      <c r="H893" s="8"/>
      <c r="I893" s="8">
        <v>3386</v>
      </c>
      <c r="J893" s="8">
        <v>3179</v>
      </c>
      <c r="K893" s="8">
        <v>3087</v>
      </c>
      <c r="L893" s="8">
        <v>3056</v>
      </c>
      <c r="M893" s="8">
        <v>3012</v>
      </c>
      <c r="N893" s="8">
        <v>3075</v>
      </c>
      <c r="O893" s="8">
        <v>3112</v>
      </c>
      <c r="P893" s="8">
        <v>2975</v>
      </c>
      <c r="Q893" s="8">
        <v>2870</v>
      </c>
      <c r="R893" s="8">
        <v>2816</v>
      </c>
      <c r="S893" s="8">
        <v>2797</v>
      </c>
      <c r="T893" s="8">
        <v>2775</v>
      </c>
      <c r="U893" s="8">
        <v>2874</v>
      </c>
      <c r="V893" s="8">
        <v>2613</v>
      </c>
      <c r="W893" s="8">
        <v>2556</v>
      </c>
      <c r="X893" s="8">
        <v>2451</v>
      </c>
      <c r="Y893" s="8">
        <v>2553</v>
      </c>
      <c r="Z893" s="8">
        <v>2565</v>
      </c>
      <c r="AA893" s="8">
        <v>2610</v>
      </c>
      <c r="AB893" s="8">
        <v>2596</v>
      </c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</row>
    <row r="894" spans="1:47" ht="14.4">
      <c r="A894" s="3">
        <f>LOOKUP(D894,'AMFI DATA_2023H2'!F:L,'AMFI DATA_2023H2'!L:L)</f>
        <v>929</v>
      </c>
      <c r="B894" s="4" t="s">
        <v>2681</v>
      </c>
      <c r="C894" s="4" t="s">
        <v>2682</v>
      </c>
      <c r="D894" s="5" t="s">
        <v>2683</v>
      </c>
      <c r="E894" s="5">
        <v>1779.52</v>
      </c>
      <c r="F894" s="6">
        <f>LOOKUP(D894,'AMFI DATA_2023H2'!F:J,'AMFI DATA_2023H2'!J:J)</f>
        <v>2037.6964499999999</v>
      </c>
      <c r="G894" s="7">
        <f t="shared" si="3"/>
        <v>-1</v>
      </c>
      <c r="H894" s="8"/>
      <c r="I894" s="8">
        <v>2046</v>
      </c>
      <c r="J894" s="8">
        <v>2073</v>
      </c>
      <c r="K894" s="8">
        <v>2076</v>
      </c>
      <c r="L894" s="8">
        <v>2120</v>
      </c>
      <c r="M894" s="8">
        <v>2167</v>
      </c>
      <c r="N894" s="8">
        <v>2038</v>
      </c>
      <c r="O894" s="8">
        <v>2043</v>
      </c>
      <c r="P894" s="8">
        <v>2029</v>
      </c>
      <c r="Q894" s="8">
        <v>2030</v>
      </c>
      <c r="R894" s="8">
        <v>2019</v>
      </c>
      <c r="S894" s="8">
        <v>2014</v>
      </c>
      <c r="T894" s="8">
        <v>2006</v>
      </c>
      <c r="U894" s="8">
        <v>1998</v>
      </c>
      <c r="V894" s="8">
        <v>2022</v>
      </c>
      <c r="W894" s="8">
        <v>2036</v>
      </c>
      <c r="X894" s="8">
        <v>2005</v>
      </c>
      <c r="Y894" s="8">
        <v>2014</v>
      </c>
      <c r="Z894" s="8">
        <v>2037</v>
      </c>
      <c r="AA894" s="8">
        <v>2048</v>
      </c>
      <c r="AB894" s="8">
        <v>2048</v>
      </c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</row>
    <row r="895" spans="1:47" ht="14.4">
      <c r="A895" s="3">
        <f>LOOKUP(D895,'AMFI DATA_2023H2'!F:L,'AMFI DATA_2023H2'!L:L)</f>
        <v>930</v>
      </c>
      <c r="B895" s="4" t="s">
        <v>2684</v>
      </c>
      <c r="C895" s="4" t="s">
        <v>2685</v>
      </c>
      <c r="D895" s="5" t="s">
        <v>2686</v>
      </c>
      <c r="E895" s="5">
        <v>2043.83</v>
      </c>
      <c r="F895" s="6">
        <f>LOOKUP(D895,'AMFI DATA_2023H2'!F:J,'AMFI DATA_2023H2'!J:J)</f>
        <v>2037.52145</v>
      </c>
      <c r="G895" s="7">
        <f t="shared" si="3"/>
        <v>-1</v>
      </c>
      <c r="H895" s="8"/>
      <c r="I895" s="8">
        <v>2028</v>
      </c>
      <c r="J895" s="8">
        <v>2029</v>
      </c>
      <c r="K895" s="8">
        <v>2073</v>
      </c>
      <c r="L895" s="8">
        <v>2057</v>
      </c>
      <c r="M895" s="8">
        <v>2092</v>
      </c>
      <c r="N895" s="8">
        <v>2101</v>
      </c>
      <c r="O895" s="8">
        <v>2110</v>
      </c>
      <c r="P895" s="8">
        <v>2069</v>
      </c>
      <c r="Q895" s="8">
        <v>2052</v>
      </c>
      <c r="R895" s="8">
        <v>2034</v>
      </c>
      <c r="S895" s="8">
        <v>2056</v>
      </c>
      <c r="T895" s="8">
        <v>2062</v>
      </c>
      <c r="U895" s="8">
        <v>2089</v>
      </c>
      <c r="V895" s="8">
        <v>2078</v>
      </c>
      <c r="W895" s="8">
        <v>2112</v>
      </c>
      <c r="X895" s="8">
        <v>2122</v>
      </c>
      <c r="Y895" s="8">
        <v>2050</v>
      </c>
      <c r="Z895" s="8">
        <v>2060</v>
      </c>
      <c r="AA895" s="8">
        <v>2074</v>
      </c>
      <c r="AB895" s="8">
        <v>2084</v>
      </c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</row>
    <row r="896" spans="1:47" ht="14.4">
      <c r="A896" s="3">
        <f>LOOKUP(D896,'AMFI DATA_2023H2'!F:L,'AMFI DATA_2023H2'!L:L)</f>
        <v>931</v>
      </c>
      <c r="B896" s="4" t="s">
        <v>2687</v>
      </c>
      <c r="C896" s="4" t="s">
        <v>2688</v>
      </c>
      <c r="D896" s="5" t="s">
        <v>2689</v>
      </c>
      <c r="E896" s="5">
        <v>435.07</v>
      </c>
      <c r="F896" s="6">
        <f>LOOKUP(D896,'AMFI DATA_2023H2'!F:J,'AMFI DATA_2023H2'!J:J)</f>
        <v>2034.115</v>
      </c>
      <c r="G896" s="7">
        <f t="shared" si="3"/>
        <v>-1</v>
      </c>
      <c r="H896" s="8"/>
      <c r="I896" s="8">
        <v>2034</v>
      </c>
      <c r="J896" s="8">
        <v>1980</v>
      </c>
      <c r="K896" s="8">
        <v>1984</v>
      </c>
      <c r="L896" s="8">
        <v>1984</v>
      </c>
      <c r="M896" s="8">
        <v>1990</v>
      </c>
      <c r="N896" s="8">
        <v>1984</v>
      </c>
      <c r="O896" s="8">
        <v>2035</v>
      </c>
      <c r="P896" s="8">
        <v>2057</v>
      </c>
      <c r="Q896" s="8">
        <v>2032</v>
      </c>
      <c r="R896" s="8">
        <v>2044</v>
      </c>
      <c r="S896" s="8">
        <v>2054</v>
      </c>
      <c r="T896" s="8">
        <v>2033</v>
      </c>
      <c r="U896" s="8">
        <v>2025</v>
      </c>
      <c r="V896" s="8">
        <v>2021</v>
      </c>
      <c r="W896" s="8">
        <v>2014</v>
      </c>
      <c r="X896" s="8">
        <v>1981</v>
      </c>
      <c r="Y896" s="8">
        <v>1986</v>
      </c>
      <c r="Z896" s="8">
        <v>1997</v>
      </c>
      <c r="AA896" s="8">
        <v>1982</v>
      </c>
      <c r="AB896" s="8">
        <v>2000</v>
      </c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</row>
    <row r="897" spans="1:47" ht="14.4">
      <c r="A897" s="3">
        <f>LOOKUP(D897,'AMFI DATA_2023H2'!F:L,'AMFI DATA_2023H2'!L:L)</f>
        <v>932</v>
      </c>
      <c r="B897" s="4" t="s">
        <v>2690</v>
      </c>
      <c r="C897" s="4" t="s">
        <v>2691</v>
      </c>
      <c r="D897" s="5" t="s">
        <v>2692</v>
      </c>
      <c r="E897" s="5">
        <v>159.01</v>
      </c>
      <c r="F897" s="6">
        <f>LOOKUP(D897,'AMFI DATA_2023H2'!F:J,'AMFI DATA_2023H2'!J:J)</f>
        <v>2032.9943000000001</v>
      </c>
      <c r="G897" s="7">
        <f t="shared" si="3"/>
        <v>-1</v>
      </c>
      <c r="H897" s="8"/>
      <c r="I897" s="8">
        <v>2616</v>
      </c>
      <c r="J897" s="8">
        <v>2547</v>
      </c>
      <c r="K897" s="8">
        <v>2429</v>
      </c>
      <c r="L897" s="8">
        <v>2466</v>
      </c>
      <c r="M897" s="8">
        <v>2503</v>
      </c>
      <c r="N897" s="8">
        <v>2458</v>
      </c>
      <c r="O897" s="8">
        <v>2483</v>
      </c>
      <c r="P897" s="8">
        <v>2485</v>
      </c>
      <c r="Q897" s="8">
        <v>2388</v>
      </c>
      <c r="R897" s="8">
        <v>2411</v>
      </c>
      <c r="S897" s="8">
        <v>2529</v>
      </c>
      <c r="T897" s="8">
        <v>2522</v>
      </c>
      <c r="U897" s="8">
        <v>2476</v>
      </c>
      <c r="V897" s="8">
        <v>2430</v>
      </c>
      <c r="W897" s="8">
        <v>2476</v>
      </c>
      <c r="X897" s="8">
        <v>2358</v>
      </c>
      <c r="Y897" s="8">
        <v>2422</v>
      </c>
      <c r="Z897" s="8">
        <v>2426</v>
      </c>
      <c r="AA897" s="8">
        <v>2431</v>
      </c>
      <c r="AB897" s="8">
        <v>2315</v>
      </c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</row>
    <row r="898" spans="1:47" ht="14.4">
      <c r="A898" s="3">
        <f>LOOKUP(D898,'AMFI DATA_2023H2'!F:L,'AMFI DATA_2023H2'!L:L)</f>
        <v>933</v>
      </c>
      <c r="B898" s="4" t="s">
        <v>2693</v>
      </c>
      <c r="C898" s="4" t="s">
        <v>2694</v>
      </c>
      <c r="D898" s="5" t="s">
        <v>2695</v>
      </c>
      <c r="E898" s="5">
        <v>1746.61</v>
      </c>
      <c r="F898" s="6">
        <f>LOOKUP(D898,'AMFI DATA_2023H2'!F:J,'AMFI DATA_2023H2'!J:J)</f>
        <v>2031.9072000000001</v>
      </c>
      <c r="G898" s="7">
        <f t="shared" si="3"/>
        <v>-1</v>
      </c>
      <c r="H898" s="8"/>
      <c r="I898" s="8">
        <v>2563</v>
      </c>
      <c r="J898" s="8">
        <v>2386</v>
      </c>
      <c r="K898" s="8">
        <v>2381</v>
      </c>
      <c r="L898" s="8">
        <v>2339</v>
      </c>
      <c r="M898" s="8">
        <v>2354</v>
      </c>
      <c r="N898" s="8">
        <v>2270</v>
      </c>
      <c r="O898" s="8">
        <v>2271</v>
      </c>
      <c r="P898" s="8">
        <v>2288</v>
      </c>
      <c r="Q898" s="8">
        <v>2335</v>
      </c>
      <c r="R898" s="8">
        <v>2312</v>
      </c>
      <c r="S898" s="8">
        <v>2233</v>
      </c>
      <c r="T898" s="8">
        <v>2264</v>
      </c>
      <c r="U898" s="8">
        <v>2245</v>
      </c>
      <c r="V898" s="8">
        <v>2177</v>
      </c>
      <c r="W898" s="8">
        <v>2166</v>
      </c>
      <c r="X898" s="8">
        <v>2179</v>
      </c>
      <c r="Y898" s="8">
        <v>2135</v>
      </c>
      <c r="Z898" s="8">
        <v>2138</v>
      </c>
      <c r="AA898" s="8">
        <v>2134</v>
      </c>
      <c r="AB898" s="8">
        <v>2126</v>
      </c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</row>
    <row r="899" spans="1:47" ht="14.4">
      <c r="A899" s="3">
        <f>LOOKUP(D899,'AMFI DATA_2023H2'!F:L,'AMFI DATA_2023H2'!L:L)</f>
        <v>934</v>
      </c>
      <c r="B899" s="4" t="s">
        <v>2696</v>
      </c>
      <c r="C899" s="4" t="s">
        <v>2697</v>
      </c>
      <c r="D899" s="5" t="s">
        <v>2698</v>
      </c>
      <c r="E899" s="5">
        <v>2328.67</v>
      </c>
      <c r="F899" s="6">
        <f>LOOKUP(D899,'AMFI DATA_2023H2'!F:J,'AMFI DATA_2023H2'!J:J)</f>
        <v>2025.8795500000001</v>
      </c>
      <c r="G899" s="7">
        <f t="shared" si="3"/>
        <v>-1</v>
      </c>
      <c r="H899" s="8"/>
      <c r="I899" s="8">
        <v>2157</v>
      </c>
      <c r="J899" s="8">
        <v>2113</v>
      </c>
      <c r="K899" s="8">
        <v>2135</v>
      </c>
      <c r="L899" s="8">
        <v>2183</v>
      </c>
      <c r="M899" s="8">
        <v>2238</v>
      </c>
      <c r="N899" s="8">
        <v>2177</v>
      </c>
      <c r="O899" s="8">
        <v>2204</v>
      </c>
      <c r="P899" s="8">
        <v>2213</v>
      </c>
      <c r="Q899" s="8">
        <v>2237</v>
      </c>
      <c r="R899" s="8">
        <v>2217</v>
      </c>
      <c r="S899" s="8">
        <v>2274</v>
      </c>
      <c r="T899" s="8">
        <v>2299</v>
      </c>
      <c r="U899" s="8">
        <v>2301</v>
      </c>
      <c r="V899" s="8">
        <v>2310</v>
      </c>
      <c r="W899" s="8">
        <v>1994</v>
      </c>
      <c r="X899" s="8">
        <v>1973</v>
      </c>
      <c r="Y899" s="8">
        <v>1955</v>
      </c>
      <c r="Z899" s="8">
        <v>1995</v>
      </c>
      <c r="AA899" s="8">
        <v>2035</v>
      </c>
      <c r="AB899" s="8">
        <v>2045</v>
      </c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</row>
    <row r="900" spans="1:47" ht="14.4">
      <c r="A900" s="3">
        <f>LOOKUP(D900,'AMFI DATA_2023H2'!F:L,'AMFI DATA_2023H2'!L:L)</f>
        <v>936</v>
      </c>
      <c r="B900" s="4" t="s">
        <v>2699</v>
      </c>
      <c r="C900" s="4" t="s">
        <v>2700</v>
      </c>
      <c r="D900" s="5" t="s">
        <v>2701</v>
      </c>
      <c r="E900" s="5">
        <v>1441.72</v>
      </c>
      <c r="F900" s="6">
        <f>LOOKUP(D900,'AMFI DATA_2023H2'!F:J,'AMFI DATA_2023H2'!J:J)</f>
        <v>2016.19175</v>
      </c>
      <c r="G900" s="7">
        <f t="shared" si="3"/>
        <v>-1</v>
      </c>
      <c r="H900" s="8"/>
      <c r="I900" s="8">
        <v>2620</v>
      </c>
      <c r="J900" s="8">
        <v>2651</v>
      </c>
      <c r="K900" s="8">
        <v>2616</v>
      </c>
      <c r="L900" s="8">
        <v>2544</v>
      </c>
      <c r="M900" s="8">
        <v>2556</v>
      </c>
      <c r="N900" s="8">
        <v>2623</v>
      </c>
      <c r="O900" s="8">
        <v>2608</v>
      </c>
      <c r="P900" s="8">
        <v>2277</v>
      </c>
      <c r="Q900" s="8">
        <v>2203</v>
      </c>
      <c r="R900" s="8">
        <v>2187</v>
      </c>
      <c r="S900" s="8">
        <v>2254</v>
      </c>
      <c r="T900" s="8">
        <v>2302</v>
      </c>
      <c r="U900" s="8">
        <v>2283</v>
      </c>
      <c r="V900" s="8">
        <v>2340</v>
      </c>
      <c r="W900" s="8">
        <v>2403</v>
      </c>
      <c r="X900" s="8">
        <v>2126</v>
      </c>
      <c r="Y900" s="8">
        <v>2135</v>
      </c>
      <c r="Z900" s="8">
        <v>2118</v>
      </c>
      <c r="AA900" s="8">
        <v>2110</v>
      </c>
      <c r="AB900" s="8">
        <v>1879</v>
      </c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</row>
    <row r="901" spans="1:47" ht="14.4">
      <c r="A901" s="3">
        <f>LOOKUP(D901,'AMFI DATA_2023H2'!F:L,'AMFI DATA_2023H2'!L:L)</f>
        <v>937</v>
      </c>
      <c r="B901" s="4" t="s">
        <v>2702</v>
      </c>
      <c r="C901" s="4" t="s">
        <v>2703</v>
      </c>
      <c r="D901" s="5" t="s">
        <v>2704</v>
      </c>
      <c r="E901" s="5">
        <v>937.87</v>
      </c>
      <c r="F901" s="6">
        <f>LOOKUP(D901,'AMFI DATA_2023H2'!F:J,'AMFI DATA_2023H2'!J:J)</f>
        <v>2014.876</v>
      </c>
      <c r="G901" s="7">
        <f t="shared" si="3"/>
        <v>-1</v>
      </c>
      <c r="H901" s="8"/>
      <c r="I901" s="8">
        <v>2749</v>
      </c>
      <c r="J901" s="8">
        <v>2719</v>
      </c>
      <c r="K901" s="8">
        <v>2663</v>
      </c>
      <c r="L901" s="8">
        <v>2670</v>
      </c>
      <c r="M901" s="8">
        <v>2729</v>
      </c>
      <c r="N901" s="8">
        <v>2722</v>
      </c>
      <c r="O901" s="8">
        <v>2746</v>
      </c>
      <c r="P901" s="8">
        <v>2731</v>
      </c>
      <c r="Q901" s="8">
        <v>2847</v>
      </c>
      <c r="R901" s="8">
        <v>2871</v>
      </c>
      <c r="S901" s="8">
        <v>2822</v>
      </c>
      <c r="T901" s="8">
        <v>2925</v>
      </c>
      <c r="U901" s="8">
        <v>2835</v>
      </c>
      <c r="V901" s="8">
        <v>2856</v>
      </c>
      <c r="W901" s="8">
        <v>2872</v>
      </c>
      <c r="X901" s="8">
        <v>2863</v>
      </c>
      <c r="Y901" s="8">
        <v>2889</v>
      </c>
      <c r="Z901" s="8">
        <v>2926</v>
      </c>
      <c r="AA901" s="8">
        <v>2854</v>
      </c>
      <c r="AB901" s="8">
        <v>2766</v>
      </c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</row>
    <row r="902" spans="1:47" ht="14.4">
      <c r="A902" s="3">
        <f>LOOKUP(D902,'AMFI DATA_2023H2'!F:L,'AMFI DATA_2023H2'!L:L)</f>
        <v>938</v>
      </c>
      <c r="B902" s="4" t="s">
        <v>2705</v>
      </c>
      <c r="C902" s="4" t="s">
        <v>2706</v>
      </c>
      <c r="D902" s="5" t="s">
        <v>2707</v>
      </c>
      <c r="E902" s="5">
        <v>1600.01</v>
      </c>
      <c r="F902" s="6">
        <f>LOOKUP(D902,'AMFI DATA_2023H2'!F:J,'AMFI DATA_2023H2'!J:J)</f>
        <v>2013.8704</v>
      </c>
      <c r="G902" s="7">
        <f t="shared" si="3"/>
        <v>-1</v>
      </c>
      <c r="H902" s="8"/>
      <c r="I902" s="8">
        <v>2382</v>
      </c>
      <c r="J902" s="8">
        <v>2420</v>
      </c>
      <c r="K902" s="8">
        <v>2462</v>
      </c>
      <c r="L902" s="8">
        <v>2453</v>
      </c>
      <c r="M902" s="8">
        <v>2547</v>
      </c>
      <c r="N902" s="8">
        <v>2518</v>
      </c>
      <c r="O902" s="8">
        <v>2411</v>
      </c>
      <c r="P902" s="8">
        <v>2402</v>
      </c>
      <c r="Q902" s="8">
        <v>2475</v>
      </c>
      <c r="R902" s="8">
        <v>2375</v>
      </c>
      <c r="S902" s="8">
        <v>2321</v>
      </c>
      <c r="T902" s="8">
        <v>2399</v>
      </c>
      <c r="U902" s="8">
        <v>2305</v>
      </c>
      <c r="V902" s="8">
        <v>2246</v>
      </c>
      <c r="W902" s="8">
        <v>1988</v>
      </c>
      <c r="X902" s="8">
        <v>2018</v>
      </c>
      <c r="Y902" s="8">
        <v>1998</v>
      </c>
      <c r="Z902" s="8">
        <v>2008</v>
      </c>
      <c r="AA902" s="8">
        <v>2012</v>
      </c>
      <c r="AB902" s="8">
        <v>2001</v>
      </c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</row>
    <row r="903" spans="1:47" ht="14.4">
      <c r="A903" s="3">
        <f>LOOKUP(D903,'AMFI DATA_2023H2'!F:L,'AMFI DATA_2023H2'!L:L)</f>
        <v>939</v>
      </c>
      <c r="B903" s="4" t="s">
        <v>2708</v>
      </c>
      <c r="C903" s="4" t="s">
        <v>2709</v>
      </c>
      <c r="D903" s="5" t="s">
        <v>2710</v>
      </c>
      <c r="E903" s="5">
        <v>1115.48</v>
      </c>
      <c r="F903" s="6">
        <f>LOOKUP(D903,'AMFI DATA_2023H2'!F:J,'AMFI DATA_2023H2'!J:J)</f>
        <v>2008.67985</v>
      </c>
      <c r="G903" s="7">
        <f t="shared" si="3"/>
        <v>-1</v>
      </c>
      <c r="H903" s="8"/>
      <c r="I903" s="8">
        <v>3078</v>
      </c>
      <c r="J903" s="8">
        <v>3024</v>
      </c>
      <c r="K903" s="8">
        <v>3054</v>
      </c>
      <c r="L903" s="8">
        <v>3136</v>
      </c>
      <c r="M903" s="8">
        <v>3211</v>
      </c>
      <c r="N903" s="8">
        <v>3238</v>
      </c>
      <c r="O903" s="8">
        <v>3239</v>
      </c>
      <c r="P903" s="8">
        <v>3232</v>
      </c>
      <c r="Q903" s="8">
        <v>3265</v>
      </c>
      <c r="R903" s="8">
        <v>3236</v>
      </c>
      <c r="S903" s="8">
        <v>3284</v>
      </c>
      <c r="T903" s="8">
        <v>3359</v>
      </c>
      <c r="U903" s="8">
        <v>3221</v>
      </c>
      <c r="V903" s="8">
        <v>3235</v>
      </c>
      <c r="W903" s="8">
        <v>3282</v>
      </c>
      <c r="X903" s="8">
        <v>3395</v>
      </c>
      <c r="Y903" s="8">
        <v>3306</v>
      </c>
      <c r="Z903" s="8">
        <v>3217</v>
      </c>
      <c r="AA903" s="8">
        <v>3161</v>
      </c>
      <c r="AB903" s="8">
        <v>3196</v>
      </c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</row>
    <row r="904" spans="1:47" ht="14.4">
      <c r="A904" s="3">
        <f>LOOKUP(D904,'AMFI DATA_2023H2'!F:L,'AMFI DATA_2023H2'!L:L)</f>
        <v>940</v>
      </c>
      <c r="B904" s="4" t="s">
        <v>2711</v>
      </c>
      <c r="C904" s="4" t="s">
        <v>2712</v>
      </c>
      <c r="D904" s="5" t="s">
        <v>2713</v>
      </c>
      <c r="E904" s="5">
        <v>12769.12</v>
      </c>
      <c r="F904" s="6">
        <f>LOOKUP(D904,'AMFI DATA_2023H2'!F:J,'AMFI DATA_2023H2'!J:J)</f>
        <v>2006.0643</v>
      </c>
      <c r="G904" s="7">
        <f t="shared" si="3"/>
        <v>-1</v>
      </c>
      <c r="H904" s="8"/>
      <c r="I904" s="8">
        <v>2061</v>
      </c>
      <c r="J904" s="8">
        <v>2061</v>
      </c>
      <c r="K904" s="8">
        <v>2081</v>
      </c>
      <c r="L904" s="8">
        <v>2103</v>
      </c>
      <c r="M904" s="8">
        <v>2152</v>
      </c>
      <c r="N904" s="8">
        <v>2201</v>
      </c>
      <c r="O904" s="8">
        <v>2250</v>
      </c>
      <c r="P904" s="8">
        <v>2041</v>
      </c>
      <c r="Q904" s="8">
        <v>2043</v>
      </c>
      <c r="R904" s="8">
        <v>2035</v>
      </c>
      <c r="S904" s="8">
        <v>2057</v>
      </c>
      <c r="T904" s="8">
        <v>2030</v>
      </c>
      <c r="U904" s="8">
        <v>2021</v>
      </c>
      <c r="V904" s="8">
        <v>2020</v>
      </c>
      <c r="W904" s="8">
        <v>2027</v>
      </c>
      <c r="X904" s="8">
        <v>2004</v>
      </c>
      <c r="Y904" s="8">
        <v>0</v>
      </c>
      <c r="Z904" s="8">
        <v>1913</v>
      </c>
      <c r="AA904" s="8">
        <v>1910</v>
      </c>
      <c r="AB904" s="8">
        <v>1924</v>
      </c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</row>
    <row r="905" spans="1:47" ht="14.4">
      <c r="A905" s="3">
        <f>LOOKUP(D905,'AMFI DATA_2023H2'!F:L,'AMFI DATA_2023H2'!L:L)</f>
        <v>941</v>
      </c>
      <c r="B905" s="4" t="s">
        <v>2714</v>
      </c>
      <c r="C905" s="4" t="s">
        <v>2715</v>
      </c>
      <c r="D905" s="5" t="s">
        <v>2716</v>
      </c>
      <c r="E905" s="5">
        <v>1342.35</v>
      </c>
      <c r="F905" s="6">
        <f>LOOKUP(D905,'AMFI DATA_2023H2'!F:J,'AMFI DATA_2023H2'!J:J)</f>
        <v>2004.6853000000001</v>
      </c>
      <c r="G905" s="7">
        <f t="shared" si="3"/>
        <v>-1</v>
      </c>
      <c r="H905" s="8"/>
      <c r="I905" s="8">
        <v>1819</v>
      </c>
      <c r="J905" s="8">
        <v>1870</v>
      </c>
      <c r="K905" s="8">
        <v>1812</v>
      </c>
      <c r="L905" s="8">
        <v>1849</v>
      </c>
      <c r="M905" s="8">
        <v>1853</v>
      </c>
      <c r="N905" s="8">
        <v>1860</v>
      </c>
      <c r="O905" s="8">
        <v>1817</v>
      </c>
      <c r="P905" s="8">
        <v>1794</v>
      </c>
      <c r="Q905" s="8">
        <v>1784</v>
      </c>
      <c r="R905" s="8">
        <v>1821</v>
      </c>
      <c r="S905" s="8">
        <v>1830</v>
      </c>
      <c r="T905" s="8">
        <v>1815</v>
      </c>
      <c r="U905" s="8">
        <v>1817</v>
      </c>
      <c r="V905" s="8">
        <v>1885</v>
      </c>
      <c r="W905" s="8">
        <v>1849</v>
      </c>
      <c r="X905" s="8">
        <v>1885</v>
      </c>
      <c r="Y905" s="8">
        <v>1878</v>
      </c>
      <c r="Z905" s="8">
        <v>1876</v>
      </c>
      <c r="AA905" s="8">
        <v>1927</v>
      </c>
      <c r="AB905" s="8">
        <v>1942</v>
      </c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</row>
    <row r="906" spans="1:47" ht="14.4">
      <c r="A906" s="3">
        <f>LOOKUP(D906,'AMFI DATA_2023H2'!F:L,'AMFI DATA_2023H2'!L:L)</f>
        <v>942</v>
      </c>
      <c r="B906" s="4" t="s">
        <v>2717</v>
      </c>
      <c r="C906" s="4" t="s">
        <v>2718</v>
      </c>
      <c r="D906" s="5" t="s">
        <v>2719</v>
      </c>
      <c r="E906" s="5">
        <v>911.92</v>
      </c>
      <c r="F906" s="6">
        <f>LOOKUP(D906,'AMFI DATA_2023H2'!F:J,'AMFI DATA_2023H2'!J:J)</f>
        <v>2001.7962499999999</v>
      </c>
      <c r="G906" s="7">
        <f t="shared" si="3"/>
        <v>-1</v>
      </c>
      <c r="H906" s="8"/>
      <c r="I906" s="8">
        <v>3891</v>
      </c>
      <c r="J906" s="8">
        <v>3768</v>
      </c>
      <c r="K906" s="8">
        <v>3744</v>
      </c>
      <c r="L906" s="8">
        <v>3839</v>
      </c>
      <c r="M906" s="8">
        <v>3827</v>
      </c>
      <c r="N906" s="8">
        <v>3830</v>
      </c>
      <c r="O906" s="8">
        <v>3818</v>
      </c>
      <c r="P906" s="8">
        <v>3827</v>
      </c>
      <c r="Q906" s="8">
        <v>3929</v>
      </c>
      <c r="R906" s="8">
        <v>3931</v>
      </c>
      <c r="S906" s="8">
        <v>3785</v>
      </c>
      <c r="T906" s="8">
        <v>3558</v>
      </c>
      <c r="U906" s="8">
        <v>3434</v>
      </c>
      <c r="V906" s="8">
        <v>3382</v>
      </c>
      <c r="W906" s="8">
        <v>3403</v>
      </c>
      <c r="X906" s="8">
        <v>3306</v>
      </c>
      <c r="Y906" s="8">
        <v>3058</v>
      </c>
      <c r="Z906" s="8">
        <v>3122</v>
      </c>
      <c r="AA906" s="8">
        <v>3096</v>
      </c>
      <c r="AB906" s="8">
        <v>3194</v>
      </c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</row>
    <row r="907" spans="1:47" ht="14.4">
      <c r="A907" s="3">
        <f>LOOKUP(D907,'AMFI DATA_2023H2'!F:L,'AMFI DATA_2023H2'!L:L)</f>
        <v>943</v>
      </c>
      <c r="B907" s="4" t="s">
        <v>2720</v>
      </c>
      <c r="C907" s="4" t="s">
        <v>2721</v>
      </c>
      <c r="D907" s="5" t="s">
        <v>2722</v>
      </c>
      <c r="E907" s="5">
        <v>1398.39</v>
      </c>
      <c r="F907" s="6">
        <f>LOOKUP(D907,'AMFI DATA_2023H2'!F:J,'AMFI DATA_2023H2'!J:J)</f>
        <v>1995.0362500000001</v>
      </c>
      <c r="G907" s="7">
        <f t="shared" si="3"/>
        <v>-1</v>
      </c>
      <c r="H907" s="8"/>
      <c r="I907" s="8">
        <v>1811</v>
      </c>
      <c r="J907" s="8">
        <v>1777</v>
      </c>
      <c r="K907" s="8">
        <v>1786</v>
      </c>
      <c r="L907" s="8">
        <v>1818</v>
      </c>
      <c r="M907" s="8">
        <v>1865</v>
      </c>
      <c r="N907" s="8">
        <v>1833</v>
      </c>
      <c r="O907" s="8">
        <v>1802</v>
      </c>
      <c r="P907" s="8">
        <v>1808</v>
      </c>
      <c r="Q907" s="8">
        <v>1779</v>
      </c>
      <c r="R907" s="8">
        <v>1796</v>
      </c>
      <c r="S907" s="8">
        <v>1841</v>
      </c>
      <c r="T907" s="8">
        <v>1901</v>
      </c>
      <c r="U907" s="8">
        <v>1889</v>
      </c>
      <c r="V907" s="8">
        <v>1896</v>
      </c>
      <c r="W907" s="8">
        <v>1909</v>
      </c>
      <c r="X907" s="8">
        <v>1943</v>
      </c>
      <c r="Y907" s="8">
        <v>1922</v>
      </c>
      <c r="Z907" s="8">
        <v>1931</v>
      </c>
      <c r="AA907" s="8">
        <v>1958</v>
      </c>
      <c r="AB907" s="8">
        <v>1927</v>
      </c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</row>
    <row r="908" spans="1:47" ht="14.4">
      <c r="A908" s="3">
        <f>LOOKUP(D908,'AMFI DATA_2023H2'!F:L,'AMFI DATA_2023H2'!L:L)</f>
        <v>944</v>
      </c>
      <c r="B908" s="4" t="s">
        <v>2723</v>
      </c>
      <c r="C908" s="4" t="s">
        <v>2724</v>
      </c>
      <c r="D908" s="5" t="s">
        <v>2725</v>
      </c>
      <c r="E908" s="5">
        <v>1043.9000000000001</v>
      </c>
      <c r="F908" s="6">
        <f>LOOKUP(D908,'AMFI DATA_2023H2'!F:J,'AMFI DATA_2023H2'!J:J)</f>
        <v>1977.8809500000002</v>
      </c>
      <c r="G908" s="7">
        <f t="shared" si="3"/>
        <v>-1</v>
      </c>
      <c r="H908" s="8"/>
      <c r="I908" s="8">
        <v>2526</v>
      </c>
      <c r="J908" s="8">
        <v>2506</v>
      </c>
      <c r="K908" s="8">
        <v>2420</v>
      </c>
      <c r="L908" s="8">
        <v>2501</v>
      </c>
      <c r="M908" s="8">
        <v>2526</v>
      </c>
      <c r="N908" s="8">
        <v>2549</v>
      </c>
      <c r="O908" s="8">
        <v>2581</v>
      </c>
      <c r="P908" s="8">
        <v>2575</v>
      </c>
      <c r="Q908" s="8">
        <v>2520</v>
      </c>
      <c r="R908" s="8">
        <v>2536</v>
      </c>
      <c r="S908" s="8">
        <v>2581</v>
      </c>
      <c r="T908" s="8">
        <v>2473</v>
      </c>
      <c r="U908" s="8">
        <v>2452</v>
      </c>
      <c r="V908" s="8">
        <v>2440</v>
      </c>
      <c r="W908" s="8">
        <v>2369</v>
      </c>
      <c r="X908" s="8">
        <v>2444</v>
      </c>
      <c r="Y908" s="8">
        <v>2386</v>
      </c>
      <c r="Z908" s="8">
        <v>2415</v>
      </c>
      <c r="AA908" s="8">
        <v>2435</v>
      </c>
      <c r="AB908" s="8">
        <v>2478</v>
      </c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</row>
    <row r="909" spans="1:47" ht="14.4">
      <c r="A909" s="3">
        <f>LOOKUP(D909,'AMFI DATA_2023H2'!F:L,'AMFI DATA_2023H2'!L:L)</f>
        <v>945</v>
      </c>
      <c r="B909" s="4" t="s">
        <v>2726</v>
      </c>
      <c r="C909" s="4" t="s">
        <v>2727</v>
      </c>
      <c r="D909" s="5" t="s">
        <v>2728</v>
      </c>
      <c r="E909" s="5">
        <v>1724.79</v>
      </c>
      <c r="F909" s="6">
        <f>LOOKUP(D909,'AMFI DATA_2023H2'!F:J,'AMFI DATA_2023H2'!J:J)</f>
        <v>1977.09755</v>
      </c>
      <c r="G909" s="7">
        <f t="shared" si="3"/>
        <v>-1</v>
      </c>
      <c r="H909" s="8"/>
      <c r="I909" s="8">
        <v>2110</v>
      </c>
      <c r="J909" s="8">
        <v>2016</v>
      </c>
      <c r="K909" s="8">
        <v>2022</v>
      </c>
      <c r="L909" s="8">
        <v>2063</v>
      </c>
      <c r="M909" s="8">
        <v>2097</v>
      </c>
      <c r="N909" s="8">
        <v>2128</v>
      </c>
      <c r="O909" s="8">
        <v>2154</v>
      </c>
      <c r="P909" s="8">
        <v>2162</v>
      </c>
      <c r="Q909" s="8">
        <v>1906</v>
      </c>
      <c r="R909" s="8">
        <v>1906</v>
      </c>
      <c r="S909" s="8">
        <v>1922</v>
      </c>
      <c r="T909" s="8">
        <v>1918</v>
      </c>
      <c r="U909" s="8">
        <v>1901</v>
      </c>
      <c r="V909" s="8">
        <v>1925</v>
      </c>
      <c r="W909" s="8">
        <v>1923</v>
      </c>
      <c r="X909" s="8">
        <v>1914</v>
      </c>
      <c r="Y909" s="8">
        <v>1919</v>
      </c>
      <c r="Z909" s="8">
        <v>1887</v>
      </c>
      <c r="AA909" s="8">
        <v>1824</v>
      </c>
      <c r="AB909" s="8">
        <v>1825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</row>
    <row r="910" spans="1:47" ht="14.4">
      <c r="A910" s="3">
        <f>LOOKUP(D910,'AMFI DATA_2023H2'!F:L,'AMFI DATA_2023H2'!L:L)</f>
        <v>947</v>
      </c>
      <c r="B910" s="4" t="s">
        <v>2729</v>
      </c>
      <c r="C910" s="4" t="s">
        <v>2730</v>
      </c>
      <c r="D910" s="5" t="s">
        <v>2731</v>
      </c>
      <c r="E910" s="5">
        <v>1492.61</v>
      </c>
      <c r="F910" s="6">
        <f>LOOKUP(D910,'AMFI DATA_2023H2'!F:J,'AMFI DATA_2023H2'!J:J)</f>
        <v>1972.0414000000001</v>
      </c>
      <c r="G910" s="7">
        <f t="shared" si="3"/>
        <v>-1</v>
      </c>
      <c r="H910" s="8"/>
      <c r="I910" s="8">
        <v>2215</v>
      </c>
      <c r="J910" s="8">
        <v>2226</v>
      </c>
      <c r="K910" s="8">
        <v>2256</v>
      </c>
      <c r="L910" s="8">
        <v>2235</v>
      </c>
      <c r="M910" s="8">
        <v>2277</v>
      </c>
      <c r="N910" s="8">
        <v>2291</v>
      </c>
      <c r="O910" s="8">
        <v>2314</v>
      </c>
      <c r="P910" s="8">
        <v>2273</v>
      </c>
      <c r="Q910" s="8">
        <v>2284</v>
      </c>
      <c r="R910" s="8">
        <v>2264</v>
      </c>
      <c r="S910" s="8">
        <v>2308</v>
      </c>
      <c r="T910" s="8">
        <v>2343</v>
      </c>
      <c r="U910" s="8">
        <v>2280</v>
      </c>
      <c r="V910" s="8">
        <v>2272</v>
      </c>
      <c r="W910" s="8">
        <v>2295</v>
      </c>
      <c r="X910" s="8">
        <v>2276</v>
      </c>
      <c r="Y910" s="8">
        <v>2325</v>
      </c>
      <c r="Z910" s="8">
        <v>2357</v>
      </c>
      <c r="AA910" s="8">
        <v>2415</v>
      </c>
      <c r="AB910" s="8">
        <v>2348</v>
      </c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</row>
    <row r="911" spans="1:47" ht="14.4">
      <c r="A911" s="3">
        <f>LOOKUP(D911,'AMFI DATA_2023H2'!F:L,'AMFI DATA_2023H2'!L:L)</f>
        <v>948</v>
      </c>
      <c r="B911" s="4" t="s">
        <v>2732</v>
      </c>
      <c r="C911" s="4" t="s">
        <v>2733</v>
      </c>
      <c r="D911" s="5" t="s">
        <v>2734</v>
      </c>
      <c r="E911" s="5">
        <v>1296.78</v>
      </c>
      <c r="F911" s="6">
        <f>LOOKUP(D911,'AMFI DATA_2023H2'!F:J,'AMFI DATA_2023H2'!J:J)</f>
        <v>1966.7982999999999</v>
      </c>
      <c r="G911" s="7">
        <f t="shared" si="3"/>
        <v>-1</v>
      </c>
      <c r="H911" s="8"/>
      <c r="I911" s="8">
        <v>2305</v>
      </c>
      <c r="J911" s="8">
        <v>2303</v>
      </c>
      <c r="K911" s="8">
        <v>2248</v>
      </c>
      <c r="L911" s="8">
        <v>2181</v>
      </c>
      <c r="M911" s="8">
        <v>2239</v>
      </c>
      <c r="N911" s="8">
        <v>2218</v>
      </c>
      <c r="O911" s="8">
        <v>2299</v>
      </c>
      <c r="P911" s="8">
        <v>2326</v>
      </c>
      <c r="Q911" s="8">
        <v>2356</v>
      </c>
      <c r="R911" s="8">
        <v>2322</v>
      </c>
      <c r="S911" s="8">
        <v>2288</v>
      </c>
      <c r="T911" s="8">
        <v>2318</v>
      </c>
      <c r="U911" s="8">
        <v>2155</v>
      </c>
      <c r="V911" s="8">
        <v>2171</v>
      </c>
      <c r="W911" s="8">
        <v>2173</v>
      </c>
      <c r="X911" s="8">
        <v>2158</v>
      </c>
      <c r="Y911" s="8">
        <v>2147</v>
      </c>
      <c r="Z911" s="8">
        <v>2143</v>
      </c>
      <c r="AA911" s="8">
        <v>2117</v>
      </c>
      <c r="AB911" s="8">
        <v>2189</v>
      </c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</row>
    <row r="912" spans="1:47" ht="14.4">
      <c r="A912" s="3">
        <f>LOOKUP(D912,'AMFI DATA_2023H2'!F:L,'AMFI DATA_2023H2'!L:L)</f>
        <v>952</v>
      </c>
      <c r="B912" s="4" t="s">
        <v>2735</v>
      </c>
      <c r="C912" s="4" t="s">
        <v>2736</v>
      </c>
      <c r="D912" s="5" t="s">
        <v>2737</v>
      </c>
      <c r="E912" s="5">
        <v>1307.08</v>
      </c>
      <c r="F912" s="6">
        <f>LOOKUP(D912,'AMFI DATA_2023H2'!F:J,'AMFI DATA_2023H2'!J:J)</f>
        <v>1941.7499499999999</v>
      </c>
      <c r="G912" s="7">
        <f t="shared" si="3"/>
        <v>-1</v>
      </c>
      <c r="H912" s="8"/>
      <c r="I912" s="8">
        <v>2456</v>
      </c>
      <c r="J912" s="8">
        <v>2446</v>
      </c>
      <c r="K912" s="8">
        <v>2366</v>
      </c>
      <c r="L912" s="8">
        <v>2402</v>
      </c>
      <c r="M912" s="8">
        <v>2440</v>
      </c>
      <c r="N912" s="8">
        <v>2446</v>
      </c>
      <c r="O912" s="8">
        <v>2397</v>
      </c>
      <c r="P912" s="8">
        <v>2421</v>
      </c>
      <c r="Q912" s="8">
        <v>2369</v>
      </c>
      <c r="R912" s="8">
        <v>2445</v>
      </c>
      <c r="S912" s="8">
        <v>2525</v>
      </c>
      <c r="T912" s="8">
        <v>2534</v>
      </c>
      <c r="U912" s="8">
        <v>2518</v>
      </c>
      <c r="V912" s="8">
        <v>2501</v>
      </c>
      <c r="W912" s="8">
        <v>2475</v>
      </c>
      <c r="X912" s="8">
        <v>2381</v>
      </c>
      <c r="Y912" s="8">
        <v>2140</v>
      </c>
      <c r="Z912" s="8">
        <v>2258</v>
      </c>
      <c r="AA912" s="8">
        <v>2188</v>
      </c>
      <c r="AB912" s="8">
        <v>2273</v>
      </c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</row>
    <row r="913" spans="1:47" ht="14.4">
      <c r="A913" s="3">
        <f>LOOKUP(D913,'AMFI DATA_2023H2'!F:L,'AMFI DATA_2023H2'!L:L)</f>
        <v>953</v>
      </c>
      <c r="B913" s="4" t="s">
        <v>2738</v>
      </c>
      <c r="C913" s="4" t="s">
        <v>2739</v>
      </c>
      <c r="D913" s="5" t="s">
        <v>2740</v>
      </c>
      <c r="E913" s="5">
        <v>133.1</v>
      </c>
      <c r="F913" s="6">
        <f>LOOKUP(D913,'AMFI DATA_2023H2'!F:J,'AMFI DATA_2023H2'!J:J)</f>
        <v>1938.8611000000001</v>
      </c>
      <c r="G913" s="7">
        <f t="shared" si="3"/>
        <v>-1</v>
      </c>
      <c r="H913" s="8"/>
      <c r="I913" s="8">
        <v>1859</v>
      </c>
      <c r="J913" s="8">
        <v>1861</v>
      </c>
      <c r="K913" s="8">
        <v>1874</v>
      </c>
      <c r="L913" s="8">
        <v>1858</v>
      </c>
      <c r="M913" s="8">
        <v>1858</v>
      </c>
      <c r="N913" s="8">
        <v>1882</v>
      </c>
      <c r="O913" s="8">
        <v>1908</v>
      </c>
      <c r="P913" s="8">
        <v>1914</v>
      </c>
      <c r="Q913" s="8">
        <v>1868</v>
      </c>
      <c r="R913" s="8">
        <v>1888</v>
      </c>
      <c r="S913" s="8">
        <v>1865</v>
      </c>
      <c r="T913" s="8">
        <v>1914</v>
      </c>
      <c r="U913" s="8">
        <v>1932</v>
      </c>
      <c r="V913" s="8">
        <v>1941</v>
      </c>
      <c r="W913" s="8">
        <v>1961</v>
      </c>
      <c r="X913" s="8">
        <v>1863</v>
      </c>
      <c r="Y913" s="8">
        <v>1843</v>
      </c>
      <c r="Z913" s="8">
        <v>1850</v>
      </c>
      <c r="AA913" s="8">
        <v>1886</v>
      </c>
      <c r="AB913" s="8">
        <v>1811</v>
      </c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</row>
    <row r="914" spans="1:47" ht="14.4">
      <c r="A914" s="3">
        <f>LOOKUP(D914,'AMFI DATA_2023H2'!F:L,'AMFI DATA_2023H2'!L:L)</f>
        <v>954</v>
      </c>
      <c r="B914" s="4" t="s">
        <v>2741</v>
      </c>
      <c r="C914" s="4" t="s">
        <v>2742</v>
      </c>
      <c r="D914" s="5" t="s">
        <v>2743</v>
      </c>
      <c r="E914" s="5">
        <v>547.08000000000004</v>
      </c>
      <c r="F914" s="6">
        <f>LOOKUP(D914,'AMFI DATA_2023H2'!F:J,'AMFI DATA_2023H2'!J:J)</f>
        <v>1936.0578999999998</v>
      </c>
      <c r="G914" s="7">
        <f t="shared" si="3"/>
        <v>-1</v>
      </c>
      <c r="H914" s="8"/>
      <c r="I914" s="8">
        <v>2178</v>
      </c>
      <c r="J914" s="8">
        <v>2200</v>
      </c>
      <c r="K914" s="8">
        <v>2193</v>
      </c>
      <c r="L914" s="8">
        <v>2223</v>
      </c>
      <c r="M914" s="8">
        <v>2265</v>
      </c>
      <c r="N914" s="8">
        <v>2240</v>
      </c>
      <c r="O914" s="8">
        <v>2201</v>
      </c>
      <c r="P914" s="8">
        <v>2206</v>
      </c>
      <c r="Q914" s="8">
        <v>2197</v>
      </c>
      <c r="R914" s="8">
        <v>2221</v>
      </c>
      <c r="S914" s="8">
        <v>2184</v>
      </c>
      <c r="T914" s="8">
        <v>2185</v>
      </c>
      <c r="U914" s="8">
        <v>2194</v>
      </c>
      <c r="V914" s="8">
        <v>2139</v>
      </c>
      <c r="W914" s="8">
        <v>2158</v>
      </c>
      <c r="X914" s="8">
        <v>2211</v>
      </c>
      <c r="Y914" s="8">
        <v>2239</v>
      </c>
      <c r="Z914" s="8">
        <v>2264</v>
      </c>
      <c r="AA914" s="8">
        <v>2241</v>
      </c>
      <c r="AB914" s="8">
        <v>2146</v>
      </c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</row>
    <row r="915" spans="1:47" ht="14.4">
      <c r="A915" s="3">
        <f>LOOKUP(D915,'AMFI DATA_2023H2'!F:L,'AMFI DATA_2023H2'!L:L)</f>
        <v>955</v>
      </c>
      <c r="B915" s="4" t="s">
        <v>2744</v>
      </c>
      <c r="C915" s="4" t="s">
        <v>2745</v>
      </c>
      <c r="D915" s="5" t="s">
        <v>2746</v>
      </c>
      <c r="E915" s="5">
        <v>1472.44</v>
      </c>
      <c r="F915" s="6">
        <f>LOOKUP(D915,'AMFI DATA_2023H2'!F:J,'AMFI DATA_2023H2'!J:J)</f>
        <v>1935.9639000000002</v>
      </c>
      <c r="G915" s="7">
        <f t="shared" si="3"/>
        <v>-1</v>
      </c>
      <c r="H915" s="8"/>
      <c r="I915" s="8">
        <v>2271</v>
      </c>
      <c r="J915" s="8">
        <v>2267</v>
      </c>
      <c r="K915" s="8">
        <v>2228</v>
      </c>
      <c r="L915" s="8">
        <v>2205</v>
      </c>
      <c r="M915" s="8">
        <v>2263</v>
      </c>
      <c r="N915" s="8">
        <v>2290</v>
      </c>
      <c r="O915" s="8">
        <v>2287</v>
      </c>
      <c r="P915" s="8">
        <v>2283</v>
      </c>
      <c r="Q915" s="8">
        <v>2300</v>
      </c>
      <c r="R915" s="8">
        <v>2286</v>
      </c>
      <c r="S915" s="8">
        <v>2274</v>
      </c>
      <c r="T915" s="8">
        <v>2255</v>
      </c>
      <c r="U915" s="8">
        <v>2306</v>
      </c>
      <c r="V915" s="8">
        <v>2258</v>
      </c>
      <c r="W915" s="8">
        <v>2201</v>
      </c>
      <c r="X915" s="8">
        <v>2211</v>
      </c>
      <c r="Y915" s="8">
        <v>2238</v>
      </c>
      <c r="Z915" s="8">
        <v>2293</v>
      </c>
      <c r="AA915" s="8">
        <v>2337</v>
      </c>
      <c r="AB915" s="8">
        <v>2306</v>
      </c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</row>
    <row r="916" spans="1:47" ht="14.4">
      <c r="A916" s="3">
        <f>LOOKUP(D916,'AMFI DATA_2023H2'!F:L,'AMFI DATA_2023H2'!L:L)</f>
        <v>957</v>
      </c>
      <c r="B916" s="4" t="s">
        <v>2747</v>
      </c>
      <c r="C916" s="4" t="s">
        <v>2748</v>
      </c>
      <c r="D916" s="5" t="s">
        <v>2749</v>
      </c>
      <c r="E916" s="5">
        <v>1030.3499999999999</v>
      </c>
      <c r="F916" s="6">
        <f>LOOKUP(D916,'AMFI DATA_2023H2'!F:J,'AMFI DATA_2023H2'!J:J)</f>
        <v>1917.2128</v>
      </c>
      <c r="G916" s="7">
        <f t="shared" si="3"/>
        <v>-1</v>
      </c>
      <c r="H916" s="8"/>
      <c r="I916" s="8">
        <v>2129</v>
      </c>
      <c r="J916" s="8">
        <v>2141</v>
      </c>
      <c r="K916" s="8">
        <v>2181</v>
      </c>
      <c r="L916" s="8">
        <v>2194</v>
      </c>
      <c r="M916" s="8">
        <v>2247</v>
      </c>
      <c r="N916" s="8">
        <v>2248</v>
      </c>
      <c r="O916" s="8">
        <v>2235</v>
      </c>
      <c r="P916" s="8">
        <v>2234</v>
      </c>
      <c r="Q916" s="8">
        <v>2216</v>
      </c>
      <c r="R916" s="8">
        <v>2224</v>
      </c>
      <c r="S916" s="8">
        <v>2242</v>
      </c>
      <c r="T916" s="8">
        <v>2249</v>
      </c>
      <c r="U916" s="8">
        <v>2262</v>
      </c>
      <c r="V916" s="8">
        <v>2265</v>
      </c>
      <c r="W916" s="8">
        <v>2284</v>
      </c>
      <c r="X916" s="8">
        <v>2256</v>
      </c>
      <c r="Y916" s="8">
        <v>2265</v>
      </c>
      <c r="Z916" s="8">
        <v>2208</v>
      </c>
      <c r="AA916" s="8">
        <v>2203</v>
      </c>
      <c r="AB916" s="8">
        <v>2223</v>
      </c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</row>
    <row r="917" spans="1:47" ht="14.4">
      <c r="A917" s="3">
        <f>LOOKUP(D917,'AMFI DATA_2023H2'!F:L,'AMFI DATA_2023H2'!L:L)</f>
        <v>958</v>
      </c>
      <c r="B917" s="4" t="s">
        <v>2750</v>
      </c>
      <c r="C917" s="4" t="s">
        <v>2751</v>
      </c>
      <c r="D917" s="5" t="s">
        <v>2752</v>
      </c>
      <c r="E917" s="5">
        <v>1315.31</v>
      </c>
      <c r="F917" s="6">
        <f>LOOKUP(D917,'AMFI DATA_2023H2'!F:J,'AMFI DATA_2023H2'!J:J)</f>
        <v>1910.5857000000001</v>
      </c>
      <c r="G917" s="7">
        <f t="shared" si="3"/>
        <v>-1</v>
      </c>
      <c r="H917" s="8"/>
      <c r="I917" s="8">
        <v>2213</v>
      </c>
      <c r="J917" s="8">
        <v>2172</v>
      </c>
      <c r="K917" s="8">
        <v>2185</v>
      </c>
      <c r="L917" s="8">
        <v>2181</v>
      </c>
      <c r="M917" s="8">
        <v>2207</v>
      </c>
      <c r="N917" s="8">
        <v>2239</v>
      </c>
      <c r="O917" s="8">
        <v>2263</v>
      </c>
      <c r="P917" s="8">
        <v>2173</v>
      </c>
      <c r="Q917" s="8">
        <v>2182</v>
      </c>
      <c r="R917" s="8">
        <v>2152</v>
      </c>
      <c r="S917" s="8">
        <v>2194</v>
      </c>
      <c r="T917" s="8">
        <v>2182</v>
      </c>
      <c r="U917" s="8">
        <v>2190</v>
      </c>
      <c r="V917" s="8">
        <v>2192</v>
      </c>
      <c r="W917" s="8">
        <v>2200</v>
      </c>
      <c r="X917" s="8">
        <v>2222</v>
      </c>
      <c r="Y917" s="8">
        <v>2255</v>
      </c>
      <c r="Z917" s="8">
        <v>2151</v>
      </c>
      <c r="AA917" s="8">
        <v>2144</v>
      </c>
      <c r="AB917" s="8">
        <v>2102</v>
      </c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</row>
    <row r="918" spans="1:47" ht="14.4">
      <c r="A918" s="3">
        <f>LOOKUP(D918,'AMFI DATA_2023H2'!F:L,'AMFI DATA_2023H2'!L:L)</f>
        <v>959</v>
      </c>
      <c r="B918" s="4" t="s">
        <v>2753</v>
      </c>
      <c r="C918" s="4" t="s">
        <v>2754</v>
      </c>
      <c r="D918" s="5" t="s">
        <v>2755</v>
      </c>
      <c r="E918" s="5">
        <v>1423.7</v>
      </c>
      <c r="F918" s="6">
        <f>LOOKUP(D918,'AMFI DATA_2023H2'!F:J,'AMFI DATA_2023H2'!J:J)</f>
        <v>1905.70875</v>
      </c>
      <c r="G918" s="7">
        <f t="shared" si="3"/>
        <v>-1</v>
      </c>
      <c r="H918" s="8"/>
      <c r="I918" s="8">
        <v>2363</v>
      </c>
      <c r="J918" s="8">
        <v>2403</v>
      </c>
      <c r="K918" s="8">
        <v>2381</v>
      </c>
      <c r="L918" s="8">
        <v>2427</v>
      </c>
      <c r="M918" s="8">
        <v>2474</v>
      </c>
      <c r="N918" s="8">
        <v>2523</v>
      </c>
      <c r="O918" s="8">
        <v>2514</v>
      </c>
      <c r="P918" s="8">
        <v>2557</v>
      </c>
      <c r="Q918" s="8">
        <v>2595</v>
      </c>
      <c r="R918" s="8">
        <v>2555</v>
      </c>
      <c r="S918" s="8">
        <v>2557</v>
      </c>
      <c r="T918" s="8">
        <v>2592</v>
      </c>
      <c r="U918" s="8">
        <v>2621</v>
      </c>
      <c r="V918" s="8">
        <v>2517</v>
      </c>
      <c r="W918" s="8">
        <v>2510</v>
      </c>
      <c r="X918" s="8">
        <v>2481</v>
      </c>
      <c r="Y918" s="8">
        <v>2512</v>
      </c>
      <c r="Z918" s="8">
        <v>2553</v>
      </c>
      <c r="AA918" s="8">
        <v>2653</v>
      </c>
      <c r="AB918" s="8">
        <v>2518</v>
      </c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</row>
    <row r="919" spans="1:47" ht="14.4">
      <c r="A919" s="3">
        <f>LOOKUP(D919,'AMFI DATA_2023H2'!F:L,'AMFI DATA_2023H2'!L:L)</f>
        <v>960</v>
      </c>
      <c r="B919" s="4" t="s">
        <v>2756</v>
      </c>
      <c r="C919" s="4" t="s">
        <v>2757</v>
      </c>
      <c r="D919" s="5" t="s">
        <v>2758</v>
      </c>
      <c r="E919" s="5">
        <v>1783.63</v>
      </c>
      <c r="F919" s="6">
        <f>LOOKUP(D919,'AMFI DATA_2023H2'!F:J,'AMFI DATA_2023H2'!J:J)</f>
        <v>1900.3506</v>
      </c>
      <c r="G919" s="7">
        <f t="shared" si="3"/>
        <v>-1</v>
      </c>
      <c r="H919" s="8"/>
      <c r="I919" s="8">
        <v>3020</v>
      </c>
      <c r="J919" s="8">
        <v>2926</v>
      </c>
      <c r="K919" s="8">
        <v>2935</v>
      </c>
      <c r="L919" s="8">
        <v>2968</v>
      </c>
      <c r="M919" s="8">
        <v>2949</v>
      </c>
      <c r="N919" s="8">
        <v>2941</v>
      </c>
      <c r="O919" s="8">
        <v>2977</v>
      </c>
      <c r="P919" s="8">
        <v>2985</v>
      </c>
      <c r="Q919" s="8">
        <v>2843</v>
      </c>
      <c r="R919" s="8">
        <v>2728</v>
      </c>
      <c r="S919" s="8">
        <v>2725</v>
      </c>
      <c r="T919" s="8">
        <v>2700</v>
      </c>
      <c r="U919" s="8">
        <v>2708</v>
      </c>
      <c r="V919" s="8">
        <v>2628</v>
      </c>
      <c r="W919" s="8">
        <v>2668</v>
      </c>
      <c r="X919" s="8">
        <v>2698</v>
      </c>
      <c r="Y919" s="8">
        <v>2415</v>
      </c>
      <c r="Z919" s="8">
        <v>2400</v>
      </c>
      <c r="AA919" s="8">
        <v>2404</v>
      </c>
      <c r="AB919" s="8">
        <v>2394</v>
      </c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</row>
    <row r="920" spans="1:47" ht="14.4">
      <c r="A920" s="3">
        <f>LOOKUP(D920,'AMFI DATA_2023H2'!F:L,'AMFI DATA_2023H2'!L:L)</f>
        <v>961</v>
      </c>
      <c r="B920" s="4" t="s">
        <v>2759</v>
      </c>
      <c r="C920" s="4" t="s">
        <v>2760</v>
      </c>
      <c r="D920" s="5" t="s">
        <v>2761</v>
      </c>
      <c r="E920" s="5">
        <v>1301.75</v>
      </c>
      <c r="F920" s="6">
        <f>LOOKUP(D920,'AMFI DATA_2023H2'!F:J,'AMFI DATA_2023H2'!J:J)</f>
        <v>1893.5306500000002</v>
      </c>
      <c r="G920" s="7">
        <f t="shared" si="3"/>
        <v>-1</v>
      </c>
      <c r="H920" s="8"/>
      <c r="I920" s="8">
        <v>1926</v>
      </c>
      <c r="J920" s="8">
        <v>1940</v>
      </c>
      <c r="K920" s="8">
        <v>1937</v>
      </c>
      <c r="L920" s="8">
        <v>1962</v>
      </c>
      <c r="M920" s="8">
        <v>1993</v>
      </c>
      <c r="N920" s="8">
        <v>2004</v>
      </c>
      <c r="O920" s="8">
        <v>2049</v>
      </c>
      <c r="P920" s="8">
        <v>2002</v>
      </c>
      <c r="Q920" s="8">
        <v>1948</v>
      </c>
      <c r="R920" s="8">
        <v>1954</v>
      </c>
      <c r="S920" s="8">
        <v>2002</v>
      </c>
      <c r="T920" s="8">
        <v>1994</v>
      </c>
      <c r="U920" s="8">
        <v>1998</v>
      </c>
      <c r="V920" s="8">
        <v>1945</v>
      </c>
      <c r="W920" s="8">
        <v>1990</v>
      </c>
      <c r="X920" s="8">
        <v>1953</v>
      </c>
      <c r="Y920" s="8">
        <v>1974</v>
      </c>
      <c r="Z920" s="8">
        <v>1984</v>
      </c>
      <c r="AA920" s="8">
        <v>1976</v>
      </c>
      <c r="AB920" s="8">
        <v>1962</v>
      </c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</row>
    <row r="921" spans="1:47" ht="14.4">
      <c r="A921" s="3">
        <f>LOOKUP(D921,'AMFI DATA_2023H2'!F:L,'AMFI DATA_2023H2'!L:L)</f>
        <v>962</v>
      </c>
      <c r="B921" s="4" t="s">
        <v>2762</v>
      </c>
      <c r="C921" s="4" t="s">
        <v>2763</v>
      </c>
      <c r="D921" s="5" t="s">
        <v>2764</v>
      </c>
      <c r="E921" s="5">
        <v>32657.99</v>
      </c>
      <c r="F921" s="6">
        <f>LOOKUP(D921,'AMFI DATA_2023H2'!F:J,'AMFI DATA_2023H2'!J:J)</f>
        <v>1892.7217500000002</v>
      </c>
      <c r="G921" s="7">
        <f t="shared" si="3"/>
        <v>-1</v>
      </c>
      <c r="H921" s="8"/>
      <c r="I921" s="8">
        <v>2324</v>
      </c>
      <c r="J921" s="8">
        <v>2248</v>
      </c>
      <c r="K921" s="8">
        <v>2224</v>
      </c>
      <c r="L921" s="8">
        <v>2298</v>
      </c>
      <c r="M921" s="8">
        <v>2291</v>
      </c>
      <c r="N921" s="8">
        <v>2187</v>
      </c>
      <c r="O921" s="8">
        <v>2201</v>
      </c>
      <c r="P921" s="8">
        <v>2155</v>
      </c>
      <c r="Q921" s="8">
        <v>2091</v>
      </c>
      <c r="R921" s="8">
        <v>2104</v>
      </c>
      <c r="S921" s="8">
        <v>2128</v>
      </c>
      <c r="T921" s="8">
        <v>2054</v>
      </c>
      <c r="U921" s="8">
        <v>2079</v>
      </c>
      <c r="V921" s="8">
        <v>2122</v>
      </c>
      <c r="W921" s="8">
        <v>2182</v>
      </c>
      <c r="X921" s="8">
        <v>2250</v>
      </c>
      <c r="Y921" s="8">
        <v>2325</v>
      </c>
      <c r="Z921" s="8">
        <v>2304</v>
      </c>
      <c r="AA921" s="8">
        <v>2334</v>
      </c>
      <c r="AB921" s="8">
        <v>2366</v>
      </c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</row>
    <row r="922" spans="1:47" ht="14.4">
      <c r="A922" s="3">
        <f>LOOKUP(D922,'AMFI DATA_2023H2'!F:L,'AMFI DATA_2023H2'!L:L)</f>
        <v>963</v>
      </c>
      <c r="B922" s="4" t="s">
        <v>2765</v>
      </c>
      <c r="C922" s="4" t="s">
        <v>2766</v>
      </c>
      <c r="D922" s="5" t="s">
        <v>2767</v>
      </c>
      <c r="E922" s="5">
        <v>697.43</v>
      </c>
      <c r="F922" s="6">
        <f>LOOKUP(D922,'AMFI DATA_2023H2'!F:J,'AMFI DATA_2023H2'!J:J)</f>
        <v>1890.0088000000001</v>
      </c>
      <c r="G922" s="7">
        <f t="shared" si="3"/>
        <v>-1</v>
      </c>
      <c r="H922" s="8"/>
      <c r="I922" s="8">
        <v>3434</v>
      </c>
      <c r="J922" s="8">
        <v>3416</v>
      </c>
      <c r="K922" s="8">
        <v>3402</v>
      </c>
      <c r="L922" s="8">
        <v>3430</v>
      </c>
      <c r="M922" s="8">
        <v>3459</v>
      </c>
      <c r="N922" s="8">
        <v>3534</v>
      </c>
      <c r="O922" s="8">
        <v>3625</v>
      </c>
      <c r="P922" s="8">
        <v>3589</v>
      </c>
      <c r="Q922" s="8">
        <v>3318</v>
      </c>
      <c r="R922" s="8">
        <v>3476</v>
      </c>
      <c r="S922" s="8">
        <v>3337</v>
      </c>
      <c r="T922" s="8">
        <v>3404</v>
      </c>
      <c r="U922" s="8">
        <v>3468</v>
      </c>
      <c r="V922" s="8">
        <v>3306</v>
      </c>
      <c r="W922" s="8">
        <v>3149</v>
      </c>
      <c r="X922" s="8">
        <v>3000</v>
      </c>
      <c r="Y922" s="8">
        <v>2858</v>
      </c>
      <c r="Z922" s="8">
        <v>2958</v>
      </c>
      <c r="AA922" s="8">
        <v>2987</v>
      </c>
      <c r="AB922" s="8">
        <v>3013</v>
      </c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</row>
    <row r="923" spans="1:47" ht="14.4">
      <c r="A923" s="3">
        <f>LOOKUP(D923,'AMFI DATA_2023H2'!F:L,'AMFI DATA_2023H2'!L:L)</f>
        <v>964</v>
      </c>
      <c r="B923" s="4" t="s">
        <v>2768</v>
      </c>
      <c r="C923" s="4" t="s">
        <v>2769</v>
      </c>
      <c r="D923" s="5" t="s">
        <v>2770</v>
      </c>
      <c r="E923" s="5">
        <v>1859.58</v>
      </c>
      <c r="F923" s="6">
        <f>LOOKUP(D923,'AMFI DATA_2023H2'!F:J,'AMFI DATA_2023H2'!J:J)</f>
        <v>1888.0587</v>
      </c>
      <c r="G923" s="7">
        <f t="shared" si="3"/>
        <v>-1</v>
      </c>
      <c r="H923" s="8"/>
      <c r="I923" s="8">
        <v>2011</v>
      </c>
      <c r="J923" s="8">
        <v>2002</v>
      </c>
      <c r="K923" s="8">
        <v>1985</v>
      </c>
      <c r="L923" s="8">
        <v>2012</v>
      </c>
      <c r="M923" s="8">
        <v>2006</v>
      </c>
      <c r="N923" s="8">
        <v>2018</v>
      </c>
      <c r="O923" s="8">
        <v>2027</v>
      </c>
      <c r="P923" s="8">
        <v>1940</v>
      </c>
      <c r="Q923" s="8">
        <v>1973</v>
      </c>
      <c r="R923" s="8">
        <v>1980</v>
      </c>
      <c r="S923" s="8">
        <v>2010</v>
      </c>
      <c r="T923" s="8">
        <v>2025</v>
      </c>
      <c r="U923" s="8">
        <v>2045</v>
      </c>
      <c r="V923" s="8">
        <v>2039</v>
      </c>
      <c r="W923" s="8">
        <v>2047</v>
      </c>
      <c r="X923" s="8">
        <v>2003</v>
      </c>
      <c r="Y923" s="8">
        <v>1999</v>
      </c>
      <c r="Z923" s="8">
        <v>2010</v>
      </c>
      <c r="AA923" s="8">
        <v>2002</v>
      </c>
      <c r="AB923" s="8">
        <v>2001</v>
      </c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</row>
    <row r="924" spans="1:47" ht="14.4">
      <c r="A924" s="3">
        <f>LOOKUP(D924,'AMFI DATA_2023H2'!F:L,'AMFI DATA_2023H2'!L:L)</f>
        <v>965</v>
      </c>
      <c r="B924" s="4" t="s">
        <v>2771</v>
      </c>
      <c r="C924" s="4" t="s">
        <v>2772</v>
      </c>
      <c r="D924" s="5" t="s">
        <v>2773</v>
      </c>
      <c r="E924" s="5">
        <v>1182.1600000000001</v>
      </c>
      <c r="F924" s="6">
        <f>LOOKUP(D924,'AMFI DATA_2023H2'!F:J,'AMFI DATA_2023H2'!J:J)</f>
        <v>1882.8575000000001</v>
      </c>
      <c r="G924" s="7">
        <f t="shared" si="3"/>
        <v>-1</v>
      </c>
      <c r="H924" s="8"/>
      <c r="I924" s="8">
        <v>3093</v>
      </c>
      <c r="J924" s="8">
        <v>3202</v>
      </c>
      <c r="K924" s="8">
        <v>3095</v>
      </c>
      <c r="L924" s="8">
        <v>3125</v>
      </c>
      <c r="M924" s="8">
        <v>3223</v>
      </c>
      <c r="N924" s="8">
        <v>3118</v>
      </c>
      <c r="O924" s="8">
        <v>2888</v>
      </c>
      <c r="P924" s="8">
        <v>2882</v>
      </c>
      <c r="Q924" s="8">
        <v>2861</v>
      </c>
      <c r="R924" s="8">
        <v>2799</v>
      </c>
      <c r="S924" s="8">
        <v>2862</v>
      </c>
      <c r="T924" s="8">
        <v>2858</v>
      </c>
      <c r="U924" s="8">
        <v>2810</v>
      </c>
      <c r="V924" s="8">
        <v>2778</v>
      </c>
      <c r="W924" s="8">
        <v>2847</v>
      </c>
      <c r="X924" s="8">
        <v>2680</v>
      </c>
      <c r="Y924" s="8">
        <v>2653</v>
      </c>
      <c r="Z924" s="8">
        <v>2672</v>
      </c>
      <c r="AA924" s="8">
        <v>2675</v>
      </c>
      <c r="AB924" s="8">
        <v>2650</v>
      </c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</row>
    <row r="925" spans="1:47" ht="14.4">
      <c r="A925" s="3">
        <f>LOOKUP(D925,'AMFI DATA_2023H2'!F:L,'AMFI DATA_2023H2'!L:L)</f>
        <v>966</v>
      </c>
      <c r="B925" s="4" t="s">
        <v>2774</v>
      </c>
      <c r="C925" s="4" t="s">
        <v>2775</v>
      </c>
      <c r="D925" s="5" t="s">
        <v>2776</v>
      </c>
      <c r="E925" s="5">
        <v>494.76</v>
      </c>
      <c r="F925" s="6">
        <f>LOOKUP(D925,'AMFI DATA_2023H2'!F:J,'AMFI DATA_2023H2'!J:J)</f>
        <v>1878.60915</v>
      </c>
      <c r="G925" s="7">
        <f t="shared" si="3"/>
        <v>-1</v>
      </c>
      <c r="H925" s="8"/>
      <c r="I925" s="8">
        <v>1644</v>
      </c>
      <c r="J925" s="8">
        <v>1655</v>
      </c>
      <c r="K925" s="8">
        <v>1652</v>
      </c>
      <c r="L925" s="8">
        <v>1681</v>
      </c>
      <c r="M925" s="8">
        <v>1695</v>
      </c>
      <c r="N925" s="8">
        <v>1699</v>
      </c>
      <c r="O925" s="8">
        <v>1724</v>
      </c>
      <c r="P925" s="8">
        <v>1701</v>
      </c>
      <c r="Q925" s="8">
        <v>1720</v>
      </c>
      <c r="R925" s="8">
        <v>1655</v>
      </c>
      <c r="S925" s="8">
        <v>1679</v>
      </c>
      <c r="T925" s="8">
        <v>1692</v>
      </c>
      <c r="U925" s="8">
        <v>1686</v>
      </c>
      <c r="V925" s="8">
        <v>1679</v>
      </c>
      <c r="W925" s="8">
        <v>1648</v>
      </c>
      <c r="X925" s="8">
        <v>1614</v>
      </c>
      <c r="Y925" s="8">
        <v>1601</v>
      </c>
      <c r="Z925" s="8">
        <v>1623</v>
      </c>
      <c r="AA925" s="8">
        <v>1641</v>
      </c>
      <c r="AB925" s="8">
        <v>1573</v>
      </c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</row>
    <row r="926" spans="1:47" ht="14.4">
      <c r="A926" s="3">
        <f>LOOKUP(D926,'AMFI DATA_2023H2'!F:L,'AMFI DATA_2023H2'!L:L)</f>
        <v>968</v>
      </c>
      <c r="B926" s="4" t="s">
        <v>2777</v>
      </c>
      <c r="C926" s="4" t="s">
        <v>2778</v>
      </c>
      <c r="D926" s="5" t="s">
        <v>2779</v>
      </c>
      <c r="E926" s="5">
        <v>1759.37</v>
      </c>
      <c r="F926" s="6">
        <f>LOOKUP(D926,'AMFI DATA_2023H2'!F:J,'AMFI DATA_2023H2'!J:J)</f>
        <v>1869.10735</v>
      </c>
      <c r="G926" s="7">
        <f t="shared" si="3"/>
        <v>-1</v>
      </c>
      <c r="H926" s="8"/>
      <c r="I926" s="8">
        <v>1937</v>
      </c>
      <c r="J926" s="8">
        <v>1927</v>
      </c>
      <c r="K926" s="8">
        <v>1925</v>
      </c>
      <c r="L926" s="8">
        <v>1905</v>
      </c>
      <c r="M926" s="8">
        <v>1851</v>
      </c>
      <c r="N926" s="8">
        <v>1856</v>
      </c>
      <c r="O926" s="8">
        <v>1853</v>
      </c>
      <c r="P926" s="8">
        <v>1851</v>
      </c>
      <c r="Q926" s="8">
        <v>1839</v>
      </c>
      <c r="R926" s="8">
        <v>1787</v>
      </c>
      <c r="S926" s="8">
        <v>1691</v>
      </c>
      <c r="T926" s="8">
        <v>1686</v>
      </c>
      <c r="U926" s="8">
        <v>1727</v>
      </c>
      <c r="V926" s="8">
        <v>1765</v>
      </c>
      <c r="W926" s="8">
        <v>1805</v>
      </c>
      <c r="X926" s="8">
        <v>1803</v>
      </c>
      <c r="Y926" s="8">
        <v>1747</v>
      </c>
      <c r="Z926" s="8">
        <v>1619</v>
      </c>
      <c r="AA926" s="8">
        <v>1598</v>
      </c>
      <c r="AB926" s="8">
        <v>1618</v>
      </c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</row>
    <row r="927" spans="1:47" ht="14.4">
      <c r="A927" s="3">
        <f>LOOKUP(D927,'AMFI DATA_2023H2'!F:L,'AMFI DATA_2023H2'!L:L)</f>
        <v>969</v>
      </c>
      <c r="B927" s="4" t="s">
        <v>2780</v>
      </c>
      <c r="C927" s="4" t="s">
        <v>2781</v>
      </c>
      <c r="D927" s="5" t="s">
        <v>2782</v>
      </c>
      <c r="E927" s="5">
        <v>1032</v>
      </c>
      <c r="F927" s="6">
        <f>LOOKUP(D927,'AMFI DATA_2023H2'!F:J,'AMFI DATA_2023H2'!J:J)</f>
        <v>1867.9207000000001</v>
      </c>
      <c r="G927" s="7">
        <f t="shared" si="3"/>
        <v>-1</v>
      </c>
      <c r="H927" s="8"/>
      <c r="I927" s="8">
        <v>3032</v>
      </c>
      <c r="J927" s="8">
        <v>2890</v>
      </c>
      <c r="K927" s="8">
        <v>2840</v>
      </c>
      <c r="L927" s="8">
        <v>2788</v>
      </c>
      <c r="M927" s="8">
        <v>2762</v>
      </c>
      <c r="N927" s="8">
        <v>2807</v>
      </c>
      <c r="O927" s="8">
        <v>2861</v>
      </c>
      <c r="P927" s="8">
        <v>2785</v>
      </c>
      <c r="Q927" s="8">
        <v>2764</v>
      </c>
      <c r="R927" s="8">
        <v>2743</v>
      </c>
      <c r="S927" s="8">
        <v>2791</v>
      </c>
      <c r="T927" s="8">
        <v>2871</v>
      </c>
      <c r="U927" s="8">
        <v>2800</v>
      </c>
      <c r="V927" s="8">
        <v>2841</v>
      </c>
      <c r="W927" s="8">
        <v>2809</v>
      </c>
      <c r="X927" s="8">
        <v>2698</v>
      </c>
      <c r="Y927" s="8">
        <v>2720</v>
      </c>
      <c r="Z927" s="8">
        <v>2692</v>
      </c>
      <c r="AA927" s="8">
        <v>2685</v>
      </c>
      <c r="AB927" s="8">
        <v>2730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</row>
    <row r="928" spans="1:47" ht="14.4">
      <c r="A928" s="3">
        <f>LOOKUP(D928,'AMFI DATA_2023H2'!F:L,'AMFI DATA_2023H2'!L:L)</f>
        <v>970</v>
      </c>
      <c r="B928" s="4" t="s">
        <v>2783</v>
      </c>
      <c r="C928" s="4" t="s">
        <v>2784</v>
      </c>
      <c r="D928" s="5" t="s">
        <v>2785</v>
      </c>
      <c r="E928" s="5">
        <v>1006.65</v>
      </c>
      <c r="F928" s="6">
        <f>LOOKUP(D928,'AMFI DATA_2023H2'!F:J,'AMFI DATA_2023H2'!J:J)</f>
        <v>1864.8221000000001</v>
      </c>
      <c r="G928" s="7">
        <f t="shared" si="3"/>
        <v>-1</v>
      </c>
      <c r="H928" s="8"/>
      <c r="I928" s="8">
        <v>1891</v>
      </c>
      <c r="J928" s="8">
        <v>1840</v>
      </c>
      <c r="K928" s="8">
        <v>1839</v>
      </c>
      <c r="L928" s="8">
        <v>1838</v>
      </c>
      <c r="M928" s="8">
        <v>1902</v>
      </c>
      <c r="N928" s="8">
        <v>1917</v>
      </c>
      <c r="O928" s="8">
        <v>1893</v>
      </c>
      <c r="P928" s="8">
        <v>1882</v>
      </c>
      <c r="Q928" s="8">
        <v>1909</v>
      </c>
      <c r="R928" s="8">
        <v>1930</v>
      </c>
      <c r="S928" s="8">
        <v>1992</v>
      </c>
      <c r="T928" s="8">
        <v>2040</v>
      </c>
      <c r="U928" s="8">
        <v>1849</v>
      </c>
      <c r="V928" s="8">
        <v>1878</v>
      </c>
      <c r="W928" s="8">
        <v>1889</v>
      </c>
      <c r="X928" s="8">
        <v>1738</v>
      </c>
      <c r="Y928" s="8">
        <v>1772</v>
      </c>
      <c r="Z928" s="8">
        <v>1755</v>
      </c>
      <c r="AA928" s="8">
        <v>1765</v>
      </c>
      <c r="AB928" s="8">
        <v>1771</v>
      </c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</row>
    <row r="929" spans="1:47" ht="14.4">
      <c r="A929" s="3">
        <f>LOOKUP(D929,'AMFI DATA_2023H2'!F:L,'AMFI DATA_2023H2'!L:L)</f>
        <v>972</v>
      </c>
      <c r="B929" s="4" t="s">
        <v>2786</v>
      </c>
      <c r="C929" s="4" t="s">
        <v>2787</v>
      </c>
      <c r="D929" s="5" t="s">
        <v>2788</v>
      </c>
      <c r="E929" s="5">
        <v>1737.2</v>
      </c>
      <c r="F929" s="6">
        <f>LOOKUP(D929,'AMFI DATA_2023H2'!F:J,'AMFI DATA_2023H2'!J:J)</f>
        <v>1845.9341999999999</v>
      </c>
      <c r="G929" s="7">
        <f t="shared" si="3"/>
        <v>-1</v>
      </c>
      <c r="H929" s="8"/>
      <c r="I929" s="8">
        <v>2218</v>
      </c>
      <c r="J929" s="8">
        <v>2246</v>
      </c>
      <c r="K929" s="8">
        <v>2192</v>
      </c>
      <c r="L929" s="8">
        <v>2242</v>
      </c>
      <c r="M929" s="8">
        <v>2299</v>
      </c>
      <c r="N929" s="8">
        <v>2363</v>
      </c>
      <c r="O929" s="8">
        <v>2270</v>
      </c>
      <c r="P929" s="8">
        <v>2262</v>
      </c>
      <c r="Q929" s="8">
        <v>2225</v>
      </c>
      <c r="R929" s="8">
        <v>2319</v>
      </c>
      <c r="S929" s="8">
        <v>2267</v>
      </c>
      <c r="T929" s="8">
        <v>2283</v>
      </c>
      <c r="U929" s="8">
        <v>2070</v>
      </c>
      <c r="V929" s="8">
        <v>2033</v>
      </c>
      <c r="W929" s="8">
        <v>2040</v>
      </c>
      <c r="X929" s="8">
        <v>2011</v>
      </c>
      <c r="Y929" s="8">
        <v>1995</v>
      </c>
      <c r="Z929" s="8">
        <v>1999</v>
      </c>
      <c r="AA929" s="8">
        <v>2031</v>
      </c>
      <c r="AB929" s="8">
        <v>2045</v>
      </c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</row>
    <row r="930" spans="1:47" ht="14.4">
      <c r="A930" s="3">
        <f>LOOKUP(D930,'AMFI DATA_2023H2'!F:L,'AMFI DATA_2023H2'!L:L)</f>
        <v>973</v>
      </c>
      <c r="B930" s="4" t="s">
        <v>2789</v>
      </c>
      <c r="C930" s="4" t="s">
        <v>2790</v>
      </c>
      <c r="D930" s="5" t="s">
        <v>2791</v>
      </c>
      <c r="E930" s="5">
        <v>1729.12</v>
      </c>
      <c r="F930" s="6">
        <f>LOOKUP(D930,'AMFI DATA_2023H2'!F:J,'AMFI DATA_2023H2'!J:J)</f>
        <v>1840.5712000000001</v>
      </c>
      <c r="G930" s="7">
        <f t="shared" si="3"/>
        <v>-1</v>
      </c>
      <c r="H930" s="8"/>
      <c r="I930" s="8">
        <v>2044</v>
      </c>
      <c r="J930" s="8">
        <v>2089</v>
      </c>
      <c r="K930" s="8">
        <v>2079</v>
      </c>
      <c r="L930" s="8">
        <v>2118</v>
      </c>
      <c r="M930" s="8">
        <v>2245</v>
      </c>
      <c r="N930" s="8">
        <v>2243</v>
      </c>
      <c r="O930" s="8">
        <v>2323</v>
      </c>
      <c r="P930" s="8">
        <v>2373</v>
      </c>
      <c r="Q930" s="8">
        <v>2327</v>
      </c>
      <c r="R930" s="8">
        <v>2335</v>
      </c>
      <c r="S930" s="8">
        <v>2201</v>
      </c>
      <c r="T930" s="8">
        <v>1919</v>
      </c>
      <c r="U930" s="8">
        <v>1912</v>
      </c>
      <c r="V930" s="8">
        <v>1926</v>
      </c>
      <c r="W930" s="8">
        <v>1958</v>
      </c>
      <c r="X930" s="8">
        <v>1913</v>
      </c>
      <c r="Y930" s="8">
        <v>1944</v>
      </c>
      <c r="Z930" s="8">
        <v>1995</v>
      </c>
      <c r="AA930" s="8">
        <v>2068</v>
      </c>
      <c r="AB930" s="8">
        <v>2001</v>
      </c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</row>
    <row r="931" spans="1:47" ht="14.4">
      <c r="A931" s="3">
        <f>LOOKUP(D931,'AMFI DATA_2023H2'!F:L,'AMFI DATA_2023H2'!L:L)</f>
        <v>974</v>
      </c>
      <c r="B931" s="4" t="s">
        <v>2792</v>
      </c>
      <c r="C931" s="4" t="s">
        <v>2793</v>
      </c>
      <c r="D931" s="5" t="s">
        <v>2794</v>
      </c>
      <c r="E931" s="5">
        <v>1258.92</v>
      </c>
      <c r="F931" s="6">
        <f>LOOKUP(D931,'AMFI DATA_2023H2'!F:J,'AMFI DATA_2023H2'!J:J)</f>
        <v>1827.2276000000002</v>
      </c>
      <c r="G931" s="7">
        <f t="shared" si="3"/>
        <v>-1</v>
      </c>
      <c r="H931" s="8"/>
      <c r="I931" s="8">
        <v>1883</v>
      </c>
      <c r="J931" s="8">
        <v>1866</v>
      </c>
      <c r="K931" s="8">
        <v>1866</v>
      </c>
      <c r="L931" s="8">
        <v>1896</v>
      </c>
      <c r="M931" s="8">
        <v>1904</v>
      </c>
      <c r="N931" s="8">
        <v>1944</v>
      </c>
      <c r="O931" s="8">
        <v>1965</v>
      </c>
      <c r="P931" s="8">
        <v>1934</v>
      </c>
      <c r="Q931" s="8">
        <v>1962</v>
      </c>
      <c r="R931" s="8">
        <v>1960</v>
      </c>
      <c r="S931" s="8">
        <v>1953</v>
      </c>
      <c r="T931" s="8">
        <v>1983</v>
      </c>
      <c r="U931" s="8">
        <v>1979</v>
      </c>
      <c r="V931" s="8">
        <v>1978</v>
      </c>
      <c r="W931" s="8">
        <v>1969</v>
      </c>
      <c r="X931" s="8">
        <v>1916</v>
      </c>
      <c r="Y931" s="8">
        <v>1933</v>
      </c>
      <c r="Z931" s="8">
        <v>1919</v>
      </c>
      <c r="AA931" s="8">
        <v>1921</v>
      </c>
      <c r="AB931" s="8">
        <v>1932</v>
      </c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</row>
    <row r="932" spans="1:47" ht="14.4">
      <c r="A932" s="3">
        <f>LOOKUP(D932,'AMFI DATA_2023H2'!F:L,'AMFI DATA_2023H2'!L:L)</f>
        <v>975</v>
      </c>
      <c r="B932" s="4" t="s">
        <v>2795</v>
      </c>
      <c r="C932" s="4" t="s">
        <v>2796</v>
      </c>
      <c r="D932" s="5" t="s">
        <v>2797</v>
      </c>
      <c r="E932" s="5">
        <v>1866.9</v>
      </c>
      <c r="F932" s="6">
        <f>LOOKUP(D932,'AMFI DATA_2023H2'!F:J,'AMFI DATA_2023H2'!J:J)</f>
        <v>1823.0101</v>
      </c>
      <c r="G932" s="7">
        <f t="shared" si="3"/>
        <v>-1</v>
      </c>
      <c r="H932" s="8"/>
      <c r="I932" s="8">
        <v>1754</v>
      </c>
      <c r="J932" s="8">
        <v>1743</v>
      </c>
      <c r="K932" s="8">
        <v>1751</v>
      </c>
      <c r="L932" s="8">
        <v>1754</v>
      </c>
      <c r="M932" s="8">
        <v>1744</v>
      </c>
      <c r="N932" s="8">
        <v>1719</v>
      </c>
      <c r="O932" s="8">
        <v>1722</v>
      </c>
      <c r="P932" s="8">
        <v>1702</v>
      </c>
      <c r="Q932" s="8">
        <v>1721</v>
      </c>
      <c r="R932" s="8">
        <v>1696</v>
      </c>
      <c r="S932" s="8">
        <v>1760</v>
      </c>
      <c r="T932" s="8">
        <v>1812</v>
      </c>
      <c r="U932" s="8">
        <v>1810</v>
      </c>
      <c r="V932" s="8">
        <v>1819</v>
      </c>
      <c r="W932" s="8">
        <v>1802</v>
      </c>
      <c r="X932" s="8">
        <v>1752</v>
      </c>
      <c r="Y932" s="8">
        <v>1757</v>
      </c>
      <c r="Z932" s="8">
        <v>1760</v>
      </c>
      <c r="AA932" s="8">
        <v>1755</v>
      </c>
      <c r="AB932" s="8">
        <v>1752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</row>
    <row r="933" spans="1:47" ht="14.4">
      <c r="A933" s="3">
        <f>LOOKUP(D933,'AMFI DATA_2023H2'!F:L,'AMFI DATA_2023H2'!L:L)</f>
        <v>976</v>
      </c>
      <c r="B933" s="4" t="s">
        <v>2798</v>
      </c>
      <c r="C933" s="4" t="s">
        <v>2799</v>
      </c>
      <c r="D933" s="5" t="s">
        <v>2800</v>
      </c>
      <c r="E933" s="5">
        <v>1229.17</v>
      </c>
      <c r="F933" s="6">
        <f>LOOKUP(D933,'AMFI DATA_2023H2'!F:J,'AMFI DATA_2023H2'!J:J)</f>
        <v>1811.6079</v>
      </c>
      <c r="G933" s="7">
        <f t="shared" si="3"/>
        <v>-1</v>
      </c>
      <c r="H933" s="8"/>
      <c r="I933" s="8">
        <v>2502</v>
      </c>
      <c r="J933" s="8">
        <v>2308</v>
      </c>
      <c r="K933" s="8">
        <v>2335</v>
      </c>
      <c r="L933" s="8">
        <v>2328</v>
      </c>
      <c r="M933" s="8">
        <v>2416</v>
      </c>
      <c r="N933" s="8">
        <v>2379</v>
      </c>
      <c r="O933" s="8">
        <v>2357</v>
      </c>
      <c r="P933" s="8">
        <v>2333</v>
      </c>
      <c r="Q933" s="8">
        <v>2332</v>
      </c>
      <c r="R933" s="8">
        <v>2346</v>
      </c>
      <c r="S933" s="8">
        <v>2385</v>
      </c>
      <c r="T933" s="8">
        <v>2332</v>
      </c>
      <c r="U933" s="8">
        <v>2336</v>
      </c>
      <c r="V933" s="8">
        <v>2129</v>
      </c>
      <c r="W933" s="8">
        <v>2157</v>
      </c>
      <c r="X933" s="8">
        <v>2150</v>
      </c>
      <c r="Y933" s="8">
        <v>2136</v>
      </c>
      <c r="Z933" s="8">
        <v>2164</v>
      </c>
      <c r="AA933" s="8">
        <v>2298</v>
      </c>
      <c r="AB933" s="8">
        <v>2351</v>
      </c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</row>
    <row r="934" spans="1:47" ht="14.4">
      <c r="A934" s="3">
        <f>LOOKUP(D934,'AMFI DATA_2023H2'!F:L,'AMFI DATA_2023H2'!L:L)</f>
        <v>977</v>
      </c>
      <c r="B934" s="4" t="s">
        <v>2801</v>
      </c>
      <c r="C934" s="4" t="s">
        <v>2802</v>
      </c>
      <c r="D934" s="5" t="s">
        <v>2803</v>
      </c>
      <c r="E934" s="5">
        <v>1275.1300000000001</v>
      </c>
      <c r="F934" s="6">
        <f>LOOKUP(D934,'AMFI DATA_2023H2'!F:J,'AMFI DATA_2023H2'!J:J)</f>
        <v>1811.1509000000001</v>
      </c>
      <c r="G934" s="7">
        <f t="shared" si="3"/>
        <v>-1</v>
      </c>
      <c r="H934" s="8"/>
      <c r="I934" s="8">
        <v>2215</v>
      </c>
      <c r="J934" s="8">
        <v>2195</v>
      </c>
      <c r="K934" s="8">
        <v>2172</v>
      </c>
      <c r="L934" s="8">
        <v>2190</v>
      </c>
      <c r="M934" s="8">
        <v>2187</v>
      </c>
      <c r="N934" s="8">
        <v>2205</v>
      </c>
      <c r="O934" s="8">
        <v>2238</v>
      </c>
      <c r="P934" s="8">
        <v>2327</v>
      </c>
      <c r="Q934" s="8">
        <v>2244</v>
      </c>
      <c r="R934" s="8">
        <v>2300</v>
      </c>
      <c r="S934" s="8">
        <v>2210</v>
      </c>
      <c r="T934" s="8">
        <v>2192</v>
      </c>
      <c r="U934" s="8">
        <v>2165</v>
      </c>
      <c r="V934" s="8">
        <v>2074</v>
      </c>
      <c r="W934" s="8">
        <v>2117</v>
      </c>
      <c r="X934" s="8">
        <v>2159</v>
      </c>
      <c r="Y934" s="8">
        <v>2096</v>
      </c>
      <c r="Z934" s="8">
        <v>2148</v>
      </c>
      <c r="AA934" s="8">
        <v>2224</v>
      </c>
      <c r="AB934" s="8">
        <v>2156</v>
      </c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</row>
    <row r="935" spans="1:47" ht="14.4">
      <c r="A935" s="3">
        <f>LOOKUP(D935,'AMFI DATA_2023H2'!F:L,'AMFI DATA_2023H2'!L:L)</f>
        <v>978</v>
      </c>
      <c r="B935" s="4" t="s">
        <v>2804</v>
      </c>
      <c r="C935" s="4" t="s">
        <v>2805</v>
      </c>
      <c r="D935" s="5" t="s">
        <v>2806</v>
      </c>
      <c r="E935" s="5">
        <v>1592.99</v>
      </c>
      <c r="F935" s="6">
        <f>LOOKUP(D935,'AMFI DATA_2023H2'!F:J,'AMFI DATA_2023H2'!J:J)</f>
        <v>1809.7139499999998</v>
      </c>
      <c r="G935" s="7">
        <f t="shared" si="3"/>
        <v>-1</v>
      </c>
      <c r="H935" s="8"/>
      <c r="I935" s="8">
        <v>2010</v>
      </c>
      <c r="J935" s="8">
        <v>1914</v>
      </c>
      <c r="K935" s="8">
        <v>1907</v>
      </c>
      <c r="L935" s="8">
        <v>1944</v>
      </c>
      <c r="M935" s="8">
        <v>1987</v>
      </c>
      <c r="N935" s="8">
        <v>1924</v>
      </c>
      <c r="O935" s="8">
        <v>2005</v>
      </c>
      <c r="P935" s="8">
        <v>1852</v>
      </c>
      <c r="Q935" s="8">
        <v>1840</v>
      </c>
      <c r="R935" s="8">
        <v>1841</v>
      </c>
      <c r="S935" s="8">
        <v>1862</v>
      </c>
      <c r="T935" s="8">
        <v>1870</v>
      </c>
      <c r="U935" s="8">
        <v>1861</v>
      </c>
      <c r="V935" s="8">
        <v>1839</v>
      </c>
      <c r="W935" s="8">
        <v>1791</v>
      </c>
      <c r="X935" s="8">
        <v>1778</v>
      </c>
      <c r="Y935" s="8">
        <v>1779</v>
      </c>
      <c r="Z935" s="8">
        <v>1784</v>
      </c>
      <c r="AA935" s="8">
        <v>1824</v>
      </c>
      <c r="AB935" s="8">
        <v>1820</v>
      </c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</row>
    <row r="936" spans="1:47" ht="14.4">
      <c r="A936" s="3">
        <f>LOOKUP(D936,'AMFI DATA_2023H2'!F:L,'AMFI DATA_2023H2'!L:L)</f>
        <v>979</v>
      </c>
      <c r="B936" s="4" t="s">
        <v>2807</v>
      </c>
      <c r="C936" s="4" t="s">
        <v>2808</v>
      </c>
      <c r="D936" s="5" t="s">
        <v>2809</v>
      </c>
      <c r="E936" s="5">
        <v>1579.14</v>
      </c>
      <c r="F936" s="6">
        <f>LOOKUP(D936,'AMFI DATA_2023H2'!F:J,'AMFI DATA_2023H2'!J:J)</f>
        <v>1807.2616</v>
      </c>
      <c r="G936" s="7">
        <f t="shared" si="3"/>
        <v>-1</v>
      </c>
      <c r="H936" s="8"/>
      <c r="I936" s="8">
        <v>1709</v>
      </c>
      <c r="J936" s="8">
        <v>1699</v>
      </c>
      <c r="K936" s="8">
        <v>1744</v>
      </c>
      <c r="L936" s="8">
        <v>1760</v>
      </c>
      <c r="M936" s="8">
        <v>1745</v>
      </c>
      <c r="N936" s="8">
        <v>1776</v>
      </c>
      <c r="O936" s="8">
        <v>1785</v>
      </c>
      <c r="P936" s="8">
        <v>1777</v>
      </c>
      <c r="Q936" s="8">
        <v>1787</v>
      </c>
      <c r="R936" s="8">
        <v>1780</v>
      </c>
      <c r="S936" s="8">
        <v>1793</v>
      </c>
      <c r="T936" s="8">
        <v>1793</v>
      </c>
      <c r="U936" s="8">
        <v>1789</v>
      </c>
      <c r="V936" s="8">
        <v>1763</v>
      </c>
      <c r="W936" s="8">
        <v>1769</v>
      </c>
      <c r="X936" s="8">
        <v>1683</v>
      </c>
      <c r="Y936" s="8">
        <v>1651</v>
      </c>
      <c r="Z936" s="8">
        <v>1677</v>
      </c>
      <c r="AA936" s="8">
        <v>1669</v>
      </c>
      <c r="AB936" s="8">
        <v>1661</v>
      </c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</row>
    <row r="937" spans="1:47" ht="14.4">
      <c r="A937" s="3">
        <f>LOOKUP(D937,'AMFI DATA_2023H2'!F:L,'AMFI DATA_2023H2'!L:L)</f>
        <v>980</v>
      </c>
      <c r="B937" s="4" t="s">
        <v>2810</v>
      </c>
      <c r="C937" s="4" t="s">
        <v>2811</v>
      </c>
      <c r="D937" s="5" t="s">
        <v>2812</v>
      </c>
      <c r="E937" s="5">
        <v>1301.51</v>
      </c>
      <c r="F937" s="6">
        <f>LOOKUP(D937,'AMFI DATA_2023H2'!F:J,'AMFI DATA_2023H2'!J:J)</f>
        <v>1804.9839499999998</v>
      </c>
      <c r="G937" s="7">
        <f t="shared" si="3"/>
        <v>-1</v>
      </c>
      <c r="H937" s="8"/>
      <c r="I937" s="8">
        <v>1872</v>
      </c>
      <c r="J937" s="8">
        <v>1937</v>
      </c>
      <c r="K937" s="8">
        <v>1964</v>
      </c>
      <c r="L937" s="8">
        <v>1968</v>
      </c>
      <c r="M937" s="8">
        <v>1979</v>
      </c>
      <c r="N937" s="8">
        <v>1955</v>
      </c>
      <c r="O937" s="8">
        <v>1965</v>
      </c>
      <c r="P937" s="8">
        <v>1964</v>
      </c>
      <c r="Q937" s="8">
        <v>1952</v>
      </c>
      <c r="R937" s="8">
        <v>1956</v>
      </c>
      <c r="S937" s="8">
        <v>1995</v>
      </c>
      <c r="T937" s="8">
        <v>1965</v>
      </c>
      <c r="U937" s="8">
        <v>1998</v>
      </c>
      <c r="V937" s="8">
        <v>2052</v>
      </c>
      <c r="W937" s="8">
        <v>2049</v>
      </c>
      <c r="X937" s="8">
        <v>2054</v>
      </c>
      <c r="Y937" s="8">
        <v>2044</v>
      </c>
      <c r="Z937" s="8">
        <v>2051</v>
      </c>
      <c r="AA937" s="8">
        <v>1885</v>
      </c>
      <c r="AB937" s="8">
        <v>1940</v>
      </c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</row>
    <row r="938" spans="1:47" ht="14.4">
      <c r="A938" s="3">
        <f>LOOKUP(D938,'AMFI DATA_2023H2'!F:L,'AMFI DATA_2023H2'!L:L)</f>
        <v>981</v>
      </c>
      <c r="B938" s="4" t="s">
        <v>2813</v>
      </c>
      <c r="C938" s="4" t="s">
        <v>2814</v>
      </c>
      <c r="D938" s="5" t="s">
        <v>2815</v>
      </c>
      <c r="E938" s="5">
        <v>1458.19</v>
      </c>
      <c r="F938" s="6">
        <f>LOOKUP(D938,'AMFI DATA_2023H2'!F:J,'AMFI DATA_2023H2'!J:J)</f>
        <v>1802.82125</v>
      </c>
      <c r="G938" s="7">
        <f t="shared" si="3"/>
        <v>-1</v>
      </c>
      <c r="H938" s="8"/>
      <c r="I938" s="8">
        <v>2030</v>
      </c>
      <c r="J938" s="8">
        <v>1980</v>
      </c>
      <c r="K938" s="8">
        <v>2025</v>
      </c>
      <c r="L938" s="8">
        <v>2033</v>
      </c>
      <c r="M938" s="8">
        <v>2040</v>
      </c>
      <c r="N938" s="8">
        <v>2079</v>
      </c>
      <c r="O938" s="8">
        <v>2111</v>
      </c>
      <c r="P938" s="8">
        <v>2060</v>
      </c>
      <c r="Q938" s="8">
        <v>2033</v>
      </c>
      <c r="R938" s="8">
        <v>2021</v>
      </c>
      <c r="S938" s="8">
        <v>2067</v>
      </c>
      <c r="T938" s="8">
        <v>2053</v>
      </c>
      <c r="U938" s="8">
        <v>2022</v>
      </c>
      <c r="V938" s="8">
        <v>2064</v>
      </c>
      <c r="W938" s="8">
        <v>2063</v>
      </c>
      <c r="X938" s="8">
        <v>2013</v>
      </c>
      <c r="Y938" s="8">
        <v>2009</v>
      </c>
      <c r="Z938" s="8">
        <v>2041</v>
      </c>
      <c r="AA938" s="8">
        <v>2111</v>
      </c>
      <c r="AB938" s="8">
        <v>2150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</row>
    <row r="939" spans="1:47" ht="14.4">
      <c r="A939" s="3">
        <f>LOOKUP(D939,'AMFI DATA_2023H2'!F:L,'AMFI DATA_2023H2'!L:L)</f>
        <v>983</v>
      </c>
      <c r="B939" s="4" t="s">
        <v>2816</v>
      </c>
      <c r="C939" s="4" t="s">
        <v>2817</v>
      </c>
      <c r="D939" s="5" t="s">
        <v>2818</v>
      </c>
      <c r="E939" s="5">
        <v>1585.67</v>
      </c>
      <c r="F939" s="6">
        <f>LOOKUP(D939,'AMFI DATA_2023H2'!F:J,'AMFI DATA_2023H2'!J:J)</f>
        <v>1784.3476499999999</v>
      </c>
      <c r="G939" s="7">
        <f t="shared" si="3"/>
        <v>-1</v>
      </c>
      <c r="H939" s="8"/>
      <c r="I939" s="8">
        <v>2163</v>
      </c>
      <c r="J939" s="8">
        <v>2087</v>
      </c>
      <c r="K939" s="8">
        <v>2076</v>
      </c>
      <c r="L939" s="8">
        <v>2125</v>
      </c>
      <c r="M939" s="8">
        <v>2168</v>
      </c>
      <c r="N939" s="8">
        <v>2016</v>
      </c>
      <c r="O939" s="8">
        <v>2025</v>
      </c>
      <c r="P939" s="8">
        <v>2048</v>
      </c>
      <c r="Q939" s="8">
        <v>2052</v>
      </c>
      <c r="R939" s="8">
        <v>2030</v>
      </c>
      <c r="S939" s="8">
        <v>2045</v>
      </c>
      <c r="T939" s="8">
        <v>2041</v>
      </c>
      <c r="U939" s="8">
        <v>2021</v>
      </c>
      <c r="V939" s="8">
        <v>2022</v>
      </c>
      <c r="W939" s="8">
        <v>2076</v>
      </c>
      <c r="X939" s="8">
        <v>2069</v>
      </c>
      <c r="Y939" s="8">
        <v>2084</v>
      </c>
      <c r="Z939" s="8">
        <v>2077</v>
      </c>
      <c r="AA939" s="8">
        <v>2082</v>
      </c>
      <c r="AB939" s="8">
        <v>2051</v>
      </c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</row>
    <row r="940" spans="1:47" ht="14.4">
      <c r="A940" s="3">
        <f>LOOKUP(D940,'AMFI DATA_2023H2'!F:L,'AMFI DATA_2023H2'!L:L)</f>
        <v>984</v>
      </c>
      <c r="B940" s="4" t="s">
        <v>2819</v>
      </c>
      <c r="C940" s="4" t="s">
        <v>2820</v>
      </c>
      <c r="D940" s="5" t="s">
        <v>2821</v>
      </c>
      <c r="E940" s="5">
        <v>1406.97</v>
      </c>
      <c r="F940" s="6">
        <f>LOOKUP(D940,'AMFI DATA_2023H2'!F:J,'AMFI DATA_2023H2'!J:J)</f>
        <v>1775.8650499999999</v>
      </c>
      <c r="G940" s="7">
        <f t="shared" si="3"/>
        <v>-1</v>
      </c>
      <c r="H940" s="8"/>
      <c r="I940" s="8">
        <v>1822</v>
      </c>
      <c r="J940" s="8">
        <v>1803</v>
      </c>
      <c r="K940" s="8">
        <v>1828</v>
      </c>
      <c r="L940" s="8">
        <v>1873</v>
      </c>
      <c r="M940" s="8">
        <v>1894</v>
      </c>
      <c r="N940" s="8">
        <v>1930</v>
      </c>
      <c r="O940" s="8">
        <v>1881</v>
      </c>
      <c r="P940" s="8">
        <v>1877</v>
      </c>
      <c r="Q940" s="8">
        <v>1857</v>
      </c>
      <c r="R940" s="8">
        <v>1814</v>
      </c>
      <c r="S940" s="8">
        <v>1845</v>
      </c>
      <c r="T940" s="8">
        <v>1818</v>
      </c>
      <c r="U940" s="8">
        <v>1810</v>
      </c>
      <c r="V940" s="8">
        <v>1817</v>
      </c>
      <c r="W940" s="8">
        <v>1834</v>
      </c>
      <c r="X940" s="8">
        <v>1813</v>
      </c>
      <c r="Y940" s="8">
        <v>1807</v>
      </c>
      <c r="Z940" s="8">
        <v>1836</v>
      </c>
      <c r="AA940" s="8">
        <v>1840</v>
      </c>
      <c r="AB940" s="8">
        <v>1832</v>
      </c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</row>
    <row r="941" spans="1:47" ht="14.4">
      <c r="A941" s="3">
        <f>LOOKUP(D941,'AMFI DATA_2023H2'!F:L,'AMFI DATA_2023H2'!L:L)</f>
        <v>985</v>
      </c>
      <c r="B941" s="4" t="s">
        <v>2822</v>
      </c>
      <c r="C941" s="4" t="s">
        <v>2823</v>
      </c>
      <c r="D941" s="5" t="s">
        <v>2824</v>
      </c>
      <c r="E941" s="5">
        <v>1255.06</v>
      </c>
      <c r="F941" s="6">
        <f>LOOKUP(D941,'AMFI DATA_2023H2'!F:J,'AMFI DATA_2023H2'!J:J)</f>
        <v>1771.3051</v>
      </c>
      <c r="G941" s="7">
        <f t="shared" si="3"/>
        <v>-1</v>
      </c>
      <c r="H941" s="8"/>
      <c r="I941" s="8">
        <v>1826</v>
      </c>
      <c r="J941" s="8">
        <v>1854</v>
      </c>
      <c r="K941" s="8">
        <v>1796</v>
      </c>
      <c r="L941" s="8">
        <v>1887</v>
      </c>
      <c r="M941" s="8">
        <v>1897</v>
      </c>
      <c r="N941" s="8">
        <v>1931</v>
      </c>
      <c r="O941" s="8">
        <v>1855</v>
      </c>
      <c r="P941" s="8">
        <v>1849</v>
      </c>
      <c r="Q941" s="8">
        <v>1868</v>
      </c>
      <c r="R941" s="8">
        <v>1686</v>
      </c>
      <c r="S941" s="8">
        <v>1726</v>
      </c>
      <c r="T941" s="8">
        <v>1721</v>
      </c>
      <c r="U941" s="8">
        <v>1697</v>
      </c>
      <c r="V941" s="8">
        <v>1701</v>
      </c>
      <c r="W941" s="8">
        <v>1664</v>
      </c>
      <c r="X941" s="8">
        <v>1667</v>
      </c>
      <c r="Y941" s="8">
        <v>1658</v>
      </c>
      <c r="Z941" s="8">
        <v>1664</v>
      </c>
      <c r="AA941" s="8">
        <v>1667</v>
      </c>
      <c r="AB941" s="8">
        <v>1665</v>
      </c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</row>
    <row r="942" spans="1:47" ht="14.4">
      <c r="A942" s="3">
        <f>LOOKUP(D942,'AMFI DATA_2023H2'!F:L,'AMFI DATA_2023H2'!L:L)</f>
        <v>986</v>
      </c>
      <c r="B942" s="4" t="s">
        <v>2825</v>
      </c>
      <c r="C942" s="4" t="s">
        <v>2826</v>
      </c>
      <c r="D942" s="5" t="s">
        <v>2827</v>
      </c>
      <c r="E942" s="5">
        <v>1683.5</v>
      </c>
      <c r="F942" s="6">
        <f>LOOKUP(D942,'AMFI DATA_2023H2'!F:J,'AMFI DATA_2023H2'!J:J)</f>
        <v>1769.3135499999999</v>
      </c>
      <c r="G942" s="7">
        <f t="shared" si="3"/>
        <v>-1</v>
      </c>
      <c r="H942" s="8"/>
      <c r="I942" s="8">
        <v>2193</v>
      </c>
      <c r="J942" s="8">
        <v>2160</v>
      </c>
      <c r="K942" s="8">
        <v>2186</v>
      </c>
      <c r="L942" s="8">
        <v>2148</v>
      </c>
      <c r="M942" s="8">
        <v>2220</v>
      </c>
      <c r="N942" s="8">
        <v>2102</v>
      </c>
      <c r="O942" s="8">
        <v>2177</v>
      </c>
      <c r="P942" s="8">
        <v>2064</v>
      </c>
      <c r="Q942" s="8">
        <v>2088</v>
      </c>
      <c r="R942" s="8">
        <v>2097</v>
      </c>
      <c r="S942" s="8">
        <v>2078</v>
      </c>
      <c r="T942" s="8">
        <v>2045</v>
      </c>
      <c r="U942" s="8">
        <v>2051</v>
      </c>
      <c r="V942" s="8">
        <v>2030</v>
      </c>
      <c r="W942" s="8">
        <v>2001</v>
      </c>
      <c r="X942" s="8">
        <v>1967</v>
      </c>
      <c r="Y942" s="8">
        <v>1916</v>
      </c>
      <c r="Z942" s="8">
        <v>1954</v>
      </c>
      <c r="AA942" s="8">
        <v>1989</v>
      </c>
      <c r="AB942" s="8">
        <v>1976</v>
      </c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</row>
    <row r="943" spans="1:47" ht="14.4">
      <c r="A943" s="3">
        <f>LOOKUP(D943,'AMFI DATA_2023H2'!F:L,'AMFI DATA_2023H2'!L:L)</f>
        <v>988</v>
      </c>
      <c r="B943" s="4" t="s">
        <v>2828</v>
      </c>
      <c r="C943" s="4" t="s">
        <v>2829</v>
      </c>
      <c r="D943" s="5" t="s">
        <v>2830</v>
      </c>
      <c r="E943" s="5">
        <v>1262.47</v>
      </c>
      <c r="F943" s="6">
        <f>LOOKUP(D943,'AMFI DATA_2023H2'!F:J,'AMFI DATA_2023H2'!J:J)</f>
        <v>1764.8633</v>
      </c>
      <c r="G943" s="7">
        <f t="shared" si="3"/>
        <v>-1</v>
      </c>
      <c r="H943" s="8"/>
      <c r="I943" s="8">
        <v>2305</v>
      </c>
      <c r="J943" s="8">
        <v>2357</v>
      </c>
      <c r="K943" s="8">
        <v>2418</v>
      </c>
      <c r="L943" s="8">
        <v>2410</v>
      </c>
      <c r="M943" s="8">
        <v>2465</v>
      </c>
      <c r="N943" s="8">
        <v>2357</v>
      </c>
      <c r="O943" s="8">
        <v>2226</v>
      </c>
      <c r="P943" s="8">
        <v>2239</v>
      </c>
      <c r="Q943" s="8">
        <v>2186</v>
      </c>
      <c r="R943" s="8">
        <v>2236</v>
      </c>
      <c r="S943" s="8">
        <v>2175</v>
      </c>
      <c r="T943" s="8">
        <v>2161</v>
      </c>
      <c r="U943" s="8">
        <v>2145</v>
      </c>
      <c r="V943" s="8">
        <v>2167</v>
      </c>
      <c r="W943" s="8">
        <v>2195</v>
      </c>
      <c r="X943" s="8">
        <v>2175</v>
      </c>
      <c r="Y943" s="8">
        <v>2184</v>
      </c>
      <c r="Z943" s="8">
        <v>2210</v>
      </c>
      <c r="AA943" s="8">
        <v>2266</v>
      </c>
      <c r="AB943" s="8">
        <v>2277</v>
      </c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</row>
    <row r="944" spans="1:47" ht="14.4">
      <c r="A944" s="3">
        <f>LOOKUP(D944,'AMFI DATA_2023H2'!F:L,'AMFI DATA_2023H2'!L:L)</f>
        <v>989</v>
      </c>
      <c r="B944" s="4" t="s">
        <v>2831</v>
      </c>
      <c r="C944" s="4" t="s">
        <v>2832</v>
      </c>
      <c r="D944" s="5" t="s">
        <v>2833</v>
      </c>
      <c r="E944" s="5">
        <v>1561.62</v>
      </c>
      <c r="F944" s="6">
        <f>LOOKUP(D944,'AMFI DATA_2023H2'!F:J,'AMFI DATA_2023H2'!J:J)</f>
        <v>1764.32</v>
      </c>
      <c r="G944" s="7">
        <f t="shared" si="3"/>
        <v>-1</v>
      </c>
      <c r="H944" s="8"/>
      <c r="I944" s="8">
        <v>1998</v>
      </c>
      <c r="J944" s="8">
        <v>2027</v>
      </c>
      <c r="K944" s="8">
        <v>2032</v>
      </c>
      <c r="L944" s="8">
        <v>2045</v>
      </c>
      <c r="M944" s="8">
        <v>2042</v>
      </c>
      <c r="N944" s="8">
        <v>1975</v>
      </c>
      <c r="O944" s="8">
        <v>1969</v>
      </c>
      <c r="P944" s="8">
        <v>1980</v>
      </c>
      <c r="Q944" s="8">
        <v>1953</v>
      </c>
      <c r="R944" s="8">
        <v>1965</v>
      </c>
      <c r="S944" s="8">
        <v>1909</v>
      </c>
      <c r="T944" s="8">
        <v>1916</v>
      </c>
      <c r="U944" s="8">
        <v>1907</v>
      </c>
      <c r="V944" s="8">
        <v>1913</v>
      </c>
      <c r="W944" s="8">
        <v>1958</v>
      </c>
      <c r="X944" s="8">
        <v>2001</v>
      </c>
      <c r="Y944" s="8">
        <v>1985</v>
      </c>
      <c r="Z944" s="8">
        <v>1994</v>
      </c>
      <c r="AA944" s="8">
        <v>1958</v>
      </c>
      <c r="AB944" s="8">
        <v>1981</v>
      </c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</row>
    <row r="945" spans="1:47" ht="14.4">
      <c r="A945" s="3">
        <f>LOOKUP(D945,'AMFI DATA_2023H2'!F:L,'AMFI DATA_2023H2'!L:L)</f>
        <v>990</v>
      </c>
      <c r="B945" s="4" t="s">
        <v>2834</v>
      </c>
      <c r="C945" s="4" t="s">
        <v>2835</v>
      </c>
      <c r="D945" s="5" t="s">
        <v>2836</v>
      </c>
      <c r="E945" s="5">
        <v>1339.46</v>
      </c>
      <c r="F945" s="6">
        <f>LOOKUP(D945,'AMFI DATA_2023H2'!F:J,'AMFI DATA_2023H2'!J:J)</f>
        <v>1763.5893000000001</v>
      </c>
      <c r="G945" s="7">
        <f t="shared" si="3"/>
        <v>-1</v>
      </c>
      <c r="H945" s="8"/>
      <c r="I945" s="8">
        <v>1653</v>
      </c>
      <c r="J945" s="8">
        <v>1657</v>
      </c>
      <c r="K945" s="8">
        <v>1689</v>
      </c>
      <c r="L945" s="8">
        <v>1704</v>
      </c>
      <c r="M945" s="8">
        <v>1708</v>
      </c>
      <c r="N945" s="8">
        <v>1666</v>
      </c>
      <c r="O945" s="8">
        <v>1734</v>
      </c>
      <c r="P945" s="8">
        <v>1754</v>
      </c>
      <c r="Q945" s="8">
        <v>1714</v>
      </c>
      <c r="R945" s="8">
        <v>1658</v>
      </c>
      <c r="S945" s="8">
        <v>1624</v>
      </c>
      <c r="T945" s="8">
        <v>1624</v>
      </c>
      <c r="U945" s="8">
        <v>1644</v>
      </c>
      <c r="V945" s="8">
        <v>1641</v>
      </c>
      <c r="W945" s="8">
        <v>1651</v>
      </c>
      <c r="X945" s="8">
        <v>1675</v>
      </c>
      <c r="Y945" s="8">
        <v>1666</v>
      </c>
      <c r="Z945" s="8">
        <v>1698</v>
      </c>
      <c r="AA945" s="8">
        <v>1676</v>
      </c>
      <c r="AB945" s="8">
        <v>1639</v>
      </c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</row>
    <row r="946" spans="1:47" ht="14.4">
      <c r="A946" s="3">
        <f>LOOKUP(D946,'AMFI DATA_2023H2'!F:L,'AMFI DATA_2023H2'!L:L)</f>
        <v>991</v>
      </c>
      <c r="B946" s="4" t="s">
        <v>2837</v>
      </c>
      <c r="C946" s="4" t="s">
        <v>2838</v>
      </c>
      <c r="D946" s="5" t="s">
        <v>2839</v>
      </c>
      <c r="E946" s="5">
        <v>1257.1500000000001</v>
      </c>
      <c r="F946" s="6">
        <f>LOOKUP(D946,'AMFI DATA_2023H2'!F:J,'AMFI DATA_2023H2'!J:J)</f>
        <v>1758.05845</v>
      </c>
      <c r="G946" s="7">
        <f t="shared" si="3"/>
        <v>-1</v>
      </c>
      <c r="H946" s="8"/>
      <c r="I946" s="8">
        <v>2042</v>
      </c>
      <c r="J946" s="8">
        <v>2041</v>
      </c>
      <c r="K946" s="8">
        <v>2068</v>
      </c>
      <c r="L946" s="8">
        <v>2086</v>
      </c>
      <c r="M946" s="8">
        <v>2120</v>
      </c>
      <c r="N946" s="8">
        <v>2058</v>
      </c>
      <c r="O946" s="8">
        <v>2044</v>
      </c>
      <c r="P946" s="8">
        <v>2094</v>
      </c>
      <c r="Q946" s="8">
        <v>2100</v>
      </c>
      <c r="R946" s="8">
        <v>2156</v>
      </c>
      <c r="S946" s="8">
        <v>2160</v>
      </c>
      <c r="T946" s="8">
        <v>2209</v>
      </c>
      <c r="U946" s="8">
        <v>2180</v>
      </c>
      <c r="V946" s="8">
        <v>2154</v>
      </c>
      <c r="W946" s="8">
        <v>2154</v>
      </c>
      <c r="X946" s="8">
        <v>2144</v>
      </c>
      <c r="Y946" s="8">
        <v>2018</v>
      </c>
      <c r="Z946" s="8">
        <v>2051</v>
      </c>
      <c r="AA946" s="8">
        <v>2022</v>
      </c>
      <c r="AB946" s="8">
        <v>1973</v>
      </c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</row>
    <row r="947" spans="1:47" ht="14.4">
      <c r="A947" s="3">
        <f>LOOKUP(D947,'AMFI DATA_2023H2'!F:L,'AMFI DATA_2023H2'!L:L)</f>
        <v>992</v>
      </c>
      <c r="B947" s="4" t="s">
        <v>2840</v>
      </c>
      <c r="C947" s="4" t="s">
        <v>2841</v>
      </c>
      <c r="D947" s="5" t="s">
        <v>2842</v>
      </c>
      <c r="E947" s="5">
        <v>1275.0899999999999</v>
      </c>
      <c r="F947" s="6">
        <f>LOOKUP(D947,'AMFI DATA_2023H2'!F:J,'AMFI DATA_2023H2'!J:J)</f>
        <v>1753.95325</v>
      </c>
      <c r="G947" s="7">
        <f t="shared" si="3"/>
        <v>-1</v>
      </c>
      <c r="H947" s="8"/>
      <c r="I947" s="8">
        <v>1623</v>
      </c>
      <c r="J947" s="8">
        <v>1628</v>
      </c>
      <c r="K947" s="8">
        <v>1621</v>
      </c>
      <c r="L947" s="8">
        <v>1665</v>
      </c>
      <c r="M947" s="8">
        <v>1711</v>
      </c>
      <c r="N947" s="8">
        <v>1755</v>
      </c>
      <c r="O947" s="8">
        <v>1767</v>
      </c>
      <c r="P947" s="8">
        <v>1714</v>
      </c>
      <c r="Q947" s="8">
        <v>1715</v>
      </c>
      <c r="R947" s="8">
        <v>1702</v>
      </c>
      <c r="S947" s="8">
        <v>1743</v>
      </c>
      <c r="T947" s="8">
        <v>1646</v>
      </c>
      <c r="U947" s="8">
        <v>1646</v>
      </c>
      <c r="V947" s="8">
        <v>1666</v>
      </c>
      <c r="W947" s="8">
        <v>1630</v>
      </c>
      <c r="X947" s="8">
        <v>1630</v>
      </c>
      <c r="Y947" s="8">
        <v>1640</v>
      </c>
      <c r="Z947" s="8">
        <v>1688</v>
      </c>
      <c r="AA947" s="8">
        <v>1600</v>
      </c>
      <c r="AB947" s="8">
        <v>1626</v>
      </c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</row>
    <row r="948" spans="1:47" ht="14.4">
      <c r="A948" s="3">
        <f>LOOKUP(D948,'AMFI DATA_2023H2'!F:L,'AMFI DATA_2023H2'!L:L)</f>
        <v>993</v>
      </c>
      <c r="B948" s="4" t="s">
        <v>2843</v>
      </c>
      <c r="C948" s="4" t="s">
        <v>2844</v>
      </c>
      <c r="D948" s="5" t="s">
        <v>2845</v>
      </c>
      <c r="E948" s="5">
        <v>1723.5</v>
      </c>
      <c r="F948" s="6">
        <f>LOOKUP(D948,'AMFI DATA_2023H2'!F:J,'AMFI DATA_2023H2'!J:J)</f>
        <v>1746.9666</v>
      </c>
      <c r="G948" s="7">
        <f t="shared" si="3"/>
        <v>-1</v>
      </c>
      <c r="H948" s="8"/>
      <c r="I948" s="8">
        <v>1574</v>
      </c>
      <c r="J948" s="8">
        <v>1578</v>
      </c>
      <c r="K948" s="8">
        <v>1599</v>
      </c>
      <c r="L948" s="8">
        <v>1612</v>
      </c>
      <c r="M948" s="8">
        <v>1620</v>
      </c>
      <c r="N948" s="8">
        <v>1625</v>
      </c>
      <c r="O948" s="8">
        <v>1625</v>
      </c>
      <c r="P948" s="8">
        <v>1625</v>
      </c>
      <c r="Q948" s="8">
        <v>1633</v>
      </c>
      <c r="R948" s="8">
        <v>1637</v>
      </c>
      <c r="S948" s="8">
        <v>1643</v>
      </c>
      <c r="T948" s="8">
        <v>1638</v>
      </c>
      <c r="U948" s="8">
        <v>1639</v>
      </c>
      <c r="V948" s="8">
        <v>1640</v>
      </c>
      <c r="W948" s="8">
        <v>1652</v>
      </c>
      <c r="X948" s="8">
        <v>1637</v>
      </c>
      <c r="Y948" s="8">
        <v>1638</v>
      </c>
      <c r="Z948" s="8">
        <v>1628</v>
      </c>
      <c r="AA948" s="8">
        <v>1627</v>
      </c>
      <c r="AB948" s="8">
        <v>1636</v>
      </c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</row>
    <row r="949" spans="1:47" ht="14.4">
      <c r="A949" s="3">
        <f>LOOKUP(D949,'AMFI DATA_2023H2'!F:L,'AMFI DATA_2023H2'!L:L)</f>
        <v>994</v>
      </c>
      <c r="B949" s="4" t="s">
        <v>2846</v>
      </c>
      <c r="C949" s="4" t="s">
        <v>2847</v>
      </c>
      <c r="D949" s="5" t="s">
        <v>2848</v>
      </c>
      <c r="E949" s="5">
        <v>1453.9</v>
      </c>
      <c r="F949" s="6">
        <f>LOOKUP(D949,'AMFI DATA_2023H2'!F:J,'AMFI DATA_2023H2'!J:J)</f>
        <v>1730.3738000000001</v>
      </c>
      <c r="G949" s="7">
        <f t="shared" si="3"/>
        <v>-1</v>
      </c>
      <c r="H949" s="8"/>
      <c r="I949" s="8">
        <v>2220</v>
      </c>
      <c r="J949" s="8">
        <v>2198</v>
      </c>
      <c r="K949" s="8">
        <v>2230</v>
      </c>
      <c r="L949" s="8">
        <v>2240</v>
      </c>
      <c r="M949" s="8">
        <v>2244</v>
      </c>
      <c r="N949" s="8">
        <v>2293</v>
      </c>
      <c r="O949" s="8">
        <v>2247</v>
      </c>
      <c r="P949" s="8">
        <v>2258</v>
      </c>
      <c r="Q949" s="8">
        <v>2207</v>
      </c>
      <c r="R949" s="8">
        <v>2231</v>
      </c>
      <c r="S949" s="8">
        <v>2232</v>
      </c>
      <c r="T949" s="8">
        <v>2287</v>
      </c>
      <c r="U949" s="8">
        <v>2249</v>
      </c>
      <c r="V949" s="8">
        <v>2195</v>
      </c>
      <c r="W949" s="8">
        <v>2159</v>
      </c>
      <c r="X949" s="8">
        <v>2176</v>
      </c>
      <c r="Y949" s="8">
        <v>2174</v>
      </c>
      <c r="Z949" s="8">
        <v>2157</v>
      </c>
      <c r="AA949" s="8">
        <v>2213</v>
      </c>
      <c r="AB949" s="8">
        <v>2181</v>
      </c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</row>
    <row r="950" spans="1:47" ht="14.4">
      <c r="A950" s="3">
        <f>LOOKUP(D950,'AMFI DATA_2023H2'!F:L,'AMFI DATA_2023H2'!L:L)</f>
        <v>995</v>
      </c>
      <c r="B950" s="4" t="s">
        <v>2849</v>
      </c>
      <c r="C950" s="4" t="s">
        <v>2850</v>
      </c>
      <c r="D950" s="5" t="s">
        <v>2851</v>
      </c>
      <c r="E950" s="5">
        <v>1055.53</v>
      </c>
      <c r="F950" s="6">
        <f>LOOKUP(D950,'AMFI DATA_2023H2'!F:J,'AMFI DATA_2023H2'!J:J)</f>
        <v>1730.1666</v>
      </c>
      <c r="G950" s="7">
        <f t="shared" si="3"/>
        <v>-1</v>
      </c>
      <c r="H950" s="8"/>
      <c r="I950" s="8">
        <v>1704</v>
      </c>
      <c r="J950" s="8">
        <v>1658</v>
      </c>
      <c r="K950" s="8">
        <v>1689</v>
      </c>
      <c r="L950" s="8">
        <v>1697</v>
      </c>
      <c r="M950" s="8">
        <v>1719</v>
      </c>
      <c r="N950" s="8">
        <v>1728</v>
      </c>
      <c r="O950" s="8">
        <v>1749</v>
      </c>
      <c r="P950" s="8">
        <v>1693</v>
      </c>
      <c r="Q950" s="8">
        <v>1698</v>
      </c>
      <c r="R950" s="8">
        <v>1713</v>
      </c>
      <c r="S950" s="8">
        <v>1745</v>
      </c>
      <c r="T950" s="8">
        <v>1729</v>
      </c>
      <c r="U950" s="8">
        <v>1734</v>
      </c>
      <c r="V950" s="8">
        <v>1706</v>
      </c>
      <c r="W950" s="8">
        <v>1748</v>
      </c>
      <c r="X950" s="8">
        <v>1757</v>
      </c>
      <c r="Y950" s="8">
        <v>1762</v>
      </c>
      <c r="Z950" s="8">
        <v>1780</v>
      </c>
      <c r="AA950" s="8">
        <v>1819</v>
      </c>
      <c r="AB950" s="8">
        <v>1795</v>
      </c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</row>
    <row r="951" spans="1:47" ht="14.4">
      <c r="A951" s="3">
        <f>LOOKUP(D951,'AMFI DATA_2023H2'!F:L,'AMFI DATA_2023H2'!L:L)</f>
        <v>997</v>
      </c>
      <c r="B951" s="4" t="s">
        <v>2852</v>
      </c>
      <c r="C951" s="4" t="s">
        <v>2853</v>
      </c>
      <c r="D951" s="5" t="s">
        <v>2854</v>
      </c>
      <c r="E951" s="5">
        <v>901.19</v>
      </c>
      <c r="F951" s="6">
        <f>LOOKUP(D951,'AMFI DATA_2023H2'!F:J,'AMFI DATA_2023H2'!J:J)</f>
        <v>1719.7571</v>
      </c>
      <c r="G951" s="7">
        <f t="shared" si="3"/>
        <v>-1</v>
      </c>
      <c r="H951" s="8"/>
      <c r="I951" s="8">
        <v>2579</v>
      </c>
      <c r="J951" s="8">
        <v>2524</v>
      </c>
      <c r="K951" s="8">
        <v>2523</v>
      </c>
      <c r="L951" s="8">
        <v>2659</v>
      </c>
      <c r="M951" s="8">
        <v>2678</v>
      </c>
      <c r="N951" s="8">
        <v>2687</v>
      </c>
      <c r="O951" s="8">
        <v>2631</v>
      </c>
      <c r="P951" s="8">
        <v>2604</v>
      </c>
      <c r="Q951" s="8">
        <v>2303</v>
      </c>
      <c r="R951" s="8">
        <v>2099</v>
      </c>
      <c r="S951" s="8">
        <v>2100</v>
      </c>
      <c r="T951" s="8">
        <v>2150</v>
      </c>
      <c r="U951" s="8">
        <v>2084</v>
      </c>
      <c r="V951" s="8">
        <v>2057</v>
      </c>
      <c r="W951" s="8">
        <v>2089</v>
      </c>
      <c r="X951" s="8">
        <v>2101</v>
      </c>
      <c r="Y951" s="8">
        <v>2134</v>
      </c>
      <c r="Z951" s="8">
        <v>2165</v>
      </c>
      <c r="AA951" s="8">
        <v>2187</v>
      </c>
      <c r="AB951" s="8">
        <v>2146</v>
      </c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</row>
    <row r="952" spans="1:47" ht="14.4">
      <c r="A952" s="3">
        <f>LOOKUP(D952,'AMFI DATA_2023H2'!F:L,'AMFI DATA_2023H2'!L:L)</f>
        <v>998</v>
      </c>
      <c r="B952" s="4" t="s">
        <v>2855</v>
      </c>
      <c r="C952" s="4" t="s">
        <v>2856</v>
      </c>
      <c r="D952" s="5" t="s">
        <v>2857</v>
      </c>
      <c r="E952" s="5">
        <v>1325.64</v>
      </c>
      <c r="F952" s="6">
        <f>LOOKUP(D952,'AMFI DATA_2023H2'!F:J,'AMFI DATA_2023H2'!J:J)</f>
        <v>1718.4665</v>
      </c>
      <c r="G952" s="7">
        <f t="shared" si="3"/>
        <v>-1</v>
      </c>
      <c r="H952" s="8"/>
      <c r="I952" s="8">
        <v>2159</v>
      </c>
      <c r="J952" s="8">
        <v>2123</v>
      </c>
      <c r="K952" s="8">
        <v>2096</v>
      </c>
      <c r="L952" s="8">
        <v>2072</v>
      </c>
      <c r="M952" s="8">
        <v>2095</v>
      </c>
      <c r="N952" s="8">
        <v>2129</v>
      </c>
      <c r="O952" s="8">
        <v>2106</v>
      </c>
      <c r="P952" s="8">
        <v>2149</v>
      </c>
      <c r="Q952" s="8">
        <v>2118</v>
      </c>
      <c r="R952" s="8">
        <v>2096</v>
      </c>
      <c r="S952" s="8">
        <v>2093</v>
      </c>
      <c r="T952" s="8">
        <v>2120</v>
      </c>
      <c r="U952" s="8">
        <v>2127</v>
      </c>
      <c r="V952" s="8">
        <v>2057</v>
      </c>
      <c r="W952" s="8">
        <v>2054</v>
      </c>
      <c r="X952" s="8">
        <v>2054</v>
      </c>
      <c r="Y952" s="8">
        <v>2080</v>
      </c>
      <c r="Z952" s="8">
        <v>2050</v>
      </c>
      <c r="AA952" s="8">
        <v>2051</v>
      </c>
      <c r="AB952" s="8">
        <v>2039</v>
      </c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</row>
    <row r="953" spans="1:47" ht="14.4">
      <c r="A953" s="3">
        <f>LOOKUP(D953,'AMFI DATA_2023H2'!F:L,'AMFI DATA_2023H2'!L:L)</f>
        <v>999</v>
      </c>
      <c r="B953" s="4" t="s">
        <v>2858</v>
      </c>
      <c r="C953" s="4" t="s">
        <v>2859</v>
      </c>
      <c r="D953" s="5" t="s">
        <v>2860</v>
      </c>
      <c r="E953" s="5">
        <v>847.32</v>
      </c>
      <c r="F953" s="6">
        <f>LOOKUP(D953,'AMFI DATA_2023H2'!F:J,'AMFI DATA_2023H2'!J:J)</f>
        <v>1718.1693500000001</v>
      </c>
      <c r="G953" s="7">
        <f t="shared" si="3"/>
        <v>-1</v>
      </c>
      <c r="H953" s="8"/>
      <c r="I953" s="8">
        <v>2237</v>
      </c>
      <c r="J953" s="8">
        <v>2234</v>
      </c>
      <c r="K953" s="8">
        <v>2199</v>
      </c>
      <c r="L953" s="8">
        <v>2252</v>
      </c>
      <c r="M953" s="8">
        <v>2235</v>
      </c>
      <c r="N953" s="8">
        <v>2263</v>
      </c>
      <c r="O953" s="8">
        <v>2260</v>
      </c>
      <c r="P953" s="8">
        <v>2197</v>
      </c>
      <c r="Q953" s="8">
        <v>2165</v>
      </c>
      <c r="R953" s="8">
        <v>2140</v>
      </c>
      <c r="S953" s="8">
        <v>2162</v>
      </c>
      <c r="T953" s="8">
        <v>2141</v>
      </c>
      <c r="U953" s="8">
        <v>2141</v>
      </c>
      <c r="V953" s="8">
        <v>2121</v>
      </c>
      <c r="W953" s="8">
        <v>2190</v>
      </c>
      <c r="X953" s="8">
        <v>2133</v>
      </c>
      <c r="Y953" s="8">
        <v>2123</v>
      </c>
      <c r="Z953" s="8">
        <v>2208</v>
      </c>
      <c r="AA953" s="8">
        <v>2191</v>
      </c>
      <c r="AB953" s="8">
        <v>2234</v>
      </c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</row>
    <row r="954" spans="1:47" ht="14.4">
      <c r="A954" s="3">
        <f>LOOKUP(D954,'AMFI DATA_2023H2'!F:L,'AMFI DATA_2023H2'!L:L)</f>
        <v>1000</v>
      </c>
      <c r="B954" s="4" t="s">
        <v>2861</v>
      </c>
      <c r="C954" s="4" t="s">
        <v>2862</v>
      </c>
      <c r="D954" s="5" t="s">
        <v>2863</v>
      </c>
      <c r="E954" s="5">
        <v>1298.54</v>
      </c>
      <c r="F954" s="6">
        <f>LOOKUP(D954,'AMFI DATA_2023H2'!F:J,'AMFI DATA_2023H2'!J:J)</f>
        <v>1717.3162</v>
      </c>
      <c r="G954" s="7">
        <f t="shared" si="3"/>
        <v>-1</v>
      </c>
      <c r="H954" s="8"/>
      <c r="I954" s="8">
        <v>1773</v>
      </c>
      <c r="J954" s="8">
        <v>1773</v>
      </c>
      <c r="K954" s="8">
        <v>1782</v>
      </c>
      <c r="L954" s="8">
        <v>1764</v>
      </c>
      <c r="M954" s="8">
        <v>1772</v>
      </c>
      <c r="N954" s="8">
        <v>1790</v>
      </c>
      <c r="O954" s="8">
        <v>1788</v>
      </c>
      <c r="P954" s="8">
        <v>1804</v>
      </c>
      <c r="Q954" s="8">
        <v>1784</v>
      </c>
      <c r="R954" s="8">
        <v>1814</v>
      </c>
      <c r="S954" s="8">
        <v>1818</v>
      </c>
      <c r="T954" s="8">
        <v>1710</v>
      </c>
      <c r="U954" s="8">
        <v>1714</v>
      </c>
      <c r="V954" s="8">
        <v>1727</v>
      </c>
      <c r="W954" s="8">
        <v>1733</v>
      </c>
      <c r="X954" s="8">
        <v>1729</v>
      </c>
      <c r="Y954" s="8">
        <v>1744</v>
      </c>
      <c r="Z954" s="8">
        <v>1737</v>
      </c>
      <c r="AA954" s="8">
        <v>1755</v>
      </c>
      <c r="AB954" s="8">
        <v>1751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</row>
    <row r="955" spans="1:47" ht="14.4">
      <c r="A955" s="3">
        <f>LOOKUP(D955,'AMFI DATA_2023H2'!F:L,'AMFI DATA_2023H2'!L:L)</f>
        <v>1001</v>
      </c>
      <c r="B955" s="4" t="s">
        <v>2864</v>
      </c>
      <c r="C955" s="4" t="s">
        <v>2865</v>
      </c>
      <c r="D955" s="5" t="s">
        <v>2866</v>
      </c>
      <c r="E955" s="5">
        <v>1538.16</v>
      </c>
      <c r="F955" s="6">
        <f>LOOKUP(D955,'AMFI DATA_2023H2'!F:J,'AMFI DATA_2023H2'!J:J)</f>
        <v>1713.65</v>
      </c>
      <c r="G955" s="7">
        <f t="shared" si="3"/>
        <v>-1</v>
      </c>
      <c r="H955" s="8"/>
      <c r="I955" s="8">
        <v>1683</v>
      </c>
      <c r="J955" s="8">
        <v>1626</v>
      </c>
      <c r="K955" s="8">
        <v>1644</v>
      </c>
      <c r="L955" s="8">
        <v>1680</v>
      </c>
      <c r="M955" s="8">
        <v>1671</v>
      </c>
      <c r="N955" s="8">
        <v>1683</v>
      </c>
      <c r="O955" s="8">
        <v>1634</v>
      </c>
      <c r="P955" s="8">
        <v>1632</v>
      </c>
      <c r="Q955" s="8">
        <v>1630</v>
      </c>
      <c r="R955" s="8">
        <v>1643</v>
      </c>
      <c r="S955" s="8">
        <v>1678</v>
      </c>
      <c r="T955" s="8">
        <v>1685</v>
      </c>
      <c r="U955" s="8">
        <v>1639</v>
      </c>
      <c r="V955" s="8">
        <v>1627</v>
      </c>
      <c r="W955" s="8">
        <v>1634</v>
      </c>
      <c r="X955" s="8">
        <v>1637</v>
      </c>
      <c r="Y955" s="8">
        <v>1656</v>
      </c>
      <c r="Z955" s="8">
        <v>1634</v>
      </c>
      <c r="AA955" s="8">
        <v>1637</v>
      </c>
      <c r="AB955" s="8">
        <v>1659</v>
      </c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</row>
    <row r="956" spans="1:47" ht="14.4">
      <c r="A956" s="3">
        <f>LOOKUP(D956,'AMFI DATA_2023H2'!F:L,'AMFI DATA_2023H2'!L:L)</f>
        <v>1002</v>
      </c>
      <c r="B956" s="4" t="s">
        <v>2867</v>
      </c>
      <c r="C956" s="4" t="s">
        <v>2868</v>
      </c>
      <c r="D956" s="5" t="s">
        <v>2869</v>
      </c>
      <c r="E956" s="5">
        <v>1768.87</v>
      </c>
      <c r="F956" s="6">
        <f>LOOKUP(D956,'AMFI DATA_2023H2'!F:J,'AMFI DATA_2023H2'!J:J)</f>
        <v>1708.1377</v>
      </c>
      <c r="G956" s="7">
        <f t="shared" si="3"/>
        <v>-1</v>
      </c>
      <c r="H956" s="8"/>
      <c r="I956" s="8">
        <v>1655</v>
      </c>
      <c r="J956" s="8">
        <v>1639</v>
      </c>
      <c r="K956" s="8">
        <v>1666</v>
      </c>
      <c r="L956" s="8">
        <v>1713</v>
      </c>
      <c r="M956" s="8">
        <v>1714</v>
      </c>
      <c r="N956" s="8">
        <v>1719</v>
      </c>
      <c r="O956" s="8">
        <v>1720</v>
      </c>
      <c r="P956" s="8">
        <v>1683</v>
      </c>
      <c r="Q956" s="8">
        <v>1675</v>
      </c>
      <c r="R956" s="8">
        <v>1658</v>
      </c>
      <c r="S956" s="8">
        <v>1617</v>
      </c>
      <c r="T956" s="8">
        <v>1610</v>
      </c>
      <c r="U956" s="8">
        <v>1625</v>
      </c>
      <c r="V956" s="8">
        <v>1638</v>
      </c>
      <c r="W956" s="8">
        <v>1636</v>
      </c>
      <c r="X956" s="8">
        <v>1604</v>
      </c>
      <c r="Y956" s="8">
        <v>1601</v>
      </c>
      <c r="Z956" s="8">
        <v>1614</v>
      </c>
      <c r="AA956" s="8">
        <v>1595</v>
      </c>
      <c r="AB956" s="8">
        <v>1590</v>
      </c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</row>
    <row r="957" spans="1:47" ht="14.4">
      <c r="A957" s="3">
        <f>LOOKUP(D957,'AMFI DATA_2023H2'!F:L,'AMFI DATA_2023H2'!L:L)</f>
        <v>1003</v>
      </c>
      <c r="B957" s="4" t="s">
        <v>2870</v>
      </c>
      <c r="C957" s="4" t="s">
        <v>2871</v>
      </c>
      <c r="D957" s="5" t="s">
        <v>2872</v>
      </c>
      <c r="E957" s="5">
        <v>1688.81</v>
      </c>
      <c r="F957" s="6">
        <f>LOOKUP(D957,'AMFI DATA_2023H2'!F:J,'AMFI DATA_2023H2'!J:J)</f>
        <v>1705.7020499999999</v>
      </c>
      <c r="G957" s="7">
        <f t="shared" si="3"/>
        <v>-1</v>
      </c>
      <c r="H957" s="8"/>
      <c r="I957" s="8">
        <v>1636</v>
      </c>
      <c r="J957" s="8">
        <v>1604</v>
      </c>
      <c r="K957" s="8">
        <v>1626</v>
      </c>
      <c r="L957" s="8">
        <v>1655</v>
      </c>
      <c r="M957" s="8">
        <v>1688</v>
      </c>
      <c r="N957" s="8">
        <v>1615</v>
      </c>
      <c r="O957" s="8">
        <v>1614</v>
      </c>
      <c r="P957" s="8">
        <v>1578</v>
      </c>
      <c r="Q957" s="8">
        <v>1596</v>
      </c>
      <c r="R957" s="8">
        <v>1586</v>
      </c>
      <c r="S957" s="8">
        <v>1625</v>
      </c>
      <c r="T957" s="8">
        <v>1643</v>
      </c>
      <c r="U957" s="8">
        <v>1635</v>
      </c>
      <c r="V957" s="8">
        <v>1622</v>
      </c>
      <c r="W957" s="8">
        <v>1559</v>
      </c>
      <c r="X957" s="8">
        <v>1508</v>
      </c>
      <c r="Y957" s="8">
        <v>1516</v>
      </c>
      <c r="Z957" s="8">
        <v>1536</v>
      </c>
      <c r="AA957" s="8">
        <v>1542</v>
      </c>
      <c r="AB957" s="8">
        <v>1559</v>
      </c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</row>
    <row r="958" spans="1:47" ht="14.4">
      <c r="A958" s="3">
        <f>LOOKUP(D958,'AMFI DATA_2023H2'!F:L,'AMFI DATA_2023H2'!L:L)</f>
        <v>1004</v>
      </c>
      <c r="B958" s="4" t="s">
        <v>2873</v>
      </c>
      <c r="C958" s="4" t="s">
        <v>2874</v>
      </c>
      <c r="D958" s="5" t="s">
        <v>2875</v>
      </c>
      <c r="E958" s="5">
        <v>714.28</v>
      </c>
      <c r="F958" s="6">
        <f>LOOKUP(D958,'AMFI DATA_2023H2'!F:J,'AMFI DATA_2023H2'!J:J)</f>
        <v>1705.2729999999999</v>
      </c>
      <c r="G958" s="7">
        <f t="shared" si="3"/>
        <v>-1</v>
      </c>
      <c r="H958" s="8"/>
      <c r="I958" s="8">
        <v>1711</v>
      </c>
      <c r="J958" s="8">
        <v>1714</v>
      </c>
      <c r="K958" s="8">
        <v>1764</v>
      </c>
      <c r="L958" s="8">
        <v>1780</v>
      </c>
      <c r="M958" s="8">
        <v>1733</v>
      </c>
      <c r="N958" s="8">
        <v>1712</v>
      </c>
      <c r="O958" s="8">
        <v>1783</v>
      </c>
      <c r="P958" s="8">
        <v>1870</v>
      </c>
      <c r="Q958" s="8">
        <v>1782</v>
      </c>
      <c r="R958" s="8">
        <v>1698</v>
      </c>
      <c r="S958" s="8">
        <v>1617</v>
      </c>
      <c r="T958" s="8">
        <v>1615</v>
      </c>
      <c r="U958" s="8">
        <v>1620</v>
      </c>
      <c r="V958" s="8">
        <v>1637</v>
      </c>
      <c r="W958" s="8">
        <v>1648</v>
      </c>
      <c r="X958" s="8">
        <v>1630</v>
      </c>
      <c r="Y958" s="8">
        <v>1582</v>
      </c>
      <c r="Z958" s="8">
        <v>1583</v>
      </c>
      <c r="AA958" s="8">
        <v>1594</v>
      </c>
      <c r="AB958" s="8">
        <v>1578</v>
      </c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</row>
    <row r="959" spans="1:47" ht="14.4">
      <c r="A959" s="3">
        <f>LOOKUP(D959,'AMFI DATA_2023H2'!F:L,'AMFI DATA_2023H2'!L:L)</f>
        <v>1005</v>
      </c>
      <c r="B959" s="4" t="s">
        <v>2876</v>
      </c>
      <c r="C959" s="4" t="s">
        <v>2877</v>
      </c>
      <c r="D959" s="5" t="s">
        <v>2878</v>
      </c>
      <c r="E959" s="5">
        <v>1630.21</v>
      </c>
      <c r="F959" s="6">
        <f>LOOKUP(D959,'AMFI DATA_2023H2'!F:J,'AMFI DATA_2023H2'!J:J)</f>
        <v>1700.7165500000001</v>
      </c>
      <c r="G959" s="7">
        <f t="shared" si="3"/>
        <v>-1</v>
      </c>
      <c r="H959" s="8"/>
      <c r="I959" s="8">
        <v>1846</v>
      </c>
      <c r="J959" s="8">
        <v>1849</v>
      </c>
      <c r="K959" s="8">
        <v>1869</v>
      </c>
      <c r="L959" s="8">
        <v>1896</v>
      </c>
      <c r="M959" s="8">
        <v>1940</v>
      </c>
      <c r="N959" s="8">
        <v>1932</v>
      </c>
      <c r="O959" s="8">
        <v>1923</v>
      </c>
      <c r="P959" s="8">
        <v>1903</v>
      </c>
      <c r="Q959" s="8">
        <v>1880</v>
      </c>
      <c r="R959" s="8">
        <v>1911</v>
      </c>
      <c r="S959" s="8">
        <v>1850</v>
      </c>
      <c r="T959" s="8">
        <v>1849</v>
      </c>
      <c r="U959" s="8">
        <v>1852</v>
      </c>
      <c r="V959" s="8">
        <v>1810</v>
      </c>
      <c r="W959" s="8">
        <v>1838</v>
      </c>
      <c r="X959" s="8">
        <v>1829</v>
      </c>
      <c r="Y959" s="8">
        <v>1773</v>
      </c>
      <c r="Z959" s="8">
        <v>1771</v>
      </c>
      <c r="AA959" s="8">
        <v>1806</v>
      </c>
      <c r="AB959" s="8">
        <v>1779</v>
      </c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</row>
    <row r="960" spans="1:47" ht="14.4">
      <c r="A960" s="3">
        <f>LOOKUP(D960,'AMFI DATA_2023H2'!F:L,'AMFI DATA_2023H2'!L:L)</f>
        <v>1006</v>
      </c>
      <c r="B960" s="4" t="s">
        <v>2879</v>
      </c>
      <c r="C960" s="4" t="s">
        <v>2880</v>
      </c>
      <c r="D960" s="5" t="s">
        <v>2881</v>
      </c>
      <c r="E960" s="5">
        <v>1498.98</v>
      </c>
      <c r="F960" s="6">
        <f>LOOKUP(D960,'AMFI DATA_2023H2'!F:J,'AMFI DATA_2023H2'!J:J)</f>
        <v>1684.6832999999999</v>
      </c>
      <c r="G960" s="7">
        <f t="shared" si="3"/>
        <v>-1</v>
      </c>
      <c r="H960" s="8"/>
      <c r="I960" s="8">
        <v>1693</v>
      </c>
      <c r="J960" s="8">
        <v>1697</v>
      </c>
      <c r="K960" s="8">
        <v>1711</v>
      </c>
      <c r="L960" s="8">
        <v>1750</v>
      </c>
      <c r="M960" s="8">
        <v>1782</v>
      </c>
      <c r="N960" s="8">
        <v>1789</v>
      </c>
      <c r="O960" s="8">
        <v>1794</v>
      </c>
      <c r="P960" s="8">
        <v>1802</v>
      </c>
      <c r="Q960" s="8">
        <v>1772</v>
      </c>
      <c r="R960" s="8">
        <v>1793</v>
      </c>
      <c r="S960" s="8">
        <v>1806</v>
      </c>
      <c r="T960" s="8">
        <v>1809</v>
      </c>
      <c r="U960" s="8">
        <v>1804</v>
      </c>
      <c r="V960" s="8">
        <v>1797</v>
      </c>
      <c r="W960" s="8">
        <v>1812</v>
      </c>
      <c r="X960" s="8">
        <v>1780</v>
      </c>
      <c r="Y960" s="8">
        <v>1811</v>
      </c>
      <c r="Z960" s="8">
        <v>1776</v>
      </c>
      <c r="AA960" s="8">
        <v>1785</v>
      </c>
      <c r="AB960" s="8">
        <v>1797</v>
      </c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</row>
    <row r="961" spans="1:47" ht="14.4">
      <c r="A961" s="3">
        <f>LOOKUP(D961,'AMFI DATA_2023H2'!F:L,'AMFI DATA_2023H2'!L:L)</f>
        <v>1007</v>
      </c>
      <c r="B961" s="4" t="s">
        <v>2882</v>
      </c>
      <c r="C961" s="4" t="s">
        <v>2883</v>
      </c>
      <c r="D961" s="5" t="s">
        <v>2884</v>
      </c>
      <c r="E961" s="5">
        <v>1256.72</v>
      </c>
      <c r="F961" s="6">
        <f>LOOKUP(D961,'AMFI DATA_2023H2'!F:J,'AMFI DATA_2023H2'!J:J)</f>
        <v>1676.9634999999998</v>
      </c>
      <c r="G961" s="7">
        <f t="shared" si="3"/>
        <v>-1</v>
      </c>
      <c r="H961" s="8"/>
      <c r="I961" s="8">
        <v>2080</v>
      </c>
      <c r="J961" s="8">
        <v>2001</v>
      </c>
      <c r="K961" s="8">
        <v>2078</v>
      </c>
      <c r="L961" s="8">
        <v>2060</v>
      </c>
      <c r="M961" s="8">
        <v>2096</v>
      </c>
      <c r="N961" s="8">
        <v>2108</v>
      </c>
      <c r="O961" s="8">
        <v>2129</v>
      </c>
      <c r="P961" s="8">
        <v>1964</v>
      </c>
      <c r="Q961" s="8">
        <v>1975</v>
      </c>
      <c r="R961" s="8">
        <v>1947</v>
      </c>
      <c r="S961" s="8">
        <v>1974</v>
      </c>
      <c r="T961" s="8">
        <v>1957</v>
      </c>
      <c r="U961" s="8">
        <v>1947</v>
      </c>
      <c r="V961" s="8">
        <v>1868</v>
      </c>
      <c r="W961" s="8">
        <v>1884</v>
      </c>
      <c r="X961" s="8">
        <v>1881</v>
      </c>
      <c r="Y961" s="8">
        <v>1868</v>
      </c>
      <c r="Z961" s="8">
        <v>1871</v>
      </c>
      <c r="AA961" s="8">
        <v>1844</v>
      </c>
      <c r="AB961" s="8">
        <v>1872</v>
      </c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</row>
    <row r="962" spans="1:47" ht="14.4">
      <c r="A962" s="3">
        <f>LOOKUP(D962,'AMFI DATA_2023H2'!F:L,'AMFI DATA_2023H2'!L:L)</f>
        <v>1008</v>
      </c>
      <c r="B962" s="4" t="s">
        <v>2885</v>
      </c>
      <c r="C962" s="4" t="s">
        <v>2886</v>
      </c>
      <c r="D962" s="5" t="s">
        <v>2887</v>
      </c>
      <c r="E962" s="5">
        <v>1121.76</v>
      </c>
      <c r="F962" s="6">
        <f>LOOKUP(D962,'AMFI DATA_2023H2'!F:J,'AMFI DATA_2023H2'!J:J)</f>
        <v>1676.3186499999999</v>
      </c>
      <c r="G962" s="7">
        <f t="shared" si="3"/>
        <v>-1</v>
      </c>
      <c r="H962" s="8"/>
      <c r="I962" s="8">
        <v>1724</v>
      </c>
      <c r="J962" s="8">
        <v>1710</v>
      </c>
      <c r="K962" s="8">
        <v>1728</v>
      </c>
      <c r="L962" s="8">
        <v>1704</v>
      </c>
      <c r="M962" s="8">
        <v>1720</v>
      </c>
      <c r="N962" s="8">
        <v>1763</v>
      </c>
      <c r="O962" s="8">
        <v>1779</v>
      </c>
      <c r="P962" s="8">
        <v>1699</v>
      </c>
      <c r="Q962" s="8">
        <v>1751</v>
      </c>
      <c r="R962" s="8">
        <v>1772</v>
      </c>
      <c r="S962" s="8">
        <v>1797</v>
      </c>
      <c r="T962" s="8">
        <v>1822</v>
      </c>
      <c r="U962" s="8">
        <v>1803</v>
      </c>
      <c r="V962" s="8">
        <v>1794</v>
      </c>
      <c r="W962" s="8">
        <v>1790</v>
      </c>
      <c r="X962" s="8">
        <v>1770</v>
      </c>
      <c r="Y962" s="8">
        <v>1818</v>
      </c>
      <c r="Z962" s="8">
        <v>1824</v>
      </c>
      <c r="AA962" s="8">
        <v>1850</v>
      </c>
      <c r="AB962" s="8">
        <v>1863</v>
      </c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</row>
    <row r="963" spans="1:47" ht="14.4">
      <c r="A963" s="3">
        <f>LOOKUP(D963,'AMFI DATA_2023H2'!F:L,'AMFI DATA_2023H2'!L:L)</f>
        <v>1009</v>
      </c>
      <c r="B963" s="4" t="s">
        <v>2888</v>
      </c>
      <c r="C963" s="4" t="s">
        <v>2889</v>
      </c>
      <c r="D963" s="5" t="s">
        <v>2890</v>
      </c>
      <c r="E963" s="5">
        <v>1296.68</v>
      </c>
      <c r="F963" s="6">
        <f>LOOKUP(D963,'AMFI DATA_2023H2'!F:J,'AMFI DATA_2023H2'!J:J)</f>
        <v>1669.2146499999999</v>
      </c>
      <c r="G963" s="7">
        <f t="shared" si="3"/>
        <v>-1</v>
      </c>
      <c r="H963" s="8"/>
      <c r="I963" s="8">
        <v>2285</v>
      </c>
      <c r="J963" s="8">
        <v>2282</v>
      </c>
      <c r="K963" s="8">
        <v>2133</v>
      </c>
      <c r="L963" s="8">
        <v>2220</v>
      </c>
      <c r="M963" s="8">
        <v>2288</v>
      </c>
      <c r="N963" s="8">
        <v>2313</v>
      </c>
      <c r="O963" s="8">
        <v>2214</v>
      </c>
      <c r="P963" s="8">
        <v>2211</v>
      </c>
      <c r="Q963" s="8">
        <v>2213</v>
      </c>
      <c r="R963" s="8">
        <v>2242</v>
      </c>
      <c r="S963" s="8">
        <v>2177</v>
      </c>
      <c r="T963" s="8">
        <v>2142</v>
      </c>
      <c r="U963" s="8">
        <v>2197</v>
      </c>
      <c r="V963" s="8">
        <v>2189</v>
      </c>
      <c r="W963" s="8">
        <v>2194</v>
      </c>
      <c r="X963" s="8">
        <v>2136</v>
      </c>
      <c r="Y963" s="8">
        <v>2075</v>
      </c>
      <c r="Z963" s="8">
        <v>2031</v>
      </c>
      <c r="AA963" s="8">
        <v>2063</v>
      </c>
      <c r="AB963" s="8">
        <v>1913</v>
      </c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</row>
    <row r="964" spans="1:47" ht="14.4">
      <c r="A964" s="3">
        <f>LOOKUP(D964,'AMFI DATA_2023H2'!F:L,'AMFI DATA_2023H2'!L:L)</f>
        <v>1010</v>
      </c>
      <c r="B964" s="4" t="s">
        <v>2891</v>
      </c>
      <c r="C964" s="4" t="s">
        <v>2892</v>
      </c>
      <c r="D964" s="5" t="s">
        <v>2893</v>
      </c>
      <c r="E964" s="5">
        <v>1454.95</v>
      </c>
      <c r="F964" s="6">
        <f>LOOKUP(D964,'AMFI DATA_2023H2'!F:J,'AMFI DATA_2023H2'!J:J)</f>
        <v>1667.8670999999999</v>
      </c>
      <c r="G964" s="7">
        <f t="shared" si="3"/>
        <v>-1</v>
      </c>
      <c r="H964" s="8"/>
      <c r="I964" s="8">
        <v>1481</v>
      </c>
      <c r="J964" s="8">
        <v>1487</v>
      </c>
      <c r="K964" s="8">
        <v>1519</v>
      </c>
      <c r="L964" s="8">
        <v>1522</v>
      </c>
      <c r="M964" s="8">
        <v>1527</v>
      </c>
      <c r="N964" s="8">
        <v>1550</v>
      </c>
      <c r="O964" s="8">
        <v>1568</v>
      </c>
      <c r="P964" s="8">
        <v>1568</v>
      </c>
      <c r="Q964" s="8">
        <v>1552</v>
      </c>
      <c r="R964" s="8">
        <v>1561</v>
      </c>
      <c r="S964" s="8">
        <v>1591</v>
      </c>
      <c r="T964" s="8">
        <v>1583</v>
      </c>
      <c r="U964" s="8">
        <v>1545</v>
      </c>
      <c r="V964" s="8">
        <v>1541</v>
      </c>
      <c r="W964" s="8">
        <v>1517</v>
      </c>
      <c r="X964" s="8">
        <v>1488</v>
      </c>
      <c r="Y964" s="8">
        <v>1517</v>
      </c>
      <c r="Z964" s="8">
        <v>1527</v>
      </c>
      <c r="AA964" s="8">
        <v>1528</v>
      </c>
      <c r="AB964" s="8">
        <v>1534</v>
      </c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</row>
    <row r="965" spans="1:47" ht="14.4">
      <c r="A965" s="3">
        <f>LOOKUP(D965,'AMFI DATA_2023H2'!F:L,'AMFI DATA_2023H2'!L:L)</f>
        <v>1011</v>
      </c>
      <c r="B965" s="4" t="s">
        <v>2894</v>
      </c>
      <c r="C965" s="4" t="s">
        <v>2895</v>
      </c>
      <c r="D965" s="5" t="s">
        <v>2896</v>
      </c>
      <c r="E965" s="5">
        <v>1077.18</v>
      </c>
      <c r="F965" s="6">
        <f>LOOKUP(D965,'AMFI DATA_2023H2'!F:J,'AMFI DATA_2023H2'!J:J)</f>
        <v>1659.9387999999999</v>
      </c>
      <c r="G965" s="7">
        <f t="shared" si="3"/>
        <v>-1</v>
      </c>
      <c r="H965" s="8"/>
      <c r="I965" s="8">
        <v>2231</v>
      </c>
      <c r="J965" s="8">
        <v>2152</v>
      </c>
      <c r="K965" s="8">
        <v>2183</v>
      </c>
      <c r="L965" s="8">
        <v>2200</v>
      </c>
      <c r="M965" s="8">
        <v>2246</v>
      </c>
      <c r="N965" s="8">
        <v>2272</v>
      </c>
      <c r="O965" s="8">
        <v>2238</v>
      </c>
      <c r="P965" s="8">
        <v>2227</v>
      </c>
      <c r="Q965" s="8">
        <v>2261</v>
      </c>
      <c r="R965" s="8">
        <v>2313</v>
      </c>
      <c r="S965" s="8">
        <v>2274</v>
      </c>
      <c r="T965" s="8">
        <v>2339</v>
      </c>
      <c r="U965" s="8">
        <v>2191</v>
      </c>
      <c r="V965" s="8">
        <v>2130</v>
      </c>
      <c r="W965" s="8">
        <v>2145</v>
      </c>
      <c r="X965" s="8">
        <v>2161</v>
      </c>
      <c r="Y965" s="8">
        <v>2170</v>
      </c>
      <c r="Z965" s="8">
        <v>2244</v>
      </c>
      <c r="AA965" s="8">
        <v>2175</v>
      </c>
      <c r="AB965" s="8">
        <v>2281</v>
      </c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</row>
    <row r="966" spans="1:47" ht="14.4">
      <c r="A966" s="3">
        <f>LOOKUP(D966,'AMFI DATA_2023H2'!F:L,'AMFI DATA_2023H2'!L:L)</f>
        <v>1012</v>
      </c>
      <c r="B966" s="4" t="s">
        <v>2897</v>
      </c>
      <c r="C966" s="4" t="s">
        <v>2898</v>
      </c>
      <c r="D966" s="5" t="s">
        <v>2899</v>
      </c>
      <c r="E966" s="5">
        <v>1341.17</v>
      </c>
      <c r="F966" s="6">
        <f>LOOKUP(D966,'AMFI DATA_2023H2'!F:J,'AMFI DATA_2023H2'!J:J)</f>
        <v>1658.8737000000001</v>
      </c>
      <c r="G966" s="7">
        <f t="shared" si="3"/>
        <v>-1</v>
      </c>
      <c r="H966" s="8"/>
      <c r="I966" s="8">
        <v>2367</v>
      </c>
      <c r="J966" s="8">
        <v>2348</v>
      </c>
      <c r="K966" s="8">
        <v>2345</v>
      </c>
      <c r="L966" s="8">
        <v>2352</v>
      </c>
      <c r="M966" s="8">
        <v>2410</v>
      </c>
      <c r="N966" s="8">
        <v>2301</v>
      </c>
      <c r="O966" s="8">
        <v>2306</v>
      </c>
      <c r="P966" s="8">
        <v>2256</v>
      </c>
      <c r="Q966" s="8">
        <v>2292</v>
      </c>
      <c r="R966" s="8">
        <v>2275</v>
      </c>
      <c r="S966" s="8">
        <v>2340</v>
      </c>
      <c r="T966" s="8">
        <v>2219</v>
      </c>
      <c r="U966" s="8">
        <v>2011</v>
      </c>
      <c r="V966" s="8">
        <v>1949</v>
      </c>
      <c r="W966" s="8">
        <v>1934</v>
      </c>
      <c r="X966" s="8">
        <v>1971</v>
      </c>
      <c r="Y966" s="8">
        <v>1996</v>
      </c>
      <c r="Z966" s="8">
        <v>1980</v>
      </c>
      <c r="AA966" s="8">
        <v>2005</v>
      </c>
      <c r="AB966" s="8">
        <v>1983</v>
      </c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</row>
    <row r="967" spans="1:47" ht="14.4">
      <c r="A967" s="3">
        <f>LOOKUP(D967,'AMFI DATA_2023H2'!F:L,'AMFI DATA_2023H2'!L:L)</f>
        <v>1013</v>
      </c>
      <c r="B967" s="4" t="s">
        <v>2900</v>
      </c>
      <c r="C967" s="4" t="s">
        <v>2901</v>
      </c>
      <c r="D967" s="5" t="s">
        <v>2902</v>
      </c>
      <c r="E967" s="5">
        <v>1114.19</v>
      </c>
      <c r="F967" s="6">
        <f>LOOKUP(D967,'AMFI DATA_2023H2'!F:J,'AMFI DATA_2023H2'!J:J)</f>
        <v>1653.4682</v>
      </c>
      <c r="G967" s="7">
        <f t="shared" si="3"/>
        <v>-1</v>
      </c>
      <c r="H967" s="8"/>
      <c r="I967" s="8">
        <v>2043</v>
      </c>
      <c r="J967" s="8">
        <v>2016</v>
      </c>
      <c r="K967" s="8">
        <v>2014</v>
      </c>
      <c r="L967" s="8">
        <v>2012</v>
      </c>
      <c r="M967" s="8">
        <v>1846</v>
      </c>
      <c r="N967" s="8">
        <v>1779</v>
      </c>
      <c r="O967" s="8">
        <v>1800</v>
      </c>
      <c r="P967" s="8">
        <v>1818</v>
      </c>
      <c r="Q967" s="8">
        <v>1860</v>
      </c>
      <c r="R967" s="8">
        <v>1866</v>
      </c>
      <c r="S967" s="8">
        <v>1830</v>
      </c>
      <c r="T967" s="8">
        <v>1834</v>
      </c>
      <c r="U967" s="8">
        <v>1838</v>
      </c>
      <c r="V967" s="8">
        <v>1887</v>
      </c>
      <c r="W967" s="8">
        <v>1879</v>
      </c>
      <c r="X967" s="8">
        <v>1882</v>
      </c>
      <c r="Y967" s="8">
        <v>1894</v>
      </c>
      <c r="Z967" s="8">
        <v>1892</v>
      </c>
      <c r="AA967" s="8">
        <v>1909</v>
      </c>
      <c r="AB967" s="8">
        <v>1830</v>
      </c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</row>
    <row r="968" spans="1:47" ht="14.4">
      <c r="A968" s="3">
        <f>LOOKUP(D968,'AMFI DATA_2023H2'!F:L,'AMFI DATA_2023H2'!L:L)</f>
        <v>1014</v>
      </c>
      <c r="B968" s="4" t="s">
        <v>2903</v>
      </c>
      <c r="C968" s="4" t="s">
        <v>2904</v>
      </c>
      <c r="D968" s="5" t="s">
        <v>2905</v>
      </c>
      <c r="E968" s="5">
        <v>1315.69</v>
      </c>
      <c r="F968" s="6">
        <f>LOOKUP(D968,'AMFI DATA_2023H2'!F:J,'AMFI DATA_2023H2'!J:J)</f>
        <v>1643.9213500000001</v>
      </c>
      <c r="G968" s="7">
        <f t="shared" si="3"/>
        <v>-1</v>
      </c>
      <c r="H968" s="8"/>
      <c r="I968" s="8">
        <v>2252</v>
      </c>
      <c r="J968" s="8">
        <v>2155</v>
      </c>
      <c r="K968" s="8">
        <v>2209</v>
      </c>
      <c r="L968" s="8">
        <v>2207</v>
      </c>
      <c r="M968" s="8">
        <v>2221</v>
      </c>
      <c r="N968" s="8">
        <v>2186</v>
      </c>
      <c r="O968" s="8">
        <v>2214</v>
      </c>
      <c r="P968" s="8">
        <v>2237</v>
      </c>
      <c r="Q968" s="8">
        <v>2191</v>
      </c>
      <c r="R968" s="8">
        <v>2236</v>
      </c>
      <c r="S968" s="8">
        <v>2216</v>
      </c>
      <c r="T968" s="8">
        <v>2249</v>
      </c>
      <c r="U968" s="8">
        <v>2075</v>
      </c>
      <c r="V968" s="8">
        <v>2094</v>
      </c>
      <c r="W968" s="8">
        <v>2093</v>
      </c>
      <c r="X968" s="8">
        <v>2119</v>
      </c>
      <c r="Y968" s="8">
        <v>1991</v>
      </c>
      <c r="Z968" s="8">
        <v>2054</v>
      </c>
      <c r="AA968" s="8">
        <v>2090</v>
      </c>
      <c r="AB968" s="8">
        <v>2057</v>
      </c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</row>
    <row r="969" spans="1:47" ht="14.4">
      <c r="A969" s="3">
        <f>LOOKUP(D969,'AMFI DATA_2023H2'!F:L,'AMFI DATA_2023H2'!L:L)</f>
        <v>1015</v>
      </c>
      <c r="B969" s="4" t="s">
        <v>2906</v>
      </c>
      <c r="C969" s="4" t="s">
        <v>2907</v>
      </c>
      <c r="D969" s="5" t="s">
        <v>2908</v>
      </c>
      <c r="E969" s="5">
        <v>1325.33</v>
      </c>
      <c r="F969" s="6">
        <f>LOOKUP(D969,'AMFI DATA_2023H2'!F:J,'AMFI DATA_2023H2'!J:J)</f>
        <v>1641.5041000000001</v>
      </c>
      <c r="G969" s="7">
        <f t="shared" si="3"/>
        <v>-1</v>
      </c>
      <c r="H969" s="8"/>
      <c r="I969" s="8">
        <v>1906</v>
      </c>
      <c r="J969" s="8">
        <v>1900</v>
      </c>
      <c r="K969" s="8">
        <v>1856</v>
      </c>
      <c r="L969" s="8">
        <v>1858</v>
      </c>
      <c r="M969" s="8">
        <v>1856</v>
      </c>
      <c r="N969" s="8">
        <v>1876</v>
      </c>
      <c r="O969" s="8">
        <v>1808</v>
      </c>
      <c r="P969" s="8">
        <v>1819</v>
      </c>
      <c r="Q969" s="8">
        <v>1836</v>
      </c>
      <c r="R969" s="8">
        <v>1841</v>
      </c>
      <c r="S969" s="8">
        <v>1883</v>
      </c>
      <c r="T969" s="8">
        <v>1876</v>
      </c>
      <c r="U969" s="8">
        <v>1883</v>
      </c>
      <c r="V969" s="8">
        <v>1855</v>
      </c>
      <c r="W969" s="8">
        <v>1847</v>
      </c>
      <c r="X969" s="8">
        <v>1822</v>
      </c>
      <c r="Y969" s="8">
        <v>1882</v>
      </c>
      <c r="Z969" s="8">
        <v>1868</v>
      </c>
      <c r="AA969" s="8">
        <v>1934</v>
      </c>
      <c r="AB969" s="8">
        <v>1899</v>
      </c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</row>
    <row r="970" spans="1:47" ht="14.4">
      <c r="A970" s="3">
        <f>LOOKUP(D970,'AMFI DATA_2023H2'!F:L,'AMFI DATA_2023H2'!L:L)</f>
        <v>1016</v>
      </c>
      <c r="B970" s="4" t="s">
        <v>2909</v>
      </c>
      <c r="C970" s="4" t="s">
        <v>2910</v>
      </c>
      <c r="D970" s="5" t="s">
        <v>2911</v>
      </c>
      <c r="E970" s="5">
        <v>1373.8</v>
      </c>
      <c r="F970" s="6">
        <f>LOOKUP(D970,'AMFI DATA_2023H2'!F:J,'AMFI DATA_2023H2'!J:J)</f>
        <v>1639.6534999999999</v>
      </c>
      <c r="G970" s="7">
        <f t="shared" si="3"/>
        <v>-1</v>
      </c>
      <c r="H970" s="8"/>
      <c r="I970" s="8">
        <v>2215</v>
      </c>
      <c r="J970" s="8">
        <v>2190</v>
      </c>
      <c r="K970" s="8">
        <v>2143</v>
      </c>
      <c r="L970" s="8">
        <v>2135</v>
      </c>
      <c r="M970" s="8">
        <v>2175</v>
      </c>
      <c r="N970" s="8">
        <v>2172</v>
      </c>
      <c r="O970" s="8">
        <v>2191</v>
      </c>
      <c r="P970" s="8">
        <v>2218</v>
      </c>
      <c r="Q970" s="8">
        <v>2139</v>
      </c>
      <c r="R970" s="8">
        <v>2125</v>
      </c>
      <c r="S970" s="8">
        <v>2170</v>
      </c>
      <c r="T970" s="8">
        <v>2115</v>
      </c>
      <c r="U970" s="8">
        <v>2090</v>
      </c>
      <c r="V970" s="8">
        <v>2110</v>
      </c>
      <c r="W970" s="8">
        <v>1958</v>
      </c>
      <c r="X970" s="8">
        <v>1937</v>
      </c>
      <c r="Y970" s="8">
        <v>1941</v>
      </c>
      <c r="Z970" s="8">
        <v>1924</v>
      </c>
      <c r="AA970" s="8">
        <v>1925</v>
      </c>
      <c r="AB970" s="8">
        <v>1911</v>
      </c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</row>
    <row r="971" spans="1:47" ht="14.4">
      <c r="A971" s="3">
        <f>LOOKUP(D971,'AMFI DATA_2023H2'!F:L,'AMFI DATA_2023H2'!L:L)</f>
        <v>1017</v>
      </c>
      <c r="B971" s="4" t="s">
        <v>2912</v>
      </c>
      <c r="C971" s="4" t="s">
        <v>2913</v>
      </c>
      <c r="D971" s="5" t="s">
        <v>2914</v>
      </c>
      <c r="E971" s="5">
        <v>1017.25</v>
      </c>
      <c r="F971" s="6">
        <f>LOOKUP(D971,'AMFI DATA_2023H2'!F:J,'AMFI DATA_2023H2'!J:J)</f>
        <v>1635.18605</v>
      </c>
      <c r="G971" s="7">
        <f t="shared" si="3"/>
        <v>-1</v>
      </c>
      <c r="H971" s="8"/>
      <c r="I971" s="8">
        <v>2305</v>
      </c>
      <c r="J971" s="8">
        <v>2257</v>
      </c>
      <c r="K971" s="8">
        <v>2219</v>
      </c>
      <c r="L971" s="8">
        <v>2060</v>
      </c>
      <c r="M971" s="8">
        <v>2046</v>
      </c>
      <c r="N971" s="8">
        <v>2068</v>
      </c>
      <c r="O971" s="8">
        <v>2100</v>
      </c>
      <c r="P971" s="8">
        <v>2078</v>
      </c>
      <c r="Q971" s="8">
        <v>2077</v>
      </c>
      <c r="R971" s="8">
        <v>2026</v>
      </c>
      <c r="S971" s="8">
        <v>2052</v>
      </c>
      <c r="T971" s="8">
        <v>2098</v>
      </c>
      <c r="U971" s="8">
        <v>2000</v>
      </c>
      <c r="V971" s="8">
        <v>1918</v>
      </c>
      <c r="W971" s="8">
        <v>1913</v>
      </c>
      <c r="X971" s="8">
        <v>1843</v>
      </c>
      <c r="Y971" s="8">
        <v>1867</v>
      </c>
      <c r="Z971" s="8">
        <v>1904</v>
      </c>
      <c r="AA971" s="8">
        <v>1942</v>
      </c>
      <c r="AB971" s="8">
        <v>1939</v>
      </c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</row>
    <row r="972" spans="1:47" ht="14.4">
      <c r="A972" s="3">
        <f>LOOKUP(D972,'AMFI DATA_2023H2'!F:L,'AMFI DATA_2023H2'!L:L)</f>
        <v>1018</v>
      </c>
      <c r="B972" s="4" t="s">
        <v>2915</v>
      </c>
      <c r="C972" s="4" t="s">
        <v>2916</v>
      </c>
      <c r="D972" s="5" t="s">
        <v>2917</v>
      </c>
      <c r="E972" s="5">
        <v>1415.27</v>
      </c>
      <c r="F972" s="6">
        <f>LOOKUP(D972,'AMFI DATA_2023H2'!F:J,'AMFI DATA_2023H2'!J:J)</f>
        <v>1629.8710999999998</v>
      </c>
      <c r="G972" s="7">
        <f t="shared" si="3"/>
        <v>-1</v>
      </c>
      <c r="H972" s="8"/>
      <c r="I972" s="8">
        <v>2506</v>
      </c>
      <c r="J972" s="8">
        <v>2224</v>
      </c>
      <c r="K972" s="8">
        <v>2109</v>
      </c>
      <c r="L972" s="8">
        <v>2181</v>
      </c>
      <c r="M972" s="8">
        <v>2291</v>
      </c>
      <c r="N972" s="8">
        <v>2281</v>
      </c>
      <c r="O972" s="8">
        <v>2259</v>
      </c>
      <c r="P972" s="8">
        <v>2221</v>
      </c>
      <c r="Q972" s="8">
        <v>2267</v>
      </c>
      <c r="R972" s="8">
        <v>2275</v>
      </c>
      <c r="S972" s="8">
        <v>2313</v>
      </c>
      <c r="T972" s="8">
        <v>2319</v>
      </c>
      <c r="U972" s="8">
        <v>2138</v>
      </c>
      <c r="V972" s="8">
        <v>2109</v>
      </c>
      <c r="W972" s="8">
        <v>2112</v>
      </c>
      <c r="X972" s="8">
        <v>2077</v>
      </c>
      <c r="Y972" s="8">
        <v>2081</v>
      </c>
      <c r="Z972" s="8">
        <v>2050</v>
      </c>
      <c r="AA972" s="8">
        <v>2084</v>
      </c>
      <c r="AB972" s="8">
        <v>2147</v>
      </c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</row>
    <row r="973" spans="1:47" ht="14.4">
      <c r="A973" s="3">
        <f>LOOKUP(D973,'AMFI DATA_2023H2'!F:L,'AMFI DATA_2023H2'!L:L)</f>
        <v>1019</v>
      </c>
      <c r="B973" s="4" t="s">
        <v>2918</v>
      </c>
      <c r="C973" s="4" t="s">
        <v>2919</v>
      </c>
      <c r="D973" s="5" t="s">
        <v>2920</v>
      </c>
      <c r="E973" s="5">
        <v>1315.69</v>
      </c>
      <c r="F973" s="6">
        <f>LOOKUP(D973,'AMFI DATA_2023H2'!F:J,'AMFI DATA_2023H2'!J:J)</f>
        <v>1629.1961999999999</v>
      </c>
      <c r="G973" s="7">
        <f t="shared" si="3"/>
        <v>-1</v>
      </c>
      <c r="H973" s="8"/>
      <c r="I973" s="8">
        <v>2679</v>
      </c>
      <c r="J973" s="8">
        <v>2553</v>
      </c>
      <c r="K973" s="8">
        <v>2480</v>
      </c>
      <c r="L973" s="8">
        <v>2525</v>
      </c>
      <c r="M973" s="8">
        <v>2565</v>
      </c>
      <c r="N973" s="8">
        <v>2582</v>
      </c>
      <c r="O973" s="8">
        <v>2582</v>
      </c>
      <c r="P973" s="8">
        <v>2517</v>
      </c>
      <c r="Q973" s="8">
        <v>2567</v>
      </c>
      <c r="R973" s="8">
        <v>2599</v>
      </c>
      <c r="S973" s="8">
        <v>2620</v>
      </c>
      <c r="T973" s="8">
        <v>2649</v>
      </c>
      <c r="U973" s="8">
        <v>2657</v>
      </c>
      <c r="V973" s="8">
        <v>2525</v>
      </c>
      <c r="W973" s="8">
        <v>2526</v>
      </c>
      <c r="X973" s="8">
        <v>2481</v>
      </c>
      <c r="Y973" s="8">
        <v>2571</v>
      </c>
      <c r="Z973" s="8">
        <v>2602</v>
      </c>
      <c r="AA973" s="8">
        <v>2726</v>
      </c>
      <c r="AB973" s="8">
        <v>2594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</row>
    <row r="974" spans="1:47" ht="14.4">
      <c r="A974" s="3">
        <f>LOOKUP(D974,'AMFI DATA_2023H2'!F:L,'AMFI DATA_2023H2'!L:L)</f>
        <v>1021</v>
      </c>
      <c r="B974" s="4" t="s">
        <v>2921</v>
      </c>
      <c r="C974" s="4" t="s">
        <v>2922</v>
      </c>
      <c r="D974" s="5" t="s">
        <v>2923</v>
      </c>
      <c r="E974" s="5">
        <v>1322.85</v>
      </c>
      <c r="F974" s="6">
        <f>LOOKUP(D974,'AMFI DATA_2023H2'!F:J,'AMFI DATA_2023H2'!J:J)</f>
        <v>1627.1318000000001</v>
      </c>
      <c r="G974" s="7">
        <f t="shared" si="3"/>
        <v>-1</v>
      </c>
      <c r="H974" s="8"/>
      <c r="I974" s="8">
        <v>1793</v>
      </c>
      <c r="J974" s="8">
        <v>1824</v>
      </c>
      <c r="K974" s="8">
        <v>1792</v>
      </c>
      <c r="L974" s="8">
        <v>1796</v>
      </c>
      <c r="M974" s="8">
        <v>1819</v>
      </c>
      <c r="N974" s="8">
        <v>1823</v>
      </c>
      <c r="O974" s="8">
        <v>1844</v>
      </c>
      <c r="P974" s="8">
        <v>1809</v>
      </c>
      <c r="Q974" s="8">
        <v>1800</v>
      </c>
      <c r="R974" s="8">
        <v>1828</v>
      </c>
      <c r="S974" s="8">
        <v>1854</v>
      </c>
      <c r="T974" s="8">
        <v>1881</v>
      </c>
      <c r="U974" s="8">
        <v>1869</v>
      </c>
      <c r="V974" s="8">
        <v>1829</v>
      </c>
      <c r="W974" s="8">
        <v>1880</v>
      </c>
      <c r="X974" s="8">
        <v>1831</v>
      </c>
      <c r="Y974" s="8">
        <v>1828</v>
      </c>
      <c r="Z974" s="8">
        <v>1862</v>
      </c>
      <c r="AA974" s="8">
        <v>1852</v>
      </c>
      <c r="AB974" s="8">
        <v>1850</v>
      </c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</row>
    <row r="975" spans="1:47" ht="14.4">
      <c r="A975" s="3">
        <f>LOOKUP(D975,'AMFI DATA_2023H2'!F:L,'AMFI DATA_2023H2'!L:L)</f>
        <v>1023</v>
      </c>
      <c r="B975" s="4" t="s">
        <v>2924</v>
      </c>
      <c r="C975" s="4" t="s">
        <v>2925</v>
      </c>
      <c r="D975" s="5" t="s">
        <v>2926</v>
      </c>
      <c r="E975" s="5">
        <v>1244.25</v>
      </c>
      <c r="F975" s="6">
        <f>LOOKUP(D975,'AMFI DATA_2023H2'!F:J,'AMFI DATA_2023H2'!J:J)</f>
        <v>1612.7871500000001</v>
      </c>
      <c r="G975" s="7">
        <f t="shared" si="3"/>
        <v>-1</v>
      </c>
      <c r="H975" s="8"/>
      <c r="I975" s="8">
        <v>1584</v>
      </c>
      <c r="J975" s="8">
        <v>1490</v>
      </c>
      <c r="K975" s="8">
        <v>1514</v>
      </c>
      <c r="L975" s="8">
        <v>1532</v>
      </c>
      <c r="M975" s="8">
        <v>1524</v>
      </c>
      <c r="N975" s="8">
        <v>1527</v>
      </c>
      <c r="O975" s="8">
        <v>1529</v>
      </c>
      <c r="P975" s="8">
        <v>1537</v>
      </c>
      <c r="Q975" s="8">
        <v>1533</v>
      </c>
      <c r="R975" s="8">
        <v>1519</v>
      </c>
      <c r="S975" s="8">
        <v>1563</v>
      </c>
      <c r="T975" s="8">
        <v>1515</v>
      </c>
      <c r="U975" s="8">
        <v>1514</v>
      </c>
      <c r="V975" s="8">
        <v>1555</v>
      </c>
      <c r="W975" s="8">
        <v>1525</v>
      </c>
      <c r="X975" s="8">
        <v>1500</v>
      </c>
      <c r="Y975" s="8">
        <v>1517</v>
      </c>
      <c r="Z975" s="8">
        <v>1507</v>
      </c>
      <c r="AA975" s="8">
        <v>1522</v>
      </c>
      <c r="AB975" s="8">
        <v>1506</v>
      </c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</row>
    <row r="976" spans="1:47" ht="14.4">
      <c r="A976" s="3">
        <f>LOOKUP(D976,'AMFI DATA_2023H2'!F:L,'AMFI DATA_2023H2'!L:L)</f>
        <v>1024</v>
      </c>
      <c r="B976" s="4" t="s">
        <v>2927</v>
      </c>
      <c r="C976" s="4" t="s">
        <v>2928</v>
      </c>
      <c r="D976" s="5" t="s">
        <v>2929</v>
      </c>
      <c r="E976" s="5">
        <v>1110.8900000000001</v>
      </c>
      <c r="F976" s="6">
        <f>LOOKUP(D976,'AMFI DATA_2023H2'!F:J,'AMFI DATA_2023H2'!J:J)</f>
        <v>1609.7371000000001</v>
      </c>
      <c r="G976" s="7">
        <f t="shared" si="3"/>
        <v>-1</v>
      </c>
      <c r="H976" s="8"/>
      <c r="I976" s="8">
        <v>1840</v>
      </c>
      <c r="J976" s="8">
        <v>1845</v>
      </c>
      <c r="K976" s="8">
        <v>1840</v>
      </c>
      <c r="L976" s="8">
        <v>1860</v>
      </c>
      <c r="M976" s="8">
        <v>1889</v>
      </c>
      <c r="N976" s="8">
        <v>1870</v>
      </c>
      <c r="O976" s="8">
        <v>1855</v>
      </c>
      <c r="P976" s="8">
        <v>1850</v>
      </c>
      <c r="Q976" s="8">
        <v>1855</v>
      </c>
      <c r="R976" s="8">
        <v>1850</v>
      </c>
      <c r="S976" s="8">
        <v>1850</v>
      </c>
      <c r="T976" s="8">
        <v>1845</v>
      </c>
      <c r="U976" s="8">
        <v>1840</v>
      </c>
      <c r="V976" s="8">
        <v>1865</v>
      </c>
      <c r="W976" s="8">
        <v>1904</v>
      </c>
      <c r="X976" s="8">
        <v>1904</v>
      </c>
      <c r="Y976" s="8">
        <v>1914</v>
      </c>
      <c r="Z976" s="8">
        <v>1836</v>
      </c>
      <c r="AA976" s="8">
        <v>1792</v>
      </c>
      <c r="AB976" s="8">
        <v>1811</v>
      </c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</row>
    <row r="977" spans="1:47" ht="14.4">
      <c r="A977" s="3">
        <f>LOOKUP(D977,'AMFI DATA_2023H2'!F:L,'AMFI DATA_2023H2'!L:L)</f>
        <v>1025</v>
      </c>
      <c r="B977" s="4" t="s">
        <v>2930</v>
      </c>
      <c r="C977" s="4" t="s">
        <v>2931</v>
      </c>
      <c r="D977" s="5" t="s">
        <v>2932</v>
      </c>
      <c r="E977" s="5">
        <v>980.02</v>
      </c>
      <c r="F977" s="6">
        <f>LOOKUP(D977,'AMFI DATA_2023H2'!F:J,'AMFI DATA_2023H2'!J:J)</f>
        <v>1607.1547</v>
      </c>
      <c r="G977" s="7">
        <f t="shared" si="3"/>
        <v>-1</v>
      </c>
      <c r="H977" s="8"/>
      <c r="I977" s="8">
        <v>1683</v>
      </c>
      <c r="J977" s="8">
        <v>1683</v>
      </c>
      <c r="K977" s="8">
        <v>1700</v>
      </c>
      <c r="L977" s="8">
        <v>1689</v>
      </c>
      <c r="M977" s="8">
        <v>1745</v>
      </c>
      <c r="N977" s="8">
        <v>1637</v>
      </c>
      <c r="O977" s="8">
        <v>1629</v>
      </c>
      <c r="P977" s="8">
        <v>1639</v>
      </c>
      <c r="Q977" s="8">
        <v>1596</v>
      </c>
      <c r="R977" s="8">
        <v>1616</v>
      </c>
      <c r="S977" s="8">
        <v>1632</v>
      </c>
      <c r="T977" s="8">
        <v>1630</v>
      </c>
      <c r="U977" s="8">
        <v>1618</v>
      </c>
      <c r="V977" s="8">
        <v>1629</v>
      </c>
      <c r="W977" s="8">
        <v>1636</v>
      </c>
      <c r="X977" s="8">
        <v>1638</v>
      </c>
      <c r="Y977" s="8">
        <v>1614</v>
      </c>
      <c r="Z977" s="8">
        <v>1595</v>
      </c>
      <c r="AA977" s="8">
        <v>1599</v>
      </c>
      <c r="AB977" s="8">
        <v>1612</v>
      </c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</row>
    <row r="978" spans="1:47" ht="14.4">
      <c r="A978" s="3">
        <f>LOOKUP(D978,'AMFI DATA_2023H2'!F:L,'AMFI DATA_2023H2'!L:L)</f>
        <v>1027</v>
      </c>
      <c r="B978" s="4" t="s">
        <v>2933</v>
      </c>
      <c r="C978" s="4" t="s">
        <v>2934</v>
      </c>
      <c r="D978" s="5" t="s">
        <v>2935</v>
      </c>
      <c r="E978" s="5">
        <v>843.98</v>
      </c>
      <c r="F978" s="6">
        <f>LOOKUP(D978,'AMFI DATA_2023H2'!F:J,'AMFI DATA_2023H2'!J:J)</f>
        <v>1589.7002</v>
      </c>
      <c r="G978" s="7">
        <f t="shared" si="3"/>
        <v>-1</v>
      </c>
      <c r="H978" s="8"/>
      <c r="I978" s="8">
        <v>2088</v>
      </c>
      <c r="J978" s="8">
        <v>2115</v>
      </c>
      <c r="K978" s="8">
        <v>2042</v>
      </c>
      <c r="L978" s="8">
        <v>1969</v>
      </c>
      <c r="M978" s="8">
        <v>1967</v>
      </c>
      <c r="N978" s="8">
        <v>1986</v>
      </c>
      <c r="O978" s="8">
        <v>2050</v>
      </c>
      <c r="P978" s="8">
        <v>2010</v>
      </c>
      <c r="Q978" s="8">
        <v>1967</v>
      </c>
      <c r="R978" s="8">
        <v>1948</v>
      </c>
      <c r="S978" s="8">
        <v>1868</v>
      </c>
      <c r="T978" s="8">
        <v>1855</v>
      </c>
      <c r="U978" s="8">
        <v>1833</v>
      </c>
      <c r="V978" s="8">
        <v>1858</v>
      </c>
      <c r="W978" s="8">
        <v>1904</v>
      </c>
      <c r="X978" s="8">
        <v>1877</v>
      </c>
      <c r="Y978" s="8">
        <v>1848</v>
      </c>
      <c r="Z978" s="8">
        <v>1805</v>
      </c>
      <c r="AA978" s="8">
        <v>1828</v>
      </c>
      <c r="AB978" s="8">
        <v>1811</v>
      </c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</row>
    <row r="979" spans="1:47" ht="14.4">
      <c r="A979" s="3">
        <f>LOOKUP(D979,'AMFI DATA_2023H2'!F:L,'AMFI DATA_2023H2'!L:L)</f>
        <v>1028</v>
      </c>
      <c r="B979" s="4" t="s">
        <v>2936</v>
      </c>
      <c r="C979" s="4" t="s">
        <v>2937</v>
      </c>
      <c r="D979" s="5" t="s">
        <v>2938</v>
      </c>
      <c r="E979" s="5">
        <v>1411.89</v>
      </c>
      <c r="F979" s="6">
        <f>LOOKUP(D979,'AMFI DATA_2023H2'!F:J,'AMFI DATA_2023H2'!J:J)</f>
        <v>1585.5700999999999</v>
      </c>
      <c r="G979" s="7">
        <f t="shared" si="3"/>
        <v>-1</v>
      </c>
      <c r="H979" s="8"/>
      <c r="I979" s="8">
        <v>1455</v>
      </c>
      <c r="J979" s="8">
        <v>1440</v>
      </c>
      <c r="K979" s="8">
        <v>1440</v>
      </c>
      <c r="L979" s="8">
        <v>1451</v>
      </c>
      <c r="M979" s="8">
        <v>1433</v>
      </c>
      <c r="N979" s="8">
        <v>1451</v>
      </c>
      <c r="O979" s="8">
        <v>1454</v>
      </c>
      <c r="P979" s="8">
        <v>1453</v>
      </c>
      <c r="Q979" s="8">
        <v>1452</v>
      </c>
      <c r="R979" s="8">
        <v>1456</v>
      </c>
      <c r="S979" s="8">
        <v>1472</v>
      </c>
      <c r="T979" s="8">
        <v>1458</v>
      </c>
      <c r="U979" s="8">
        <v>1468</v>
      </c>
      <c r="V979" s="8">
        <v>1470</v>
      </c>
      <c r="W979" s="8">
        <v>1459</v>
      </c>
      <c r="X979" s="8">
        <v>1463</v>
      </c>
      <c r="Y979" s="8">
        <v>1482</v>
      </c>
      <c r="Z979" s="8">
        <v>1476</v>
      </c>
      <c r="AA979" s="8">
        <v>1434</v>
      </c>
      <c r="AB979" s="8">
        <v>1429</v>
      </c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</row>
    <row r="980" spans="1:47" ht="14.4">
      <c r="A980" s="3">
        <f>LOOKUP(D980,'AMFI DATA_2023H2'!F:L,'AMFI DATA_2023H2'!L:L)</f>
        <v>1029</v>
      </c>
      <c r="B980" s="4" t="s">
        <v>2939</v>
      </c>
      <c r="C980" s="4" t="s">
        <v>2940</v>
      </c>
      <c r="D980" s="5" t="s">
        <v>2941</v>
      </c>
      <c r="E980" s="5">
        <v>1202.9000000000001</v>
      </c>
      <c r="F980" s="6">
        <f>LOOKUP(D980,'AMFI DATA_2023H2'!F:J,'AMFI DATA_2023H2'!J:J)</f>
        <v>1584.4985999999999</v>
      </c>
      <c r="G980" s="7">
        <f t="shared" si="3"/>
        <v>-1</v>
      </c>
      <c r="H980" s="8"/>
      <c r="I980" s="8">
        <v>1729</v>
      </c>
      <c r="J980" s="8">
        <v>1754</v>
      </c>
      <c r="K980" s="8">
        <v>1750</v>
      </c>
      <c r="L980" s="8">
        <v>1806</v>
      </c>
      <c r="M980" s="8">
        <v>1851</v>
      </c>
      <c r="N980" s="8">
        <v>1848</v>
      </c>
      <c r="O980" s="8">
        <v>1851</v>
      </c>
      <c r="P980" s="8">
        <v>1788</v>
      </c>
      <c r="Q980" s="8">
        <v>1792</v>
      </c>
      <c r="R980" s="8">
        <v>1796</v>
      </c>
      <c r="S980" s="8">
        <v>1814</v>
      </c>
      <c r="T980" s="8">
        <v>1817</v>
      </c>
      <c r="U980" s="8">
        <v>1815</v>
      </c>
      <c r="V980" s="8">
        <v>1807</v>
      </c>
      <c r="W980" s="8">
        <v>1804</v>
      </c>
      <c r="X980" s="8">
        <v>1795</v>
      </c>
      <c r="Y980" s="8">
        <v>1757</v>
      </c>
      <c r="Z980" s="8">
        <v>1744</v>
      </c>
      <c r="AA980" s="8">
        <v>1747</v>
      </c>
      <c r="AB980" s="8">
        <v>1746</v>
      </c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</row>
    <row r="981" spans="1:47" ht="14.4">
      <c r="A981" s="3">
        <f>LOOKUP(D981,'AMFI DATA_2023H2'!F:L,'AMFI DATA_2023H2'!L:L)</f>
        <v>1030</v>
      </c>
      <c r="B981" s="4" t="s">
        <v>2942</v>
      </c>
      <c r="C981" s="4" t="s">
        <v>2943</v>
      </c>
      <c r="D981" s="5" t="s">
        <v>2944</v>
      </c>
      <c r="E981" s="5">
        <v>1822.58</v>
      </c>
      <c r="F981" s="6">
        <f>LOOKUP(D981,'AMFI DATA_2023H2'!F:J,'AMFI DATA_2023H2'!J:J)</f>
        <v>1581.9113499999999</v>
      </c>
      <c r="G981" s="7">
        <f t="shared" si="3"/>
        <v>-1</v>
      </c>
      <c r="H981" s="8"/>
      <c r="I981" s="8">
        <v>1553</v>
      </c>
      <c r="J981" s="8">
        <v>1538</v>
      </c>
      <c r="K981" s="8">
        <v>1570</v>
      </c>
      <c r="L981" s="8">
        <v>1583</v>
      </c>
      <c r="M981" s="8">
        <v>1595</v>
      </c>
      <c r="N981" s="8">
        <v>1614</v>
      </c>
      <c r="O981" s="8">
        <v>1641</v>
      </c>
      <c r="P981" s="8">
        <v>1488</v>
      </c>
      <c r="Q981" s="8">
        <v>1493</v>
      </c>
      <c r="R981" s="8">
        <v>1502</v>
      </c>
      <c r="S981" s="8">
        <v>1530</v>
      </c>
      <c r="T981" s="8">
        <v>1524</v>
      </c>
      <c r="U981" s="8">
        <v>1523</v>
      </c>
      <c r="V981" s="8">
        <v>1516</v>
      </c>
      <c r="W981" s="8">
        <v>1520</v>
      </c>
      <c r="X981" s="8">
        <v>1472</v>
      </c>
      <c r="Y981" s="8">
        <v>1475</v>
      </c>
      <c r="Z981" s="8">
        <v>1486</v>
      </c>
      <c r="AA981" s="8">
        <v>1487</v>
      </c>
      <c r="AB981" s="8">
        <v>1473</v>
      </c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</row>
    <row r="982" spans="1:47" ht="14.4">
      <c r="A982" s="3">
        <f>LOOKUP(D982,'AMFI DATA_2023H2'!F:L,'AMFI DATA_2023H2'!L:L)</f>
        <v>1031</v>
      </c>
      <c r="B982" s="4" t="s">
        <v>2945</v>
      </c>
      <c r="C982" s="4" t="s">
        <v>2946</v>
      </c>
      <c r="D982" s="5" t="s">
        <v>2947</v>
      </c>
      <c r="E982" s="5">
        <v>1271.04</v>
      </c>
      <c r="F982" s="6">
        <f>LOOKUP(D982,'AMFI DATA_2023H2'!F:J,'AMFI DATA_2023H2'!J:J)</f>
        <v>1574.78015</v>
      </c>
      <c r="G982" s="7">
        <f t="shared" si="3"/>
        <v>-1</v>
      </c>
      <c r="H982" s="8"/>
      <c r="I982" s="8">
        <v>2579</v>
      </c>
      <c r="J982" s="8">
        <v>2482</v>
      </c>
      <c r="K982" s="8">
        <v>2388</v>
      </c>
      <c r="L982" s="8">
        <v>2414</v>
      </c>
      <c r="M982" s="8">
        <v>2619</v>
      </c>
      <c r="N982" s="8">
        <v>2730</v>
      </c>
      <c r="O982" s="8">
        <v>2649</v>
      </c>
      <c r="P982" s="8">
        <v>2389</v>
      </c>
      <c r="Q982" s="8">
        <v>2285</v>
      </c>
      <c r="R982" s="8">
        <v>2185</v>
      </c>
      <c r="S982" s="8">
        <v>2043</v>
      </c>
      <c r="T982" s="8">
        <v>2029</v>
      </c>
      <c r="U982" s="8">
        <v>2019</v>
      </c>
      <c r="V982" s="8">
        <v>1936</v>
      </c>
      <c r="W982" s="8">
        <v>1792</v>
      </c>
      <c r="X982" s="8">
        <v>1755</v>
      </c>
      <c r="Y982" s="8">
        <v>1749</v>
      </c>
      <c r="Z982" s="8">
        <v>1784</v>
      </c>
      <c r="AA982" s="8">
        <v>1779</v>
      </c>
      <c r="AB982" s="8">
        <v>1724</v>
      </c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</row>
    <row r="983" spans="1:47" ht="14.4">
      <c r="A983" s="3">
        <f>LOOKUP(D983,'AMFI DATA_2023H2'!F:L,'AMFI DATA_2023H2'!L:L)</f>
        <v>1032</v>
      </c>
      <c r="B983" s="4" t="s">
        <v>2948</v>
      </c>
      <c r="C983" s="4" t="s">
        <v>2949</v>
      </c>
      <c r="D983" s="5" t="s">
        <v>2950</v>
      </c>
      <c r="E983" s="5">
        <v>1315.31</v>
      </c>
      <c r="F983" s="6">
        <f>LOOKUP(D983,'AMFI DATA_2023H2'!F:J,'AMFI DATA_2023H2'!J:J)</f>
        <v>1572.8659499999999</v>
      </c>
      <c r="G983" s="7">
        <f t="shared" si="3"/>
        <v>-1</v>
      </c>
      <c r="H983" s="8"/>
      <c r="I983" s="8">
        <v>2168</v>
      </c>
      <c r="J983" s="8">
        <v>2176</v>
      </c>
      <c r="K983" s="8">
        <v>2119</v>
      </c>
      <c r="L983" s="8">
        <v>2133</v>
      </c>
      <c r="M983" s="8">
        <v>2202</v>
      </c>
      <c r="N983" s="8">
        <v>2286</v>
      </c>
      <c r="O983" s="8">
        <v>2289</v>
      </c>
      <c r="P983" s="8">
        <v>2135</v>
      </c>
      <c r="Q983" s="8">
        <v>2062</v>
      </c>
      <c r="R983" s="8">
        <v>2036</v>
      </c>
      <c r="S983" s="8">
        <v>2072</v>
      </c>
      <c r="T983" s="8">
        <v>2111</v>
      </c>
      <c r="U983" s="8">
        <v>2087</v>
      </c>
      <c r="V983" s="8">
        <v>2136</v>
      </c>
      <c r="W983" s="8">
        <v>2141</v>
      </c>
      <c r="X983" s="8">
        <v>2036</v>
      </c>
      <c r="Y983" s="8">
        <v>2034</v>
      </c>
      <c r="Z983" s="8">
        <v>2059</v>
      </c>
      <c r="AA983" s="8">
        <v>2035</v>
      </c>
      <c r="AB983" s="8">
        <v>1974</v>
      </c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</row>
    <row r="984" spans="1:47" ht="14.4">
      <c r="A984" s="3">
        <f>LOOKUP(D984,'AMFI DATA_2023H2'!F:L,'AMFI DATA_2023H2'!L:L)</f>
        <v>1033</v>
      </c>
      <c r="B984" s="4" t="s">
        <v>2951</v>
      </c>
      <c r="C984" s="4" t="s">
        <v>2952</v>
      </c>
      <c r="D984" s="5" t="s">
        <v>2953</v>
      </c>
      <c r="E984" s="5">
        <v>1137.55</v>
      </c>
      <c r="F984" s="6">
        <f>LOOKUP(D984,'AMFI DATA_2023H2'!F:J,'AMFI DATA_2023H2'!J:J)</f>
        <v>1548.8496500000001</v>
      </c>
      <c r="G984" s="7">
        <f t="shared" si="3"/>
        <v>-1</v>
      </c>
      <c r="H984" s="8"/>
      <c r="I984" s="8">
        <v>2173</v>
      </c>
      <c r="J984" s="8">
        <v>2178</v>
      </c>
      <c r="K984" s="8">
        <v>2109</v>
      </c>
      <c r="L984" s="8">
        <v>2146</v>
      </c>
      <c r="M984" s="8">
        <v>2246</v>
      </c>
      <c r="N984" s="8">
        <v>2279</v>
      </c>
      <c r="O984" s="8">
        <v>2257</v>
      </c>
      <c r="P984" s="8">
        <v>2247</v>
      </c>
      <c r="Q984" s="8">
        <v>2263</v>
      </c>
      <c r="R984" s="8">
        <v>2223</v>
      </c>
      <c r="S984" s="8">
        <v>2225</v>
      </c>
      <c r="T984" s="8">
        <v>2256</v>
      </c>
      <c r="U984" s="8">
        <v>2221</v>
      </c>
      <c r="V984" s="8">
        <v>2079</v>
      </c>
      <c r="W984" s="8">
        <v>2111</v>
      </c>
      <c r="X984" s="8">
        <v>2066</v>
      </c>
      <c r="Y984" s="8">
        <v>2100</v>
      </c>
      <c r="Z984" s="8">
        <v>2027</v>
      </c>
      <c r="AA984" s="8">
        <v>2051</v>
      </c>
      <c r="AB984" s="8">
        <v>2024</v>
      </c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</row>
    <row r="985" spans="1:47" ht="14.4">
      <c r="A985" s="3">
        <f>LOOKUP(D985,'AMFI DATA_2023H2'!F:L,'AMFI DATA_2023H2'!L:L)</f>
        <v>1034</v>
      </c>
      <c r="B985" s="4" t="s">
        <v>2954</v>
      </c>
      <c r="C985" s="4" t="s">
        <v>2955</v>
      </c>
      <c r="D985" s="5" t="s">
        <v>2956</v>
      </c>
      <c r="E985" s="5">
        <v>1237.1099999999999</v>
      </c>
      <c r="F985" s="6">
        <f>LOOKUP(D985,'AMFI DATA_2023H2'!F:J,'AMFI DATA_2023H2'!J:J)</f>
        <v>1545.02755</v>
      </c>
      <c r="G985" s="7">
        <f t="shared" si="3"/>
        <v>-1</v>
      </c>
      <c r="H985" s="8"/>
      <c r="I985" s="8">
        <v>1709</v>
      </c>
      <c r="J985" s="8">
        <v>1648</v>
      </c>
      <c r="K985" s="8">
        <v>1658</v>
      </c>
      <c r="L985" s="8">
        <v>1714</v>
      </c>
      <c r="M985" s="8">
        <v>1729</v>
      </c>
      <c r="N985" s="8">
        <v>1632</v>
      </c>
      <c r="O985" s="8">
        <v>1647</v>
      </c>
      <c r="P985" s="8">
        <v>1619</v>
      </c>
      <c r="Q985" s="8">
        <v>1614</v>
      </c>
      <c r="R985" s="8">
        <v>1636</v>
      </c>
      <c r="S985" s="8">
        <v>1675</v>
      </c>
      <c r="T985" s="8">
        <v>1702</v>
      </c>
      <c r="U985" s="8">
        <v>1639</v>
      </c>
      <c r="V985" s="8">
        <v>1618</v>
      </c>
      <c r="W985" s="8">
        <v>1658</v>
      </c>
      <c r="X985" s="8">
        <v>1593</v>
      </c>
      <c r="Y985" s="8">
        <v>1586</v>
      </c>
      <c r="Z985" s="8">
        <v>1585</v>
      </c>
      <c r="AA985" s="8">
        <v>1592</v>
      </c>
      <c r="AB985" s="8">
        <v>1573</v>
      </c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</row>
    <row r="986" spans="1:47" ht="14.4">
      <c r="A986" s="3">
        <f>LOOKUP(D986,'AMFI DATA_2023H2'!F:L,'AMFI DATA_2023H2'!L:L)</f>
        <v>1035</v>
      </c>
      <c r="B986" s="4" t="s">
        <v>2957</v>
      </c>
      <c r="C986" s="4" t="s">
        <v>2958</v>
      </c>
      <c r="D986" s="5" t="s">
        <v>2959</v>
      </c>
      <c r="E986" s="5">
        <v>1386.39</v>
      </c>
      <c r="F986" s="6">
        <f>LOOKUP(D986,'AMFI DATA_2023H2'!F:J,'AMFI DATA_2023H2'!J:J)</f>
        <v>1541.60925</v>
      </c>
      <c r="G986" s="7">
        <f t="shared" si="3"/>
        <v>-1</v>
      </c>
      <c r="H986" s="8"/>
      <c r="I986" s="8">
        <v>1866</v>
      </c>
      <c r="J986" s="8">
        <v>1774</v>
      </c>
      <c r="K986" s="8">
        <v>1778</v>
      </c>
      <c r="L986" s="8">
        <v>1848</v>
      </c>
      <c r="M986" s="8">
        <v>1849</v>
      </c>
      <c r="N986" s="8">
        <v>1892</v>
      </c>
      <c r="O986" s="8">
        <v>1932</v>
      </c>
      <c r="P986" s="8">
        <v>1917</v>
      </c>
      <c r="Q986" s="8">
        <v>1852</v>
      </c>
      <c r="R986" s="8">
        <v>1688</v>
      </c>
      <c r="S986" s="8">
        <v>1684</v>
      </c>
      <c r="T986" s="8">
        <v>1688</v>
      </c>
      <c r="U986" s="8">
        <v>1699</v>
      </c>
      <c r="V986" s="8">
        <v>1704</v>
      </c>
      <c r="W986" s="8">
        <v>1680</v>
      </c>
      <c r="X986" s="8">
        <v>1685</v>
      </c>
      <c r="Y986" s="8">
        <v>1685</v>
      </c>
      <c r="Z986" s="8">
        <v>1703</v>
      </c>
      <c r="AA986" s="8">
        <v>1707</v>
      </c>
      <c r="AB986" s="8">
        <v>1619</v>
      </c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</row>
    <row r="987" spans="1:47" ht="14.4">
      <c r="A987" s="3">
        <f>LOOKUP(D987,'AMFI DATA_2023H2'!F:L,'AMFI DATA_2023H2'!L:L)</f>
        <v>1036</v>
      </c>
      <c r="B987" s="4" t="s">
        <v>2960</v>
      </c>
      <c r="C987" s="4" t="s">
        <v>2961</v>
      </c>
      <c r="D987" s="5" t="s">
        <v>2962</v>
      </c>
      <c r="E987" s="5">
        <v>1022.28</v>
      </c>
      <c r="F987" s="6">
        <f>LOOKUP(D987,'AMFI DATA_2023H2'!F:J,'AMFI DATA_2023H2'!J:J)</f>
        <v>1540.7239</v>
      </c>
      <c r="G987" s="7">
        <f t="shared" si="3"/>
        <v>-1</v>
      </c>
      <c r="H987" s="8"/>
      <c r="I987" s="8">
        <v>1428</v>
      </c>
      <c r="J987" s="8">
        <v>1447</v>
      </c>
      <c r="K987" s="8">
        <v>1419</v>
      </c>
      <c r="L987" s="8">
        <v>1436</v>
      </c>
      <c r="M987" s="8">
        <v>1425</v>
      </c>
      <c r="N987" s="8">
        <v>1439</v>
      </c>
      <c r="O987" s="8">
        <v>1444</v>
      </c>
      <c r="P987" s="8">
        <v>1460</v>
      </c>
      <c r="Q987" s="8">
        <v>1486</v>
      </c>
      <c r="R987" s="8">
        <v>1485</v>
      </c>
      <c r="S987" s="8">
        <v>1532</v>
      </c>
      <c r="T987" s="8">
        <v>1545</v>
      </c>
      <c r="U987" s="8">
        <v>1562</v>
      </c>
      <c r="V987" s="8">
        <v>1582</v>
      </c>
      <c r="W987" s="8">
        <v>1577</v>
      </c>
      <c r="X987" s="8">
        <v>1541</v>
      </c>
      <c r="Y987" s="8">
        <v>1494</v>
      </c>
      <c r="Z987" s="8">
        <v>1501</v>
      </c>
      <c r="AA987" s="8">
        <v>1502</v>
      </c>
      <c r="AB987" s="8">
        <v>1520</v>
      </c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</row>
    <row r="988" spans="1:47" ht="14.4">
      <c r="A988" s="3">
        <f>LOOKUP(D988,'AMFI DATA_2023H2'!F:L,'AMFI DATA_2023H2'!L:L)</f>
        <v>1038</v>
      </c>
      <c r="B988" s="4" t="s">
        <v>2963</v>
      </c>
      <c r="C988" s="4" t="s">
        <v>2964</v>
      </c>
      <c r="D988" s="5" t="s">
        <v>2965</v>
      </c>
      <c r="E988" s="5">
        <v>1521.29</v>
      </c>
      <c r="F988" s="6">
        <f>LOOKUP(D988,'AMFI DATA_2023H2'!F:J,'AMFI DATA_2023H2'!J:J)</f>
        <v>1536.0399</v>
      </c>
      <c r="G988" s="7">
        <f t="shared" si="3"/>
        <v>-1</v>
      </c>
      <c r="H988" s="8"/>
      <c r="I988" s="8">
        <v>1871</v>
      </c>
      <c r="J988" s="8">
        <v>1887</v>
      </c>
      <c r="K988" s="8">
        <v>1927</v>
      </c>
      <c r="L988" s="8">
        <v>1906</v>
      </c>
      <c r="M988" s="8">
        <v>1899</v>
      </c>
      <c r="N988" s="8">
        <v>1923</v>
      </c>
      <c r="O988" s="8">
        <v>1907</v>
      </c>
      <c r="P988" s="8">
        <v>0</v>
      </c>
      <c r="Q988" s="8">
        <v>1908</v>
      </c>
      <c r="R988" s="8">
        <v>1909</v>
      </c>
      <c r="S988" s="8">
        <v>1986</v>
      </c>
      <c r="T988" s="8">
        <v>2051</v>
      </c>
      <c r="U988" s="8">
        <v>1924</v>
      </c>
      <c r="V988" s="8">
        <v>1970</v>
      </c>
      <c r="W988" s="8">
        <v>2000</v>
      </c>
      <c r="X988" s="8">
        <v>2006</v>
      </c>
      <c r="Y988" s="8">
        <v>2069</v>
      </c>
      <c r="Z988" s="8">
        <v>2029</v>
      </c>
      <c r="AA988" s="8">
        <v>2071</v>
      </c>
      <c r="AB988" s="8">
        <v>2048</v>
      </c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</row>
    <row r="989" spans="1:47" ht="14.4">
      <c r="A989" s="3">
        <f>LOOKUP(D989,'AMFI DATA_2023H2'!F:L,'AMFI DATA_2023H2'!L:L)</f>
        <v>1039</v>
      </c>
      <c r="B989" s="4" t="s">
        <v>2966</v>
      </c>
      <c r="C989" s="4" t="s">
        <v>2967</v>
      </c>
      <c r="D989" s="5" t="s">
        <v>2968</v>
      </c>
      <c r="E989" s="5">
        <v>1180.1300000000001</v>
      </c>
      <c r="F989" s="6">
        <f>LOOKUP(D989,'AMFI DATA_2023H2'!F:J,'AMFI DATA_2023H2'!J:J)</f>
        <v>1520.7056</v>
      </c>
      <c r="G989" s="7">
        <f t="shared" si="3"/>
        <v>-1</v>
      </c>
      <c r="H989" s="8"/>
      <c r="I989" s="8">
        <v>1503</v>
      </c>
      <c r="J989" s="8">
        <v>1462</v>
      </c>
      <c r="K989" s="8">
        <v>1459</v>
      </c>
      <c r="L989" s="8">
        <v>1462</v>
      </c>
      <c r="M989" s="8">
        <v>1469</v>
      </c>
      <c r="N989" s="8">
        <v>1472</v>
      </c>
      <c r="O989" s="8">
        <v>1469</v>
      </c>
      <c r="P989" s="8">
        <v>1492</v>
      </c>
      <c r="Q989" s="8">
        <v>1509</v>
      </c>
      <c r="R989" s="8">
        <v>1501</v>
      </c>
      <c r="S989" s="8">
        <v>1530</v>
      </c>
      <c r="T989" s="8">
        <v>1536</v>
      </c>
      <c r="U989" s="8">
        <v>1530</v>
      </c>
      <c r="V989" s="8">
        <v>1519</v>
      </c>
      <c r="W989" s="8">
        <v>1528</v>
      </c>
      <c r="X989" s="8">
        <v>1535</v>
      </c>
      <c r="Y989" s="8">
        <v>1555</v>
      </c>
      <c r="Z989" s="8">
        <v>1566</v>
      </c>
      <c r="AA989" s="8">
        <v>1533</v>
      </c>
      <c r="AB989" s="8">
        <v>1571</v>
      </c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</row>
    <row r="990" spans="1:47" ht="14.4">
      <c r="A990" s="3">
        <f>LOOKUP(D990,'AMFI DATA_2023H2'!F:L,'AMFI DATA_2023H2'!L:L)</f>
        <v>1040</v>
      </c>
      <c r="B990" s="4" t="s">
        <v>2969</v>
      </c>
      <c r="C990" s="4" t="s">
        <v>2970</v>
      </c>
      <c r="D990" s="5" t="s">
        <v>2971</v>
      </c>
      <c r="E990" s="5">
        <v>1616.05</v>
      </c>
      <c r="F990" s="6">
        <f>LOOKUP(D990,'AMFI DATA_2023H2'!F:J,'AMFI DATA_2023H2'!J:J)</f>
        <v>1519.0830000000001</v>
      </c>
      <c r="G990" s="7">
        <f t="shared" si="3"/>
        <v>-1</v>
      </c>
      <c r="H990" s="8"/>
      <c r="I990" s="8">
        <v>1544</v>
      </c>
      <c r="J990" s="8">
        <v>1486</v>
      </c>
      <c r="K990" s="8">
        <v>1494</v>
      </c>
      <c r="L990" s="8">
        <v>1523</v>
      </c>
      <c r="M990" s="8">
        <v>1559</v>
      </c>
      <c r="N990" s="8">
        <v>1562</v>
      </c>
      <c r="O990" s="8">
        <v>1551</v>
      </c>
      <c r="P990" s="8">
        <v>1510</v>
      </c>
      <c r="Q990" s="8">
        <v>1515</v>
      </c>
      <c r="R990" s="8">
        <v>1508</v>
      </c>
      <c r="S990" s="8">
        <v>1502</v>
      </c>
      <c r="T990" s="8">
        <v>1513</v>
      </c>
      <c r="U990" s="8">
        <v>1519</v>
      </c>
      <c r="V990" s="8">
        <v>1518</v>
      </c>
      <c r="W990" s="8">
        <v>1506</v>
      </c>
      <c r="X990" s="8">
        <v>1509</v>
      </c>
      <c r="Y990" s="8">
        <v>1501</v>
      </c>
      <c r="Z990" s="8">
        <v>1499</v>
      </c>
      <c r="AA990" s="8">
        <v>1472</v>
      </c>
      <c r="AB990" s="8">
        <v>1477</v>
      </c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</row>
    <row r="991" spans="1:47" ht="14.4">
      <c r="A991" s="3">
        <f>LOOKUP(D991,'AMFI DATA_2023H2'!F:L,'AMFI DATA_2023H2'!L:L)</f>
        <v>1041</v>
      </c>
      <c r="B991" s="4" t="s">
        <v>2972</v>
      </c>
      <c r="C991" s="4" t="s">
        <v>2973</v>
      </c>
      <c r="D991" s="5" t="s">
        <v>2974</v>
      </c>
      <c r="E991" s="5">
        <v>1241.1199999999999</v>
      </c>
      <c r="F991" s="6">
        <f>LOOKUP(D991,'AMFI DATA_2023H2'!F:J,'AMFI DATA_2023H2'!J:J)</f>
        <v>1518.2498000000001</v>
      </c>
      <c r="G991" s="7">
        <f t="shared" si="3"/>
        <v>-1</v>
      </c>
      <c r="H991" s="8"/>
      <c r="I991" s="8">
        <v>2006</v>
      </c>
      <c r="J991" s="8">
        <v>1976</v>
      </c>
      <c r="K991" s="8">
        <v>1955</v>
      </c>
      <c r="L991" s="8">
        <v>2013</v>
      </c>
      <c r="M991" s="8">
        <v>1979</v>
      </c>
      <c r="N991" s="8">
        <v>1987</v>
      </c>
      <c r="O991" s="8">
        <v>2018</v>
      </c>
      <c r="P991" s="8">
        <v>2074</v>
      </c>
      <c r="Q991" s="8">
        <v>2076</v>
      </c>
      <c r="R991" s="8">
        <v>2046</v>
      </c>
      <c r="S991" s="8">
        <v>1988</v>
      </c>
      <c r="T991" s="8">
        <v>1986</v>
      </c>
      <c r="U991" s="8">
        <v>2017</v>
      </c>
      <c r="V991" s="8">
        <v>2010</v>
      </c>
      <c r="W991" s="8">
        <v>2030</v>
      </c>
      <c r="X991" s="8">
        <v>1959</v>
      </c>
      <c r="Y991" s="8">
        <v>1904</v>
      </c>
      <c r="Z991" s="8">
        <v>1926</v>
      </c>
      <c r="AA991" s="8">
        <v>2017</v>
      </c>
      <c r="AB991" s="8">
        <v>1680</v>
      </c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</row>
    <row r="992" spans="1:47" ht="14.4">
      <c r="A992" s="3">
        <f>LOOKUP(D992,'AMFI DATA_2023H2'!F:L,'AMFI DATA_2023H2'!L:L)</f>
        <v>1043</v>
      </c>
      <c r="B992" s="4" t="s">
        <v>2975</v>
      </c>
      <c r="C992" s="4" t="s">
        <v>2976</v>
      </c>
      <c r="D992" s="5" t="s">
        <v>2977</v>
      </c>
      <c r="E992" s="5">
        <v>816.3</v>
      </c>
      <c r="F992" s="6">
        <f>LOOKUP(D992,'AMFI DATA_2023H2'!F:J,'AMFI DATA_2023H2'!J:J)</f>
        <v>1509.1905000000002</v>
      </c>
      <c r="G992" s="7">
        <f t="shared" si="3"/>
        <v>-1</v>
      </c>
      <c r="H992" s="8"/>
      <c r="I992" s="8">
        <v>1922</v>
      </c>
      <c r="J992" s="8">
        <v>1947</v>
      </c>
      <c r="K992" s="8">
        <v>2046</v>
      </c>
      <c r="L992" s="8">
        <v>2055</v>
      </c>
      <c r="M992" s="8">
        <v>2064</v>
      </c>
      <c r="N992" s="8">
        <v>2089</v>
      </c>
      <c r="O992" s="8">
        <v>2128</v>
      </c>
      <c r="P992" s="8">
        <v>2136</v>
      </c>
      <c r="Q992" s="8">
        <v>2127</v>
      </c>
      <c r="R992" s="8">
        <v>2020</v>
      </c>
      <c r="S992" s="8">
        <v>2064</v>
      </c>
      <c r="T992" s="8">
        <v>2077</v>
      </c>
      <c r="U992" s="8">
        <v>2067</v>
      </c>
      <c r="V992" s="8">
        <v>2112</v>
      </c>
      <c r="W992" s="8">
        <v>2145</v>
      </c>
      <c r="X992" s="8">
        <v>2172</v>
      </c>
      <c r="Y992" s="8">
        <v>2202</v>
      </c>
      <c r="Z992" s="8">
        <v>2110</v>
      </c>
      <c r="AA992" s="8">
        <v>2182</v>
      </c>
      <c r="AB992" s="8">
        <v>2267</v>
      </c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</row>
    <row r="993" spans="1:47" ht="14.4">
      <c r="A993" s="3">
        <f>LOOKUP(D993,'AMFI DATA_2023H2'!F:L,'AMFI DATA_2023H2'!L:L)</f>
        <v>1044</v>
      </c>
      <c r="B993" s="4" t="s">
        <v>2978</v>
      </c>
      <c r="C993" s="4" t="s">
        <v>2979</v>
      </c>
      <c r="D993" s="5" t="s">
        <v>2980</v>
      </c>
      <c r="E993" s="5">
        <v>1679.45</v>
      </c>
      <c r="F993" s="6">
        <f>LOOKUP(D993,'AMFI DATA_2023H2'!F:J,'AMFI DATA_2023H2'!J:J)</f>
        <v>1506.1596</v>
      </c>
      <c r="G993" s="7">
        <f t="shared" si="3"/>
        <v>-1</v>
      </c>
      <c r="H993" s="8"/>
      <c r="I993" s="8">
        <v>1471</v>
      </c>
      <c r="J993" s="8">
        <v>1489</v>
      </c>
      <c r="K993" s="8">
        <v>1470</v>
      </c>
      <c r="L993" s="8">
        <v>1476</v>
      </c>
      <c r="M993" s="8">
        <v>1484</v>
      </c>
      <c r="N993" s="8">
        <v>1506</v>
      </c>
      <c r="O993" s="8">
        <v>1466</v>
      </c>
      <c r="P993" s="8">
        <v>1469</v>
      </c>
      <c r="Q993" s="8">
        <v>1479</v>
      </c>
      <c r="R993" s="8">
        <v>1472</v>
      </c>
      <c r="S993" s="8">
        <v>1493</v>
      </c>
      <c r="T993" s="8">
        <v>1481</v>
      </c>
      <c r="U993" s="8">
        <v>1480</v>
      </c>
      <c r="V993" s="8">
        <v>1488</v>
      </c>
      <c r="W993" s="8">
        <v>1471</v>
      </c>
      <c r="X993" s="8">
        <v>1489</v>
      </c>
      <c r="Y993" s="8">
        <v>1496</v>
      </c>
      <c r="Z993" s="8">
        <v>1513</v>
      </c>
      <c r="AA993" s="8">
        <v>1544</v>
      </c>
      <c r="AB993" s="8">
        <v>1458</v>
      </c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</row>
    <row r="994" spans="1:47" ht="14.4">
      <c r="A994" s="3">
        <f>LOOKUP(D994,'AMFI DATA_2023H2'!F:L,'AMFI DATA_2023H2'!L:L)</f>
        <v>1045</v>
      </c>
      <c r="B994" s="4" t="s">
        <v>2981</v>
      </c>
      <c r="C994" s="4" t="s">
        <v>2982</v>
      </c>
      <c r="D994" s="5" t="s">
        <v>2983</v>
      </c>
      <c r="E994" s="5">
        <v>775.12</v>
      </c>
      <c r="F994" s="6">
        <f>LOOKUP(D994,'AMFI DATA_2023H2'!F:J,'AMFI DATA_2023H2'!J:J)</f>
        <v>1505.0758000000001</v>
      </c>
      <c r="G994" s="7">
        <f t="shared" si="3"/>
        <v>-1</v>
      </c>
      <c r="H994" s="8"/>
      <c r="I994" s="8">
        <v>1593</v>
      </c>
      <c r="J994" s="8">
        <v>1574</v>
      </c>
      <c r="K994" s="8">
        <v>1604</v>
      </c>
      <c r="L994" s="8">
        <v>1627</v>
      </c>
      <c r="M994" s="8">
        <v>1633</v>
      </c>
      <c r="N994" s="8">
        <v>1651</v>
      </c>
      <c r="O994" s="8">
        <v>1665</v>
      </c>
      <c r="P994" s="8">
        <v>1631</v>
      </c>
      <c r="Q994" s="8">
        <v>1613</v>
      </c>
      <c r="R994" s="8">
        <v>1654</v>
      </c>
      <c r="S994" s="8">
        <v>1683</v>
      </c>
      <c r="T994" s="8">
        <v>1673</v>
      </c>
      <c r="U994" s="8">
        <v>1687</v>
      </c>
      <c r="V994" s="8">
        <v>1706</v>
      </c>
      <c r="W994" s="8">
        <v>1636</v>
      </c>
      <c r="X994" s="8">
        <v>1586</v>
      </c>
      <c r="Y994" s="8">
        <v>1586</v>
      </c>
      <c r="Z994" s="8">
        <v>1623</v>
      </c>
      <c r="AA994" s="8">
        <v>1643</v>
      </c>
      <c r="AB994" s="8">
        <v>1646</v>
      </c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</row>
    <row r="995" spans="1:47" ht="14.4">
      <c r="A995" s="3">
        <f>LOOKUP(D995,'AMFI DATA_2023H2'!F:L,'AMFI DATA_2023H2'!L:L)</f>
        <v>1046</v>
      </c>
      <c r="B995" s="4" t="s">
        <v>2984</v>
      </c>
      <c r="C995" s="4" t="s">
        <v>2985</v>
      </c>
      <c r="D995" s="5" t="s">
        <v>2986</v>
      </c>
      <c r="E995" s="5">
        <v>1549.05</v>
      </c>
      <c r="F995" s="6">
        <f>LOOKUP(D995,'AMFI DATA_2023H2'!F:J,'AMFI DATA_2023H2'!J:J)</f>
        <v>1504.6006</v>
      </c>
      <c r="G995" s="7">
        <f t="shared" si="3"/>
        <v>-1</v>
      </c>
      <c r="H995" s="8"/>
      <c r="I995" s="8">
        <v>1826</v>
      </c>
      <c r="J995" s="8">
        <v>1801</v>
      </c>
      <c r="K995" s="8">
        <v>1837</v>
      </c>
      <c r="L995" s="8">
        <v>1841</v>
      </c>
      <c r="M995" s="8">
        <v>1833</v>
      </c>
      <c r="N995" s="8">
        <v>1876</v>
      </c>
      <c r="O995" s="8">
        <v>1920</v>
      </c>
      <c r="P995" s="8">
        <v>1909</v>
      </c>
      <c r="Q995" s="8">
        <v>1994</v>
      </c>
      <c r="R995" s="8">
        <v>1981</v>
      </c>
      <c r="S995" s="8">
        <v>1989</v>
      </c>
      <c r="T995" s="8">
        <v>2038</v>
      </c>
      <c r="U995" s="8">
        <v>1891</v>
      </c>
      <c r="V995" s="8">
        <v>1862</v>
      </c>
      <c r="W995" s="8">
        <v>1862</v>
      </c>
      <c r="X995" s="8">
        <v>1857</v>
      </c>
      <c r="Y995" s="8">
        <v>1861</v>
      </c>
      <c r="Z995" s="8">
        <v>1887</v>
      </c>
      <c r="AA995" s="8">
        <v>1914</v>
      </c>
      <c r="AB995" s="8">
        <v>1941</v>
      </c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</row>
    <row r="996" spans="1:47" ht="14.4">
      <c r="A996" s="3">
        <f>LOOKUP(D996,'AMFI DATA_2023H2'!F:L,'AMFI DATA_2023H2'!L:L)</f>
        <v>1047</v>
      </c>
      <c r="B996" s="4" t="s">
        <v>2987</v>
      </c>
      <c r="C996" s="4" t="s">
        <v>2988</v>
      </c>
      <c r="D996" s="5" t="s">
        <v>2989</v>
      </c>
      <c r="E996" s="5">
        <v>1483.51</v>
      </c>
      <c r="F996" s="6">
        <f>LOOKUP(D996,'AMFI DATA_2023H2'!F:J,'AMFI DATA_2023H2'!J:J)</f>
        <v>1503.6976999999999</v>
      </c>
      <c r="G996" s="7">
        <f t="shared" si="3"/>
        <v>-1</v>
      </c>
      <c r="H996" s="8"/>
      <c r="I996" s="8">
        <v>1621</v>
      </c>
      <c r="J996" s="8">
        <v>1633</v>
      </c>
      <c r="K996" s="8">
        <v>1616</v>
      </c>
      <c r="L996" s="8">
        <v>1675</v>
      </c>
      <c r="M996" s="8">
        <v>1693</v>
      </c>
      <c r="N996" s="8">
        <v>1729</v>
      </c>
      <c r="O996" s="8">
        <v>1746</v>
      </c>
      <c r="P996" s="8">
        <v>1657</v>
      </c>
      <c r="Q996" s="8">
        <v>1641</v>
      </c>
      <c r="R996" s="8">
        <v>1658</v>
      </c>
      <c r="S996" s="8">
        <v>1653</v>
      </c>
      <c r="T996" s="8">
        <v>1672</v>
      </c>
      <c r="U996" s="8">
        <v>1678</v>
      </c>
      <c r="V996" s="8">
        <v>1727</v>
      </c>
      <c r="W996" s="8">
        <v>1656</v>
      </c>
      <c r="X996" s="8">
        <v>1631</v>
      </c>
      <c r="Y996" s="8">
        <v>1623</v>
      </c>
      <c r="Z996" s="8">
        <v>1602</v>
      </c>
      <c r="AA996" s="8">
        <v>1589</v>
      </c>
      <c r="AB996" s="8">
        <v>1508</v>
      </c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</row>
    <row r="997" spans="1:47" ht="14.4">
      <c r="A997" s="3">
        <f>LOOKUP(D997,'AMFI DATA_2023H2'!F:L,'AMFI DATA_2023H2'!L:L)</f>
        <v>1048</v>
      </c>
      <c r="B997" s="4" t="s">
        <v>2990</v>
      </c>
      <c r="C997" s="4" t="s">
        <v>2991</v>
      </c>
      <c r="D997" s="5" t="s">
        <v>2992</v>
      </c>
      <c r="E997" s="5">
        <v>1089.22</v>
      </c>
      <c r="F997" s="6">
        <f>LOOKUP(D997,'AMFI DATA_2023H2'!F:J,'AMFI DATA_2023H2'!J:J)</f>
        <v>1496.3389999999999</v>
      </c>
      <c r="G997" s="7">
        <f t="shared" si="3"/>
        <v>-1</v>
      </c>
      <c r="H997" s="8"/>
      <c r="I997" s="8">
        <v>1455</v>
      </c>
      <c r="J997" s="8">
        <v>1452</v>
      </c>
      <c r="K997" s="8">
        <v>1481</v>
      </c>
      <c r="L997" s="8">
        <v>1488</v>
      </c>
      <c r="M997" s="8">
        <v>1531</v>
      </c>
      <c r="N997" s="8">
        <v>1529</v>
      </c>
      <c r="O997" s="8">
        <v>1487</v>
      </c>
      <c r="P997" s="8">
        <v>1473</v>
      </c>
      <c r="Q997" s="8">
        <v>1488</v>
      </c>
      <c r="R997" s="8">
        <v>1499</v>
      </c>
      <c r="S997" s="8">
        <v>1520</v>
      </c>
      <c r="T997" s="8">
        <v>1536</v>
      </c>
      <c r="U997" s="8">
        <v>1557</v>
      </c>
      <c r="V997" s="8">
        <v>1501</v>
      </c>
      <c r="W997" s="8">
        <v>1489</v>
      </c>
      <c r="X997" s="8">
        <v>1496</v>
      </c>
      <c r="Y997" s="8">
        <v>1501</v>
      </c>
      <c r="Z997" s="8">
        <v>1516</v>
      </c>
      <c r="AA997" s="8">
        <v>1520</v>
      </c>
      <c r="AB997" s="8">
        <v>1494</v>
      </c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</row>
    <row r="998" spans="1:47" ht="14.4">
      <c r="A998" s="3">
        <f>LOOKUP(D998,'AMFI DATA_2023H2'!F:L,'AMFI DATA_2023H2'!L:L)</f>
        <v>1049</v>
      </c>
      <c r="B998" s="4" t="s">
        <v>2993</v>
      </c>
      <c r="C998" s="4" t="s">
        <v>2994</v>
      </c>
      <c r="D998" s="5" t="s">
        <v>2995</v>
      </c>
      <c r="E998" s="5">
        <v>1311.52</v>
      </c>
      <c r="F998" s="6">
        <f>LOOKUP(D998,'AMFI DATA_2023H2'!F:J,'AMFI DATA_2023H2'!J:J)</f>
        <v>1492.5020500000001</v>
      </c>
      <c r="G998" s="7">
        <f t="shared" si="3"/>
        <v>-1</v>
      </c>
      <c r="H998" s="8"/>
      <c r="I998" s="8">
        <v>1568</v>
      </c>
      <c r="J998" s="8">
        <v>1524</v>
      </c>
      <c r="K998" s="8">
        <v>1521</v>
      </c>
      <c r="L998" s="8">
        <v>1553</v>
      </c>
      <c r="M998" s="8">
        <v>1576</v>
      </c>
      <c r="N998" s="8">
        <v>1521</v>
      </c>
      <c r="O998" s="8">
        <v>1523</v>
      </c>
      <c r="P998" s="8">
        <v>1518</v>
      </c>
      <c r="Q998" s="8">
        <v>1527</v>
      </c>
      <c r="R998" s="8">
        <v>1491</v>
      </c>
      <c r="S998" s="8">
        <v>1524</v>
      </c>
      <c r="T998" s="8">
        <v>1530</v>
      </c>
      <c r="U998" s="8">
        <v>1523</v>
      </c>
      <c r="V998" s="8">
        <v>1499</v>
      </c>
      <c r="W998" s="8">
        <v>1445</v>
      </c>
      <c r="X998" s="8">
        <v>1431</v>
      </c>
      <c r="Y998" s="8">
        <v>1429</v>
      </c>
      <c r="Z998" s="8">
        <v>1431</v>
      </c>
      <c r="AA998" s="8">
        <v>1432</v>
      </c>
      <c r="AB998" s="8">
        <v>1421</v>
      </c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</row>
    <row r="999" spans="1:47" ht="14.4">
      <c r="A999" s="3">
        <f>LOOKUP(D999,'AMFI DATA_2023H2'!F:L,'AMFI DATA_2023H2'!L:L)</f>
        <v>1051</v>
      </c>
      <c r="B999" s="4" t="s">
        <v>2996</v>
      </c>
      <c r="C999" s="4" t="s">
        <v>2997</v>
      </c>
      <c r="D999" s="5" t="s">
        <v>2998</v>
      </c>
      <c r="E999" s="5">
        <v>42091.62</v>
      </c>
      <c r="F999" s="6">
        <f>LOOKUP(D999,'AMFI DATA_2023H2'!F:J,'AMFI DATA_2023H2'!J:J)</f>
        <v>1490.3137999999999</v>
      </c>
      <c r="G999" s="7">
        <f t="shared" si="3"/>
        <v>-1</v>
      </c>
      <c r="H999" s="8"/>
      <c r="I999" s="8">
        <v>1568</v>
      </c>
      <c r="J999" s="8">
        <v>1567</v>
      </c>
      <c r="K999" s="8">
        <v>1541</v>
      </c>
      <c r="L999" s="8">
        <v>1581</v>
      </c>
      <c r="M999" s="8">
        <v>1615</v>
      </c>
      <c r="N999" s="8">
        <v>1639</v>
      </c>
      <c r="O999" s="8">
        <v>1669</v>
      </c>
      <c r="P999" s="8">
        <v>1666</v>
      </c>
      <c r="Q999" s="8">
        <v>1584</v>
      </c>
      <c r="R999" s="8">
        <v>1590</v>
      </c>
      <c r="S999" s="8">
        <v>1617</v>
      </c>
      <c r="T999" s="8">
        <v>1583</v>
      </c>
      <c r="U999" s="8">
        <v>1578</v>
      </c>
      <c r="V999" s="8">
        <v>1563</v>
      </c>
      <c r="W999" s="8">
        <v>1556</v>
      </c>
      <c r="X999" s="8">
        <v>1556</v>
      </c>
      <c r="Y999" s="8">
        <v>1586</v>
      </c>
      <c r="Z999" s="8">
        <v>1634</v>
      </c>
      <c r="AA999" s="8">
        <v>1635</v>
      </c>
      <c r="AB999" s="8">
        <v>1606</v>
      </c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</row>
    <row r="1000" spans="1:47" ht="14.4">
      <c r="A1000" s="3">
        <f>LOOKUP(D1000,'AMFI DATA_2023H2'!F:L,'AMFI DATA_2023H2'!L:L)</f>
        <v>1052</v>
      </c>
      <c r="B1000" s="4" t="s">
        <v>2999</v>
      </c>
      <c r="C1000" s="4" t="s">
        <v>3000</v>
      </c>
      <c r="D1000" s="5" t="s">
        <v>3001</v>
      </c>
      <c r="E1000" s="5">
        <v>709.52</v>
      </c>
      <c r="F1000" s="6">
        <f>LOOKUP(D1000,'AMFI DATA_2023H2'!F:J,'AMFI DATA_2023H2'!J:J)</f>
        <v>1483.1144999999999</v>
      </c>
      <c r="G1000" s="7">
        <f t="shared" si="3"/>
        <v>-1</v>
      </c>
      <c r="H1000" s="8"/>
      <c r="I1000" s="8">
        <v>2253</v>
      </c>
      <c r="J1000" s="8">
        <v>2241</v>
      </c>
      <c r="K1000" s="8">
        <v>2234</v>
      </c>
      <c r="L1000" s="8">
        <v>2245</v>
      </c>
      <c r="M1000" s="8">
        <v>2300</v>
      </c>
      <c r="N1000" s="8">
        <v>2334</v>
      </c>
      <c r="O1000" s="8">
        <v>2347</v>
      </c>
      <c r="P1000" s="8">
        <v>2379</v>
      </c>
      <c r="Q1000" s="8">
        <v>2444</v>
      </c>
      <c r="R1000" s="8">
        <v>2362</v>
      </c>
      <c r="S1000" s="8">
        <v>2303</v>
      </c>
      <c r="T1000" s="8">
        <v>2290</v>
      </c>
      <c r="U1000" s="8">
        <v>2183</v>
      </c>
      <c r="V1000" s="8">
        <v>2212</v>
      </c>
      <c r="W1000" s="8">
        <v>2242</v>
      </c>
      <c r="X1000" s="8">
        <v>2139</v>
      </c>
      <c r="Y1000" s="8">
        <v>2103</v>
      </c>
      <c r="Z1000" s="8">
        <v>2132</v>
      </c>
      <c r="AA1000" s="8">
        <v>2153</v>
      </c>
      <c r="AB1000" s="8">
        <v>2192</v>
      </c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</row>
    <row r="1001" spans="1:47" ht="14.4">
      <c r="A1001" s="3">
        <f>LOOKUP(D1001,'AMFI DATA_2023H2'!F:L,'AMFI DATA_2023H2'!L:L)</f>
        <v>1053</v>
      </c>
      <c r="B1001" s="4" t="s">
        <v>3002</v>
      </c>
      <c r="C1001" s="4" t="s">
        <v>3003</v>
      </c>
      <c r="D1001" s="5" t="s">
        <v>3004</v>
      </c>
      <c r="E1001" s="5">
        <v>1624.15</v>
      </c>
      <c r="F1001" s="6">
        <f>LOOKUP(D1001,'AMFI DATA_2023H2'!F:J,'AMFI DATA_2023H2'!J:J)</f>
        <v>1482.7413000000001</v>
      </c>
      <c r="G1001" s="7">
        <f t="shared" si="3"/>
        <v>-1</v>
      </c>
      <c r="H1001" s="8"/>
      <c r="I1001" s="8">
        <v>2050</v>
      </c>
      <c r="J1001" s="8">
        <v>2058</v>
      </c>
      <c r="K1001" s="8">
        <v>2050</v>
      </c>
      <c r="L1001" s="8">
        <v>2081</v>
      </c>
      <c r="M1001" s="8">
        <v>2116</v>
      </c>
      <c r="N1001" s="8">
        <v>2113</v>
      </c>
      <c r="O1001" s="8">
        <v>2086</v>
      </c>
      <c r="P1001" s="8">
        <v>2094</v>
      </c>
      <c r="Q1001" s="8">
        <v>2119</v>
      </c>
      <c r="R1001" s="8">
        <v>2127</v>
      </c>
      <c r="S1001" s="8">
        <v>2165</v>
      </c>
      <c r="T1001" s="8">
        <v>2168</v>
      </c>
      <c r="U1001" s="8">
        <v>2151</v>
      </c>
      <c r="V1001" s="8">
        <v>2101</v>
      </c>
      <c r="W1001" s="8">
        <v>2148</v>
      </c>
      <c r="X1001" s="8">
        <v>2072</v>
      </c>
      <c r="Y1001" s="8">
        <v>2133</v>
      </c>
      <c r="Z1001" s="8">
        <v>2136</v>
      </c>
      <c r="AA1001" s="8">
        <v>2106</v>
      </c>
      <c r="AB1001" s="8">
        <v>2085</v>
      </c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</row>
    <row r="1002" spans="1:47" ht="14.4">
      <c r="A1002" s="3">
        <f>LOOKUP(D1002,'AMFI DATA_2023H2'!F:L,'AMFI DATA_2023H2'!L:L)</f>
        <v>1055</v>
      </c>
      <c r="B1002" s="4" t="s">
        <v>3005</v>
      </c>
      <c r="C1002" s="4" t="s">
        <v>3006</v>
      </c>
      <c r="D1002" s="5" t="s">
        <v>3007</v>
      </c>
      <c r="E1002" s="5">
        <v>1439.98</v>
      </c>
      <c r="F1002" s="6">
        <f>LOOKUP(D1002,'AMFI DATA_2023H2'!F:J,'AMFI DATA_2023H2'!J:J)</f>
        <v>1480.2743500000001</v>
      </c>
      <c r="G1002" s="7">
        <f t="shared" si="3"/>
        <v>-1</v>
      </c>
      <c r="H1002" s="8"/>
      <c r="I1002" s="8">
        <v>1573</v>
      </c>
      <c r="J1002" s="8">
        <v>1536</v>
      </c>
      <c r="K1002" s="8">
        <v>1549</v>
      </c>
      <c r="L1002" s="8">
        <v>1571</v>
      </c>
      <c r="M1002" s="8">
        <v>1592</v>
      </c>
      <c r="N1002" s="8">
        <v>1606</v>
      </c>
      <c r="O1002" s="8">
        <v>1601</v>
      </c>
      <c r="P1002" s="8">
        <v>1525</v>
      </c>
      <c r="Q1002" s="8">
        <v>1575</v>
      </c>
      <c r="R1002" s="8">
        <v>1592</v>
      </c>
      <c r="S1002" s="8">
        <v>1604</v>
      </c>
      <c r="T1002" s="8">
        <v>1579</v>
      </c>
      <c r="U1002" s="8">
        <v>1582</v>
      </c>
      <c r="V1002" s="8">
        <v>1515</v>
      </c>
      <c r="W1002" s="8">
        <v>1504</v>
      </c>
      <c r="X1002" s="8">
        <v>1446</v>
      </c>
      <c r="Y1002" s="8">
        <v>1417</v>
      </c>
      <c r="Z1002" s="8">
        <v>1427</v>
      </c>
      <c r="AA1002" s="8">
        <v>1443</v>
      </c>
      <c r="AB1002" s="8">
        <v>1407</v>
      </c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</row>
    <row r="1003" spans="1:47" ht="14.4">
      <c r="A1003" s="3">
        <f>LOOKUP(D1003,'AMFI DATA_2023H2'!F:L,'AMFI DATA_2023H2'!L:L)</f>
        <v>1056</v>
      </c>
      <c r="B1003" s="4" t="s">
        <v>3008</v>
      </c>
      <c r="C1003" s="4" t="s">
        <v>3009</v>
      </c>
      <c r="D1003" s="5" t="s">
        <v>3010</v>
      </c>
      <c r="E1003" s="5">
        <v>1390.18</v>
      </c>
      <c r="F1003" s="6">
        <f>LOOKUP(D1003,'AMFI DATA_2023H2'!F:J,'AMFI DATA_2023H2'!J:J)</f>
        <v>1465.6003499999999</v>
      </c>
      <c r="G1003" s="7">
        <f t="shared" si="3"/>
        <v>-1</v>
      </c>
      <c r="H1003" s="8"/>
      <c r="I1003" s="8">
        <v>1532</v>
      </c>
      <c r="J1003" s="8">
        <v>1537</v>
      </c>
      <c r="K1003" s="8">
        <v>1534</v>
      </c>
      <c r="L1003" s="8">
        <v>1550</v>
      </c>
      <c r="M1003" s="8">
        <v>1566</v>
      </c>
      <c r="N1003" s="8">
        <v>1567</v>
      </c>
      <c r="O1003" s="8">
        <v>1578</v>
      </c>
      <c r="P1003" s="8">
        <v>1579</v>
      </c>
      <c r="Q1003" s="8">
        <v>1586</v>
      </c>
      <c r="R1003" s="8">
        <v>1577</v>
      </c>
      <c r="S1003" s="8">
        <v>1595</v>
      </c>
      <c r="T1003" s="8">
        <v>1581</v>
      </c>
      <c r="U1003" s="8">
        <v>1595</v>
      </c>
      <c r="V1003" s="8">
        <v>1596</v>
      </c>
      <c r="W1003" s="8">
        <v>1578</v>
      </c>
      <c r="X1003" s="8">
        <v>1597</v>
      </c>
      <c r="Y1003" s="8">
        <v>1597</v>
      </c>
      <c r="Z1003" s="8">
        <v>1600</v>
      </c>
      <c r="AA1003" s="8">
        <v>1622</v>
      </c>
      <c r="AB1003" s="8">
        <v>1596</v>
      </c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</row>
    <row r="1004" spans="1:47" ht="14.4">
      <c r="A1004" s="3">
        <f>LOOKUP(D1004,'AMFI DATA_2023H2'!F:L,'AMFI DATA_2023H2'!L:L)</f>
        <v>1057</v>
      </c>
      <c r="B1004" s="4" t="s">
        <v>3011</v>
      </c>
      <c r="C1004" s="4" t="s">
        <v>3012</v>
      </c>
      <c r="D1004" s="5" t="s">
        <v>3013</v>
      </c>
      <c r="E1004" s="5">
        <v>1446.9</v>
      </c>
      <c r="F1004" s="6">
        <f>LOOKUP(D1004,'AMFI DATA_2023H2'!F:J,'AMFI DATA_2023H2'!J:J)</f>
        <v>1455.3796</v>
      </c>
      <c r="G1004" s="7">
        <f t="shared" si="3"/>
        <v>-1</v>
      </c>
      <c r="H1004" s="8"/>
      <c r="I1004" s="8">
        <v>1548</v>
      </c>
      <c r="J1004" s="8">
        <v>1532</v>
      </c>
      <c r="K1004" s="8">
        <v>1546</v>
      </c>
      <c r="L1004" s="8">
        <v>1553</v>
      </c>
      <c r="M1004" s="8">
        <v>1601</v>
      </c>
      <c r="N1004" s="8">
        <v>1623</v>
      </c>
      <c r="O1004" s="8">
        <v>1635</v>
      </c>
      <c r="P1004" s="8">
        <v>1606</v>
      </c>
      <c r="Q1004" s="8">
        <v>1625</v>
      </c>
      <c r="R1004" s="8">
        <v>1641</v>
      </c>
      <c r="S1004" s="8">
        <v>1669</v>
      </c>
      <c r="T1004" s="8">
        <v>1623</v>
      </c>
      <c r="U1004" s="8">
        <v>1610</v>
      </c>
      <c r="V1004" s="8">
        <v>1611</v>
      </c>
      <c r="W1004" s="8">
        <v>1615</v>
      </c>
      <c r="X1004" s="8">
        <v>1589</v>
      </c>
      <c r="Y1004" s="8">
        <v>1529</v>
      </c>
      <c r="Z1004" s="8">
        <v>1496</v>
      </c>
      <c r="AA1004" s="8">
        <v>1493</v>
      </c>
      <c r="AB1004" s="8">
        <v>1461</v>
      </c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</row>
    <row r="1005" spans="1:47" ht="14.4">
      <c r="A1005" s="3">
        <f>LOOKUP(D1005,'AMFI DATA_2023H2'!F:L,'AMFI DATA_2023H2'!L:L)</f>
        <v>1059</v>
      </c>
      <c r="B1005" s="4" t="s">
        <v>3014</v>
      </c>
      <c r="C1005" s="4" t="s">
        <v>3015</v>
      </c>
      <c r="D1005" s="5" t="s">
        <v>3016</v>
      </c>
      <c r="E1005" s="5">
        <v>972.87</v>
      </c>
      <c r="F1005" s="6">
        <f>LOOKUP(D1005,'AMFI DATA_2023H2'!F:J,'AMFI DATA_2023H2'!J:J)</f>
        <v>1450.8692000000001</v>
      </c>
      <c r="G1005" s="7">
        <f t="shared" si="3"/>
        <v>-1</v>
      </c>
      <c r="H1005" s="8"/>
      <c r="I1005" s="8">
        <v>1874</v>
      </c>
      <c r="J1005" s="8">
        <v>1852</v>
      </c>
      <c r="K1005" s="8">
        <v>1869</v>
      </c>
      <c r="L1005" s="8">
        <v>1939</v>
      </c>
      <c r="M1005" s="8">
        <v>1879</v>
      </c>
      <c r="N1005" s="8">
        <v>1758</v>
      </c>
      <c r="O1005" s="8">
        <v>1739</v>
      </c>
      <c r="P1005" s="8">
        <v>1762</v>
      </c>
      <c r="Q1005" s="8">
        <v>1735</v>
      </c>
      <c r="R1005" s="8">
        <v>1772</v>
      </c>
      <c r="S1005" s="8">
        <v>1829</v>
      </c>
      <c r="T1005" s="8">
        <v>1845</v>
      </c>
      <c r="U1005" s="8">
        <v>1769</v>
      </c>
      <c r="V1005" s="8">
        <v>1683</v>
      </c>
      <c r="W1005" s="8">
        <v>1715</v>
      </c>
      <c r="X1005" s="8">
        <v>1681</v>
      </c>
      <c r="Y1005" s="8">
        <v>1688</v>
      </c>
      <c r="Z1005" s="8">
        <v>1735</v>
      </c>
      <c r="AA1005" s="8">
        <v>1597</v>
      </c>
      <c r="AB1005" s="8">
        <v>1585</v>
      </c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</row>
    <row r="1006" spans="1:47" ht="14.4">
      <c r="A1006" s="3">
        <f>LOOKUP(D1006,'AMFI DATA_2023H2'!F:L,'AMFI DATA_2023H2'!L:L)</f>
        <v>1060</v>
      </c>
      <c r="B1006" s="4" t="s">
        <v>3017</v>
      </c>
      <c r="C1006" s="4" t="s">
        <v>3018</v>
      </c>
      <c r="D1006" s="5" t="s">
        <v>3019</v>
      </c>
      <c r="E1006" s="5">
        <v>834.39</v>
      </c>
      <c r="F1006" s="6">
        <f>LOOKUP(D1006,'AMFI DATA_2023H2'!F:J,'AMFI DATA_2023H2'!J:J)</f>
        <v>1450.3062500000001</v>
      </c>
      <c r="G1006" s="7">
        <f t="shared" si="3"/>
        <v>-1</v>
      </c>
      <c r="H1006" s="8"/>
      <c r="I1006" s="8">
        <v>1556</v>
      </c>
      <c r="J1006" s="8">
        <v>1578</v>
      </c>
      <c r="K1006" s="8">
        <v>1570</v>
      </c>
      <c r="L1006" s="8">
        <v>1613</v>
      </c>
      <c r="M1006" s="8">
        <v>1643</v>
      </c>
      <c r="N1006" s="8">
        <v>1672</v>
      </c>
      <c r="O1006" s="8">
        <v>1678</v>
      </c>
      <c r="P1006" s="8">
        <v>1661</v>
      </c>
      <c r="Q1006" s="8">
        <v>1662</v>
      </c>
      <c r="R1006" s="8">
        <v>1653</v>
      </c>
      <c r="S1006" s="8">
        <v>1696</v>
      </c>
      <c r="T1006" s="8">
        <v>1701</v>
      </c>
      <c r="U1006" s="8">
        <v>1706</v>
      </c>
      <c r="V1006" s="8">
        <v>1662</v>
      </c>
      <c r="W1006" s="8">
        <v>1693</v>
      </c>
      <c r="X1006" s="8">
        <v>1655</v>
      </c>
      <c r="Y1006" s="8">
        <v>1644</v>
      </c>
      <c r="Z1006" s="8">
        <v>1652</v>
      </c>
      <c r="AA1006" s="8">
        <v>1662</v>
      </c>
      <c r="AB1006" s="8">
        <v>1679</v>
      </c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</row>
    <row r="1007" spans="1:47" ht="14.4">
      <c r="A1007" s="3">
        <f>LOOKUP(D1007,'AMFI DATA_2023H2'!F:L,'AMFI DATA_2023H2'!L:L)</f>
        <v>1061</v>
      </c>
      <c r="B1007" s="4" t="s">
        <v>3020</v>
      </c>
      <c r="C1007" s="4" t="s">
        <v>3021</v>
      </c>
      <c r="D1007" s="5" t="s">
        <v>3022</v>
      </c>
      <c r="E1007" s="5">
        <v>1349.77</v>
      </c>
      <c r="F1007" s="6">
        <f>LOOKUP(D1007,'AMFI DATA_2023H2'!F:J,'AMFI DATA_2023H2'!J:J)</f>
        <v>1440.91705</v>
      </c>
      <c r="G1007" s="7">
        <f t="shared" si="3"/>
        <v>-1</v>
      </c>
      <c r="H1007" s="8"/>
      <c r="I1007" s="8">
        <v>1890</v>
      </c>
      <c r="J1007" s="8">
        <v>1780</v>
      </c>
      <c r="K1007" s="8">
        <v>1619</v>
      </c>
      <c r="L1007" s="8">
        <v>1632</v>
      </c>
      <c r="M1007" s="8">
        <v>1638</v>
      </c>
      <c r="N1007" s="8">
        <v>1588</v>
      </c>
      <c r="O1007" s="8">
        <v>1557</v>
      </c>
      <c r="P1007" s="8">
        <v>1560</v>
      </c>
      <c r="Q1007" s="8">
        <v>1534</v>
      </c>
      <c r="R1007" s="8">
        <v>1489</v>
      </c>
      <c r="S1007" s="8">
        <v>1538</v>
      </c>
      <c r="T1007" s="8">
        <v>1516</v>
      </c>
      <c r="U1007" s="8">
        <v>1450</v>
      </c>
      <c r="V1007" s="8">
        <v>1447</v>
      </c>
      <c r="W1007" s="8">
        <v>1438</v>
      </c>
      <c r="X1007" s="8">
        <v>1409</v>
      </c>
      <c r="Y1007" s="8">
        <v>1392</v>
      </c>
      <c r="Z1007" s="8">
        <v>1382</v>
      </c>
      <c r="AA1007" s="8">
        <v>1381</v>
      </c>
      <c r="AB1007" s="8">
        <v>1393</v>
      </c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</row>
    <row r="1008" spans="1:47" ht="14.4">
      <c r="A1008" s="3">
        <f>LOOKUP(D1008,'AMFI DATA_2023H2'!F:L,'AMFI DATA_2023H2'!L:L)</f>
        <v>1062</v>
      </c>
      <c r="B1008" s="4" t="s">
        <v>3023</v>
      </c>
      <c r="C1008" s="4" t="s">
        <v>3024</v>
      </c>
      <c r="D1008" s="5" t="s">
        <v>3025</v>
      </c>
      <c r="E1008" s="5">
        <v>1430.13</v>
      </c>
      <c r="F1008" s="6">
        <f>LOOKUP(D1008,'AMFI DATA_2023H2'!F:J,'AMFI DATA_2023H2'!J:J)</f>
        <v>1435.62195</v>
      </c>
      <c r="G1008" s="7">
        <f t="shared" si="3"/>
        <v>-1</v>
      </c>
      <c r="H1008" s="8"/>
      <c r="I1008" s="8">
        <v>1723</v>
      </c>
      <c r="J1008" s="8">
        <v>1734</v>
      </c>
      <c r="K1008" s="8">
        <v>1718</v>
      </c>
      <c r="L1008" s="8">
        <v>1776</v>
      </c>
      <c r="M1008" s="8">
        <v>1816</v>
      </c>
      <c r="N1008" s="8">
        <v>1852</v>
      </c>
      <c r="O1008" s="8">
        <v>1848</v>
      </c>
      <c r="P1008" s="8">
        <v>1861</v>
      </c>
      <c r="Q1008" s="8">
        <v>1805</v>
      </c>
      <c r="R1008" s="8">
        <v>1798</v>
      </c>
      <c r="S1008" s="8">
        <v>1811</v>
      </c>
      <c r="T1008" s="8">
        <v>1817</v>
      </c>
      <c r="U1008" s="8">
        <v>1816</v>
      </c>
      <c r="V1008" s="8">
        <v>1743</v>
      </c>
      <c r="W1008" s="8">
        <v>1778</v>
      </c>
      <c r="X1008" s="8">
        <v>1693</v>
      </c>
      <c r="Y1008" s="8">
        <v>1702</v>
      </c>
      <c r="Z1008" s="8">
        <v>1731</v>
      </c>
      <c r="AA1008" s="8">
        <v>1727</v>
      </c>
      <c r="AB1008" s="8">
        <v>1722</v>
      </c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</row>
    <row r="1009" spans="1:47" ht="14.4">
      <c r="A1009" s="3">
        <f>LOOKUP(D1009,'AMFI DATA_2023H2'!F:L,'AMFI DATA_2023H2'!L:L)</f>
        <v>1063</v>
      </c>
      <c r="B1009" s="4" t="s">
        <v>3026</v>
      </c>
      <c r="C1009" s="4" t="s">
        <v>3027</v>
      </c>
      <c r="D1009" s="5" t="s">
        <v>3028</v>
      </c>
      <c r="E1009" s="5">
        <v>1369.76</v>
      </c>
      <c r="F1009" s="6">
        <f>LOOKUP(D1009,'AMFI DATA_2023H2'!F:J,'AMFI DATA_2023H2'!J:J)</f>
        <v>1434.84375</v>
      </c>
      <c r="G1009" s="7">
        <f t="shared" si="3"/>
        <v>-1</v>
      </c>
      <c r="H1009" s="8"/>
      <c r="I1009" s="8">
        <v>1680</v>
      </c>
      <c r="J1009" s="8">
        <v>1651</v>
      </c>
      <c r="K1009" s="8">
        <v>1654</v>
      </c>
      <c r="L1009" s="8">
        <v>1676</v>
      </c>
      <c r="M1009" s="8">
        <v>1675</v>
      </c>
      <c r="N1009" s="8">
        <v>1678</v>
      </c>
      <c r="O1009" s="8">
        <v>1689</v>
      </c>
      <c r="P1009" s="8">
        <v>1666</v>
      </c>
      <c r="Q1009" s="8">
        <v>1689</v>
      </c>
      <c r="R1009" s="8">
        <v>1643</v>
      </c>
      <c r="S1009" s="8">
        <v>1689</v>
      </c>
      <c r="T1009" s="8">
        <v>1723</v>
      </c>
      <c r="U1009" s="8">
        <v>1716</v>
      </c>
      <c r="V1009" s="8">
        <v>1714</v>
      </c>
      <c r="W1009" s="8">
        <v>1651</v>
      </c>
      <c r="X1009" s="8">
        <v>1571</v>
      </c>
      <c r="Y1009" s="8">
        <v>1574</v>
      </c>
      <c r="Z1009" s="8">
        <v>1555</v>
      </c>
      <c r="AA1009" s="8">
        <v>1586</v>
      </c>
      <c r="AB1009" s="8">
        <v>1556</v>
      </c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</row>
    <row r="1010" spans="1:47" ht="14.4">
      <c r="A1010" s="3">
        <f>LOOKUP(D1010,'AMFI DATA_2023H2'!F:L,'AMFI DATA_2023H2'!L:L)</f>
        <v>1064</v>
      </c>
      <c r="B1010" s="4" t="s">
        <v>3029</v>
      </c>
      <c r="C1010" s="4" t="s">
        <v>3030</v>
      </c>
      <c r="D1010" s="5" t="s">
        <v>3031</v>
      </c>
      <c r="E1010" s="5">
        <v>850.05</v>
      </c>
      <c r="F1010" s="6">
        <f>LOOKUP(D1010,'AMFI DATA_2023H2'!F:J,'AMFI DATA_2023H2'!J:J)</f>
        <v>1431.7453999999998</v>
      </c>
      <c r="G1010" s="7">
        <f t="shared" si="3"/>
        <v>-1</v>
      </c>
      <c r="H1010" s="8"/>
      <c r="I1010" s="8">
        <v>1429</v>
      </c>
      <c r="J1010" s="8">
        <v>1378</v>
      </c>
      <c r="K1010" s="8">
        <v>1404</v>
      </c>
      <c r="L1010" s="8">
        <v>1422</v>
      </c>
      <c r="M1010" s="8">
        <v>1413</v>
      </c>
      <c r="N1010" s="8">
        <v>1425</v>
      </c>
      <c r="O1010" s="8">
        <v>1419</v>
      </c>
      <c r="P1010" s="8">
        <v>1425</v>
      </c>
      <c r="Q1010" s="8">
        <v>1418</v>
      </c>
      <c r="R1010" s="8">
        <v>1457</v>
      </c>
      <c r="S1010" s="8">
        <v>1496</v>
      </c>
      <c r="T1010" s="8">
        <v>1489</v>
      </c>
      <c r="U1010" s="8">
        <v>1521</v>
      </c>
      <c r="V1010" s="8">
        <v>1513</v>
      </c>
      <c r="W1010" s="8">
        <v>1445</v>
      </c>
      <c r="X1010" s="8">
        <v>1451</v>
      </c>
      <c r="Y1010" s="8">
        <v>1438</v>
      </c>
      <c r="Z1010" s="8">
        <v>1455</v>
      </c>
      <c r="AA1010" s="8">
        <v>1485</v>
      </c>
      <c r="AB1010" s="8">
        <v>1489</v>
      </c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</row>
    <row r="1011" spans="1:47" ht="14.4">
      <c r="A1011" s="3">
        <f>LOOKUP(D1011,'AMFI DATA_2023H2'!F:L,'AMFI DATA_2023H2'!L:L)</f>
        <v>1066</v>
      </c>
      <c r="B1011" s="4" t="s">
        <v>3032</v>
      </c>
      <c r="C1011" s="4" t="s">
        <v>3033</v>
      </c>
      <c r="D1011" s="5" t="s">
        <v>3034</v>
      </c>
      <c r="E1011" s="5">
        <v>1240.8900000000001</v>
      </c>
      <c r="F1011" s="6">
        <f>LOOKUP(D1011,'AMFI DATA_2023H2'!F:J,'AMFI DATA_2023H2'!J:J)</f>
        <v>1423.7896999999998</v>
      </c>
      <c r="G1011" s="7">
        <f t="shared" si="3"/>
        <v>-1</v>
      </c>
      <c r="H1011" s="8"/>
      <c r="I1011" s="8">
        <v>1971</v>
      </c>
      <c r="J1011" s="8">
        <v>2007</v>
      </c>
      <c r="K1011" s="8">
        <v>1994</v>
      </c>
      <c r="L1011" s="8">
        <v>2109</v>
      </c>
      <c r="M1011" s="8">
        <v>2161</v>
      </c>
      <c r="N1011" s="8">
        <v>2193</v>
      </c>
      <c r="O1011" s="8">
        <v>2183</v>
      </c>
      <c r="P1011" s="8">
        <v>2098</v>
      </c>
      <c r="Q1011" s="8">
        <v>1861</v>
      </c>
      <c r="R1011" s="8">
        <v>1932</v>
      </c>
      <c r="S1011" s="8">
        <v>1913</v>
      </c>
      <c r="T1011" s="8">
        <v>1989</v>
      </c>
      <c r="U1011" s="8">
        <v>1980</v>
      </c>
      <c r="V1011" s="8">
        <v>1966</v>
      </c>
      <c r="W1011" s="8">
        <v>2005</v>
      </c>
      <c r="X1011" s="8">
        <v>1986</v>
      </c>
      <c r="Y1011" s="8">
        <v>2003</v>
      </c>
      <c r="Z1011" s="8">
        <v>2063</v>
      </c>
      <c r="AA1011" s="8">
        <v>1993</v>
      </c>
      <c r="AB1011" s="8">
        <v>2076</v>
      </c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</row>
    <row r="1012" spans="1:47" ht="14.4">
      <c r="A1012" s="3">
        <f>LOOKUP(D1012,'AMFI DATA_2023H2'!F:L,'AMFI DATA_2023H2'!L:L)</f>
        <v>1067</v>
      </c>
      <c r="B1012" s="4" t="s">
        <v>3035</v>
      </c>
      <c r="C1012" s="4" t="s">
        <v>3036</v>
      </c>
      <c r="D1012" s="5" t="s">
        <v>3037</v>
      </c>
      <c r="E1012" s="5">
        <v>1091.6099999999999</v>
      </c>
      <c r="F1012" s="6">
        <f>LOOKUP(D1012,'AMFI DATA_2023H2'!F:J,'AMFI DATA_2023H2'!J:J)</f>
        <v>1422.6250500000001</v>
      </c>
      <c r="G1012" s="7">
        <f t="shared" si="3"/>
        <v>-1</v>
      </c>
      <c r="H1012" s="8"/>
      <c r="I1012" s="8">
        <v>1968</v>
      </c>
      <c r="J1012" s="8">
        <v>1943</v>
      </c>
      <c r="K1012" s="8">
        <v>1979</v>
      </c>
      <c r="L1012" s="8">
        <v>1965</v>
      </c>
      <c r="M1012" s="8">
        <v>2027</v>
      </c>
      <c r="N1012" s="8">
        <v>2002</v>
      </c>
      <c r="O1012" s="8">
        <v>2005</v>
      </c>
      <c r="P1012" s="8">
        <v>2050</v>
      </c>
      <c r="Q1012" s="8">
        <v>2080</v>
      </c>
      <c r="R1012" s="8">
        <v>1750</v>
      </c>
      <c r="S1012" s="8">
        <v>1767</v>
      </c>
      <c r="T1012" s="8">
        <v>1770</v>
      </c>
      <c r="U1012" s="8">
        <v>1781</v>
      </c>
      <c r="V1012" s="8">
        <v>1802</v>
      </c>
      <c r="W1012" s="8">
        <v>1769</v>
      </c>
      <c r="X1012" s="8">
        <v>1751</v>
      </c>
      <c r="Y1012" s="8">
        <v>1760</v>
      </c>
      <c r="Z1012" s="8">
        <v>1716</v>
      </c>
      <c r="AA1012" s="8">
        <v>1700</v>
      </c>
      <c r="AB1012" s="8">
        <v>1679</v>
      </c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</row>
    <row r="1013" spans="1:47" ht="14.4">
      <c r="A1013" s="3">
        <f>LOOKUP(D1013,'AMFI DATA_2023H2'!F:L,'AMFI DATA_2023H2'!L:L)</f>
        <v>1069</v>
      </c>
      <c r="B1013" s="4" t="s">
        <v>3038</v>
      </c>
      <c r="C1013" s="4" t="s">
        <v>3039</v>
      </c>
      <c r="D1013" s="5" t="s">
        <v>3040</v>
      </c>
      <c r="E1013" s="5">
        <v>807.81</v>
      </c>
      <c r="F1013" s="6">
        <f>LOOKUP(D1013,'AMFI DATA_2023H2'!F:J,'AMFI DATA_2023H2'!J:J)</f>
        <v>1416.1514500000001</v>
      </c>
      <c r="G1013" s="7">
        <f t="shared" si="3"/>
        <v>-1</v>
      </c>
      <c r="H1013" s="8"/>
      <c r="I1013" s="8">
        <v>2641</v>
      </c>
      <c r="J1013" s="8">
        <v>2607</v>
      </c>
      <c r="K1013" s="8">
        <v>2358</v>
      </c>
      <c r="L1013" s="8">
        <v>2248</v>
      </c>
      <c r="M1013" s="8">
        <v>2122</v>
      </c>
      <c r="N1013" s="8">
        <v>2191</v>
      </c>
      <c r="O1013" s="8">
        <v>2171</v>
      </c>
      <c r="P1013" s="8">
        <v>1969</v>
      </c>
      <c r="Q1013" s="8">
        <v>1978</v>
      </c>
      <c r="R1013" s="8">
        <v>1964</v>
      </c>
      <c r="S1013" s="8">
        <v>1963</v>
      </c>
      <c r="T1013" s="8">
        <v>1989</v>
      </c>
      <c r="U1013" s="8">
        <v>1932</v>
      </c>
      <c r="V1013" s="8">
        <v>1919</v>
      </c>
      <c r="W1013" s="8">
        <v>1889</v>
      </c>
      <c r="X1013" s="8">
        <v>1924</v>
      </c>
      <c r="Y1013" s="8">
        <v>1953</v>
      </c>
      <c r="Z1013" s="8">
        <v>1953</v>
      </c>
      <c r="AA1013" s="8">
        <v>1997</v>
      </c>
      <c r="AB1013" s="8">
        <v>1961</v>
      </c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</row>
    <row r="1014" spans="1:47" ht="14.4">
      <c r="A1014" s="3">
        <f>LOOKUP(D1014,'AMFI DATA_2023H2'!F:L,'AMFI DATA_2023H2'!L:L)</f>
        <v>1071</v>
      </c>
      <c r="B1014" s="4" t="s">
        <v>3041</v>
      </c>
      <c r="C1014" s="4" t="s">
        <v>3042</v>
      </c>
      <c r="D1014" s="5" t="s">
        <v>3043</v>
      </c>
      <c r="E1014" s="5">
        <v>747.98</v>
      </c>
      <c r="F1014" s="6">
        <f>LOOKUP(D1014,'AMFI DATA_2023H2'!F:J,'AMFI DATA_2023H2'!J:J)</f>
        <v>1409.41705</v>
      </c>
      <c r="G1014" s="7">
        <f t="shared" si="3"/>
        <v>-1</v>
      </c>
      <c r="H1014" s="8"/>
      <c r="I1014" s="8">
        <v>1493</v>
      </c>
      <c r="J1014" s="8">
        <v>1479</v>
      </c>
      <c r="K1014" s="8">
        <v>1484</v>
      </c>
      <c r="L1014" s="8">
        <v>1501</v>
      </c>
      <c r="M1014" s="8">
        <v>1526</v>
      </c>
      <c r="N1014" s="8">
        <v>1500</v>
      </c>
      <c r="O1014" s="8">
        <v>1509</v>
      </c>
      <c r="P1014" s="8">
        <v>1504</v>
      </c>
      <c r="Q1014" s="8">
        <v>1432</v>
      </c>
      <c r="R1014" s="8">
        <v>1364</v>
      </c>
      <c r="S1014" s="8">
        <v>1365</v>
      </c>
      <c r="T1014" s="8">
        <v>1357</v>
      </c>
      <c r="U1014" s="8">
        <v>1354</v>
      </c>
      <c r="V1014" s="8">
        <v>1373</v>
      </c>
      <c r="W1014" s="8">
        <v>1398</v>
      </c>
      <c r="X1014" s="8">
        <v>1333</v>
      </c>
      <c r="Y1014" s="8">
        <v>1315</v>
      </c>
      <c r="Z1014" s="8">
        <v>1324</v>
      </c>
      <c r="AA1014" s="8">
        <v>1330</v>
      </c>
      <c r="AB1014" s="8">
        <v>1308</v>
      </c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</row>
    <row r="1015" spans="1:47" ht="14.4">
      <c r="A1015" s="3">
        <f>LOOKUP(D1015,'AMFI DATA_2023H2'!F:L,'AMFI DATA_2023H2'!L:L)</f>
        <v>1072</v>
      </c>
      <c r="B1015" s="4" t="s">
        <v>3044</v>
      </c>
      <c r="C1015" s="4" t="s">
        <v>3045</v>
      </c>
      <c r="D1015" s="5" t="s">
        <v>3046</v>
      </c>
      <c r="E1015" s="5">
        <v>1653.27</v>
      </c>
      <c r="F1015" s="6">
        <f>LOOKUP(D1015,'AMFI DATA_2023H2'!F:J,'AMFI DATA_2023H2'!J:J)</f>
        <v>1403.16625</v>
      </c>
      <c r="G1015" s="7">
        <f t="shared" si="3"/>
        <v>-1</v>
      </c>
      <c r="H1015" s="8"/>
      <c r="I1015" s="8">
        <v>2659</v>
      </c>
      <c r="J1015" s="8">
        <v>2541</v>
      </c>
      <c r="K1015" s="8">
        <v>2612</v>
      </c>
      <c r="L1015" s="8">
        <v>2730</v>
      </c>
      <c r="M1015" s="8">
        <v>2656</v>
      </c>
      <c r="N1015" s="8">
        <v>2702</v>
      </c>
      <c r="O1015" s="8">
        <v>2841</v>
      </c>
      <c r="P1015" s="8">
        <v>2991</v>
      </c>
      <c r="Q1015" s="8">
        <v>2902</v>
      </c>
      <c r="R1015" s="8">
        <v>2766</v>
      </c>
      <c r="S1015" s="8">
        <v>2638</v>
      </c>
      <c r="T1015" s="8">
        <v>2751</v>
      </c>
      <c r="U1015" s="8">
        <v>2659</v>
      </c>
      <c r="V1015" s="8">
        <v>2562</v>
      </c>
      <c r="W1015" s="8">
        <v>2343</v>
      </c>
      <c r="X1015" s="8">
        <v>2168</v>
      </c>
      <c r="Y1015" s="8">
        <v>2157</v>
      </c>
      <c r="Z1015" s="8">
        <v>2182</v>
      </c>
      <c r="AA1015" s="8">
        <v>2158</v>
      </c>
      <c r="AB1015" s="8">
        <v>2404</v>
      </c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</row>
    <row r="1016" spans="1:47" ht="14.4">
      <c r="A1016" s="3">
        <f>LOOKUP(D1016,'AMFI DATA_2023H2'!F:L,'AMFI DATA_2023H2'!L:L)</f>
        <v>1073</v>
      </c>
      <c r="B1016" s="4" t="s">
        <v>3047</v>
      </c>
      <c r="C1016" s="4" t="s">
        <v>3048</v>
      </c>
      <c r="D1016" s="5" t="s">
        <v>3049</v>
      </c>
      <c r="E1016" s="5">
        <v>1192.04</v>
      </c>
      <c r="F1016" s="6">
        <f>LOOKUP(D1016,'AMFI DATA_2023H2'!F:J,'AMFI DATA_2023H2'!J:J)</f>
        <v>1401.7530499999998</v>
      </c>
      <c r="G1016" s="7">
        <f t="shared" si="3"/>
        <v>-1</v>
      </c>
      <c r="H1016" s="8"/>
      <c r="I1016" s="8">
        <v>1642</v>
      </c>
      <c r="J1016" s="8">
        <v>1660</v>
      </c>
      <c r="K1016" s="8">
        <v>1586</v>
      </c>
      <c r="L1016" s="8">
        <v>1602</v>
      </c>
      <c r="M1016" s="8">
        <v>1648</v>
      </c>
      <c r="N1016" s="8">
        <v>1621</v>
      </c>
      <c r="O1016" s="8">
        <v>1553</v>
      </c>
      <c r="P1016" s="8">
        <v>1547</v>
      </c>
      <c r="Q1016" s="8">
        <v>1549</v>
      </c>
      <c r="R1016" s="8">
        <v>1560</v>
      </c>
      <c r="S1016" s="8">
        <v>1576</v>
      </c>
      <c r="T1016" s="8">
        <v>1585</v>
      </c>
      <c r="U1016" s="8">
        <v>1570</v>
      </c>
      <c r="V1016" s="8">
        <v>1551</v>
      </c>
      <c r="W1016" s="8">
        <v>1556</v>
      </c>
      <c r="X1016" s="8">
        <v>1549</v>
      </c>
      <c r="Y1016" s="8">
        <v>1544</v>
      </c>
      <c r="Z1016" s="8">
        <v>1553</v>
      </c>
      <c r="AA1016" s="8">
        <v>1555</v>
      </c>
      <c r="AB1016" s="8">
        <v>1572</v>
      </c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</row>
    <row r="1017" spans="1:47" ht="14.4">
      <c r="A1017" s="3">
        <f>LOOKUP(D1017,'AMFI DATA_2023H2'!F:L,'AMFI DATA_2023H2'!L:L)</f>
        <v>1074</v>
      </c>
      <c r="B1017" s="4" t="s">
        <v>3050</v>
      </c>
      <c r="C1017" s="4" t="s">
        <v>3051</v>
      </c>
      <c r="D1017" s="5" t="s">
        <v>3052</v>
      </c>
      <c r="E1017" s="5">
        <v>1476.92</v>
      </c>
      <c r="F1017" s="6">
        <f>LOOKUP(D1017,'AMFI DATA_2023H2'!F:J,'AMFI DATA_2023H2'!J:J)</f>
        <v>1400.2932500000002</v>
      </c>
      <c r="G1017" s="7">
        <f t="shared" si="3"/>
        <v>-1</v>
      </c>
      <c r="H1017" s="8"/>
      <c r="I1017" s="8">
        <v>1316</v>
      </c>
      <c r="J1017" s="8">
        <v>1313</v>
      </c>
      <c r="K1017" s="8">
        <v>1313</v>
      </c>
      <c r="L1017" s="8">
        <v>1308</v>
      </c>
      <c r="M1017" s="8">
        <v>1315</v>
      </c>
      <c r="N1017" s="8">
        <v>1327</v>
      </c>
      <c r="O1017" s="8">
        <v>1330</v>
      </c>
      <c r="P1017" s="8">
        <v>1368</v>
      </c>
      <c r="Q1017" s="8">
        <v>1360</v>
      </c>
      <c r="R1017" s="8">
        <v>1340</v>
      </c>
      <c r="S1017" s="8">
        <v>1324</v>
      </c>
      <c r="T1017" s="8">
        <v>1289</v>
      </c>
      <c r="U1017" s="8">
        <v>1250</v>
      </c>
      <c r="V1017" s="8">
        <v>1252</v>
      </c>
      <c r="W1017" s="8">
        <v>1244</v>
      </c>
      <c r="X1017" s="8">
        <v>1239</v>
      </c>
      <c r="Y1017" s="8">
        <v>1245</v>
      </c>
      <c r="Z1017" s="8">
        <v>1232</v>
      </c>
      <c r="AA1017" s="8">
        <v>1238</v>
      </c>
      <c r="AB1017" s="8">
        <v>1247</v>
      </c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</row>
    <row r="1018" spans="1:47" ht="14.4">
      <c r="A1018" s="3">
        <f>LOOKUP(D1018,'AMFI DATA_2023H2'!F:L,'AMFI DATA_2023H2'!L:L)</f>
        <v>1076</v>
      </c>
      <c r="B1018" s="4" t="s">
        <v>3053</v>
      </c>
      <c r="C1018" s="4" t="s">
        <v>3054</v>
      </c>
      <c r="D1018" s="5" t="s">
        <v>3055</v>
      </c>
      <c r="E1018" s="5">
        <v>1082.57</v>
      </c>
      <c r="F1018" s="6">
        <f>LOOKUP(D1018,'AMFI DATA_2023H2'!F:J,'AMFI DATA_2023H2'!J:J)</f>
        <v>1392.3811000000001</v>
      </c>
      <c r="G1018" s="7">
        <f t="shared" si="3"/>
        <v>-1</v>
      </c>
      <c r="H1018" s="8"/>
      <c r="I1018" s="8">
        <v>2108</v>
      </c>
      <c r="J1018" s="8">
        <v>2036</v>
      </c>
      <c r="K1018" s="8">
        <v>1794</v>
      </c>
      <c r="L1018" s="8">
        <v>1799</v>
      </c>
      <c r="M1018" s="8">
        <v>1815</v>
      </c>
      <c r="N1018" s="8">
        <v>1807</v>
      </c>
      <c r="O1018" s="8">
        <v>1799</v>
      </c>
      <c r="P1018" s="8">
        <v>1679</v>
      </c>
      <c r="Q1018" s="8">
        <v>1672</v>
      </c>
      <c r="R1018" s="8">
        <v>1668</v>
      </c>
      <c r="S1018" s="8">
        <v>1630</v>
      </c>
      <c r="T1018" s="8">
        <v>1642</v>
      </c>
      <c r="U1018" s="8">
        <v>1572</v>
      </c>
      <c r="V1018" s="8">
        <v>1598</v>
      </c>
      <c r="W1018" s="8">
        <v>1590</v>
      </c>
      <c r="X1018" s="8">
        <v>1549</v>
      </c>
      <c r="Y1018" s="8">
        <v>1531</v>
      </c>
      <c r="Z1018" s="8">
        <v>1542</v>
      </c>
      <c r="AA1018" s="8">
        <v>1594</v>
      </c>
      <c r="AB1018" s="8">
        <v>1579</v>
      </c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</row>
    <row r="1019" spans="1:47" ht="14.4">
      <c r="A1019" s="3">
        <f>LOOKUP(D1019,'AMFI DATA_2023H2'!F:L,'AMFI DATA_2023H2'!L:L)</f>
        <v>1077</v>
      </c>
      <c r="B1019" s="4" t="s">
        <v>3056</v>
      </c>
      <c r="C1019" s="4" t="s">
        <v>3057</v>
      </c>
      <c r="D1019" s="5" t="s">
        <v>3058</v>
      </c>
      <c r="E1019" s="5">
        <v>954.15</v>
      </c>
      <c r="F1019" s="6">
        <f>LOOKUP(D1019,'AMFI DATA_2023H2'!F:J,'AMFI DATA_2023H2'!J:J)</f>
        <v>1391.55655</v>
      </c>
      <c r="G1019" s="7">
        <f t="shared" si="3"/>
        <v>-1</v>
      </c>
      <c r="H1019" s="8"/>
      <c r="I1019" s="8">
        <v>2002</v>
      </c>
      <c r="J1019" s="8">
        <v>1861</v>
      </c>
      <c r="K1019" s="8">
        <v>1884</v>
      </c>
      <c r="L1019" s="8">
        <v>1932</v>
      </c>
      <c r="M1019" s="8">
        <v>2005</v>
      </c>
      <c r="N1019" s="8">
        <v>2045</v>
      </c>
      <c r="O1019" s="8">
        <v>2157</v>
      </c>
      <c r="P1019" s="8">
        <v>2162</v>
      </c>
      <c r="Q1019" s="8">
        <v>2281</v>
      </c>
      <c r="R1019" s="8">
        <v>2294</v>
      </c>
      <c r="S1019" s="8">
        <v>2157</v>
      </c>
      <c r="T1019" s="8">
        <v>2125</v>
      </c>
      <c r="U1019" s="8">
        <v>2124</v>
      </c>
      <c r="V1019" s="8">
        <v>2007</v>
      </c>
      <c r="W1019" s="8">
        <v>1872</v>
      </c>
      <c r="X1019" s="8">
        <v>1767</v>
      </c>
      <c r="Y1019" s="10">
        <v>1725</v>
      </c>
      <c r="Z1019" s="10">
        <v>1708</v>
      </c>
      <c r="AA1019" s="10">
        <v>1688</v>
      </c>
      <c r="AB1019" s="10">
        <v>1564</v>
      </c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</row>
    <row r="1020" spans="1:47" ht="14.4">
      <c r="A1020" s="3">
        <f>LOOKUP(D1020,'AMFI DATA_2023H2'!F:L,'AMFI DATA_2023H2'!L:L)</f>
        <v>1078</v>
      </c>
      <c r="B1020" s="4" t="s">
        <v>3059</v>
      </c>
      <c r="C1020" s="4" t="s">
        <v>3060</v>
      </c>
      <c r="D1020" s="5" t="s">
        <v>3061</v>
      </c>
      <c r="E1020" s="5">
        <v>781.95</v>
      </c>
      <c r="F1020" s="6">
        <f>LOOKUP(D1020,'AMFI DATA_2023H2'!F:J,'AMFI DATA_2023H2'!J:J)</f>
        <v>1388.07565</v>
      </c>
      <c r="G1020" s="7">
        <f t="shared" si="3"/>
        <v>-1</v>
      </c>
      <c r="H1020" s="8"/>
      <c r="I1020" s="8">
        <v>1540</v>
      </c>
      <c r="J1020" s="8">
        <v>1490</v>
      </c>
      <c r="K1020" s="8">
        <v>1563</v>
      </c>
      <c r="L1020" s="8">
        <v>1607</v>
      </c>
      <c r="M1020" s="8">
        <v>1645</v>
      </c>
      <c r="N1020" s="8">
        <v>1671</v>
      </c>
      <c r="O1020" s="8">
        <v>1497</v>
      </c>
      <c r="P1020" s="8">
        <v>1416</v>
      </c>
      <c r="Q1020" s="8">
        <v>1387</v>
      </c>
      <c r="R1020" s="8">
        <v>1389</v>
      </c>
      <c r="S1020" s="8">
        <v>1394</v>
      </c>
      <c r="T1020" s="8">
        <v>1408</v>
      </c>
      <c r="U1020" s="8">
        <v>1403</v>
      </c>
      <c r="V1020" s="8">
        <v>1399</v>
      </c>
      <c r="W1020" s="8">
        <v>1404</v>
      </c>
      <c r="X1020" s="8">
        <v>1423</v>
      </c>
      <c r="Y1020" s="8">
        <v>1422</v>
      </c>
      <c r="Z1020" s="8">
        <v>1395</v>
      </c>
      <c r="AA1020" s="8">
        <v>1440</v>
      </c>
      <c r="AB1020" s="8">
        <v>1396</v>
      </c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</row>
    <row r="1021" spans="1:47" ht="14.4">
      <c r="A1021" s="3">
        <f>LOOKUP(D1021,'AMFI DATA_2023H2'!F:L,'AMFI DATA_2023H2'!L:L)</f>
        <v>1079</v>
      </c>
      <c r="B1021" s="4" t="s">
        <v>3062</v>
      </c>
      <c r="C1021" s="4" t="s">
        <v>3063</v>
      </c>
      <c r="D1021" s="5" t="s">
        <v>3064</v>
      </c>
      <c r="E1021" s="5">
        <v>1115.9000000000001</v>
      </c>
      <c r="F1021" s="6">
        <f>LOOKUP(D1021,'AMFI DATA_2023H2'!F:J,'AMFI DATA_2023H2'!J:J)</f>
        <v>1386.8881000000001</v>
      </c>
      <c r="G1021" s="7">
        <f t="shared" si="3"/>
        <v>-1</v>
      </c>
      <c r="H1021" s="8"/>
      <c r="I1021" s="8">
        <v>1596</v>
      </c>
      <c r="J1021" s="8">
        <v>1585</v>
      </c>
      <c r="K1021" s="8">
        <v>1611</v>
      </c>
      <c r="L1021" s="8">
        <v>1638</v>
      </c>
      <c r="M1021" s="8">
        <v>1650</v>
      </c>
      <c r="N1021" s="8">
        <v>1630</v>
      </c>
      <c r="O1021" s="8">
        <v>1646</v>
      </c>
      <c r="P1021" s="8">
        <v>1631</v>
      </c>
      <c r="Q1021" s="8">
        <v>1626</v>
      </c>
      <c r="R1021" s="8">
        <v>1627</v>
      </c>
      <c r="S1021" s="8">
        <v>1628</v>
      </c>
      <c r="T1021" s="8">
        <v>1640</v>
      </c>
      <c r="U1021" s="8">
        <v>1623</v>
      </c>
      <c r="V1021" s="8">
        <v>1636</v>
      </c>
      <c r="W1021" s="8">
        <v>1647</v>
      </c>
      <c r="X1021" s="8">
        <v>1683</v>
      </c>
      <c r="Y1021" s="8">
        <v>1691</v>
      </c>
      <c r="Z1021" s="8">
        <v>1713</v>
      </c>
      <c r="AA1021" s="8">
        <v>1699</v>
      </c>
      <c r="AB1021" s="8">
        <v>1683</v>
      </c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</row>
    <row r="1022" spans="1:47" ht="14.4">
      <c r="A1022" s="3">
        <f>LOOKUP(D1022,'AMFI DATA_2023H2'!F:L,'AMFI DATA_2023H2'!L:L)</f>
        <v>1080</v>
      </c>
      <c r="B1022" s="4" t="s">
        <v>3065</v>
      </c>
      <c r="C1022" s="4" t="s">
        <v>3066</v>
      </c>
      <c r="D1022" s="5" t="s">
        <v>3067</v>
      </c>
      <c r="E1022" s="5">
        <v>1069.3399999999999</v>
      </c>
      <c r="F1022" s="6">
        <f>LOOKUP(D1022,'AMFI DATA_2023H2'!F:J,'AMFI DATA_2023H2'!J:J)</f>
        <v>1380.25595</v>
      </c>
      <c r="G1022" s="7">
        <f t="shared" ref="G1022:G1276" si="4">H1022/F1022-1</f>
        <v>-1</v>
      </c>
      <c r="H1022" s="8"/>
      <c r="I1022" s="8">
        <v>1520</v>
      </c>
      <c r="J1022" s="8">
        <v>1504</v>
      </c>
      <c r="K1022" s="8">
        <v>1529</v>
      </c>
      <c r="L1022" s="8">
        <v>1578</v>
      </c>
      <c r="M1022" s="8">
        <v>1508</v>
      </c>
      <c r="N1022" s="8">
        <v>1514</v>
      </c>
      <c r="O1022" s="8">
        <v>1549</v>
      </c>
      <c r="P1022" s="8">
        <v>1559</v>
      </c>
      <c r="Q1022" s="8">
        <v>1513</v>
      </c>
      <c r="R1022" s="8">
        <v>1422</v>
      </c>
      <c r="S1022" s="8">
        <v>1442</v>
      </c>
      <c r="T1022" s="8">
        <v>1445</v>
      </c>
      <c r="U1022" s="8">
        <v>1463</v>
      </c>
      <c r="V1022" s="8">
        <v>1463</v>
      </c>
      <c r="W1022" s="8">
        <v>1427</v>
      </c>
      <c r="X1022" s="8">
        <v>1425</v>
      </c>
      <c r="Y1022" s="8">
        <v>1460</v>
      </c>
      <c r="Z1022" s="8">
        <v>1474</v>
      </c>
      <c r="AA1022" s="8">
        <v>1467</v>
      </c>
      <c r="AB1022" s="8">
        <v>1429</v>
      </c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</row>
    <row r="1023" spans="1:47" ht="14.4">
      <c r="A1023" s="3">
        <f>LOOKUP(D1023,'AMFI DATA_2023H2'!F:L,'AMFI DATA_2023H2'!L:L)</f>
        <v>1081</v>
      </c>
      <c r="B1023" s="4" t="s">
        <v>3068</v>
      </c>
      <c r="C1023" s="4" t="s">
        <v>3069</v>
      </c>
      <c r="D1023" s="5" t="s">
        <v>3070</v>
      </c>
      <c r="E1023" s="5">
        <v>1386.29</v>
      </c>
      <c r="F1023" s="6">
        <f>LOOKUP(D1023,'AMFI DATA_2023H2'!F:J,'AMFI DATA_2023H2'!J:J)</f>
        <v>1379.8443</v>
      </c>
      <c r="G1023" s="7">
        <f t="shared" si="4"/>
        <v>-1</v>
      </c>
      <c r="H1023" s="8"/>
      <c r="I1023" s="8">
        <v>1420</v>
      </c>
      <c r="J1023" s="8">
        <v>1460</v>
      </c>
      <c r="K1023" s="8">
        <v>1478</v>
      </c>
      <c r="L1023" s="8">
        <v>1492</v>
      </c>
      <c r="M1023" s="8">
        <v>1495</v>
      </c>
      <c r="N1023" s="8">
        <v>1499</v>
      </c>
      <c r="O1023" s="8">
        <v>1494</v>
      </c>
      <c r="P1023" s="8">
        <v>1494</v>
      </c>
      <c r="Q1023" s="8">
        <v>1490</v>
      </c>
      <c r="R1023" s="8">
        <v>1514</v>
      </c>
      <c r="S1023" s="8">
        <v>1496</v>
      </c>
      <c r="T1023" s="8">
        <v>1500</v>
      </c>
      <c r="U1023" s="8">
        <v>1507</v>
      </c>
      <c r="V1023" s="8">
        <v>1512</v>
      </c>
      <c r="W1023" s="8">
        <v>1499</v>
      </c>
      <c r="X1023" s="8">
        <v>1501</v>
      </c>
      <c r="Y1023" s="8">
        <v>1499</v>
      </c>
      <c r="Z1023" s="8">
        <v>1508</v>
      </c>
      <c r="AA1023" s="8">
        <v>1508</v>
      </c>
      <c r="AB1023" s="8">
        <v>1511</v>
      </c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</row>
    <row r="1024" spans="1:47" ht="14.4">
      <c r="A1024" s="3">
        <f>LOOKUP(D1024,'AMFI DATA_2023H2'!F:L,'AMFI DATA_2023H2'!L:L)</f>
        <v>1082</v>
      </c>
      <c r="B1024" s="4" t="s">
        <v>3071</v>
      </c>
      <c r="C1024" s="4" t="s">
        <v>3072</v>
      </c>
      <c r="D1024" s="5" t="s">
        <v>3073</v>
      </c>
      <c r="E1024" s="5">
        <v>628.07000000000005</v>
      </c>
      <c r="F1024" s="6">
        <f>LOOKUP(D1024,'AMFI DATA_2023H2'!F:J,'AMFI DATA_2023H2'!J:J)</f>
        <v>1378.73775</v>
      </c>
      <c r="G1024" s="7">
        <f t="shared" si="4"/>
        <v>-1</v>
      </c>
      <c r="H1024" s="8"/>
      <c r="I1024" s="8">
        <v>1744</v>
      </c>
      <c r="J1024" s="8">
        <v>1735</v>
      </c>
      <c r="K1024" s="8">
        <v>1772</v>
      </c>
      <c r="L1024" s="8">
        <v>1765</v>
      </c>
      <c r="M1024" s="8">
        <v>1778</v>
      </c>
      <c r="N1024" s="8">
        <v>1783</v>
      </c>
      <c r="O1024" s="8">
        <v>1788</v>
      </c>
      <c r="P1024" s="8">
        <v>1787</v>
      </c>
      <c r="Q1024" s="8">
        <v>1828</v>
      </c>
      <c r="R1024" s="8">
        <v>1821</v>
      </c>
      <c r="S1024" s="8">
        <v>1849</v>
      </c>
      <c r="T1024" s="8">
        <v>1867</v>
      </c>
      <c r="U1024" s="8">
        <v>1862</v>
      </c>
      <c r="V1024" s="8">
        <v>1815</v>
      </c>
      <c r="W1024" s="8">
        <v>1821</v>
      </c>
      <c r="X1024" s="8">
        <v>1846</v>
      </c>
      <c r="Y1024" s="8">
        <v>1846</v>
      </c>
      <c r="Z1024" s="8">
        <v>1858</v>
      </c>
      <c r="AA1024" s="8">
        <v>1885</v>
      </c>
      <c r="AB1024" s="8">
        <v>1874</v>
      </c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</row>
    <row r="1025" spans="1:47" ht="14.4">
      <c r="A1025" s="3">
        <f>LOOKUP(D1025,'AMFI DATA_2023H2'!F:L,'AMFI DATA_2023H2'!L:L)</f>
        <v>1083</v>
      </c>
      <c r="B1025" s="4" t="s">
        <v>3074</v>
      </c>
      <c r="C1025" s="4" t="s">
        <v>3075</v>
      </c>
      <c r="D1025" s="5" t="s">
        <v>3076</v>
      </c>
      <c r="E1025" s="5">
        <v>782.6</v>
      </c>
      <c r="F1025" s="6">
        <f>LOOKUP(D1025,'AMFI DATA_2023H2'!F:J,'AMFI DATA_2023H2'!J:J)</f>
        <v>1378.0216</v>
      </c>
      <c r="G1025" s="7">
        <f t="shared" si="4"/>
        <v>-1</v>
      </c>
      <c r="H1025" s="8"/>
      <c r="I1025" s="8">
        <v>1575</v>
      </c>
      <c r="J1025" s="8">
        <v>1611</v>
      </c>
      <c r="K1025" s="8">
        <v>1626</v>
      </c>
      <c r="L1025" s="8">
        <v>1644</v>
      </c>
      <c r="M1025" s="8">
        <v>1493</v>
      </c>
      <c r="N1025" s="8">
        <v>1519</v>
      </c>
      <c r="O1025" s="8">
        <v>1532</v>
      </c>
      <c r="P1025" s="8">
        <v>1550</v>
      </c>
      <c r="Q1025" s="8">
        <v>1511</v>
      </c>
      <c r="R1025" s="8">
        <v>1545</v>
      </c>
      <c r="S1025" s="8">
        <v>1574</v>
      </c>
      <c r="T1025" s="8">
        <v>1566</v>
      </c>
      <c r="U1025" s="8">
        <v>1567</v>
      </c>
      <c r="V1025" s="8">
        <v>1588</v>
      </c>
      <c r="W1025" s="8">
        <v>1592</v>
      </c>
      <c r="X1025" s="8">
        <v>1576</v>
      </c>
      <c r="Y1025" s="8">
        <v>1596</v>
      </c>
      <c r="Z1025" s="8">
        <v>1607</v>
      </c>
      <c r="AA1025" s="8">
        <v>1614</v>
      </c>
      <c r="AB1025" s="8">
        <v>1589</v>
      </c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</row>
    <row r="1026" spans="1:47" ht="14.4">
      <c r="A1026" s="3">
        <f>LOOKUP(D1026,'AMFI DATA_2023H2'!F:L,'AMFI DATA_2023H2'!L:L)</f>
        <v>1084</v>
      </c>
      <c r="B1026" s="4" t="s">
        <v>3077</v>
      </c>
      <c r="C1026" s="4" t="s">
        <v>3078</v>
      </c>
      <c r="D1026" s="5" t="s">
        <v>3079</v>
      </c>
      <c r="E1026" s="5">
        <v>725.56</v>
      </c>
      <c r="F1026" s="6">
        <f>LOOKUP(D1026,'AMFI DATA_2023H2'!F:J,'AMFI DATA_2023H2'!J:J)</f>
        <v>1377.2135499999999</v>
      </c>
      <c r="G1026" s="7">
        <f t="shared" si="4"/>
        <v>-1</v>
      </c>
      <c r="H1026" s="8"/>
      <c r="I1026" s="8">
        <v>1866</v>
      </c>
      <c r="J1026" s="8">
        <v>1874</v>
      </c>
      <c r="K1026" s="8">
        <v>1714</v>
      </c>
      <c r="L1026" s="8">
        <v>1744</v>
      </c>
      <c r="M1026" s="8">
        <v>1826</v>
      </c>
      <c r="N1026" s="8">
        <v>1602</v>
      </c>
      <c r="O1026" s="8">
        <v>1639</v>
      </c>
      <c r="P1026" s="8">
        <v>1635</v>
      </c>
      <c r="Q1026" s="8">
        <v>1591</v>
      </c>
      <c r="R1026" s="8">
        <v>1599</v>
      </c>
      <c r="S1026" s="8">
        <v>1641</v>
      </c>
      <c r="T1026" s="8">
        <v>1655</v>
      </c>
      <c r="U1026" s="8">
        <v>1617</v>
      </c>
      <c r="V1026" s="8">
        <v>1582</v>
      </c>
      <c r="W1026" s="8">
        <v>1626</v>
      </c>
      <c r="X1026" s="8">
        <v>1523</v>
      </c>
      <c r="Y1026" s="8">
        <v>1518</v>
      </c>
      <c r="Z1026" s="8">
        <v>1541</v>
      </c>
      <c r="AA1026" s="8">
        <v>1589</v>
      </c>
      <c r="AB1026" s="8">
        <v>1578</v>
      </c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</row>
    <row r="1027" spans="1:47" ht="14.4">
      <c r="A1027" s="3">
        <f>LOOKUP(D1027,'AMFI DATA_2023H2'!F:L,'AMFI DATA_2023H2'!L:L)</f>
        <v>1086</v>
      </c>
      <c r="B1027" s="4" t="s">
        <v>3080</v>
      </c>
      <c r="C1027" s="4" t="s">
        <v>3081</v>
      </c>
      <c r="D1027" s="5" t="s">
        <v>3082</v>
      </c>
      <c r="E1027" s="5">
        <v>1068.18</v>
      </c>
      <c r="F1027" s="6">
        <f>LOOKUP(D1027,'AMFI DATA_2023H2'!F:J,'AMFI DATA_2023H2'!J:J)</f>
        <v>1375.0419999999999</v>
      </c>
      <c r="G1027" s="7">
        <f t="shared" si="4"/>
        <v>-1</v>
      </c>
      <c r="H1027" s="8"/>
      <c r="I1027" s="8">
        <v>1917</v>
      </c>
      <c r="J1027" s="8">
        <v>1906</v>
      </c>
      <c r="K1027" s="8">
        <v>1903</v>
      </c>
      <c r="L1027" s="8">
        <v>1935</v>
      </c>
      <c r="M1027" s="8">
        <v>1989</v>
      </c>
      <c r="N1027" s="8">
        <v>1988</v>
      </c>
      <c r="O1027" s="8">
        <v>1991</v>
      </c>
      <c r="P1027" s="8">
        <v>1999</v>
      </c>
      <c r="Q1027" s="8">
        <v>1992</v>
      </c>
      <c r="R1027" s="8">
        <v>2010</v>
      </c>
      <c r="S1027" s="8">
        <v>1982</v>
      </c>
      <c r="T1027" s="8">
        <v>2010</v>
      </c>
      <c r="U1027" s="8">
        <v>2001</v>
      </c>
      <c r="V1027" s="8">
        <v>1888</v>
      </c>
      <c r="W1027" s="8">
        <v>1913</v>
      </c>
      <c r="X1027" s="8">
        <v>1872</v>
      </c>
      <c r="Y1027" s="8">
        <v>1866</v>
      </c>
      <c r="Z1027" s="8">
        <v>1957</v>
      </c>
      <c r="AA1027" s="8">
        <v>1903</v>
      </c>
      <c r="AB1027" s="8">
        <v>1895</v>
      </c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</row>
    <row r="1028" spans="1:47" ht="14.4">
      <c r="A1028" s="3">
        <f>LOOKUP(D1028,'AMFI DATA_2023H2'!F:L,'AMFI DATA_2023H2'!L:L)</f>
        <v>1088</v>
      </c>
      <c r="B1028" s="4" t="s">
        <v>3083</v>
      </c>
      <c r="C1028" s="4" t="s">
        <v>3084</v>
      </c>
      <c r="D1028" s="5" t="s">
        <v>3085</v>
      </c>
      <c r="E1028" s="5">
        <v>1300.54</v>
      </c>
      <c r="F1028" s="6">
        <f>LOOKUP(D1028,'AMFI DATA_2023H2'!F:J,'AMFI DATA_2023H2'!J:J)</f>
        <v>1362.26135</v>
      </c>
      <c r="G1028" s="7">
        <f t="shared" si="4"/>
        <v>-1</v>
      </c>
      <c r="H1028" s="8"/>
      <c r="I1028" s="8">
        <v>1606</v>
      </c>
      <c r="J1028" s="8">
        <v>1593</v>
      </c>
      <c r="K1028" s="8">
        <v>1548</v>
      </c>
      <c r="L1028" s="8">
        <v>1523</v>
      </c>
      <c r="M1028" s="8">
        <v>1551</v>
      </c>
      <c r="N1028" s="8">
        <v>1557</v>
      </c>
      <c r="O1028" s="8">
        <v>1567</v>
      </c>
      <c r="P1028" s="8">
        <v>1568</v>
      </c>
      <c r="Q1028" s="8">
        <v>1393</v>
      </c>
      <c r="R1028" s="8">
        <v>1372</v>
      </c>
      <c r="S1028" s="8">
        <v>1386</v>
      </c>
      <c r="T1028" s="8">
        <v>1380</v>
      </c>
      <c r="U1028" s="8">
        <v>1373</v>
      </c>
      <c r="V1028" s="8">
        <v>1386</v>
      </c>
      <c r="W1028" s="8">
        <v>1391</v>
      </c>
      <c r="X1028" s="8">
        <v>1400</v>
      </c>
      <c r="Y1028" s="8">
        <v>1403</v>
      </c>
      <c r="Z1028" s="8">
        <v>1410</v>
      </c>
      <c r="AA1028" s="8">
        <v>1365</v>
      </c>
      <c r="AB1028" s="8">
        <v>1329</v>
      </c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</row>
    <row r="1029" spans="1:47" ht="14.4">
      <c r="A1029" s="3">
        <f>LOOKUP(D1029,'AMFI DATA_2023H2'!F:L,'AMFI DATA_2023H2'!L:L)</f>
        <v>1089</v>
      </c>
      <c r="B1029" s="4" t="s">
        <v>3086</v>
      </c>
      <c r="C1029" s="4" t="s">
        <v>3087</v>
      </c>
      <c r="D1029" s="5" t="s">
        <v>3088</v>
      </c>
      <c r="E1029" s="5">
        <v>708.91</v>
      </c>
      <c r="F1029" s="6">
        <f>LOOKUP(D1029,'AMFI DATA_2023H2'!F:J,'AMFI DATA_2023H2'!J:J)</f>
        <v>1361.9275</v>
      </c>
      <c r="G1029" s="7">
        <f t="shared" si="4"/>
        <v>-1</v>
      </c>
      <c r="H1029" s="8"/>
      <c r="I1029" s="8">
        <v>2985</v>
      </c>
      <c r="J1029" s="8">
        <v>2832</v>
      </c>
      <c r="K1029" s="8">
        <v>2707</v>
      </c>
      <c r="L1029" s="8">
        <v>2579</v>
      </c>
      <c r="M1029" s="8">
        <v>2586</v>
      </c>
      <c r="N1029" s="8">
        <v>2572</v>
      </c>
      <c r="O1029" s="8">
        <v>2658</v>
      </c>
      <c r="P1029" s="8">
        <v>2533</v>
      </c>
      <c r="Q1029" s="8">
        <v>2568</v>
      </c>
      <c r="R1029" s="8">
        <v>2622</v>
      </c>
      <c r="S1029" s="8">
        <v>2370</v>
      </c>
      <c r="T1029" s="8">
        <v>2299</v>
      </c>
      <c r="U1029" s="8">
        <v>2189</v>
      </c>
      <c r="V1029" s="8">
        <v>2086</v>
      </c>
      <c r="W1029" s="8">
        <v>2146</v>
      </c>
      <c r="X1029" s="8">
        <v>2159</v>
      </c>
      <c r="Y1029" s="8">
        <v>2159</v>
      </c>
      <c r="Z1029" s="8">
        <v>2215</v>
      </c>
      <c r="AA1029" s="8">
        <v>2267</v>
      </c>
      <c r="AB1029" s="8">
        <v>2256</v>
      </c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</row>
    <row r="1030" spans="1:47" ht="14.4">
      <c r="A1030" s="3">
        <f>LOOKUP(D1030,'AMFI DATA_2023H2'!F:L,'AMFI DATA_2023H2'!L:L)</f>
        <v>1090</v>
      </c>
      <c r="B1030" s="4" t="s">
        <v>3089</v>
      </c>
      <c r="C1030" s="4" t="s">
        <v>3090</v>
      </c>
      <c r="D1030" s="5" t="s">
        <v>3091</v>
      </c>
      <c r="E1030" s="5">
        <v>890.76</v>
      </c>
      <c r="F1030" s="6">
        <f>LOOKUP(D1030,'AMFI DATA_2023H2'!F:J,'AMFI DATA_2023H2'!J:J)</f>
        <v>1361.9022500000001</v>
      </c>
      <c r="G1030" s="7">
        <f t="shared" si="4"/>
        <v>-1</v>
      </c>
      <c r="H1030" s="8"/>
      <c r="I1030" s="8">
        <v>1542</v>
      </c>
      <c r="J1030" s="8">
        <v>1480</v>
      </c>
      <c r="K1030" s="8">
        <v>1517</v>
      </c>
      <c r="L1030" s="8">
        <v>1534</v>
      </c>
      <c r="M1030" s="8">
        <v>1553</v>
      </c>
      <c r="N1030" s="8">
        <v>1498</v>
      </c>
      <c r="O1030" s="8">
        <v>1494</v>
      </c>
      <c r="P1030" s="8">
        <v>1494</v>
      </c>
      <c r="Q1030" s="8">
        <v>1481</v>
      </c>
      <c r="R1030" s="8">
        <v>1496</v>
      </c>
      <c r="S1030" s="8">
        <v>1495</v>
      </c>
      <c r="T1030" s="8">
        <v>1508</v>
      </c>
      <c r="U1030" s="8">
        <v>1509</v>
      </c>
      <c r="V1030" s="8">
        <v>1491</v>
      </c>
      <c r="W1030" s="8">
        <v>1521</v>
      </c>
      <c r="X1030" s="8">
        <v>1520</v>
      </c>
      <c r="Y1030" s="8">
        <v>1531</v>
      </c>
      <c r="Z1030" s="8">
        <v>1549</v>
      </c>
      <c r="AA1030" s="8">
        <v>1512</v>
      </c>
      <c r="AB1030" s="8">
        <v>1549</v>
      </c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</row>
    <row r="1031" spans="1:47" ht="14.4">
      <c r="A1031" s="3">
        <f>LOOKUP(D1031,'AMFI DATA_2023H2'!F:L,'AMFI DATA_2023H2'!L:L)</f>
        <v>1091</v>
      </c>
      <c r="B1031" s="4" t="s">
        <v>3092</v>
      </c>
      <c r="C1031" s="4" t="s">
        <v>3093</v>
      </c>
      <c r="D1031" s="5" t="s">
        <v>3094</v>
      </c>
      <c r="E1031" s="5">
        <v>1303.8800000000001</v>
      </c>
      <c r="F1031" s="6">
        <f>LOOKUP(D1031,'AMFI DATA_2023H2'!F:J,'AMFI DATA_2023H2'!J:J)</f>
        <v>1356.4466500000001</v>
      </c>
      <c r="G1031" s="7">
        <f t="shared" si="4"/>
        <v>-1</v>
      </c>
      <c r="H1031" s="8"/>
      <c r="I1031" s="8">
        <v>1328</v>
      </c>
      <c r="J1031" s="8">
        <v>1282</v>
      </c>
      <c r="K1031" s="8">
        <v>1301</v>
      </c>
      <c r="L1031" s="8">
        <v>1306</v>
      </c>
      <c r="M1031" s="8">
        <v>1332</v>
      </c>
      <c r="N1031" s="8">
        <v>1308</v>
      </c>
      <c r="O1031" s="8">
        <v>1320</v>
      </c>
      <c r="P1031" s="8">
        <v>1347</v>
      </c>
      <c r="Q1031" s="8">
        <v>1342</v>
      </c>
      <c r="R1031" s="8">
        <v>1382</v>
      </c>
      <c r="S1031" s="8">
        <v>1385</v>
      </c>
      <c r="T1031" s="8">
        <v>1344</v>
      </c>
      <c r="U1031" s="8">
        <v>1313</v>
      </c>
      <c r="V1031" s="8">
        <v>1302</v>
      </c>
      <c r="W1031" s="8">
        <v>1310</v>
      </c>
      <c r="X1031" s="8">
        <v>1323</v>
      </c>
      <c r="Y1031" s="8">
        <v>1314</v>
      </c>
      <c r="Z1031" s="8">
        <v>1310</v>
      </c>
      <c r="AA1031" s="8">
        <v>1303</v>
      </c>
      <c r="AB1031" s="8">
        <v>1316</v>
      </c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</row>
    <row r="1032" spans="1:47" ht="14.4">
      <c r="A1032" s="3">
        <f>LOOKUP(D1032,'AMFI DATA_2023H2'!F:L,'AMFI DATA_2023H2'!L:L)</f>
        <v>1093</v>
      </c>
      <c r="B1032" s="4" t="s">
        <v>3095</v>
      </c>
      <c r="C1032" s="4" t="s">
        <v>3096</v>
      </c>
      <c r="D1032" s="5" t="s">
        <v>3097</v>
      </c>
      <c r="E1032" s="5">
        <v>1089.3800000000001</v>
      </c>
      <c r="F1032" s="6">
        <f>LOOKUP(D1032,'AMFI DATA_2023H2'!F:J,'AMFI DATA_2023H2'!J:J)</f>
        <v>1352.14825</v>
      </c>
      <c r="G1032" s="7">
        <f t="shared" si="4"/>
        <v>-1</v>
      </c>
      <c r="H1032" s="8"/>
      <c r="I1032" s="8">
        <v>1452</v>
      </c>
      <c r="J1032" s="8">
        <v>1457</v>
      </c>
      <c r="K1032" s="8">
        <v>1471</v>
      </c>
      <c r="L1032" s="8">
        <v>1450</v>
      </c>
      <c r="M1032" s="8">
        <v>1453</v>
      </c>
      <c r="N1032" s="8">
        <v>1488</v>
      </c>
      <c r="O1032" s="8">
        <v>1509</v>
      </c>
      <c r="P1032" s="8">
        <v>1514</v>
      </c>
      <c r="Q1032" s="8">
        <v>1546</v>
      </c>
      <c r="R1032" s="8">
        <v>1539</v>
      </c>
      <c r="S1032" s="8">
        <v>1564</v>
      </c>
      <c r="T1032" s="8">
        <v>1588</v>
      </c>
      <c r="U1032" s="8">
        <v>1590</v>
      </c>
      <c r="V1032" s="8">
        <v>1607</v>
      </c>
      <c r="W1032" s="8">
        <v>1629</v>
      </c>
      <c r="X1032" s="8">
        <v>1622</v>
      </c>
      <c r="Y1032" s="8">
        <v>1561</v>
      </c>
      <c r="Z1032" s="8">
        <v>1534</v>
      </c>
      <c r="AA1032" s="8">
        <v>1525</v>
      </c>
      <c r="AB1032" s="8">
        <v>1487</v>
      </c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</row>
    <row r="1033" spans="1:47" ht="14.4">
      <c r="A1033" s="3">
        <f>LOOKUP(D1033,'AMFI DATA_2023H2'!F:L,'AMFI DATA_2023H2'!L:L)</f>
        <v>1094</v>
      </c>
      <c r="B1033" s="4" t="s">
        <v>3098</v>
      </c>
      <c r="C1033" s="4" t="s">
        <v>3099</v>
      </c>
      <c r="D1033" s="5" t="s">
        <v>3100</v>
      </c>
      <c r="E1033" s="5">
        <v>612.20000000000005</v>
      </c>
      <c r="F1033" s="6">
        <f>LOOKUP(D1033,'AMFI DATA_2023H2'!F:J,'AMFI DATA_2023H2'!J:J)</f>
        <v>1347.6091000000001</v>
      </c>
      <c r="G1033" s="7">
        <f t="shared" si="4"/>
        <v>-1</v>
      </c>
      <c r="H1033" s="8"/>
      <c r="I1033" s="8">
        <v>1833</v>
      </c>
      <c r="J1033" s="8">
        <v>1813</v>
      </c>
      <c r="K1033" s="8">
        <v>1794</v>
      </c>
      <c r="L1033" s="8">
        <v>1816</v>
      </c>
      <c r="M1033" s="8">
        <v>1826</v>
      </c>
      <c r="N1033" s="8">
        <v>1845</v>
      </c>
      <c r="O1033" s="8">
        <v>1881</v>
      </c>
      <c r="P1033" s="8">
        <v>1888</v>
      </c>
      <c r="Q1033" s="8">
        <v>1877</v>
      </c>
      <c r="R1033" s="8">
        <v>1926</v>
      </c>
      <c r="S1033" s="8">
        <v>2018</v>
      </c>
      <c r="T1033" s="8">
        <v>1923</v>
      </c>
      <c r="U1033" s="8">
        <v>1831</v>
      </c>
      <c r="V1033" s="8">
        <v>1847</v>
      </c>
      <c r="W1033" s="8">
        <v>1759</v>
      </c>
      <c r="X1033" s="8">
        <v>1599</v>
      </c>
      <c r="Y1033" s="8">
        <v>1508</v>
      </c>
      <c r="Z1033" s="8">
        <v>1488</v>
      </c>
      <c r="AA1033" s="8">
        <v>1354</v>
      </c>
      <c r="AB1033" s="8">
        <v>1377</v>
      </c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</row>
    <row r="1034" spans="1:47" ht="14.4">
      <c r="A1034" s="3">
        <f>LOOKUP(D1034,'AMFI DATA_2023H2'!F:L,'AMFI DATA_2023H2'!L:L)</f>
        <v>1095</v>
      </c>
      <c r="B1034" s="4" t="s">
        <v>3101</v>
      </c>
      <c r="C1034" s="4" t="s">
        <v>3102</v>
      </c>
      <c r="D1034" s="5" t="s">
        <v>3103</v>
      </c>
      <c r="E1034" s="5">
        <v>1086.49</v>
      </c>
      <c r="F1034" s="6">
        <f>LOOKUP(D1034,'AMFI DATA_2023H2'!F:J,'AMFI DATA_2023H2'!J:J)</f>
        <v>1344.0871</v>
      </c>
      <c r="G1034" s="7">
        <f t="shared" si="4"/>
        <v>-1</v>
      </c>
      <c r="H1034" s="8"/>
      <c r="I1034" s="8">
        <v>1503</v>
      </c>
      <c r="J1034" s="8">
        <v>1501</v>
      </c>
      <c r="K1034" s="8">
        <v>1475</v>
      </c>
      <c r="L1034" s="8">
        <v>1492</v>
      </c>
      <c r="M1034" s="8">
        <v>1518</v>
      </c>
      <c r="N1034" s="8">
        <v>1547</v>
      </c>
      <c r="O1034" s="8">
        <v>1543</v>
      </c>
      <c r="P1034" s="8">
        <v>1579</v>
      </c>
      <c r="Q1034" s="8">
        <v>1565</v>
      </c>
      <c r="R1034" s="8">
        <v>1531</v>
      </c>
      <c r="S1034" s="8">
        <v>1558</v>
      </c>
      <c r="T1034" s="8">
        <v>1546</v>
      </c>
      <c r="U1034" s="8">
        <v>1569</v>
      </c>
      <c r="V1034" s="8">
        <v>1543</v>
      </c>
      <c r="W1034" s="8">
        <v>1494</v>
      </c>
      <c r="X1034" s="8">
        <v>1496</v>
      </c>
      <c r="Y1034" s="8">
        <v>1509</v>
      </c>
      <c r="Z1034" s="8">
        <v>1518</v>
      </c>
      <c r="AA1034" s="8">
        <v>1525</v>
      </c>
      <c r="AB1034" s="8">
        <v>1505</v>
      </c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</row>
    <row r="1035" spans="1:47" ht="14.4">
      <c r="A1035" s="3">
        <f>LOOKUP(D1035,'AMFI DATA_2023H2'!F:L,'AMFI DATA_2023H2'!L:L)</f>
        <v>1096</v>
      </c>
      <c r="B1035" s="4" t="s">
        <v>3104</v>
      </c>
      <c r="C1035" s="4" t="s">
        <v>3105</v>
      </c>
      <c r="D1035" s="5" t="s">
        <v>3106</v>
      </c>
      <c r="E1035" s="5">
        <v>402.79</v>
      </c>
      <c r="F1035" s="6">
        <f>LOOKUP(D1035,'AMFI DATA_2023H2'!F:J,'AMFI DATA_2023H2'!J:J)</f>
        <v>1335.5812999999998</v>
      </c>
      <c r="G1035" s="7">
        <f t="shared" si="4"/>
        <v>-1</v>
      </c>
      <c r="H1035" s="8"/>
      <c r="I1035" s="8">
        <v>1357</v>
      </c>
      <c r="J1035" s="8">
        <v>1368</v>
      </c>
      <c r="K1035" s="8">
        <v>1362</v>
      </c>
      <c r="L1035" s="8">
        <v>1333</v>
      </c>
      <c r="M1035" s="8">
        <v>1341</v>
      </c>
      <c r="N1035" s="8">
        <v>1365</v>
      </c>
      <c r="O1035" s="8">
        <v>1376</v>
      </c>
      <c r="P1035" s="8">
        <v>1409</v>
      </c>
      <c r="Q1035" s="8">
        <v>1383</v>
      </c>
      <c r="R1035" s="8">
        <v>1427</v>
      </c>
      <c r="S1035" s="8">
        <v>1441</v>
      </c>
      <c r="T1035" s="8">
        <v>1464</v>
      </c>
      <c r="U1035" s="8">
        <v>1480</v>
      </c>
      <c r="V1035" s="8">
        <v>1470</v>
      </c>
      <c r="W1035" s="8">
        <v>1478</v>
      </c>
      <c r="X1035" s="8">
        <v>1436</v>
      </c>
      <c r="Y1035" s="8">
        <v>1374</v>
      </c>
      <c r="Z1035" s="8">
        <v>1351</v>
      </c>
      <c r="AA1035" s="8">
        <v>1348</v>
      </c>
      <c r="AB1035" s="8">
        <v>1362</v>
      </c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</row>
    <row r="1036" spans="1:47" ht="14.4">
      <c r="A1036" s="3">
        <f>LOOKUP(D1036,'AMFI DATA_2023H2'!F:L,'AMFI DATA_2023H2'!L:L)</f>
        <v>1097</v>
      </c>
      <c r="B1036" s="4" t="s">
        <v>3107</v>
      </c>
      <c r="C1036" s="4" t="s">
        <v>3108</v>
      </c>
      <c r="D1036" s="5" t="s">
        <v>3109</v>
      </c>
      <c r="E1036" s="5">
        <v>1248.75</v>
      </c>
      <c r="F1036" s="6">
        <f>LOOKUP(D1036,'AMFI DATA_2023H2'!F:J,'AMFI DATA_2023H2'!J:J)</f>
        <v>1331.3768500000001</v>
      </c>
      <c r="G1036" s="7">
        <f t="shared" si="4"/>
        <v>-1</v>
      </c>
      <c r="H1036" s="8"/>
      <c r="I1036" s="8">
        <v>1225</v>
      </c>
      <c r="J1036" s="8">
        <v>1222</v>
      </c>
      <c r="K1036" s="8">
        <v>1254</v>
      </c>
      <c r="L1036" s="8">
        <v>1258</v>
      </c>
      <c r="M1036" s="8">
        <v>1282</v>
      </c>
      <c r="N1036" s="8">
        <v>1269</v>
      </c>
      <c r="O1036" s="8">
        <v>1272</v>
      </c>
      <c r="P1036" s="8">
        <v>1274</v>
      </c>
      <c r="Q1036" s="8">
        <v>1290</v>
      </c>
      <c r="R1036" s="8">
        <v>1283</v>
      </c>
      <c r="S1036" s="8">
        <v>1270</v>
      </c>
      <c r="T1036" s="8">
        <v>1288</v>
      </c>
      <c r="U1036" s="8">
        <v>1294</v>
      </c>
      <c r="V1036" s="8">
        <v>1279</v>
      </c>
      <c r="W1036" s="8">
        <v>1279</v>
      </c>
      <c r="X1036" s="8">
        <v>1287</v>
      </c>
      <c r="Y1036" s="8">
        <v>1243</v>
      </c>
      <c r="Z1036" s="8">
        <v>1265</v>
      </c>
      <c r="AA1036" s="8">
        <v>1200</v>
      </c>
      <c r="AB1036" s="8">
        <v>1203</v>
      </c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</row>
    <row r="1037" spans="1:47" ht="14.4">
      <c r="A1037" s="3">
        <f>LOOKUP(D1037,'AMFI DATA_2023H2'!F:L,'AMFI DATA_2023H2'!L:L)</f>
        <v>1099</v>
      </c>
      <c r="B1037" s="4" t="s">
        <v>3110</v>
      </c>
      <c r="C1037" s="4" t="s">
        <v>3111</v>
      </c>
      <c r="D1037" s="5" t="s">
        <v>3112</v>
      </c>
      <c r="E1037" s="5">
        <v>715.23</v>
      </c>
      <c r="F1037" s="6">
        <f>LOOKUP(D1037,'AMFI DATA_2023H2'!F:J,'AMFI DATA_2023H2'!J:J)</f>
        <v>1326.36825</v>
      </c>
      <c r="G1037" s="7">
        <f t="shared" si="4"/>
        <v>-1</v>
      </c>
      <c r="H1037" s="8"/>
      <c r="I1037" s="8">
        <v>1354</v>
      </c>
      <c r="J1037" s="8">
        <v>1317</v>
      </c>
      <c r="K1037" s="8">
        <v>1328</v>
      </c>
      <c r="L1037" s="8">
        <v>1327</v>
      </c>
      <c r="M1037" s="8">
        <v>1351</v>
      </c>
      <c r="N1037" s="8">
        <v>1346</v>
      </c>
      <c r="O1037" s="8">
        <v>1389</v>
      </c>
      <c r="P1037" s="8">
        <v>1393</v>
      </c>
      <c r="Q1037" s="8">
        <v>1322</v>
      </c>
      <c r="R1037" s="8">
        <v>1339</v>
      </c>
      <c r="S1037" s="8">
        <v>1357</v>
      </c>
      <c r="T1037" s="8">
        <v>1336</v>
      </c>
      <c r="U1037" s="8">
        <v>1341</v>
      </c>
      <c r="V1037" s="8">
        <v>1317</v>
      </c>
      <c r="W1037" s="8">
        <v>1291</v>
      </c>
      <c r="X1037" s="8">
        <v>1277</v>
      </c>
      <c r="Y1037" s="8">
        <v>1295</v>
      </c>
      <c r="Z1037" s="8">
        <v>1308</v>
      </c>
      <c r="AA1037" s="8">
        <v>1314</v>
      </c>
      <c r="AB1037" s="8">
        <v>1322</v>
      </c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</row>
    <row r="1038" spans="1:47" ht="14.4">
      <c r="A1038" s="3">
        <f>LOOKUP(D1038,'AMFI DATA_2023H2'!F:L,'AMFI DATA_2023H2'!L:L)</f>
        <v>1101</v>
      </c>
      <c r="B1038" s="4" t="s">
        <v>3113</v>
      </c>
      <c r="C1038" s="4" t="s">
        <v>3114</v>
      </c>
      <c r="D1038" s="5" t="s">
        <v>3115</v>
      </c>
      <c r="E1038" s="5">
        <v>923.52</v>
      </c>
      <c r="F1038" s="6">
        <f>LOOKUP(D1038,'AMFI DATA_2023H2'!F:J,'AMFI DATA_2023H2'!J:J)</f>
        <v>1320.0871</v>
      </c>
      <c r="G1038" s="7">
        <f t="shared" si="4"/>
        <v>-1</v>
      </c>
      <c r="H1038" s="8"/>
      <c r="I1038" s="8">
        <v>1599</v>
      </c>
      <c r="J1038" s="8">
        <v>1604</v>
      </c>
      <c r="K1038" s="8">
        <v>1479</v>
      </c>
      <c r="L1038" s="8">
        <v>1519</v>
      </c>
      <c r="M1038" s="8">
        <v>1468</v>
      </c>
      <c r="N1038" s="8">
        <v>1424</v>
      </c>
      <c r="O1038" s="8">
        <v>1429</v>
      </c>
      <c r="P1038" s="8">
        <v>1428</v>
      </c>
      <c r="Q1038" s="8">
        <v>1436</v>
      </c>
      <c r="R1038" s="8">
        <v>1456</v>
      </c>
      <c r="S1038" s="8">
        <v>1473</v>
      </c>
      <c r="T1038" s="8">
        <v>1477</v>
      </c>
      <c r="U1038" s="8">
        <v>1415</v>
      </c>
      <c r="V1038" s="8">
        <v>1436</v>
      </c>
      <c r="W1038" s="8">
        <v>1435</v>
      </c>
      <c r="X1038" s="8">
        <v>1384</v>
      </c>
      <c r="Y1038" s="8">
        <v>1367</v>
      </c>
      <c r="Z1038" s="8">
        <v>1391</v>
      </c>
      <c r="AA1038" s="8">
        <v>1377</v>
      </c>
      <c r="AB1038" s="8">
        <v>1407</v>
      </c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</row>
    <row r="1039" spans="1:47" ht="14.4">
      <c r="A1039" s="3">
        <f>LOOKUP(D1039,'AMFI DATA_2023H2'!F:L,'AMFI DATA_2023H2'!L:L)</f>
        <v>1102</v>
      </c>
      <c r="B1039" s="4" t="s">
        <v>3116</v>
      </c>
      <c r="C1039" s="4" t="s">
        <v>3117</v>
      </c>
      <c r="D1039" s="5" t="s">
        <v>3118</v>
      </c>
      <c r="E1039" s="5">
        <v>1066.6199999999999</v>
      </c>
      <c r="F1039" s="6">
        <f>LOOKUP(D1039,'AMFI DATA_2023H2'!F:J,'AMFI DATA_2023H2'!J:J)</f>
        <v>1318.8732500000001</v>
      </c>
      <c r="G1039" s="7">
        <f t="shared" si="4"/>
        <v>-1</v>
      </c>
      <c r="H1039" s="8"/>
      <c r="I1039" s="8">
        <v>1815</v>
      </c>
      <c r="J1039" s="8">
        <v>1787</v>
      </c>
      <c r="K1039" s="8">
        <v>1805</v>
      </c>
      <c r="L1039" s="8">
        <v>1798</v>
      </c>
      <c r="M1039" s="8">
        <v>1775</v>
      </c>
      <c r="N1039" s="8">
        <v>1765</v>
      </c>
      <c r="O1039" s="8">
        <v>1762</v>
      </c>
      <c r="P1039" s="8">
        <v>1748</v>
      </c>
      <c r="Q1039" s="8">
        <v>1785</v>
      </c>
      <c r="R1039" s="8">
        <v>1766</v>
      </c>
      <c r="S1039" s="8">
        <v>1813</v>
      </c>
      <c r="T1039" s="8">
        <v>1862</v>
      </c>
      <c r="U1039" s="8">
        <v>1860</v>
      </c>
      <c r="V1039" s="8">
        <v>1882</v>
      </c>
      <c r="W1039" s="8">
        <v>1858</v>
      </c>
      <c r="X1039" s="8">
        <v>1782</v>
      </c>
      <c r="Y1039" s="8">
        <v>1767</v>
      </c>
      <c r="Z1039" s="8">
        <v>1684</v>
      </c>
      <c r="AA1039" s="8">
        <v>1732</v>
      </c>
      <c r="AB1039" s="8">
        <v>1711</v>
      </c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</row>
    <row r="1040" spans="1:47" ht="14.4">
      <c r="A1040" s="3">
        <f>LOOKUP(D1040,'AMFI DATA_2023H2'!F:L,'AMFI DATA_2023H2'!L:L)</f>
        <v>1104</v>
      </c>
      <c r="B1040" s="4" t="s">
        <v>3119</v>
      </c>
      <c r="C1040" s="4" t="s">
        <v>3120</v>
      </c>
      <c r="D1040" s="5" t="s">
        <v>3121</v>
      </c>
      <c r="E1040" s="5">
        <v>931.5</v>
      </c>
      <c r="F1040" s="6">
        <f>LOOKUP(D1040,'AMFI DATA_2023H2'!F:J,'AMFI DATA_2023H2'!J:J)</f>
        <v>1313.4519500000001</v>
      </c>
      <c r="G1040" s="7">
        <f t="shared" si="4"/>
        <v>-1</v>
      </c>
      <c r="H1040" s="8"/>
      <c r="I1040" s="8">
        <v>2386</v>
      </c>
      <c r="J1040" s="8">
        <v>2423</v>
      </c>
      <c r="K1040" s="8">
        <v>2418</v>
      </c>
      <c r="L1040" s="8">
        <v>2275</v>
      </c>
      <c r="M1040" s="8">
        <v>2094</v>
      </c>
      <c r="N1040" s="8">
        <v>1746</v>
      </c>
      <c r="O1040" s="8">
        <v>1736</v>
      </c>
      <c r="P1040" s="8">
        <v>1662</v>
      </c>
      <c r="Q1040" s="8">
        <v>1655</v>
      </c>
      <c r="R1040" s="8">
        <v>1658</v>
      </c>
      <c r="S1040" s="8">
        <v>1686</v>
      </c>
      <c r="T1040" s="8">
        <v>1722</v>
      </c>
      <c r="U1040" s="8">
        <v>1722</v>
      </c>
      <c r="V1040" s="8">
        <v>1747</v>
      </c>
      <c r="W1040" s="8">
        <v>1722</v>
      </c>
      <c r="X1040" s="8">
        <v>1678</v>
      </c>
      <c r="Y1040" s="8">
        <v>1679</v>
      </c>
      <c r="Z1040" s="8">
        <v>1663</v>
      </c>
      <c r="AA1040" s="8">
        <v>1699</v>
      </c>
      <c r="AB1040" s="8">
        <v>1604</v>
      </c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</row>
    <row r="1041" spans="1:47" ht="14.4">
      <c r="A1041" s="3">
        <f>LOOKUP(D1041,'AMFI DATA_2023H2'!F:L,'AMFI DATA_2023H2'!L:L)</f>
        <v>1105</v>
      </c>
      <c r="B1041" s="4" t="s">
        <v>3122</v>
      </c>
      <c r="C1041" s="4" t="s">
        <v>3123</v>
      </c>
      <c r="D1041" s="5" t="s">
        <v>3124</v>
      </c>
      <c r="E1041" s="5">
        <v>1337.62</v>
      </c>
      <c r="F1041" s="6">
        <f>LOOKUP(D1041,'AMFI DATA_2023H2'!F:J,'AMFI DATA_2023H2'!J:J)</f>
        <v>1311.2937499999998</v>
      </c>
      <c r="G1041" s="7">
        <f t="shared" si="4"/>
        <v>-1</v>
      </c>
      <c r="H1041" s="8"/>
      <c r="I1041" s="8">
        <v>1375</v>
      </c>
      <c r="J1041" s="8">
        <v>1363</v>
      </c>
      <c r="K1041" s="8">
        <v>1387</v>
      </c>
      <c r="L1041" s="8">
        <v>1379</v>
      </c>
      <c r="M1041" s="8">
        <v>1409</v>
      </c>
      <c r="N1041" s="8">
        <v>1356</v>
      </c>
      <c r="O1041" s="8">
        <v>1368</v>
      </c>
      <c r="P1041" s="8">
        <v>1352</v>
      </c>
      <c r="Q1041" s="8">
        <v>1350</v>
      </c>
      <c r="R1041" s="8">
        <v>1352</v>
      </c>
      <c r="S1041" s="8">
        <v>1390</v>
      </c>
      <c r="T1041" s="8">
        <v>1372</v>
      </c>
      <c r="U1041" s="8">
        <v>1383</v>
      </c>
      <c r="V1041" s="8">
        <v>1409</v>
      </c>
      <c r="W1041" s="8">
        <v>1401</v>
      </c>
      <c r="X1041" s="8">
        <v>1396</v>
      </c>
      <c r="Y1041" s="8">
        <v>1388</v>
      </c>
      <c r="Z1041" s="8">
        <v>1411</v>
      </c>
      <c r="AA1041" s="8">
        <v>1359</v>
      </c>
      <c r="AB1041" s="8">
        <v>1315</v>
      </c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</row>
    <row r="1042" spans="1:47" ht="14.4">
      <c r="A1042" s="3">
        <f>LOOKUP(D1042,'AMFI DATA_2023H2'!F:L,'AMFI DATA_2023H2'!L:L)</f>
        <v>1106</v>
      </c>
      <c r="B1042" s="4" t="s">
        <v>3125</v>
      </c>
      <c r="C1042" s="4" t="s">
        <v>3126</v>
      </c>
      <c r="D1042" s="5" t="s">
        <v>3127</v>
      </c>
      <c r="E1042" s="5">
        <v>1400.57</v>
      </c>
      <c r="F1042" s="6">
        <f>LOOKUP(D1042,'AMFI DATA_2023H2'!F:J,'AMFI DATA_2023H2'!J:J)</f>
        <v>1309.2844500000001</v>
      </c>
      <c r="G1042" s="7">
        <f t="shared" si="4"/>
        <v>-1</v>
      </c>
      <c r="H1042" s="8"/>
      <c r="I1042" s="8">
        <v>1416</v>
      </c>
      <c r="J1042" s="8">
        <v>1380</v>
      </c>
      <c r="K1042" s="8">
        <v>1397</v>
      </c>
      <c r="L1042" s="8">
        <v>1419</v>
      </c>
      <c r="M1042" s="8">
        <v>1421</v>
      </c>
      <c r="N1042" s="8">
        <v>1449</v>
      </c>
      <c r="O1042" s="8">
        <v>1454</v>
      </c>
      <c r="P1042" s="8">
        <v>1419</v>
      </c>
      <c r="Q1042" s="8">
        <v>1431</v>
      </c>
      <c r="R1042" s="8">
        <v>1453</v>
      </c>
      <c r="S1042" s="8">
        <v>1477</v>
      </c>
      <c r="T1042" s="8">
        <v>1474</v>
      </c>
      <c r="U1042" s="8">
        <v>1459</v>
      </c>
      <c r="V1042" s="8">
        <v>1475</v>
      </c>
      <c r="W1042" s="8">
        <v>1440</v>
      </c>
      <c r="X1042" s="8">
        <v>1391</v>
      </c>
      <c r="Y1042" s="8">
        <v>1371</v>
      </c>
      <c r="Z1042" s="8">
        <v>1384</v>
      </c>
      <c r="AA1042" s="8">
        <v>1376</v>
      </c>
      <c r="AB1042" s="8">
        <v>1378</v>
      </c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</row>
    <row r="1043" spans="1:47" ht="14.4">
      <c r="A1043" s="3">
        <f>LOOKUP(D1043,'AMFI DATA_2023H2'!F:L,'AMFI DATA_2023H2'!L:L)</f>
        <v>1107</v>
      </c>
      <c r="B1043" s="4" t="s">
        <v>3128</v>
      </c>
      <c r="C1043" s="4" t="s">
        <v>3129</v>
      </c>
      <c r="D1043" s="5" t="s">
        <v>3130</v>
      </c>
      <c r="E1043" s="5">
        <v>1088.6600000000001</v>
      </c>
      <c r="F1043" s="6">
        <f>LOOKUP(D1043,'AMFI DATA_2023H2'!F:J,'AMFI DATA_2023H2'!J:J)</f>
        <v>1304.5520999999999</v>
      </c>
      <c r="G1043" s="7">
        <f t="shared" si="4"/>
        <v>-1</v>
      </c>
      <c r="H1043" s="8"/>
      <c r="I1043" s="8">
        <v>1499</v>
      </c>
      <c r="J1043" s="8">
        <v>1503</v>
      </c>
      <c r="K1043" s="8">
        <v>1481</v>
      </c>
      <c r="L1043" s="8">
        <v>1517</v>
      </c>
      <c r="M1043" s="8">
        <v>1510</v>
      </c>
      <c r="N1043" s="8">
        <v>1466</v>
      </c>
      <c r="O1043" s="8">
        <v>1458</v>
      </c>
      <c r="P1043" s="8">
        <v>1440</v>
      </c>
      <c r="Q1043" s="8">
        <v>1467</v>
      </c>
      <c r="R1043" s="8">
        <v>1476</v>
      </c>
      <c r="S1043" s="8">
        <v>1495</v>
      </c>
      <c r="T1043" s="8">
        <v>1502</v>
      </c>
      <c r="U1043" s="8">
        <v>1481</v>
      </c>
      <c r="V1043" s="8">
        <v>1492</v>
      </c>
      <c r="W1043" s="8">
        <v>1509</v>
      </c>
      <c r="X1043" s="8">
        <v>1445</v>
      </c>
      <c r="Y1043" s="8">
        <v>1476</v>
      </c>
      <c r="Z1043" s="8">
        <v>1454</v>
      </c>
      <c r="AA1043" s="8">
        <v>1465</v>
      </c>
      <c r="AB1043" s="8">
        <v>1448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</row>
    <row r="1044" spans="1:47" ht="14.4">
      <c r="A1044" s="3">
        <f>LOOKUP(D1044,'AMFI DATA_2023H2'!F:L,'AMFI DATA_2023H2'!L:L)</f>
        <v>1108</v>
      </c>
      <c r="B1044" s="4" t="s">
        <v>3131</v>
      </c>
      <c r="C1044" s="4" t="s">
        <v>3132</v>
      </c>
      <c r="D1044" s="5" t="s">
        <v>3133</v>
      </c>
      <c r="E1044" s="5">
        <v>1238.31</v>
      </c>
      <c r="F1044" s="6">
        <f>LOOKUP(D1044,'AMFI DATA_2023H2'!F:J,'AMFI DATA_2023H2'!J:J)</f>
        <v>1304.4780000000001</v>
      </c>
      <c r="G1044" s="7">
        <f t="shared" si="4"/>
        <v>-1</v>
      </c>
      <c r="H1044" s="8"/>
      <c r="I1044" s="8">
        <v>1398</v>
      </c>
      <c r="J1044" s="8">
        <v>1414</v>
      </c>
      <c r="K1044" s="8">
        <v>1405</v>
      </c>
      <c r="L1044" s="8">
        <v>1422</v>
      </c>
      <c r="M1044" s="8">
        <v>1450</v>
      </c>
      <c r="N1044" s="8">
        <v>1490</v>
      </c>
      <c r="O1044" s="8">
        <v>1522</v>
      </c>
      <c r="P1044" s="8">
        <v>1547</v>
      </c>
      <c r="Q1044" s="8">
        <v>1477</v>
      </c>
      <c r="R1044" s="8">
        <v>1522</v>
      </c>
      <c r="S1044" s="8">
        <v>1510</v>
      </c>
      <c r="T1044" s="8">
        <v>1418</v>
      </c>
      <c r="U1044" s="8">
        <v>1387</v>
      </c>
      <c r="V1044" s="8">
        <v>1389</v>
      </c>
      <c r="W1044" s="8">
        <v>1371</v>
      </c>
      <c r="X1044" s="8">
        <v>1362</v>
      </c>
      <c r="Y1044" s="8">
        <v>1374</v>
      </c>
      <c r="Z1044" s="8">
        <v>1369</v>
      </c>
      <c r="AA1044" s="8">
        <v>1407</v>
      </c>
      <c r="AB1044" s="8">
        <v>1376</v>
      </c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</row>
    <row r="1045" spans="1:47" ht="14.4">
      <c r="A1045" s="3">
        <f>LOOKUP(D1045,'AMFI DATA_2023H2'!F:L,'AMFI DATA_2023H2'!L:L)</f>
        <v>1109</v>
      </c>
      <c r="B1045" s="4" t="s">
        <v>3134</v>
      </c>
      <c r="C1045" s="4" t="s">
        <v>3135</v>
      </c>
      <c r="D1045" s="5" t="s">
        <v>3136</v>
      </c>
      <c r="E1045" s="5">
        <v>703.37</v>
      </c>
      <c r="F1045" s="6">
        <f>LOOKUP(D1045,'AMFI DATA_2023H2'!F:J,'AMFI DATA_2023H2'!J:J)</f>
        <v>1304.3957</v>
      </c>
      <c r="G1045" s="7">
        <f t="shared" si="4"/>
        <v>-1</v>
      </c>
      <c r="H1045" s="8"/>
      <c r="I1045" s="8">
        <v>1607</v>
      </c>
      <c r="J1045" s="8">
        <v>1629</v>
      </c>
      <c r="K1045" s="8">
        <v>1570</v>
      </c>
      <c r="L1045" s="8">
        <v>1571</v>
      </c>
      <c r="M1045" s="8">
        <v>1619</v>
      </c>
      <c r="N1045" s="8">
        <v>1619</v>
      </c>
      <c r="O1045" s="8">
        <v>1553</v>
      </c>
      <c r="P1045" s="8">
        <v>1522</v>
      </c>
      <c r="Q1045" s="8">
        <v>1560</v>
      </c>
      <c r="R1045" s="8">
        <v>1560</v>
      </c>
      <c r="S1045" s="8">
        <v>1584</v>
      </c>
      <c r="T1045" s="8">
        <v>1588</v>
      </c>
      <c r="U1045" s="8">
        <v>1578</v>
      </c>
      <c r="V1045" s="8">
        <v>1625</v>
      </c>
      <c r="W1045" s="8">
        <v>1594</v>
      </c>
      <c r="X1045" s="8">
        <v>1410</v>
      </c>
      <c r="Y1045" s="8">
        <v>1387</v>
      </c>
      <c r="Z1045" s="8">
        <v>1416</v>
      </c>
      <c r="AA1045" s="8">
        <v>1433</v>
      </c>
      <c r="AB1045" s="8">
        <v>1461</v>
      </c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</row>
    <row r="1046" spans="1:47" ht="14.4">
      <c r="A1046" s="3">
        <f>LOOKUP(D1046,'AMFI DATA_2023H2'!F:L,'AMFI DATA_2023H2'!L:L)</f>
        <v>1110</v>
      </c>
      <c r="B1046" s="4" t="s">
        <v>3137</v>
      </c>
      <c r="C1046" s="4" t="s">
        <v>3138</v>
      </c>
      <c r="D1046" s="5" t="s">
        <v>3139</v>
      </c>
      <c r="E1046" s="5">
        <v>1043.6199999999999</v>
      </c>
      <c r="F1046" s="6">
        <f>LOOKUP(D1046,'AMFI DATA_2023H2'!F:J,'AMFI DATA_2023H2'!J:J)</f>
        <v>1301.8539500000002</v>
      </c>
      <c r="G1046" s="7">
        <f t="shared" si="4"/>
        <v>-1</v>
      </c>
      <c r="H1046" s="8"/>
      <c r="I1046" s="8">
        <v>1672</v>
      </c>
      <c r="J1046" s="8">
        <v>1658</v>
      </c>
      <c r="K1046" s="8">
        <v>1542</v>
      </c>
      <c r="L1046" s="8">
        <v>1560</v>
      </c>
      <c r="M1046" s="8">
        <v>1621</v>
      </c>
      <c r="N1046" s="8">
        <v>1571</v>
      </c>
      <c r="O1046" s="8">
        <v>1526</v>
      </c>
      <c r="P1046" s="8">
        <v>1518</v>
      </c>
      <c r="Q1046" s="8">
        <v>1529</v>
      </c>
      <c r="R1046" s="8">
        <v>1484</v>
      </c>
      <c r="S1046" s="8">
        <v>1417</v>
      </c>
      <c r="T1046" s="8">
        <v>1443</v>
      </c>
      <c r="U1046" s="8">
        <v>1418</v>
      </c>
      <c r="V1046" s="8">
        <v>1458</v>
      </c>
      <c r="W1046" s="8">
        <v>1437</v>
      </c>
      <c r="X1046" s="8">
        <v>1376</v>
      </c>
      <c r="Y1046" s="8">
        <v>1400</v>
      </c>
      <c r="Z1046" s="8">
        <v>1385</v>
      </c>
      <c r="AA1046" s="8">
        <v>1359</v>
      </c>
      <c r="AB1046" s="8">
        <v>1349</v>
      </c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</row>
    <row r="1047" spans="1:47" ht="14.4">
      <c r="A1047" s="3">
        <f>LOOKUP(D1047,'AMFI DATA_2023H2'!F:L,'AMFI DATA_2023H2'!L:L)</f>
        <v>1112</v>
      </c>
      <c r="B1047" s="4" t="s">
        <v>3140</v>
      </c>
      <c r="C1047" s="4" t="s">
        <v>3141</v>
      </c>
      <c r="D1047" s="5" t="s">
        <v>3142</v>
      </c>
      <c r="E1047" s="5">
        <v>963.33</v>
      </c>
      <c r="F1047" s="6">
        <f>LOOKUP(D1047,'AMFI DATA_2023H2'!F:J,'AMFI DATA_2023H2'!J:J)</f>
        <v>1300.20965</v>
      </c>
      <c r="G1047" s="7">
        <f t="shared" si="4"/>
        <v>-1</v>
      </c>
      <c r="H1047" s="8"/>
      <c r="I1047" s="8">
        <v>1312</v>
      </c>
      <c r="J1047" s="8">
        <v>1305</v>
      </c>
      <c r="K1047" s="8">
        <v>1286</v>
      </c>
      <c r="L1047" s="8">
        <v>1289</v>
      </c>
      <c r="M1047" s="8">
        <v>1270</v>
      </c>
      <c r="N1047" s="8">
        <v>1279</v>
      </c>
      <c r="O1047" s="8">
        <v>1294</v>
      </c>
      <c r="P1047" s="8">
        <v>1295</v>
      </c>
      <c r="Q1047" s="8">
        <v>1303</v>
      </c>
      <c r="R1047" s="8">
        <v>1306</v>
      </c>
      <c r="S1047" s="8">
        <v>1329</v>
      </c>
      <c r="T1047" s="8">
        <v>1335</v>
      </c>
      <c r="U1047" s="8">
        <v>1338</v>
      </c>
      <c r="V1047" s="8">
        <v>1335</v>
      </c>
      <c r="W1047" s="8">
        <v>1342</v>
      </c>
      <c r="X1047" s="8">
        <v>1338</v>
      </c>
      <c r="Y1047" s="8">
        <v>1332</v>
      </c>
      <c r="Z1047" s="8">
        <v>1315</v>
      </c>
      <c r="AA1047" s="8">
        <v>1330</v>
      </c>
      <c r="AB1047" s="8">
        <v>1361</v>
      </c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</row>
    <row r="1048" spans="1:47" ht="14.4">
      <c r="A1048" s="3">
        <f>LOOKUP(D1048,'AMFI DATA_2023H2'!F:L,'AMFI DATA_2023H2'!L:L)</f>
        <v>1113</v>
      </c>
      <c r="B1048" s="4" t="s">
        <v>3143</v>
      </c>
      <c r="C1048" s="4" t="s">
        <v>3144</v>
      </c>
      <c r="D1048" s="5" t="s">
        <v>3145</v>
      </c>
      <c r="E1048" s="5">
        <v>723.97</v>
      </c>
      <c r="F1048" s="6">
        <f>LOOKUP(D1048,'AMFI DATA_2023H2'!F:J,'AMFI DATA_2023H2'!J:J)</f>
        <v>1296.8045</v>
      </c>
      <c r="G1048" s="7">
        <f t="shared" si="4"/>
        <v>-1</v>
      </c>
      <c r="H1048" s="8"/>
      <c r="I1048" s="8">
        <v>1945</v>
      </c>
      <c r="J1048" s="8">
        <v>1922</v>
      </c>
      <c r="K1048" s="8">
        <v>1926</v>
      </c>
      <c r="L1048" s="8">
        <v>1941</v>
      </c>
      <c r="M1048" s="8">
        <v>1984</v>
      </c>
      <c r="N1048" s="8">
        <v>2014</v>
      </c>
      <c r="O1048" s="8">
        <v>2000</v>
      </c>
      <c r="P1048" s="8">
        <v>1945</v>
      </c>
      <c r="Q1048" s="8">
        <v>1879</v>
      </c>
      <c r="R1048" s="8">
        <v>1885</v>
      </c>
      <c r="S1048" s="8">
        <v>1828</v>
      </c>
      <c r="T1048" s="8">
        <v>1876</v>
      </c>
      <c r="U1048" s="8">
        <v>1885</v>
      </c>
      <c r="V1048" s="8">
        <v>1909</v>
      </c>
      <c r="W1048" s="8">
        <v>1892</v>
      </c>
      <c r="X1048" s="8">
        <v>1776</v>
      </c>
      <c r="Y1048" s="8">
        <v>1798</v>
      </c>
      <c r="Z1048" s="8">
        <v>1810</v>
      </c>
      <c r="AA1048" s="8">
        <v>1870</v>
      </c>
      <c r="AB1048" s="8">
        <v>1829</v>
      </c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</row>
    <row r="1049" spans="1:47" ht="14.4">
      <c r="A1049" s="3">
        <f>LOOKUP(D1049,'AMFI DATA_2023H2'!F:L,'AMFI DATA_2023H2'!L:L)</f>
        <v>1114</v>
      </c>
      <c r="B1049" s="4" t="s">
        <v>3146</v>
      </c>
      <c r="C1049" s="4" t="s">
        <v>3147</v>
      </c>
      <c r="D1049" s="5" t="s">
        <v>3148</v>
      </c>
      <c r="E1049" s="5">
        <v>1050.94</v>
      </c>
      <c r="F1049" s="6">
        <f>LOOKUP(D1049,'AMFI DATA_2023H2'!F:J,'AMFI DATA_2023H2'!J:J)</f>
        <v>1295.6860999999999</v>
      </c>
      <c r="G1049" s="7">
        <f t="shared" si="4"/>
        <v>-1</v>
      </c>
      <c r="H1049" s="8"/>
      <c r="I1049" s="8">
        <v>1913</v>
      </c>
      <c r="J1049" s="8">
        <v>1887</v>
      </c>
      <c r="K1049" s="8">
        <v>1888</v>
      </c>
      <c r="L1049" s="8">
        <v>1915</v>
      </c>
      <c r="M1049" s="8">
        <v>1856</v>
      </c>
      <c r="N1049" s="8">
        <v>1890</v>
      </c>
      <c r="O1049" s="8">
        <v>1884</v>
      </c>
      <c r="P1049" s="8">
        <v>1888</v>
      </c>
      <c r="Q1049" s="8">
        <v>1930</v>
      </c>
      <c r="R1049" s="8">
        <v>1971</v>
      </c>
      <c r="S1049" s="8">
        <v>1933</v>
      </c>
      <c r="T1049" s="8">
        <v>1757</v>
      </c>
      <c r="U1049" s="8">
        <v>1680</v>
      </c>
      <c r="V1049" s="8">
        <v>1695</v>
      </c>
      <c r="W1049" s="8">
        <v>1709</v>
      </c>
      <c r="X1049" s="8">
        <v>1712</v>
      </c>
      <c r="Y1049" s="8">
        <v>1703</v>
      </c>
      <c r="Z1049" s="8">
        <v>1721</v>
      </c>
      <c r="AA1049" s="8">
        <v>1675</v>
      </c>
      <c r="AB1049" s="8">
        <v>1686</v>
      </c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</row>
    <row r="1050" spans="1:47" ht="14.4">
      <c r="A1050" s="3">
        <f>LOOKUP(D1050,'AMFI DATA_2023H2'!F:L,'AMFI DATA_2023H2'!L:L)</f>
        <v>1115</v>
      </c>
      <c r="B1050" s="4" t="s">
        <v>3149</v>
      </c>
      <c r="C1050" s="4" t="s">
        <v>3150</v>
      </c>
      <c r="D1050" s="5" t="s">
        <v>3151</v>
      </c>
      <c r="E1050" s="5">
        <v>1372.91</v>
      </c>
      <c r="F1050" s="6">
        <f>LOOKUP(D1050,'AMFI DATA_2023H2'!F:J,'AMFI DATA_2023H2'!J:J)</f>
        <v>1294.0595499999999</v>
      </c>
      <c r="G1050" s="7">
        <f t="shared" si="4"/>
        <v>-1</v>
      </c>
      <c r="H1050" s="8"/>
      <c r="I1050" s="8">
        <v>1932</v>
      </c>
      <c r="J1050" s="8">
        <v>1899</v>
      </c>
      <c r="K1050" s="8">
        <v>1888</v>
      </c>
      <c r="L1050" s="8">
        <v>1889</v>
      </c>
      <c r="M1050" s="8">
        <v>1872</v>
      </c>
      <c r="N1050" s="8">
        <v>1889</v>
      </c>
      <c r="O1050" s="8">
        <v>1836</v>
      </c>
      <c r="P1050" s="8">
        <v>1859</v>
      </c>
      <c r="Q1050" s="8">
        <v>1774</v>
      </c>
      <c r="R1050" s="8">
        <v>1723</v>
      </c>
      <c r="S1050" s="8">
        <v>1740</v>
      </c>
      <c r="T1050" s="8">
        <v>1672</v>
      </c>
      <c r="U1050" s="8">
        <v>1600</v>
      </c>
      <c r="V1050" s="8">
        <v>1623</v>
      </c>
      <c r="W1050" s="8">
        <v>1627</v>
      </c>
      <c r="X1050" s="8">
        <v>1550</v>
      </c>
      <c r="Y1050" s="8">
        <v>1593</v>
      </c>
      <c r="Z1050" s="8">
        <v>1596</v>
      </c>
      <c r="AA1050" s="8">
        <v>1578</v>
      </c>
      <c r="AB1050" s="8">
        <v>1578</v>
      </c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</row>
    <row r="1051" spans="1:47" ht="14.4">
      <c r="A1051" s="3">
        <f>LOOKUP(D1051,'AMFI DATA_2023H2'!F:L,'AMFI DATA_2023H2'!L:L)</f>
        <v>1116</v>
      </c>
      <c r="B1051" s="4" t="s">
        <v>3152</v>
      </c>
      <c r="C1051" s="4" t="s">
        <v>3153</v>
      </c>
      <c r="D1051" s="5" t="s">
        <v>3154</v>
      </c>
      <c r="E1051" s="5">
        <v>863.79</v>
      </c>
      <c r="F1051" s="6">
        <f>LOOKUP(D1051,'AMFI DATA_2023H2'!F:J,'AMFI DATA_2023H2'!J:J)</f>
        <v>1290.7788500000001</v>
      </c>
      <c r="G1051" s="7">
        <f t="shared" si="4"/>
        <v>-1</v>
      </c>
      <c r="H1051" s="8"/>
      <c r="I1051" s="8">
        <v>1689</v>
      </c>
      <c r="J1051" s="8">
        <v>1673</v>
      </c>
      <c r="K1051" s="8">
        <v>1599</v>
      </c>
      <c r="L1051" s="8">
        <v>1585</v>
      </c>
      <c r="M1051" s="8">
        <v>1632</v>
      </c>
      <c r="N1051" s="8">
        <v>1637</v>
      </c>
      <c r="O1051" s="8">
        <v>1638</v>
      </c>
      <c r="P1051" s="8">
        <v>1651</v>
      </c>
      <c r="Q1051" s="8">
        <v>1674</v>
      </c>
      <c r="R1051" s="8">
        <v>1681</v>
      </c>
      <c r="S1051" s="8">
        <v>1651</v>
      </c>
      <c r="T1051" s="8">
        <v>1661</v>
      </c>
      <c r="U1051" s="8">
        <v>1699</v>
      </c>
      <c r="V1051" s="8">
        <v>1665</v>
      </c>
      <c r="W1051" s="8">
        <v>1657</v>
      </c>
      <c r="X1051" s="8">
        <v>1602</v>
      </c>
      <c r="Y1051" s="8">
        <v>1622</v>
      </c>
      <c r="Z1051" s="8">
        <v>1608</v>
      </c>
      <c r="AA1051" s="8">
        <v>1604</v>
      </c>
      <c r="AB1051" s="8">
        <v>1603</v>
      </c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</row>
    <row r="1052" spans="1:47" ht="14.4">
      <c r="A1052" s="3">
        <f>LOOKUP(D1052,'AMFI DATA_2023H2'!F:L,'AMFI DATA_2023H2'!L:L)</f>
        <v>1118</v>
      </c>
      <c r="B1052" s="4" t="s">
        <v>3155</v>
      </c>
      <c r="C1052" s="4" t="s">
        <v>3156</v>
      </c>
      <c r="D1052" s="5" t="s">
        <v>3157</v>
      </c>
      <c r="E1052" s="5">
        <v>781.57</v>
      </c>
      <c r="F1052" s="6">
        <f>LOOKUP(D1052,'AMFI DATA_2023H2'!F:J,'AMFI DATA_2023H2'!J:J)</f>
        <v>1282.135</v>
      </c>
      <c r="G1052" s="7">
        <f t="shared" si="4"/>
        <v>-1</v>
      </c>
      <c r="H1052" s="8"/>
      <c r="I1052" s="8">
        <v>1522</v>
      </c>
      <c r="J1052" s="8">
        <v>1500</v>
      </c>
      <c r="K1052" s="8">
        <v>1499</v>
      </c>
      <c r="L1052" s="8">
        <v>1532</v>
      </c>
      <c r="M1052" s="8">
        <v>1550</v>
      </c>
      <c r="N1052" s="8">
        <v>1577</v>
      </c>
      <c r="O1052" s="8">
        <v>1613</v>
      </c>
      <c r="P1052" s="8">
        <v>1584</v>
      </c>
      <c r="Q1052" s="8">
        <v>1600</v>
      </c>
      <c r="R1052" s="8">
        <v>1639</v>
      </c>
      <c r="S1052" s="8">
        <v>1634</v>
      </c>
      <c r="T1052" s="8">
        <v>1638</v>
      </c>
      <c r="U1052" s="8">
        <v>1649</v>
      </c>
      <c r="V1052" s="8">
        <v>1617</v>
      </c>
      <c r="W1052" s="8">
        <v>1531</v>
      </c>
      <c r="X1052" s="8">
        <v>1442</v>
      </c>
      <c r="Y1052" s="8">
        <v>1437</v>
      </c>
      <c r="Z1052" s="8">
        <v>1448</v>
      </c>
      <c r="AA1052" s="8">
        <v>1473</v>
      </c>
      <c r="AB1052" s="8">
        <v>1464</v>
      </c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</row>
    <row r="1053" spans="1:47" ht="14.4">
      <c r="A1053" s="3">
        <f>LOOKUP(D1053,'AMFI DATA_2023H2'!F:L,'AMFI DATA_2023H2'!L:L)</f>
        <v>1119</v>
      </c>
      <c r="B1053" s="4" t="s">
        <v>3158</v>
      </c>
      <c r="C1053" s="4" t="s">
        <v>3159</v>
      </c>
      <c r="D1053" s="5" t="s">
        <v>3160</v>
      </c>
      <c r="E1053" s="5">
        <v>1360.26</v>
      </c>
      <c r="F1053" s="6">
        <f>LOOKUP(D1053,'AMFI DATA_2023H2'!F:J,'AMFI DATA_2023H2'!J:J)</f>
        <v>1279.5354499999999</v>
      </c>
      <c r="G1053" s="7">
        <f t="shared" si="4"/>
        <v>-1</v>
      </c>
      <c r="H1053" s="8"/>
      <c r="I1053" s="8">
        <v>1474</v>
      </c>
      <c r="J1053" s="8">
        <v>1534</v>
      </c>
      <c r="K1053" s="8">
        <v>1561</v>
      </c>
      <c r="L1053" s="8">
        <v>1546</v>
      </c>
      <c r="M1053" s="8">
        <v>1555</v>
      </c>
      <c r="N1053" s="8">
        <v>1499</v>
      </c>
      <c r="O1053" s="8">
        <v>1488</v>
      </c>
      <c r="P1053" s="8">
        <v>1476</v>
      </c>
      <c r="Q1053" s="8">
        <v>1488</v>
      </c>
      <c r="R1053" s="8">
        <v>1465</v>
      </c>
      <c r="S1053" s="8">
        <v>1533</v>
      </c>
      <c r="T1053" s="8">
        <v>1512</v>
      </c>
      <c r="U1053" s="8">
        <v>1510</v>
      </c>
      <c r="V1053" s="8">
        <v>1405</v>
      </c>
      <c r="W1053" s="8">
        <v>1294</v>
      </c>
      <c r="X1053" s="8">
        <v>1297</v>
      </c>
      <c r="Y1053" s="8">
        <v>1302</v>
      </c>
      <c r="Z1053" s="8">
        <v>1325</v>
      </c>
      <c r="AA1053" s="8">
        <v>1348</v>
      </c>
      <c r="AB1053" s="8">
        <v>1184</v>
      </c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</row>
    <row r="1054" spans="1:47" ht="14.4">
      <c r="A1054" s="3">
        <f>LOOKUP(D1054,'AMFI DATA_2023H2'!F:L,'AMFI DATA_2023H2'!L:L)</f>
        <v>1120</v>
      </c>
      <c r="B1054" s="4" t="s">
        <v>3161</v>
      </c>
      <c r="C1054" s="4" t="s">
        <v>3162</v>
      </c>
      <c r="D1054" s="5" t="s">
        <v>3163</v>
      </c>
      <c r="E1054" s="5">
        <v>1292.27</v>
      </c>
      <c r="F1054" s="6">
        <f>LOOKUP(D1054,'AMFI DATA_2023H2'!F:J,'AMFI DATA_2023H2'!J:J)</f>
        <v>1279.0857000000001</v>
      </c>
      <c r="G1054" s="7">
        <f t="shared" si="4"/>
        <v>-1</v>
      </c>
      <c r="H1054" s="8"/>
      <c r="I1054" s="8">
        <v>1412</v>
      </c>
      <c r="J1054" s="8">
        <v>1419</v>
      </c>
      <c r="K1054" s="8">
        <v>1399</v>
      </c>
      <c r="L1054" s="8">
        <v>1403</v>
      </c>
      <c r="M1054" s="8">
        <v>1445</v>
      </c>
      <c r="N1054" s="8">
        <v>1459</v>
      </c>
      <c r="O1054" s="8">
        <v>1467</v>
      </c>
      <c r="P1054" s="8">
        <v>1470</v>
      </c>
      <c r="Q1054" s="8">
        <v>1479</v>
      </c>
      <c r="R1054" s="8">
        <v>1493</v>
      </c>
      <c r="S1054" s="8">
        <v>1468</v>
      </c>
      <c r="T1054" s="8">
        <v>1387</v>
      </c>
      <c r="U1054" s="8">
        <v>1298</v>
      </c>
      <c r="V1054" s="8">
        <v>1302</v>
      </c>
      <c r="W1054" s="8">
        <v>1311</v>
      </c>
      <c r="X1054" s="8">
        <v>1284</v>
      </c>
      <c r="Y1054" s="8">
        <v>1236</v>
      </c>
      <c r="Z1054" s="8">
        <v>1240</v>
      </c>
      <c r="AA1054" s="8">
        <v>1240</v>
      </c>
      <c r="AB1054" s="8">
        <v>1236</v>
      </c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</row>
    <row r="1055" spans="1:47" ht="14.4">
      <c r="A1055" s="3">
        <f>LOOKUP(D1055,'AMFI DATA_2023H2'!F:L,'AMFI DATA_2023H2'!L:L)</f>
        <v>1122</v>
      </c>
      <c r="B1055" s="4" t="s">
        <v>3164</v>
      </c>
      <c r="C1055" s="4" t="s">
        <v>3165</v>
      </c>
      <c r="D1055" s="5" t="s">
        <v>3166</v>
      </c>
      <c r="E1055" s="5">
        <v>766.4</v>
      </c>
      <c r="F1055" s="6">
        <f>LOOKUP(D1055,'AMFI DATA_2023H2'!F:J,'AMFI DATA_2023H2'!J:J)</f>
        <v>1275.2889</v>
      </c>
      <c r="G1055" s="7">
        <f t="shared" si="4"/>
        <v>-1</v>
      </c>
      <c r="H1055" s="8"/>
      <c r="I1055" s="8">
        <v>1761</v>
      </c>
      <c r="J1055" s="8">
        <v>1724</v>
      </c>
      <c r="K1055" s="8">
        <v>1683</v>
      </c>
      <c r="L1055" s="8">
        <v>1684</v>
      </c>
      <c r="M1055" s="8">
        <v>1668</v>
      </c>
      <c r="N1055" s="8">
        <v>1622</v>
      </c>
      <c r="O1055" s="8">
        <v>1623</v>
      </c>
      <c r="P1055" s="8">
        <v>1652</v>
      </c>
      <c r="Q1055" s="8">
        <v>1692</v>
      </c>
      <c r="R1055" s="8">
        <v>1583</v>
      </c>
      <c r="S1055" s="8">
        <v>1547</v>
      </c>
      <c r="T1055" s="8">
        <v>1530</v>
      </c>
      <c r="U1055" s="8">
        <v>1536</v>
      </c>
      <c r="V1055" s="8">
        <v>1520</v>
      </c>
      <c r="W1055" s="8">
        <v>1473</v>
      </c>
      <c r="X1055" s="8">
        <v>1480</v>
      </c>
      <c r="Y1055" s="8">
        <v>1469</v>
      </c>
      <c r="Z1055" s="8">
        <v>1486</v>
      </c>
      <c r="AA1055" s="8">
        <v>1519</v>
      </c>
      <c r="AB1055" s="8">
        <v>1504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</row>
    <row r="1056" spans="1:47" ht="14.4">
      <c r="A1056" s="3">
        <f>LOOKUP(D1056,'AMFI DATA_2023H2'!F:L,'AMFI DATA_2023H2'!L:L)</f>
        <v>1123</v>
      </c>
      <c r="B1056" s="4" t="s">
        <v>3167</v>
      </c>
      <c r="C1056" s="4" t="s">
        <v>3168</v>
      </c>
      <c r="D1056" s="5" t="s">
        <v>3169</v>
      </c>
      <c r="E1056" s="5">
        <v>785.21</v>
      </c>
      <c r="F1056" s="6">
        <f>LOOKUP(D1056,'AMFI DATA_2023H2'!F:J,'AMFI DATA_2023H2'!J:J)</f>
        <v>1273.5997499999999</v>
      </c>
      <c r="G1056" s="7">
        <f t="shared" si="4"/>
        <v>-1</v>
      </c>
      <c r="H1056" s="8"/>
      <c r="I1056" s="8">
        <v>1397</v>
      </c>
      <c r="J1056" s="8">
        <v>1401</v>
      </c>
      <c r="K1056" s="8">
        <v>1397</v>
      </c>
      <c r="L1056" s="8">
        <v>1414</v>
      </c>
      <c r="M1056" s="8">
        <v>1407</v>
      </c>
      <c r="N1056" s="8">
        <v>1432</v>
      </c>
      <c r="O1056" s="8">
        <v>1446</v>
      </c>
      <c r="P1056" s="8">
        <v>1438</v>
      </c>
      <c r="Q1056" s="8">
        <v>1396</v>
      </c>
      <c r="R1056" s="8">
        <v>1407</v>
      </c>
      <c r="S1056" s="8">
        <v>1396</v>
      </c>
      <c r="T1056" s="8">
        <v>1407</v>
      </c>
      <c r="U1056" s="8">
        <v>1405</v>
      </c>
      <c r="V1056" s="8">
        <v>1375</v>
      </c>
      <c r="W1056" s="8">
        <v>1367</v>
      </c>
      <c r="X1056" s="8">
        <v>1404</v>
      </c>
      <c r="Y1056" s="8">
        <v>1404</v>
      </c>
      <c r="Z1056" s="8">
        <v>1411</v>
      </c>
      <c r="AA1056" s="8">
        <v>1410</v>
      </c>
      <c r="AB1056" s="8">
        <v>1428</v>
      </c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</row>
    <row r="1057" spans="1:47" ht="14.4">
      <c r="A1057" s="3">
        <f>LOOKUP(D1057,'AMFI DATA_2023H2'!F:L,'AMFI DATA_2023H2'!L:L)</f>
        <v>1125</v>
      </c>
      <c r="B1057" s="4" t="s">
        <v>3170</v>
      </c>
      <c r="C1057" s="4" t="s">
        <v>3171</v>
      </c>
      <c r="D1057" s="5" t="s">
        <v>3172</v>
      </c>
      <c r="E1057" s="5">
        <v>1270.42</v>
      </c>
      <c r="F1057" s="6">
        <f>LOOKUP(D1057,'AMFI DATA_2023H2'!F:J,'AMFI DATA_2023H2'!J:J)</f>
        <v>1262.2436</v>
      </c>
      <c r="G1057" s="7">
        <f t="shared" si="4"/>
        <v>-1</v>
      </c>
      <c r="H1057" s="8"/>
      <c r="I1057" s="8">
        <v>1462</v>
      </c>
      <c r="J1057" s="8">
        <v>1449</v>
      </c>
      <c r="K1057" s="8">
        <v>1480</v>
      </c>
      <c r="L1057" s="8">
        <v>1456</v>
      </c>
      <c r="M1057" s="8">
        <v>1474</v>
      </c>
      <c r="N1057" s="8">
        <v>1509</v>
      </c>
      <c r="O1057" s="8">
        <v>1541</v>
      </c>
      <c r="P1057" s="8">
        <v>1561</v>
      </c>
      <c r="Q1057" s="8">
        <v>1501</v>
      </c>
      <c r="R1057" s="8">
        <v>1521</v>
      </c>
      <c r="S1057" s="8">
        <v>1445</v>
      </c>
      <c r="T1057" s="8">
        <v>1361</v>
      </c>
      <c r="U1057" s="8">
        <v>1300</v>
      </c>
      <c r="V1057" s="8">
        <v>1307</v>
      </c>
      <c r="W1057" s="8">
        <v>1296</v>
      </c>
      <c r="X1057" s="8">
        <v>1278</v>
      </c>
      <c r="Y1057" s="8">
        <v>1271</v>
      </c>
      <c r="Z1057" s="8">
        <v>1268</v>
      </c>
      <c r="AA1057" s="8">
        <v>1286</v>
      </c>
      <c r="AB1057" s="8">
        <v>1274</v>
      </c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</row>
    <row r="1058" spans="1:47" ht="14.4">
      <c r="A1058" s="3">
        <f>LOOKUP(D1058,'AMFI DATA_2023H2'!F:L,'AMFI DATA_2023H2'!L:L)</f>
        <v>1126</v>
      </c>
      <c r="B1058" s="4" t="s">
        <v>3173</v>
      </c>
      <c r="C1058" s="4" t="s">
        <v>3174</v>
      </c>
      <c r="D1058" s="5" t="s">
        <v>3175</v>
      </c>
      <c r="E1058" s="5">
        <v>1110.6099999999999</v>
      </c>
      <c r="F1058" s="6">
        <f>LOOKUP(D1058,'AMFI DATA_2023H2'!F:J,'AMFI DATA_2023H2'!J:J)</f>
        <v>1255.1613</v>
      </c>
      <c r="G1058" s="7">
        <f t="shared" si="4"/>
        <v>-1</v>
      </c>
      <c r="H1058" s="8"/>
      <c r="I1058" s="8">
        <v>2216</v>
      </c>
      <c r="J1058" s="8">
        <v>2113</v>
      </c>
      <c r="K1058" s="8">
        <v>2216</v>
      </c>
      <c r="L1058" s="8">
        <v>2331</v>
      </c>
      <c r="M1058" s="8">
        <v>2446</v>
      </c>
      <c r="N1058" s="8">
        <v>2305</v>
      </c>
      <c r="O1058" s="8">
        <v>2382</v>
      </c>
      <c r="P1058" s="8">
        <v>2177</v>
      </c>
      <c r="Q1058" s="8">
        <v>2241</v>
      </c>
      <c r="R1058" s="8">
        <v>2139</v>
      </c>
      <c r="S1058" s="8">
        <v>2088</v>
      </c>
      <c r="T1058" s="8">
        <v>1921</v>
      </c>
      <c r="U1058" s="8">
        <v>1908</v>
      </c>
      <c r="V1058" s="8">
        <v>1819</v>
      </c>
      <c r="W1058" s="8">
        <v>1742</v>
      </c>
      <c r="X1058" s="8">
        <v>1665</v>
      </c>
      <c r="Y1058" s="8">
        <v>1703</v>
      </c>
      <c r="Z1058" s="8">
        <v>1780</v>
      </c>
      <c r="AA1058" s="8">
        <v>1818</v>
      </c>
      <c r="AB1058" s="8">
        <v>1793</v>
      </c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</row>
    <row r="1059" spans="1:47" ht="14.4">
      <c r="A1059" s="3">
        <f>LOOKUP(D1059,'AMFI DATA_2023H2'!F:L,'AMFI DATA_2023H2'!L:L)</f>
        <v>1127</v>
      </c>
      <c r="B1059" s="4" t="s">
        <v>3176</v>
      </c>
      <c r="C1059" s="4" t="s">
        <v>3177</v>
      </c>
      <c r="D1059" s="5" t="s">
        <v>3178</v>
      </c>
      <c r="E1059" s="5">
        <v>1180.4000000000001</v>
      </c>
      <c r="F1059" s="6">
        <f>LOOKUP(D1059,'AMFI DATA_2023H2'!F:J,'AMFI DATA_2023H2'!J:J)</f>
        <v>1252.9853000000001</v>
      </c>
      <c r="G1059" s="7">
        <f t="shared" si="4"/>
        <v>-1</v>
      </c>
      <c r="H1059" s="8"/>
      <c r="I1059" s="8">
        <v>1391</v>
      </c>
      <c r="J1059" s="8">
        <v>1357</v>
      </c>
      <c r="K1059" s="8">
        <v>1370</v>
      </c>
      <c r="L1059" s="8">
        <v>1402</v>
      </c>
      <c r="M1059" s="8">
        <v>1440</v>
      </c>
      <c r="N1059" s="8">
        <v>1410</v>
      </c>
      <c r="O1059" s="8">
        <v>1386</v>
      </c>
      <c r="P1059" s="8">
        <v>1358</v>
      </c>
      <c r="Q1059" s="8">
        <v>1358</v>
      </c>
      <c r="R1059" s="8">
        <v>1400</v>
      </c>
      <c r="S1059" s="8">
        <v>1406</v>
      </c>
      <c r="T1059" s="8">
        <v>1411</v>
      </c>
      <c r="U1059" s="8">
        <v>1388</v>
      </c>
      <c r="V1059" s="8">
        <v>1378</v>
      </c>
      <c r="W1059" s="8">
        <v>1396</v>
      </c>
      <c r="X1059" s="8">
        <v>1385</v>
      </c>
      <c r="Y1059" s="8">
        <v>1390</v>
      </c>
      <c r="Z1059" s="8">
        <v>1420</v>
      </c>
      <c r="AA1059" s="8">
        <v>1436</v>
      </c>
      <c r="AB1059" s="8">
        <v>1429</v>
      </c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</row>
    <row r="1060" spans="1:47" ht="14.4">
      <c r="A1060" s="3">
        <f>LOOKUP(D1060,'AMFI DATA_2023H2'!F:L,'AMFI DATA_2023H2'!L:L)</f>
        <v>1128</v>
      </c>
      <c r="B1060" s="4" t="s">
        <v>3179</v>
      </c>
      <c r="C1060" s="4" t="s">
        <v>3180</v>
      </c>
      <c r="D1060" s="5" t="s">
        <v>3181</v>
      </c>
      <c r="E1060" s="5">
        <v>841.95</v>
      </c>
      <c r="F1060" s="6">
        <f>LOOKUP(D1060,'AMFI DATA_2023H2'!F:J,'AMFI DATA_2023H2'!J:J)</f>
        <v>1252.9130500000001</v>
      </c>
      <c r="G1060" s="7">
        <f t="shared" si="4"/>
        <v>-1</v>
      </c>
      <c r="H1060" s="8"/>
      <c r="I1060" s="8">
        <v>1359</v>
      </c>
      <c r="J1060" s="8">
        <v>1369</v>
      </c>
      <c r="K1060" s="8">
        <v>1375</v>
      </c>
      <c r="L1060" s="8">
        <v>1362</v>
      </c>
      <c r="M1060" s="8">
        <v>1374</v>
      </c>
      <c r="N1060" s="8">
        <v>1380</v>
      </c>
      <c r="O1060" s="8">
        <v>1371</v>
      </c>
      <c r="P1060" s="8">
        <v>1346</v>
      </c>
      <c r="Q1060" s="8">
        <v>1329</v>
      </c>
      <c r="R1060" s="8">
        <v>1329</v>
      </c>
      <c r="S1060" s="8">
        <v>1317</v>
      </c>
      <c r="T1060" s="8">
        <v>1314</v>
      </c>
      <c r="U1060" s="8">
        <v>1303</v>
      </c>
      <c r="V1060" s="8">
        <v>1314</v>
      </c>
      <c r="W1060" s="8">
        <v>1311</v>
      </c>
      <c r="X1060" s="8">
        <v>1311</v>
      </c>
      <c r="Y1060" s="8">
        <v>1309</v>
      </c>
      <c r="Z1060" s="8">
        <v>1338</v>
      </c>
      <c r="AA1060" s="8">
        <v>1321</v>
      </c>
      <c r="AB1060" s="8">
        <v>1282</v>
      </c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</row>
    <row r="1061" spans="1:47" ht="14.4">
      <c r="A1061" s="3">
        <f>LOOKUP(D1061,'AMFI DATA_2023H2'!F:L,'AMFI DATA_2023H2'!L:L)</f>
        <v>1129</v>
      </c>
      <c r="B1061" s="4" t="s">
        <v>3182</v>
      </c>
      <c r="C1061" s="4" t="s">
        <v>3183</v>
      </c>
      <c r="D1061" s="5" t="s">
        <v>3184</v>
      </c>
      <c r="E1061" s="5">
        <v>875.82</v>
      </c>
      <c r="F1061" s="6">
        <f>LOOKUP(D1061,'AMFI DATA_2023H2'!F:J,'AMFI DATA_2023H2'!J:J)</f>
        <v>1251.7778499999999</v>
      </c>
      <c r="G1061" s="7">
        <f t="shared" si="4"/>
        <v>-1</v>
      </c>
      <c r="H1061" s="8"/>
      <c r="I1061" s="8">
        <v>1416</v>
      </c>
      <c r="J1061" s="8">
        <v>1399</v>
      </c>
      <c r="K1061" s="8">
        <v>1387</v>
      </c>
      <c r="L1061" s="8">
        <v>1432</v>
      </c>
      <c r="M1061" s="8">
        <v>1430</v>
      </c>
      <c r="N1061" s="8">
        <v>1466</v>
      </c>
      <c r="O1061" s="8">
        <v>1462</v>
      </c>
      <c r="P1061" s="8">
        <v>1446</v>
      </c>
      <c r="Q1061" s="8">
        <v>1439</v>
      </c>
      <c r="R1061" s="8">
        <v>1451</v>
      </c>
      <c r="S1061" s="8">
        <v>1488</v>
      </c>
      <c r="T1061" s="8">
        <v>1500</v>
      </c>
      <c r="U1061" s="8">
        <v>1513</v>
      </c>
      <c r="V1061" s="8">
        <v>1478</v>
      </c>
      <c r="W1061" s="8">
        <v>1405</v>
      </c>
      <c r="X1061" s="8">
        <v>1369</v>
      </c>
      <c r="Y1061" s="8">
        <v>1412</v>
      </c>
      <c r="Z1061" s="8">
        <v>1422</v>
      </c>
      <c r="AA1061" s="8">
        <v>1427</v>
      </c>
      <c r="AB1061" s="8">
        <v>1439</v>
      </c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</row>
    <row r="1062" spans="1:47" ht="14.4">
      <c r="A1062" s="3">
        <f>LOOKUP(D1062,'AMFI DATA_2023H2'!F:L,'AMFI DATA_2023H2'!L:L)</f>
        <v>1131</v>
      </c>
      <c r="B1062" s="4" t="s">
        <v>3185</v>
      </c>
      <c r="C1062" s="4" t="s">
        <v>3186</v>
      </c>
      <c r="D1062" s="5" t="s">
        <v>3187</v>
      </c>
      <c r="E1062" s="5">
        <v>811.37</v>
      </c>
      <c r="F1062" s="6">
        <f>LOOKUP(D1062,'AMFI DATA_2023H2'!F:J,'AMFI DATA_2023H2'!J:J)</f>
        <v>1247.3548499999999</v>
      </c>
      <c r="G1062" s="7">
        <f t="shared" si="4"/>
        <v>-1</v>
      </c>
      <c r="H1062" s="8"/>
      <c r="I1062" s="8">
        <v>2271</v>
      </c>
      <c r="J1062" s="8">
        <v>2193</v>
      </c>
      <c r="K1062" s="8">
        <v>2137</v>
      </c>
      <c r="L1062" s="8">
        <v>2129</v>
      </c>
      <c r="M1062" s="8">
        <v>2090</v>
      </c>
      <c r="N1062" s="8">
        <v>2029</v>
      </c>
      <c r="O1062" s="8">
        <v>2108</v>
      </c>
      <c r="P1062" s="8">
        <v>2120</v>
      </c>
      <c r="Q1062" s="8">
        <v>2112</v>
      </c>
      <c r="R1062" s="8">
        <v>2070</v>
      </c>
      <c r="S1062" s="8">
        <v>1961</v>
      </c>
      <c r="T1062" s="8">
        <v>1951</v>
      </c>
      <c r="U1062" s="8">
        <v>1851</v>
      </c>
      <c r="V1062" s="8">
        <v>1831</v>
      </c>
      <c r="W1062" s="8">
        <v>1590</v>
      </c>
      <c r="X1062" s="8">
        <v>1578</v>
      </c>
      <c r="Y1062" s="8">
        <v>1597</v>
      </c>
      <c r="Z1062" s="8">
        <v>1614</v>
      </c>
      <c r="AA1062" s="8">
        <v>1618</v>
      </c>
      <c r="AB1062" s="8">
        <v>1577</v>
      </c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</row>
    <row r="1063" spans="1:47" ht="14.4">
      <c r="A1063" s="3">
        <f>LOOKUP(D1063,'AMFI DATA_2023H2'!F:L,'AMFI DATA_2023H2'!L:L)</f>
        <v>1132</v>
      </c>
      <c r="B1063" s="4" t="s">
        <v>3188</v>
      </c>
      <c r="C1063" s="4" t="s">
        <v>3189</v>
      </c>
      <c r="D1063" s="5" t="s">
        <v>3190</v>
      </c>
      <c r="E1063" s="5">
        <v>787.64</v>
      </c>
      <c r="F1063" s="6">
        <f>LOOKUP(D1063,'AMFI DATA_2023H2'!F:J,'AMFI DATA_2023H2'!J:J)</f>
        <v>1246.4198000000001</v>
      </c>
      <c r="G1063" s="7">
        <f t="shared" si="4"/>
        <v>-1</v>
      </c>
      <c r="H1063" s="8"/>
      <c r="I1063" s="8">
        <v>1368</v>
      </c>
      <c r="J1063" s="8">
        <v>1353</v>
      </c>
      <c r="K1063" s="8">
        <v>1382</v>
      </c>
      <c r="L1063" s="8">
        <v>1339</v>
      </c>
      <c r="M1063" s="8">
        <v>1314</v>
      </c>
      <c r="N1063" s="8">
        <v>1314</v>
      </c>
      <c r="O1063" s="8">
        <v>1308</v>
      </c>
      <c r="P1063" s="8">
        <v>1317</v>
      </c>
      <c r="Q1063" s="8">
        <v>1311</v>
      </c>
      <c r="R1063" s="8">
        <v>1344</v>
      </c>
      <c r="S1063" s="8">
        <v>1324</v>
      </c>
      <c r="T1063" s="8">
        <v>1327</v>
      </c>
      <c r="U1063" s="8">
        <v>1315</v>
      </c>
      <c r="V1063" s="8">
        <v>1312</v>
      </c>
      <c r="W1063" s="8">
        <v>1328</v>
      </c>
      <c r="X1063" s="8">
        <v>1321</v>
      </c>
      <c r="Y1063" s="8">
        <v>1332</v>
      </c>
      <c r="Z1063" s="8">
        <v>1354</v>
      </c>
      <c r="AA1063" s="8">
        <v>1364</v>
      </c>
      <c r="AB1063" s="8">
        <v>1385</v>
      </c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</row>
    <row r="1064" spans="1:47" ht="14.4">
      <c r="A1064" s="3">
        <f>LOOKUP(D1064,'AMFI DATA_2023H2'!F:L,'AMFI DATA_2023H2'!L:L)</f>
        <v>1133</v>
      </c>
      <c r="B1064" s="4" t="s">
        <v>3191</v>
      </c>
      <c r="C1064" s="4" t="s">
        <v>3192</v>
      </c>
      <c r="D1064" s="5" t="s">
        <v>3193</v>
      </c>
      <c r="E1064" s="5">
        <v>1058.8900000000001</v>
      </c>
      <c r="F1064" s="6">
        <f>LOOKUP(D1064,'AMFI DATA_2023H2'!F:J,'AMFI DATA_2023H2'!J:J)</f>
        <v>1244.0823</v>
      </c>
      <c r="G1064" s="7">
        <f t="shared" si="4"/>
        <v>-1</v>
      </c>
      <c r="H1064" s="8"/>
      <c r="I1064" s="8">
        <v>1823</v>
      </c>
      <c r="J1064" s="8">
        <v>1773</v>
      </c>
      <c r="K1064" s="8">
        <v>1799</v>
      </c>
      <c r="L1064" s="8">
        <v>1850</v>
      </c>
      <c r="M1064" s="8">
        <v>1935</v>
      </c>
      <c r="N1064" s="8">
        <v>1917</v>
      </c>
      <c r="O1064" s="8">
        <v>1925</v>
      </c>
      <c r="P1064" s="8">
        <v>1890</v>
      </c>
      <c r="Q1064" s="8">
        <v>1850</v>
      </c>
      <c r="R1064" s="8">
        <v>1845</v>
      </c>
      <c r="S1064" s="8">
        <v>1837</v>
      </c>
      <c r="T1064" s="8">
        <v>1821</v>
      </c>
      <c r="U1064" s="8">
        <v>1805</v>
      </c>
      <c r="V1064" s="8">
        <v>1813</v>
      </c>
      <c r="W1064" s="8">
        <v>1906</v>
      </c>
      <c r="X1064" s="8">
        <v>1666</v>
      </c>
      <c r="Y1064" s="8">
        <v>1596</v>
      </c>
      <c r="Z1064" s="8">
        <v>1615</v>
      </c>
      <c r="AA1064" s="8">
        <v>1687</v>
      </c>
      <c r="AB1064" s="8">
        <v>1733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</row>
    <row r="1065" spans="1:47" ht="14.4">
      <c r="A1065" s="3">
        <f>LOOKUP(D1065,'AMFI DATA_2023H2'!F:L,'AMFI DATA_2023H2'!L:L)</f>
        <v>1134</v>
      </c>
      <c r="B1065" s="4" t="s">
        <v>3194</v>
      </c>
      <c r="C1065" s="4" t="s">
        <v>3195</v>
      </c>
      <c r="D1065" s="5" t="s">
        <v>3196</v>
      </c>
      <c r="E1065" s="5">
        <v>991.79</v>
      </c>
      <c r="F1065" s="6">
        <f>LOOKUP(D1065,'AMFI DATA_2023H2'!F:J,'AMFI DATA_2023H2'!J:J)</f>
        <v>1240.86105</v>
      </c>
      <c r="G1065" s="7">
        <f t="shared" si="4"/>
        <v>-1</v>
      </c>
      <c r="H1065" s="8"/>
      <c r="I1065" s="8">
        <v>1384</v>
      </c>
      <c r="J1065" s="8">
        <v>1390</v>
      </c>
      <c r="K1065" s="8">
        <v>1366</v>
      </c>
      <c r="L1065" s="8">
        <v>1392</v>
      </c>
      <c r="M1065" s="8">
        <v>1369</v>
      </c>
      <c r="N1065" s="8">
        <v>1386</v>
      </c>
      <c r="O1065" s="8">
        <v>1405</v>
      </c>
      <c r="P1065" s="8">
        <v>1361</v>
      </c>
      <c r="Q1065" s="8">
        <v>1372</v>
      </c>
      <c r="R1065" s="8">
        <v>1350</v>
      </c>
      <c r="S1065" s="8">
        <v>1332</v>
      </c>
      <c r="T1065" s="8">
        <v>1320</v>
      </c>
      <c r="U1065" s="8">
        <v>1273</v>
      </c>
      <c r="V1065" s="8">
        <v>1264</v>
      </c>
      <c r="W1065" s="8">
        <v>1247</v>
      </c>
      <c r="X1065" s="8">
        <v>1254</v>
      </c>
      <c r="Y1065" s="8">
        <v>1236</v>
      </c>
      <c r="Z1065" s="8">
        <v>1251</v>
      </c>
      <c r="AA1065" s="8">
        <v>1262</v>
      </c>
      <c r="AB1065" s="8">
        <v>1255</v>
      </c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</row>
    <row r="1066" spans="1:47" ht="14.4">
      <c r="A1066" s="3">
        <f>LOOKUP(D1066,'AMFI DATA_2023H2'!F:L,'AMFI DATA_2023H2'!L:L)</f>
        <v>1135</v>
      </c>
      <c r="B1066" s="4" t="s">
        <v>3197</v>
      </c>
      <c r="C1066" s="4" t="s">
        <v>3198</v>
      </c>
      <c r="D1066" s="5" t="s">
        <v>3199</v>
      </c>
      <c r="E1066" s="5">
        <v>1259.77</v>
      </c>
      <c r="F1066" s="6">
        <f>LOOKUP(D1066,'AMFI DATA_2023H2'!F:J,'AMFI DATA_2023H2'!J:J)</f>
        <v>1240.1046000000001</v>
      </c>
      <c r="G1066" s="7">
        <f t="shared" si="4"/>
        <v>-1</v>
      </c>
      <c r="H1066" s="8"/>
      <c r="I1066" s="8">
        <v>1292</v>
      </c>
      <c r="J1066" s="8">
        <v>1302</v>
      </c>
      <c r="K1066" s="8">
        <v>1303</v>
      </c>
      <c r="L1066" s="8">
        <v>1346</v>
      </c>
      <c r="M1066" s="8">
        <v>1383</v>
      </c>
      <c r="N1066" s="8">
        <v>1364</v>
      </c>
      <c r="O1066" s="8">
        <v>1393</v>
      </c>
      <c r="P1066" s="8">
        <v>1277</v>
      </c>
      <c r="Q1066" s="8">
        <v>1284</v>
      </c>
      <c r="R1066" s="8">
        <v>1296</v>
      </c>
      <c r="S1066" s="8">
        <v>1292</v>
      </c>
      <c r="T1066" s="8">
        <v>1322</v>
      </c>
      <c r="U1066" s="8">
        <v>1331</v>
      </c>
      <c r="V1066" s="8">
        <v>1360</v>
      </c>
      <c r="W1066" s="8">
        <v>1370</v>
      </c>
      <c r="X1066" s="8">
        <v>1336</v>
      </c>
      <c r="Y1066" s="8">
        <v>1318</v>
      </c>
      <c r="Z1066" s="8">
        <v>1306</v>
      </c>
      <c r="AA1066" s="8">
        <v>1185</v>
      </c>
      <c r="AB1066" s="8">
        <v>1164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</row>
    <row r="1067" spans="1:47" ht="14.4">
      <c r="A1067" s="3">
        <f>LOOKUP(D1067,'AMFI DATA_2023H2'!F:L,'AMFI DATA_2023H2'!L:L)</f>
        <v>1136</v>
      </c>
      <c r="B1067" s="4" t="s">
        <v>3200</v>
      </c>
      <c r="C1067" s="4" t="s">
        <v>3201</v>
      </c>
      <c r="D1067" s="5" t="s">
        <v>3202</v>
      </c>
      <c r="E1067" s="5">
        <v>438.98</v>
      </c>
      <c r="F1067" s="6">
        <f>LOOKUP(D1067,'AMFI DATA_2023H2'!F:J,'AMFI DATA_2023H2'!J:J)</f>
        <v>1240.0163</v>
      </c>
      <c r="G1067" s="7">
        <f t="shared" si="4"/>
        <v>-1</v>
      </c>
      <c r="H1067" s="8"/>
      <c r="I1067" s="8">
        <v>1685</v>
      </c>
      <c r="J1067" s="8">
        <v>1684</v>
      </c>
      <c r="K1067" s="8">
        <v>1664</v>
      </c>
      <c r="L1067" s="8">
        <v>1658</v>
      </c>
      <c r="M1067" s="8">
        <v>1681</v>
      </c>
      <c r="N1067" s="8">
        <v>1711</v>
      </c>
      <c r="O1067" s="8">
        <v>1738</v>
      </c>
      <c r="P1067" s="8">
        <v>1679</v>
      </c>
      <c r="Q1067" s="8">
        <v>1683</v>
      </c>
      <c r="R1067" s="8">
        <v>1667</v>
      </c>
      <c r="S1067" s="8">
        <v>1699</v>
      </c>
      <c r="T1067" s="8">
        <v>1674</v>
      </c>
      <c r="U1067" s="8">
        <v>1671</v>
      </c>
      <c r="V1067" s="8">
        <v>1659</v>
      </c>
      <c r="W1067" s="8">
        <v>1678</v>
      </c>
      <c r="X1067" s="8">
        <v>1705</v>
      </c>
      <c r="Y1067" s="8">
        <v>1742</v>
      </c>
      <c r="Z1067" s="8">
        <v>1733</v>
      </c>
      <c r="AA1067" s="8">
        <v>1740</v>
      </c>
      <c r="AB1067" s="8">
        <v>1724</v>
      </c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</row>
    <row r="1068" spans="1:47" ht="14.4">
      <c r="A1068" s="3">
        <f>LOOKUP(D1068,'AMFI DATA_2023H2'!F:L,'AMFI DATA_2023H2'!L:L)</f>
        <v>1139</v>
      </c>
      <c r="B1068" s="4" t="s">
        <v>3203</v>
      </c>
      <c r="C1068" s="4" t="s">
        <v>3204</v>
      </c>
      <c r="D1068" s="5" t="s">
        <v>3205</v>
      </c>
      <c r="E1068" s="5">
        <v>868.97</v>
      </c>
      <c r="F1068" s="6">
        <f>LOOKUP(D1068,'AMFI DATA_2023H2'!F:J,'AMFI DATA_2023H2'!J:J)</f>
        <v>1231.02675</v>
      </c>
      <c r="G1068" s="7">
        <f t="shared" si="4"/>
        <v>-1</v>
      </c>
      <c r="H1068" s="8"/>
      <c r="I1068" s="8">
        <v>1679</v>
      </c>
      <c r="J1068" s="8">
        <v>1702</v>
      </c>
      <c r="K1068" s="8">
        <v>1678</v>
      </c>
      <c r="L1068" s="8">
        <v>1758</v>
      </c>
      <c r="M1068" s="8">
        <v>1770</v>
      </c>
      <c r="N1068" s="8">
        <v>1764</v>
      </c>
      <c r="O1068" s="8">
        <v>1791</v>
      </c>
      <c r="P1068" s="8">
        <v>1785</v>
      </c>
      <c r="Q1068" s="8">
        <v>1828</v>
      </c>
      <c r="R1068" s="8">
        <v>1850</v>
      </c>
      <c r="S1068" s="8">
        <v>1801</v>
      </c>
      <c r="T1068" s="8">
        <v>1611</v>
      </c>
      <c r="U1068" s="8">
        <v>1590</v>
      </c>
      <c r="V1068" s="8">
        <v>1526</v>
      </c>
      <c r="W1068" s="8">
        <v>1519</v>
      </c>
      <c r="X1068" s="8">
        <v>1531</v>
      </c>
      <c r="Y1068" s="8">
        <v>1534</v>
      </c>
      <c r="Z1068" s="8">
        <v>1508</v>
      </c>
      <c r="AA1068" s="8">
        <v>1511</v>
      </c>
      <c r="AB1068" s="8">
        <v>1483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</row>
    <row r="1069" spans="1:47" ht="14.4">
      <c r="A1069" s="3">
        <f>LOOKUP(D1069,'AMFI DATA_2023H2'!F:L,'AMFI DATA_2023H2'!L:L)</f>
        <v>1141</v>
      </c>
      <c r="B1069" s="4" t="s">
        <v>3206</v>
      </c>
      <c r="C1069" s="4" t="s">
        <v>3207</v>
      </c>
      <c r="D1069" s="5" t="s">
        <v>3208</v>
      </c>
      <c r="E1069" s="5">
        <v>1073.17</v>
      </c>
      <c r="F1069" s="6">
        <f>LOOKUP(D1069,'AMFI DATA_2023H2'!F:J,'AMFI DATA_2023H2'!J:J)</f>
        <v>1226.2501500000001</v>
      </c>
      <c r="G1069" s="7">
        <f t="shared" si="4"/>
        <v>-1</v>
      </c>
      <c r="H1069" s="8"/>
      <c r="I1069" s="8">
        <v>1230</v>
      </c>
      <c r="J1069" s="8">
        <v>1223</v>
      </c>
      <c r="K1069" s="8">
        <v>1229</v>
      </c>
      <c r="L1069" s="8">
        <v>1258</v>
      </c>
      <c r="M1069" s="8">
        <v>1264</v>
      </c>
      <c r="N1069" s="8">
        <v>1281</v>
      </c>
      <c r="O1069" s="8">
        <v>1306</v>
      </c>
      <c r="P1069" s="8">
        <v>1284</v>
      </c>
      <c r="Q1069" s="8">
        <v>1248</v>
      </c>
      <c r="R1069" s="8">
        <v>1197</v>
      </c>
      <c r="S1069" s="8">
        <v>1230</v>
      </c>
      <c r="T1069" s="8">
        <v>1234</v>
      </c>
      <c r="U1069" s="8">
        <v>1237</v>
      </c>
      <c r="V1069" s="8">
        <v>1212</v>
      </c>
      <c r="W1069" s="8">
        <v>1181</v>
      </c>
      <c r="X1069" s="8">
        <v>1169</v>
      </c>
      <c r="Y1069" s="8">
        <v>1172</v>
      </c>
      <c r="Z1069" s="8">
        <v>1143</v>
      </c>
      <c r="AA1069" s="8">
        <v>1140</v>
      </c>
      <c r="AB1069" s="8">
        <v>1168</v>
      </c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</row>
    <row r="1070" spans="1:47" ht="14.4">
      <c r="A1070" s="3">
        <f>LOOKUP(D1070,'AMFI DATA_2023H2'!F:L,'AMFI DATA_2023H2'!L:L)</f>
        <v>1142</v>
      </c>
      <c r="B1070" s="4" t="s">
        <v>3209</v>
      </c>
      <c r="C1070" s="4" t="s">
        <v>3210</v>
      </c>
      <c r="D1070" s="5" t="s">
        <v>3211</v>
      </c>
      <c r="E1070" s="5">
        <v>910.59</v>
      </c>
      <c r="F1070" s="6">
        <f>LOOKUP(D1070,'AMFI DATA_2023H2'!F:J,'AMFI DATA_2023H2'!J:J)</f>
        <v>1225.4454999999998</v>
      </c>
      <c r="G1070" s="7">
        <f t="shared" si="4"/>
        <v>-1</v>
      </c>
      <c r="H1070" s="8"/>
      <c r="I1070" s="8">
        <v>1221</v>
      </c>
      <c r="J1070" s="8">
        <v>1221</v>
      </c>
      <c r="K1070" s="8">
        <v>1246</v>
      </c>
      <c r="L1070" s="8">
        <v>1253</v>
      </c>
      <c r="M1070" s="8">
        <v>1245</v>
      </c>
      <c r="N1070" s="8">
        <v>1244</v>
      </c>
      <c r="O1070" s="8">
        <v>1237</v>
      </c>
      <c r="P1070" s="8">
        <v>1248</v>
      </c>
      <c r="Q1070" s="8">
        <v>1261</v>
      </c>
      <c r="R1070" s="8">
        <v>1295</v>
      </c>
      <c r="S1070" s="8">
        <v>1305</v>
      </c>
      <c r="T1070" s="8">
        <v>1305</v>
      </c>
      <c r="U1070" s="8">
        <v>1316</v>
      </c>
      <c r="V1070" s="8">
        <v>1316</v>
      </c>
      <c r="W1070" s="8">
        <v>1331</v>
      </c>
      <c r="X1070" s="8">
        <v>1385</v>
      </c>
      <c r="Y1070" s="8">
        <v>1332</v>
      </c>
      <c r="Z1070" s="8">
        <v>1260</v>
      </c>
      <c r="AA1070" s="8">
        <v>1265</v>
      </c>
      <c r="AB1070" s="8">
        <v>1212</v>
      </c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</row>
    <row r="1071" spans="1:47" ht="14.4">
      <c r="A1071" s="3">
        <f>LOOKUP(D1071,'AMFI DATA_2023H2'!F:L,'AMFI DATA_2023H2'!L:L)</f>
        <v>1143</v>
      </c>
      <c r="B1071" s="4" t="s">
        <v>3212</v>
      </c>
      <c r="C1071" s="4" t="s">
        <v>3213</v>
      </c>
      <c r="D1071" s="5" t="s">
        <v>3214</v>
      </c>
      <c r="E1071" s="5">
        <v>717.97</v>
      </c>
      <c r="F1071" s="6">
        <f>LOOKUP(D1071,'AMFI DATA_2023H2'!F:J,'AMFI DATA_2023H2'!J:J)</f>
        <v>1219.26675</v>
      </c>
      <c r="G1071" s="7">
        <f t="shared" si="4"/>
        <v>-1</v>
      </c>
      <c r="H1071" s="8"/>
      <c r="I1071" s="8">
        <v>1425</v>
      </c>
      <c r="J1071" s="8">
        <v>1354</v>
      </c>
      <c r="K1071" s="8">
        <v>1392</v>
      </c>
      <c r="L1071" s="8">
        <v>1325</v>
      </c>
      <c r="M1071" s="8">
        <v>1377</v>
      </c>
      <c r="N1071" s="8">
        <v>1396</v>
      </c>
      <c r="O1071" s="8">
        <v>1392</v>
      </c>
      <c r="P1071" s="8">
        <v>1416</v>
      </c>
      <c r="Q1071" s="8">
        <v>1415</v>
      </c>
      <c r="R1071" s="8">
        <v>1410</v>
      </c>
      <c r="S1071" s="8">
        <v>1407</v>
      </c>
      <c r="T1071" s="8">
        <v>1436</v>
      </c>
      <c r="U1071" s="8">
        <v>1369</v>
      </c>
      <c r="V1071" s="8">
        <v>1235</v>
      </c>
      <c r="W1071" s="8">
        <v>1263</v>
      </c>
      <c r="X1071" s="8">
        <v>1154</v>
      </c>
      <c r="Y1071" s="8">
        <v>1114</v>
      </c>
      <c r="Z1071" s="8">
        <v>1126</v>
      </c>
      <c r="AA1071" s="8">
        <v>1129</v>
      </c>
      <c r="AB1071" s="8">
        <v>1121</v>
      </c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</row>
    <row r="1072" spans="1:47" ht="14.4">
      <c r="A1072" s="3">
        <f>LOOKUP(D1072,'AMFI DATA_2023H2'!F:L,'AMFI DATA_2023H2'!L:L)</f>
        <v>1144</v>
      </c>
      <c r="B1072" s="4" t="s">
        <v>3215</v>
      </c>
      <c r="C1072" s="4" t="s">
        <v>3216</v>
      </c>
      <c r="D1072" s="5" t="s">
        <v>3217</v>
      </c>
      <c r="E1072" s="5">
        <v>800.25</v>
      </c>
      <c r="F1072" s="6">
        <f>LOOKUP(D1072,'AMFI DATA_2023H2'!F:J,'AMFI DATA_2023H2'!J:J)</f>
        <v>1209.9048499999999</v>
      </c>
      <c r="G1072" s="7">
        <f t="shared" si="4"/>
        <v>-1</v>
      </c>
      <c r="H1072" s="8"/>
      <c r="I1072" s="8">
        <v>1413</v>
      </c>
      <c r="J1072" s="8">
        <v>1410</v>
      </c>
      <c r="K1072" s="8">
        <v>1393</v>
      </c>
      <c r="L1072" s="8">
        <v>1425</v>
      </c>
      <c r="M1072" s="8">
        <v>1460</v>
      </c>
      <c r="N1072" s="8">
        <v>1530</v>
      </c>
      <c r="O1072" s="8">
        <v>1527</v>
      </c>
      <c r="P1072" s="8">
        <v>1532</v>
      </c>
      <c r="Q1072" s="8">
        <v>1479</v>
      </c>
      <c r="R1072" s="8">
        <v>1515</v>
      </c>
      <c r="S1072" s="8">
        <v>1509</v>
      </c>
      <c r="T1072" s="8">
        <v>1526</v>
      </c>
      <c r="U1072" s="8">
        <v>1345</v>
      </c>
      <c r="V1072" s="8">
        <v>1354</v>
      </c>
      <c r="W1072" s="8">
        <v>1314</v>
      </c>
      <c r="X1072" s="8">
        <v>1301</v>
      </c>
      <c r="Y1072" s="8">
        <v>1264</v>
      </c>
      <c r="Z1072" s="8">
        <v>1255</v>
      </c>
      <c r="AA1072" s="8">
        <v>1270</v>
      </c>
      <c r="AB1072" s="8">
        <v>1306</v>
      </c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</row>
    <row r="1073" spans="1:47" ht="14.4">
      <c r="A1073" s="3">
        <f>LOOKUP(D1073,'AMFI DATA_2023H2'!F:L,'AMFI DATA_2023H2'!L:L)</f>
        <v>1145</v>
      </c>
      <c r="B1073" s="4" t="s">
        <v>3218</v>
      </c>
      <c r="C1073" s="4" t="s">
        <v>3219</v>
      </c>
      <c r="D1073" s="5" t="s">
        <v>3220</v>
      </c>
      <c r="E1073" s="5">
        <v>1058.19</v>
      </c>
      <c r="F1073" s="6">
        <f>LOOKUP(D1073,'AMFI DATA_2023H2'!F:J,'AMFI DATA_2023H2'!J:J)</f>
        <v>1207.6904</v>
      </c>
      <c r="G1073" s="7">
        <f t="shared" si="4"/>
        <v>-1</v>
      </c>
      <c r="H1073" s="8"/>
      <c r="I1073" s="8">
        <v>1834</v>
      </c>
      <c r="J1073" s="8">
        <v>1743</v>
      </c>
      <c r="K1073" s="8">
        <v>1739</v>
      </c>
      <c r="L1073" s="8">
        <v>1767</v>
      </c>
      <c r="M1073" s="8">
        <v>1744</v>
      </c>
      <c r="N1073" s="8">
        <v>1511</v>
      </c>
      <c r="O1073" s="8">
        <v>1514</v>
      </c>
      <c r="P1073" s="8">
        <v>1529</v>
      </c>
      <c r="Q1073" s="8">
        <v>1531</v>
      </c>
      <c r="R1073" s="8">
        <v>1533</v>
      </c>
      <c r="S1073" s="8">
        <v>1542</v>
      </c>
      <c r="T1073" s="8">
        <v>1496</v>
      </c>
      <c r="U1073" s="8">
        <v>1505</v>
      </c>
      <c r="V1073" s="8">
        <v>1297</v>
      </c>
      <c r="W1073" s="8">
        <v>1294</v>
      </c>
      <c r="X1073" s="8">
        <v>1283</v>
      </c>
      <c r="Y1073" s="8">
        <v>1289</v>
      </c>
      <c r="Z1073" s="8">
        <v>1303</v>
      </c>
      <c r="AA1073" s="8">
        <v>1300</v>
      </c>
      <c r="AB1073" s="8">
        <v>1310</v>
      </c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</row>
    <row r="1074" spans="1:47" ht="14.4">
      <c r="A1074" s="3">
        <f>LOOKUP(D1074,'AMFI DATA_2023H2'!F:L,'AMFI DATA_2023H2'!L:L)</f>
        <v>1147</v>
      </c>
      <c r="B1074" s="4" t="s">
        <v>3221</v>
      </c>
      <c r="C1074" s="4" t="s">
        <v>3222</v>
      </c>
      <c r="D1074" s="5" t="s">
        <v>3223</v>
      </c>
      <c r="E1074" s="5">
        <v>1025.3499999999999</v>
      </c>
      <c r="F1074" s="6">
        <f>LOOKUP(D1074,'AMFI DATA_2023H2'!F:J,'AMFI DATA_2023H2'!J:J)</f>
        <v>1197.95155</v>
      </c>
      <c r="G1074" s="7">
        <f t="shared" si="4"/>
        <v>-1</v>
      </c>
      <c r="H1074" s="8"/>
      <c r="I1074" s="8">
        <v>2038</v>
      </c>
      <c r="J1074" s="8">
        <v>1914</v>
      </c>
      <c r="K1074" s="8">
        <v>1906</v>
      </c>
      <c r="L1074" s="8">
        <v>1943</v>
      </c>
      <c r="M1074" s="8">
        <v>2017</v>
      </c>
      <c r="N1074" s="8">
        <v>2008</v>
      </c>
      <c r="O1074" s="8">
        <v>2046</v>
      </c>
      <c r="P1074" s="8">
        <v>1970</v>
      </c>
      <c r="Q1074" s="8">
        <v>1937</v>
      </c>
      <c r="R1074" s="8">
        <v>1953</v>
      </c>
      <c r="S1074" s="8">
        <v>1868</v>
      </c>
      <c r="T1074" s="8">
        <v>1753</v>
      </c>
      <c r="U1074" s="8">
        <v>1644</v>
      </c>
      <c r="V1074" s="8">
        <v>1637</v>
      </c>
      <c r="W1074" s="8">
        <v>1580</v>
      </c>
      <c r="X1074" s="8">
        <v>1579</v>
      </c>
      <c r="Y1074" s="8">
        <v>1562</v>
      </c>
      <c r="Z1074" s="8">
        <v>1575</v>
      </c>
      <c r="AA1074" s="8">
        <v>1541</v>
      </c>
      <c r="AB1074" s="8">
        <v>1370</v>
      </c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</row>
    <row r="1075" spans="1:47" ht="14.4">
      <c r="A1075" s="3">
        <f>LOOKUP(D1075,'AMFI DATA_2023H2'!F:L,'AMFI DATA_2023H2'!L:L)</f>
        <v>1148</v>
      </c>
      <c r="B1075" s="4" t="s">
        <v>3224</v>
      </c>
      <c r="C1075" s="4" t="s">
        <v>3225</v>
      </c>
      <c r="D1075" s="5" t="s">
        <v>3226</v>
      </c>
      <c r="E1075" s="5">
        <v>616.62</v>
      </c>
      <c r="F1075" s="6">
        <f>LOOKUP(D1075,'AMFI DATA_2023H2'!F:J,'AMFI DATA_2023H2'!J:J)</f>
        <v>1189.6684500000001</v>
      </c>
      <c r="G1075" s="7">
        <f t="shared" si="4"/>
        <v>-1</v>
      </c>
      <c r="H1075" s="8"/>
      <c r="I1075" s="8">
        <v>2337</v>
      </c>
      <c r="J1075" s="8">
        <v>2288</v>
      </c>
      <c r="K1075" s="8">
        <v>2344</v>
      </c>
      <c r="L1075" s="8">
        <v>2270</v>
      </c>
      <c r="M1075" s="8">
        <v>2167</v>
      </c>
      <c r="N1075" s="8">
        <v>2028</v>
      </c>
      <c r="O1075" s="8">
        <v>2013</v>
      </c>
      <c r="P1075" s="8">
        <v>1941</v>
      </c>
      <c r="Q1075" s="8">
        <v>1866</v>
      </c>
      <c r="R1075" s="8">
        <v>1910</v>
      </c>
      <c r="S1075" s="8">
        <v>1886</v>
      </c>
      <c r="T1075" s="8">
        <v>1796</v>
      </c>
      <c r="U1075" s="8">
        <v>1773</v>
      </c>
      <c r="V1075" s="8">
        <v>1681</v>
      </c>
      <c r="W1075" s="8">
        <v>1678</v>
      </c>
      <c r="X1075" s="8">
        <v>1714</v>
      </c>
      <c r="Y1075" s="8">
        <v>1604</v>
      </c>
      <c r="Z1075" s="8">
        <v>1523</v>
      </c>
      <c r="AA1075" s="8">
        <v>1511</v>
      </c>
      <c r="AB1075" s="8">
        <v>1509</v>
      </c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</row>
    <row r="1076" spans="1:47" ht="14.4">
      <c r="A1076" s="3">
        <f>LOOKUP(D1076,'AMFI DATA_2023H2'!F:L,'AMFI DATA_2023H2'!L:L)</f>
        <v>1149</v>
      </c>
      <c r="B1076" s="4" t="s">
        <v>3227</v>
      </c>
      <c r="C1076" s="4" t="s">
        <v>3228</v>
      </c>
      <c r="D1076" s="5" t="s">
        <v>3229</v>
      </c>
      <c r="E1076" s="5">
        <v>1159.6099999999999</v>
      </c>
      <c r="F1076" s="6">
        <f>LOOKUP(D1076,'AMFI DATA_2023H2'!F:J,'AMFI DATA_2023H2'!J:J)</f>
        <v>1184.9999</v>
      </c>
      <c r="G1076" s="7">
        <f t="shared" si="4"/>
        <v>-1</v>
      </c>
      <c r="H1076" s="9"/>
      <c r="I1076" s="9">
        <v>887</v>
      </c>
      <c r="J1076" s="9">
        <v>886</v>
      </c>
      <c r="K1076" s="9">
        <v>899</v>
      </c>
      <c r="L1076" s="9">
        <v>909</v>
      </c>
      <c r="M1076" s="9">
        <v>912</v>
      </c>
      <c r="N1076" s="9">
        <v>915</v>
      </c>
      <c r="O1076" s="9">
        <v>920</v>
      </c>
      <c r="P1076" s="9">
        <v>917</v>
      </c>
      <c r="Q1076" s="9">
        <v>917</v>
      </c>
      <c r="R1076" s="9">
        <v>918</v>
      </c>
      <c r="S1076" s="9">
        <v>916</v>
      </c>
      <c r="T1076" s="9">
        <v>911</v>
      </c>
      <c r="U1076" s="9">
        <v>914</v>
      </c>
      <c r="V1076" s="9">
        <v>916</v>
      </c>
      <c r="W1076" s="9">
        <v>925</v>
      </c>
      <c r="X1076" s="9">
        <v>922</v>
      </c>
      <c r="Y1076" s="9">
        <v>912</v>
      </c>
      <c r="Z1076" s="9">
        <v>917</v>
      </c>
      <c r="AA1076" s="9">
        <v>928</v>
      </c>
      <c r="AB1076" s="9">
        <v>910</v>
      </c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</row>
    <row r="1077" spans="1:47" ht="14.4">
      <c r="A1077" s="3">
        <f>LOOKUP(D1077,'AMFI DATA_2023H2'!F:L,'AMFI DATA_2023H2'!L:L)</f>
        <v>1151</v>
      </c>
      <c r="B1077" s="4" t="s">
        <v>3230</v>
      </c>
      <c r="C1077" s="4" t="s">
        <v>3231</v>
      </c>
      <c r="D1077" s="5" t="s">
        <v>3232</v>
      </c>
      <c r="E1077" s="5">
        <v>1045.67</v>
      </c>
      <c r="F1077" s="6">
        <f>LOOKUP(D1077,'AMFI DATA_2023H2'!F:J,'AMFI DATA_2023H2'!J:J)</f>
        <v>1184.7961500000001</v>
      </c>
      <c r="G1077" s="7">
        <f t="shared" si="4"/>
        <v>-1</v>
      </c>
      <c r="H1077" s="8"/>
      <c r="I1077" s="8">
        <v>1227</v>
      </c>
      <c r="J1077" s="8">
        <v>1213</v>
      </c>
      <c r="K1077" s="8">
        <v>1226</v>
      </c>
      <c r="L1077" s="8">
        <v>1228</v>
      </c>
      <c r="M1077" s="8">
        <v>1226</v>
      </c>
      <c r="N1077" s="8">
        <v>1234</v>
      </c>
      <c r="O1077" s="8">
        <v>1238</v>
      </c>
      <c r="P1077" s="8">
        <v>1224</v>
      </c>
      <c r="Q1077" s="8">
        <v>1224</v>
      </c>
      <c r="R1077" s="8">
        <v>1219</v>
      </c>
      <c r="S1077" s="8">
        <v>1237</v>
      </c>
      <c r="T1077" s="8">
        <v>1238</v>
      </c>
      <c r="U1077" s="8">
        <v>1292</v>
      </c>
      <c r="V1077" s="8">
        <v>1297</v>
      </c>
      <c r="W1077" s="8">
        <v>1314</v>
      </c>
      <c r="X1077" s="8">
        <v>1293</v>
      </c>
      <c r="Y1077" s="8">
        <v>1282</v>
      </c>
      <c r="Z1077" s="8">
        <v>1284</v>
      </c>
      <c r="AA1077" s="8">
        <v>1282</v>
      </c>
      <c r="AB1077" s="8">
        <v>1246</v>
      </c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</row>
    <row r="1078" spans="1:47" ht="14.4">
      <c r="A1078" s="3">
        <f>LOOKUP(D1078,'AMFI DATA_2023H2'!F:L,'AMFI DATA_2023H2'!L:L)</f>
        <v>1153</v>
      </c>
      <c r="B1078" s="4" t="s">
        <v>3233</v>
      </c>
      <c r="C1078" s="4" t="s">
        <v>3234</v>
      </c>
      <c r="D1078" s="5" t="s">
        <v>3235</v>
      </c>
      <c r="E1078" s="5">
        <v>998.59</v>
      </c>
      <c r="F1078" s="6">
        <f>LOOKUP(D1078,'AMFI DATA_2023H2'!F:J,'AMFI DATA_2023H2'!J:J)</f>
        <v>1169.6332</v>
      </c>
      <c r="G1078" s="7">
        <f t="shared" si="4"/>
        <v>-1</v>
      </c>
      <c r="H1078" s="8"/>
      <c r="I1078" s="8">
        <v>1080</v>
      </c>
      <c r="J1078" s="8">
        <v>1068</v>
      </c>
      <c r="K1078" s="8">
        <v>1061</v>
      </c>
      <c r="L1078" s="8">
        <v>1094</v>
      </c>
      <c r="M1078" s="8">
        <v>1101</v>
      </c>
      <c r="N1078" s="8">
        <v>1105</v>
      </c>
      <c r="O1078" s="8">
        <v>1108</v>
      </c>
      <c r="P1078" s="8">
        <v>1104</v>
      </c>
      <c r="Q1078" s="8">
        <v>1102</v>
      </c>
      <c r="R1078" s="8">
        <v>1102</v>
      </c>
      <c r="S1078" s="8">
        <v>1113</v>
      </c>
      <c r="T1078" s="8">
        <v>1102</v>
      </c>
      <c r="U1078" s="8">
        <v>1105</v>
      </c>
      <c r="V1078" s="8">
        <v>1112</v>
      </c>
      <c r="W1078" s="8">
        <v>1108</v>
      </c>
      <c r="X1078" s="8">
        <v>1105</v>
      </c>
      <c r="Y1078" s="8">
        <v>1109</v>
      </c>
      <c r="Z1078" s="8">
        <v>1102</v>
      </c>
      <c r="AA1078" s="8">
        <v>1107</v>
      </c>
      <c r="AB1078" s="8">
        <v>1112</v>
      </c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</row>
    <row r="1079" spans="1:47" ht="14.4">
      <c r="A1079" s="3">
        <f>LOOKUP(D1079,'AMFI DATA_2023H2'!F:L,'AMFI DATA_2023H2'!L:L)</f>
        <v>1154</v>
      </c>
      <c r="B1079" s="4" t="s">
        <v>3236</v>
      </c>
      <c r="C1079" s="4" t="s">
        <v>3237</v>
      </c>
      <c r="D1079" s="5" t="s">
        <v>3238</v>
      </c>
      <c r="E1079" s="5">
        <v>1041.1600000000001</v>
      </c>
      <c r="F1079" s="6">
        <f>LOOKUP(D1079,'AMFI DATA_2023H2'!F:J,'AMFI DATA_2023H2'!J:J)</f>
        <v>1168.0936000000002</v>
      </c>
      <c r="G1079" s="7">
        <f t="shared" si="4"/>
        <v>-1</v>
      </c>
      <c r="H1079" s="8"/>
      <c r="I1079" s="8">
        <v>1772</v>
      </c>
      <c r="J1079" s="8">
        <v>1688</v>
      </c>
      <c r="K1079" s="8">
        <v>1629</v>
      </c>
      <c r="L1079" s="8">
        <v>1614</v>
      </c>
      <c r="M1079" s="8">
        <v>1686</v>
      </c>
      <c r="N1079" s="8">
        <v>1762</v>
      </c>
      <c r="O1079" s="8">
        <v>1683</v>
      </c>
      <c r="P1079" s="8">
        <v>1603</v>
      </c>
      <c r="Q1079" s="8">
        <v>1524</v>
      </c>
      <c r="R1079" s="8">
        <v>1456</v>
      </c>
      <c r="S1079" s="8">
        <v>1496</v>
      </c>
      <c r="T1079" s="8">
        <v>1476</v>
      </c>
      <c r="U1079" s="8">
        <v>1407</v>
      </c>
      <c r="V1079" s="8">
        <v>1381</v>
      </c>
      <c r="W1079" s="8">
        <v>1387</v>
      </c>
      <c r="X1079" s="8">
        <v>1373</v>
      </c>
      <c r="Y1079" s="8">
        <v>1399</v>
      </c>
      <c r="Z1079" s="8">
        <v>1413</v>
      </c>
      <c r="AA1079" s="8">
        <v>1445</v>
      </c>
      <c r="AB1079" s="8">
        <v>1418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</row>
    <row r="1080" spans="1:47" ht="14.4">
      <c r="A1080" s="3">
        <f>LOOKUP(D1080,'AMFI DATA_2023H2'!F:L,'AMFI DATA_2023H2'!L:L)</f>
        <v>1155</v>
      </c>
      <c r="B1080" s="4" t="s">
        <v>3239</v>
      </c>
      <c r="C1080" s="4" t="s">
        <v>3240</v>
      </c>
      <c r="D1080" s="5" t="s">
        <v>3241</v>
      </c>
      <c r="E1080" s="5">
        <v>951.4</v>
      </c>
      <c r="F1080" s="6">
        <f>LOOKUP(D1080,'AMFI DATA_2023H2'!F:J,'AMFI DATA_2023H2'!J:J)</f>
        <v>1163.6410000000001</v>
      </c>
      <c r="G1080" s="7">
        <f t="shared" si="4"/>
        <v>-1</v>
      </c>
      <c r="H1080" s="8"/>
      <c r="I1080" s="8">
        <v>1289</v>
      </c>
      <c r="J1080" s="8">
        <v>1299</v>
      </c>
      <c r="K1080" s="8">
        <v>1316</v>
      </c>
      <c r="L1080" s="8">
        <v>1342</v>
      </c>
      <c r="M1080" s="8">
        <v>1308</v>
      </c>
      <c r="N1080" s="8">
        <v>1285</v>
      </c>
      <c r="O1080" s="8">
        <v>1289</v>
      </c>
      <c r="P1080" s="8">
        <v>1286</v>
      </c>
      <c r="Q1080" s="8">
        <v>1292</v>
      </c>
      <c r="R1080" s="8">
        <v>1302</v>
      </c>
      <c r="S1080" s="8">
        <v>1274</v>
      </c>
      <c r="T1080" s="8">
        <v>1286</v>
      </c>
      <c r="U1080" s="8">
        <v>1305</v>
      </c>
      <c r="V1080" s="8">
        <v>1300</v>
      </c>
      <c r="W1080" s="8">
        <v>1326</v>
      </c>
      <c r="X1080" s="8">
        <v>1321</v>
      </c>
      <c r="Y1080" s="8">
        <v>1333</v>
      </c>
      <c r="Z1080" s="8">
        <v>1313</v>
      </c>
      <c r="AA1080" s="8">
        <v>1331</v>
      </c>
      <c r="AB1080" s="8">
        <v>1310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</row>
    <row r="1081" spans="1:47" ht="14.4">
      <c r="A1081" s="3">
        <f>LOOKUP(D1081,'AMFI DATA_2023H2'!F:L,'AMFI DATA_2023H2'!L:L)</f>
        <v>1156</v>
      </c>
      <c r="B1081" s="4" t="s">
        <v>3242</v>
      </c>
      <c r="C1081" s="4" t="s">
        <v>3243</v>
      </c>
      <c r="D1081" s="5" t="s">
        <v>3244</v>
      </c>
      <c r="E1081" s="5">
        <v>1213.82</v>
      </c>
      <c r="F1081" s="6">
        <f>LOOKUP(D1081,'AMFI DATA_2023H2'!F:J,'AMFI DATA_2023H2'!J:J)</f>
        <v>1157.26055</v>
      </c>
      <c r="G1081" s="7">
        <f t="shared" si="4"/>
        <v>-1</v>
      </c>
      <c r="H1081" s="8"/>
      <c r="I1081" s="8">
        <v>1365</v>
      </c>
      <c r="J1081" s="8">
        <v>1343</v>
      </c>
      <c r="K1081" s="8">
        <v>1358</v>
      </c>
      <c r="L1081" s="8">
        <v>1373</v>
      </c>
      <c r="M1081" s="8">
        <v>1395</v>
      </c>
      <c r="N1081" s="8">
        <v>1445</v>
      </c>
      <c r="O1081" s="8">
        <v>1482</v>
      </c>
      <c r="P1081" s="8">
        <v>1362</v>
      </c>
      <c r="Q1081" s="8">
        <v>1380</v>
      </c>
      <c r="R1081" s="8">
        <v>1361</v>
      </c>
      <c r="S1081" s="8">
        <v>1396</v>
      </c>
      <c r="T1081" s="8">
        <v>1372</v>
      </c>
      <c r="U1081" s="8">
        <v>1353</v>
      </c>
      <c r="V1081" s="8">
        <v>1345</v>
      </c>
      <c r="W1081" s="8">
        <v>1332</v>
      </c>
      <c r="X1081" s="8">
        <v>1363</v>
      </c>
      <c r="Y1081" s="8">
        <v>1391</v>
      </c>
      <c r="Z1081" s="8">
        <v>1365</v>
      </c>
      <c r="AA1081" s="8">
        <v>1391</v>
      </c>
      <c r="AB1081" s="8">
        <v>1386</v>
      </c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</row>
    <row r="1082" spans="1:47" ht="14.4">
      <c r="A1082" s="3">
        <f>LOOKUP(D1082,'AMFI DATA_2023H2'!F:L,'AMFI DATA_2023H2'!L:L)</f>
        <v>1158</v>
      </c>
      <c r="B1082" s="4" t="s">
        <v>3245</v>
      </c>
      <c r="C1082" s="4" t="s">
        <v>3246</v>
      </c>
      <c r="D1082" s="5" t="s">
        <v>3247</v>
      </c>
      <c r="E1082" s="5">
        <v>615.05999999999995</v>
      </c>
      <c r="F1082" s="6">
        <f>LOOKUP(D1082,'AMFI DATA_2023H2'!F:J,'AMFI DATA_2023H2'!J:J)</f>
        <v>1151.4463000000001</v>
      </c>
      <c r="G1082" s="7">
        <f t="shared" si="4"/>
        <v>-1</v>
      </c>
      <c r="H1082" s="8"/>
      <c r="I1082" s="8">
        <v>1615</v>
      </c>
      <c r="J1082" s="8">
        <v>1470</v>
      </c>
      <c r="K1082" s="8">
        <v>1466</v>
      </c>
      <c r="L1082" s="8">
        <v>1436</v>
      </c>
      <c r="M1082" s="8">
        <v>1501</v>
      </c>
      <c r="N1082" s="8">
        <v>1462</v>
      </c>
      <c r="O1082" s="8">
        <v>1500</v>
      </c>
      <c r="P1082" s="8">
        <v>1517</v>
      </c>
      <c r="Q1082" s="8">
        <v>1527</v>
      </c>
      <c r="R1082" s="8">
        <v>1393</v>
      </c>
      <c r="S1082" s="8">
        <v>1394</v>
      </c>
      <c r="T1082" s="8">
        <v>1370</v>
      </c>
      <c r="U1082" s="8">
        <v>1346</v>
      </c>
      <c r="V1082" s="8">
        <v>1337</v>
      </c>
      <c r="W1082" s="8">
        <v>1324</v>
      </c>
      <c r="X1082" s="8">
        <v>1332</v>
      </c>
      <c r="Y1082" s="8">
        <v>1334</v>
      </c>
      <c r="Z1082" s="8">
        <v>1356</v>
      </c>
      <c r="AA1082" s="8">
        <v>1371</v>
      </c>
      <c r="AB1082" s="8">
        <v>1394</v>
      </c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</row>
    <row r="1083" spans="1:47" ht="14.4">
      <c r="A1083" s="3">
        <f>LOOKUP(D1083,'AMFI DATA_2023H2'!F:L,'AMFI DATA_2023H2'!L:L)</f>
        <v>1159</v>
      </c>
      <c r="B1083" s="4" t="s">
        <v>3248</v>
      </c>
      <c r="C1083" s="4" t="s">
        <v>3249</v>
      </c>
      <c r="D1083" s="5" t="s">
        <v>3250</v>
      </c>
      <c r="E1083" s="5">
        <v>425.66</v>
      </c>
      <c r="F1083" s="6">
        <f>LOOKUP(D1083,'AMFI DATA_2023H2'!F:J,'AMFI DATA_2023H2'!J:J)</f>
        <v>1151.3697500000001</v>
      </c>
      <c r="G1083" s="7">
        <f t="shared" si="4"/>
        <v>-1</v>
      </c>
      <c r="H1083" s="8"/>
      <c r="I1083" s="8">
        <v>2173</v>
      </c>
      <c r="J1083" s="8">
        <v>2203</v>
      </c>
      <c r="K1083" s="8">
        <v>2165</v>
      </c>
      <c r="L1083" s="8">
        <v>2062</v>
      </c>
      <c r="M1083" s="8">
        <v>2170</v>
      </c>
      <c r="N1083" s="8">
        <v>2069</v>
      </c>
      <c r="O1083" s="8">
        <v>2044</v>
      </c>
      <c r="P1083" s="8">
        <v>2132</v>
      </c>
      <c r="Q1083" s="8">
        <v>2050</v>
      </c>
      <c r="R1083" s="8">
        <v>1953</v>
      </c>
      <c r="S1083" s="8">
        <v>1862</v>
      </c>
      <c r="T1083" s="8">
        <v>1769</v>
      </c>
      <c r="U1083" s="8">
        <v>1690</v>
      </c>
      <c r="V1083" s="8">
        <v>1742</v>
      </c>
      <c r="W1083" s="8">
        <v>1669</v>
      </c>
      <c r="X1083" s="8">
        <v>1582</v>
      </c>
      <c r="Y1083" s="8">
        <v>1576</v>
      </c>
      <c r="Z1083" s="8">
        <v>1578</v>
      </c>
      <c r="AA1083" s="8">
        <v>1573</v>
      </c>
      <c r="AB1083" s="8">
        <v>1571</v>
      </c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</row>
    <row r="1084" spans="1:47" ht="14.4">
      <c r="A1084" s="3">
        <f>LOOKUP(D1084,'AMFI DATA_2023H2'!F:L,'AMFI DATA_2023H2'!L:L)</f>
        <v>1160</v>
      </c>
      <c r="B1084" s="4" t="s">
        <v>3251</v>
      </c>
      <c r="C1084" s="4" t="s">
        <v>3252</v>
      </c>
      <c r="D1084" s="5" t="s">
        <v>3253</v>
      </c>
      <c r="E1084" s="5">
        <v>802.35</v>
      </c>
      <c r="F1084" s="6">
        <f>LOOKUP(D1084,'AMFI DATA_2023H2'!F:J,'AMFI DATA_2023H2'!J:J)</f>
        <v>1143.0684000000001</v>
      </c>
      <c r="G1084" s="7">
        <f t="shared" si="4"/>
        <v>-1</v>
      </c>
      <c r="H1084" s="8"/>
      <c r="I1084" s="8">
        <v>1589</v>
      </c>
      <c r="J1084" s="8">
        <v>1478</v>
      </c>
      <c r="K1084" s="8">
        <v>1480</v>
      </c>
      <c r="L1084" s="8">
        <v>1507</v>
      </c>
      <c r="M1084" s="8">
        <v>1464</v>
      </c>
      <c r="N1084" s="8">
        <v>1492</v>
      </c>
      <c r="O1084" s="8">
        <v>1503</v>
      </c>
      <c r="P1084" s="8">
        <v>1497</v>
      </c>
      <c r="Q1084" s="8">
        <v>1444</v>
      </c>
      <c r="R1084" s="8">
        <v>1429</v>
      </c>
      <c r="S1084" s="8">
        <v>1435</v>
      </c>
      <c r="T1084" s="8">
        <v>1436</v>
      </c>
      <c r="U1084" s="8">
        <v>1434</v>
      </c>
      <c r="V1084" s="8">
        <v>1442</v>
      </c>
      <c r="W1084" s="8">
        <v>1433</v>
      </c>
      <c r="X1084" s="8">
        <v>1433</v>
      </c>
      <c r="Y1084" s="8">
        <v>1427</v>
      </c>
      <c r="Z1084" s="8">
        <v>1459</v>
      </c>
      <c r="AA1084" s="8">
        <v>1483</v>
      </c>
      <c r="AB1084" s="8">
        <v>1505</v>
      </c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</row>
    <row r="1085" spans="1:47" ht="14.4">
      <c r="A1085" s="3">
        <f>LOOKUP(D1085,'AMFI DATA_2023H2'!F:L,'AMFI DATA_2023H2'!L:L)</f>
        <v>1161</v>
      </c>
      <c r="B1085" s="4" t="s">
        <v>3254</v>
      </c>
      <c r="C1085" s="4" t="s">
        <v>3255</v>
      </c>
      <c r="D1085" s="5" t="s">
        <v>3256</v>
      </c>
      <c r="E1085" s="5">
        <v>1484.4</v>
      </c>
      <c r="F1085" s="6">
        <f>LOOKUP(D1085,'AMFI DATA_2023H2'!F:J,'AMFI DATA_2023H2'!J:J)</f>
        <v>1136.7460500000002</v>
      </c>
      <c r="G1085" s="7">
        <f t="shared" si="4"/>
        <v>-1</v>
      </c>
      <c r="H1085" s="8"/>
      <c r="I1085" s="8">
        <v>1119</v>
      </c>
      <c r="J1085" s="8">
        <v>1121</v>
      </c>
      <c r="K1085" s="8">
        <v>1138</v>
      </c>
      <c r="L1085" s="8">
        <v>1143</v>
      </c>
      <c r="M1085" s="8">
        <v>1153</v>
      </c>
      <c r="N1085" s="8">
        <v>1138</v>
      </c>
      <c r="O1085" s="8">
        <v>1133</v>
      </c>
      <c r="P1085" s="8">
        <v>1139</v>
      </c>
      <c r="Q1085" s="8">
        <v>1138</v>
      </c>
      <c r="R1085" s="8">
        <v>1134</v>
      </c>
      <c r="S1085" s="8">
        <v>1144</v>
      </c>
      <c r="T1085" s="8">
        <v>1150</v>
      </c>
      <c r="U1085" s="8">
        <v>1150</v>
      </c>
      <c r="V1085" s="8">
        <v>1164</v>
      </c>
      <c r="W1085" s="8">
        <v>1140</v>
      </c>
      <c r="X1085" s="8">
        <v>1133</v>
      </c>
      <c r="Y1085" s="8">
        <v>1140</v>
      </c>
      <c r="Z1085" s="8">
        <v>1122</v>
      </c>
      <c r="AA1085" s="8">
        <v>1144</v>
      </c>
      <c r="AB1085" s="8">
        <v>1144</v>
      </c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</row>
    <row r="1086" spans="1:47" ht="14.4">
      <c r="A1086" s="3">
        <f>LOOKUP(D1086,'AMFI DATA_2023H2'!F:L,'AMFI DATA_2023H2'!L:L)</f>
        <v>1163</v>
      </c>
      <c r="B1086" s="4" t="s">
        <v>3257</v>
      </c>
      <c r="C1086" s="4" t="s">
        <v>3258</v>
      </c>
      <c r="D1086" s="5" t="s">
        <v>3259</v>
      </c>
      <c r="E1086" s="5">
        <v>686.32</v>
      </c>
      <c r="F1086" s="6">
        <f>LOOKUP(D1086,'AMFI DATA_2023H2'!F:J,'AMFI DATA_2023H2'!J:J)</f>
        <v>1126.3301000000001</v>
      </c>
      <c r="G1086" s="7">
        <f t="shared" si="4"/>
        <v>-1</v>
      </c>
      <c r="H1086" s="8"/>
      <c r="I1086" s="8">
        <v>1371</v>
      </c>
      <c r="J1086" s="8">
        <v>1353</v>
      </c>
      <c r="K1086" s="8">
        <v>1308</v>
      </c>
      <c r="L1086" s="8">
        <v>1340</v>
      </c>
      <c r="M1086" s="8">
        <v>1351</v>
      </c>
      <c r="N1086" s="8">
        <v>1360</v>
      </c>
      <c r="O1086" s="8">
        <v>1373</v>
      </c>
      <c r="P1086" s="8">
        <v>1358</v>
      </c>
      <c r="Q1086" s="8">
        <v>1381</v>
      </c>
      <c r="R1086" s="8">
        <v>1378</v>
      </c>
      <c r="S1086" s="8">
        <v>1415</v>
      </c>
      <c r="T1086" s="8">
        <v>1410</v>
      </c>
      <c r="U1086" s="8">
        <v>1381</v>
      </c>
      <c r="V1086" s="8">
        <v>1375</v>
      </c>
      <c r="W1086" s="8">
        <v>1380</v>
      </c>
      <c r="X1086" s="8">
        <v>1389</v>
      </c>
      <c r="Y1086" s="8">
        <v>1408</v>
      </c>
      <c r="Z1086" s="8">
        <v>1419</v>
      </c>
      <c r="AA1086" s="8">
        <v>1443</v>
      </c>
      <c r="AB1086" s="8">
        <v>1443</v>
      </c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</row>
    <row r="1087" spans="1:47" ht="14.4">
      <c r="A1087" s="3">
        <f>LOOKUP(D1087,'AMFI DATA_2023H2'!F:L,'AMFI DATA_2023H2'!L:L)</f>
        <v>1164</v>
      </c>
      <c r="B1087" s="4" t="s">
        <v>3260</v>
      </c>
      <c r="C1087" s="4" t="s">
        <v>3261</v>
      </c>
      <c r="D1087" s="5" t="s">
        <v>3262</v>
      </c>
      <c r="E1087" s="5">
        <v>1190.1199999999999</v>
      </c>
      <c r="F1087" s="6">
        <f>LOOKUP(D1087,'AMFI DATA_2023H2'!F:J,'AMFI DATA_2023H2'!J:J)</f>
        <v>1121.5236500000001</v>
      </c>
      <c r="G1087" s="7">
        <f t="shared" si="4"/>
        <v>-1</v>
      </c>
      <c r="H1087" s="8"/>
      <c r="I1087" s="8">
        <v>1143</v>
      </c>
      <c r="J1087" s="8">
        <v>1124</v>
      </c>
      <c r="K1087" s="8">
        <v>1098</v>
      </c>
      <c r="L1087" s="8">
        <v>1155</v>
      </c>
      <c r="M1087" s="8">
        <v>1174</v>
      </c>
      <c r="N1087" s="8">
        <v>1184</v>
      </c>
      <c r="O1087" s="8">
        <v>1168</v>
      </c>
      <c r="P1087" s="8">
        <v>1170</v>
      </c>
      <c r="Q1087" s="8">
        <v>1166</v>
      </c>
      <c r="R1087" s="8">
        <v>1179</v>
      </c>
      <c r="S1087" s="8">
        <v>1200</v>
      </c>
      <c r="T1087" s="8">
        <v>1230</v>
      </c>
      <c r="U1087" s="8">
        <v>1233</v>
      </c>
      <c r="V1087" s="8">
        <v>1184</v>
      </c>
      <c r="W1087" s="8">
        <v>1192</v>
      </c>
      <c r="X1087" s="8">
        <v>1141</v>
      </c>
      <c r="Y1087" s="8">
        <v>1138</v>
      </c>
      <c r="Z1087" s="8">
        <v>1163</v>
      </c>
      <c r="AA1087" s="8">
        <v>1166</v>
      </c>
      <c r="AB1087" s="8">
        <v>1167</v>
      </c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</row>
    <row r="1088" spans="1:47" ht="14.4">
      <c r="A1088" s="3">
        <f>LOOKUP(D1088,'AMFI DATA_2023H2'!F:L,'AMFI DATA_2023H2'!L:L)</f>
        <v>1165</v>
      </c>
      <c r="B1088" s="4" t="s">
        <v>3263</v>
      </c>
      <c r="C1088" s="4" t="s">
        <v>3264</v>
      </c>
      <c r="D1088" s="5" t="s">
        <v>3265</v>
      </c>
      <c r="E1088" s="5">
        <v>1043.54</v>
      </c>
      <c r="F1088" s="6">
        <f>LOOKUP(D1088,'AMFI DATA_2023H2'!F:J,'AMFI DATA_2023H2'!J:J)</f>
        <v>1119.2064</v>
      </c>
      <c r="G1088" s="7">
        <f t="shared" si="4"/>
        <v>-1</v>
      </c>
      <c r="H1088" s="8"/>
      <c r="I1088" s="8">
        <v>1105</v>
      </c>
      <c r="J1088" s="8">
        <v>1116</v>
      </c>
      <c r="K1088" s="8">
        <v>1120</v>
      </c>
      <c r="L1088" s="8">
        <v>1137</v>
      </c>
      <c r="M1088" s="8">
        <v>1141</v>
      </c>
      <c r="N1088" s="8">
        <v>1136</v>
      </c>
      <c r="O1088" s="8">
        <v>1157</v>
      </c>
      <c r="P1088" s="8">
        <v>1109</v>
      </c>
      <c r="Q1088" s="8">
        <v>1106</v>
      </c>
      <c r="R1088" s="8">
        <v>1123</v>
      </c>
      <c r="S1088" s="8">
        <v>1134</v>
      </c>
      <c r="T1088" s="8">
        <v>1129</v>
      </c>
      <c r="U1088" s="8">
        <v>1135</v>
      </c>
      <c r="V1088" s="8">
        <v>1135</v>
      </c>
      <c r="W1088" s="8">
        <v>1124</v>
      </c>
      <c r="X1088" s="8">
        <v>1112</v>
      </c>
      <c r="Y1088" s="8">
        <v>1113</v>
      </c>
      <c r="Z1088" s="8">
        <v>1129</v>
      </c>
      <c r="AA1088" s="8">
        <v>1143</v>
      </c>
      <c r="AB1088" s="8">
        <v>1099</v>
      </c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</row>
    <row r="1089" spans="1:47" ht="14.4">
      <c r="A1089" s="3">
        <f>LOOKUP(D1089,'AMFI DATA_2023H2'!F:L,'AMFI DATA_2023H2'!L:L)</f>
        <v>1166</v>
      </c>
      <c r="B1089" s="4" t="s">
        <v>3266</v>
      </c>
      <c r="C1089" s="4" t="s">
        <v>3267</v>
      </c>
      <c r="D1089" s="5" t="s">
        <v>3268</v>
      </c>
      <c r="E1089" s="5">
        <v>1012.78</v>
      </c>
      <c r="F1089" s="6">
        <f>LOOKUP(D1089,'AMFI DATA_2023H2'!F:J,'AMFI DATA_2023H2'!J:J)</f>
        <v>1118.6877500000001</v>
      </c>
      <c r="G1089" s="7">
        <f t="shared" si="4"/>
        <v>-1</v>
      </c>
      <c r="H1089" s="8"/>
      <c r="I1089" s="8">
        <v>1304</v>
      </c>
      <c r="J1089" s="8">
        <v>1279</v>
      </c>
      <c r="K1089" s="8">
        <v>1315</v>
      </c>
      <c r="L1089" s="8">
        <v>1299</v>
      </c>
      <c r="M1089" s="8">
        <v>1375</v>
      </c>
      <c r="N1089" s="8">
        <v>1372</v>
      </c>
      <c r="O1089" s="8">
        <v>1376</v>
      </c>
      <c r="P1089" s="8">
        <v>1270</v>
      </c>
      <c r="Q1089" s="8">
        <v>1218</v>
      </c>
      <c r="R1089" s="8">
        <v>1146</v>
      </c>
      <c r="S1089" s="8">
        <v>1157</v>
      </c>
      <c r="T1089" s="8">
        <v>1159</v>
      </c>
      <c r="U1089" s="8">
        <v>1151</v>
      </c>
      <c r="V1089" s="8">
        <v>1149</v>
      </c>
      <c r="W1089" s="8">
        <v>1165</v>
      </c>
      <c r="X1089" s="8">
        <v>1160</v>
      </c>
      <c r="Y1089" s="8">
        <v>1150</v>
      </c>
      <c r="Z1089" s="8">
        <v>1151</v>
      </c>
      <c r="AA1089" s="8">
        <v>1151</v>
      </c>
      <c r="AB1089" s="8">
        <v>1165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</row>
    <row r="1090" spans="1:47" ht="14.4">
      <c r="A1090" s="3">
        <f>LOOKUP(D1090,'AMFI DATA_2023H2'!F:L,'AMFI DATA_2023H2'!L:L)</f>
        <v>1167</v>
      </c>
      <c r="B1090" s="4" t="s">
        <v>3269</v>
      </c>
      <c r="C1090" s="4" t="s">
        <v>3270</v>
      </c>
      <c r="D1090" s="5" t="s">
        <v>3271</v>
      </c>
      <c r="E1090" s="5">
        <v>840.13</v>
      </c>
      <c r="F1090" s="6">
        <f>LOOKUP(D1090,'AMFI DATA_2023H2'!F:J,'AMFI DATA_2023H2'!J:J)</f>
        <v>1118.24335</v>
      </c>
      <c r="G1090" s="7">
        <f t="shared" si="4"/>
        <v>-1</v>
      </c>
      <c r="H1090" s="8"/>
      <c r="I1090" s="8">
        <v>1152</v>
      </c>
      <c r="J1090" s="8">
        <v>1154</v>
      </c>
      <c r="K1090" s="8">
        <v>1165</v>
      </c>
      <c r="L1090" s="8">
        <v>1178</v>
      </c>
      <c r="M1090" s="8">
        <v>1197</v>
      </c>
      <c r="N1090" s="8">
        <v>1153</v>
      </c>
      <c r="O1090" s="8">
        <v>1158</v>
      </c>
      <c r="P1090" s="8">
        <v>1155</v>
      </c>
      <c r="Q1090" s="8">
        <v>1163</v>
      </c>
      <c r="R1090" s="8">
        <v>1179</v>
      </c>
      <c r="S1090" s="8">
        <v>1138</v>
      </c>
      <c r="T1090" s="8">
        <v>1149</v>
      </c>
      <c r="U1090" s="8">
        <v>1142</v>
      </c>
      <c r="V1090" s="8">
        <v>1146</v>
      </c>
      <c r="W1090" s="8">
        <v>1150</v>
      </c>
      <c r="X1090" s="8">
        <v>1150</v>
      </c>
      <c r="Y1090" s="8">
        <v>1164</v>
      </c>
      <c r="Z1090" s="8">
        <v>1179</v>
      </c>
      <c r="AA1090" s="8">
        <v>1160</v>
      </c>
      <c r="AB1090" s="8">
        <v>1153</v>
      </c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</row>
    <row r="1091" spans="1:47" ht="14.4">
      <c r="A1091" s="3">
        <f>LOOKUP(D1091,'AMFI DATA_2023H2'!F:L,'AMFI DATA_2023H2'!L:L)</f>
        <v>1169</v>
      </c>
      <c r="B1091" s="4" t="s">
        <v>3272</v>
      </c>
      <c r="C1091" s="4" t="s">
        <v>3273</v>
      </c>
      <c r="D1091" s="5" t="s">
        <v>3274</v>
      </c>
      <c r="E1091" s="5">
        <v>844.7</v>
      </c>
      <c r="F1091" s="6">
        <f>LOOKUP(D1091,'AMFI DATA_2023H2'!F:J,'AMFI DATA_2023H2'!J:J)</f>
        <v>1112.73595</v>
      </c>
      <c r="G1091" s="7">
        <f t="shared" si="4"/>
        <v>-1</v>
      </c>
      <c r="H1091" s="8"/>
      <c r="I1091" s="8">
        <v>1294</v>
      </c>
      <c r="J1091" s="8">
        <v>1301</v>
      </c>
      <c r="K1091" s="8">
        <v>1290</v>
      </c>
      <c r="L1091" s="8">
        <v>1294</v>
      </c>
      <c r="M1091" s="8">
        <v>1345</v>
      </c>
      <c r="N1091" s="8">
        <v>1380</v>
      </c>
      <c r="O1091" s="8">
        <v>1367</v>
      </c>
      <c r="P1091" s="8">
        <v>1296</v>
      </c>
      <c r="Q1091" s="8">
        <v>1266</v>
      </c>
      <c r="R1091" s="8">
        <v>1273</v>
      </c>
      <c r="S1091" s="8">
        <v>1194</v>
      </c>
      <c r="T1091" s="8">
        <v>1235</v>
      </c>
      <c r="U1091" s="8">
        <v>1196</v>
      </c>
      <c r="V1091" s="8">
        <v>1181</v>
      </c>
      <c r="W1091" s="8">
        <v>1205</v>
      </c>
      <c r="X1091" s="8">
        <v>1207</v>
      </c>
      <c r="Y1091" s="8">
        <v>1219</v>
      </c>
      <c r="Z1091" s="8">
        <v>1209</v>
      </c>
      <c r="AA1091" s="8">
        <v>1228</v>
      </c>
      <c r="AB1091" s="8">
        <v>1226</v>
      </c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</row>
    <row r="1092" spans="1:47" ht="14.4">
      <c r="A1092" s="3">
        <f>LOOKUP(D1092,'AMFI DATA_2023H2'!F:L,'AMFI DATA_2023H2'!L:L)</f>
        <v>1171</v>
      </c>
      <c r="B1092" s="4" t="s">
        <v>3275</v>
      </c>
      <c r="C1092" s="4" t="s">
        <v>3276</v>
      </c>
      <c r="D1092" s="5" t="s">
        <v>3277</v>
      </c>
      <c r="E1092" s="5">
        <v>671.24</v>
      </c>
      <c r="F1092" s="6">
        <f>LOOKUP(D1092,'AMFI DATA_2023H2'!F:J,'AMFI DATA_2023H2'!J:J)</f>
        <v>1109.0129999999999</v>
      </c>
      <c r="G1092" s="7">
        <f t="shared" si="4"/>
        <v>-1</v>
      </c>
      <c r="H1092" s="8"/>
      <c r="I1092" s="8">
        <v>1546</v>
      </c>
      <c r="J1092" s="8">
        <v>1531</v>
      </c>
      <c r="K1092" s="8">
        <v>1568</v>
      </c>
      <c r="L1092" s="8">
        <v>1569</v>
      </c>
      <c r="M1092" s="8">
        <v>1616</v>
      </c>
      <c r="N1092" s="8">
        <v>1590</v>
      </c>
      <c r="O1092" s="8">
        <v>1587</v>
      </c>
      <c r="P1092" s="8">
        <v>1550</v>
      </c>
      <c r="Q1092" s="8">
        <v>1557</v>
      </c>
      <c r="R1092" s="8">
        <v>1570</v>
      </c>
      <c r="S1092" s="8">
        <v>1605</v>
      </c>
      <c r="T1092" s="8">
        <v>1554</v>
      </c>
      <c r="U1092" s="8">
        <v>1480</v>
      </c>
      <c r="V1092" s="8">
        <v>1496</v>
      </c>
      <c r="W1092" s="8">
        <v>1488</v>
      </c>
      <c r="X1092" s="8">
        <v>1479</v>
      </c>
      <c r="Y1092" s="8">
        <v>1504</v>
      </c>
      <c r="Z1092" s="8">
        <v>1461</v>
      </c>
      <c r="AA1092" s="8">
        <v>1391</v>
      </c>
      <c r="AB1092" s="8">
        <v>1325</v>
      </c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</row>
    <row r="1093" spans="1:47" ht="14.4">
      <c r="A1093" s="3">
        <f>LOOKUP(D1093,'AMFI DATA_2023H2'!F:L,'AMFI DATA_2023H2'!L:L)</f>
        <v>1172</v>
      </c>
      <c r="B1093" s="4" t="s">
        <v>3278</v>
      </c>
      <c r="C1093" s="4" t="s">
        <v>3279</v>
      </c>
      <c r="D1093" s="5" t="s">
        <v>3280</v>
      </c>
      <c r="E1093" s="5">
        <v>1185.8699999999999</v>
      </c>
      <c r="F1093" s="6">
        <f>LOOKUP(D1093,'AMFI DATA_2023H2'!F:J,'AMFI DATA_2023H2'!J:J)</f>
        <v>1103.1792</v>
      </c>
      <c r="G1093" s="7">
        <f t="shared" si="4"/>
        <v>-1</v>
      </c>
      <c r="H1093" s="8"/>
      <c r="I1093" s="8">
        <v>1090</v>
      </c>
      <c r="J1093" s="8">
        <v>1096</v>
      </c>
      <c r="K1093" s="8">
        <v>1105</v>
      </c>
      <c r="L1093" s="8">
        <v>1104</v>
      </c>
      <c r="M1093" s="8">
        <v>1126</v>
      </c>
      <c r="N1093" s="8">
        <v>1110</v>
      </c>
      <c r="O1093" s="8">
        <v>1106</v>
      </c>
      <c r="P1093" s="8">
        <v>1086</v>
      </c>
      <c r="Q1093" s="8">
        <v>1077</v>
      </c>
      <c r="R1093" s="8">
        <v>1069</v>
      </c>
      <c r="S1093" s="8">
        <v>1070</v>
      </c>
      <c r="T1093" s="8">
        <v>1082</v>
      </c>
      <c r="U1093" s="8">
        <v>1093</v>
      </c>
      <c r="V1093" s="8">
        <v>1095</v>
      </c>
      <c r="W1093" s="8">
        <v>1113</v>
      </c>
      <c r="X1093" s="8">
        <v>1067</v>
      </c>
      <c r="Y1093" s="8">
        <v>1072</v>
      </c>
      <c r="Z1093" s="8">
        <v>1093</v>
      </c>
      <c r="AA1093" s="8">
        <v>1106</v>
      </c>
      <c r="AB1093" s="8">
        <v>1118</v>
      </c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</row>
    <row r="1094" spans="1:47" ht="14.4">
      <c r="A1094" s="3">
        <f>LOOKUP(D1094,'AMFI DATA_2023H2'!F:L,'AMFI DATA_2023H2'!L:L)</f>
        <v>1174</v>
      </c>
      <c r="B1094" s="4" t="s">
        <v>3281</v>
      </c>
      <c r="C1094" s="4" t="s">
        <v>3282</v>
      </c>
      <c r="D1094" s="5" t="s">
        <v>3283</v>
      </c>
      <c r="E1094" s="5">
        <v>786.2</v>
      </c>
      <c r="F1094" s="6">
        <f>LOOKUP(D1094,'AMFI DATA_2023H2'!F:J,'AMFI DATA_2023H2'!J:J)</f>
        <v>1097.0986499999999</v>
      </c>
      <c r="G1094" s="7">
        <f t="shared" si="4"/>
        <v>-1</v>
      </c>
      <c r="H1094" s="8"/>
      <c r="I1094" s="8">
        <v>1815</v>
      </c>
      <c r="J1094" s="8">
        <v>1701</v>
      </c>
      <c r="K1094" s="8">
        <v>1733</v>
      </c>
      <c r="L1094" s="8">
        <v>1773</v>
      </c>
      <c r="M1094" s="8">
        <v>1799</v>
      </c>
      <c r="N1094" s="8">
        <v>1815</v>
      </c>
      <c r="O1094" s="8">
        <v>1813</v>
      </c>
      <c r="P1094" s="8">
        <v>1837</v>
      </c>
      <c r="Q1094" s="8">
        <v>1903</v>
      </c>
      <c r="R1094" s="8">
        <v>1922</v>
      </c>
      <c r="S1094" s="8">
        <v>2024</v>
      </c>
      <c r="T1094" s="8">
        <v>2112</v>
      </c>
      <c r="U1094" s="8">
        <v>2151</v>
      </c>
      <c r="V1094" s="8">
        <v>2096</v>
      </c>
      <c r="W1094" s="8">
        <v>2060</v>
      </c>
      <c r="X1094" s="8">
        <v>2041</v>
      </c>
      <c r="Y1094" s="8">
        <v>2025</v>
      </c>
      <c r="Z1094" s="8">
        <v>1913</v>
      </c>
      <c r="AA1094" s="8">
        <v>1896</v>
      </c>
      <c r="AB1094" s="8">
        <v>1919</v>
      </c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</row>
    <row r="1095" spans="1:47" ht="14.4">
      <c r="A1095" s="3">
        <f>LOOKUP(D1095,'AMFI DATA_2023H2'!F:L,'AMFI DATA_2023H2'!L:L)</f>
        <v>1176</v>
      </c>
      <c r="B1095" s="4" t="s">
        <v>3284</v>
      </c>
      <c r="C1095" s="4" t="s">
        <v>3285</v>
      </c>
      <c r="D1095" s="5" t="s">
        <v>3286</v>
      </c>
      <c r="E1095" s="5">
        <v>805.96</v>
      </c>
      <c r="F1095" s="6">
        <f>LOOKUP(D1095,'AMFI DATA_2023H2'!F:J,'AMFI DATA_2023H2'!J:J)</f>
        <v>1092.0974999999999</v>
      </c>
      <c r="G1095" s="7">
        <f t="shared" si="4"/>
        <v>-1</v>
      </c>
      <c r="H1095" s="8"/>
      <c r="I1095" s="8">
        <v>1240</v>
      </c>
      <c r="J1095" s="8">
        <v>1249</v>
      </c>
      <c r="K1095" s="8">
        <v>1234</v>
      </c>
      <c r="L1095" s="8">
        <v>1261</v>
      </c>
      <c r="M1095" s="8">
        <v>1260</v>
      </c>
      <c r="N1095" s="8">
        <v>1257</v>
      </c>
      <c r="O1095" s="8">
        <v>1245</v>
      </c>
      <c r="P1095" s="8">
        <v>1148</v>
      </c>
      <c r="Q1095" s="8">
        <v>1142</v>
      </c>
      <c r="R1095" s="8">
        <v>1144</v>
      </c>
      <c r="S1095" s="8">
        <v>1146</v>
      </c>
      <c r="T1095" s="8">
        <v>1151</v>
      </c>
      <c r="U1095" s="8">
        <v>1147</v>
      </c>
      <c r="V1095" s="8">
        <v>1140</v>
      </c>
      <c r="W1095" s="8">
        <v>1144</v>
      </c>
      <c r="X1095" s="8">
        <v>1142</v>
      </c>
      <c r="Y1095" s="8">
        <v>1144</v>
      </c>
      <c r="Z1095" s="8">
        <v>1167</v>
      </c>
      <c r="AA1095" s="8">
        <v>1191</v>
      </c>
      <c r="AB1095" s="8">
        <v>1126</v>
      </c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</row>
    <row r="1096" spans="1:47" ht="14.4">
      <c r="A1096" s="3">
        <f>LOOKUP(D1096,'AMFI DATA_2023H2'!F:L,'AMFI DATA_2023H2'!L:L)</f>
        <v>1177</v>
      </c>
      <c r="B1096" s="4" t="s">
        <v>3287</v>
      </c>
      <c r="C1096" s="4" t="s">
        <v>3288</v>
      </c>
      <c r="D1096" s="5" t="s">
        <v>3289</v>
      </c>
      <c r="E1096" s="5">
        <v>697.82</v>
      </c>
      <c r="F1096" s="6">
        <f>LOOKUP(D1096,'AMFI DATA_2023H2'!F:J,'AMFI DATA_2023H2'!J:J)</f>
        <v>1091.4536499999999</v>
      </c>
      <c r="G1096" s="7">
        <f t="shared" si="4"/>
        <v>-1</v>
      </c>
      <c r="H1096" s="8"/>
      <c r="I1096" s="8">
        <v>1255</v>
      </c>
      <c r="J1096" s="8">
        <v>1238</v>
      </c>
      <c r="K1096" s="8">
        <v>1255</v>
      </c>
      <c r="L1096" s="8">
        <v>1273</v>
      </c>
      <c r="M1096" s="8">
        <v>1318</v>
      </c>
      <c r="N1096" s="8">
        <v>1302</v>
      </c>
      <c r="O1096" s="8">
        <v>1270</v>
      </c>
      <c r="P1096" s="8">
        <v>1253</v>
      </c>
      <c r="Q1096" s="8">
        <v>1227</v>
      </c>
      <c r="R1096" s="8">
        <v>1204</v>
      </c>
      <c r="S1096" s="8">
        <v>1216</v>
      </c>
      <c r="T1096" s="8">
        <v>1233</v>
      </c>
      <c r="U1096" s="8">
        <v>1228</v>
      </c>
      <c r="V1096" s="8">
        <v>1201</v>
      </c>
      <c r="W1096" s="8">
        <v>1224</v>
      </c>
      <c r="X1096" s="8">
        <v>1205</v>
      </c>
      <c r="Y1096" s="8">
        <v>1228</v>
      </c>
      <c r="Z1096" s="8">
        <v>1229</v>
      </c>
      <c r="AA1096" s="8">
        <v>1240</v>
      </c>
      <c r="AB1096" s="8">
        <v>1260</v>
      </c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</row>
    <row r="1097" spans="1:47" ht="14.4">
      <c r="A1097" s="3">
        <f>LOOKUP(D1097,'AMFI DATA_2023H2'!F:L,'AMFI DATA_2023H2'!L:L)</f>
        <v>1178</v>
      </c>
      <c r="B1097" s="4" t="s">
        <v>3290</v>
      </c>
      <c r="C1097" s="4" t="s">
        <v>3291</v>
      </c>
      <c r="D1097" s="5" t="s">
        <v>3292</v>
      </c>
      <c r="E1097" s="5">
        <v>860.17</v>
      </c>
      <c r="F1097" s="6">
        <f>LOOKUP(D1097,'AMFI DATA_2023H2'!F:J,'AMFI DATA_2023H2'!J:J)</f>
        <v>1090.71775</v>
      </c>
      <c r="G1097" s="7">
        <f t="shared" si="4"/>
        <v>-1</v>
      </c>
      <c r="H1097" s="8"/>
      <c r="I1097" s="8">
        <v>1248</v>
      </c>
      <c r="J1097" s="8">
        <v>1244</v>
      </c>
      <c r="K1097" s="8">
        <v>1229</v>
      </c>
      <c r="L1097" s="8">
        <v>1264</v>
      </c>
      <c r="M1097" s="8">
        <v>1272</v>
      </c>
      <c r="N1097" s="8">
        <v>1296</v>
      </c>
      <c r="O1097" s="8">
        <v>1325</v>
      </c>
      <c r="P1097" s="8">
        <v>1326</v>
      </c>
      <c r="Q1097" s="8">
        <v>1330</v>
      </c>
      <c r="R1097" s="8">
        <v>1324</v>
      </c>
      <c r="S1097" s="8">
        <v>1318</v>
      </c>
      <c r="T1097" s="8">
        <v>1322</v>
      </c>
      <c r="U1097" s="8">
        <v>1318</v>
      </c>
      <c r="V1097" s="8">
        <v>1309</v>
      </c>
      <c r="W1097" s="8">
        <v>1324</v>
      </c>
      <c r="X1097" s="8">
        <v>1284</v>
      </c>
      <c r="Y1097" s="8">
        <v>1206</v>
      </c>
      <c r="Z1097" s="8">
        <v>1218</v>
      </c>
      <c r="AA1097" s="8">
        <v>1209</v>
      </c>
      <c r="AB1097" s="8">
        <v>1192</v>
      </c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</row>
    <row r="1098" spans="1:47" ht="14.4">
      <c r="A1098" s="3">
        <f>LOOKUP(D1098,'AMFI DATA_2023H2'!F:L,'AMFI DATA_2023H2'!L:L)</f>
        <v>1179</v>
      </c>
      <c r="B1098" s="4" t="s">
        <v>3293</v>
      </c>
      <c r="C1098" s="4" t="s">
        <v>3294</v>
      </c>
      <c r="D1098" s="5" t="s">
        <v>3295</v>
      </c>
      <c r="E1098" s="5">
        <v>779.7</v>
      </c>
      <c r="F1098" s="6">
        <f>LOOKUP(D1098,'AMFI DATA_2023H2'!F:J,'AMFI DATA_2023H2'!J:J)</f>
        <v>1084.7447</v>
      </c>
      <c r="G1098" s="7">
        <f t="shared" si="4"/>
        <v>-1</v>
      </c>
      <c r="H1098" s="8"/>
      <c r="I1098" s="8">
        <v>1243</v>
      </c>
      <c r="J1098" s="8">
        <v>1253</v>
      </c>
      <c r="K1098" s="8">
        <v>1259</v>
      </c>
      <c r="L1098" s="8">
        <v>1260</v>
      </c>
      <c r="M1098" s="8">
        <v>1278</v>
      </c>
      <c r="N1098" s="8">
        <v>1277</v>
      </c>
      <c r="O1098" s="8">
        <v>1278</v>
      </c>
      <c r="P1098" s="8">
        <v>1222</v>
      </c>
      <c r="Q1098" s="8">
        <v>1228</v>
      </c>
      <c r="R1098" s="8">
        <v>1214</v>
      </c>
      <c r="S1098" s="8">
        <v>1237</v>
      </c>
      <c r="T1098" s="8">
        <v>1238</v>
      </c>
      <c r="U1098" s="8">
        <v>1240</v>
      </c>
      <c r="V1098" s="8">
        <v>1233</v>
      </c>
      <c r="W1098" s="8">
        <v>1242</v>
      </c>
      <c r="X1098" s="8">
        <v>1221</v>
      </c>
      <c r="Y1098" s="8">
        <v>1244</v>
      </c>
      <c r="Z1098" s="8">
        <v>1220</v>
      </c>
      <c r="AA1098" s="8">
        <v>1247</v>
      </c>
      <c r="AB1098" s="8">
        <v>1230</v>
      </c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</row>
    <row r="1099" spans="1:47" ht="14.4">
      <c r="A1099" s="3">
        <f>LOOKUP(D1099,'AMFI DATA_2023H2'!F:L,'AMFI DATA_2023H2'!L:L)</f>
        <v>1180</v>
      </c>
      <c r="B1099" s="4" t="s">
        <v>3296</v>
      </c>
      <c r="C1099" s="4" t="s">
        <v>3297</v>
      </c>
      <c r="D1099" s="5" t="s">
        <v>3298</v>
      </c>
      <c r="E1099" s="5">
        <v>1074.1400000000001</v>
      </c>
      <c r="F1099" s="6">
        <f>LOOKUP(D1099,'AMFI DATA_2023H2'!F:J,'AMFI DATA_2023H2'!J:J)</f>
        <v>1084.3578</v>
      </c>
      <c r="G1099" s="7">
        <f t="shared" si="4"/>
        <v>-1</v>
      </c>
      <c r="H1099" s="9"/>
      <c r="I1099" s="9">
        <v>946</v>
      </c>
      <c r="J1099" s="9">
        <v>953</v>
      </c>
      <c r="K1099" s="9">
        <v>999</v>
      </c>
      <c r="L1099" s="9">
        <v>993</v>
      </c>
      <c r="M1099" s="9">
        <v>996</v>
      </c>
      <c r="N1099" s="9">
        <v>1009</v>
      </c>
      <c r="O1099" s="9">
        <v>985</v>
      </c>
      <c r="P1099" s="9">
        <v>993</v>
      </c>
      <c r="Q1099" s="9">
        <v>991</v>
      </c>
      <c r="R1099" s="9">
        <v>989</v>
      </c>
      <c r="S1099" s="9">
        <v>1001</v>
      </c>
      <c r="T1099" s="9">
        <v>1009</v>
      </c>
      <c r="U1099" s="9">
        <v>1001</v>
      </c>
      <c r="V1099" s="9">
        <v>1011</v>
      </c>
      <c r="W1099" s="9">
        <v>1026</v>
      </c>
      <c r="X1099" s="9">
        <v>1016</v>
      </c>
      <c r="Y1099" s="9">
        <v>991</v>
      </c>
      <c r="Z1099" s="9">
        <v>992</v>
      </c>
      <c r="AA1099" s="9">
        <v>994</v>
      </c>
      <c r="AB1099" s="9">
        <v>984</v>
      </c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</row>
    <row r="1100" spans="1:47" ht="14.4">
      <c r="A1100" s="3">
        <f>LOOKUP(D1100,'AMFI DATA_2023H2'!F:L,'AMFI DATA_2023H2'!L:L)</f>
        <v>1181</v>
      </c>
      <c r="B1100" s="4" t="s">
        <v>3299</v>
      </c>
      <c r="C1100" s="4" t="s">
        <v>3300</v>
      </c>
      <c r="D1100" s="5" t="s">
        <v>3301</v>
      </c>
      <c r="E1100" s="5">
        <v>444.31</v>
      </c>
      <c r="F1100" s="6">
        <f>LOOKUP(D1100,'AMFI DATA_2023H2'!F:J,'AMFI DATA_2023H2'!J:J)</f>
        <v>1082.46785</v>
      </c>
      <c r="G1100" s="7">
        <f t="shared" si="4"/>
        <v>-1</v>
      </c>
      <c r="H1100" s="8"/>
      <c r="I1100" s="8">
        <v>1738</v>
      </c>
      <c r="J1100" s="8">
        <v>1743</v>
      </c>
      <c r="K1100" s="8">
        <v>1723</v>
      </c>
      <c r="L1100" s="8">
        <v>1641</v>
      </c>
      <c r="M1100" s="8">
        <v>1693</v>
      </c>
      <c r="N1100" s="8">
        <v>1652</v>
      </c>
      <c r="O1100" s="8">
        <v>1705</v>
      </c>
      <c r="P1100" s="8">
        <v>1706</v>
      </c>
      <c r="Q1100" s="8">
        <v>1624</v>
      </c>
      <c r="R1100" s="8">
        <v>1577</v>
      </c>
      <c r="S1100" s="8">
        <v>1607</v>
      </c>
      <c r="T1100" s="8">
        <v>1568</v>
      </c>
      <c r="U1100" s="8">
        <v>1495</v>
      </c>
      <c r="V1100" s="8">
        <v>1495</v>
      </c>
      <c r="W1100" s="8">
        <v>1455</v>
      </c>
      <c r="X1100" s="8">
        <v>1463</v>
      </c>
      <c r="Y1100" s="8">
        <v>1455</v>
      </c>
      <c r="Z1100" s="8">
        <v>1467</v>
      </c>
      <c r="AA1100" s="8">
        <v>1517</v>
      </c>
      <c r="AB1100" s="8">
        <v>1477</v>
      </c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</row>
    <row r="1101" spans="1:47" ht="14.4">
      <c r="A1101" s="3">
        <f>LOOKUP(D1101,'AMFI DATA_2023H2'!F:L,'AMFI DATA_2023H2'!L:L)</f>
        <v>1182</v>
      </c>
      <c r="B1101" s="4" t="s">
        <v>3302</v>
      </c>
      <c r="C1101" s="4" t="s">
        <v>3303</v>
      </c>
      <c r="D1101" s="5" t="s">
        <v>3304</v>
      </c>
      <c r="E1101" s="5">
        <v>767.36</v>
      </c>
      <c r="F1101" s="6">
        <f>LOOKUP(D1101,'AMFI DATA_2023H2'!F:J,'AMFI DATA_2023H2'!J:J)</f>
        <v>1081.82665</v>
      </c>
      <c r="G1101" s="7">
        <f t="shared" si="4"/>
        <v>-1</v>
      </c>
      <c r="H1101" s="8"/>
      <c r="I1101" s="8">
        <v>1472</v>
      </c>
      <c r="J1101" s="8">
        <v>1423</v>
      </c>
      <c r="K1101" s="8">
        <v>1457</v>
      </c>
      <c r="L1101" s="8">
        <v>1491</v>
      </c>
      <c r="M1101" s="8">
        <v>1519</v>
      </c>
      <c r="N1101" s="8">
        <v>1468</v>
      </c>
      <c r="O1101" s="8">
        <v>1502</v>
      </c>
      <c r="P1101" s="8">
        <v>1504</v>
      </c>
      <c r="Q1101" s="8">
        <v>1394</v>
      </c>
      <c r="R1101" s="8">
        <v>1374</v>
      </c>
      <c r="S1101" s="8">
        <v>1405</v>
      </c>
      <c r="T1101" s="8">
        <v>1362</v>
      </c>
      <c r="U1101" s="8">
        <v>1367</v>
      </c>
      <c r="V1101" s="8">
        <v>1397</v>
      </c>
      <c r="W1101" s="8">
        <v>1410</v>
      </c>
      <c r="X1101" s="8">
        <v>1383</v>
      </c>
      <c r="Y1101" s="8">
        <v>1388</v>
      </c>
      <c r="Z1101" s="8">
        <v>1405</v>
      </c>
      <c r="AA1101" s="8">
        <v>1418</v>
      </c>
      <c r="AB1101" s="8">
        <v>1383</v>
      </c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</row>
    <row r="1102" spans="1:47" ht="14.4">
      <c r="A1102" s="3">
        <f>LOOKUP(D1102,'AMFI DATA_2023H2'!F:L,'AMFI DATA_2023H2'!L:L)</f>
        <v>1183</v>
      </c>
      <c r="B1102" s="4" t="s">
        <v>3305</v>
      </c>
      <c r="C1102" s="4" t="s">
        <v>3306</v>
      </c>
      <c r="D1102" s="5" t="s">
        <v>3307</v>
      </c>
      <c r="E1102" s="5">
        <v>1043.42</v>
      </c>
      <c r="F1102" s="6">
        <f>LOOKUP(D1102,'AMFI DATA_2023H2'!F:J,'AMFI DATA_2023H2'!J:J)</f>
        <v>1080.2042000000001</v>
      </c>
      <c r="G1102" s="7">
        <f t="shared" si="4"/>
        <v>-1</v>
      </c>
      <c r="H1102" s="9"/>
      <c r="I1102" s="9">
        <v>1101</v>
      </c>
      <c r="J1102" s="9">
        <v>1100</v>
      </c>
      <c r="K1102" s="9">
        <v>1080</v>
      </c>
      <c r="L1102" s="9">
        <v>1094</v>
      </c>
      <c r="M1102" s="9">
        <v>1136</v>
      </c>
      <c r="N1102" s="9">
        <v>1060</v>
      </c>
      <c r="O1102" s="9">
        <v>1074</v>
      </c>
      <c r="P1102" s="9">
        <v>1061</v>
      </c>
      <c r="Q1102" s="9">
        <v>1096</v>
      </c>
      <c r="R1102" s="9">
        <v>1081</v>
      </c>
      <c r="S1102" s="9">
        <v>1105</v>
      </c>
      <c r="T1102" s="9">
        <v>1101</v>
      </c>
      <c r="U1102" s="9">
        <v>1110</v>
      </c>
      <c r="V1102" s="9">
        <v>1119</v>
      </c>
      <c r="W1102" s="9">
        <v>1147</v>
      </c>
      <c r="X1102" s="9">
        <v>1147</v>
      </c>
      <c r="Y1102" s="9">
        <v>1151</v>
      </c>
      <c r="Z1102" s="9">
        <v>1081</v>
      </c>
      <c r="AA1102" s="9">
        <v>994</v>
      </c>
      <c r="AB1102" s="9">
        <v>961</v>
      </c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</row>
    <row r="1103" spans="1:47" ht="14.4">
      <c r="A1103" s="3">
        <f>LOOKUP(D1103,'AMFI DATA_2023H2'!F:L,'AMFI DATA_2023H2'!L:L)</f>
        <v>1184</v>
      </c>
      <c r="B1103" s="4" t="s">
        <v>3308</v>
      </c>
      <c r="C1103" s="4" t="s">
        <v>3309</v>
      </c>
      <c r="D1103" s="5" t="s">
        <v>3310</v>
      </c>
      <c r="E1103" s="5">
        <v>751.49</v>
      </c>
      <c r="F1103" s="6">
        <f>LOOKUP(D1103,'AMFI DATA_2023H2'!F:J,'AMFI DATA_2023H2'!J:J)</f>
        <v>1079.9353999999998</v>
      </c>
      <c r="G1103" s="7">
        <f t="shared" si="4"/>
        <v>-1</v>
      </c>
      <c r="H1103" s="8"/>
      <c r="I1103" s="8">
        <v>1362</v>
      </c>
      <c r="J1103" s="8">
        <v>1366</v>
      </c>
      <c r="K1103" s="8">
        <v>1356</v>
      </c>
      <c r="L1103" s="8">
        <v>1364</v>
      </c>
      <c r="M1103" s="8">
        <v>1396</v>
      </c>
      <c r="N1103" s="8">
        <v>1376</v>
      </c>
      <c r="O1103" s="8">
        <v>1393</v>
      </c>
      <c r="P1103" s="8">
        <v>1407</v>
      </c>
      <c r="Q1103" s="8">
        <v>1397</v>
      </c>
      <c r="R1103" s="8">
        <v>1423</v>
      </c>
      <c r="S1103" s="8">
        <v>1426</v>
      </c>
      <c r="T1103" s="8">
        <v>1456</v>
      </c>
      <c r="U1103" s="8">
        <v>1479</v>
      </c>
      <c r="V1103" s="8">
        <v>1476</v>
      </c>
      <c r="W1103" s="8">
        <v>1331</v>
      </c>
      <c r="X1103" s="8">
        <v>1356</v>
      </c>
      <c r="Y1103" s="8">
        <v>1382</v>
      </c>
      <c r="Z1103" s="8">
        <v>1399</v>
      </c>
      <c r="AA1103" s="8">
        <v>1426</v>
      </c>
      <c r="AB1103" s="8">
        <v>1372</v>
      </c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</row>
    <row r="1104" spans="1:47" ht="14.4">
      <c r="A1104" s="3">
        <f>LOOKUP(D1104,'AMFI DATA_2023H2'!F:L,'AMFI DATA_2023H2'!L:L)</f>
        <v>1186</v>
      </c>
      <c r="B1104" s="4" t="s">
        <v>3311</v>
      </c>
      <c r="C1104" s="4" t="s">
        <v>3312</v>
      </c>
      <c r="D1104" s="5" t="s">
        <v>3313</v>
      </c>
      <c r="E1104" s="5">
        <v>897.98</v>
      </c>
      <c r="F1104" s="6">
        <f>LOOKUP(D1104,'AMFI DATA_2023H2'!F:J,'AMFI DATA_2023H2'!J:J)</f>
        <v>1077.1323</v>
      </c>
      <c r="G1104" s="7">
        <f t="shared" si="4"/>
        <v>-1</v>
      </c>
      <c r="H1104" s="8"/>
      <c r="I1104" s="8">
        <v>1013</v>
      </c>
      <c r="J1104" s="8">
        <v>1000</v>
      </c>
      <c r="K1104" s="8">
        <v>1005</v>
      </c>
      <c r="L1104" s="8">
        <v>1022</v>
      </c>
      <c r="M1104" s="8">
        <v>1022</v>
      </c>
      <c r="N1104" s="8">
        <v>1030</v>
      </c>
      <c r="O1104" s="8">
        <v>1018</v>
      </c>
      <c r="P1104" s="8">
        <v>1060</v>
      </c>
      <c r="Q1104" s="8">
        <v>1025</v>
      </c>
      <c r="R1104" s="8">
        <v>1031</v>
      </c>
      <c r="S1104" s="8">
        <v>1050</v>
      </c>
      <c r="T1104" s="8">
        <v>1042</v>
      </c>
      <c r="U1104" s="8">
        <v>1057</v>
      </c>
      <c r="V1104" s="8">
        <v>1067</v>
      </c>
      <c r="W1104" s="8">
        <v>1031</v>
      </c>
      <c r="X1104" s="8">
        <v>1019</v>
      </c>
      <c r="Y1104" s="8">
        <v>1020</v>
      </c>
      <c r="Z1104" s="8">
        <v>1015</v>
      </c>
      <c r="AA1104" s="8">
        <v>1025</v>
      </c>
      <c r="AB1104" s="8">
        <v>1024</v>
      </c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</row>
    <row r="1105" spans="1:47" ht="14.4">
      <c r="A1105" s="3">
        <f>LOOKUP(D1105,'AMFI DATA_2023H2'!F:L,'AMFI DATA_2023H2'!L:L)</f>
        <v>1187</v>
      </c>
      <c r="B1105" s="4" t="s">
        <v>3314</v>
      </c>
      <c r="C1105" s="4" t="s">
        <v>3315</v>
      </c>
      <c r="D1105" s="5" t="s">
        <v>3316</v>
      </c>
      <c r="E1105" s="5">
        <v>787.56</v>
      </c>
      <c r="F1105" s="6">
        <f>LOOKUP(D1105,'AMFI DATA_2023H2'!F:J,'AMFI DATA_2023H2'!J:J)</f>
        <v>1074.7173499999999</v>
      </c>
      <c r="G1105" s="7">
        <f t="shared" si="4"/>
        <v>-1</v>
      </c>
      <c r="H1105" s="8"/>
      <c r="I1105" s="8">
        <v>1325</v>
      </c>
      <c r="J1105" s="8">
        <v>1334</v>
      </c>
      <c r="K1105" s="8">
        <v>1312</v>
      </c>
      <c r="L1105" s="8">
        <v>1369</v>
      </c>
      <c r="M1105" s="8">
        <v>1385</v>
      </c>
      <c r="N1105" s="8">
        <v>1306</v>
      </c>
      <c r="O1105" s="8">
        <v>1313</v>
      </c>
      <c r="P1105" s="8">
        <v>1317</v>
      </c>
      <c r="Q1105" s="8">
        <v>1346</v>
      </c>
      <c r="R1105" s="8">
        <v>1323</v>
      </c>
      <c r="S1105" s="8">
        <v>1357</v>
      </c>
      <c r="T1105" s="8">
        <v>1388</v>
      </c>
      <c r="U1105" s="8">
        <v>1380</v>
      </c>
      <c r="V1105" s="8">
        <v>1399</v>
      </c>
      <c r="W1105" s="8">
        <v>1303</v>
      </c>
      <c r="X1105" s="8">
        <v>1301</v>
      </c>
      <c r="Y1105" s="8">
        <v>1317</v>
      </c>
      <c r="Z1105" s="8">
        <v>1325</v>
      </c>
      <c r="AA1105" s="8">
        <v>1312</v>
      </c>
      <c r="AB1105" s="8">
        <v>1283</v>
      </c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</row>
    <row r="1106" spans="1:47" ht="14.4">
      <c r="A1106" s="3">
        <f>LOOKUP(D1106,'AMFI DATA_2023H2'!F:L,'AMFI DATA_2023H2'!L:L)</f>
        <v>1188</v>
      </c>
      <c r="B1106" s="4" t="s">
        <v>3317</v>
      </c>
      <c r="C1106" s="4" t="s">
        <v>3318</v>
      </c>
      <c r="D1106" s="5" t="s">
        <v>3319</v>
      </c>
      <c r="E1106" s="5">
        <v>708.8</v>
      </c>
      <c r="F1106" s="6">
        <f>LOOKUP(D1106,'AMFI DATA_2023H2'!F:J,'AMFI DATA_2023H2'!J:J)</f>
        <v>1073.9521</v>
      </c>
      <c r="G1106" s="7">
        <f t="shared" si="4"/>
        <v>-1</v>
      </c>
      <c r="H1106" s="8"/>
      <c r="I1106" s="8">
        <v>1427</v>
      </c>
      <c r="J1106" s="8">
        <v>1351</v>
      </c>
      <c r="K1106" s="8">
        <v>1358</v>
      </c>
      <c r="L1106" s="8">
        <v>1379</v>
      </c>
      <c r="M1106" s="8">
        <v>1411</v>
      </c>
      <c r="N1106" s="8">
        <v>1423</v>
      </c>
      <c r="O1106" s="8">
        <v>1376</v>
      </c>
      <c r="P1106" s="8">
        <v>1334</v>
      </c>
      <c r="Q1106" s="8">
        <v>1339</v>
      </c>
      <c r="R1106" s="8">
        <v>1313</v>
      </c>
      <c r="S1106" s="8">
        <v>1329</v>
      </c>
      <c r="T1106" s="8">
        <v>1339</v>
      </c>
      <c r="U1106" s="8">
        <v>1341</v>
      </c>
      <c r="V1106" s="8">
        <v>1338</v>
      </c>
      <c r="W1106" s="8">
        <v>1351</v>
      </c>
      <c r="X1106" s="8">
        <v>1334</v>
      </c>
      <c r="Y1106" s="8">
        <v>1313</v>
      </c>
      <c r="Z1106" s="8">
        <v>1358</v>
      </c>
      <c r="AA1106" s="8">
        <v>1386</v>
      </c>
      <c r="AB1106" s="8">
        <v>1368</v>
      </c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</row>
    <row r="1107" spans="1:47" ht="14.4">
      <c r="A1107" s="3">
        <f>LOOKUP(D1107,'AMFI DATA_2023H2'!F:L,'AMFI DATA_2023H2'!L:L)</f>
        <v>1189</v>
      </c>
      <c r="B1107" s="4" t="s">
        <v>3320</v>
      </c>
      <c r="C1107" s="4" t="s">
        <v>3321</v>
      </c>
      <c r="D1107" s="5" t="s">
        <v>3322</v>
      </c>
      <c r="E1107" s="5">
        <v>626.30999999999995</v>
      </c>
      <c r="F1107" s="6">
        <f>LOOKUP(D1107,'AMFI DATA_2023H2'!F:J,'AMFI DATA_2023H2'!J:J)</f>
        <v>1073.3688999999999</v>
      </c>
      <c r="G1107" s="7">
        <f t="shared" si="4"/>
        <v>-1</v>
      </c>
      <c r="H1107" s="8"/>
      <c r="I1107" s="8">
        <v>1332</v>
      </c>
      <c r="J1107" s="8">
        <v>1340</v>
      </c>
      <c r="K1107" s="8">
        <v>1306</v>
      </c>
      <c r="L1107" s="8">
        <v>1351</v>
      </c>
      <c r="M1107" s="8">
        <v>1368</v>
      </c>
      <c r="N1107" s="8">
        <v>1380</v>
      </c>
      <c r="O1107" s="8">
        <v>1421</v>
      </c>
      <c r="P1107" s="8">
        <v>1420</v>
      </c>
      <c r="Q1107" s="8">
        <v>1354</v>
      </c>
      <c r="R1107" s="8">
        <v>1342</v>
      </c>
      <c r="S1107" s="8">
        <v>1351</v>
      </c>
      <c r="T1107" s="8">
        <v>1323</v>
      </c>
      <c r="U1107" s="8">
        <v>1194</v>
      </c>
      <c r="V1107" s="8">
        <v>1155</v>
      </c>
      <c r="W1107" s="8">
        <v>1168</v>
      </c>
      <c r="X1107" s="8">
        <v>1172</v>
      </c>
      <c r="Y1107" s="8">
        <v>1174</v>
      </c>
      <c r="Z1107" s="8">
        <v>1175</v>
      </c>
      <c r="AA1107" s="8">
        <v>1187</v>
      </c>
      <c r="AB1107" s="8">
        <v>1174</v>
      </c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</row>
    <row r="1108" spans="1:47" ht="14.4">
      <c r="A1108" s="3">
        <f>LOOKUP(D1108,'AMFI DATA_2023H2'!F:L,'AMFI DATA_2023H2'!L:L)</f>
        <v>1190</v>
      </c>
      <c r="B1108" s="4" t="s">
        <v>3323</v>
      </c>
      <c r="C1108" s="4" t="s">
        <v>3324</v>
      </c>
      <c r="D1108" s="5" t="s">
        <v>3325</v>
      </c>
      <c r="E1108" s="5">
        <v>555.16999999999996</v>
      </c>
      <c r="F1108" s="6">
        <f>LOOKUP(D1108,'AMFI DATA_2023H2'!F:J,'AMFI DATA_2023H2'!J:J)</f>
        <v>1071.7406000000001</v>
      </c>
      <c r="G1108" s="7">
        <f t="shared" si="4"/>
        <v>-1</v>
      </c>
      <c r="H1108" s="8"/>
      <c r="I1108" s="8">
        <v>1209</v>
      </c>
      <c r="J1108" s="8">
        <v>1222</v>
      </c>
      <c r="K1108" s="8">
        <v>1193</v>
      </c>
      <c r="L1108" s="8">
        <v>1205</v>
      </c>
      <c r="M1108" s="8">
        <v>1253</v>
      </c>
      <c r="N1108" s="8">
        <v>1244</v>
      </c>
      <c r="O1108" s="8">
        <v>1258</v>
      </c>
      <c r="P1108" s="8">
        <v>1251</v>
      </c>
      <c r="Q1108" s="8">
        <v>1247</v>
      </c>
      <c r="R1108" s="8">
        <v>1254</v>
      </c>
      <c r="S1108" s="8">
        <v>1251</v>
      </c>
      <c r="T1108" s="8">
        <v>1280</v>
      </c>
      <c r="U1108" s="8">
        <v>1287</v>
      </c>
      <c r="V1108" s="8">
        <v>1286</v>
      </c>
      <c r="W1108" s="8">
        <v>1274</v>
      </c>
      <c r="X1108" s="8">
        <v>1274</v>
      </c>
      <c r="Y1108" s="8">
        <v>1243</v>
      </c>
      <c r="Z1108" s="8">
        <v>1292</v>
      </c>
      <c r="AA1108" s="8">
        <v>1333</v>
      </c>
      <c r="AB1108" s="8">
        <v>1348</v>
      </c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</row>
    <row r="1109" spans="1:47" ht="14.4">
      <c r="A1109" s="3">
        <f>LOOKUP(D1109,'AMFI DATA_2023H2'!F:L,'AMFI DATA_2023H2'!L:L)</f>
        <v>1191</v>
      </c>
      <c r="B1109" s="4" t="s">
        <v>3326</v>
      </c>
      <c r="C1109" s="4" t="s">
        <v>3327</v>
      </c>
      <c r="D1109" s="5" t="s">
        <v>3328</v>
      </c>
      <c r="E1109" s="5">
        <v>815.99</v>
      </c>
      <c r="F1109" s="6">
        <f>LOOKUP(D1109,'AMFI DATA_2023H2'!F:J,'AMFI DATA_2023H2'!J:J)</f>
        <v>1071.5772999999999</v>
      </c>
      <c r="G1109" s="7">
        <f t="shared" si="4"/>
        <v>-1</v>
      </c>
      <c r="H1109" s="9"/>
      <c r="I1109" s="9">
        <v>961</v>
      </c>
      <c r="J1109" s="9">
        <v>966</v>
      </c>
      <c r="K1109" s="9">
        <v>973</v>
      </c>
      <c r="L1109" s="9">
        <v>953</v>
      </c>
      <c r="M1109" s="9">
        <v>971</v>
      </c>
      <c r="N1109" s="9">
        <v>997</v>
      </c>
      <c r="O1109" s="9">
        <v>1015</v>
      </c>
      <c r="P1109" s="9">
        <v>979</v>
      </c>
      <c r="Q1109" s="9">
        <v>974</v>
      </c>
      <c r="R1109" s="9">
        <v>965</v>
      </c>
      <c r="S1109" s="9">
        <v>987</v>
      </c>
      <c r="T1109" s="9">
        <v>978</v>
      </c>
      <c r="U1109" s="9">
        <v>970</v>
      </c>
      <c r="V1109" s="9">
        <v>916</v>
      </c>
      <c r="W1109" s="9">
        <v>898</v>
      </c>
      <c r="X1109" s="9">
        <v>894</v>
      </c>
      <c r="Y1109" s="9">
        <v>907</v>
      </c>
      <c r="Z1109" s="9">
        <v>900</v>
      </c>
      <c r="AA1109" s="9">
        <v>899</v>
      </c>
      <c r="AB1109" s="9">
        <v>885</v>
      </c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</row>
    <row r="1110" spans="1:47" ht="14.4">
      <c r="A1110" s="3">
        <f>LOOKUP(D1110,'AMFI DATA_2023H2'!F:L,'AMFI DATA_2023H2'!L:L)</f>
        <v>1193</v>
      </c>
      <c r="B1110" s="4" t="s">
        <v>3329</v>
      </c>
      <c r="C1110" s="4" t="s">
        <v>3330</v>
      </c>
      <c r="D1110" s="5" t="s">
        <v>3331</v>
      </c>
      <c r="E1110" s="5">
        <v>858.2</v>
      </c>
      <c r="F1110" s="6">
        <f>LOOKUP(D1110,'AMFI DATA_2023H2'!F:J,'AMFI DATA_2023H2'!J:J)</f>
        <v>1068.73215</v>
      </c>
      <c r="G1110" s="7">
        <f t="shared" si="4"/>
        <v>-1</v>
      </c>
      <c r="H1110" s="9"/>
      <c r="I1110" s="9">
        <v>1030</v>
      </c>
      <c r="J1110" s="9">
        <v>1023</v>
      </c>
      <c r="K1110" s="9">
        <v>1025</v>
      </c>
      <c r="L1110" s="9">
        <v>1033</v>
      </c>
      <c r="M1110" s="9">
        <v>1033</v>
      </c>
      <c r="N1110" s="9">
        <v>1040</v>
      </c>
      <c r="O1110" s="9">
        <v>1047</v>
      </c>
      <c r="P1110" s="9">
        <v>1041</v>
      </c>
      <c r="Q1110" s="9">
        <v>1054</v>
      </c>
      <c r="R1110" s="9">
        <v>1081</v>
      </c>
      <c r="S1110" s="9">
        <v>1007</v>
      </c>
      <c r="T1110" s="9">
        <v>1004</v>
      </c>
      <c r="U1110" s="9">
        <v>1009</v>
      </c>
      <c r="V1110" s="9">
        <v>1004</v>
      </c>
      <c r="W1110" s="9">
        <v>996</v>
      </c>
      <c r="X1110" s="9">
        <v>960</v>
      </c>
      <c r="Y1110" s="9">
        <v>961</v>
      </c>
      <c r="Z1110" s="9">
        <v>980</v>
      </c>
      <c r="AA1110" s="9">
        <v>988</v>
      </c>
      <c r="AB1110" s="9">
        <v>980</v>
      </c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</row>
    <row r="1111" spans="1:47" ht="14.4">
      <c r="A1111" s="3">
        <f>LOOKUP(D1111,'AMFI DATA_2023H2'!F:L,'AMFI DATA_2023H2'!L:L)</f>
        <v>1194</v>
      </c>
      <c r="B1111" s="4" t="s">
        <v>3332</v>
      </c>
      <c r="C1111" s="4" t="s">
        <v>3333</v>
      </c>
      <c r="D1111" s="5" t="s">
        <v>3334</v>
      </c>
      <c r="E1111" s="5">
        <v>953.74</v>
      </c>
      <c r="F1111" s="6">
        <f>LOOKUP(D1111,'AMFI DATA_2023H2'!F:J,'AMFI DATA_2023H2'!J:J)</f>
        <v>1062.33275</v>
      </c>
      <c r="G1111" s="7">
        <f t="shared" si="4"/>
        <v>-1</v>
      </c>
      <c r="H1111" s="8"/>
      <c r="I1111" s="8">
        <v>1416</v>
      </c>
      <c r="J1111" s="8">
        <v>1291</v>
      </c>
      <c r="K1111" s="8">
        <v>1287</v>
      </c>
      <c r="L1111" s="8">
        <v>1318</v>
      </c>
      <c r="M1111" s="8">
        <v>1354</v>
      </c>
      <c r="N1111" s="8">
        <v>1281</v>
      </c>
      <c r="O1111" s="8">
        <v>1228</v>
      </c>
      <c r="P1111" s="8">
        <v>1173</v>
      </c>
      <c r="Q1111" s="8">
        <v>1172</v>
      </c>
      <c r="R1111" s="8">
        <v>1176</v>
      </c>
      <c r="S1111" s="8">
        <v>1197</v>
      </c>
      <c r="T1111" s="8">
        <v>1208</v>
      </c>
      <c r="U1111" s="8">
        <v>1184</v>
      </c>
      <c r="V1111" s="8">
        <v>1206</v>
      </c>
      <c r="W1111" s="8">
        <v>1194</v>
      </c>
      <c r="X1111" s="8">
        <v>1150</v>
      </c>
      <c r="Y1111" s="8">
        <v>1159</v>
      </c>
      <c r="Z1111" s="8">
        <v>1179</v>
      </c>
      <c r="AA1111" s="8">
        <v>1166</v>
      </c>
      <c r="AB1111" s="8">
        <v>1160</v>
      </c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</row>
    <row r="1112" spans="1:47" ht="14.4">
      <c r="A1112" s="3">
        <f>LOOKUP(D1112,'AMFI DATA_2023H2'!F:L,'AMFI DATA_2023H2'!L:L)</f>
        <v>1195</v>
      </c>
      <c r="B1112" s="4" t="s">
        <v>3335</v>
      </c>
      <c r="C1112" s="4" t="s">
        <v>3336</v>
      </c>
      <c r="D1112" s="5" t="s">
        <v>3337</v>
      </c>
      <c r="E1112" s="5">
        <v>938.32</v>
      </c>
      <c r="F1112" s="6">
        <f>LOOKUP(D1112,'AMFI DATA_2023H2'!F:J,'AMFI DATA_2023H2'!J:J)</f>
        <v>1057.8660500000001</v>
      </c>
      <c r="G1112" s="7">
        <f t="shared" si="4"/>
        <v>-1</v>
      </c>
      <c r="H1112" s="8"/>
      <c r="I1112" s="8">
        <v>962</v>
      </c>
      <c r="J1112" s="8">
        <v>960</v>
      </c>
      <c r="K1112" s="8">
        <v>970</v>
      </c>
      <c r="L1112" s="8">
        <v>993</v>
      </c>
      <c r="M1112" s="8">
        <v>1009</v>
      </c>
      <c r="N1112" s="8">
        <v>1021</v>
      </c>
      <c r="O1112" s="8">
        <v>1020</v>
      </c>
      <c r="P1112" s="8">
        <v>1029</v>
      </c>
      <c r="Q1112" s="8">
        <v>1038</v>
      </c>
      <c r="R1112" s="8">
        <v>1027</v>
      </c>
      <c r="S1112" s="8">
        <v>1037</v>
      </c>
      <c r="T1112" s="8">
        <v>1031</v>
      </c>
      <c r="U1112" s="8">
        <v>1030</v>
      </c>
      <c r="V1112" s="8">
        <v>1033</v>
      </c>
      <c r="W1112" s="8">
        <v>1040</v>
      </c>
      <c r="X1112" s="8">
        <v>1038</v>
      </c>
      <c r="Y1112" s="8">
        <v>1038</v>
      </c>
      <c r="Z1112" s="8">
        <v>1042</v>
      </c>
      <c r="AA1112" s="8">
        <v>1046</v>
      </c>
      <c r="AB1112" s="8">
        <v>1055</v>
      </c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</row>
    <row r="1113" spans="1:47" ht="14.4">
      <c r="A1113" s="3">
        <f>LOOKUP(D1113,'AMFI DATA_2023H2'!F:L,'AMFI DATA_2023H2'!L:L)</f>
        <v>1196</v>
      </c>
      <c r="B1113" s="4" t="s">
        <v>3338</v>
      </c>
      <c r="C1113" s="4" t="s">
        <v>3339</v>
      </c>
      <c r="D1113" s="5" t="s">
        <v>3340</v>
      </c>
      <c r="E1113" s="5">
        <v>678.95</v>
      </c>
      <c r="F1113" s="6">
        <f>LOOKUP(D1113,'AMFI DATA_2023H2'!F:J,'AMFI DATA_2023H2'!J:J)</f>
        <v>1056.8831500000001</v>
      </c>
      <c r="G1113" s="7">
        <f t="shared" si="4"/>
        <v>-1</v>
      </c>
      <c r="H1113" s="8"/>
      <c r="I1113" s="8">
        <v>1261</v>
      </c>
      <c r="J1113" s="8">
        <v>1260</v>
      </c>
      <c r="K1113" s="8">
        <v>1249</v>
      </c>
      <c r="L1113" s="8">
        <v>1276</v>
      </c>
      <c r="M1113" s="8">
        <v>1288</v>
      </c>
      <c r="N1113" s="8">
        <v>1308</v>
      </c>
      <c r="O1113" s="8">
        <v>1308</v>
      </c>
      <c r="P1113" s="8">
        <v>1326</v>
      </c>
      <c r="Q1113" s="8">
        <v>1304</v>
      </c>
      <c r="R1113" s="8">
        <v>1284</v>
      </c>
      <c r="S1113" s="8">
        <v>1311</v>
      </c>
      <c r="T1113" s="8">
        <v>1321</v>
      </c>
      <c r="U1113" s="8">
        <v>1321</v>
      </c>
      <c r="V1113" s="8">
        <v>1215</v>
      </c>
      <c r="W1113" s="8">
        <v>1211</v>
      </c>
      <c r="X1113" s="8">
        <v>1164</v>
      </c>
      <c r="Y1113" s="8">
        <v>1181</v>
      </c>
      <c r="Z1113" s="8">
        <v>1193</v>
      </c>
      <c r="AA1113" s="8">
        <v>1207</v>
      </c>
      <c r="AB1113" s="8">
        <v>1188</v>
      </c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</row>
    <row r="1114" spans="1:47" ht="14.4">
      <c r="A1114" s="3">
        <f>LOOKUP(D1114,'AMFI DATA_2023H2'!F:L,'AMFI DATA_2023H2'!L:L)</f>
        <v>1197</v>
      </c>
      <c r="B1114" s="4" t="s">
        <v>3341</v>
      </c>
      <c r="C1114" s="4" t="s">
        <v>3342</v>
      </c>
      <c r="D1114" s="5" t="s">
        <v>3343</v>
      </c>
      <c r="E1114" s="5">
        <v>854.19</v>
      </c>
      <c r="F1114" s="6">
        <f>LOOKUP(D1114,'AMFI DATA_2023H2'!F:J,'AMFI DATA_2023H2'!J:J)</f>
        <v>1053.2550000000001</v>
      </c>
      <c r="G1114" s="7">
        <f t="shared" si="4"/>
        <v>-1</v>
      </c>
      <c r="H1114" s="8"/>
      <c r="I1114" s="8">
        <v>1348</v>
      </c>
      <c r="J1114" s="8">
        <v>1352</v>
      </c>
      <c r="K1114" s="8">
        <v>1356</v>
      </c>
      <c r="L1114" s="8">
        <v>1360</v>
      </c>
      <c r="M1114" s="8">
        <v>1435</v>
      </c>
      <c r="N1114" s="8">
        <v>1452</v>
      </c>
      <c r="O1114" s="8">
        <v>1448</v>
      </c>
      <c r="P1114" s="8">
        <v>1500</v>
      </c>
      <c r="Q1114" s="8">
        <v>1384</v>
      </c>
      <c r="R1114" s="8">
        <v>1448</v>
      </c>
      <c r="S1114" s="8">
        <v>1283</v>
      </c>
      <c r="T1114" s="8">
        <v>1227</v>
      </c>
      <c r="U1114" s="8">
        <v>1203</v>
      </c>
      <c r="V1114" s="8">
        <v>1209</v>
      </c>
      <c r="W1114" s="8">
        <v>1216</v>
      </c>
      <c r="X1114" s="8">
        <v>1175</v>
      </c>
      <c r="Y1114" s="8">
        <v>1196</v>
      </c>
      <c r="Z1114" s="8">
        <v>1194</v>
      </c>
      <c r="AA1114" s="8">
        <v>1202</v>
      </c>
      <c r="AB1114" s="8">
        <v>1200</v>
      </c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</row>
    <row r="1115" spans="1:47" ht="14.4">
      <c r="A1115" s="3">
        <f>LOOKUP(D1115,'AMFI DATA_2023H2'!F:L,'AMFI DATA_2023H2'!L:L)</f>
        <v>1198</v>
      </c>
      <c r="B1115" s="4" t="s">
        <v>3344</v>
      </c>
      <c r="C1115" s="4" t="s">
        <v>3345</v>
      </c>
      <c r="D1115" s="5" t="s">
        <v>3346</v>
      </c>
      <c r="E1115" s="5">
        <v>833.57</v>
      </c>
      <c r="F1115" s="6">
        <f>LOOKUP(D1115,'AMFI DATA_2023H2'!F:J,'AMFI DATA_2023H2'!J:J)</f>
        <v>1051.1732</v>
      </c>
      <c r="G1115" s="7">
        <f t="shared" si="4"/>
        <v>-1</v>
      </c>
      <c r="H1115" s="8"/>
      <c r="I1115" s="8">
        <v>1345</v>
      </c>
      <c r="J1115" s="8">
        <v>1359</v>
      </c>
      <c r="K1115" s="8">
        <v>1397</v>
      </c>
      <c r="L1115" s="8">
        <v>1422</v>
      </c>
      <c r="M1115" s="8">
        <v>1330</v>
      </c>
      <c r="N1115" s="8">
        <v>1340</v>
      </c>
      <c r="O1115" s="8">
        <v>1369</v>
      </c>
      <c r="P1115" s="8">
        <v>1361</v>
      </c>
      <c r="Q1115" s="8">
        <v>1396</v>
      </c>
      <c r="R1115" s="8">
        <v>1363</v>
      </c>
      <c r="S1115" s="8">
        <v>1405</v>
      </c>
      <c r="T1115" s="8">
        <v>1414</v>
      </c>
      <c r="U1115" s="8">
        <v>1427</v>
      </c>
      <c r="V1115" s="8">
        <v>1434</v>
      </c>
      <c r="W1115" s="8">
        <v>1328</v>
      </c>
      <c r="X1115" s="8">
        <v>1299</v>
      </c>
      <c r="Y1115" s="8">
        <v>1303</v>
      </c>
      <c r="Z1115" s="8">
        <v>1333</v>
      </c>
      <c r="AA1115" s="8">
        <v>1337</v>
      </c>
      <c r="AB1115" s="8">
        <v>1354</v>
      </c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</row>
    <row r="1116" spans="1:47" ht="14.4">
      <c r="A1116" s="3">
        <f>LOOKUP(D1116,'AMFI DATA_2023H2'!F:L,'AMFI DATA_2023H2'!L:L)</f>
        <v>1199</v>
      </c>
      <c r="B1116" s="4" t="s">
        <v>3347</v>
      </c>
      <c r="C1116" s="4" t="s">
        <v>3348</v>
      </c>
      <c r="D1116" s="5" t="s">
        <v>3349</v>
      </c>
      <c r="E1116" s="5">
        <v>895.7</v>
      </c>
      <c r="F1116" s="6">
        <f>LOOKUP(D1116,'AMFI DATA_2023H2'!F:J,'AMFI DATA_2023H2'!J:J)</f>
        <v>1051.10095</v>
      </c>
      <c r="G1116" s="7">
        <f t="shared" si="4"/>
        <v>-1</v>
      </c>
      <c r="H1116" s="8"/>
      <c r="I1116" s="8">
        <v>1435</v>
      </c>
      <c r="J1116" s="8">
        <v>1376</v>
      </c>
      <c r="K1116" s="8">
        <v>1302</v>
      </c>
      <c r="L1116" s="8">
        <v>1349</v>
      </c>
      <c r="M1116" s="8">
        <v>1353</v>
      </c>
      <c r="N1116" s="8">
        <v>1332</v>
      </c>
      <c r="O1116" s="8">
        <v>1335</v>
      </c>
      <c r="P1116" s="8">
        <v>1299</v>
      </c>
      <c r="Q1116" s="8">
        <v>1300</v>
      </c>
      <c r="R1116" s="8">
        <v>1280</v>
      </c>
      <c r="S1116" s="8">
        <v>1335</v>
      </c>
      <c r="T1116" s="8">
        <v>1320</v>
      </c>
      <c r="U1116" s="8">
        <v>1278</v>
      </c>
      <c r="V1116" s="8">
        <v>1262</v>
      </c>
      <c r="W1116" s="8">
        <v>1276</v>
      </c>
      <c r="X1116" s="8">
        <v>1256</v>
      </c>
      <c r="Y1116" s="8">
        <v>1268</v>
      </c>
      <c r="Z1116" s="8">
        <v>1303</v>
      </c>
      <c r="AA1116" s="8">
        <v>1313</v>
      </c>
      <c r="AB1116" s="8">
        <v>1307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</row>
    <row r="1117" spans="1:47" ht="14.4">
      <c r="A1117" s="3">
        <f>LOOKUP(D1117,'AMFI DATA_2023H2'!F:L,'AMFI DATA_2023H2'!L:L)</f>
        <v>1200</v>
      </c>
      <c r="B1117" s="4" t="s">
        <v>3350</v>
      </c>
      <c r="C1117" s="4" t="s">
        <v>3351</v>
      </c>
      <c r="D1117" s="5" t="s">
        <v>3352</v>
      </c>
      <c r="E1117" s="5">
        <v>923.36</v>
      </c>
      <c r="F1117" s="6">
        <f>LOOKUP(D1117,'AMFI DATA_2023H2'!F:J,'AMFI DATA_2023H2'!J:J)</f>
        <v>1049.3388</v>
      </c>
      <c r="G1117" s="7">
        <f t="shared" si="4"/>
        <v>-1</v>
      </c>
      <c r="H1117" s="9"/>
      <c r="I1117" s="9">
        <v>1037</v>
      </c>
      <c r="J1117" s="9">
        <v>1025</v>
      </c>
      <c r="K1117" s="9">
        <v>1030</v>
      </c>
      <c r="L1117" s="9">
        <v>1042</v>
      </c>
      <c r="M1117" s="9">
        <v>1051</v>
      </c>
      <c r="N1117" s="9">
        <v>1035</v>
      </c>
      <c r="O1117" s="9">
        <v>1034</v>
      </c>
      <c r="P1117" s="9">
        <v>1042</v>
      </c>
      <c r="Q1117" s="9">
        <v>1038</v>
      </c>
      <c r="R1117" s="9">
        <v>1048</v>
      </c>
      <c r="S1117" s="9">
        <v>1050</v>
      </c>
      <c r="T1117" s="9">
        <v>1057</v>
      </c>
      <c r="U1117" s="9">
        <v>1032</v>
      </c>
      <c r="V1117" s="9">
        <v>1040</v>
      </c>
      <c r="W1117" s="9">
        <v>1037</v>
      </c>
      <c r="X1117" s="9">
        <v>1047</v>
      </c>
      <c r="Y1117" s="9">
        <v>997</v>
      </c>
      <c r="Z1117" s="9">
        <v>1002</v>
      </c>
      <c r="AA1117" s="9">
        <v>986</v>
      </c>
      <c r="AB1117" s="9">
        <v>987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</row>
    <row r="1118" spans="1:47" ht="14.4">
      <c r="A1118" s="3">
        <f>LOOKUP(D1118,'AMFI DATA_2023H2'!F:L,'AMFI DATA_2023H2'!L:L)</f>
        <v>1202</v>
      </c>
      <c r="B1118" s="4" t="s">
        <v>3353</v>
      </c>
      <c r="C1118" s="4" t="s">
        <v>3354</v>
      </c>
      <c r="D1118" s="5" t="s">
        <v>3355</v>
      </c>
      <c r="E1118" s="5">
        <v>868.35</v>
      </c>
      <c r="F1118" s="6">
        <f>LOOKUP(D1118,'AMFI DATA_2023H2'!F:J,'AMFI DATA_2023H2'!J:J)</f>
        <v>1045.7835500000001</v>
      </c>
      <c r="G1118" s="7">
        <f t="shared" si="4"/>
        <v>-1</v>
      </c>
      <c r="H1118" s="9"/>
      <c r="I1118" s="9">
        <v>970</v>
      </c>
      <c r="J1118" s="9">
        <v>969</v>
      </c>
      <c r="K1118" s="9">
        <v>985</v>
      </c>
      <c r="L1118" s="9">
        <v>992</v>
      </c>
      <c r="M1118" s="9">
        <v>1007</v>
      </c>
      <c r="N1118" s="9">
        <v>1021</v>
      </c>
      <c r="O1118" s="9">
        <v>1026</v>
      </c>
      <c r="P1118" s="9">
        <v>1024</v>
      </c>
      <c r="Q1118" s="9">
        <v>984</v>
      </c>
      <c r="R1118" s="9">
        <v>973</v>
      </c>
      <c r="S1118" s="9">
        <v>1005</v>
      </c>
      <c r="T1118" s="9">
        <v>998</v>
      </c>
      <c r="U1118" s="9">
        <v>1006</v>
      </c>
      <c r="V1118" s="9">
        <v>973</v>
      </c>
      <c r="W1118" s="9">
        <v>996</v>
      </c>
      <c r="X1118" s="9">
        <v>996</v>
      </c>
      <c r="Y1118" s="9">
        <v>965</v>
      </c>
      <c r="Z1118" s="9">
        <v>977</v>
      </c>
      <c r="AA1118" s="9">
        <v>985</v>
      </c>
      <c r="AB1118" s="9">
        <v>996</v>
      </c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</row>
    <row r="1119" spans="1:47" ht="14.4">
      <c r="A1119" s="3">
        <f>LOOKUP(D1119,'AMFI DATA_2023H2'!F:L,'AMFI DATA_2023H2'!L:L)</f>
        <v>1203</v>
      </c>
      <c r="B1119" s="4" t="s">
        <v>3356</v>
      </c>
      <c r="C1119" s="4" t="s">
        <v>3357</v>
      </c>
      <c r="D1119" s="5" t="s">
        <v>3358</v>
      </c>
      <c r="E1119" s="5">
        <v>146818.6</v>
      </c>
      <c r="F1119" s="6">
        <f>LOOKUP(D1119,'AMFI DATA_2023H2'!F:J,'AMFI DATA_2023H2'!J:J)</f>
        <v>1045.6167500000001</v>
      </c>
      <c r="G1119" s="7">
        <f t="shared" si="4"/>
        <v>-1</v>
      </c>
      <c r="H1119" s="8"/>
      <c r="I1119" s="8">
        <v>1665</v>
      </c>
      <c r="J1119" s="8">
        <v>1662</v>
      </c>
      <c r="K1119" s="8">
        <v>1714</v>
      </c>
      <c r="L1119" s="8">
        <v>1693</v>
      </c>
      <c r="M1119" s="8">
        <v>1774</v>
      </c>
      <c r="N1119" s="8">
        <v>1811</v>
      </c>
      <c r="O1119" s="8">
        <v>1891</v>
      </c>
      <c r="P1119" s="8">
        <v>1935</v>
      </c>
      <c r="Q1119" s="8">
        <v>1936</v>
      </c>
      <c r="R1119" s="8">
        <v>1880</v>
      </c>
      <c r="S1119" s="8">
        <v>1700</v>
      </c>
      <c r="T1119" s="8">
        <v>1661</v>
      </c>
      <c r="U1119" s="8">
        <v>1573</v>
      </c>
      <c r="V1119" s="8">
        <v>1311</v>
      </c>
      <c r="W1119" s="8">
        <v>1302</v>
      </c>
      <c r="X1119" s="8">
        <v>1279</v>
      </c>
      <c r="Y1119" s="8">
        <v>1268</v>
      </c>
      <c r="Z1119" s="8">
        <v>1304</v>
      </c>
      <c r="AA1119" s="8">
        <v>1299</v>
      </c>
      <c r="AB1119" s="8">
        <v>1275</v>
      </c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</row>
    <row r="1120" spans="1:47" ht="14.4">
      <c r="A1120" s="3">
        <f>LOOKUP(D1120,'AMFI DATA_2023H2'!F:L,'AMFI DATA_2023H2'!L:L)</f>
        <v>1203</v>
      </c>
      <c r="B1120" s="4" t="s">
        <v>3359</v>
      </c>
      <c r="C1120" s="4" t="s">
        <v>3360</v>
      </c>
      <c r="D1120" s="5" t="s">
        <v>3361</v>
      </c>
      <c r="E1120" s="5">
        <v>122.64</v>
      </c>
      <c r="F1120" s="6">
        <f>LOOKUP(D1120,'AMFI DATA_2023H2'!F:J,'AMFI DATA_2023H2'!J:J)</f>
        <v>1045.6167500000001</v>
      </c>
      <c r="G1120" s="7">
        <f t="shared" si="4"/>
        <v>-1</v>
      </c>
      <c r="H1120" s="9"/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</row>
    <row r="1121" spans="1:47" ht="14.4">
      <c r="A1121" s="3">
        <f>LOOKUP(D1121,'AMFI DATA_2023H2'!F:L,'AMFI DATA_2023H2'!L:L)</f>
        <v>1204</v>
      </c>
      <c r="B1121" s="4" t="s">
        <v>3362</v>
      </c>
      <c r="C1121" s="4" t="s">
        <v>3363</v>
      </c>
      <c r="D1121" s="5" t="s">
        <v>3364</v>
      </c>
      <c r="E1121" s="5">
        <v>730.7</v>
      </c>
      <c r="F1121" s="6">
        <f>LOOKUP(D1121,'AMFI DATA_2023H2'!F:J,'AMFI DATA_2023H2'!J:J)</f>
        <v>1044.6053999999999</v>
      </c>
      <c r="G1121" s="7">
        <f t="shared" si="4"/>
        <v>-1</v>
      </c>
      <c r="H1121" s="8"/>
      <c r="I1121" s="8">
        <v>1336</v>
      </c>
      <c r="J1121" s="8">
        <v>1352</v>
      </c>
      <c r="K1121" s="8">
        <v>1328</v>
      </c>
      <c r="L1121" s="8">
        <v>1320</v>
      </c>
      <c r="M1121" s="8">
        <v>1358</v>
      </c>
      <c r="N1121" s="8">
        <v>1347</v>
      </c>
      <c r="O1121" s="8">
        <v>1366</v>
      </c>
      <c r="P1121" s="8">
        <v>1272</v>
      </c>
      <c r="Q1121" s="8">
        <v>1274</v>
      </c>
      <c r="R1121" s="8">
        <v>1310</v>
      </c>
      <c r="S1121" s="8">
        <v>1301</v>
      </c>
      <c r="T1121" s="8">
        <v>1300</v>
      </c>
      <c r="U1121" s="8">
        <v>1306</v>
      </c>
      <c r="V1121" s="8">
        <v>1287</v>
      </c>
      <c r="W1121" s="8">
        <v>1288</v>
      </c>
      <c r="X1121" s="8">
        <v>1225</v>
      </c>
      <c r="Y1121" s="8">
        <v>1234</v>
      </c>
      <c r="Z1121" s="8">
        <v>1241</v>
      </c>
      <c r="AA1121" s="8">
        <v>1248</v>
      </c>
      <c r="AB1121" s="8">
        <v>1242</v>
      </c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</row>
    <row r="1122" spans="1:47" ht="14.4">
      <c r="A1122" s="3">
        <f>LOOKUP(D1122,'AMFI DATA_2023H2'!F:L,'AMFI DATA_2023H2'!L:L)</f>
        <v>1205</v>
      </c>
      <c r="B1122" s="4" t="s">
        <v>3365</v>
      </c>
      <c r="C1122" s="4" t="s">
        <v>3366</v>
      </c>
      <c r="D1122" s="5" t="s">
        <v>3367</v>
      </c>
      <c r="E1122" s="5">
        <v>994.97</v>
      </c>
      <c r="F1122" s="6">
        <f>LOOKUP(D1122,'AMFI DATA_2023H2'!F:J,'AMFI DATA_2023H2'!J:J)</f>
        <v>1044.43975</v>
      </c>
      <c r="G1122" s="7">
        <f t="shared" si="4"/>
        <v>-1</v>
      </c>
      <c r="H1122" s="8"/>
      <c r="I1122" s="8">
        <v>1120</v>
      </c>
      <c r="J1122" s="8">
        <v>1119</v>
      </c>
      <c r="K1122" s="8">
        <v>1071</v>
      </c>
      <c r="L1122" s="8">
        <v>1105</v>
      </c>
      <c r="M1122" s="8">
        <v>1083</v>
      </c>
      <c r="N1122" s="8">
        <v>1032</v>
      </c>
      <c r="O1122" s="8">
        <v>1016</v>
      </c>
      <c r="P1122" s="8">
        <v>1032</v>
      </c>
      <c r="Q1122" s="8">
        <v>1046</v>
      </c>
      <c r="R1122" s="8">
        <v>1068</v>
      </c>
      <c r="S1122" s="8">
        <v>1084</v>
      </c>
      <c r="T1122" s="8">
        <v>1084</v>
      </c>
      <c r="U1122" s="8">
        <v>1093</v>
      </c>
      <c r="V1122" s="8">
        <v>1073</v>
      </c>
      <c r="W1122" s="8">
        <v>1105</v>
      </c>
      <c r="X1122" s="8">
        <v>1097</v>
      </c>
      <c r="Y1122" s="8">
        <v>1090</v>
      </c>
      <c r="Z1122" s="8">
        <v>1085</v>
      </c>
      <c r="AA1122" s="8">
        <v>1085</v>
      </c>
      <c r="AB1122" s="8">
        <v>1038</v>
      </c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</row>
    <row r="1123" spans="1:47" ht="14.4">
      <c r="A1123" s="3">
        <f>LOOKUP(D1123,'AMFI DATA_2023H2'!F:L,'AMFI DATA_2023H2'!L:L)</f>
        <v>1207</v>
      </c>
      <c r="B1123" s="4" t="s">
        <v>3368</v>
      </c>
      <c r="C1123" s="4" t="s">
        <v>3369</v>
      </c>
      <c r="D1123" s="5" t="s">
        <v>3370</v>
      </c>
      <c r="E1123" s="5">
        <v>577.79</v>
      </c>
      <c r="F1123" s="6">
        <f>LOOKUP(D1123,'AMFI DATA_2023H2'!F:J,'AMFI DATA_2023H2'!J:J)</f>
        <v>1040.5576500000002</v>
      </c>
      <c r="G1123" s="7">
        <f t="shared" si="4"/>
        <v>-1</v>
      </c>
      <c r="H1123" s="8"/>
      <c r="I1123" s="8">
        <v>1369</v>
      </c>
      <c r="J1123" s="8">
        <v>1260</v>
      </c>
      <c r="K1123" s="8">
        <v>1208</v>
      </c>
      <c r="L1123" s="8">
        <v>1221</v>
      </c>
      <c r="M1123" s="8">
        <v>1245</v>
      </c>
      <c r="N1123" s="8">
        <v>1192</v>
      </c>
      <c r="O1123" s="8">
        <v>1162</v>
      </c>
      <c r="P1123" s="8">
        <v>1155</v>
      </c>
      <c r="Q1123" s="8">
        <v>1175</v>
      </c>
      <c r="R1123" s="8">
        <v>1102</v>
      </c>
      <c r="S1123" s="8">
        <v>1053</v>
      </c>
      <c r="T1123" s="8">
        <v>1062</v>
      </c>
      <c r="U1123" s="8">
        <v>1065</v>
      </c>
      <c r="V1123" s="8">
        <v>1035</v>
      </c>
      <c r="W1123" s="8">
        <v>1081</v>
      </c>
      <c r="X1123" s="8">
        <v>1082</v>
      </c>
      <c r="Y1123" s="8">
        <v>1114</v>
      </c>
      <c r="Z1123" s="8">
        <v>1123</v>
      </c>
      <c r="AA1123" s="8">
        <v>1107</v>
      </c>
      <c r="AB1123" s="8">
        <v>1113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</row>
    <row r="1124" spans="1:47" ht="14.4">
      <c r="A1124" s="3">
        <f>LOOKUP(D1124,'AMFI DATA_2023H2'!F:L,'AMFI DATA_2023H2'!L:L)</f>
        <v>1208</v>
      </c>
      <c r="B1124" s="4" t="s">
        <v>3371</v>
      </c>
      <c r="C1124" s="4" t="s">
        <v>3372</v>
      </c>
      <c r="D1124" s="5" t="s">
        <v>3373</v>
      </c>
      <c r="E1124" s="5">
        <v>703.82</v>
      </c>
      <c r="F1124" s="6">
        <f>LOOKUP(D1124,'AMFI DATA_2023H2'!F:J,'AMFI DATA_2023H2'!J:J)</f>
        <v>1036.4045000000001</v>
      </c>
      <c r="G1124" s="7">
        <f t="shared" si="4"/>
        <v>-1</v>
      </c>
      <c r="H1124" s="8"/>
      <c r="I1124" s="8">
        <v>1381</v>
      </c>
      <c r="J1124" s="8">
        <v>1398</v>
      </c>
      <c r="K1124" s="8">
        <v>1425</v>
      </c>
      <c r="L1124" s="8">
        <v>1362</v>
      </c>
      <c r="M1124" s="8">
        <v>1335</v>
      </c>
      <c r="N1124" s="8">
        <v>1297</v>
      </c>
      <c r="O1124" s="8">
        <v>1248</v>
      </c>
      <c r="P1124" s="8">
        <v>1227</v>
      </c>
      <c r="Q1124" s="8">
        <v>1278</v>
      </c>
      <c r="R1124" s="8">
        <v>1104</v>
      </c>
      <c r="S1124" s="8">
        <v>1150</v>
      </c>
      <c r="T1124" s="8">
        <v>1150</v>
      </c>
      <c r="U1124" s="8">
        <v>1160</v>
      </c>
      <c r="V1124" s="8">
        <v>1135</v>
      </c>
      <c r="W1124" s="8">
        <v>1146</v>
      </c>
      <c r="X1124" s="8">
        <v>1132</v>
      </c>
      <c r="Y1124" s="8">
        <v>1132</v>
      </c>
      <c r="Z1124" s="8">
        <v>1149</v>
      </c>
      <c r="AA1124" s="8">
        <v>1132</v>
      </c>
      <c r="AB1124" s="8">
        <v>1079</v>
      </c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</row>
    <row r="1125" spans="1:47" ht="14.4">
      <c r="A1125" s="3">
        <f>LOOKUP(D1125,'AMFI DATA_2023H2'!F:L,'AMFI DATA_2023H2'!L:L)</f>
        <v>1209</v>
      </c>
      <c r="B1125" s="4" t="s">
        <v>3374</v>
      </c>
      <c r="C1125" s="4" t="s">
        <v>3375</v>
      </c>
      <c r="D1125" s="5" t="s">
        <v>3376</v>
      </c>
      <c r="E1125" s="5">
        <v>76.959999999999994</v>
      </c>
      <c r="F1125" s="6">
        <f>LOOKUP(D1125,'AMFI DATA_2023H2'!F:J,'AMFI DATA_2023H2'!J:J)</f>
        <v>1029.0383999999999</v>
      </c>
      <c r="G1125" s="7">
        <f t="shared" si="4"/>
        <v>-1</v>
      </c>
      <c r="H1125" s="8"/>
      <c r="I1125" s="8">
        <v>1274</v>
      </c>
      <c r="J1125" s="8">
        <v>1275</v>
      </c>
      <c r="K1125" s="8">
        <v>1256</v>
      </c>
      <c r="L1125" s="8">
        <v>1265</v>
      </c>
      <c r="M1125" s="8">
        <v>1302</v>
      </c>
      <c r="N1125" s="8">
        <v>1301</v>
      </c>
      <c r="O1125" s="8">
        <v>1367</v>
      </c>
      <c r="P1125" s="8">
        <v>1378</v>
      </c>
      <c r="Q1125" s="8">
        <v>1367</v>
      </c>
      <c r="R1125" s="8">
        <v>1386</v>
      </c>
      <c r="S1125" s="8">
        <v>1328</v>
      </c>
      <c r="T1125" s="8">
        <v>1156</v>
      </c>
      <c r="U1125" s="8">
        <v>1134</v>
      </c>
      <c r="V1125" s="8">
        <v>1103</v>
      </c>
      <c r="W1125" s="8">
        <v>1099</v>
      </c>
      <c r="X1125" s="8">
        <v>1118</v>
      </c>
      <c r="Y1125" s="8">
        <v>1144</v>
      </c>
      <c r="Z1125" s="8">
        <v>1166</v>
      </c>
      <c r="AA1125" s="8">
        <v>1098</v>
      </c>
      <c r="AB1125" s="8">
        <v>1088</v>
      </c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</row>
    <row r="1126" spans="1:47" ht="14.4">
      <c r="A1126" s="3">
        <f>LOOKUP(D1126,'AMFI DATA_2023H2'!F:L,'AMFI DATA_2023H2'!L:L)</f>
        <v>1210</v>
      </c>
      <c r="B1126" s="4" t="s">
        <v>3377</v>
      </c>
      <c r="C1126" s="4" t="s">
        <v>3378</v>
      </c>
      <c r="D1126" s="5" t="s">
        <v>3379</v>
      </c>
      <c r="E1126" s="5">
        <v>1383.94</v>
      </c>
      <c r="F1126" s="6">
        <f>LOOKUP(D1126,'AMFI DATA_2023H2'!F:J,'AMFI DATA_2023H2'!J:J)</f>
        <v>1022.3905</v>
      </c>
      <c r="G1126" s="7">
        <f t="shared" si="4"/>
        <v>-1</v>
      </c>
      <c r="H1126" s="8"/>
      <c r="I1126" s="8">
        <v>1471</v>
      </c>
      <c r="J1126" s="8">
        <v>1454</v>
      </c>
      <c r="K1126" s="8">
        <v>1462</v>
      </c>
      <c r="L1126" s="8">
        <v>1455</v>
      </c>
      <c r="M1126" s="8">
        <v>1502</v>
      </c>
      <c r="N1126" s="8">
        <v>1519</v>
      </c>
      <c r="O1126" s="8">
        <v>1546</v>
      </c>
      <c r="P1126" s="8">
        <v>1560</v>
      </c>
      <c r="Q1126" s="8">
        <v>1507</v>
      </c>
      <c r="R1126" s="8">
        <v>1544</v>
      </c>
      <c r="S1126" s="8">
        <v>1553</v>
      </c>
      <c r="T1126" s="8">
        <v>1578</v>
      </c>
      <c r="U1126" s="8">
        <v>1316</v>
      </c>
      <c r="V1126" s="8">
        <v>1253</v>
      </c>
      <c r="W1126" s="8">
        <v>1241</v>
      </c>
      <c r="X1126" s="8">
        <v>1245</v>
      </c>
      <c r="Y1126" s="8">
        <v>1251</v>
      </c>
      <c r="Z1126" s="8">
        <v>1269</v>
      </c>
      <c r="AA1126" s="8">
        <v>1270</v>
      </c>
      <c r="AB1126" s="8">
        <v>1198</v>
      </c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</row>
    <row r="1127" spans="1:47" ht="14.4">
      <c r="A1127" s="3">
        <f>LOOKUP(D1127,'AMFI DATA_2023H2'!F:L,'AMFI DATA_2023H2'!L:L)</f>
        <v>1212</v>
      </c>
      <c r="B1127" s="4" t="s">
        <v>3380</v>
      </c>
      <c r="C1127" s="4" t="s">
        <v>3381</v>
      </c>
      <c r="D1127" s="5" t="s">
        <v>3382</v>
      </c>
      <c r="E1127" s="5">
        <v>775.45</v>
      </c>
      <c r="F1127" s="6">
        <f>LOOKUP(D1127,'AMFI DATA_2023H2'!F:J,'AMFI DATA_2023H2'!J:J)</f>
        <v>1010.3362</v>
      </c>
      <c r="G1127" s="7">
        <f t="shared" si="4"/>
        <v>-1</v>
      </c>
      <c r="H1127" s="8"/>
      <c r="I1127" s="8">
        <v>608</v>
      </c>
      <c r="J1127" s="8">
        <v>588</v>
      </c>
      <c r="K1127" s="8">
        <v>536</v>
      </c>
      <c r="L1127" s="8">
        <v>488</v>
      </c>
      <c r="M1127" s="8">
        <v>542</v>
      </c>
      <c r="N1127" s="8">
        <v>675</v>
      </c>
      <c r="O1127" s="8">
        <v>735</v>
      </c>
      <c r="P1127" s="8">
        <v>918</v>
      </c>
      <c r="Q1127" s="8">
        <v>984</v>
      </c>
      <c r="R1127" s="8">
        <v>850</v>
      </c>
      <c r="S1127" s="8">
        <v>841</v>
      </c>
      <c r="T1127" s="8">
        <v>883</v>
      </c>
      <c r="U1127" s="8">
        <v>906</v>
      </c>
      <c r="V1127" s="8">
        <v>887</v>
      </c>
      <c r="W1127" s="8">
        <v>898</v>
      </c>
      <c r="X1127" s="8">
        <v>1044</v>
      </c>
      <c r="Y1127" s="8">
        <v>1047</v>
      </c>
      <c r="Z1127" s="8">
        <v>983</v>
      </c>
      <c r="AA1127" s="8">
        <v>985</v>
      </c>
      <c r="AB1127" s="8">
        <v>1016</v>
      </c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</row>
    <row r="1128" spans="1:47" ht="14.4">
      <c r="A1128" s="3">
        <f>LOOKUP(D1128,'AMFI DATA_2023H2'!F:L,'AMFI DATA_2023H2'!L:L)</f>
        <v>1213</v>
      </c>
      <c r="B1128" s="4" t="s">
        <v>3383</v>
      </c>
      <c r="C1128" s="4" t="s">
        <v>3384</v>
      </c>
      <c r="D1128" s="5" t="s">
        <v>3385</v>
      </c>
      <c r="E1128" s="5">
        <v>829.83</v>
      </c>
      <c r="F1128" s="6">
        <f>LOOKUP(D1128,'AMFI DATA_2023H2'!F:J,'AMFI DATA_2023H2'!J:J)</f>
        <v>1008.0953999999999</v>
      </c>
      <c r="G1128" s="7">
        <f t="shared" si="4"/>
        <v>-1</v>
      </c>
      <c r="H1128" s="8"/>
      <c r="I1128" s="8">
        <v>1179</v>
      </c>
      <c r="J1128" s="8">
        <v>1173</v>
      </c>
      <c r="K1128" s="8">
        <v>1182</v>
      </c>
      <c r="L1128" s="8">
        <v>1198</v>
      </c>
      <c r="M1128" s="8">
        <v>1223</v>
      </c>
      <c r="N1128" s="8">
        <v>1228</v>
      </c>
      <c r="O1128" s="8">
        <v>1201</v>
      </c>
      <c r="P1128" s="8">
        <v>1201</v>
      </c>
      <c r="Q1128" s="8">
        <v>1131</v>
      </c>
      <c r="R1128" s="8">
        <v>1140</v>
      </c>
      <c r="S1128" s="8">
        <v>1154</v>
      </c>
      <c r="T1128" s="8">
        <v>1161</v>
      </c>
      <c r="U1128" s="8">
        <v>1138</v>
      </c>
      <c r="V1128" s="8">
        <v>1137</v>
      </c>
      <c r="W1128" s="8">
        <v>1136</v>
      </c>
      <c r="X1128" s="8">
        <v>1108</v>
      </c>
      <c r="Y1128" s="8">
        <v>1101</v>
      </c>
      <c r="Z1128" s="8">
        <v>1103</v>
      </c>
      <c r="AA1128" s="8">
        <v>1117</v>
      </c>
      <c r="AB1128" s="8">
        <v>1107</v>
      </c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</row>
    <row r="1129" spans="1:47" ht="14.4">
      <c r="A1129" s="3">
        <f>LOOKUP(D1129,'AMFI DATA_2023H2'!F:L,'AMFI DATA_2023H2'!L:L)</f>
        <v>1214</v>
      </c>
      <c r="B1129" s="4" t="s">
        <v>3386</v>
      </c>
      <c r="C1129" s="4" t="s">
        <v>3387</v>
      </c>
      <c r="D1129" s="5" t="s">
        <v>3388</v>
      </c>
      <c r="E1129" s="5">
        <v>1025.45</v>
      </c>
      <c r="F1129" s="6">
        <f>LOOKUP(D1129,'AMFI DATA_2023H2'!F:J,'AMFI DATA_2023H2'!J:J)</f>
        <v>1007.04125</v>
      </c>
      <c r="G1129" s="7">
        <f t="shared" si="4"/>
        <v>-1</v>
      </c>
      <c r="H1129" s="9"/>
      <c r="I1129" s="9">
        <v>956</v>
      </c>
      <c r="J1129" s="9">
        <v>958</v>
      </c>
      <c r="K1129" s="9">
        <v>952</v>
      </c>
      <c r="L1129" s="9">
        <v>965</v>
      </c>
      <c r="M1129" s="9">
        <v>970</v>
      </c>
      <c r="N1129" s="9">
        <v>976</v>
      </c>
      <c r="O1129" s="9">
        <v>998</v>
      </c>
      <c r="P1129" s="9">
        <v>944</v>
      </c>
      <c r="Q1129" s="9">
        <v>954</v>
      </c>
      <c r="R1129" s="9">
        <v>959</v>
      </c>
      <c r="S1129" s="9">
        <v>957</v>
      </c>
      <c r="T1129" s="9">
        <v>957</v>
      </c>
      <c r="U1129" s="9">
        <v>953</v>
      </c>
      <c r="V1129" s="9">
        <v>957</v>
      </c>
      <c r="W1129" s="9">
        <v>953</v>
      </c>
      <c r="X1129" s="9">
        <v>950</v>
      </c>
      <c r="Y1129" s="9">
        <v>952</v>
      </c>
      <c r="Z1129" s="9">
        <v>954</v>
      </c>
      <c r="AA1129" s="9">
        <v>956</v>
      </c>
      <c r="AB1129" s="9">
        <v>952</v>
      </c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</row>
    <row r="1130" spans="1:47" ht="14.4">
      <c r="A1130" s="3">
        <f>LOOKUP(D1130,'AMFI DATA_2023H2'!F:L,'AMFI DATA_2023H2'!L:L)</f>
        <v>1215</v>
      </c>
      <c r="B1130" s="4" t="s">
        <v>3389</v>
      </c>
      <c r="C1130" s="4" t="s">
        <v>3390</v>
      </c>
      <c r="D1130" s="5" t="s">
        <v>3391</v>
      </c>
      <c r="E1130" s="5">
        <v>661.72</v>
      </c>
      <c r="F1130" s="6">
        <f>LOOKUP(D1130,'AMFI DATA_2023H2'!F:J,'AMFI DATA_2023H2'!J:J)</f>
        <v>1006.9687</v>
      </c>
      <c r="G1130" s="7">
        <f t="shared" si="4"/>
        <v>-1</v>
      </c>
      <c r="H1130" s="8"/>
      <c r="I1130" s="8">
        <v>1066</v>
      </c>
      <c r="J1130" s="8">
        <v>1063</v>
      </c>
      <c r="K1130" s="8">
        <v>1067</v>
      </c>
      <c r="L1130" s="8">
        <v>1076</v>
      </c>
      <c r="M1130" s="8">
        <v>1096</v>
      </c>
      <c r="N1130" s="8">
        <v>1102</v>
      </c>
      <c r="O1130" s="8">
        <v>1108</v>
      </c>
      <c r="P1130" s="8">
        <v>1096</v>
      </c>
      <c r="Q1130" s="8">
        <v>1101</v>
      </c>
      <c r="R1130" s="8">
        <v>1097</v>
      </c>
      <c r="S1130" s="8">
        <v>1130</v>
      </c>
      <c r="T1130" s="8">
        <v>1130</v>
      </c>
      <c r="U1130" s="8">
        <v>1126</v>
      </c>
      <c r="V1130" s="8">
        <v>1109</v>
      </c>
      <c r="W1130" s="8">
        <v>1016</v>
      </c>
      <c r="X1130" s="8">
        <v>1009</v>
      </c>
      <c r="Y1130" s="8">
        <v>1009</v>
      </c>
      <c r="Z1130" s="8">
        <v>1017</v>
      </c>
      <c r="AA1130" s="8">
        <v>1008</v>
      </c>
      <c r="AB1130" s="8">
        <v>1007</v>
      </c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</row>
    <row r="1131" spans="1:47" ht="14.4">
      <c r="A1131" s="3">
        <f>LOOKUP(D1131,'AMFI DATA_2023H2'!F:L,'AMFI DATA_2023H2'!L:L)</f>
        <v>1216</v>
      </c>
      <c r="B1131" s="4" t="s">
        <v>3392</v>
      </c>
      <c r="C1131" s="4" t="s">
        <v>3393</v>
      </c>
      <c r="D1131" s="5" t="s">
        <v>3394</v>
      </c>
      <c r="E1131" s="5">
        <v>846.16</v>
      </c>
      <c r="F1131" s="6">
        <f>LOOKUP(D1131,'AMFI DATA_2023H2'!F:J,'AMFI DATA_2023H2'!J:J)</f>
        <v>1005.4855</v>
      </c>
      <c r="G1131" s="7">
        <f t="shared" si="4"/>
        <v>-1</v>
      </c>
      <c r="H1131" s="8"/>
      <c r="I1131" s="8">
        <v>1751</v>
      </c>
      <c r="J1131" s="8">
        <v>1812</v>
      </c>
      <c r="K1131" s="8">
        <v>1703</v>
      </c>
      <c r="L1131" s="8">
        <v>1757</v>
      </c>
      <c r="M1131" s="8">
        <v>1806</v>
      </c>
      <c r="N1131" s="8">
        <v>1832</v>
      </c>
      <c r="O1131" s="8">
        <v>1751</v>
      </c>
      <c r="P1131" s="8">
        <v>1803</v>
      </c>
      <c r="Q1131" s="8">
        <v>1772</v>
      </c>
      <c r="R1131" s="8">
        <v>1694</v>
      </c>
      <c r="S1131" s="8">
        <v>1660</v>
      </c>
      <c r="T1131" s="8">
        <v>1593</v>
      </c>
      <c r="U1131" s="8">
        <v>1596</v>
      </c>
      <c r="V1131" s="8">
        <v>1505</v>
      </c>
      <c r="W1131" s="8">
        <v>1537</v>
      </c>
      <c r="X1131" s="8">
        <v>1534</v>
      </c>
      <c r="Y1131" s="8">
        <v>1596</v>
      </c>
      <c r="Z1131" s="8">
        <v>1501</v>
      </c>
      <c r="AA1131" s="8">
        <v>1561</v>
      </c>
      <c r="AB1131" s="8">
        <v>1569</v>
      </c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</row>
    <row r="1132" spans="1:47" ht="14.4">
      <c r="A1132" s="3">
        <f>LOOKUP(D1132,'AMFI DATA_2023H2'!F:L,'AMFI DATA_2023H2'!L:L)</f>
        <v>1217</v>
      </c>
      <c r="B1132" s="4" t="s">
        <v>3395</v>
      </c>
      <c r="C1132" s="4" t="s">
        <v>3396</v>
      </c>
      <c r="D1132" s="5" t="s">
        <v>3397</v>
      </c>
      <c r="E1132" s="5">
        <v>989.35</v>
      </c>
      <c r="F1132" s="6">
        <f>LOOKUP(D1132,'AMFI DATA_2023H2'!F:J,'AMFI DATA_2023H2'!J:J)</f>
        <v>1003.8422</v>
      </c>
      <c r="G1132" s="7">
        <f t="shared" si="4"/>
        <v>-1</v>
      </c>
      <c r="H1132" s="8"/>
      <c r="I1132" s="8">
        <v>1036</v>
      </c>
      <c r="J1132" s="8">
        <v>1037</v>
      </c>
      <c r="K1132" s="8">
        <v>1032</v>
      </c>
      <c r="L1132" s="8">
        <v>1030</v>
      </c>
      <c r="M1132" s="8">
        <v>1043</v>
      </c>
      <c r="N1132" s="8">
        <v>1062</v>
      </c>
      <c r="O1132" s="8">
        <v>1077</v>
      </c>
      <c r="P1132" s="8">
        <v>1047</v>
      </c>
      <c r="Q1132" s="8">
        <v>1049</v>
      </c>
      <c r="R1132" s="8">
        <v>1053</v>
      </c>
      <c r="S1132" s="8">
        <v>1095</v>
      </c>
      <c r="T1132" s="8">
        <v>1106</v>
      </c>
      <c r="U1132" s="8">
        <v>1101</v>
      </c>
      <c r="V1132" s="8">
        <v>1093</v>
      </c>
      <c r="W1132" s="8">
        <v>1084</v>
      </c>
      <c r="X1132" s="8">
        <v>1073</v>
      </c>
      <c r="Y1132" s="8">
        <v>1082</v>
      </c>
      <c r="Z1132" s="8">
        <v>1101</v>
      </c>
      <c r="AA1132" s="8">
        <v>1108</v>
      </c>
      <c r="AB1132" s="8">
        <v>1025</v>
      </c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</row>
    <row r="1133" spans="1:47" ht="14.4">
      <c r="A1133" s="3">
        <f>LOOKUP(D1133,'AMFI DATA_2023H2'!F:L,'AMFI DATA_2023H2'!L:L)</f>
        <v>1218</v>
      </c>
      <c r="B1133" s="4" t="s">
        <v>3398</v>
      </c>
      <c r="C1133" s="4" t="s">
        <v>3399</v>
      </c>
      <c r="D1133" s="5" t="s">
        <v>3400</v>
      </c>
      <c r="E1133" s="5">
        <v>779.6</v>
      </c>
      <c r="F1133" s="6">
        <f>LOOKUP(D1133,'AMFI DATA_2023H2'!F:J,'AMFI DATA_2023H2'!J:J)</f>
        <v>1003.7728500000001</v>
      </c>
      <c r="G1133" s="7">
        <f t="shared" si="4"/>
        <v>-1</v>
      </c>
      <c r="H1133" s="8"/>
      <c r="I1133" s="8">
        <v>1070</v>
      </c>
      <c r="J1133" s="8">
        <v>1042</v>
      </c>
      <c r="K1133" s="8">
        <v>1060</v>
      </c>
      <c r="L1133" s="8">
        <v>1066</v>
      </c>
      <c r="M1133" s="8">
        <v>1081</v>
      </c>
      <c r="N1133" s="8">
        <v>1081</v>
      </c>
      <c r="O1133" s="8">
        <v>1091</v>
      </c>
      <c r="P1133" s="8">
        <v>1064</v>
      </c>
      <c r="Q1133" s="8">
        <v>1075</v>
      </c>
      <c r="R1133" s="8">
        <v>1078</v>
      </c>
      <c r="S1133" s="8">
        <v>1085</v>
      </c>
      <c r="T1133" s="8">
        <v>1093</v>
      </c>
      <c r="U1133" s="8">
        <v>1095</v>
      </c>
      <c r="V1133" s="8">
        <v>1106</v>
      </c>
      <c r="W1133" s="8">
        <v>1107</v>
      </c>
      <c r="X1133" s="8">
        <v>1083</v>
      </c>
      <c r="Y1133" s="8">
        <v>1087</v>
      </c>
      <c r="Z1133" s="8">
        <v>1069</v>
      </c>
      <c r="AA1133" s="8">
        <v>1072</v>
      </c>
      <c r="AB1133" s="8">
        <v>1071</v>
      </c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</row>
    <row r="1134" spans="1:47" ht="14.4">
      <c r="A1134" s="3">
        <f>LOOKUP(D1134,'AMFI DATA_2023H2'!F:L,'AMFI DATA_2023H2'!L:L)</f>
        <v>1220</v>
      </c>
      <c r="B1134" s="4" t="s">
        <v>3401</v>
      </c>
      <c r="C1134" s="4" t="s">
        <v>3402</v>
      </c>
      <c r="D1134" s="5" t="s">
        <v>3403</v>
      </c>
      <c r="E1134" s="5">
        <v>765.92</v>
      </c>
      <c r="F1134" s="6">
        <f>LOOKUP(D1134,'AMFI DATA_2023H2'!F:J,'AMFI DATA_2023H2'!J:J)</f>
        <v>993.0180499999999</v>
      </c>
      <c r="G1134" s="7">
        <f t="shared" si="4"/>
        <v>-1</v>
      </c>
      <c r="H1134" s="8"/>
      <c r="I1134" s="8">
        <v>1143</v>
      </c>
      <c r="J1134" s="8">
        <v>1105</v>
      </c>
      <c r="K1134" s="8">
        <v>1089</v>
      </c>
      <c r="L1134" s="8">
        <v>1087</v>
      </c>
      <c r="M1134" s="8">
        <v>1126</v>
      </c>
      <c r="N1134" s="8">
        <v>1162</v>
      </c>
      <c r="O1134" s="8">
        <v>1199</v>
      </c>
      <c r="P1134" s="8">
        <v>1115</v>
      </c>
      <c r="Q1134" s="8">
        <v>1128</v>
      </c>
      <c r="R1134" s="8">
        <v>1128</v>
      </c>
      <c r="S1134" s="8">
        <v>1090</v>
      </c>
      <c r="T1134" s="8">
        <v>1082</v>
      </c>
      <c r="U1134" s="8">
        <v>1028</v>
      </c>
      <c r="V1134" s="8">
        <v>1034</v>
      </c>
      <c r="W1134" s="8">
        <v>1038</v>
      </c>
      <c r="X1134" s="8">
        <v>1027</v>
      </c>
      <c r="Y1134" s="8">
        <v>1028</v>
      </c>
      <c r="Z1134" s="8">
        <v>1054</v>
      </c>
      <c r="AA1134" s="8">
        <v>1054</v>
      </c>
      <c r="AB1134" s="8">
        <v>1065</v>
      </c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</row>
    <row r="1135" spans="1:47" ht="14.4">
      <c r="A1135" s="3">
        <f>LOOKUP(D1135,'AMFI DATA_2023H2'!F:L,'AMFI DATA_2023H2'!L:L)</f>
        <v>1222</v>
      </c>
      <c r="B1135" s="4" t="s">
        <v>3404</v>
      </c>
      <c r="C1135" s="4" t="s">
        <v>3405</v>
      </c>
      <c r="D1135" s="5" t="s">
        <v>3406</v>
      </c>
      <c r="E1135" s="5">
        <v>856.3</v>
      </c>
      <c r="F1135" s="6">
        <f>LOOKUP(D1135,'AMFI DATA_2023H2'!F:J,'AMFI DATA_2023H2'!J:J)</f>
        <v>988.26279999999997</v>
      </c>
      <c r="G1135" s="7">
        <f t="shared" si="4"/>
        <v>-1</v>
      </c>
      <c r="H1135" s="8"/>
      <c r="I1135" s="8">
        <v>1135</v>
      </c>
      <c r="J1135" s="8">
        <v>1138</v>
      </c>
      <c r="K1135" s="8">
        <v>1061</v>
      </c>
      <c r="L1135" s="8">
        <v>1082</v>
      </c>
      <c r="M1135" s="8">
        <v>1082</v>
      </c>
      <c r="N1135" s="8">
        <v>1095</v>
      </c>
      <c r="O1135" s="8">
        <v>1043</v>
      </c>
      <c r="P1135" s="8">
        <v>1048</v>
      </c>
      <c r="Q1135" s="8">
        <v>1064</v>
      </c>
      <c r="R1135" s="8">
        <v>1014</v>
      </c>
      <c r="S1135" s="8">
        <v>1055</v>
      </c>
      <c r="T1135" s="8">
        <v>1087</v>
      </c>
      <c r="U1135" s="8">
        <v>992</v>
      </c>
      <c r="V1135" s="8">
        <v>998</v>
      </c>
      <c r="W1135" s="8">
        <v>1008</v>
      </c>
      <c r="X1135" s="8">
        <v>989</v>
      </c>
      <c r="Y1135" s="8">
        <v>991</v>
      </c>
      <c r="Z1135" s="8">
        <v>995</v>
      </c>
      <c r="AA1135" s="8">
        <v>1015</v>
      </c>
      <c r="AB1135" s="8">
        <v>1020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</row>
    <row r="1136" spans="1:47" ht="14.4">
      <c r="A1136" s="3">
        <f>LOOKUP(D1136,'AMFI DATA_2023H2'!F:L,'AMFI DATA_2023H2'!L:L)</f>
        <v>1224</v>
      </c>
      <c r="B1136" s="4" t="s">
        <v>3407</v>
      </c>
      <c r="C1136" s="4" t="s">
        <v>3408</v>
      </c>
      <c r="D1136" s="5" t="s">
        <v>3409</v>
      </c>
      <c r="E1136" s="5">
        <v>785.28</v>
      </c>
      <c r="F1136" s="6">
        <f>LOOKUP(D1136,'AMFI DATA_2023H2'!F:J,'AMFI DATA_2023H2'!J:J)</f>
        <v>985.98185000000001</v>
      </c>
      <c r="G1136" s="7">
        <f t="shared" si="4"/>
        <v>-1</v>
      </c>
      <c r="H1136" s="8"/>
      <c r="I1136" s="8">
        <v>1289</v>
      </c>
      <c r="J1136" s="8">
        <v>1307</v>
      </c>
      <c r="K1136" s="8">
        <v>1297</v>
      </c>
      <c r="L1136" s="8">
        <v>1328</v>
      </c>
      <c r="M1136" s="8">
        <v>1391</v>
      </c>
      <c r="N1136" s="8">
        <v>1403</v>
      </c>
      <c r="O1136" s="8">
        <v>1286</v>
      </c>
      <c r="P1136" s="8">
        <v>1254</v>
      </c>
      <c r="Q1136" s="8">
        <v>1225</v>
      </c>
      <c r="R1136" s="8">
        <v>1283</v>
      </c>
      <c r="S1136" s="8">
        <v>1299</v>
      </c>
      <c r="T1136" s="8">
        <v>1344</v>
      </c>
      <c r="U1136" s="8">
        <v>1339</v>
      </c>
      <c r="V1136" s="8">
        <v>1350</v>
      </c>
      <c r="W1136" s="8">
        <v>1374</v>
      </c>
      <c r="X1136" s="8">
        <v>1353</v>
      </c>
      <c r="Y1136" s="8">
        <v>1340</v>
      </c>
      <c r="Z1136" s="8">
        <v>1393</v>
      </c>
      <c r="AA1136" s="8">
        <v>1353</v>
      </c>
      <c r="AB1136" s="8">
        <v>1388</v>
      </c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</row>
    <row r="1137" spans="1:47" ht="14.4">
      <c r="A1137" s="3">
        <f>LOOKUP(D1137,'AMFI DATA_2023H2'!F:L,'AMFI DATA_2023H2'!L:L)</f>
        <v>1225</v>
      </c>
      <c r="B1137" s="4" t="s">
        <v>3410</v>
      </c>
      <c r="C1137" s="4" t="s">
        <v>3411</v>
      </c>
      <c r="D1137" s="5" t="s">
        <v>3412</v>
      </c>
      <c r="E1137" s="5">
        <v>430.13</v>
      </c>
      <c r="F1137" s="6">
        <f>LOOKUP(D1137,'AMFI DATA_2023H2'!F:J,'AMFI DATA_2023H2'!J:J)</f>
        <v>983.38300000000004</v>
      </c>
      <c r="G1137" s="7">
        <f t="shared" si="4"/>
        <v>-1</v>
      </c>
      <c r="H1137" s="9"/>
      <c r="I1137" s="9">
        <v>1018</v>
      </c>
      <c r="J1137" s="9">
        <v>998</v>
      </c>
      <c r="K1137" s="9">
        <v>1011</v>
      </c>
      <c r="L1137" s="9">
        <v>1014</v>
      </c>
      <c r="M1137" s="9">
        <v>1029</v>
      </c>
      <c r="N1137" s="9">
        <v>1032</v>
      </c>
      <c r="O1137" s="9">
        <v>1016</v>
      </c>
      <c r="P1137" s="9">
        <v>1008</v>
      </c>
      <c r="Q1137" s="9">
        <v>996</v>
      </c>
      <c r="R1137" s="9">
        <v>1027</v>
      </c>
      <c r="S1137" s="9">
        <v>1046</v>
      </c>
      <c r="T1137" s="9">
        <v>1060</v>
      </c>
      <c r="U1137" s="9">
        <v>1066</v>
      </c>
      <c r="V1137" s="9">
        <v>1050</v>
      </c>
      <c r="W1137" s="9">
        <v>1068</v>
      </c>
      <c r="X1137" s="9">
        <v>1019</v>
      </c>
      <c r="Y1137" s="9">
        <v>969</v>
      </c>
      <c r="Z1137" s="9">
        <v>983</v>
      </c>
      <c r="AA1137" s="9">
        <v>975</v>
      </c>
      <c r="AB1137" s="9">
        <v>974</v>
      </c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</row>
    <row r="1138" spans="1:47" ht="14.4">
      <c r="A1138" s="3">
        <f>LOOKUP(D1138,'AMFI DATA_2023H2'!F:L,'AMFI DATA_2023H2'!L:L)</f>
        <v>1226</v>
      </c>
      <c r="B1138" s="4" t="s">
        <v>3413</v>
      </c>
      <c r="C1138" s="4" t="s">
        <v>3414</v>
      </c>
      <c r="D1138" s="5" t="s">
        <v>3415</v>
      </c>
      <c r="E1138" s="5">
        <v>940.32</v>
      </c>
      <c r="F1138" s="6">
        <f>LOOKUP(D1138,'AMFI DATA_2023H2'!F:J,'AMFI DATA_2023H2'!J:J)</f>
        <v>981.53005000000007</v>
      </c>
      <c r="G1138" s="7">
        <f t="shared" si="4"/>
        <v>-1</v>
      </c>
      <c r="H1138" s="8"/>
      <c r="I1138" s="8">
        <v>1091</v>
      </c>
      <c r="J1138" s="8">
        <v>992</v>
      </c>
      <c r="K1138" s="8">
        <v>1018</v>
      </c>
      <c r="L1138" s="8">
        <v>1038</v>
      </c>
      <c r="M1138" s="8">
        <v>1060</v>
      </c>
      <c r="N1138" s="8">
        <v>1019</v>
      </c>
      <c r="O1138" s="8">
        <v>1024</v>
      </c>
      <c r="P1138" s="8">
        <v>1027</v>
      </c>
      <c r="Q1138" s="8">
        <v>1040</v>
      </c>
      <c r="R1138" s="8">
        <v>1052</v>
      </c>
      <c r="S1138" s="8">
        <v>1035</v>
      </c>
      <c r="T1138" s="8">
        <v>1039</v>
      </c>
      <c r="U1138" s="8">
        <v>1042</v>
      </c>
      <c r="V1138" s="8">
        <v>1039</v>
      </c>
      <c r="W1138" s="8">
        <v>1040</v>
      </c>
      <c r="X1138" s="8">
        <v>1017</v>
      </c>
      <c r="Y1138" s="8">
        <v>1006</v>
      </c>
      <c r="Z1138" s="8">
        <v>1027</v>
      </c>
      <c r="AA1138" s="8">
        <v>1021</v>
      </c>
      <c r="AB1138" s="8">
        <v>1008</v>
      </c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</row>
    <row r="1139" spans="1:47" ht="14.4">
      <c r="A1139" s="3">
        <f>LOOKUP(D1139,'AMFI DATA_2023H2'!F:L,'AMFI DATA_2023H2'!L:L)</f>
        <v>1227</v>
      </c>
      <c r="B1139" s="4" t="s">
        <v>3416</v>
      </c>
      <c r="C1139" s="4" t="s">
        <v>3417</v>
      </c>
      <c r="D1139" s="5" t="s">
        <v>3418</v>
      </c>
      <c r="E1139" s="5">
        <v>819.24</v>
      </c>
      <c r="F1139" s="6">
        <f>LOOKUP(D1139,'AMFI DATA_2023H2'!F:J,'AMFI DATA_2023H2'!J:J)</f>
        <v>979.97720000000004</v>
      </c>
      <c r="G1139" s="7">
        <f t="shared" si="4"/>
        <v>-1</v>
      </c>
      <c r="H1139" s="8"/>
      <c r="I1139" s="8">
        <v>996</v>
      </c>
      <c r="J1139" s="8">
        <v>997</v>
      </c>
      <c r="K1139" s="8">
        <v>993</v>
      </c>
      <c r="L1139" s="8">
        <v>1006</v>
      </c>
      <c r="M1139" s="8">
        <v>1013</v>
      </c>
      <c r="N1139" s="8">
        <v>1010</v>
      </c>
      <c r="O1139" s="8">
        <v>1014</v>
      </c>
      <c r="P1139" s="8">
        <v>1033</v>
      </c>
      <c r="Q1139" s="8">
        <v>1025</v>
      </c>
      <c r="R1139" s="8">
        <v>1026</v>
      </c>
      <c r="S1139" s="8">
        <v>1037</v>
      </c>
      <c r="T1139" s="8">
        <v>1033</v>
      </c>
      <c r="U1139" s="8">
        <v>1025</v>
      </c>
      <c r="V1139" s="8">
        <v>1063</v>
      </c>
      <c r="W1139" s="8">
        <v>1022</v>
      </c>
      <c r="X1139" s="8">
        <v>1005</v>
      </c>
      <c r="Y1139" s="8">
        <v>1011</v>
      </c>
      <c r="Z1139" s="8">
        <v>1031</v>
      </c>
      <c r="AA1139" s="8">
        <v>1030</v>
      </c>
      <c r="AB1139" s="8">
        <v>1027</v>
      </c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</row>
    <row r="1140" spans="1:47" ht="14.4">
      <c r="A1140" s="3">
        <f>LOOKUP(D1140,'AMFI DATA_2023H2'!F:L,'AMFI DATA_2023H2'!L:L)</f>
        <v>1228</v>
      </c>
      <c r="B1140" s="4" t="s">
        <v>3419</v>
      </c>
      <c r="C1140" s="4" t="s">
        <v>3420</v>
      </c>
      <c r="D1140" s="5" t="s">
        <v>3421</v>
      </c>
      <c r="E1140" s="5">
        <v>449.25</v>
      </c>
      <c r="F1140" s="6">
        <f>LOOKUP(D1140,'AMFI DATA_2023H2'!F:J,'AMFI DATA_2023H2'!J:J)</f>
        <v>978.41359999999997</v>
      </c>
      <c r="G1140" s="7">
        <f t="shared" si="4"/>
        <v>-1</v>
      </c>
      <c r="H1140" s="9"/>
      <c r="I1140" s="9">
        <v>975</v>
      </c>
      <c r="J1140" s="9">
        <v>987</v>
      </c>
      <c r="K1140" s="9">
        <v>978</v>
      </c>
      <c r="L1140" s="9">
        <v>996</v>
      </c>
      <c r="M1140" s="9">
        <v>1000</v>
      </c>
      <c r="N1140" s="9">
        <v>1013</v>
      </c>
      <c r="O1140" s="9">
        <v>1026</v>
      </c>
      <c r="P1140" s="9">
        <v>1031</v>
      </c>
      <c r="Q1140" s="9">
        <v>1049</v>
      </c>
      <c r="R1140" s="9">
        <v>1060</v>
      </c>
      <c r="S1140" s="9">
        <v>1064</v>
      </c>
      <c r="T1140" s="9">
        <v>1051</v>
      </c>
      <c r="U1140" s="9">
        <v>1060</v>
      </c>
      <c r="V1140" s="9">
        <v>1076</v>
      </c>
      <c r="W1140" s="9">
        <v>1049</v>
      </c>
      <c r="X1140" s="9">
        <v>958</v>
      </c>
      <c r="Y1140" s="9">
        <v>1002</v>
      </c>
      <c r="Z1140" s="9">
        <v>991</v>
      </c>
      <c r="AA1140" s="9">
        <v>1013</v>
      </c>
      <c r="AB1140" s="9">
        <v>993</v>
      </c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</row>
    <row r="1141" spans="1:47" ht="14.4">
      <c r="A1141" s="3">
        <f>LOOKUP(D1141,'AMFI DATA_2023H2'!F:L,'AMFI DATA_2023H2'!L:L)</f>
        <v>1229</v>
      </c>
      <c r="B1141" s="4" t="s">
        <v>3422</v>
      </c>
      <c r="C1141" s="4" t="s">
        <v>3423</v>
      </c>
      <c r="D1141" s="5" t="s">
        <v>3424</v>
      </c>
      <c r="E1141" s="5">
        <v>878.09</v>
      </c>
      <c r="F1141" s="6">
        <f>LOOKUP(D1141,'AMFI DATA_2023H2'!F:J,'AMFI DATA_2023H2'!J:J)</f>
        <v>976.93450000000007</v>
      </c>
      <c r="G1141" s="7">
        <f t="shared" si="4"/>
        <v>-1</v>
      </c>
      <c r="H1141" s="9"/>
      <c r="I1141" s="9">
        <v>1145</v>
      </c>
      <c r="J1141" s="9">
        <v>1020</v>
      </c>
      <c r="K1141" s="9">
        <v>1017</v>
      </c>
      <c r="L1141" s="9">
        <v>1041</v>
      </c>
      <c r="M1141" s="9">
        <v>1007</v>
      </c>
      <c r="N1141" s="9">
        <v>948</v>
      </c>
      <c r="O1141" s="9">
        <v>959</v>
      </c>
      <c r="P1141" s="9">
        <v>916</v>
      </c>
      <c r="Q1141" s="9">
        <v>921</v>
      </c>
      <c r="R1141" s="9">
        <v>915</v>
      </c>
      <c r="S1141" s="9">
        <v>926</v>
      </c>
      <c r="T1141" s="9">
        <v>918</v>
      </c>
      <c r="U1141" s="9">
        <v>914</v>
      </c>
      <c r="V1141" s="9">
        <v>917</v>
      </c>
      <c r="W1141" s="9">
        <v>915</v>
      </c>
      <c r="X1141" s="9">
        <v>918</v>
      </c>
      <c r="Y1141" s="9">
        <v>920</v>
      </c>
      <c r="Z1141" s="9">
        <v>929</v>
      </c>
      <c r="AA1141" s="9">
        <v>916</v>
      </c>
      <c r="AB1141" s="9">
        <v>910</v>
      </c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</row>
    <row r="1142" spans="1:47" ht="14.4">
      <c r="A1142" s="3">
        <f>LOOKUP(D1142,'AMFI DATA_2023H2'!F:L,'AMFI DATA_2023H2'!L:L)</f>
        <v>1232</v>
      </c>
      <c r="B1142" s="4" t="s">
        <v>3425</v>
      </c>
      <c r="C1142" s="4" t="s">
        <v>3426</v>
      </c>
      <c r="D1142" s="5" t="s">
        <v>3427</v>
      </c>
      <c r="E1142" s="5">
        <v>857.48</v>
      </c>
      <c r="F1142" s="6">
        <f>LOOKUP(D1142,'AMFI DATA_2023H2'!F:J,'AMFI DATA_2023H2'!J:J)</f>
        <v>971.91544999999996</v>
      </c>
      <c r="G1142" s="7">
        <f t="shared" si="4"/>
        <v>-1</v>
      </c>
      <c r="H1142" s="8"/>
      <c r="I1142" s="8">
        <v>1022</v>
      </c>
      <c r="J1142" s="8">
        <v>1018</v>
      </c>
      <c r="K1142" s="8">
        <v>1036</v>
      </c>
      <c r="L1142" s="8">
        <v>1054</v>
      </c>
      <c r="M1142" s="8">
        <v>1084</v>
      </c>
      <c r="N1142" s="8">
        <v>1078</v>
      </c>
      <c r="O1142" s="8">
        <v>1067</v>
      </c>
      <c r="P1142" s="8">
        <v>1060</v>
      </c>
      <c r="Q1142" s="8">
        <v>1034</v>
      </c>
      <c r="R1142" s="8">
        <v>1041</v>
      </c>
      <c r="S1142" s="8">
        <v>1050</v>
      </c>
      <c r="T1142" s="8">
        <v>1054</v>
      </c>
      <c r="U1142" s="8">
        <v>1029</v>
      </c>
      <c r="V1142" s="8">
        <v>1036</v>
      </c>
      <c r="W1142" s="8">
        <v>1041</v>
      </c>
      <c r="X1142" s="8">
        <v>1040</v>
      </c>
      <c r="Y1142" s="8">
        <v>1044</v>
      </c>
      <c r="Z1142" s="8">
        <v>1051</v>
      </c>
      <c r="AA1142" s="8">
        <v>1074</v>
      </c>
      <c r="AB1142" s="8">
        <v>1027</v>
      </c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</row>
    <row r="1143" spans="1:47" ht="14.4">
      <c r="A1143" s="3">
        <f>LOOKUP(D1143,'AMFI DATA_2023H2'!F:L,'AMFI DATA_2023H2'!L:L)</f>
        <v>1234</v>
      </c>
      <c r="B1143" s="4" t="s">
        <v>3428</v>
      </c>
      <c r="C1143" s="4" t="s">
        <v>3429</v>
      </c>
      <c r="D1143" s="5" t="s">
        <v>3430</v>
      </c>
      <c r="E1143" s="5">
        <v>724.9</v>
      </c>
      <c r="F1143" s="6">
        <f>LOOKUP(D1143,'AMFI DATA_2023H2'!F:J,'AMFI DATA_2023H2'!J:J)</f>
        <v>963.33044999999993</v>
      </c>
      <c r="G1143" s="7">
        <f t="shared" si="4"/>
        <v>-1</v>
      </c>
      <c r="H1143" s="9"/>
      <c r="I1143" s="9">
        <v>880</v>
      </c>
      <c r="J1143" s="9">
        <v>895</v>
      </c>
      <c r="K1143" s="9">
        <v>907</v>
      </c>
      <c r="L1143" s="9">
        <v>914</v>
      </c>
      <c r="M1143" s="9">
        <v>916</v>
      </c>
      <c r="N1143" s="9">
        <v>924</v>
      </c>
      <c r="O1143" s="9">
        <v>908</v>
      </c>
      <c r="P1143" s="9">
        <v>912</v>
      </c>
      <c r="Q1143" s="9">
        <v>929</v>
      </c>
      <c r="R1143" s="9">
        <v>906</v>
      </c>
      <c r="S1143" s="9">
        <v>920</v>
      </c>
      <c r="T1143" s="9">
        <v>888</v>
      </c>
      <c r="U1143" s="9">
        <v>883</v>
      </c>
      <c r="V1143" s="9">
        <v>875</v>
      </c>
      <c r="W1143" s="9">
        <v>861</v>
      </c>
      <c r="X1143" s="9">
        <v>860</v>
      </c>
      <c r="Y1143" s="9">
        <v>866</v>
      </c>
      <c r="Z1143" s="9">
        <v>881</v>
      </c>
      <c r="AA1143" s="9">
        <v>880</v>
      </c>
      <c r="AB1143" s="9">
        <v>880</v>
      </c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</row>
    <row r="1144" spans="1:47" ht="14.4">
      <c r="A1144" s="3">
        <f>LOOKUP(D1144,'AMFI DATA_2023H2'!F:L,'AMFI DATA_2023H2'!L:L)</f>
        <v>1235</v>
      </c>
      <c r="B1144" s="4" t="s">
        <v>3431</v>
      </c>
      <c r="C1144" s="4" t="s">
        <v>3432</v>
      </c>
      <c r="D1144" s="5" t="s">
        <v>3433</v>
      </c>
      <c r="E1144" s="5">
        <v>1092.6600000000001</v>
      </c>
      <c r="F1144" s="6">
        <f>LOOKUP(D1144,'AMFI DATA_2023H2'!F:J,'AMFI DATA_2023H2'!J:J)</f>
        <v>959.57584999999995</v>
      </c>
      <c r="G1144" s="7">
        <f t="shared" si="4"/>
        <v>-1</v>
      </c>
      <c r="H1144" s="9"/>
      <c r="I1144" s="9">
        <v>1034</v>
      </c>
      <c r="J1144" s="9">
        <v>1022</v>
      </c>
      <c r="K1144" s="9">
        <v>1063</v>
      </c>
      <c r="L1144" s="9">
        <v>1043</v>
      </c>
      <c r="M1144" s="9">
        <v>1059</v>
      </c>
      <c r="N1144" s="9">
        <v>995</v>
      </c>
      <c r="O1144" s="9">
        <v>980</v>
      </c>
      <c r="P1144" s="9">
        <v>949</v>
      </c>
      <c r="Q1144" s="9">
        <v>944</v>
      </c>
      <c r="R1144" s="9">
        <v>932</v>
      </c>
      <c r="S1144" s="9">
        <v>913</v>
      </c>
      <c r="T1144" s="9">
        <v>919</v>
      </c>
      <c r="U1144" s="9">
        <v>923</v>
      </c>
      <c r="V1144" s="9">
        <v>926</v>
      </c>
      <c r="W1144" s="9">
        <v>905</v>
      </c>
      <c r="X1144" s="9">
        <v>906</v>
      </c>
      <c r="Y1144" s="9">
        <v>896</v>
      </c>
      <c r="Z1144" s="9">
        <v>896</v>
      </c>
      <c r="AA1144" s="9">
        <v>904</v>
      </c>
      <c r="AB1144" s="9">
        <v>922</v>
      </c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</row>
    <row r="1145" spans="1:47" ht="14.4">
      <c r="A1145" s="3">
        <f>LOOKUP(D1145,'AMFI DATA_2023H2'!F:L,'AMFI DATA_2023H2'!L:L)</f>
        <v>1241</v>
      </c>
      <c r="B1145" s="4" t="s">
        <v>3434</v>
      </c>
      <c r="C1145" s="4" t="s">
        <v>3435</v>
      </c>
      <c r="D1145" s="5" t="s">
        <v>3436</v>
      </c>
      <c r="E1145" s="5">
        <v>854.24</v>
      </c>
      <c r="F1145" s="6">
        <f>LOOKUP(D1145,'AMFI DATA_2023H2'!F:J,'AMFI DATA_2023H2'!J:J)</f>
        <v>936.79899999999998</v>
      </c>
      <c r="G1145" s="7">
        <f t="shared" si="4"/>
        <v>-1</v>
      </c>
      <c r="H1145" s="9"/>
      <c r="I1145" s="9">
        <v>1027</v>
      </c>
      <c r="J1145" s="9">
        <v>1020</v>
      </c>
      <c r="K1145" s="9">
        <v>1007</v>
      </c>
      <c r="L1145" s="9">
        <v>1028</v>
      </c>
      <c r="M1145" s="9">
        <v>1046</v>
      </c>
      <c r="N1145" s="9">
        <v>1044</v>
      </c>
      <c r="O1145" s="9">
        <v>1055</v>
      </c>
      <c r="P1145" s="9">
        <v>1072</v>
      </c>
      <c r="Q1145" s="9">
        <v>1002</v>
      </c>
      <c r="R1145" s="9">
        <v>1001</v>
      </c>
      <c r="S1145" s="9">
        <v>1003</v>
      </c>
      <c r="T1145" s="9">
        <v>995</v>
      </c>
      <c r="U1145" s="9">
        <v>998</v>
      </c>
      <c r="V1145" s="9">
        <v>974</v>
      </c>
      <c r="W1145" s="9">
        <v>959</v>
      </c>
      <c r="X1145" s="9">
        <v>949</v>
      </c>
      <c r="Y1145" s="9">
        <v>951</v>
      </c>
      <c r="Z1145" s="9">
        <v>949</v>
      </c>
      <c r="AA1145" s="9">
        <v>941</v>
      </c>
      <c r="AB1145" s="9">
        <v>942</v>
      </c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</row>
    <row r="1146" spans="1:47" ht="14.4">
      <c r="A1146" s="3">
        <f>LOOKUP(D1146,'AMFI DATA_2023H2'!F:L,'AMFI DATA_2023H2'!L:L)</f>
        <v>1242</v>
      </c>
      <c r="B1146" s="4" t="s">
        <v>3437</v>
      </c>
      <c r="C1146" s="4" t="s">
        <v>3438</v>
      </c>
      <c r="D1146" s="5" t="s">
        <v>3439</v>
      </c>
      <c r="E1146" s="5">
        <v>870.35</v>
      </c>
      <c r="F1146" s="6">
        <f>LOOKUP(D1146,'AMFI DATA_2023H2'!F:J,'AMFI DATA_2023H2'!J:J)</f>
        <v>935.36505</v>
      </c>
      <c r="G1146" s="7">
        <f t="shared" si="4"/>
        <v>-1</v>
      </c>
      <c r="H1146" s="9"/>
      <c r="I1146" s="9">
        <v>1029</v>
      </c>
      <c r="J1146" s="9">
        <v>1013</v>
      </c>
      <c r="K1146" s="9">
        <v>1037</v>
      </c>
      <c r="L1146" s="9">
        <v>1047</v>
      </c>
      <c r="M1146" s="9">
        <v>1052</v>
      </c>
      <c r="N1146" s="9">
        <v>1063</v>
      </c>
      <c r="O1146" s="9">
        <v>1075</v>
      </c>
      <c r="P1146" s="9">
        <v>1068</v>
      </c>
      <c r="Q1146" s="9">
        <v>1062</v>
      </c>
      <c r="R1146" s="9">
        <v>1064</v>
      </c>
      <c r="S1146" s="9">
        <v>1091</v>
      </c>
      <c r="T1146" s="9">
        <v>1085</v>
      </c>
      <c r="U1146" s="9">
        <v>1019</v>
      </c>
      <c r="V1146" s="9">
        <v>1015</v>
      </c>
      <c r="W1146" s="9">
        <v>1004</v>
      </c>
      <c r="X1146" s="9">
        <v>1009</v>
      </c>
      <c r="Y1146" s="9">
        <v>1003</v>
      </c>
      <c r="Z1146" s="9">
        <v>1008</v>
      </c>
      <c r="AA1146" s="9">
        <v>1024</v>
      </c>
      <c r="AB1146" s="9">
        <v>970</v>
      </c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</row>
    <row r="1147" spans="1:47" ht="14.4">
      <c r="A1147" s="3">
        <f>LOOKUP(D1147,'AMFI DATA_2023H2'!F:L,'AMFI DATA_2023H2'!L:L)</f>
        <v>1243</v>
      </c>
      <c r="B1147" s="4" t="s">
        <v>3440</v>
      </c>
      <c r="C1147" s="4" t="s">
        <v>3441</v>
      </c>
      <c r="D1147" s="5" t="s">
        <v>3442</v>
      </c>
      <c r="E1147" s="5">
        <v>744.82</v>
      </c>
      <c r="F1147" s="6">
        <f>LOOKUP(D1147,'AMFI DATA_2023H2'!F:J,'AMFI DATA_2023H2'!J:J)</f>
        <v>931.43100000000004</v>
      </c>
      <c r="G1147" s="7">
        <f t="shared" si="4"/>
        <v>-1</v>
      </c>
      <c r="H1147" s="8"/>
      <c r="I1147" s="8">
        <v>1036</v>
      </c>
      <c r="J1147" s="8">
        <v>1001</v>
      </c>
      <c r="K1147" s="8">
        <v>999</v>
      </c>
      <c r="L1147" s="8">
        <v>1005</v>
      </c>
      <c r="M1147" s="8">
        <v>1030</v>
      </c>
      <c r="N1147" s="8">
        <v>997</v>
      </c>
      <c r="O1147" s="8">
        <v>993</v>
      </c>
      <c r="P1147" s="8">
        <v>1001</v>
      </c>
      <c r="Q1147" s="8">
        <v>992</v>
      </c>
      <c r="R1147" s="8">
        <v>994</v>
      </c>
      <c r="S1147" s="8">
        <v>1005</v>
      </c>
      <c r="T1147" s="8">
        <v>1017</v>
      </c>
      <c r="U1147" s="8">
        <v>995</v>
      </c>
      <c r="V1147" s="8">
        <v>997</v>
      </c>
      <c r="W1147" s="8">
        <v>1008</v>
      </c>
      <c r="X1147" s="8">
        <v>994</v>
      </c>
      <c r="Y1147" s="8">
        <v>995</v>
      </c>
      <c r="Z1147" s="8">
        <v>1000</v>
      </c>
      <c r="AA1147" s="8">
        <v>986</v>
      </c>
      <c r="AB1147" s="8">
        <v>1008</v>
      </c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</row>
    <row r="1148" spans="1:47" ht="14.4">
      <c r="A1148" s="3">
        <f>LOOKUP(D1148,'AMFI DATA_2023H2'!F:L,'AMFI DATA_2023H2'!L:L)</f>
        <v>1244</v>
      </c>
      <c r="B1148" s="4" t="s">
        <v>3443</v>
      </c>
      <c r="C1148" s="4" t="s">
        <v>3444</v>
      </c>
      <c r="D1148" s="5" t="s">
        <v>3445</v>
      </c>
      <c r="E1148" s="5">
        <v>818.8</v>
      </c>
      <c r="F1148" s="6">
        <f>LOOKUP(D1148,'AMFI DATA_2023H2'!F:J,'AMFI DATA_2023H2'!J:J)</f>
        <v>931.25915000000009</v>
      </c>
      <c r="G1148" s="7">
        <f t="shared" si="4"/>
        <v>-1</v>
      </c>
      <c r="H1148" s="8"/>
      <c r="I1148" s="8">
        <v>1083</v>
      </c>
      <c r="J1148" s="8">
        <v>1086</v>
      </c>
      <c r="K1148" s="8">
        <v>1110</v>
      </c>
      <c r="L1148" s="8">
        <v>1100</v>
      </c>
      <c r="M1148" s="8">
        <v>1105</v>
      </c>
      <c r="N1148" s="8">
        <v>1127</v>
      </c>
      <c r="O1148" s="8">
        <v>1101</v>
      </c>
      <c r="P1148" s="8">
        <v>1092</v>
      </c>
      <c r="Q1148" s="8">
        <v>1089</v>
      </c>
      <c r="R1148" s="8">
        <v>1088</v>
      </c>
      <c r="S1148" s="8">
        <v>1108</v>
      </c>
      <c r="T1148" s="8">
        <v>1088</v>
      </c>
      <c r="U1148" s="8">
        <v>1086</v>
      </c>
      <c r="V1148" s="8">
        <v>1083</v>
      </c>
      <c r="W1148" s="8">
        <v>1089</v>
      </c>
      <c r="X1148" s="8">
        <v>1057</v>
      </c>
      <c r="Y1148" s="8">
        <v>1081</v>
      </c>
      <c r="Z1148" s="8">
        <v>1067</v>
      </c>
      <c r="AA1148" s="8">
        <v>1065</v>
      </c>
      <c r="AB1148" s="8">
        <v>1089</v>
      </c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</row>
    <row r="1149" spans="1:47" ht="14.4">
      <c r="A1149" s="3">
        <f>LOOKUP(D1149,'AMFI DATA_2023H2'!F:L,'AMFI DATA_2023H2'!L:L)</f>
        <v>1245</v>
      </c>
      <c r="B1149" s="4" t="s">
        <v>3446</v>
      </c>
      <c r="C1149" s="4" t="s">
        <v>3447</v>
      </c>
      <c r="D1149" s="5" t="s">
        <v>3448</v>
      </c>
      <c r="E1149" s="5">
        <v>675.47</v>
      </c>
      <c r="F1149" s="6">
        <f>LOOKUP(D1149,'AMFI DATA_2023H2'!F:J,'AMFI DATA_2023H2'!J:J)</f>
        <v>928.05029999999999</v>
      </c>
      <c r="G1149" s="7">
        <f t="shared" si="4"/>
        <v>-1</v>
      </c>
      <c r="H1149" s="8"/>
      <c r="I1149" s="8">
        <v>1556</v>
      </c>
      <c r="J1149" s="8">
        <v>1550</v>
      </c>
      <c r="K1149" s="8">
        <v>1526</v>
      </c>
      <c r="L1149" s="8">
        <v>1609</v>
      </c>
      <c r="M1149" s="8">
        <v>1544</v>
      </c>
      <c r="N1149" s="8">
        <v>1289</v>
      </c>
      <c r="O1149" s="8">
        <v>1286</v>
      </c>
      <c r="P1149" s="8">
        <v>1205</v>
      </c>
      <c r="Q1149" s="8">
        <v>1158</v>
      </c>
      <c r="R1149" s="8">
        <v>1151</v>
      </c>
      <c r="S1149" s="8">
        <v>1136</v>
      </c>
      <c r="T1149" s="8">
        <v>1151</v>
      </c>
      <c r="U1149" s="8">
        <v>1162</v>
      </c>
      <c r="V1149" s="8">
        <v>1177</v>
      </c>
      <c r="W1149" s="8">
        <v>1219</v>
      </c>
      <c r="X1149" s="8">
        <v>1148</v>
      </c>
      <c r="Y1149" s="8">
        <v>1155</v>
      </c>
      <c r="Z1149" s="8">
        <v>1191</v>
      </c>
      <c r="AA1149" s="8">
        <v>1221</v>
      </c>
      <c r="AB1149" s="8">
        <v>1248</v>
      </c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</row>
    <row r="1150" spans="1:47" ht="14.4">
      <c r="A1150" s="3">
        <f>LOOKUP(D1150,'AMFI DATA_2023H2'!F:L,'AMFI DATA_2023H2'!L:L)</f>
        <v>1247</v>
      </c>
      <c r="B1150" s="4" t="s">
        <v>3449</v>
      </c>
      <c r="C1150" s="4" t="s">
        <v>3450</v>
      </c>
      <c r="D1150" s="5" t="s">
        <v>3451</v>
      </c>
      <c r="E1150" s="5">
        <v>640.83000000000004</v>
      </c>
      <c r="F1150" s="6">
        <f>LOOKUP(D1150,'AMFI DATA_2023H2'!F:J,'AMFI DATA_2023H2'!J:J)</f>
        <v>922.1231499999999</v>
      </c>
      <c r="G1150" s="7">
        <f t="shared" si="4"/>
        <v>-1</v>
      </c>
      <c r="H1150" s="8"/>
      <c r="I1150" s="8">
        <v>1049</v>
      </c>
      <c r="J1150" s="8">
        <v>1032</v>
      </c>
      <c r="K1150" s="8">
        <v>1058</v>
      </c>
      <c r="L1150" s="8">
        <v>1060</v>
      </c>
      <c r="M1150" s="8">
        <v>1077</v>
      </c>
      <c r="N1150" s="8">
        <v>1084</v>
      </c>
      <c r="O1150" s="8">
        <v>1074</v>
      </c>
      <c r="P1150" s="8">
        <v>1074</v>
      </c>
      <c r="Q1150" s="8">
        <v>1071</v>
      </c>
      <c r="R1150" s="8">
        <v>1085</v>
      </c>
      <c r="S1150" s="8">
        <v>1088</v>
      </c>
      <c r="T1150" s="8">
        <v>1102</v>
      </c>
      <c r="U1150" s="8">
        <v>1096</v>
      </c>
      <c r="V1150" s="8">
        <v>1069</v>
      </c>
      <c r="W1150" s="8">
        <v>1070</v>
      </c>
      <c r="X1150" s="8">
        <v>1065</v>
      </c>
      <c r="Y1150" s="8">
        <v>1070</v>
      </c>
      <c r="Z1150" s="8">
        <v>1083</v>
      </c>
      <c r="AA1150" s="8">
        <v>1116</v>
      </c>
      <c r="AB1150" s="8">
        <v>1098</v>
      </c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</row>
    <row r="1151" spans="1:47" ht="14.4">
      <c r="A1151" s="3">
        <f>LOOKUP(D1151,'AMFI DATA_2023H2'!F:L,'AMFI DATA_2023H2'!L:L)</f>
        <v>1248</v>
      </c>
      <c r="B1151" s="4" t="s">
        <v>3452</v>
      </c>
      <c r="C1151" s="4" t="s">
        <v>3453</v>
      </c>
      <c r="D1151" s="5" t="s">
        <v>3454</v>
      </c>
      <c r="E1151" s="5">
        <v>529.14</v>
      </c>
      <c r="F1151" s="6">
        <f>LOOKUP(D1151,'AMFI DATA_2023H2'!F:J,'AMFI DATA_2023H2'!J:J)</f>
        <v>920.84960000000001</v>
      </c>
      <c r="G1151" s="7">
        <f t="shared" si="4"/>
        <v>-1</v>
      </c>
      <c r="H1151" s="8"/>
      <c r="I1151" s="8">
        <v>1242</v>
      </c>
      <c r="J1151" s="8">
        <v>1199</v>
      </c>
      <c r="K1151" s="8">
        <v>1205</v>
      </c>
      <c r="L1151" s="8">
        <v>1231</v>
      </c>
      <c r="M1151" s="8">
        <v>1257</v>
      </c>
      <c r="N1151" s="8">
        <v>1270</v>
      </c>
      <c r="O1151" s="8">
        <v>1283</v>
      </c>
      <c r="P1151" s="8">
        <v>1277</v>
      </c>
      <c r="Q1151" s="8">
        <v>1292</v>
      </c>
      <c r="R1151" s="8">
        <v>1278</v>
      </c>
      <c r="S1151" s="8">
        <v>1290</v>
      </c>
      <c r="T1151" s="8">
        <v>1309</v>
      </c>
      <c r="U1151" s="8">
        <v>1298</v>
      </c>
      <c r="V1151" s="8">
        <v>1325</v>
      </c>
      <c r="W1151" s="8">
        <v>1336</v>
      </c>
      <c r="X1151" s="8">
        <v>1316</v>
      </c>
      <c r="Y1151" s="8">
        <v>1254</v>
      </c>
      <c r="Z1151" s="8">
        <v>1278</v>
      </c>
      <c r="AA1151" s="8">
        <v>1289</v>
      </c>
      <c r="AB1151" s="8">
        <v>1266</v>
      </c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</row>
    <row r="1152" spans="1:47" ht="14.4">
      <c r="A1152" s="3">
        <f>LOOKUP(D1152,'AMFI DATA_2023H2'!F:L,'AMFI DATA_2023H2'!L:L)</f>
        <v>1249</v>
      </c>
      <c r="B1152" s="4" t="s">
        <v>3455</v>
      </c>
      <c r="C1152" s="4" t="s">
        <v>3456</v>
      </c>
      <c r="D1152" s="5" t="s">
        <v>3457</v>
      </c>
      <c r="E1152" s="5">
        <v>638.19000000000005</v>
      </c>
      <c r="F1152" s="6">
        <f>LOOKUP(D1152,'AMFI DATA_2023H2'!F:J,'AMFI DATA_2023H2'!J:J)</f>
        <v>920.80109999999991</v>
      </c>
      <c r="G1152" s="7">
        <f t="shared" si="4"/>
        <v>-1</v>
      </c>
      <c r="H1152" s="9"/>
      <c r="I1152" s="9">
        <v>870</v>
      </c>
      <c r="J1152" s="9">
        <v>880</v>
      </c>
      <c r="K1152" s="9">
        <v>880</v>
      </c>
      <c r="L1152" s="9">
        <v>881</v>
      </c>
      <c r="M1152" s="9">
        <v>894</v>
      </c>
      <c r="N1152" s="9">
        <v>907</v>
      </c>
      <c r="O1152" s="9">
        <v>911</v>
      </c>
      <c r="P1152" s="9">
        <v>913</v>
      </c>
      <c r="Q1152" s="9">
        <v>909</v>
      </c>
      <c r="R1152" s="9">
        <v>906</v>
      </c>
      <c r="S1152" s="9">
        <v>912</v>
      </c>
      <c r="T1152" s="9">
        <v>920</v>
      </c>
      <c r="U1152" s="9">
        <v>909</v>
      </c>
      <c r="V1152" s="9">
        <v>921</v>
      </c>
      <c r="W1152" s="9">
        <v>930</v>
      </c>
      <c r="X1152" s="9">
        <v>911</v>
      </c>
      <c r="Y1152" s="9">
        <v>906</v>
      </c>
      <c r="Z1152" s="9">
        <v>906</v>
      </c>
      <c r="AA1152" s="9">
        <v>907</v>
      </c>
      <c r="AB1152" s="9">
        <v>925</v>
      </c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</row>
    <row r="1153" spans="1:47" ht="14.4">
      <c r="A1153" s="3">
        <f>LOOKUP(D1153,'AMFI DATA_2023H2'!F:L,'AMFI DATA_2023H2'!L:L)</f>
        <v>1251</v>
      </c>
      <c r="B1153" s="4" t="s">
        <v>3458</v>
      </c>
      <c r="C1153" s="4" t="s">
        <v>3459</v>
      </c>
      <c r="D1153" s="5" t="s">
        <v>3460</v>
      </c>
      <c r="E1153" s="5">
        <v>829.4</v>
      </c>
      <c r="F1153" s="6">
        <f>LOOKUP(D1153,'AMFI DATA_2023H2'!F:J,'AMFI DATA_2023H2'!J:J)</f>
        <v>915.90309999999999</v>
      </c>
      <c r="G1153" s="7">
        <f t="shared" si="4"/>
        <v>-1</v>
      </c>
      <c r="H1153" s="9"/>
      <c r="I1153" s="9">
        <v>1029</v>
      </c>
      <c r="J1153" s="9">
        <v>995</v>
      </c>
      <c r="K1153" s="9">
        <v>1011</v>
      </c>
      <c r="L1153" s="9">
        <v>1025</v>
      </c>
      <c r="M1153" s="9">
        <v>1039</v>
      </c>
      <c r="N1153" s="9">
        <v>1054</v>
      </c>
      <c r="O1153" s="9">
        <v>1081</v>
      </c>
      <c r="P1153" s="9">
        <v>1064</v>
      </c>
      <c r="Q1153" s="9">
        <v>1059</v>
      </c>
      <c r="R1153" s="9">
        <v>1084</v>
      </c>
      <c r="S1153" s="9">
        <v>1020</v>
      </c>
      <c r="T1153" s="9">
        <v>1021</v>
      </c>
      <c r="U1153" s="9">
        <v>1030</v>
      </c>
      <c r="V1153" s="9">
        <v>1017</v>
      </c>
      <c r="W1153" s="9">
        <v>1022</v>
      </c>
      <c r="X1153" s="9">
        <v>1023</v>
      </c>
      <c r="Y1153" s="9">
        <v>1033</v>
      </c>
      <c r="Z1153" s="9">
        <v>1020</v>
      </c>
      <c r="AA1153" s="9">
        <v>1022</v>
      </c>
      <c r="AB1153" s="9">
        <v>978</v>
      </c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</row>
    <row r="1154" spans="1:47" ht="14.4">
      <c r="A1154" s="3">
        <f>LOOKUP(D1154,'AMFI DATA_2023H2'!F:L,'AMFI DATA_2023H2'!L:L)</f>
        <v>1252</v>
      </c>
      <c r="B1154" s="4" t="s">
        <v>3461</v>
      </c>
      <c r="C1154" s="4" t="s">
        <v>3462</v>
      </c>
      <c r="D1154" s="5" t="s">
        <v>3463</v>
      </c>
      <c r="E1154" s="5">
        <v>863.44</v>
      </c>
      <c r="F1154" s="6">
        <f>LOOKUP(D1154,'AMFI DATA_2023H2'!F:J,'AMFI DATA_2023H2'!J:J)</f>
        <v>912.80259999999998</v>
      </c>
      <c r="G1154" s="7">
        <f t="shared" si="4"/>
        <v>-1</v>
      </c>
      <c r="H1154" s="9"/>
      <c r="I1154" s="9">
        <v>1006</v>
      </c>
      <c r="J1154" s="9">
        <v>997</v>
      </c>
      <c r="K1154" s="9">
        <v>994</v>
      </c>
      <c r="L1154" s="9">
        <v>1018</v>
      </c>
      <c r="M1154" s="9">
        <v>1043</v>
      </c>
      <c r="N1154" s="9">
        <v>1053</v>
      </c>
      <c r="O1154" s="9">
        <v>1051</v>
      </c>
      <c r="P1154" s="9">
        <v>1062</v>
      </c>
      <c r="Q1154" s="9">
        <v>1047</v>
      </c>
      <c r="R1154" s="9">
        <v>1029</v>
      </c>
      <c r="S1154" s="9">
        <v>1004</v>
      </c>
      <c r="T1154" s="9">
        <v>1019</v>
      </c>
      <c r="U1154" s="9">
        <v>1017</v>
      </c>
      <c r="V1154" s="9">
        <v>976</v>
      </c>
      <c r="W1154" s="9">
        <v>979</v>
      </c>
      <c r="X1154" s="9">
        <v>984</v>
      </c>
      <c r="Y1154" s="9">
        <v>989</v>
      </c>
      <c r="Z1154" s="9">
        <v>984</v>
      </c>
      <c r="AA1154" s="9">
        <v>975</v>
      </c>
      <c r="AB1154" s="9">
        <v>997</v>
      </c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</row>
    <row r="1155" spans="1:47" ht="14.4">
      <c r="A1155" s="3">
        <f>LOOKUP(D1155,'AMFI DATA_2023H2'!F:L,'AMFI DATA_2023H2'!L:L)</f>
        <v>1253</v>
      </c>
      <c r="B1155" s="4" t="s">
        <v>3464</v>
      </c>
      <c r="C1155" s="4" t="s">
        <v>3465</v>
      </c>
      <c r="D1155" s="5" t="s">
        <v>3466</v>
      </c>
      <c r="E1155" s="5">
        <v>756.06</v>
      </c>
      <c r="F1155" s="6">
        <f>LOOKUP(D1155,'AMFI DATA_2023H2'!F:J,'AMFI DATA_2023H2'!J:J)</f>
        <v>911.16430000000003</v>
      </c>
      <c r="G1155" s="7">
        <f t="shared" si="4"/>
        <v>-1</v>
      </c>
      <c r="H1155" s="9"/>
      <c r="I1155" s="9">
        <v>1027</v>
      </c>
      <c r="J1155" s="9">
        <v>1046</v>
      </c>
      <c r="K1155" s="9">
        <v>1028</v>
      </c>
      <c r="L1155" s="9">
        <v>1043</v>
      </c>
      <c r="M1155" s="9">
        <v>1112</v>
      </c>
      <c r="N1155" s="9">
        <v>1152</v>
      </c>
      <c r="O1155" s="9">
        <v>1136</v>
      </c>
      <c r="P1155" s="9">
        <v>1135</v>
      </c>
      <c r="Q1155" s="9">
        <v>1176</v>
      </c>
      <c r="R1155" s="9">
        <v>1144</v>
      </c>
      <c r="S1155" s="9">
        <v>1175</v>
      </c>
      <c r="T1155" s="9">
        <v>1220</v>
      </c>
      <c r="U1155" s="9">
        <v>1154</v>
      </c>
      <c r="V1155" s="9">
        <v>1054</v>
      </c>
      <c r="W1155" s="9">
        <v>1057</v>
      </c>
      <c r="X1155" s="9">
        <v>1029</v>
      </c>
      <c r="Y1155" s="9">
        <v>1033</v>
      </c>
      <c r="Z1155" s="9">
        <v>1035</v>
      </c>
      <c r="AA1155" s="9">
        <v>1056</v>
      </c>
      <c r="AB1155" s="9">
        <v>973</v>
      </c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</row>
    <row r="1156" spans="1:47" ht="14.4">
      <c r="A1156" s="3">
        <f>LOOKUP(D1156,'AMFI DATA_2023H2'!F:L,'AMFI DATA_2023H2'!L:L)</f>
        <v>1254</v>
      </c>
      <c r="B1156" s="4" t="s">
        <v>3467</v>
      </c>
      <c r="C1156" s="4" t="s">
        <v>3468</v>
      </c>
      <c r="D1156" s="5" t="s">
        <v>3469</v>
      </c>
      <c r="E1156" s="5">
        <v>494.76</v>
      </c>
      <c r="F1156" s="6">
        <f>LOOKUP(D1156,'AMFI DATA_2023H2'!F:J,'AMFI DATA_2023H2'!J:J)</f>
        <v>910.4316</v>
      </c>
      <c r="G1156" s="7">
        <f t="shared" si="4"/>
        <v>-1</v>
      </c>
      <c r="H1156" s="8"/>
      <c r="I1156" s="8">
        <v>1134</v>
      </c>
      <c r="J1156" s="8">
        <v>1149</v>
      </c>
      <c r="K1156" s="8">
        <v>1148</v>
      </c>
      <c r="L1156" s="8">
        <v>1171</v>
      </c>
      <c r="M1156" s="8">
        <v>1182</v>
      </c>
      <c r="N1156" s="8">
        <v>1189</v>
      </c>
      <c r="O1156" s="8">
        <v>1188</v>
      </c>
      <c r="P1156" s="8">
        <v>1169</v>
      </c>
      <c r="Q1156" s="8">
        <v>1181</v>
      </c>
      <c r="R1156" s="8">
        <v>1213</v>
      </c>
      <c r="S1156" s="8">
        <v>1217</v>
      </c>
      <c r="T1156" s="8">
        <v>1220</v>
      </c>
      <c r="U1156" s="8">
        <v>1129</v>
      </c>
      <c r="V1156" s="8">
        <v>1032</v>
      </c>
      <c r="W1156" s="8">
        <v>1050</v>
      </c>
      <c r="X1156" s="8">
        <v>1004</v>
      </c>
      <c r="Y1156" s="8">
        <v>1024</v>
      </c>
      <c r="Z1156" s="8">
        <v>1008</v>
      </c>
      <c r="AA1156" s="8">
        <v>1022</v>
      </c>
      <c r="AB1156" s="8">
        <v>1000</v>
      </c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</row>
    <row r="1157" spans="1:47" ht="14.4">
      <c r="A1157" s="3">
        <f>LOOKUP(D1157,'AMFI DATA_2023H2'!F:L,'AMFI DATA_2023H2'!L:L)</f>
        <v>1255</v>
      </c>
      <c r="B1157" s="4" t="s">
        <v>3470</v>
      </c>
      <c r="C1157" s="4" t="s">
        <v>3471</v>
      </c>
      <c r="D1157" s="5" t="s">
        <v>3472</v>
      </c>
      <c r="E1157" s="5">
        <v>838.56</v>
      </c>
      <c r="F1157" s="6">
        <f>LOOKUP(D1157,'AMFI DATA_2023H2'!F:J,'AMFI DATA_2023H2'!J:J)</f>
        <v>910.02874999999995</v>
      </c>
      <c r="G1157" s="7">
        <f t="shared" si="4"/>
        <v>-1</v>
      </c>
      <c r="H1157" s="9"/>
      <c r="I1157" s="9">
        <v>885</v>
      </c>
      <c r="J1157" s="9">
        <v>868</v>
      </c>
      <c r="K1157" s="9">
        <v>870</v>
      </c>
      <c r="L1157" s="9">
        <v>879</v>
      </c>
      <c r="M1157" s="9">
        <v>891</v>
      </c>
      <c r="N1157" s="9">
        <v>890</v>
      </c>
      <c r="O1157" s="9">
        <v>899</v>
      </c>
      <c r="P1157" s="9">
        <v>865</v>
      </c>
      <c r="Q1157" s="9">
        <v>869</v>
      </c>
      <c r="R1157" s="9">
        <v>878</v>
      </c>
      <c r="S1157" s="9">
        <v>875</v>
      </c>
      <c r="T1157" s="9">
        <v>881</v>
      </c>
      <c r="U1157" s="9">
        <v>871</v>
      </c>
      <c r="V1157" s="9">
        <v>865</v>
      </c>
      <c r="W1157" s="9">
        <v>860</v>
      </c>
      <c r="X1157" s="9">
        <v>860</v>
      </c>
      <c r="Y1157" s="9">
        <v>869</v>
      </c>
      <c r="Z1157" s="9">
        <v>875</v>
      </c>
      <c r="AA1157" s="9">
        <v>871</v>
      </c>
      <c r="AB1157" s="9">
        <v>858</v>
      </c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</row>
    <row r="1158" spans="1:47" ht="14.4">
      <c r="A1158" s="3">
        <f>LOOKUP(D1158,'AMFI DATA_2023H2'!F:L,'AMFI DATA_2023H2'!L:L)</f>
        <v>1256</v>
      </c>
      <c r="B1158" s="4" t="s">
        <v>3473</v>
      </c>
      <c r="C1158" s="4" t="s">
        <v>3474</v>
      </c>
      <c r="D1158" s="5" t="s">
        <v>3475</v>
      </c>
      <c r="E1158" s="5">
        <v>591.24</v>
      </c>
      <c r="F1158" s="6">
        <f>LOOKUP(D1158,'AMFI DATA_2023H2'!F:J,'AMFI DATA_2023H2'!J:J)</f>
        <v>899.52779999999996</v>
      </c>
      <c r="G1158" s="7">
        <f t="shared" si="4"/>
        <v>-1</v>
      </c>
      <c r="H1158" s="9"/>
      <c r="I1158" s="9">
        <v>815</v>
      </c>
      <c r="J1158" s="9">
        <v>813</v>
      </c>
      <c r="K1158" s="9">
        <v>820</v>
      </c>
      <c r="L1158" s="9">
        <v>827</v>
      </c>
      <c r="M1158" s="9">
        <v>837</v>
      </c>
      <c r="N1158" s="9">
        <v>832</v>
      </c>
      <c r="O1158" s="9">
        <v>851</v>
      </c>
      <c r="P1158" s="9">
        <v>840</v>
      </c>
      <c r="Q1158" s="9">
        <v>855</v>
      </c>
      <c r="R1158" s="9">
        <v>850</v>
      </c>
      <c r="S1158" s="9">
        <v>834</v>
      </c>
      <c r="T1158" s="9">
        <v>827</v>
      </c>
      <c r="U1158" s="9">
        <v>798</v>
      </c>
      <c r="V1158" s="9">
        <v>800</v>
      </c>
      <c r="W1158" s="9">
        <v>805</v>
      </c>
      <c r="X1158" s="9">
        <v>822</v>
      </c>
      <c r="Y1158" s="9">
        <v>820</v>
      </c>
      <c r="Z1158" s="9">
        <v>820</v>
      </c>
      <c r="AA1158" s="9">
        <v>822</v>
      </c>
      <c r="AB1158" s="9">
        <v>828</v>
      </c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</row>
    <row r="1159" spans="1:47" ht="14.4">
      <c r="A1159" s="3">
        <f>LOOKUP(D1159,'AMFI DATA_2023H2'!F:L,'AMFI DATA_2023H2'!L:L)</f>
        <v>1258</v>
      </c>
      <c r="B1159" s="4" t="s">
        <v>3476</v>
      </c>
      <c r="C1159" s="4" t="s">
        <v>3477</v>
      </c>
      <c r="D1159" s="5" t="s">
        <v>3478</v>
      </c>
      <c r="E1159" s="5">
        <v>817.84</v>
      </c>
      <c r="F1159" s="6">
        <f>LOOKUP(D1159,'AMFI DATA_2023H2'!F:J,'AMFI DATA_2023H2'!J:J)</f>
        <v>892.56670000000008</v>
      </c>
      <c r="G1159" s="7">
        <f t="shared" si="4"/>
        <v>-1</v>
      </c>
      <c r="H1159" s="8"/>
      <c r="I1159" s="8">
        <v>1005</v>
      </c>
      <c r="J1159" s="8">
        <v>1002</v>
      </c>
      <c r="K1159" s="8">
        <v>1005</v>
      </c>
      <c r="L1159" s="8">
        <v>1032</v>
      </c>
      <c r="M1159" s="8">
        <v>1037</v>
      </c>
      <c r="N1159" s="8">
        <v>1061</v>
      </c>
      <c r="O1159" s="8">
        <v>1063</v>
      </c>
      <c r="P1159" s="8">
        <v>1077</v>
      </c>
      <c r="Q1159" s="8">
        <v>1065</v>
      </c>
      <c r="R1159" s="8">
        <v>1064</v>
      </c>
      <c r="S1159" s="8">
        <v>1004</v>
      </c>
      <c r="T1159" s="8">
        <v>1021</v>
      </c>
      <c r="U1159" s="8">
        <v>990</v>
      </c>
      <c r="V1159" s="8">
        <v>1005</v>
      </c>
      <c r="W1159" s="8">
        <v>970</v>
      </c>
      <c r="X1159" s="8">
        <v>953</v>
      </c>
      <c r="Y1159" s="8">
        <v>949</v>
      </c>
      <c r="Z1159" s="8">
        <v>965</v>
      </c>
      <c r="AA1159" s="8">
        <v>985</v>
      </c>
      <c r="AB1159" s="8">
        <v>1011</v>
      </c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</row>
    <row r="1160" spans="1:47" ht="14.4">
      <c r="A1160" s="3">
        <f>LOOKUP(D1160,'AMFI DATA_2023H2'!F:L,'AMFI DATA_2023H2'!L:L)</f>
        <v>1260</v>
      </c>
      <c r="B1160" s="4" t="s">
        <v>3479</v>
      </c>
      <c r="C1160" s="4" t="s">
        <v>3480</v>
      </c>
      <c r="D1160" s="5" t="s">
        <v>3481</v>
      </c>
      <c r="E1160" s="5">
        <v>550.80999999999995</v>
      </c>
      <c r="F1160" s="6">
        <f>LOOKUP(D1160,'AMFI DATA_2023H2'!F:J,'AMFI DATA_2023H2'!J:J)</f>
        <v>890.85194999999999</v>
      </c>
      <c r="G1160" s="7">
        <f t="shared" si="4"/>
        <v>-1</v>
      </c>
      <c r="H1160" s="9"/>
      <c r="I1160" s="9">
        <v>880</v>
      </c>
      <c r="J1160" s="9">
        <v>871</v>
      </c>
      <c r="K1160" s="9">
        <v>871</v>
      </c>
      <c r="L1160" s="9">
        <v>887</v>
      </c>
      <c r="M1160" s="9">
        <v>891</v>
      </c>
      <c r="N1160" s="9">
        <v>889</v>
      </c>
      <c r="O1160" s="9">
        <v>884</v>
      </c>
      <c r="P1160" s="9">
        <v>893</v>
      </c>
      <c r="Q1160" s="9">
        <v>911</v>
      </c>
      <c r="R1160" s="9">
        <v>894</v>
      </c>
      <c r="S1160" s="9">
        <v>894</v>
      </c>
      <c r="T1160" s="9">
        <v>878</v>
      </c>
      <c r="U1160" s="9">
        <v>870</v>
      </c>
      <c r="V1160" s="9">
        <v>870</v>
      </c>
      <c r="W1160" s="9">
        <v>880</v>
      </c>
      <c r="X1160" s="9">
        <v>896</v>
      </c>
      <c r="Y1160" s="9">
        <v>909</v>
      </c>
      <c r="Z1160" s="9">
        <v>924</v>
      </c>
      <c r="AA1160" s="9">
        <v>928</v>
      </c>
      <c r="AB1160" s="9">
        <v>923</v>
      </c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</row>
    <row r="1161" spans="1:47" ht="14.4">
      <c r="A1161" s="3">
        <f>LOOKUP(D1161,'AMFI DATA_2023H2'!F:L,'AMFI DATA_2023H2'!L:L)</f>
        <v>1262</v>
      </c>
      <c r="B1161" s="4" t="s">
        <v>3482</v>
      </c>
      <c r="C1161" s="4" t="s">
        <v>3483</v>
      </c>
      <c r="D1161" s="5" t="s">
        <v>3484</v>
      </c>
      <c r="E1161" s="5">
        <v>696.36</v>
      </c>
      <c r="F1161" s="6">
        <f>LOOKUP(D1161,'AMFI DATA_2023H2'!F:J,'AMFI DATA_2023H2'!J:J)</f>
        <v>882.60879999999997</v>
      </c>
      <c r="G1161" s="7">
        <f t="shared" si="4"/>
        <v>-1</v>
      </c>
      <c r="H1161" s="9"/>
      <c r="I1161" s="9">
        <v>1059</v>
      </c>
      <c r="J1161" s="9">
        <v>899</v>
      </c>
      <c r="K1161" s="9">
        <v>906</v>
      </c>
      <c r="L1161" s="9">
        <v>900</v>
      </c>
      <c r="M1161" s="9">
        <v>916</v>
      </c>
      <c r="N1161" s="9">
        <v>908</v>
      </c>
      <c r="O1161" s="9">
        <v>906</v>
      </c>
      <c r="P1161" s="9">
        <v>902</v>
      </c>
      <c r="Q1161" s="9">
        <v>919</v>
      </c>
      <c r="R1161" s="9">
        <v>919</v>
      </c>
      <c r="S1161" s="9">
        <v>928</v>
      </c>
      <c r="T1161" s="9">
        <v>939</v>
      </c>
      <c r="U1161" s="9">
        <v>923</v>
      </c>
      <c r="V1161" s="9">
        <v>928</v>
      </c>
      <c r="W1161" s="9">
        <v>932</v>
      </c>
      <c r="X1161" s="9">
        <v>927</v>
      </c>
      <c r="Y1161" s="9">
        <v>934</v>
      </c>
      <c r="Z1161" s="9">
        <v>950</v>
      </c>
      <c r="AA1161" s="9">
        <v>949</v>
      </c>
      <c r="AB1161" s="9">
        <v>888</v>
      </c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</row>
    <row r="1162" spans="1:47" ht="14.4">
      <c r="A1162" s="3">
        <f>LOOKUP(D1162,'AMFI DATA_2023H2'!F:L,'AMFI DATA_2023H2'!L:L)</f>
        <v>1263</v>
      </c>
      <c r="B1162" s="4" t="s">
        <v>3485</v>
      </c>
      <c r="C1162" s="4" t="s">
        <v>3486</v>
      </c>
      <c r="D1162" s="5" t="s">
        <v>3487</v>
      </c>
      <c r="E1162" s="5">
        <v>607.73</v>
      </c>
      <c r="F1162" s="6">
        <f>LOOKUP(D1162,'AMFI DATA_2023H2'!F:J,'AMFI DATA_2023H2'!J:J)</f>
        <v>880.81989999999996</v>
      </c>
      <c r="G1162" s="7">
        <f t="shared" si="4"/>
        <v>-1</v>
      </c>
      <c r="H1162" s="8"/>
      <c r="I1162" s="8">
        <v>1183</v>
      </c>
      <c r="J1162" s="8">
        <v>1184</v>
      </c>
      <c r="K1162" s="8">
        <v>1177</v>
      </c>
      <c r="L1162" s="8">
        <v>1197</v>
      </c>
      <c r="M1162" s="8">
        <v>1214</v>
      </c>
      <c r="N1162" s="8">
        <v>1236</v>
      </c>
      <c r="O1162" s="8">
        <v>1236</v>
      </c>
      <c r="P1162" s="8">
        <v>1269</v>
      </c>
      <c r="Q1162" s="8">
        <v>1252</v>
      </c>
      <c r="R1162" s="8">
        <v>1292</v>
      </c>
      <c r="S1162" s="8">
        <v>1137</v>
      </c>
      <c r="T1162" s="8">
        <v>1120</v>
      </c>
      <c r="U1162" s="8">
        <v>1092</v>
      </c>
      <c r="V1162" s="8">
        <v>1070</v>
      </c>
      <c r="W1162" s="8">
        <v>1080</v>
      </c>
      <c r="X1162" s="8">
        <v>1058</v>
      </c>
      <c r="Y1162" s="8">
        <v>1059</v>
      </c>
      <c r="Z1162" s="8">
        <v>1043</v>
      </c>
      <c r="AA1162" s="8">
        <v>1066</v>
      </c>
      <c r="AB1162" s="8">
        <v>1053</v>
      </c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</row>
    <row r="1163" spans="1:47" ht="14.4">
      <c r="A1163" s="3">
        <f>LOOKUP(D1163,'AMFI DATA_2023H2'!F:L,'AMFI DATA_2023H2'!L:L)</f>
        <v>1264</v>
      </c>
      <c r="B1163" s="4" t="s">
        <v>3488</v>
      </c>
      <c r="C1163" s="4" t="s">
        <v>3489</v>
      </c>
      <c r="D1163" s="5" t="s">
        <v>3490</v>
      </c>
      <c r="E1163" s="5">
        <v>655.86</v>
      </c>
      <c r="F1163" s="6">
        <f>LOOKUP(D1163,'AMFI DATA_2023H2'!F:J,'AMFI DATA_2023H2'!J:J)</f>
        <v>878.12040000000002</v>
      </c>
      <c r="G1163" s="7">
        <f t="shared" si="4"/>
        <v>-1</v>
      </c>
      <c r="H1163" s="8"/>
      <c r="I1163" s="8">
        <v>1474</v>
      </c>
      <c r="J1163" s="8">
        <v>1438</v>
      </c>
      <c r="K1163" s="8">
        <v>1437</v>
      </c>
      <c r="L1163" s="8">
        <v>1467</v>
      </c>
      <c r="M1163" s="8">
        <v>1497</v>
      </c>
      <c r="N1163" s="8">
        <v>1537</v>
      </c>
      <c r="O1163" s="8">
        <v>1556</v>
      </c>
      <c r="P1163" s="8">
        <v>1560</v>
      </c>
      <c r="Q1163" s="8">
        <v>1642</v>
      </c>
      <c r="R1163" s="8">
        <v>1668</v>
      </c>
      <c r="S1163" s="8">
        <v>1473</v>
      </c>
      <c r="T1163" s="8">
        <v>1480</v>
      </c>
      <c r="U1163" s="8">
        <v>1480</v>
      </c>
      <c r="V1163" s="8">
        <v>1499</v>
      </c>
      <c r="W1163" s="8">
        <v>1482</v>
      </c>
      <c r="X1163" s="8">
        <v>1414</v>
      </c>
      <c r="Y1163" s="8">
        <v>1394</v>
      </c>
      <c r="Z1163" s="8">
        <v>1424</v>
      </c>
      <c r="AA1163" s="8">
        <v>1332</v>
      </c>
      <c r="AB1163" s="8">
        <v>1109</v>
      </c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</row>
    <row r="1164" spans="1:47" ht="14.4">
      <c r="A1164" s="3">
        <f>LOOKUP(D1164,'AMFI DATA_2023H2'!F:L,'AMFI DATA_2023H2'!L:L)</f>
        <v>1265</v>
      </c>
      <c r="B1164" s="4" t="s">
        <v>3491</v>
      </c>
      <c r="C1164" s="4" t="s">
        <v>3492</v>
      </c>
      <c r="D1164" s="5" t="s">
        <v>3493</v>
      </c>
      <c r="E1164" s="5">
        <v>490.53</v>
      </c>
      <c r="F1164" s="6">
        <f>LOOKUP(D1164,'AMFI DATA_2023H2'!F:J,'AMFI DATA_2023H2'!J:J)</f>
        <v>875.43740000000003</v>
      </c>
      <c r="G1164" s="7">
        <f t="shared" si="4"/>
        <v>-1</v>
      </c>
      <c r="H1164" s="8"/>
      <c r="I1164" s="8">
        <v>958</v>
      </c>
      <c r="J1164" s="8">
        <v>953</v>
      </c>
      <c r="K1164" s="8">
        <v>967</v>
      </c>
      <c r="L1164" s="8">
        <v>974</v>
      </c>
      <c r="M1164" s="8">
        <v>976</v>
      </c>
      <c r="N1164" s="8">
        <v>982</v>
      </c>
      <c r="O1164" s="8">
        <v>971</v>
      </c>
      <c r="P1164" s="8">
        <v>972</v>
      </c>
      <c r="Q1164" s="8">
        <v>969</v>
      </c>
      <c r="R1164" s="8">
        <v>973</v>
      </c>
      <c r="S1164" s="8">
        <v>993</v>
      </c>
      <c r="T1164" s="8">
        <v>965</v>
      </c>
      <c r="U1164" s="8">
        <v>974</v>
      </c>
      <c r="V1164" s="8">
        <v>965</v>
      </c>
      <c r="W1164" s="8">
        <v>970</v>
      </c>
      <c r="X1164" s="8">
        <v>973</v>
      </c>
      <c r="Y1164" s="8">
        <v>981</v>
      </c>
      <c r="Z1164" s="8">
        <v>990</v>
      </c>
      <c r="AA1164" s="8">
        <v>1000</v>
      </c>
      <c r="AB1164" s="8">
        <v>1004</v>
      </c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</row>
    <row r="1165" spans="1:47" ht="14.4">
      <c r="A1165" s="3">
        <f>LOOKUP(D1165,'AMFI DATA_2023H2'!F:L,'AMFI DATA_2023H2'!L:L)</f>
        <v>1270</v>
      </c>
      <c r="B1165" s="4" t="s">
        <v>3494</v>
      </c>
      <c r="C1165" s="4" t="s">
        <v>3495</v>
      </c>
      <c r="D1165" s="5" t="s">
        <v>3496</v>
      </c>
      <c r="E1165" s="5">
        <v>715.35</v>
      </c>
      <c r="F1165" s="6">
        <f>LOOKUP(D1165,'AMFI DATA_2023H2'!F:J,'AMFI DATA_2023H2'!J:J)</f>
        <v>869.6046044499999</v>
      </c>
      <c r="G1165" s="7">
        <f t="shared" si="4"/>
        <v>-1</v>
      </c>
      <c r="H1165" s="8"/>
      <c r="I1165" s="8">
        <v>982</v>
      </c>
      <c r="J1165" s="8">
        <v>973</v>
      </c>
      <c r="K1165" s="8">
        <v>985</v>
      </c>
      <c r="L1165" s="8">
        <v>1002</v>
      </c>
      <c r="M1165" s="8">
        <v>999</v>
      </c>
      <c r="N1165" s="8">
        <v>1003</v>
      </c>
      <c r="O1165" s="8">
        <v>997</v>
      </c>
      <c r="P1165" s="8">
        <v>1003</v>
      </c>
      <c r="Q1165" s="8">
        <v>1004</v>
      </c>
      <c r="R1165" s="8">
        <v>991</v>
      </c>
      <c r="S1165" s="8">
        <v>1013</v>
      </c>
      <c r="T1165" s="8">
        <v>1009</v>
      </c>
      <c r="U1165" s="8">
        <v>1013</v>
      </c>
      <c r="V1165" s="8">
        <v>1010</v>
      </c>
      <c r="W1165" s="8">
        <v>1038</v>
      </c>
      <c r="X1165" s="8">
        <v>1034</v>
      </c>
      <c r="Y1165" s="8">
        <v>1058</v>
      </c>
      <c r="Z1165" s="8">
        <v>993</v>
      </c>
      <c r="AA1165" s="8">
        <v>1001</v>
      </c>
      <c r="AB1165" s="8">
        <v>1007</v>
      </c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</row>
    <row r="1166" spans="1:47" ht="14.4">
      <c r="A1166" s="3">
        <f>LOOKUP(D1166,'AMFI DATA_2023H2'!F:L,'AMFI DATA_2023H2'!L:L)</f>
        <v>1271</v>
      </c>
      <c r="B1166" s="4" t="s">
        <v>3497</v>
      </c>
      <c r="C1166" s="4" t="s">
        <v>3498</v>
      </c>
      <c r="D1166" s="5" t="s">
        <v>3499</v>
      </c>
      <c r="E1166" s="5">
        <v>489.74</v>
      </c>
      <c r="F1166" s="6">
        <f>LOOKUP(D1166,'AMFI DATA_2023H2'!F:J,'AMFI DATA_2023H2'!J:J)</f>
        <v>869.48270000000002</v>
      </c>
      <c r="G1166" s="7">
        <f t="shared" si="4"/>
        <v>-1</v>
      </c>
      <c r="H1166" s="9"/>
      <c r="I1166" s="9">
        <v>895</v>
      </c>
      <c r="J1166" s="9">
        <v>904</v>
      </c>
      <c r="K1166" s="9">
        <v>918</v>
      </c>
      <c r="L1166" s="9">
        <v>928</v>
      </c>
      <c r="M1166" s="9">
        <v>906</v>
      </c>
      <c r="N1166" s="9">
        <v>909</v>
      </c>
      <c r="O1166" s="9">
        <v>920</v>
      </c>
      <c r="P1166" s="9">
        <v>917</v>
      </c>
      <c r="Q1166" s="9">
        <v>930</v>
      </c>
      <c r="R1166" s="9">
        <v>935</v>
      </c>
      <c r="S1166" s="9">
        <v>948</v>
      </c>
      <c r="T1166" s="9">
        <v>952</v>
      </c>
      <c r="U1166" s="9">
        <v>952</v>
      </c>
      <c r="V1166" s="9">
        <v>974</v>
      </c>
      <c r="W1166" s="9">
        <v>972</v>
      </c>
      <c r="X1166" s="9">
        <v>954</v>
      </c>
      <c r="Y1166" s="9">
        <v>932</v>
      </c>
      <c r="Z1166" s="9">
        <v>931</v>
      </c>
      <c r="AA1166" s="9">
        <v>927</v>
      </c>
      <c r="AB1166" s="9">
        <v>941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</row>
    <row r="1167" spans="1:47" ht="14.4">
      <c r="A1167" s="3">
        <f>LOOKUP(D1167,'AMFI DATA_2023H2'!F:L,'AMFI DATA_2023H2'!L:L)</f>
        <v>1273</v>
      </c>
      <c r="B1167" s="4" t="s">
        <v>3500</v>
      </c>
      <c r="C1167" s="4" t="s">
        <v>3501</v>
      </c>
      <c r="D1167" s="5" t="s">
        <v>3502</v>
      </c>
      <c r="E1167" s="5">
        <v>667.93</v>
      </c>
      <c r="F1167" s="6">
        <f>LOOKUP(D1167,'AMFI DATA_2023H2'!F:J,'AMFI DATA_2023H2'!J:J)</f>
        <v>863.5249</v>
      </c>
      <c r="G1167" s="7">
        <f t="shared" si="4"/>
        <v>-1</v>
      </c>
      <c r="H1167" s="9"/>
      <c r="I1167" s="9">
        <v>948</v>
      </c>
      <c r="J1167" s="9">
        <v>936</v>
      </c>
      <c r="K1167" s="9">
        <v>929</v>
      </c>
      <c r="L1167" s="9">
        <v>928</v>
      </c>
      <c r="M1167" s="9">
        <v>939</v>
      </c>
      <c r="N1167" s="9">
        <v>966</v>
      </c>
      <c r="O1167" s="9">
        <v>948</v>
      </c>
      <c r="P1167" s="9">
        <v>956</v>
      </c>
      <c r="Q1167" s="9">
        <v>962</v>
      </c>
      <c r="R1167" s="9">
        <v>960</v>
      </c>
      <c r="S1167" s="9">
        <v>960</v>
      </c>
      <c r="T1167" s="9">
        <v>965</v>
      </c>
      <c r="U1167" s="9">
        <v>983</v>
      </c>
      <c r="V1167" s="9">
        <v>888</v>
      </c>
      <c r="W1167" s="9">
        <v>900</v>
      </c>
      <c r="X1167" s="9">
        <v>930</v>
      </c>
      <c r="Y1167" s="9">
        <v>932</v>
      </c>
      <c r="Z1167" s="9">
        <v>927</v>
      </c>
      <c r="AA1167" s="9">
        <v>916</v>
      </c>
      <c r="AB1167" s="9">
        <v>848</v>
      </c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</row>
    <row r="1168" spans="1:47" ht="14.4">
      <c r="A1168" s="3">
        <f>LOOKUP(D1168,'AMFI DATA_2023H2'!F:L,'AMFI DATA_2023H2'!L:L)</f>
        <v>1274</v>
      </c>
      <c r="B1168" s="4" t="s">
        <v>3503</v>
      </c>
      <c r="C1168" s="4" t="s">
        <v>3504</v>
      </c>
      <c r="D1168" s="5" t="s">
        <v>3505</v>
      </c>
      <c r="E1168" s="5">
        <v>689.71</v>
      </c>
      <c r="F1168" s="6">
        <f>LOOKUP(D1168,'AMFI DATA_2023H2'!F:J,'AMFI DATA_2023H2'!J:J)</f>
        <v>860.38670000000002</v>
      </c>
      <c r="G1168" s="7">
        <f t="shared" si="4"/>
        <v>-1</v>
      </c>
      <c r="H1168" s="9"/>
      <c r="I1168" s="9">
        <v>971</v>
      </c>
      <c r="J1168" s="9">
        <v>971</v>
      </c>
      <c r="K1168" s="9">
        <v>1028</v>
      </c>
      <c r="L1168" s="9">
        <v>1035</v>
      </c>
      <c r="M1168" s="9">
        <v>1042</v>
      </c>
      <c r="N1168" s="9">
        <v>1045</v>
      </c>
      <c r="O1168" s="9">
        <v>1077</v>
      </c>
      <c r="P1168" s="9">
        <v>1081</v>
      </c>
      <c r="Q1168" s="9">
        <v>1087</v>
      </c>
      <c r="R1168" s="9">
        <v>1100</v>
      </c>
      <c r="S1168" s="9">
        <v>1088</v>
      </c>
      <c r="T1168" s="9">
        <v>1096</v>
      </c>
      <c r="U1168" s="9">
        <v>1119</v>
      </c>
      <c r="V1168" s="9">
        <v>931</v>
      </c>
      <c r="W1168" s="9">
        <v>932</v>
      </c>
      <c r="X1168" s="9">
        <v>959</v>
      </c>
      <c r="Y1168" s="9">
        <v>926</v>
      </c>
      <c r="Z1168" s="9">
        <v>913</v>
      </c>
      <c r="AA1168" s="9">
        <v>927</v>
      </c>
      <c r="AB1168" s="9">
        <v>908</v>
      </c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</row>
    <row r="1169" spans="1:47" ht="14.4">
      <c r="A1169" s="3">
        <f>LOOKUP(D1169,'AMFI DATA_2023H2'!F:L,'AMFI DATA_2023H2'!L:L)</f>
        <v>1275</v>
      </c>
      <c r="B1169" s="4" t="s">
        <v>3506</v>
      </c>
      <c r="C1169" s="4" t="s">
        <v>3507</v>
      </c>
      <c r="D1169" s="5" t="s">
        <v>3508</v>
      </c>
      <c r="E1169" s="5">
        <v>893.43</v>
      </c>
      <c r="F1169" s="6">
        <f>LOOKUP(D1169,'AMFI DATA_2023H2'!F:J,'AMFI DATA_2023H2'!J:J)</f>
        <v>859.82209999999998</v>
      </c>
      <c r="G1169" s="7">
        <f t="shared" si="4"/>
        <v>-1</v>
      </c>
      <c r="H1169" s="9"/>
      <c r="I1169" s="9">
        <v>708</v>
      </c>
      <c r="J1169" s="9">
        <v>709</v>
      </c>
      <c r="K1169" s="9">
        <v>703</v>
      </c>
      <c r="L1169" s="9">
        <v>719</v>
      </c>
      <c r="M1169" s="9">
        <v>733</v>
      </c>
      <c r="N1169" s="9">
        <v>706</v>
      </c>
      <c r="O1169" s="9">
        <v>727</v>
      </c>
      <c r="P1169" s="9">
        <v>723</v>
      </c>
      <c r="Q1169" s="9">
        <v>724</v>
      </c>
      <c r="R1169" s="9">
        <v>730</v>
      </c>
      <c r="S1169" s="9">
        <v>738</v>
      </c>
      <c r="T1169" s="9">
        <v>744</v>
      </c>
      <c r="U1169" s="9">
        <v>746</v>
      </c>
      <c r="V1169" s="9">
        <v>746</v>
      </c>
      <c r="W1169" s="9">
        <v>748</v>
      </c>
      <c r="X1169" s="9">
        <v>769</v>
      </c>
      <c r="Y1169" s="9">
        <v>735</v>
      </c>
      <c r="Z1169" s="9">
        <v>737</v>
      </c>
      <c r="AA1169" s="9">
        <v>736</v>
      </c>
      <c r="AB1169" s="9">
        <v>703</v>
      </c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</row>
    <row r="1170" spans="1:47" ht="14.4">
      <c r="A1170" s="3">
        <f>LOOKUP(D1170,'AMFI DATA_2023H2'!F:L,'AMFI DATA_2023H2'!L:L)</f>
        <v>1277</v>
      </c>
      <c r="B1170" s="4" t="s">
        <v>3509</v>
      </c>
      <c r="C1170" s="4" t="s">
        <v>3510</v>
      </c>
      <c r="D1170" s="5" t="s">
        <v>3511</v>
      </c>
      <c r="E1170" s="5">
        <v>722.34</v>
      </c>
      <c r="F1170" s="6">
        <f>LOOKUP(D1170,'AMFI DATA_2023H2'!F:J,'AMFI DATA_2023H2'!J:J)</f>
        <v>856.72829999999999</v>
      </c>
      <c r="G1170" s="7">
        <f t="shared" si="4"/>
        <v>-1</v>
      </c>
      <c r="H1170" s="9"/>
      <c r="I1170" s="9">
        <v>771</v>
      </c>
      <c r="J1170" s="9">
        <v>759</v>
      </c>
      <c r="K1170" s="9">
        <v>773</v>
      </c>
      <c r="L1170" s="9">
        <v>784</v>
      </c>
      <c r="M1170" s="9">
        <v>783</v>
      </c>
      <c r="N1170" s="9">
        <v>787</v>
      </c>
      <c r="O1170" s="9">
        <v>799</v>
      </c>
      <c r="P1170" s="9">
        <v>772</v>
      </c>
      <c r="Q1170" s="9">
        <v>772</v>
      </c>
      <c r="R1170" s="9">
        <v>774</v>
      </c>
      <c r="S1170" s="9">
        <v>791</v>
      </c>
      <c r="T1170" s="9">
        <v>785</v>
      </c>
      <c r="U1170" s="9">
        <v>792</v>
      </c>
      <c r="V1170" s="9">
        <v>803</v>
      </c>
      <c r="W1170" s="9">
        <v>787</v>
      </c>
      <c r="X1170" s="9">
        <v>792</v>
      </c>
      <c r="Y1170" s="9">
        <v>784</v>
      </c>
      <c r="Z1170" s="9">
        <v>769</v>
      </c>
      <c r="AA1170" s="9">
        <v>770</v>
      </c>
      <c r="AB1170" s="9">
        <v>765</v>
      </c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</row>
    <row r="1171" spans="1:47" ht="14.4">
      <c r="A1171" s="3">
        <f>LOOKUP(D1171,'AMFI DATA_2023H2'!F:L,'AMFI DATA_2023H2'!L:L)</f>
        <v>1278</v>
      </c>
      <c r="B1171" s="4" t="s">
        <v>3512</v>
      </c>
      <c r="C1171" s="4" t="s">
        <v>3513</v>
      </c>
      <c r="D1171" s="5" t="s">
        <v>3514</v>
      </c>
      <c r="E1171" s="5">
        <v>794.4</v>
      </c>
      <c r="F1171" s="6">
        <f>LOOKUP(D1171,'AMFI DATA_2023H2'!F:J,'AMFI DATA_2023H2'!J:J)</f>
        <v>856.71424999999999</v>
      </c>
      <c r="G1171" s="7">
        <f t="shared" si="4"/>
        <v>-1</v>
      </c>
      <c r="H1171" s="9"/>
      <c r="I1171" s="9">
        <v>921</v>
      </c>
      <c r="J1171" s="9">
        <v>917</v>
      </c>
      <c r="K1171" s="9">
        <v>911</v>
      </c>
      <c r="L1171" s="9">
        <v>951</v>
      </c>
      <c r="M1171" s="9">
        <v>986</v>
      </c>
      <c r="N1171" s="9">
        <v>991</v>
      </c>
      <c r="O1171" s="9">
        <v>996</v>
      </c>
      <c r="P1171" s="9">
        <v>963</v>
      </c>
      <c r="Q1171" s="9">
        <v>934</v>
      </c>
      <c r="R1171" s="9">
        <v>907</v>
      </c>
      <c r="S1171" s="9">
        <v>918</v>
      </c>
      <c r="T1171" s="9">
        <v>928</v>
      </c>
      <c r="U1171" s="9">
        <v>932</v>
      </c>
      <c r="V1171" s="9">
        <v>936</v>
      </c>
      <c r="W1171" s="9">
        <v>872</v>
      </c>
      <c r="X1171" s="9">
        <v>872</v>
      </c>
      <c r="Y1171" s="9">
        <v>873</v>
      </c>
      <c r="Z1171" s="9">
        <v>868</v>
      </c>
      <c r="AA1171" s="9">
        <v>878</v>
      </c>
      <c r="AB1171" s="9">
        <v>883</v>
      </c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</row>
    <row r="1172" spans="1:47" ht="14.4">
      <c r="A1172" s="3">
        <f>LOOKUP(D1172,'AMFI DATA_2023H2'!F:L,'AMFI DATA_2023H2'!L:L)</f>
        <v>1279</v>
      </c>
      <c r="B1172" s="4" t="s">
        <v>3515</v>
      </c>
      <c r="C1172" s="4" t="s">
        <v>3516</v>
      </c>
      <c r="D1172" s="5" t="s">
        <v>3517</v>
      </c>
      <c r="E1172" s="5">
        <v>496.47</v>
      </c>
      <c r="F1172" s="6">
        <f>LOOKUP(D1172,'AMFI DATA_2023H2'!F:J,'AMFI DATA_2023H2'!J:J)</f>
        <v>851.04015000000004</v>
      </c>
      <c r="G1172" s="7">
        <f t="shared" si="4"/>
        <v>-1</v>
      </c>
      <c r="H1172" s="8"/>
      <c r="I1172" s="8">
        <v>1596</v>
      </c>
      <c r="J1172" s="8">
        <v>1513</v>
      </c>
      <c r="K1172" s="8">
        <v>1449</v>
      </c>
      <c r="L1172" s="8">
        <v>1386</v>
      </c>
      <c r="M1172" s="8">
        <v>1458</v>
      </c>
      <c r="N1172" s="8">
        <v>1513</v>
      </c>
      <c r="O1172" s="8">
        <v>1470</v>
      </c>
      <c r="P1172" s="8">
        <v>1400</v>
      </c>
      <c r="Q1172" s="8">
        <v>1334</v>
      </c>
      <c r="R1172" s="8">
        <v>1270</v>
      </c>
      <c r="S1172" s="8">
        <v>1210</v>
      </c>
      <c r="T1172" s="8">
        <v>1234</v>
      </c>
      <c r="U1172" s="8">
        <v>1217</v>
      </c>
      <c r="V1172" s="8">
        <v>1238</v>
      </c>
      <c r="W1172" s="8">
        <v>1249</v>
      </c>
      <c r="X1172" s="8">
        <v>1228</v>
      </c>
      <c r="Y1172" s="8">
        <v>1212</v>
      </c>
      <c r="Z1172" s="8">
        <v>1188</v>
      </c>
      <c r="AA1172" s="8">
        <v>1191</v>
      </c>
      <c r="AB1172" s="8">
        <v>1221</v>
      </c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</row>
    <row r="1173" spans="1:47" ht="14.4">
      <c r="A1173" s="3">
        <f>LOOKUP(D1173,'AMFI DATA_2023H2'!F:L,'AMFI DATA_2023H2'!L:L)</f>
        <v>1280</v>
      </c>
      <c r="B1173" s="4" t="s">
        <v>3518</v>
      </c>
      <c r="C1173" s="4" t="s">
        <v>3519</v>
      </c>
      <c r="D1173" s="5" t="s">
        <v>3520</v>
      </c>
      <c r="E1173" s="5">
        <v>662.28</v>
      </c>
      <c r="F1173" s="6">
        <f>LOOKUP(D1173,'AMFI DATA_2023H2'!F:J,'AMFI DATA_2023H2'!J:J)</f>
        <v>850.60419999999999</v>
      </c>
      <c r="G1173" s="7">
        <f t="shared" si="4"/>
        <v>-1</v>
      </c>
      <c r="H1173" s="9"/>
      <c r="I1173" s="9">
        <v>875</v>
      </c>
      <c r="J1173" s="9">
        <v>872</v>
      </c>
      <c r="K1173" s="9">
        <v>916</v>
      </c>
      <c r="L1173" s="9">
        <v>929</v>
      </c>
      <c r="M1173" s="9">
        <v>936</v>
      </c>
      <c r="N1173" s="9">
        <v>927</v>
      </c>
      <c r="O1173" s="9">
        <v>916</v>
      </c>
      <c r="P1173" s="9">
        <v>916</v>
      </c>
      <c r="Q1173" s="9">
        <v>919</v>
      </c>
      <c r="R1173" s="9">
        <v>920</v>
      </c>
      <c r="S1173" s="9">
        <v>876</v>
      </c>
      <c r="T1173" s="9">
        <v>891</v>
      </c>
      <c r="U1173" s="9">
        <v>886</v>
      </c>
      <c r="V1173" s="9">
        <v>871</v>
      </c>
      <c r="W1173" s="9">
        <v>882</v>
      </c>
      <c r="X1173" s="9">
        <v>888</v>
      </c>
      <c r="Y1173" s="9">
        <v>879</v>
      </c>
      <c r="Z1173" s="9">
        <v>909</v>
      </c>
      <c r="AA1173" s="9">
        <v>929</v>
      </c>
      <c r="AB1173" s="9">
        <v>899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</row>
    <row r="1174" spans="1:47" ht="14.4">
      <c r="A1174" s="3">
        <f>LOOKUP(D1174,'AMFI DATA_2023H2'!F:L,'AMFI DATA_2023H2'!L:L)</f>
        <v>1281</v>
      </c>
      <c r="B1174" s="4" t="s">
        <v>3521</v>
      </c>
      <c r="C1174" s="4" t="s">
        <v>3522</v>
      </c>
      <c r="D1174" s="5" t="s">
        <v>3523</v>
      </c>
      <c r="E1174" s="5">
        <v>771.21</v>
      </c>
      <c r="F1174" s="6">
        <f>LOOKUP(D1174,'AMFI DATA_2023H2'!F:J,'AMFI DATA_2023H2'!J:J)</f>
        <v>846.6558</v>
      </c>
      <c r="G1174" s="7">
        <f t="shared" si="4"/>
        <v>-1</v>
      </c>
      <c r="H1174" s="8"/>
      <c r="I1174" s="8">
        <v>1190</v>
      </c>
      <c r="J1174" s="8">
        <v>1183</v>
      </c>
      <c r="K1174" s="8">
        <v>1161</v>
      </c>
      <c r="L1174" s="8">
        <v>1185</v>
      </c>
      <c r="M1174" s="8">
        <v>1246</v>
      </c>
      <c r="N1174" s="8">
        <v>1222</v>
      </c>
      <c r="O1174" s="8">
        <v>1181</v>
      </c>
      <c r="P1174" s="8">
        <v>1125</v>
      </c>
      <c r="Q1174" s="8">
        <v>1145</v>
      </c>
      <c r="R1174" s="8">
        <v>1167</v>
      </c>
      <c r="S1174" s="8">
        <v>1149</v>
      </c>
      <c r="T1174" s="8">
        <v>1176</v>
      </c>
      <c r="U1174" s="8">
        <v>1109</v>
      </c>
      <c r="V1174" s="8">
        <v>1086</v>
      </c>
      <c r="W1174" s="8">
        <v>1125</v>
      </c>
      <c r="X1174" s="8">
        <v>1126</v>
      </c>
      <c r="Y1174" s="8">
        <v>1119</v>
      </c>
      <c r="Z1174" s="8">
        <v>1150</v>
      </c>
      <c r="AA1174" s="8">
        <v>1153</v>
      </c>
      <c r="AB1174" s="8">
        <v>1198</v>
      </c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</row>
    <row r="1175" spans="1:47" ht="14.4">
      <c r="A1175" s="3">
        <f>LOOKUP(D1175,'AMFI DATA_2023H2'!F:L,'AMFI DATA_2023H2'!L:L)</f>
        <v>1282</v>
      </c>
      <c r="B1175" s="4" t="s">
        <v>3524</v>
      </c>
      <c r="C1175" s="4" t="s">
        <v>3525</v>
      </c>
      <c r="D1175" s="5" t="s">
        <v>3526</v>
      </c>
      <c r="E1175" s="5">
        <v>388.61</v>
      </c>
      <c r="F1175" s="6">
        <f>LOOKUP(D1175,'AMFI DATA_2023H2'!F:J,'AMFI DATA_2023H2'!J:J)</f>
        <v>839.26009999999997</v>
      </c>
      <c r="G1175" s="7">
        <f t="shared" si="4"/>
        <v>-1</v>
      </c>
      <c r="H1175" s="8"/>
      <c r="I1175" s="8">
        <v>3448</v>
      </c>
      <c r="J1175" s="8">
        <v>3257</v>
      </c>
      <c r="K1175" s="8">
        <v>3132</v>
      </c>
      <c r="L1175" s="8">
        <v>2983</v>
      </c>
      <c r="M1175" s="8">
        <v>2875</v>
      </c>
      <c r="N1175" s="8">
        <v>2721</v>
      </c>
      <c r="O1175" s="8">
        <v>2758</v>
      </c>
      <c r="P1175" s="8">
        <v>2627</v>
      </c>
      <c r="Q1175" s="8">
        <v>2504</v>
      </c>
      <c r="R1175" s="8">
        <v>2386</v>
      </c>
      <c r="S1175" s="8">
        <v>2274</v>
      </c>
      <c r="T1175" s="8">
        <v>2106</v>
      </c>
      <c r="U1175" s="8">
        <v>2064</v>
      </c>
      <c r="V1175" s="8">
        <v>1923</v>
      </c>
      <c r="W1175" s="8">
        <v>1876</v>
      </c>
      <c r="X1175" s="8">
        <v>1787</v>
      </c>
      <c r="Y1175" s="8">
        <v>1703</v>
      </c>
      <c r="Z1175" s="8">
        <v>1622</v>
      </c>
      <c r="AA1175" s="8">
        <v>1635</v>
      </c>
      <c r="AB1175" s="8">
        <v>1753</v>
      </c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</row>
    <row r="1176" spans="1:47" ht="14.4">
      <c r="A1176" s="3">
        <f>LOOKUP(D1176,'AMFI DATA_2023H2'!F:L,'AMFI DATA_2023H2'!L:L)</f>
        <v>1283</v>
      </c>
      <c r="B1176" s="4" t="s">
        <v>3527</v>
      </c>
      <c r="C1176" s="4" t="s">
        <v>3528</v>
      </c>
      <c r="D1176" s="5" t="s">
        <v>3529</v>
      </c>
      <c r="E1176" s="5">
        <v>491.12</v>
      </c>
      <c r="F1176" s="6">
        <f>LOOKUP(D1176,'AMFI DATA_2023H2'!F:J,'AMFI DATA_2023H2'!J:J)</f>
        <v>836.36995000000002</v>
      </c>
      <c r="G1176" s="7">
        <f t="shared" si="4"/>
        <v>-1</v>
      </c>
      <c r="H1176" s="9"/>
      <c r="I1176" s="9">
        <v>913</v>
      </c>
      <c r="J1176" s="9">
        <v>906</v>
      </c>
      <c r="K1176" s="9">
        <v>889</v>
      </c>
      <c r="L1176" s="9">
        <v>905</v>
      </c>
      <c r="M1176" s="9">
        <v>923</v>
      </c>
      <c r="N1176" s="9">
        <v>935</v>
      </c>
      <c r="O1176" s="9">
        <v>932</v>
      </c>
      <c r="P1176" s="9">
        <v>961</v>
      </c>
      <c r="Q1176" s="9">
        <v>929</v>
      </c>
      <c r="R1176" s="9">
        <v>952</v>
      </c>
      <c r="S1176" s="9">
        <v>962</v>
      </c>
      <c r="T1176" s="9">
        <v>907</v>
      </c>
      <c r="U1176" s="9">
        <v>914</v>
      </c>
      <c r="V1176" s="9">
        <v>964</v>
      </c>
      <c r="W1176" s="9">
        <v>960</v>
      </c>
      <c r="X1176" s="9">
        <v>805</v>
      </c>
      <c r="Y1176" s="9">
        <v>804</v>
      </c>
      <c r="Z1176" s="9">
        <v>835</v>
      </c>
      <c r="AA1176" s="9">
        <v>847</v>
      </c>
      <c r="AB1176" s="9">
        <v>807</v>
      </c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</row>
    <row r="1177" spans="1:47" ht="14.4">
      <c r="A1177" s="3">
        <f>LOOKUP(D1177,'AMFI DATA_2023H2'!F:L,'AMFI DATA_2023H2'!L:L)</f>
        <v>1284</v>
      </c>
      <c r="B1177" s="4" t="s">
        <v>3530</v>
      </c>
      <c r="C1177" s="4" t="s">
        <v>3531</v>
      </c>
      <c r="D1177" s="5" t="s">
        <v>3532</v>
      </c>
      <c r="E1177" s="5">
        <v>686.24</v>
      </c>
      <c r="F1177" s="6">
        <f>LOOKUP(D1177,'AMFI DATA_2023H2'!F:J,'AMFI DATA_2023H2'!J:J)</f>
        <v>832.77295000000004</v>
      </c>
      <c r="G1177" s="7">
        <f t="shared" si="4"/>
        <v>-1</v>
      </c>
      <c r="H1177" s="8"/>
      <c r="I1177" s="8">
        <v>1413</v>
      </c>
      <c r="J1177" s="8">
        <v>1370</v>
      </c>
      <c r="K1177" s="8">
        <v>1340</v>
      </c>
      <c r="L1177" s="8">
        <v>1377</v>
      </c>
      <c r="M1177" s="8">
        <v>1429</v>
      </c>
      <c r="N1177" s="8">
        <v>1445</v>
      </c>
      <c r="O1177" s="8">
        <v>1449</v>
      </c>
      <c r="P1177" s="8">
        <v>1362</v>
      </c>
      <c r="Q1177" s="8">
        <v>1318</v>
      </c>
      <c r="R1177" s="8">
        <v>1300</v>
      </c>
      <c r="S1177" s="8">
        <v>1182</v>
      </c>
      <c r="T1177" s="8">
        <v>1148</v>
      </c>
      <c r="U1177" s="8">
        <v>1122</v>
      </c>
      <c r="V1177" s="8">
        <v>1133</v>
      </c>
      <c r="W1177" s="8">
        <v>1160</v>
      </c>
      <c r="X1177" s="8">
        <v>1124</v>
      </c>
      <c r="Y1177" s="8">
        <v>1131</v>
      </c>
      <c r="Z1177" s="8">
        <v>1134</v>
      </c>
      <c r="AA1177" s="8">
        <v>1096</v>
      </c>
      <c r="AB1177" s="8">
        <v>1076</v>
      </c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</row>
    <row r="1178" spans="1:47" ht="14.4">
      <c r="A1178" s="3">
        <f>LOOKUP(D1178,'AMFI DATA_2023H2'!F:L,'AMFI DATA_2023H2'!L:L)</f>
        <v>1286</v>
      </c>
      <c r="B1178" s="4" t="s">
        <v>3533</v>
      </c>
      <c r="C1178" s="4" t="s">
        <v>3534</v>
      </c>
      <c r="D1178" s="5" t="s">
        <v>3535</v>
      </c>
      <c r="E1178" s="5">
        <v>801.68</v>
      </c>
      <c r="F1178" s="6">
        <f>LOOKUP(D1178,'AMFI DATA_2023H2'!F:J,'AMFI DATA_2023H2'!J:J)</f>
        <v>826.90329999999994</v>
      </c>
      <c r="G1178" s="7">
        <f t="shared" si="4"/>
        <v>-1</v>
      </c>
      <c r="H1178" s="9"/>
      <c r="I1178" s="9">
        <v>812</v>
      </c>
      <c r="J1178" s="9">
        <v>797</v>
      </c>
      <c r="K1178" s="9">
        <v>815</v>
      </c>
      <c r="L1178" s="9">
        <v>827</v>
      </c>
      <c r="M1178" s="9">
        <v>838</v>
      </c>
      <c r="N1178" s="9">
        <v>838</v>
      </c>
      <c r="O1178" s="9">
        <v>834</v>
      </c>
      <c r="P1178" s="9">
        <v>833</v>
      </c>
      <c r="Q1178" s="9">
        <v>853</v>
      </c>
      <c r="R1178" s="9">
        <v>863</v>
      </c>
      <c r="S1178" s="9">
        <v>843</v>
      </c>
      <c r="T1178" s="9">
        <v>835</v>
      </c>
      <c r="U1178" s="9">
        <v>847</v>
      </c>
      <c r="V1178" s="9">
        <v>827</v>
      </c>
      <c r="W1178" s="9">
        <v>834</v>
      </c>
      <c r="X1178" s="9">
        <v>834</v>
      </c>
      <c r="Y1178" s="9">
        <v>834</v>
      </c>
      <c r="Z1178" s="9">
        <v>842</v>
      </c>
      <c r="AA1178" s="9">
        <v>844</v>
      </c>
      <c r="AB1178" s="9">
        <v>849</v>
      </c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</row>
    <row r="1179" spans="1:47" ht="14.4">
      <c r="A1179" s="3">
        <f>LOOKUP(D1179,'AMFI DATA_2023H2'!F:L,'AMFI DATA_2023H2'!L:L)</f>
        <v>1287</v>
      </c>
      <c r="B1179" s="4" t="s">
        <v>3536</v>
      </c>
      <c r="C1179" s="4" t="s">
        <v>3537</v>
      </c>
      <c r="D1179" s="5" t="s">
        <v>3538</v>
      </c>
      <c r="E1179" s="5">
        <v>836.52</v>
      </c>
      <c r="F1179" s="6">
        <f>LOOKUP(D1179,'AMFI DATA_2023H2'!F:J,'AMFI DATA_2023H2'!J:J)</f>
        <v>826.26019999999994</v>
      </c>
      <c r="G1179" s="7">
        <f t="shared" si="4"/>
        <v>-1</v>
      </c>
      <c r="H1179" s="8"/>
      <c r="I1179" s="8">
        <v>1422</v>
      </c>
      <c r="J1179" s="8">
        <v>1362</v>
      </c>
      <c r="K1179" s="8">
        <v>1310</v>
      </c>
      <c r="L1179" s="8">
        <v>1355</v>
      </c>
      <c r="M1179" s="8">
        <v>1406</v>
      </c>
      <c r="N1179" s="8">
        <v>1390</v>
      </c>
      <c r="O1179" s="8">
        <v>1377</v>
      </c>
      <c r="P1179" s="8">
        <v>1341</v>
      </c>
      <c r="Q1179" s="8">
        <v>1281</v>
      </c>
      <c r="R1179" s="8">
        <v>1323</v>
      </c>
      <c r="S1179" s="8">
        <v>1271</v>
      </c>
      <c r="T1179" s="8">
        <v>1253</v>
      </c>
      <c r="U1179" s="8">
        <v>1210</v>
      </c>
      <c r="V1179" s="8">
        <v>1274</v>
      </c>
      <c r="W1179" s="8">
        <v>1126</v>
      </c>
      <c r="X1179" s="8">
        <v>1115</v>
      </c>
      <c r="Y1179" s="8">
        <v>1108</v>
      </c>
      <c r="Z1179" s="8">
        <v>1086</v>
      </c>
      <c r="AA1179" s="8">
        <v>1107</v>
      </c>
      <c r="AB1179" s="8">
        <v>1077</v>
      </c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</row>
    <row r="1180" spans="1:47" ht="14.4">
      <c r="A1180" s="3">
        <f>LOOKUP(D1180,'AMFI DATA_2023H2'!F:L,'AMFI DATA_2023H2'!L:L)</f>
        <v>1288</v>
      </c>
      <c r="B1180" s="4" t="s">
        <v>3539</v>
      </c>
      <c r="C1180" s="4" t="s">
        <v>3540</v>
      </c>
      <c r="D1180" s="5" t="s">
        <v>3541</v>
      </c>
      <c r="E1180" s="5">
        <v>569.99</v>
      </c>
      <c r="F1180" s="6">
        <f>LOOKUP(D1180,'AMFI DATA_2023H2'!F:J,'AMFI DATA_2023H2'!J:J)</f>
        <v>823.01675</v>
      </c>
      <c r="G1180" s="7">
        <f t="shared" si="4"/>
        <v>-1</v>
      </c>
      <c r="H1180" s="9"/>
      <c r="I1180" s="9">
        <v>949</v>
      </c>
      <c r="J1180" s="9">
        <v>942</v>
      </c>
      <c r="K1180" s="9">
        <v>951</v>
      </c>
      <c r="L1180" s="9">
        <v>954</v>
      </c>
      <c r="M1180" s="9">
        <v>926</v>
      </c>
      <c r="N1180" s="9">
        <v>932</v>
      </c>
      <c r="O1180" s="9">
        <v>945</v>
      </c>
      <c r="P1180" s="9">
        <v>923</v>
      </c>
      <c r="Q1180" s="9">
        <v>930</v>
      </c>
      <c r="R1180" s="9">
        <v>941</v>
      </c>
      <c r="S1180" s="9">
        <v>921</v>
      </c>
      <c r="T1180" s="9">
        <v>955</v>
      </c>
      <c r="U1180" s="9">
        <v>949</v>
      </c>
      <c r="V1180" s="9">
        <v>968</v>
      </c>
      <c r="W1180" s="9">
        <v>967</v>
      </c>
      <c r="X1180" s="9">
        <v>953</v>
      </c>
      <c r="Y1180" s="9">
        <v>970</v>
      </c>
      <c r="Z1180" s="9">
        <v>992</v>
      </c>
      <c r="AA1180" s="9">
        <v>985</v>
      </c>
      <c r="AB1180" s="9">
        <v>908</v>
      </c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</row>
    <row r="1181" spans="1:47" ht="14.4">
      <c r="A1181" s="3">
        <f>LOOKUP(D1181,'AMFI DATA_2023H2'!F:L,'AMFI DATA_2023H2'!L:L)</f>
        <v>1289</v>
      </c>
      <c r="B1181" s="4" t="s">
        <v>3542</v>
      </c>
      <c r="C1181" s="4" t="s">
        <v>3543</v>
      </c>
      <c r="D1181" s="5" t="s">
        <v>3544</v>
      </c>
      <c r="E1181" s="5">
        <v>442.84</v>
      </c>
      <c r="F1181" s="6">
        <f>LOOKUP(D1181,'AMFI DATA_2023H2'!F:J,'AMFI DATA_2023H2'!J:J)</f>
        <v>822.56565000000001</v>
      </c>
      <c r="G1181" s="7">
        <f t="shared" si="4"/>
        <v>-1</v>
      </c>
      <c r="H1181" s="9"/>
      <c r="I1181" s="9">
        <v>850</v>
      </c>
      <c r="J1181" s="9">
        <v>852</v>
      </c>
      <c r="K1181" s="9">
        <v>812</v>
      </c>
      <c r="L1181" s="9">
        <v>818</v>
      </c>
      <c r="M1181" s="9">
        <v>825</v>
      </c>
      <c r="N1181" s="9">
        <v>834</v>
      </c>
      <c r="O1181" s="9">
        <v>838</v>
      </c>
      <c r="P1181" s="9">
        <v>826</v>
      </c>
      <c r="Q1181" s="9">
        <v>814</v>
      </c>
      <c r="R1181" s="9">
        <v>819</v>
      </c>
      <c r="S1181" s="9">
        <v>832</v>
      </c>
      <c r="T1181" s="9">
        <v>845</v>
      </c>
      <c r="U1181" s="9">
        <v>844</v>
      </c>
      <c r="V1181" s="9">
        <v>849</v>
      </c>
      <c r="W1181" s="9">
        <v>861</v>
      </c>
      <c r="X1181" s="9">
        <v>857</v>
      </c>
      <c r="Y1181" s="9">
        <v>845</v>
      </c>
      <c r="Z1181" s="9">
        <v>856</v>
      </c>
      <c r="AA1181" s="9">
        <v>872</v>
      </c>
      <c r="AB1181" s="9">
        <v>896</v>
      </c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</row>
    <row r="1182" spans="1:47" ht="14.4">
      <c r="A1182" s="3">
        <f>LOOKUP(D1182,'AMFI DATA_2023H2'!F:L,'AMFI DATA_2023H2'!L:L)</f>
        <v>1290</v>
      </c>
      <c r="B1182" s="4" t="s">
        <v>3545</v>
      </c>
      <c r="C1182" s="4" t="s">
        <v>3546</v>
      </c>
      <c r="D1182" s="5" t="s">
        <v>3547</v>
      </c>
      <c r="E1182" s="5">
        <v>618.22</v>
      </c>
      <c r="F1182" s="6">
        <f>LOOKUP(D1182,'AMFI DATA_2023H2'!F:J,'AMFI DATA_2023H2'!J:J)</f>
        <v>822.26520000000005</v>
      </c>
      <c r="G1182" s="7">
        <f t="shared" si="4"/>
        <v>-1</v>
      </c>
      <c r="H1182" s="9"/>
      <c r="I1182" s="9">
        <v>991</v>
      </c>
      <c r="J1182" s="9">
        <v>1035</v>
      </c>
      <c r="K1182" s="9">
        <v>999</v>
      </c>
      <c r="L1182" s="9">
        <v>1005</v>
      </c>
      <c r="M1182" s="9">
        <v>1033</v>
      </c>
      <c r="N1182" s="9">
        <v>1054</v>
      </c>
      <c r="O1182" s="9">
        <v>1059</v>
      </c>
      <c r="P1182" s="9">
        <v>1032</v>
      </c>
      <c r="Q1182" s="9">
        <v>1016</v>
      </c>
      <c r="R1182" s="9">
        <v>1099</v>
      </c>
      <c r="S1182" s="9">
        <v>1050</v>
      </c>
      <c r="T1182" s="9">
        <v>1057</v>
      </c>
      <c r="U1182" s="9">
        <v>1042</v>
      </c>
      <c r="V1182" s="9">
        <v>1020</v>
      </c>
      <c r="W1182" s="9">
        <v>1010</v>
      </c>
      <c r="X1182" s="9">
        <v>946</v>
      </c>
      <c r="Y1182" s="9">
        <v>951</v>
      </c>
      <c r="Z1182" s="9">
        <v>964</v>
      </c>
      <c r="AA1182" s="9">
        <v>960</v>
      </c>
      <c r="AB1182" s="9">
        <v>982</v>
      </c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</row>
    <row r="1183" spans="1:47" ht="14.4">
      <c r="A1183" s="3">
        <f>LOOKUP(D1183,'AMFI DATA_2023H2'!F:L,'AMFI DATA_2023H2'!L:L)</f>
        <v>1291</v>
      </c>
      <c r="B1183" s="4" t="s">
        <v>3548</v>
      </c>
      <c r="C1183" s="4" t="s">
        <v>3549</v>
      </c>
      <c r="D1183" s="5" t="s">
        <v>3550</v>
      </c>
      <c r="E1183" s="5">
        <v>843.08</v>
      </c>
      <c r="F1183" s="6">
        <f>LOOKUP(D1183,'AMFI DATA_2023H2'!F:J,'AMFI DATA_2023H2'!J:J)</f>
        <v>822.23085000000003</v>
      </c>
      <c r="G1183" s="7">
        <f t="shared" si="4"/>
        <v>-1</v>
      </c>
      <c r="H1183" s="9"/>
      <c r="I1183" s="9">
        <v>1251</v>
      </c>
      <c r="J1183" s="9">
        <v>1088</v>
      </c>
      <c r="K1183" s="9">
        <v>1059</v>
      </c>
      <c r="L1183" s="9">
        <v>1093</v>
      </c>
      <c r="M1183" s="9">
        <v>1030</v>
      </c>
      <c r="N1183" s="9">
        <v>1002</v>
      </c>
      <c r="O1183" s="9">
        <v>988</v>
      </c>
      <c r="P1183" s="9">
        <v>931</v>
      </c>
      <c r="Q1183" s="9">
        <v>839</v>
      </c>
      <c r="R1183" s="9">
        <v>816</v>
      </c>
      <c r="S1183" s="9">
        <v>834</v>
      </c>
      <c r="T1183" s="9">
        <v>858</v>
      </c>
      <c r="U1183" s="9">
        <v>856</v>
      </c>
      <c r="V1183" s="9">
        <v>841</v>
      </c>
      <c r="W1183" s="9">
        <v>785</v>
      </c>
      <c r="X1183" s="9">
        <v>763</v>
      </c>
      <c r="Y1183" s="9">
        <v>764</v>
      </c>
      <c r="Z1183" s="9">
        <v>778</v>
      </c>
      <c r="AA1183" s="9">
        <v>770</v>
      </c>
      <c r="AB1183" s="9">
        <v>771</v>
      </c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</row>
    <row r="1184" spans="1:47" ht="14.4">
      <c r="A1184" s="3">
        <f>LOOKUP(D1184,'AMFI DATA_2023H2'!F:L,'AMFI DATA_2023H2'!L:L)</f>
        <v>1292</v>
      </c>
      <c r="B1184" s="4" t="s">
        <v>3551</v>
      </c>
      <c r="C1184" s="4" t="s">
        <v>3552</v>
      </c>
      <c r="D1184" s="5" t="s">
        <v>3553</v>
      </c>
      <c r="E1184" s="5">
        <v>688.28</v>
      </c>
      <c r="F1184" s="6">
        <f>LOOKUP(D1184,'AMFI DATA_2023H2'!F:J,'AMFI DATA_2023H2'!J:J)</f>
        <v>821.75524999999993</v>
      </c>
      <c r="G1184" s="7">
        <f t="shared" si="4"/>
        <v>-1</v>
      </c>
      <c r="H1184" s="9"/>
      <c r="I1184" s="9">
        <v>937</v>
      </c>
      <c r="J1184" s="9">
        <v>901</v>
      </c>
      <c r="K1184" s="9">
        <v>897</v>
      </c>
      <c r="L1184" s="9">
        <v>931</v>
      </c>
      <c r="M1184" s="9">
        <v>930</v>
      </c>
      <c r="N1184" s="9">
        <v>920</v>
      </c>
      <c r="O1184" s="9">
        <v>941</v>
      </c>
      <c r="P1184" s="9">
        <v>872</v>
      </c>
      <c r="Q1184" s="9">
        <v>890</v>
      </c>
      <c r="R1184" s="9">
        <v>887</v>
      </c>
      <c r="S1184" s="9">
        <v>893</v>
      </c>
      <c r="T1184" s="9">
        <v>897</v>
      </c>
      <c r="U1184" s="9">
        <v>893</v>
      </c>
      <c r="V1184" s="9">
        <v>904</v>
      </c>
      <c r="W1184" s="9">
        <v>905</v>
      </c>
      <c r="X1184" s="9">
        <v>877</v>
      </c>
      <c r="Y1184" s="9">
        <v>868</v>
      </c>
      <c r="Z1184" s="9">
        <v>884</v>
      </c>
      <c r="AA1184" s="9">
        <v>875</v>
      </c>
      <c r="AB1184" s="9">
        <v>854</v>
      </c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</row>
    <row r="1185" spans="1:47" ht="14.4">
      <c r="A1185" s="3">
        <f>LOOKUP(D1185,'AMFI DATA_2023H2'!F:L,'AMFI DATA_2023H2'!L:L)</f>
        <v>1293</v>
      </c>
      <c r="B1185" s="4" t="s">
        <v>3554</v>
      </c>
      <c r="C1185" s="4" t="s">
        <v>3555</v>
      </c>
      <c r="D1185" s="5" t="s">
        <v>3556</v>
      </c>
      <c r="E1185" s="5">
        <v>544.79</v>
      </c>
      <c r="F1185" s="6">
        <f>LOOKUP(D1185,'AMFI DATA_2023H2'!F:J,'AMFI DATA_2023H2'!J:J)</f>
        <v>821.17695000000003</v>
      </c>
      <c r="G1185" s="7">
        <f t="shared" si="4"/>
        <v>-1</v>
      </c>
      <c r="H1185" s="9"/>
      <c r="I1185" s="9">
        <v>1016</v>
      </c>
      <c r="J1185" s="9">
        <v>1007</v>
      </c>
      <c r="K1185" s="9">
        <v>997</v>
      </c>
      <c r="L1185" s="9">
        <v>1006</v>
      </c>
      <c r="M1185" s="9">
        <v>1030</v>
      </c>
      <c r="N1185" s="9">
        <v>1023</v>
      </c>
      <c r="O1185" s="9">
        <v>1001</v>
      </c>
      <c r="P1185" s="9">
        <v>1001</v>
      </c>
      <c r="Q1185" s="9">
        <v>1017</v>
      </c>
      <c r="R1185" s="9">
        <v>1027</v>
      </c>
      <c r="S1185" s="9">
        <v>1010</v>
      </c>
      <c r="T1185" s="9">
        <v>1010</v>
      </c>
      <c r="U1185" s="9">
        <v>1026</v>
      </c>
      <c r="V1185" s="9">
        <v>1002</v>
      </c>
      <c r="W1185" s="9">
        <v>982</v>
      </c>
      <c r="X1185" s="9">
        <v>980</v>
      </c>
      <c r="Y1185" s="9">
        <v>954</v>
      </c>
      <c r="Z1185" s="9">
        <v>980</v>
      </c>
      <c r="AA1185" s="9">
        <v>965</v>
      </c>
      <c r="AB1185" s="9">
        <v>975</v>
      </c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</row>
    <row r="1186" spans="1:47" ht="14.4">
      <c r="A1186" s="3">
        <f>LOOKUP(D1186,'AMFI DATA_2023H2'!F:L,'AMFI DATA_2023H2'!L:L)</f>
        <v>1294</v>
      </c>
      <c r="B1186" s="4" t="s">
        <v>3557</v>
      </c>
      <c r="C1186" s="4" t="s">
        <v>3558</v>
      </c>
      <c r="D1186" s="5" t="s">
        <v>3559</v>
      </c>
      <c r="E1186" s="5">
        <v>689.96</v>
      </c>
      <c r="F1186" s="6">
        <f>LOOKUP(D1186,'AMFI DATA_2023H2'!F:J,'AMFI DATA_2023H2'!J:J)</f>
        <v>821.01755000000003</v>
      </c>
      <c r="G1186" s="7">
        <f t="shared" si="4"/>
        <v>-1</v>
      </c>
      <c r="H1186" s="9"/>
      <c r="I1186" s="9">
        <v>1148</v>
      </c>
      <c r="J1186" s="9">
        <v>1145</v>
      </c>
      <c r="K1186" s="9">
        <v>1083</v>
      </c>
      <c r="L1186" s="9">
        <v>1109</v>
      </c>
      <c r="M1186" s="9">
        <v>1124</v>
      </c>
      <c r="N1186" s="9">
        <v>1131</v>
      </c>
      <c r="O1186" s="9">
        <v>1104</v>
      </c>
      <c r="P1186" s="9">
        <v>1123</v>
      </c>
      <c r="Q1186" s="9">
        <v>1126</v>
      </c>
      <c r="R1186" s="9">
        <v>1138</v>
      </c>
      <c r="S1186" s="9">
        <v>1126</v>
      </c>
      <c r="T1186" s="9">
        <v>1182</v>
      </c>
      <c r="U1186" s="9">
        <v>1140</v>
      </c>
      <c r="V1186" s="9">
        <v>1073</v>
      </c>
      <c r="W1186" s="9">
        <v>990</v>
      </c>
      <c r="X1186" s="9">
        <v>885</v>
      </c>
      <c r="Y1186" s="9">
        <v>872</v>
      </c>
      <c r="Z1186" s="9">
        <v>898</v>
      </c>
      <c r="AA1186" s="9">
        <v>916</v>
      </c>
      <c r="AB1186" s="9">
        <v>830</v>
      </c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</row>
    <row r="1187" spans="1:47" ht="14.4">
      <c r="A1187" s="3">
        <f>LOOKUP(D1187,'AMFI DATA_2023H2'!F:L,'AMFI DATA_2023H2'!L:L)</f>
        <v>1295</v>
      </c>
      <c r="B1187" s="4" t="s">
        <v>3560</v>
      </c>
      <c r="C1187" s="4" t="s">
        <v>3561</v>
      </c>
      <c r="D1187" s="5" t="s">
        <v>3562</v>
      </c>
      <c r="E1187" s="5">
        <v>394.28</v>
      </c>
      <c r="F1187" s="6">
        <f>LOOKUP(D1187,'AMFI DATA_2023H2'!F:J,'AMFI DATA_2023H2'!J:J)</f>
        <v>820.21780000000001</v>
      </c>
      <c r="G1187" s="7">
        <f t="shared" si="4"/>
        <v>-1</v>
      </c>
      <c r="H1187" s="8"/>
      <c r="I1187" s="8">
        <v>1338</v>
      </c>
      <c r="J1187" s="8">
        <v>1313</v>
      </c>
      <c r="K1187" s="8">
        <v>1314</v>
      </c>
      <c r="L1187" s="8">
        <v>1288</v>
      </c>
      <c r="M1187" s="8">
        <v>1314</v>
      </c>
      <c r="N1187" s="8">
        <v>1340</v>
      </c>
      <c r="O1187" s="8">
        <v>1367</v>
      </c>
      <c r="P1187" s="8">
        <v>1355</v>
      </c>
      <c r="Q1187" s="8">
        <v>1329</v>
      </c>
      <c r="R1187" s="8">
        <v>1350</v>
      </c>
      <c r="S1187" s="8">
        <v>1377</v>
      </c>
      <c r="T1187" s="8">
        <v>1405</v>
      </c>
      <c r="U1187" s="8">
        <v>1433</v>
      </c>
      <c r="V1187" s="8">
        <v>1406</v>
      </c>
      <c r="W1187" s="8">
        <v>1434</v>
      </c>
      <c r="X1187" s="8">
        <v>1463</v>
      </c>
      <c r="Y1187" s="8">
        <v>1493</v>
      </c>
      <c r="Z1187" s="8">
        <v>1523</v>
      </c>
      <c r="AA1187" s="8">
        <v>1458</v>
      </c>
      <c r="AB1187" s="8">
        <v>1385</v>
      </c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</row>
    <row r="1188" spans="1:47" ht="14.4">
      <c r="A1188" s="3">
        <f>LOOKUP(D1188,'AMFI DATA_2023H2'!F:L,'AMFI DATA_2023H2'!L:L)</f>
        <v>1296</v>
      </c>
      <c r="B1188" s="4" t="s">
        <v>3563</v>
      </c>
      <c r="C1188" s="4" t="s">
        <v>3564</v>
      </c>
      <c r="D1188" s="5" t="s">
        <v>3565</v>
      </c>
      <c r="E1188" s="5">
        <v>828.91</v>
      </c>
      <c r="F1188" s="6">
        <f>LOOKUP(D1188,'AMFI DATA_2023H2'!F:J,'AMFI DATA_2023H2'!J:J)</f>
        <v>820.17219999999998</v>
      </c>
      <c r="G1188" s="7">
        <f t="shared" si="4"/>
        <v>-1</v>
      </c>
      <c r="H1188" s="9"/>
      <c r="I1188" s="9">
        <v>863</v>
      </c>
      <c r="J1188" s="9">
        <v>857</v>
      </c>
      <c r="K1188" s="9">
        <v>881</v>
      </c>
      <c r="L1188" s="9">
        <v>930</v>
      </c>
      <c r="M1188" s="9">
        <v>870</v>
      </c>
      <c r="N1188" s="9">
        <v>867</v>
      </c>
      <c r="O1188" s="9">
        <v>844</v>
      </c>
      <c r="P1188" s="9">
        <v>852</v>
      </c>
      <c r="Q1188" s="9">
        <v>856</v>
      </c>
      <c r="R1188" s="9">
        <v>856</v>
      </c>
      <c r="S1188" s="9">
        <v>845</v>
      </c>
      <c r="T1188" s="9">
        <v>848</v>
      </c>
      <c r="U1188" s="9">
        <v>849</v>
      </c>
      <c r="V1188" s="9">
        <v>849</v>
      </c>
      <c r="W1188" s="9">
        <v>851</v>
      </c>
      <c r="X1188" s="9">
        <v>851</v>
      </c>
      <c r="Y1188" s="9">
        <v>856</v>
      </c>
      <c r="Z1188" s="9">
        <v>874</v>
      </c>
      <c r="AA1188" s="9">
        <v>871</v>
      </c>
      <c r="AB1188" s="9">
        <v>862</v>
      </c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</row>
    <row r="1189" spans="1:47" ht="14.4">
      <c r="A1189" s="3">
        <f>LOOKUP(D1189,'AMFI DATA_2023H2'!F:L,'AMFI DATA_2023H2'!L:L)</f>
        <v>1298</v>
      </c>
      <c r="B1189" s="4" t="s">
        <v>3566</v>
      </c>
      <c r="C1189" s="4" t="s">
        <v>3567</v>
      </c>
      <c r="D1189" s="5" t="s">
        <v>3568</v>
      </c>
      <c r="E1189" s="5">
        <v>515.05999999999995</v>
      </c>
      <c r="F1189" s="6">
        <f>LOOKUP(D1189,'AMFI DATA_2023H2'!F:J,'AMFI DATA_2023H2'!J:J)</f>
        <v>814.94889999999998</v>
      </c>
      <c r="G1189" s="7">
        <f t="shared" si="4"/>
        <v>-1</v>
      </c>
      <c r="H1189" s="9"/>
      <c r="I1189" s="9">
        <v>854</v>
      </c>
      <c r="J1189" s="9">
        <v>858</v>
      </c>
      <c r="K1189" s="9">
        <v>877</v>
      </c>
      <c r="L1189" s="9">
        <v>844</v>
      </c>
      <c r="M1189" s="9">
        <v>876</v>
      </c>
      <c r="N1189" s="9">
        <v>881</v>
      </c>
      <c r="O1189" s="9">
        <v>869</v>
      </c>
      <c r="P1189" s="9">
        <v>870</v>
      </c>
      <c r="Q1189" s="9">
        <v>817</v>
      </c>
      <c r="R1189" s="9">
        <v>824</v>
      </c>
      <c r="S1189" s="9">
        <v>821</v>
      </c>
      <c r="T1189" s="9">
        <v>821</v>
      </c>
      <c r="U1189" s="9">
        <v>839</v>
      </c>
      <c r="V1189" s="9">
        <v>843</v>
      </c>
      <c r="W1189" s="9">
        <v>819</v>
      </c>
      <c r="X1189" s="9">
        <v>787</v>
      </c>
      <c r="Y1189" s="9">
        <v>783</v>
      </c>
      <c r="Z1189" s="9">
        <v>793</v>
      </c>
      <c r="AA1189" s="9">
        <v>791</v>
      </c>
      <c r="AB1189" s="9">
        <v>800</v>
      </c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</row>
    <row r="1190" spans="1:47" ht="14.4">
      <c r="A1190" s="3">
        <f>LOOKUP(D1190,'AMFI DATA_2023H2'!F:L,'AMFI DATA_2023H2'!L:L)</f>
        <v>1299</v>
      </c>
      <c r="B1190" s="4" t="s">
        <v>3569</v>
      </c>
      <c r="C1190" s="4" t="s">
        <v>3570</v>
      </c>
      <c r="D1190" s="5" t="s">
        <v>3571</v>
      </c>
      <c r="E1190" s="5">
        <v>925.81</v>
      </c>
      <c r="F1190" s="6">
        <f>LOOKUP(D1190,'AMFI DATA_2023H2'!F:J,'AMFI DATA_2023H2'!J:J)</f>
        <v>807.93914999999993</v>
      </c>
      <c r="G1190" s="7">
        <f t="shared" si="4"/>
        <v>-1</v>
      </c>
      <c r="H1190" s="9"/>
      <c r="I1190" s="9">
        <v>1513</v>
      </c>
      <c r="J1190" s="9">
        <v>1371</v>
      </c>
      <c r="K1190" s="9">
        <v>1252</v>
      </c>
      <c r="L1190" s="9">
        <v>1234</v>
      </c>
      <c r="M1190" s="9">
        <v>1254</v>
      </c>
      <c r="N1190" s="9">
        <v>1272</v>
      </c>
      <c r="O1190" s="9">
        <v>1211</v>
      </c>
      <c r="P1190" s="9">
        <v>1177</v>
      </c>
      <c r="Q1190" s="9">
        <v>1115</v>
      </c>
      <c r="R1190" s="9">
        <v>952</v>
      </c>
      <c r="S1190" s="9">
        <v>945</v>
      </c>
      <c r="T1190" s="9">
        <v>948</v>
      </c>
      <c r="U1190" s="9">
        <v>929</v>
      </c>
      <c r="V1190" s="9">
        <v>927</v>
      </c>
      <c r="W1190" s="9">
        <v>980</v>
      </c>
      <c r="X1190" s="9">
        <v>984</v>
      </c>
      <c r="Y1190" s="9">
        <v>1027</v>
      </c>
      <c r="Z1190" s="9">
        <v>981</v>
      </c>
      <c r="AA1190" s="9">
        <v>831</v>
      </c>
      <c r="AB1190" s="9">
        <v>784</v>
      </c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</row>
    <row r="1191" spans="1:47" ht="14.4">
      <c r="A1191" s="3">
        <f>LOOKUP(D1191,'AMFI DATA_2023H2'!F:L,'AMFI DATA_2023H2'!L:L)</f>
        <v>1300</v>
      </c>
      <c r="B1191" s="4" t="s">
        <v>3572</v>
      </c>
      <c r="C1191" s="4" t="s">
        <v>3573</v>
      </c>
      <c r="D1191" s="5" t="s">
        <v>3574</v>
      </c>
      <c r="E1191" s="5">
        <v>568.46</v>
      </c>
      <c r="F1191" s="6">
        <f>LOOKUP(D1191,'AMFI DATA_2023H2'!F:J,'AMFI DATA_2023H2'!J:J)</f>
        <v>804.50170000000003</v>
      </c>
      <c r="G1191" s="7">
        <f t="shared" si="4"/>
        <v>-1</v>
      </c>
      <c r="H1191" s="8"/>
      <c r="I1191" s="8">
        <v>1177</v>
      </c>
      <c r="J1191" s="8">
        <v>1188</v>
      </c>
      <c r="K1191" s="8">
        <v>1182</v>
      </c>
      <c r="L1191" s="8">
        <v>1155</v>
      </c>
      <c r="M1191" s="8">
        <v>1137</v>
      </c>
      <c r="N1191" s="8">
        <v>1163</v>
      </c>
      <c r="O1191" s="8">
        <v>1151</v>
      </c>
      <c r="P1191" s="8">
        <v>1151</v>
      </c>
      <c r="Q1191" s="8">
        <v>1158</v>
      </c>
      <c r="R1191" s="8">
        <v>1160</v>
      </c>
      <c r="S1191" s="8">
        <v>1151</v>
      </c>
      <c r="T1191" s="8">
        <v>1171</v>
      </c>
      <c r="U1191" s="8">
        <v>1179</v>
      </c>
      <c r="V1191" s="8">
        <v>1172</v>
      </c>
      <c r="W1191" s="8">
        <v>1149</v>
      </c>
      <c r="X1191" s="8">
        <v>1062</v>
      </c>
      <c r="Y1191" s="8">
        <v>999</v>
      </c>
      <c r="Z1191" s="8">
        <v>1004</v>
      </c>
      <c r="AA1191" s="8">
        <v>1026</v>
      </c>
      <c r="AB1191" s="8">
        <v>1040</v>
      </c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</row>
    <row r="1192" spans="1:47" ht="14.4">
      <c r="A1192" s="3">
        <f>LOOKUP(D1192,'AMFI DATA_2023H2'!F:L,'AMFI DATA_2023H2'!L:L)</f>
        <v>1301</v>
      </c>
      <c r="B1192" s="4" t="s">
        <v>3575</v>
      </c>
      <c r="C1192" s="4" t="s">
        <v>3576</v>
      </c>
      <c r="D1192" s="5" t="s">
        <v>3577</v>
      </c>
      <c r="E1192" s="5">
        <v>734.8</v>
      </c>
      <c r="F1192" s="6">
        <f>LOOKUP(D1192,'AMFI DATA_2023H2'!F:J,'AMFI DATA_2023H2'!J:J)</f>
        <v>804.08355000000006</v>
      </c>
      <c r="G1192" s="7">
        <f t="shared" si="4"/>
        <v>-1</v>
      </c>
      <c r="H1192" s="9"/>
      <c r="I1192" s="9">
        <v>909</v>
      </c>
      <c r="J1192" s="9">
        <v>891</v>
      </c>
      <c r="K1192" s="9">
        <v>872</v>
      </c>
      <c r="L1192" s="9">
        <v>892</v>
      </c>
      <c r="M1192" s="9">
        <v>892</v>
      </c>
      <c r="N1192" s="9">
        <v>919</v>
      </c>
      <c r="O1192" s="9">
        <v>904</v>
      </c>
      <c r="P1192" s="9">
        <v>804</v>
      </c>
      <c r="Q1192" s="9">
        <v>809</v>
      </c>
      <c r="R1192" s="9">
        <v>825</v>
      </c>
      <c r="S1192" s="9">
        <v>820</v>
      </c>
      <c r="T1192" s="9">
        <v>821</v>
      </c>
      <c r="U1192" s="9">
        <v>826</v>
      </c>
      <c r="V1192" s="9">
        <v>821</v>
      </c>
      <c r="W1192" s="9">
        <v>835</v>
      </c>
      <c r="X1192" s="9">
        <v>834</v>
      </c>
      <c r="Y1192" s="9">
        <v>824</v>
      </c>
      <c r="Z1192" s="9">
        <v>789</v>
      </c>
      <c r="AA1192" s="9">
        <v>791</v>
      </c>
      <c r="AB1192" s="9">
        <v>787</v>
      </c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</row>
    <row r="1193" spans="1:47" ht="14.4">
      <c r="A1193" s="3">
        <f>LOOKUP(D1193,'AMFI DATA_2023H2'!F:L,'AMFI DATA_2023H2'!L:L)</f>
        <v>1303</v>
      </c>
      <c r="B1193" s="4" t="s">
        <v>3578</v>
      </c>
      <c r="C1193" s="4" t="s">
        <v>3579</v>
      </c>
      <c r="D1193" s="5" t="s">
        <v>3580</v>
      </c>
      <c r="E1193" s="5">
        <v>103.8</v>
      </c>
      <c r="F1193" s="6">
        <f>LOOKUP(D1193,'AMFI DATA_2023H2'!F:J,'AMFI DATA_2023H2'!J:J)</f>
        <v>799.72465</v>
      </c>
      <c r="G1193" s="7">
        <f t="shared" si="4"/>
        <v>-1</v>
      </c>
      <c r="H1193" s="9"/>
      <c r="I1193" s="9">
        <v>1136</v>
      </c>
      <c r="J1193" s="9">
        <v>1161</v>
      </c>
      <c r="K1193" s="9">
        <v>1076</v>
      </c>
      <c r="L1193" s="9">
        <v>1121</v>
      </c>
      <c r="M1193" s="9">
        <v>1150</v>
      </c>
      <c r="N1193" s="9">
        <v>1200</v>
      </c>
      <c r="O1193" s="9">
        <v>1182</v>
      </c>
      <c r="P1193" s="9">
        <v>1149</v>
      </c>
      <c r="Q1193" s="9">
        <v>1150</v>
      </c>
      <c r="R1193" s="9">
        <v>1234</v>
      </c>
      <c r="S1193" s="9">
        <v>1111</v>
      </c>
      <c r="T1193" s="9">
        <v>1000</v>
      </c>
      <c r="U1193" s="9">
        <v>939</v>
      </c>
      <c r="V1193" s="9">
        <v>926</v>
      </c>
      <c r="W1193" s="9">
        <v>925</v>
      </c>
      <c r="X1193" s="9">
        <v>922</v>
      </c>
      <c r="Y1193" s="9">
        <v>927</v>
      </c>
      <c r="Z1193" s="9">
        <v>924</v>
      </c>
      <c r="AA1193" s="9">
        <v>917</v>
      </c>
      <c r="AB1193" s="9">
        <v>873</v>
      </c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</row>
    <row r="1194" spans="1:47" ht="14.4">
      <c r="A1194" s="3">
        <f>LOOKUP(D1194,'AMFI DATA_2023H2'!F:L,'AMFI DATA_2023H2'!L:L)</f>
        <v>1304</v>
      </c>
      <c r="B1194" s="4" t="s">
        <v>3581</v>
      </c>
      <c r="C1194" s="4" t="s">
        <v>3582</v>
      </c>
      <c r="D1194" s="5" t="s">
        <v>3583</v>
      </c>
      <c r="E1194" s="5">
        <v>799.74</v>
      </c>
      <c r="F1194" s="6">
        <f>LOOKUP(D1194,'AMFI DATA_2023H2'!F:J,'AMFI DATA_2023H2'!J:J)</f>
        <v>794.94405000000006</v>
      </c>
      <c r="G1194" s="7">
        <f t="shared" si="4"/>
        <v>-1</v>
      </c>
      <c r="H1194" s="9"/>
      <c r="I1194" s="9">
        <v>824</v>
      </c>
      <c r="J1194" s="9">
        <v>837</v>
      </c>
      <c r="K1194" s="9">
        <v>800</v>
      </c>
      <c r="L1194" s="9">
        <v>798</v>
      </c>
      <c r="M1194" s="9">
        <v>820</v>
      </c>
      <c r="N1194" s="9">
        <v>790</v>
      </c>
      <c r="O1194" s="9">
        <v>742</v>
      </c>
      <c r="P1194" s="9">
        <v>737</v>
      </c>
      <c r="Q1194" s="9">
        <v>740</v>
      </c>
      <c r="R1194" s="9">
        <v>746</v>
      </c>
      <c r="S1194" s="9">
        <v>749</v>
      </c>
      <c r="T1194" s="9">
        <v>753</v>
      </c>
      <c r="U1194" s="9">
        <v>740</v>
      </c>
      <c r="V1194" s="9">
        <v>747</v>
      </c>
      <c r="W1194" s="9">
        <v>754</v>
      </c>
      <c r="X1194" s="9">
        <v>735</v>
      </c>
      <c r="Y1194" s="9">
        <v>745</v>
      </c>
      <c r="Z1194" s="9">
        <v>734</v>
      </c>
      <c r="AA1194" s="9">
        <v>732</v>
      </c>
      <c r="AB1194" s="9">
        <v>734</v>
      </c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</row>
    <row r="1195" spans="1:47" ht="14.4">
      <c r="A1195" s="3">
        <f>LOOKUP(D1195,'AMFI DATA_2023H2'!F:L,'AMFI DATA_2023H2'!L:L)</f>
        <v>1305</v>
      </c>
      <c r="B1195" s="4" t="s">
        <v>3584</v>
      </c>
      <c r="C1195" s="4" t="s">
        <v>3585</v>
      </c>
      <c r="D1195" s="5" t="s">
        <v>3586</v>
      </c>
      <c r="E1195" s="5">
        <v>731.17</v>
      </c>
      <c r="F1195" s="6">
        <f>LOOKUP(D1195,'AMFI DATA_2023H2'!F:J,'AMFI DATA_2023H2'!J:J)</f>
        <v>794.66830000000004</v>
      </c>
      <c r="G1195" s="7">
        <f t="shared" si="4"/>
        <v>-1</v>
      </c>
      <c r="H1195" s="9"/>
      <c r="I1195" s="9">
        <v>920</v>
      </c>
      <c r="J1195" s="9">
        <v>908</v>
      </c>
      <c r="K1195" s="9">
        <v>913</v>
      </c>
      <c r="L1195" s="9">
        <v>924</v>
      </c>
      <c r="M1195" s="9">
        <v>943</v>
      </c>
      <c r="N1195" s="9">
        <v>952</v>
      </c>
      <c r="O1195" s="9">
        <v>960</v>
      </c>
      <c r="P1195" s="9">
        <v>919</v>
      </c>
      <c r="Q1195" s="9">
        <v>911</v>
      </c>
      <c r="R1195" s="9">
        <v>903</v>
      </c>
      <c r="S1195" s="9">
        <v>929</v>
      </c>
      <c r="T1195" s="9">
        <v>929</v>
      </c>
      <c r="U1195" s="9">
        <v>907</v>
      </c>
      <c r="V1195" s="9">
        <v>902</v>
      </c>
      <c r="W1195" s="9">
        <v>913</v>
      </c>
      <c r="X1195" s="9">
        <v>901</v>
      </c>
      <c r="Y1195" s="9">
        <v>918</v>
      </c>
      <c r="Z1195" s="9">
        <v>910</v>
      </c>
      <c r="AA1195" s="9">
        <v>925</v>
      </c>
      <c r="AB1195" s="9">
        <v>919</v>
      </c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</row>
    <row r="1196" spans="1:47" ht="14.4">
      <c r="A1196" s="3">
        <f>LOOKUP(D1196,'AMFI DATA_2023H2'!F:L,'AMFI DATA_2023H2'!L:L)</f>
        <v>1306</v>
      </c>
      <c r="B1196" s="4" t="s">
        <v>3587</v>
      </c>
      <c r="C1196" s="4" t="s">
        <v>3588</v>
      </c>
      <c r="D1196" s="5" t="s">
        <v>3589</v>
      </c>
      <c r="E1196" s="5">
        <v>937.74</v>
      </c>
      <c r="F1196" s="6">
        <f>LOOKUP(D1196,'AMFI DATA_2023H2'!F:J,'AMFI DATA_2023H2'!J:J)</f>
        <v>793.31265000000008</v>
      </c>
      <c r="G1196" s="7">
        <f t="shared" si="4"/>
        <v>-1</v>
      </c>
      <c r="H1196" s="9"/>
      <c r="I1196" s="9">
        <v>831</v>
      </c>
      <c r="J1196" s="9">
        <v>838</v>
      </c>
      <c r="K1196" s="9">
        <v>837</v>
      </c>
      <c r="L1196" s="9">
        <v>856</v>
      </c>
      <c r="M1196" s="9">
        <v>838</v>
      </c>
      <c r="N1196" s="9">
        <v>854</v>
      </c>
      <c r="O1196" s="9">
        <v>806</v>
      </c>
      <c r="P1196" s="9">
        <v>806</v>
      </c>
      <c r="Q1196" s="9">
        <v>802</v>
      </c>
      <c r="R1196" s="9">
        <v>806</v>
      </c>
      <c r="S1196" s="9">
        <v>806</v>
      </c>
      <c r="T1196" s="9">
        <v>814</v>
      </c>
      <c r="U1196" s="9">
        <v>813</v>
      </c>
      <c r="V1196" s="9">
        <v>799</v>
      </c>
      <c r="W1196" s="9">
        <v>796</v>
      </c>
      <c r="X1196" s="9">
        <v>741</v>
      </c>
      <c r="Y1196" s="9">
        <v>733</v>
      </c>
      <c r="Z1196" s="9">
        <v>738</v>
      </c>
      <c r="AA1196" s="9">
        <v>728</v>
      </c>
      <c r="AB1196" s="9">
        <v>736</v>
      </c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</row>
    <row r="1197" spans="1:47" ht="14.4">
      <c r="A1197" s="3">
        <f>LOOKUP(D1197,'AMFI DATA_2023H2'!F:L,'AMFI DATA_2023H2'!L:L)</f>
        <v>1307</v>
      </c>
      <c r="B1197" s="4" t="s">
        <v>3590</v>
      </c>
      <c r="C1197" s="4" t="s">
        <v>3591</v>
      </c>
      <c r="D1197" s="5" t="s">
        <v>3592</v>
      </c>
      <c r="E1197" s="5">
        <v>2642.57</v>
      </c>
      <c r="F1197" s="6">
        <f>LOOKUP(D1197,'AMFI DATA_2023H2'!F:J,'AMFI DATA_2023H2'!J:J)</f>
        <v>793.05790000000002</v>
      </c>
      <c r="G1197" s="7">
        <f t="shared" si="4"/>
        <v>-1</v>
      </c>
      <c r="H1197" s="9"/>
      <c r="I1197" s="9">
        <v>1455</v>
      </c>
      <c r="J1197" s="9">
        <v>1267</v>
      </c>
      <c r="K1197" s="9">
        <v>1126</v>
      </c>
      <c r="L1197" s="9">
        <v>987</v>
      </c>
      <c r="M1197" s="9">
        <v>1005</v>
      </c>
      <c r="N1197" s="9">
        <v>924</v>
      </c>
      <c r="O1197" s="9">
        <v>930</v>
      </c>
      <c r="P1197" s="9">
        <v>942</v>
      </c>
      <c r="Q1197" s="9">
        <v>935</v>
      </c>
      <c r="R1197" s="9">
        <v>900</v>
      </c>
      <c r="S1197" s="9">
        <v>924</v>
      </c>
      <c r="T1197" s="9">
        <v>934</v>
      </c>
      <c r="U1197" s="9">
        <v>944</v>
      </c>
      <c r="V1197" s="9">
        <v>952</v>
      </c>
      <c r="W1197" s="9">
        <v>938</v>
      </c>
      <c r="X1197" s="9">
        <v>858</v>
      </c>
      <c r="Y1197" s="9">
        <v>868</v>
      </c>
      <c r="Z1197" s="9">
        <v>881</v>
      </c>
      <c r="AA1197" s="9">
        <v>899</v>
      </c>
      <c r="AB1197" s="9">
        <v>911</v>
      </c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</row>
    <row r="1198" spans="1:47" ht="14.4">
      <c r="A1198" s="3">
        <f>LOOKUP(D1198,'AMFI DATA_2023H2'!F:L,'AMFI DATA_2023H2'!L:L)</f>
        <v>1309</v>
      </c>
      <c r="B1198" s="4" t="s">
        <v>3593</v>
      </c>
      <c r="C1198" s="4" t="s">
        <v>3594</v>
      </c>
      <c r="D1198" s="5" t="s">
        <v>3595</v>
      </c>
      <c r="E1198" s="5">
        <v>615.66</v>
      </c>
      <c r="F1198" s="6">
        <f>LOOKUP(D1198,'AMFI DATA_2023H2'!F:J,'AMFI DATA_2023H2'!J:J)</f>
        <v>791.6910499999999</v>
      </c>
      <c r="G1198" s="7">
        <f t="shared" si="4"/>
        <v>-1</v>
      </c>
      <c r="H1198" s="9"/>
      <c r="I1198" s="9">
        <v>1154</v>
      </c>
      <c r="J1198" s="9">
        <v>1151</v>
      </c>
      <c r="K1198" s="9">
        <v>1187</v>
      </c>
      <c r="L1198" s="9">
        <v>1125</v>
      </c>
      <c r="M1198" s="9">
        <v>1191</v>
      </c>
      <c r="N1198" s="9">
        <v>1104</v>
      </c>
      <c r="O1198" s="9">
        <v>1068</v>
      </c>
      <c r="P1198" s="9">
        <v>1059</v>
      </c>
      <c r="Q1198" s="9">
        <v>961</v>
      </c>
      <c r="R1198" s="9">
        <v>995</v>
      </c>
      <c r="S1198" s="9">
        <v>895</v>
      </c>
      <c r="T1198" s="9">
        <v>879</v>
      </c>
      <c r="U1198" s="9">
        <v>894</v>
      </c>
      <c r="V1198" s="9">
        <v>882</v>
      </c>
      <c r="W1198" s="9">
        <v>874</v>
      </c>
      <c r="X1198" s="9">
        <v>873</v>
      </c>
      <c r="Y1198" s="9">
        <v>870</v>
      </c>
      <c r="Z1198" s="9">
        <v>871</v>
      </c>
      <c r="AA1198" s="9">
        <v>896</v>
      </c>
      <c r="AB1198" s="9">
        <v>897</v>
      </c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</row>
    <row r="1199" spans="1:47" ht="14.4">
      <c r="A1199" s="3">
        <f>LOOKUP(D1199,'AMFI DATA_2023H2'!F:L,'AMFI DATA_2023H2'!L:L)</f>
        <v>1310</v>
      </c>
      <c r="B1199" s="4" t="s">
        <v>3596</v>
      </c>
      <c r="C1199" s="4" t="s">
        <v>3597</v>
      </c>
      <c r="D1199" s="5" t="s">
        <v>3598</v>
      </c>
      <c r="E1199" s="5">
        <v>557.01</v>
      </c>
      <c r="F1199" s="6">
        <f>LOOKUP(D1199,'AMFI DATA_2023H2'!F:J,'AMFI DATA_2023H2'!J:J)</f>
        <v>791.64490000000001</v>
      </c>
      <c r="G1199" s="7">
        <f t="shared" si="4"/>
        <v>-1</v>
      </c>
      <c r="H1199" s="9"/>
      <c r="I1199" s="9">
        <v>1005</v>
      </c>
      <c r="J1199" s="9">
        <v>1001</v>
      </c>
      <c r="K1199" s="9">
        <v>994</v>
      </c>
      <c r="L1199" s="9">
        <v>966</v>
      </c>
      <c r="M1199" s="9">
        <v>995</v>
      </c>
      <c r="N1199" s="9">
        <v>1006</v>
      </c>
      <c r="O1199" s="9">
        <v>1004</v>
      </c>
      <c r="P1199" s="9">
        <v>1004</v>
      </c>
      <c r="Q1199" s="9">
        <v>1013</v>
      </c>
      <c r="R1199" s="9">
        <v>1049</v>
      </c>
      <c r="S1199" s="9">
        <v>1040</v>
      </c>
      <c r="T1199" s="9">
        <v>1046</v>
      </c>
      <c r="U1199" s="9">
        <v>1054</v>
      </c>
      <c r="V1199" s="9">
        <v>1098</v>
      </c>
      <c r="W1199" s="9">
        <v>992</v>
      </c>
      <c r="X1199" s="9">
        <v>893</v>
      </c>
      <c r="Y1199" s="9">
        <v>900</v>
      </c>
      <c r="Z1199" s="9">
        <v>891</v>
      </c>
      <c r="AA1199" s="9">
        <v>900</v>
      </c>
      <c r="AB1199" s="9">
        <v>892</v>
      </c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</row>
    <row r="1200" spans="1:47" ht="14.4">
      <c r="A1200" s="3">
        <f>LOOKUP(D1200,'AMFI DATA_2023H2'!F:L,'AMFI DATA_2023H2'!L:L)</f>
        <v>1311</v>
      </c>
      <c r="B1200" s="4" t="s">
        <v>3599</v>
      </c>
      <c r="C1200" s="4" t="s">
        <v>3600</v>
      </c>
      <c r="D1200" s="5" t="s">
        <v>3601</v>
      </c>
      <c r="E1200" s="5">
        <v>488.36</v>
      </c>
      <c r="F1200" s="6">
        <f>LOOKUP(D1200,'AMFI DATA_2023H2'!F:J,'AMFI DATA_2023H2'!J:J)</f>
        <v>791.13549999999998</v>
      </c>
      <c r="G1200" s="7">
        <f t="shared" si="4"/>
        <v>-1</v>
      </c>
      <c r="H1200" s="8"/>
      <c r="I1200" s="8">
        <v>981</v>
      </c>
      <c r="J1200" s="8">
        <v>981</v>
      </c>
      <c r="K1200" s="8">
        <v>950</v>
      </c>
      <c r="L1200" s="8">
        <v>980</v>
      </c>
      <c r="M1200" s="8">
        <v>989</v>
      </c>
      <c r="N1200" s="8">
        <v>974</v>
      </c>
      <c r="O1200" s="8">
        <v>975</v>
      </c>
      <c r="P1200" s="8">
        <v>1000</v>
      </c>
      <c r="Q1200" s="8">
        <v>977</v>
      </c>
      <c r="R1200" s="8">
        <v>981</v>
      </c>
      <c r="S1200" s="8">
        <v>1016</v>
      </c>
      <c r="T1200" s="8">
        <v>1025</v>
      </c>
      <c r="U1200" s="8">
        <v>1013</v>
      </c>
      <c r="V1200" s="8">
        <v>1019</v>
      </c>
      <c r="W1200" s="8">
        <v>1030</v>
      </c>
      <c r="X1200" s="8">
        <v>1032</v>
      </c>
      <c r="Y1200" s="8">
        <v>1045</v>
      </c>
      <c r="Z1200" s="8">
        <v>1042</v>
      </c>
      <c r="AA1200" s="8">
        <v>1050</v>
      </c>
      <c r="AB1200" s="8">
        <v>1030</v>
      </c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</row>
    <row r="1201" spans="1:47" ht="14.4">
      <c r="A1201" s="3">
        <f>LOOKUP(D1201,'AMFI DATA_2023H2'!F:L,'AMFI DATA_2023H2'!L:L)</f>
        <v>1312</v>
      </c>
      <c r="B1201" s="4" t="s">
        <v>3602</v>
      </c>
      <c r="C1201" s="4" t="s">
        <v>3603</v>
      </c>
      <c r="D1201" s="5" t="s">
        <v>3604</v>
      </c>
      <c r="E1201" s="5">
        <v>630.66999999999996</v>
      </c>
      <c r="F1201" s="6">
        <f>LOOKUP(D1201,'AMFI DATA_2023H2'!F:J,'AMFI DATA_2023H2'!J:J)</f>
        <v>789.2527</v>
      </c>
      <c r="G1201" s="7">
        <f t="shared" si="4"/>
        <v>-1</v>
      </c>
      <c r="H1201" s="9"/>
      <c r="I1201" s="9">
        <v>769</v>
      </c>
      <c r="J1201" s="9">
        <v>766</v>
      </c>
      <c r="K1201" s="9">
        <v>766</v>
      </c>
      <c r="L1201" s="9">
        <v>783</v>
      </c>
      <c r="M1201" s="9">
        <v>790</v>
      </c>
      <c r="N1201" s="9">
        <v>793</v>
      </c>
      <c r="O1201" s="9">
        <v>794</v>
      </c>
      <c r="P1201" s="9">
        <v>793</v>
      </c>
      <c r="Q1201" s="9">
        <v>780</v>
      </c>
      <c r="R1201" s="9">
        <v>779</v>
      </c>
      <c r="S1201" s="9">
        <v>779</v>
      </c>
      <c r="T1201" s="9">
        <v>786</v>
      </c>
      <c r="U1201" s="9">
        <v>790</v>
      </c>
      <c r="V1201" s="9">
        <v>780</v>
      </c>
      <c r="W1201" s="9">
        <v>790</v>
      </c>
      <c r="X1201" s="9">
        <v>769</v>
      </c>
      <c r="Y1201" s="9">
        <v>751</v>
      </c>
      <c r="Z1201" s="9">
        <v>748</v>
      </c>
      <c r="AA1201" s="9">
        <v>746</v>
      </c>
      <c r="AB1201" s="9">
        <v>740</v>
      </c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</row>
    <row r="1202" spans="1:47" ht="14.4">
      <c r="A1202" s="3">
        <f>LOOKUP(D1202,'AMFI DATA_2023H2'!F:L,'AMFI DATA_2023H2'!L:L)</f>
        <v>1313</v>
      </c>
      <c r="B1202" s="4" t="s">
        <v>3605</v>
      </c>
      <c r="C1202" s="4" t="s">
        <v>3606</v>
      </c>
      <c r="D1202" s="5" t="s">
        <v>3607</v>
      </c>
      <c r="E1202" s="5">
        <v>1737.2</v>
      </c>
      <c r="F1202" s="6">
        <f>LOOKUP(D1202,'AMFI DATA_2023H2'!F:J,'AMFI DATA_2023H2'!J:J)</f>
        <v>786.10944999999992</v>
      </c>
      <c r="G1202" s="7">
        <f t="shared" si="4"/>
        <v>-1</v>
      </c>
      <c r="H1202" s="9"/>
      <c r="I1202" s="9">
        <v>886</v>
      </c>
      <c r="J1202" s="9">
        <v>811</v>
      </c>
      <c r="K1202" s="9">
        <v>812</v>
      </c>
      <c r="L1202" s="9">
        <v>816</v>
      </c>
      <c r="M1202" s="9">
        <v>769</v>
      </c>
      <c r="N1202" s="9">
        <v>759</v>
      </c>
      <c r="O1202" s="9">
        <v>760</v>
      </c>
      <c r="P1202" s="9">
        <v>728</v>
      </c>
      <c r="Q1202" s="9">
        <v>742</v>
      </c>
      <c r="R1202" s="9">
        <v>735</v>
      </c>
      <c r="S1202" s="9">
        <v>754</v>
      </c>
      <c r="T1202" s="9">
        <v>760</v>
      </c>
      <c r="U1202" s="9">
        <v>749</v>
      </c>
      <c r="V1202" s="9">
        <v>754</v>
      </c>
      <c r="W1202" s="9">
        <v>763</v>
      </c>
      <c r="X1202" s="9">
        <v>752</v>
      </c>
      <c r="Y1202" s="9">
        <v>764</v>
      </c>
      <c r="Z1202" s="9">
        <v>760</v>
      </c>
      <c r="AA1202" s="9">
        <v>762</v>
      </c>
      <c r="AB1202" s="9">
        <v>769</v>
      </c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</row>
    <row r="1203" spans="1:47" ht="14.4">
      <c r="A1203" s="3">
        <f>LOOKUP(D1203,'AMFI DATA_2023H2'!F:L,'AMFI DATA_2023H2'!L:L)</f>
        <v>1314</v>
      </c>
      <c r="B1203" s="4" t="s">
        <v>3608</v>
      </c>
      <c r="C1203" s="4" t="s">
        <v>3609</v>
      </c>
      <c r="D1203" s="5" t="s">
        <v>3610</v>
      </c>
      <c r="E1203" s="5">
        <v>761.8</v>
      </c>
      <c r="F1203" s="6">
        <f>LOOKUP(D1203,'AMFI DATA_2023H2'!F:J,'AMFI DATA_2023H2'!J:J)</f>
        <v>785.36310000000003</v>
      </c>
      <c r="G1203" s="7">
        <f t="shared" si="4"/>
        <v>-1</v>
      </c>
      <c r="H1203" s="9"/>
      <c r="I1203" s="9">
        <v>803</v>
      </c>
      <c r="J1203" s="9">
        <v>725</v>
      </c>
      <c r="K1203" s="9">
        <v>719</v>
      </c>
      <c r="L1203" s="9">
        <v>743</v>
      </c>
      <c r="M1203" s="9">
        <v>738</v>
      </c>
      <c r="N1203" s="9">
        <v>719</v>
      </c>
      <c r="O1203" s="9">
        <v>720</v>
      </c>
      <c r="P1203" s="9">
        <v>719</v>
      </c>
      <c r="Q1203" s="9">
        <v>730</v>
      </c>
      <c r="R1203" s="9">
        <v>724</v>
      </c>
      <c r="S1203" s="9">
        <v>726</v>
      </c>
      <c r="T1203" s="9">
        <v>744</v>
      </c>
      <c r="U1203" s="9">
        <v>741</v>
      </c>
      <c r="V1203" s="9">
        <v>726</v>
      </c>
      <c r="W1203" s="9">
        <v>742</v>
      </c>
      <c r="X1203" s="9">
        <v>722</v>
      </c>
      <c r="Y1203" s="9">
        <v>726</v>
      </c>
      <c r="Z1203" s="9">
        <v>737</v>
      </c>
      <c r="AA1203" s="9">
        <v>752</v>
      </c>
      <c r="AB1203" s="9">
        <v>757</v>
      </c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</row>
    <row r="1204" spans="1:47" ht="14.4">
      <c r="A1204" s="3">
        <f>LOOKUP(D1204,'AMFI DATA_2023H2'!F:L,'AMFI DATA_2023H2'!L:L)</f>
        <v>1315</v>
      </c>
      <c r="B1204" s="4" t="s">
        <v>3611</v>
      </c>
      <c r="C1204" s="4" t="s">
        <v>3612</v>
      </c>
      <c r="D1204" s="5" t="s">
        <v>3613</v>
      </c>
      <c r="E1204" s="5">
        <v>580.51</v>
      </c>
      <c r="F1204" s="6">
        <f>LOOKUP(D1204,'AMFI DATA_2023H2'!F:J,'AMFI DATA_2023H2'!J:J)</f>
        <v>777.76614999999993</v>
      </c>
      <c r="G1204" s="7">
        <f t="shared" si="4"/>
        <v>-1</v>
      </c>
      <c r="H1204" s="9"/>
      <c r="I1204" s="9">
        <v>804</v>
      </c>
      <c r="J1204" s="9">
        <v>808</v>
      </c>
      <c r="K1204" s="9">
        <v>817</v>
      </c>
      <c r="L1204" s="9">
        <v>786</v>
      </c>
      <c r="M1204" s="9">
        <v>801</v>
      </c>
      <c r="N1204" s="9">
        <v>826</v>
      </c>
      <c r="O1204" s="9">
        <v>832</v>
      </c>
      <c r="P1204" s="9">
        <v>796</v>
      </c>
      <c r="Q1204" s="9">
        <v>809</v>
      </c>
      <c r="R1204" s="9">
        <v>749</v>
      </c>
      <c r="S1204" s="9">
        <v>765</v>
      </c>
      <c r="T1204" s="9">
        <v>761</v>
      </c>
      <c r="U1204" s="9">
        <v>726</v>
      </c>
      <c r="V1204" s="9">
        <v>730</v>
      </c>
      <c r="W1204" s="9">
        <v>740</v>
      </c>
      <c r="X1204" s="9">
        <v>737</v>
      </c>
      <c r="Y1204" s="9">
        <v>731</v>
      </c>
      <c r="Z1204" s="9">
        <v>742</v>
      </c>
      <c r="AA1204" s="9">
        <v>743</v>
      </c>
      <c r="AB1204" s="9">
        <v>740</v>
      </c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</row>
    <row r="1205" spans="1:47" ht="14.4">
      <c r="A1205" s="3">
        <f>LOOKUP(D1205,'AMFI DATA_2023H2'!F:L,'AMFI DATA_2023H2'!L:L)</f>
        <v>1316</v>
      </c>
      <c r="B1205" s="4" t="s">
        <v>3614</v>
      </c>
      <c r="C1205" s="4" t="s">
        <v>3615</v>
      </c>
      <c r="D1205" s="5" t="s">
        <v>3616</v>
      </c>
      <c r="E1205" s="5">
        <v>674.78</v>
      </c>
      <c r="F1205" s="6">
        <f>LOOKUP(D1205,'AMFI DATA_2023H2'!F:J,'AMFI DATA_2023H2'!J:J)</f>
        <v>777.65859999999998</v>
      </c>
      <c r="G1205" s="7">
        <f t="shared" si="4"/>
        <v>-1</v>
      </c>
      <c r="H1205" s="9"/>
      <c r="I1205" s="9">
        <v>836</v>
      </c>
      <c r="J1205" s="9">
        <v>819</v>
      </c>
      <c r="K1205" s="9">
        <v>845</v>
      </c>
      <c r="L1205" s="9">
        <v>862</v>
      </c>
      <c r="M1205" s="9">
        <v>870</v>
      </c>
      <c r="N1205" s="9">
        <v>811</v>
      </c>
      <c r="O1205" s="9">
        <v>785</v>
      </c>
      <c r="P1205" s="9">
        <v>797</v>
      </c>
      <c r="Q1205" s="9">
        <v>800</v>
      </c>
      <c r="R1205" s="9">
        <v>801</v>
      </c>
      <c r="S1205" s="9">
        <v>831</v>
      </c>
      <c r="T1205" s="9">
        <v>841</v>
      </c>
      <c r="U1205" s="9">
        <v>842</v>
      </c>
      <c r="V1205" s="9">
        <v>854</v>
      </c>
      <c r="W1205" s="9">
        <v>853</v>
      </c>
      <c r="X1205" s="9">
        <v>831</v>
      </c>
      <c r="Y1205" s="9">
        <v>819</v>
      </c>
      <c r="Z1205" s="9">
        <v>819</v>
      </c>
      <c r="AA1205" s="9">
        <v>794</v>
      </c>
      <c r="AB1205" s="9">
        <v>757</v>
      </c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</row>
    <row r="1206" spans="1:47" ht="14.4">
      <c r="A1206" s="3">
        <f>LOOKUP(D1206,'AMFI DATA_2023H2'!F:L,'AMFI DATA_2023H2'!L:L)</f>
        <v>1320</v>
      </c>
      <c r="B1206" s="4" t="s">
        <v>3617</v>
      </c>
      <c r="C1206" s="4" t="s">
        <v>3618</v>
      </c>
      <c r="D1206" s="5" t="s">
        <v>3619</v>
      </c>
      <c r="E1206" s="5">
        <v>710.57</v>
      </c>
      <c r="F1206" s="6">
        <f>LOOKUP(D1206,'AMFI DATA_2023H2'!F:J,'AMFI DATA_2023H2'!J:J)</f>
        <v>773.72804999999994</v>
      </c>
      <c r="G1206" s="7">
        <f t="shared" si="4"/>
        <v>-1</v>
      </c>
      <c r="H1206" s="9"/>
      <c r="I1206" s="9">
        <v>994</v>
      </c>
      <c r="J1206" s="9">
        <v>952</v>
      </c>
      <c r="K1206" s="9">
        <v>953</v>
      </c>
      <c r="L1206" s="9">
        <v>958</v>
      </c>
      <c r="M1206" s="9">
        <v>990</v>
      </c>
      <c r="N1206" s="9">
        <v>1005</v>
      </c>
      <c r="O1206" s="9">
        <v>1016</v>
      </c>
      <c r="P1206" s="9">
        <v>1010</v>
      </c>
      <c r="Q1206" s="9">
        <v>1021</v>
      </c>
      <c r="R1206" s="9">
        <v>1036</v>
      </c>
      <c r="S1206" s="9">
        <v>1000</v>
      </c>
      <c r="T1206" s="9">
        <v>998</v>
      </c>
      <c r="U1206" s="9">
        <v>1008</v>
      </c>
      <c r="V1206" s="9">
        <v>919</v>
      </c>
      <c r="W1206" s="9">
        <v>850</v>
      </c>
      <c r="X1206" s="9">
        <v>851</v>
      </c>
      <c r="Y1206" s="9">
        <v>855</v>
      </c>
      <c r="Z1206" s="9">
        <v>842</v>
      </c>
      <c r="AA1206" s="9">
        <v>811</v>
      </c>
      <c r="AB1206" s="9">
        <v>809</v>
      </c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</row>
    <row r="1207" spans="1:47" ht="14.4">
      <c r="A1207" s="3">
        <f>LOOKUP(D1207,'AMFI DATA_2023H2'!F:L,'AMFI DATA_2023H2'!L:L)</f>
        <v>1321</v>
      </c>
      <c r="B1207" s="4" t="s">
        <v>3620</v>
      </c>
      <c r="C1207" s="4" t="s">
        <v>3621</v>
      </c>
      <c r="D1207" s="5" t="s">
        <v>3622</v>
      </c>
      <c r="E1207" s="5">
        <v>516.73</v>
      </c>
      <c r="F1207" s="6">
        <f>LOOKUP(D1207,'AMFI DATA_2023H2'!F:J,'AMFI DATA_2023H2'!J:J)</f>
        <v>769.62670000000003</v>
      </c>
      <c r="G1207" s="7">
        <f t="shared" si="4"/>
        <v>-1</v>
      </c>
      <c r="H1207" s="9"/>
      <c r="I1207" s="9">
        <v>896</v>
      </c>
      <c r="J1207" s="9">
        <v>904</v>
      </c>
      <c r="K1207" s="9">
        <v>896</v>
      </c>
      <c r="L1207" s="9">
        <v>922</v>
      </c>
      <c r="M1207" s="9">
        <v>926</v>
      </c>
      <c r="N1207" s="9">
        <v>923</v>
      </c>
      <c r="O1207" s="9">
        <v>933</v>
      </c>
      <c r="P1207" s="9">
        <v>920</v>
      </c>
      <c r="Q1207" s="9">
        <v>909</v>
      </c>
      <c r="R1207" s="9">
        <v>918</v>
      </c>
      <c r="S1207" s="9">
        <v>901</v>
      </c>
      <c r="T1207" s="9">
        <v>901</v>
      </c>
      <c r="U1207" s="9">
        <v>902</v>
      </c>
      <c r="V1207" s="9">
        <v>879</v>
      </c>
      <c r="W1207" s="9">
        <v>896</v>
      </c>
      <c r="X1207" s="9">
        <v>856</v>
      </c>
      <c r="Y1207" s="9">
        <v>853</v>
      </c>
      <c r="Z1207" s="9">
        <v>856</v>
      </c>
      <c r="AA1207" s="9">
        <v>847</v>
      </c>
      <c r="AB1207" s="9">
        <v>862</v>
      </c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</row>
    <row r="1208" spans="1:47" ht="14.4">
      <c r="A1208" s="3">
        <f>LOOKUP(D1208,'AMFI DATA_2023H2'!F:L,'AMFI DATA_2023H2'!L:L)</f>
        <v>1324</v>
      </c>
      <c r="B1208" s="4" t="s">
        <v>3623</v>
      </c>
      <c r="C1208" s="4" t="s">
        <v>3624</v>
      </c>
      <c r="D1208" s="5" t="s">
        <v>3625</v>
      </c>
      <c r="E1208" s="5">
        <v>624.65</v>
      </c>
      <c r="F1208" s="6">
        <f>LOOKUP(D1208,'AMFI DATA_2023H2'!F:J,'AMFI DATA_2023H2'!J:J)</f>
        <v>761.91229999999996</v>
      </c>
      <c r="G1208" s="7">
        <f t="shared" si="4"/>
        <v>-1</v>
      </c>
      <c r="H1208" s="9"/>
      <c r="I1208" s="9">
        <v>813</v>
      </c>
      <c r="J1208" s="9">
        <v>795</v>
      </c>
      <c r="K1208" s="9">
        <v>792</v>
      </c>
      <c r="L1208" s="9">
        <v>814</v>
      </c>
      <c r="M1208" s="9">
        <v>829</v>
      </c>
      <c r="N1208" s="9">
        <v>799</v>
      </c>
      <c r="O1208" s="9">
        <v>792</v>
      </c>
      <c r="P1208" s="9">
        <v>787</v>
      </c>
      <c r="Q1208" s="9">
        <v>776</v>
      </c>
      <c r="R1208" s="9">
        <v>773</v>
      </c>
      <c r="S1208" s="9">
        <v>788</v>
      </c>
      <c r="T1208" s="9">
        <v>790</v>
      </c>
      <c r="U1208" s="9">
        <v>798</v>
      </c>
      <c r="V1208" s="9">
        <v>778</v>
      </c>
      <c r="W1208" s="9">
        <v>795</v>
      </c>
      <c r="X1208" s="9">
        <v>783</v>
      </c>
      <c r="Y1208" s="9">
        <v>765</v>
      </c>
      <c r="Z1208" s="9">
        <v>789</v>
      </c>
      <c r="AA1208" s="9">
        <v>759</v>
      </c>
      <c r="AB1208" s="9">
        <v>765</v>
      </c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</row>
    <row r="1209" spans="1:47" ht="14.4">
      <c r="A1209" s="3">
        <f>LOOKUP(D1209,'AMFI DATA_2023H2'!F:L,'AMFI DATA_2023H2'!L:L)</f>
        <v>1325</v>
      </c>
      <c r="B1209" s="4" t="s">
        <v>3626</v>
      </c>
      <c r="C1209" s="4" t="s">
        <v>3627</v>
      </c>
      <c r="D1209" s="5" t="s">
        <v>3628</v>
      </c>
      <c r="E1209" s="5">
        <v>581.82000000000005</v>
      </c>
      <c r="F1209" s="6">
        <f>LOOKUP(D1209,'AMFI DATA_2023H2'!F:J,'AMFI DATA_2023H2'!J:J)</f>
        <v>756.74549999999999</v>
      </c>
      <c r="G1209" s="7">
        <f t="shared" si="4"/>
        <v>-1</v>
      </c>
      <c r="H1209" s="9"/>
      <c r="I1209" s="9">
        <v>867</v>
      </c>
      <c r="J1209" s="9">
        <v>882</v>
      </c>
      <c r="K1209" s="9">
        <v>894</v>
      </c>
      <c r="L1209" s="9">
        <v>879</v>
      </c>
      <c r="M1209" s="9">
        <v>892</v>
      </c>
      <c r="N1209" s="9">
        <v>887</v>
      </c>
      <c r="O1209" s="9">
        <v>906</v>
      </c>
      <c r="P1209" s="9">
        <v>889</v>
      </c>
      <c r="Q1209" s="9">
        <v>896</v>
      </c>
      <c r="R1209" s="9">
        <v>888</v>
      </c>
      <c r="S1209" s="9">
        <v>940</v>
      </c>
      <c r="T1209" s="9">
        <v>952</v>
      </c>
      <c r="U1209" s="9">
        <v>901</v>
      </c>
      <c r="V1209" s="9">
        <v>912</v>
      </c>
      <c r="W1209" s="9">
        <v>890</v>
      </c>
      <c r="X1209" s="9">
        <v>884</v>
      </c>
      <c r="Y1209" s="9">
        <v>885</v>
      </c>
      <c r="Z1209" s="9">
        <v>908</v>
      </c>
      <c r="AA1209" s="9">
        <v>891</v>
      </c>
      <c r="AB1209" s="9">
        <v>873</v>
      </c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</row>
    <row r="1210" spans="1:47" ht="14.4">
      <c r="A1210" s="3">
        <f>LOOKUP(D1210,'AMFI DATA_2023H2'!F:L,'AMFI DATA_2023H2'!L:L)</f>
        <v>1330</v>
      </c>
      <c r="B1210" s="4" t="s">
        <v>3629</v>
      </c>
      <c r="C1210" s="4" t="s">
        <v>3630</v>
      </c>
      <c r="D1210" s="5" t="s">
        <v>3631</v>
      </c>
      <c r="E1210" s="5">
        <v>487.15</v>
      </c>
      <c r="F1210" s="6">
        <f>LOOKUP(D1210,'AMFI DATA_2023H2'!F:J,'AMFI DATA_2023H2'!J:J)</f>
        <v>749.23209999999995</v>
      </c>
      <c r="G1210" s="7">
        <f t="shared" si="4"/>
        <v>-1</v>
      </c>
      <c r="H1210" s="9"/>
      <c r="I1210" s="9">
        <v>875</v>
      </c>
      <c r="J1210" s="9">
        <v>868</v>
      </c>
      <c r="K1210" s="9">
        <v>880</v>
      </c>
      <c r="L1210" s="9">
        <v>890</v>
      </c>
      <c r="M1210" s="9">
        <v>885</v>
      </c>
      <c r="N1210" s="9">
        <v>915</v>
      </c>
      <c r="O1210" s="9">
        <v>935</v>
      </c>
      <c r="P1210" s="9">
        <v>880</v>
      </c>
      <c r="Q1210" s="9">
        <v>839</v>
      </c>
      <c r="R1210" s="9">
        <v>833</v>
      </c>
      <c r="S1210" s="9">
        <v>832</v>
      </c>
      <c r="T1210" s="9">
        <v>862</v>
      </c>
      <c r="U1210" s="9">
        <v>853</v>
      </c>
      <c r="V1210" s="9">
        <v>849</v>
      </c>
      <c r="W1210" s="9">
        <v>846</v>
      </c>
      <c r="X1210" s="9">
        <v>852</v>
      </c>
      <c r="Y1210" s="9">
        <v>848</v>
      </c>
      <c r="Z1210" s="9">
        <v>867</v>
      </c>
      <c r="AA1210" s="9">
        <v>874</v>
      </c>
      <c r="AB1210" s="9">
        <v>912</v>
      </c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</row>
    <row r="1211" spans="1:47" ht="14.4">
      <c r="A1211" s="3">
        <f>LOOKUP(D1211,'AMFI DATA_2023H2'!F:L,'AMFI DATA_2023H2'!L:L)</f>
        <v>1331</v>
      </c>
      <c r="B1211" s="4" t="s">
        <v>3632</v>
      </c>
      <c r="C1211" s="4" t="s">
        <v>3633</v>
      </c>
      <c r="D1211" s="5" t="s">
        <v>3634</v>
      </c>
      <c r="E1211" s="5">
        <v>409.44</v>
      </c>
      <c r="F1211" s="6">
        <f>LOOKUP(D1211,'AMFI DATA_2023H2'!F:J,'AMFI DATA_2023H2'!J:J)</f>
        <v>748.75509999999997</v>
      </c>
      <c r="G1211" s="7">
        <f t="shared" si="4"/>
        <v>-1</v>
      </c>
      <c r="H1211" s="9"/>
      <c r="I1211" s="9">
        <v>1103</v>
      </c>
      <c r="J1211" s="9">
        <v>1055</v>
      </c>
      <c r="K1211" s="9">
        <v>1044</v>
      </c>
      <c r="L1211" s="9">
        <v>1034</v>
      </c>
      <c r="M1211" s="9">
        <v>1041</v>
      </c>
      <c r="N1211" s="9">
        <v>1047</v>
      </c>
      <c r="O1211" s="9">
        <v>1026</v>
      </c>
      <c r="P1211" s="9">
        <v>999</v>
      </c>
      <c r="Q1211" s="9">
        <v>952</v>
      </c>
      <c r="R1211" s="9">
        <v>928</v>
      </c>
      <c r="S1211" s="9">
        <v>941</v>
      </c>
      <c r="T1211" s="9">
        <v>954</v>
      </c>
      <c r="U1211" s="9">
        <v>972</v>
      </c>
      <c r="V1211" s="9">
        <v>995</v>
      </c>
      <c r="W1211" s="9">
        <v>949</v>
      </c>
      <c r="X1211" s="9">
        <v>937</v>
      </c>
      <c r="Y1211" s="9">
        <v>951</v>
      </c>
      <c r="Z1211" s="9">
        <v>941</v>
      </c>
      <c r="AA1211" s="9">
        <v>933</v>
      </c>
      <c r="AB1211" s="9">
        <v>959</v>
      </c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</row>
    <row r="1212" spans="1:47" ht="14.4">
      <c r="A1212" s="3">
        <f>LOOKUP(D1212,'AMFI DATA_2023H2'!F:L,'AMFI DATA_2023H2'!L:L)</f>
        <v>1332</v>
      </c>
      <c r="B1212" s="4" t="s">
        <v>3635</v>
      </c>
      <c r="C1212" s="4" t="s">
        <v>3636</v>
      </c>
      <c r="D1212" s="5" t="s">
        <v>3637</v>
      </c>
      <c r="E1212" s="5">
        <v>698</v>
      </c>
      <c r="F1212" s="6">
        <f>LOOKUP(D1212,'AMFI DATA_2023H2'!F:J,'AMFI DATA_2023H2'!J:J)</f>
        <v>748.44560000000001</v>
      </c>
      <c r="G1212" s="7">
        <f t="shared" si="4"/>
        <v>-1</v>
      </c>
      <c r="H1212" s="9"/>
      <c r="I1212" s="9">
        <v>899</v>
      </c>
      <c r="J1212" s="9">
        <v>885</v>
      </c>
      <c r="K1212" s="9">
        <v>885</v>
      </c>
      <c r="L1212" s="9">
        <v>890</v>
      </c>
      <c r="M1212" s="9">
        <v>914</v>
      </c>
      <c r="N1212" s="9">
        <v>909</v>
      </c>
      <c r="O1212" s="9">
        <v>917</v>
      </c>
      <c r="P1212" s="9">
        <v>921</v>
      </c>
      <c r="Q1212" s="9">
        <v>841</v>
      </c>
      <c r="R1212" s="9">
        <v>788</v>
      </c>
      <c r="S1212" s="9">
        <v>785</v>
      </c>
      <c r="T1212" s="9">
        <v>758</v>
      </c>
      <c r="U1212" s="9">
        <v>751</v>
      </c>
      <c r="V1212" s="9">
        <v>755</v>
      </c>
      <c r="W1212" s="9">
        <v>765</v>
      </c>
      <c r="X1212" s="9">
        <v>748</v>
      </c>
      <c r="Y1212" s="9">
        <v>748</v>
      </c>
      <c r="Z1212" s="9">
        <v>745</v>
      </c>
      <c r="AA1212" s="9">
        <v>738</v>
      </c>
      <c r="AB1212" s="9">
        <v>733</v>
      </c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</row>
    <row r="1213" spans="1:47" ht="14.4">
      <c r="A1213" s="3">
        <f>LOOKUP(D1213,'AMFI DATA_2023H2'!F:L,'AMFI DATA_2023H2'!L:L)</f>
        <v>1333</v>
      </c>
      <c r="B1213" s="4" t="s">
        <v>3638</v>
      </c>
      <c r="C1213" s="4" t="s">
        <v>3639</v>
      </c>
      <c r="D1213" s="5" t="s">
        <v>3640</v>
      </c>
      <c r="E1213" s="5">
        <v>669.7</v>
      </c>
      <c r="F1213" s="6">
        <f>LOOKUP(D1213,'AMFI DATA_2023H2'!F:J,'AMFI DATA_2023H2'!J:J)</f>
        <v>746.21215000000007</v>
      </c>
      <c r="G1213" s="7">
        <f t="shared" si="4"/>
        <v>-1</v>
      </c>
      <c r="H1213" s="9"/>
      <c r="I1213" s="9">
        <v>906</v>
      </c>
      <c r="J1213" s="9">
        <v>868</v>
      </c>
      <c r="K1213" s="9">
        <v>861</v>
      </c>
      <c r="L1213" s="9">
        <v>892</v>
      </c>
      <c r="M1213" s="9">
        <v>898</v>
      </c>
      <c r="N1213" s="9">
        <v>888</v>
      </c>
      <c r="O1213" s="9">
        <v>884</v>
      </c>
      <c r="P1213" s="9">
        <v>884</v>
      </c>
      <c r="Q1213" s="9">
        <v>884</v>
      </c>
      <c r="R1213" s="9">
        <v>903</v>
      </c>
      <c r="S1213" s="9">
        <v>860</v>
      </c>
      <c r="T1213" s="9">
        <v>871</v>
      </c>
      <c r="U1213" s="9">
        <v>858</v>
      </c>
      <c r="V1213" s="9">
        <v>871</v>
      </c>
      <c r="W1213" s="9">
        <v>864</v>
      </c>
      <c r="X1213" s="9">
        <v>867</v>
      </c>
      <c r="Y1213" s="9">
        <v>859</v>
      </c>
      <c r="Z1213" s="9">
        <v>867</v>
      </c>
      <c r="AA1213" s="9">
        <v>857</v>
      </c>
      <c r="AB1213" s="9">
        <v>840</v>
      </c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</row>
    <row r="1214" spans="1:47" ht="14.4">
      <c r="A1214" s="3">
        <f>LOOKUP(D1214,'AMFI DATA_2023H2'!F:L,'AMFI DATA_2023H2'!L:L)</f>
        <v>1338</v>
      </c>
      <c r="B1214" s="4" t="s">
        <v>3641</v>
      </c>
      <c r="C1214" s="4" t="s">
        <v>3642</v>
      </c>
      <c r="D1214" s="5" t="s">
        <v>3643</v>
      </c>
      <c r="E1214" s="5">
        <v>390.38</v>
      </c>
      <c r="F1214" s="6">
        <f>LOOKUP(D1214,'AMFI DATA_2023H2'!F:J,'AMFI DATA_2023H2'!J:J)</f>
        <v>737.51149999999996</v>
      </c>
      <c r="G1214" s="7">
        <f t="shared" si="4"/>
        <v>-1</v>
      </c>
      <c r="H1214" s="9"/>
      <c r="I1214" s="9">
        <v>950</v>
      </c>
      <c r="J1214" s="9">
        <v>928</v>
      </c>
      <c r="K1214" s="9">
        <v>945</v>
      </c>
      <c r="L1214" s="9">
        <v>969</v>
      </c>
      <c r="M1214" s="9">
        <v>964</v>
      </c>
      <c r="N1214" s="9">
        <v>867</v>
      </c>
      <c r="O1214" s="9">
        <v>873</v>
      </c>
      <c r="P1214" s="9">
        <v>862</v>
      </c>
      <c r="Q1214" s="9">
        <v>860</v>
      </c>
      <c r="R1214" s="9">
        <v>861</v>
      </c>
      <c r="S1214" s="9">
        <v>867</v>
      </c>
      <c r="T1214" s="9">
        <v>868</v>
      </c>
      <c r="U1214" s="9">
        <v>847</v>
      </c>
      <c r="V1214" s="9">
        <v>846</v>
      </c>
      <c r="W1214" s="9">
        <v>858</v>
      </c>
      <c r="X1214" s="9">
        <v>855</v>
      </c>
      <c r="Y1214" s="9">
        <v>842</v>
      </c>
      <c r="Z1214" s="9">
        <v>872</v>
      </c>
      <c r="AA1214" s="9">
        <v>897</v>
      </c>
      <c r="AB1214" s="9">
        <v>868</v>
      </c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</row>
    <row r="1215" spans="1:47" ht="14.4">
      <c r="A1215" s="3">
        <f>LOOKUP(D1215,'AMFI DATA_2023H2'!F:L,'AMFI DATA_2023H2'!L:L)</f>
        <v>1339</v>
      </c>
      <c r="B1215" s="4" t="s">
        <v>3644</v>
      </c>
      <c r="C1215" s="4" t="s">
        <v>3645</v>
      </c>
      <c r="D1215" s="5" t="s">
        <v>3646</v>
      </c>
      <c r="E1215" s="5">
        <v>680.23</v>
      </c>
      <c r="F1215" s="6">
        <f>LOOKUP(D1215,'AMFI DATA_2023H2'!F:J,'AMFI DATA_2023H2'!J:J)</f>
        <v>736.43899999999996</v>
      </c>
      <c r="G1215" s="7">
        <f t="shared" si="4"/>
        <v>-1</v>
      </c>
      <c r="H1215" s="9"/>
      <c r="I1215" s="9">
        <v>901</v>
      </c>
      <c r="J1215" s="9">
        <v>904</v>
      </c>
      <c r="K1215" s="9">
        <v>912</v>
      </c>
      <c r="L1215" s="9">
        <v>939</v>
      </c>
      <c r="M1215" s="9">
        <v>926</v>
      </c>
      <c r="N1215" s="9">
        <v>970</v>
      </c>
      <c r="O1215" s="9">
        <v>962</v>
      </c>
      <c r="P1215" s="9">
        <v>953</v>
      </c>
      <c r="Q1215" s="9">
        <v>953</v>
      </c>
      <c r="R1215" s="9">
        <v>940</v>
      </c>
      <c r="S1215" s="9">
        <v>944</v>
      </c>
      <c r="T1215" s="9">
        <v>953</v>
      </c>
      <c r="U1215" s="9">
        <v>920</v>
      </c>
      <c r="V1215" s="9">
        <v>932</v>
      </c>
      <c r="W1215" s="9">
        <v>938</v>
      </c>
      <c r="X1215" s="9">
        <v>904</v>
      </c>
      <c r="Y1215" s="9">
        <v>838</v>
      </c>
      <c r="Z1215" s="9">
        <v>835</v>
      </c>
      <c r="AA1215" s="9">
        <v>868</v>
      </c>
      <c r="AB1215" s="9">
        <v>883</v>
      </c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</row>
    <row r="1216" spans="1:47" ht="14.4">
      <c r="A1216" s="3">
        <f>LOOKUP(D1216,'AMFI DATA_2023H2'!F:L,'AMFI DATA_2023H2'!L:L)</f>
        <v>1340</v>
      </c>
      <c r="B1216" s="4" t="s">
        <v>3647</v>
      </c>
      <c r="C1216" s="4" t="s">
        <v>3648</v>
      </c>
      <c r="D1216" s="5" t="s">
        <v>3649</v>
      </c>
      <c r="E1216" s="5">
        <v>339.66</v>
      </c>
      <c r="F1216" s="6">
        <f>LOOKUP(D1216,'AMFI DATA_2023H2'!F:J,'AMFI DATA_2023H2'!J:J)</f>
        <v>736.38879999999995</v>
      </c>
      <c r="G1216" s="7">
        <f t="shared" si="4"/>
        <v>-1</v>
      </c>
      <c r="H1216" s="9"/>
      <c r="I1216" s="9">
        <v>937</v>
      </c>
      <c r="J1216" s="9">
        <v>903</v>
      </c>
      <c r="K1216" s="9">
        <v>896</v>
      </c>
      <c r="L1216" s="9">
        <v>890</v>
      </c>
      <c r="M1216" s="9">
        <v>913</v>
      </c>
      <c r="N1216" s="9">
        <v>918</v>
      </c>
      <c r="O1216" s="9">
        <v>937</v>
      </c>
      <c r="P1216" s="9">
        <v>926</v>
      </c>
      <c r="Q1216" s="9">
        <v>911</v>
      </c>
      <c r="R1216" s="9">
        <v>905</v>
      </c>
      <c r="S1216" s="9">
        <v>926</v>
      </c>
      <c r="T1216" s="9">
        <v>925</v>
      </c>
      <c r="U1216" s="9">
        <v>910</v>
      </c>
      <c r="V1216" s="9">
        <v>878</v>
      </c>
      <c r="W1216" s="9">
        <v>883</v>
      </c>
      <c r="X1216" s="9">
        <v>879</v>
      </c>
      <c r="Y1216" s="9">
        <v>891</v>
      </c>
      <c r="Z1216" s="9">
        <v>895</v>
      </c>
      <c r="AA1216" s="9">
        <v>884</v>
      </c>
      <c r="AB1216" s="9">
        <v>871</v>
      </c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</row>
    <row r="1217" spans="1:47" ht="14.4">
      <c r="A1217" s="3">
        <f>LOOKUP(D1217,'AMFI DATA_2023H2'!F:L,'AMFI DATA_2023H2'!L:L)</f>
        <v>1343</v>
      </c>
      <c r="B1217" s="4" t="s">
        <v>3650</v>
      </c>
      <c r="C1217" s="4" t="s">
        <v>3651</v>
      </c>
      <c r="D1217" s="5" t="s">
        <v>3652</v>
      </c>
      <c r="E1217" s="5">
        <v>379.6</v>
      </c>
      <c r="F1217" s="6">
        <f>LOOKUP(D1217,'AMFI DATA_2023H2'!F:J,'AMFI DATA_2023H2'!J:J)</f>
        <v>734.42525000000001</v>
      </c>
      <c r="G1217" s="7">
        <f t="shared" si="4"/>
        <v>-1</v>
      </c>
      <c r="H1217" s="9"/>
      <c r="I1217" s="9">
        <v>1036</v>
      </c>
      <c r="J1217" s="9">
        <v>941</v>
      </c>
      <c r="K1217" s="9">
        <v>936</v>
      </c>
      <c r="L1217" s="9">
        <v>978</v>
      </c>
      <c r="M1217" s="9">
        <v>988</v>
      </c>
      <c r="N1217" s="9">
        <v>956</v>
      </c>
      <c r="O1217" s="9">
        <v>926</v>
      </c>
      <c r="P1217" s="9">
        <v>981</v>
      </c>
      <c r="Q1217" s="9">
        <v>979</v>
      </c>
      <c r="R1217" s="9">
        <v>940</v>
      </c>
      <c r="S1217" s="9">
        <v>963</v>
      </c>
      <c r="T1217" s="9">
        <v>920</v>
      </c>
      <c r="U1217" s="9">
        <v>925</v>
      </c>
      <c r="V1217" s="9">
        <v>914</v>
      </c>
      <c r="W1217" s="9">
        <v>904</v>
      </c>
      <c r="X1217" s="9">
        <v>932</v>
      </c>
      <c r="Y1217" s="9">
        <v>927</v>
      </c>
      <c r="Z1217" s="9">
        <v>953</v>
      </c>
      <c r="AA1217" s="9">
        <v>943</v>
      </c>
      <c r="AB1217" s="9">
        <v>945</v>
      </c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</row>
    <row r="1218" spans="1:47" ht="14.4">
      <c r="A1218" s="3">
        <f>LOOKUP(D1218,'AMFI DATA_2023H2'!F:L,'AMFI DATA_2023H2'!L:L)</f>
        <v>1344</v>
      </c>
      <c r="B1218" s="4" t="s">
        <v>3653</v>
      </c>
      <c r="C1218" s="4" t="s">
        <v>3654</v>
      </c>
      <c r="D1218" s="5" t="s">
        <v>3655</v>
      </c>
      <c r="E1218" s="5">
        <v>378.78</v>
      </c>
      <c r="F1218" s="6">
        <f>LOOKUP(D1218,'AMFI DATA_2023H2'!F:J,'AMFI DATA_2023H2'!J:J)</f>
        <v>734.01784999999995</v>
      </c>
      <c r="G1218" s="7">
        <f t="shared" si="4"/>
        <v>-1</v>
      </c>
      <c r="H1218" s="9"/>
      <c r="I1218" s="9">
        <v>1112</v>
      </c>
      <c r="J1218" s="9">
        <v>1087</v>
      </c>
      <c r="K1218" s="9">
        <v>1117</v>
      </c>
      <c r="L1218" s="9">
        <v>1136</v>
      </c>
      <c r="M1218" s="9">
        <v>1160</v>
      </c>
      <c r="N1218" s="9">
        <v>1145</v>
      </c>
      <c r="O1218" s="9">
        <v>1082</v>
      </c>
      <c r="P1218" s="9">
        <v>1069</v>
      </c>
      <c r="Q1218" s="9">
        <v>1063</v>
      </c>
      <c r="R1218" s="9">
        <v>1061</v>
      </c>
      <c r="S1218" s="9">
        <v>1005</v>
      </c>
      <c r="T1218" s="9">
        <v>944</v>
      </c>
      <c r="U1218" s="9">
        <v>945</v>
      </c>
      <c r="V1218" s="9">
        <v>973</v>
      </c>
      <c r="W1218" s="9">
        <v>980</v>
      </c>
      <c r="X1218" s="9">
        <v>953</v>
      </c>
      <c r="Y1218" s="9">
        <v>954</v>
      </c>
      <c r="Z1218" s="9">
        <v>961</v>
      </c>
      <c r="AA1218" s="9">
        <v>971</v>
      </c>
      <c r="AB1218" s="9">
        <v>986</v>
      </c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</row>
    <row r="1219" spans="1:47" ht="14.4">
      <c r="A1219" s="3">
        <f>LOOKUP(D1219,'AMFI DATA_2023H2'!F:L,'AMFI DATA_2023H2'!L:L)</f>
        <v>1345</v>
      </c>
      <c r="B1219" s="4" t="s">
        <v>3656</v>
      </c>
      <c r="C1219" s="4" t="s">
        <v>3657</v>
      </c>
      <c r="D1219" s="5" t="s">
        <v>3658</v>
      </c>
      <c r="E1219" s="5">
        <v>648.03</v>
      </c>
      <c r="F1219" s="6">
        <f>LOOKUP(D1219,'AMFI DATA_2023H2'!F:J,'AMFI DATA_2023H2'!J:J)</f>
        <v>733.42004999999995</v>
      </c>
      <c r="G1219" s="7">
        <f t="shared" si="4"/>
        <v>-1</v>
      </c>
      <c r="H1219" s="9"/>
      <c r="I1219" s="9">
        <v>837</v>
      </c>
      <c r="J1219" s="9">
        <v>836</v>
      </c>
      <c r="K1219" s="9">
        <v>833</v>
      </c>
      <c r="L1219" s="9">
        <v>854</v>
      </c>
      <c r="M1219" s="9">
        <v>867</v>
      </c>
      <c r="N1219" s="9">
        <v>856</v>
      </c>
      <c r="O1219" s="9">
        <v>849</v>
      </c>
      <c r="P1219" s="9">
        <v>847</v>
      </c>
      <c r="Q1219" s="9">
        <v>840</v>
      </c>
      <c r="R1219" s="9">
        <v>830</v>
      </c>
      <c r="S1219" s="9">
        <v>840</v>
      </c>
      <c r="T1219" s="9">
        <v>833</v>
      </c>
      <c r="U1219" s="9">
        <v>835</v>
      </c>
      <c r="V1219" s="9">
        <v>807</v>
      </c>
      <c r="W1219" s="9">
        <v>812</v>
      </c>
      <c r="X1219" s="9">
        <v>800</v>
      </c>
      <c r="Y1219" s="9">
        <v>795</v>
      </c>
      <c r="Z1219" s="9">
        <v>805</v>
      </c>
      <c r="AA1219" s="9">
        <v>798</v>
      </c>
      <c r="AB1219" s="9">
        <v>799</v>
      </c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</row>
    <row r="1220" spans="1:47" ht="14.4">
      <c r="A1220" s="3">
        <f>LOOKUP(D1220,'AMFI DATA_2023H2'!F:L,'AMFI DATA_2023H2'!L:L)</f>
        <v>1346</v>
      </c>
      <c r="B1220" s="4" t="s">
        <v>3659</v>
      </c>
      <c r="C1220" s="4" t="s">
        <v>3660</v>
      </c>
      <c r="D1220" s="5" t="s">
        <v>3661</v>
      </c>
      <c r="E1220" s="5">
        <v>637.44000000000005</v>
      </c>
      <c r="F1220" s="6">
        <f>LOOKUP(D1220,'AMFI DATA_2023H2'!F:J,'AMFI DATA_2023H2'!J:J)</f>
        <v>733.31584999999995</v>
      </c>
      <c r="G1220" s="7">
        <f t="shared" si="4"/>
        <v>-1</v>
      </c>
      <c r="H1220" s="9"/>
      <c r="I1220" s="9">
        <v>613</v>
      </c>
      <c r="J1220" s="9">
        <v>618</v>
      </c>
      <c r="K1220" s="9">
        <v>619</v>
      </c>
      <c r="L1220" s="9">
        <v>628</v>
      </c>
      <c r="M1220" s="9">
        <v>632</v>
      </c>
      <c r="N1220" s="9">
        <v>630</v>
      </c>
      <c r="O1220" s="9">
        <v>624</v>
      </c>
      <c r="P1220" s="9">
        <v>620</v>
      </c>
      <c r="Q1220" s="9">
        <v>624</v>
      </c>
      <c r="R1220" s="9">
        <v>619</v>
      </c>
      <c r="S1220" s="9">
        <v>627</v>
      </c>
      <c r="T1220" s="9">
        <v>625</v>
      </c>
      <c r="U1220" s="9">
        <v>628</v>
      </c>
      <c r="V1220" s="9">
        <v>633</v>
      </c>
      <c r="W1220" s="9">
        <v>622</v>
      </c>
      <c r="X1220" s="9">
        <v>613</v>
      </c>
      <c r="Y1220" s="9">
        <v>615</v>
      </c>
      <c r="Z1220" s="9">
        <v>621</v>
      </c>
      <c r="AA1220" s="9">
        <v>621</v>
      </c>
      <c r="AB1220" s="9">
        <v>616</v>
      </c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</row>
    <row r="1221" spans="1:47" ht="14.4">
      <c r="A1221" s="3">
        <f>LOOKUP(D1221,'AMFI DATA_2023H2'!F:L,'AMFI DATA_2023H2'!L:L)</f>
        <v>1349</v>
      </c>
      <c r="B1221" s="4" t="s">
        <v>3662</v>
      </c>
      <c r="C1221" s="4" t="s">
        <v>3663</v>
      </c>
      <c r="D1221" s="5" t="s">
        <v>3664</v>
      </c>
      <c r="E1221" s="5">
        <v>506.94</v>
      </c>
      <c r="F1221" s="6">
        <f>LOOKUP(D1221,'AMFI DATA_2023H2'!F:J,'AMFI DATA_2023H2'!J:J)</f>
        <v>726.52139999999997</v>
      </c>
      <c r="G1221" s="7">
        <f t="shared" si="4"/>
        <v>-1</v>
      </c>
      <c r="H1221" s="9"/>
      <c r="I1221" s="9">
        <v>1000</v>
      </c>
      <c r="J1221" s="9">
        <v>971</v>
      </c>
      <c r="K1221" s="9">
        <v>878</v>
      </c>
      <c r="L1221" s="9">
        <v>865</v>
      </c>
      <c r="M1221" s="9">
        <v>871</v>
      </c>
      <c r="N1221" s="9">
        <v>842</v>
      </c>
      <c r="O1221" s="9">
        <v>852</v>
      </c>
      <c r="P1221" s="9">
        <v>844</v>
      </c>
      <c r="Q1221" s="9">
        <v>849</v>
      </c>
      <c r="R1221" s="9">
        <v>843</v>
      </c>
      <c r="S1221" s="9">
        <v>887</v>
      </c>
      <c r="T1221" s="9">
        <v>861</v>
      </c>
      <c r="U1221" s="9">
        <v>848</v>
      </c>
      <c r="V1221" s="9">
        <v>847</v>
      </c>
      <c r="W1221" s="9">
        <v>846</v>
      </c>
      <c r="X1221" s="9">
        <v>820</v>
      </c>
      <c r="Y1221" s="9">
        <v>842</v>
      </c>
      <c r="Z1221" s="9">
        <v>829</v>
      </c>
      <c r="AA1221" s="9">
        <v>852</v>
      </c>
      <c r="AB1221" s="9">
        <v>857</v>
      </c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</row>
    <row r="1222" spans="1:47" ht="14.4">
      <c r="A1222" s="3">
        <f>LOOKUP(D1222,'AMFI DATA_2023H2'!F:L,'AMFI DATA_2023H2'!L:L)</f>
        <v>1351</v>
      </c>
      <c r="B1222" s="4" t="s">
        <v>3665</v>
      </c>
      <c r="C1222" s="4" t="s">
        <v>3666</v>
      </c>
      <c r="D1222" s="5" t="s">
        <v>3667</v>
      </c>
      <c r="E1222" s="5">
        <v>393.98</v>
      </c>
      <c r="F1222" s="6">
        <f>LOOKUP(D1222,'AMFI DATA_2023H2'!F:J,'AMFI DATA_2023H2'!J:J)</f>
        <v>724.07394999999997</v>
      </c>
      <c r="G1222" s="7">
        <f t="shared" si="4"/>
        <v>-1</v>
      </c>
      <c r="H1222" s="8"/>
      <c r="I1222" s="8">
        <v>985</v>
      </c>
      <c r="J1222" s="8">
        <v>1029</v>
      </c>
      <c r="K1222" s="8">
        <v>1047</v>
      </c>
      <c r="L1222" s="8">
        <v>1049</v>
      </c>
      <c r="M1222" s="8">
        <v>1059</v>
      </c>
      <c r="N1222" s="8">
        <v>1043</v>
      </c>
      <c r="O1222" s="8">
        <v>1036</v>
      </c>
      <c r="P1222" s="8">
        <v>1059</v>
      </c>
      <c r="Q1222" s="8">
        <v>1059</v>
      </c>
      <c r="R1222" s="8">
        <v>1026</v>
      </c>
      <c r="S1222" s="8">
        <v>1096</v>
      </c>
      <c r="T1222" s="8">
        <v>1086</v>
      </c>
      <c r="U1222" s="8">
        <v>1110</v>
      </c>
      <c r="V1222" s="8">
        <v>1122</v>
      </c>
      <c r="W1222" s="8">
        <v>1076</v>
      </c>
      <c r="X1222" s="8">
        <v>1056</v>
      </c>
      <c r="Y1222" s="8">
        <v>1067</v>
      </c>
      <c r="Z1222" s="8">
        <v>1112</v>
      </c>
      <c r="AA1222" s="8">
        <v>1143</v>
      </c>
      <c r="AB1222" s="8">
        <v>1095</v>
      </c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</row>
    <row r="1223" spans="1:47" ht="14.4">
      <c r="A1223" s="3">
        <f>LOOKUP(D1223,'AMFI DATA_2023H2'!F:L,'AMFI DATA_2023H2'!L:L)</f>
        <v>1353</v>
      </c>
      <c r="B1223" s="4" t="s">
        <v>3668</v>
      </c>
      <c r="C1223" s="4" t="s">
        <v>3669</v>
      </c>
      <c r="D1223" s="5" t="s">
        <v>3670</v>
      </c>
      <c r="E1223" s="5">
        <v>632.79</v>
      </c>
      <c r="F1223" s="6">
        <f>LOOKUP(D1223,'AMFI DATA_2023H2'!F:J,'AMFI DATA_2023H2'!J:J)</f>
        <v>719.39705000000004</v>
      </c>
      <c r="G1223" s="7">
        <f t="shared" si="4"/>
        <v>-1</v>
      </c>
      <c r="H1223" s="9"/>
      <c r="I1223" s="9">
        <v>748</v>
      </c>
      <c r="J1223" s="9">
        <v>742</v>
      </c>
      <c r="K1223" s="9">
        <v>745</v>
      </c>
      <c r="L1223" s="9">
        <v>762</v>
      </c>
      <c r="M1223" s="9">
        <v>765</v>
      </c>
      <c r="N1223" s="9">
        <v>784</v>
      </c>
      <c r="O1223" s="9">
        <v>781</v>
      </c>
      <c r="P1223" s="9">
        <v>768</v>
      </c>
      <c r="Q1223" s="9">
        <v>705</v>
      </c>
      <c r="R1223" s="9">
        <v>688</v>
      </c>
      <c r="S1223" s="9">
        <v>693</v>
      </c>
      <c r="T1223" s="9">
        <v>692</v>
      </c>
      <c r="U1223" s="9">
        <v>696</v>
      </c>
      <c r="V1223" s="9">
        <v>690</v>
      </c>
      <c r="W1223" s="9">
        <v>676</v>
      </c>
      <c r="X1223" s="9">
        <v>663</v>
      </c>
      <c r="Y1223" s="9">
        <v>672</v>
      </c>
      <c r="Z1223" s="9">
        <v>662</v>
      </c>
      <c r="AA1223" s="9">
        <v>663</v>
      </c>
      <c r="AB1223" s="9">
        <v>659</v>
      </c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</row>
    <row r="1224" spans="1:47" ht="14.4">
      <c r="A1224" s="3">
        <f>LOOKUP(D1224,'AMFI DATA_2023H2'!F:L,'AMFI DATA_2023H2'!L:L)</f>
        <v>1354</v>
      </c>
      <c r="B1224" s="4" t="s">
        <v>3671</v>
      </c>
      <c r="C1224" s="4" t="s">
        <v>3672</v>
      </c>
      <c r="D1224" s="5" t="s">
        <v>3673</v>
      </c>
      <c r="E1224" s="5">
        <v>588.91</v>
      </c>
      <c r="F1224" s="6">
        <f>LOOKUP(D1224,'AMFI DATA_2023H2'!F:J,'AMFI DATA_2023H2'!J:J)</f>
        <v>718.13045</v>
      </c>
      <c r="G1224" s="7">
        <f t="shared" si="4"/>
        <v>-1</v>
      </c>
      <c r="H1224" s="9"/>
      <c r="I1224" s="9">
        <v>790</v>
      </c>
      <c r="J1224" s="9">
        <v>798</v>
      </c>
      <c r="K1224" s="9">
        <v>797</v>
      </c>
      <c r="L1224" s="9">
        <v>766</v>
      </c>
      <c r="M1224" s="9">
        <v>777</v>
      </c>
      <c r="N1224" s="9">
        <v>765</v>
      </c>
      <c r="O1224" s="9">
        <v>757</v>
      </c>
      <c r="P1224" s="9">
        <v>751</v>
      </c>
      <c r="Q1224" s="9">
        <v>744</v>
      </c>
      <c r="R1224" s="9">
        <v>733</v>
      </c>
      <c r="S1224" s="9">
        <v>749</v>
      </c>
      <c r="T1224" s="9">
        <v>746</v>
      </c>
      <c r="U1224" s="9">
        <v>732</v>
      </c>
      <c r="V1224" s="9">
        <v>724</v>
      </c>
      <c r="W1224" s="9">
        <v>713</v>
      </c>
      <c r="X1224" s="9">
        <v>713</v>
      </c>
      <c r="Y1224" s="9">
        <v>721</v>
      </c>
      <c r="Z1224" s="9">
        <v>716</v>
      </c>
      <c r="AA1224" s="9">
        <v>710</v>
      </c>
      <c r="AB1224" s="9">
        <v>715</v>
      </c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</row>
    <row r="1225" spans="1:47" ht="14.4">
      <c r="A1225" s="3">
        <f>LOOKUP(D1225,'AMFI DATA_2023H2'!F:L,'AMFI DATA_2023H2'!L:L)</f>
        <v>1356</v>
      </c>
      <c r="B1225" s="4" t="s">
        <v>3674</v>
      </c>
      <c r="C1225" s="4" t="s">
        <v>3675</v>
      </c>
      <c r="D1225" s="5" t="s">
        <v>3676</v>
      </c>
      <c r="E1225" s="5">
        <v>645.52</v>
      </c>
      <c r="F1225" s="6">
        <f>LOOKUP(D1225,'AMFI DATA_2023H2'!F:J,'AMFI DATA_2023H2'!J:J)</f>
        <v>713.89750000000004</v>
      </c>
      <c r="G1225" s="7">
        <f t="shared" si="4"/>
        <v>-1</v>
      </c>
      <c r="H1225" s="9"/>
      <c r="I1225" s="9">
        <v>742</v>
      </c>
      <c r="J1225" s="9">
        <v>741</v>
      </c>
      <c r="K1225" s="9">
        <v>738</v>
      </c>
      <c r="L1225" s="9">
        <v>752</v>
      </c>
      <c r="M1225" s="9">
        <v>771</v>
      </c>
      <c r="N1225" s="9">
        <v>763</v>
      </c>
      <c r="O1225" s="9">
        <v>756</v>
      </c>
      <c r="P1225" s="9">
        <v>736</v>
      </c>
      <c r="Q1225" s="9">
        <v>737</v>
      </c>
      <c r="R1225" s="9">
        <v>737</v>
      </c>
      <c r="S1225" s="9">
        <v>750</v>
      </c>
      <c r="T1225" s="9">
        <v>757</v>
      </c>
      <c r="U1225" s="9">
        <v>735</v>
      </c>
      <c r="V1225" s="9">
        <v>742</v>
      </c>
      <c r="W1225" s="9">
        <v>713</v>
      </c>
      <c r="X1225" s="9">
        <v>712</v>
      </c>
      <c r="Y1225" s="9">
        <v>712</v>
      </c>
      <c r="Z1225" s="9">
        <v>707</v>
      </c>
      <c r="AA1225" s="9">
        <v>709</v>
      </c>
      <c r="AB1225" s="9">
        <v>719</v>
      </c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</row>
    <row r="1226" spans="1:47" ht="14.4">
      <c r="A1226" s="3">
        <f>LOOKUP(D1226,'AMFI DATA_2023H2'!F:L,'AMFI DATA_2023H2'!L:L)</f>
        <v>1358</v>
      </c>
      <c r="B1226" s="4" t="s">
        <v>3677</v>
      </c>
      <c r="C1226" s="4" t="s">
        <v>3678</v>
      </c>
      <c r="D1226" s="5" t="s">
        <v>3679</v>
      </c>
      <c r="E1226" s="5">
        <v>349.52</v>
      </c>
      <c r="F1226" s="6">
        <f>LOOKUP(D1226,'AMFI DATA_2023H2'!F:J,'AMFI DATA_2023H2'!J:J)</f>
        <v>708.82934999999998</v>
      </c>
      <c r="G1226" s="7">
        <f t="shared" si="4"/>
        <v>-1</v>
      </c>
      <c r="H1226" s="8"/>
      <c r="I1226" s="8">
        <v>2371</v>
      </c>
      <c r="J1226" s="8">
        <v>2490</v>
      </c>
      <c r="K1226" s="8">
        <v>2588</v>
      </c>
      <c r="L1226" s="8">
        <v>2465</v>
      </c>
      <c r="M1226" s="8">
        <v>2348</v>
      </c>
      <c r="N1226" s="8">
        <v>2239</v>
      </c>
      <c r="O1226" s="8">
        <v>2130</v>
      </c>
      <c r="P1226" s="8">
        <v>2031</v>
      </c>
      <c r="Q1226" s="8">
        <v>1933</v>
      </c>
      <c r="R1226" s="8">
        <v>1841</v>
      </c>
      <c r="S1226" s="8">
        <v>1753</v>
      </c>
      <c r="T1226" s="8">
        <v>1671</v>
      </c>
      <c r="U1226" s="8">
        <v>1591</v>
      </c>
      <c r="V1226" s="8">
        <v>1516</v>
      </c>
      <c r="W1226" s="8">
        <v>1565</v>
      </c>
      <c r="X1226" s="8">
        <v>1496</v>
      </c>
      <c r="Y1226" s="8">
        <v>1425</v>
      </c>
      <c r="Z1226" s="8">
        <v>1357</v>
      </c>
      <c r="AA1226" s="8">
        <v>1290</v>
      </c>
      <c r="AB1226" s="8">
        <v>1230</v>
      </c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</row>
    <row r="1227" spans="1:47" ht="14.4">
      <c r="A1227" s="3">
        <f>LOOKUP(D1227,'AMFI DATA_2023H2'!F:L,'AMFI DATA_2023H2'!L:L)</f>
        <v>1360</v>
      </c>
      <c r="B1227" s="4" t="s">
        <v>3680</v>
      </c>
      <c r="C1227" s="4" t="s">
        <v>3681</v>
      </c>
      <c r="D1227" s="5" t="s">
        <v>3682</v>
      </c>
      <c r="E1227" s="5">
        <v>13020.26</v>
      </c>
      <c r="F1227" s="6">
        <f>LOOKUP(D1227,'AMFI DATA_2023H2'!F:J,'AMFI DATA_2023H2'!J:J)</f>
        <v>706.31584999999995</v>
      </c>
      <c r="G1227" s="7">
        <f t="shared" si="4"/>
        <v>-1</v>
      </c>
      <c r="H1227" s="9"/>
      <c r="I1227" s="9">
        <v>686</v>
      </c>
      <c r="J1227" s="9">
        <v>671</v>
      </c>
      <c r="K1227" s="9">
        <v>677</v>
      </c>
      <c r="L1227" s="9">
        <v>683</v>
      </c>
      <c r="M1227" s="9">
        <v>694</v>
      </c>
      <c r="N1227" s="9">
        <v>693</v>
      </c>
      <c r="O1227" s="9">
        <v>692</v>
      </c>
      <c r="P1227" s="9">
        <v>703</v>
      </c>
      <c r="Q1227" s="9">
        <v>697</v>
      </c>
      <c r="R1227" s="9">
        <v>702</v>
      </c>
      <c r="S1227" s="9">
        <v>703</v>
      </c>
      <c r="T1227" s="9">
        <v>709</v>
      </c>
      <c r="U1227" s="9">
        <v>701</v>
      </c>
      <c r="V1227" s="9">
        <v>720</v>
      </c>
      <c r="W1227" s="9">
        <v>709</v>
      </c>
      <c r="X1227" s="9">
        <v>711</v>
      </c>
      <c r="Y1227" s="9">
        <v>725</v>
      </c>
      <c r="Z1227" s="9">
        <v>721</v>
      </c>
      <c r="AA1227" s="9">
        <v>722</v>
      </c>
      <c r="AB1227" s="9">
        <v>710</v>
      </c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</row>
    <row r="1228" spans="1:47" ht="14.4">
      <c r="A1228" s="3">
        <f>LOOKUP(D1228,'AMFI DATA_2023H2'!F:L,'AMFI DATA_2023H2'!L:L)</f>
        <v>1361</v>
      </c>
      <c r="B1228" s="4" t="s">
        <v>3683</v>
      </c>
      <c r="C1228" s="4" t="s">
        <v>3684</v>
      </c>
      <c r="D1228" s="5" t="s">
        <v>3685</v>
      </c>
      <c r="E1228" s="5">
        <v>502.41</v>
      </c>
      <c r="F1228" s="6">
        <f>LOOKUP(D1228,'AMFI DATA_2023H2'!F:J,'AMFI DATA_2023H2'!J:J)</f>
        <v>705.3347</v>
      </c>
      <c r="G1228" s="7">
        <f t="shared" si="4"/>
        <v>-1</v>
      </c>
      <c r="H1228" s="9"/>
      <c r="I1228" s="9">
        <v>1029</v>
      </c>
      <c r="J1228" s="9">
        <v>1039</v>
      </c>
      <c r="K1228" s="9">
        <v>1015</v>
      </c>
      <c r="L1228" s="9">
        <v>1000</v>
      </c>
      <c r="M1228" s="9">
        <v>1060</v>
      </c>
      <c r="N1228" s="9">
        <v>961</v>
      </c>
      <c r="O1228" s="9">
        <v>944</v>
      </c>
      <c r="P1228" s="9">
        <v>786</v>
      </c>
      <c r="Q1228" s="9">
        <v>814</v>
      </c>
      <c r="R1228" s="9">
        <v>816</v>
      </c>
      <c r="S1228" s="9">
        <v>809</v>
      </c>
      <c r="T1228" s="9">
        <v>734</v>
      </c>
      <c r="U1228" s="9">
        <v>735</v>
      </c>
      <c r="V1228" s="9">
        <v>748</v>
      </c>
      <c r="W1228" s="9">
        <v>753</v>
      </c>
      <c r="X1228" s="9">
        <v>758</v>
      </c>
      <c r="Y1228" s="9">
        <v>759</v>
      </c>
      <c r="Z1228" s="9">
        <v>791</v>
      </c>
      <c r="AA1228" s="9">
        <v>764</v>
      </c>
      <c r="AB1228" s="9">
        <v>699</v>
      </c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</row>
    <row r="1229" spans="1:47" ht="14.4">
      <c r="A1229" s="3">
        <f>LOOKUP(D1229,'AMFI DATA_2023H2'!F:L,'AMFI DATA_2023H2'!L:L)</f>
        <v>1362</v>
      </c>
      <c r="B1229" s="4" t="s">
        <v>3686</v>
      </c>
      <c r="C1229" s="4" t="s">
        <v>3687</v>
      </c>
      <c r="D1229" s="5" t="s">
        <v>3688</v>
      </c>
      <c r="E1229" s="5">
        <v>379.9</v>
      </c>
      <c r="F1229" s="6">
        <f>LOOKUP(D1229,'AMFI DATA_2023H2'!F:J,'AMFI DATA_2023H2'!J:J)</f>
        <v>704.73050000000001</v>
      </c>
      <c r="G1229" s="7">
        <f t="shared" si="4"/>
        <v>-1</v>
      </c>
      <c r="H1229" s="9"/>
      <c r="I1229" s="9">
        <v>948</v>
      </c>
      <c r="J1229" s="9">
        <v>967</v>
      </c>
      <c r="K1229" s="9">
        <v>987</v>
      </c>
      <c r="L1229" s="9">
        <v>1007</v>
      </c>
      <c r="M1229" s="9">
        <v>1028</v>
      </c>
      <c r="N1229" s="9">
        <v>1008</v>
      </c>
      <c r="O1229" s="9">
        <v>989</v>
      </c>
      <c r="P1229" s="9">
        <v>969</v>
      </c>
      <c r="Q1229" s="9">
        <v>956</v>
      </c>
      <c r="R1229" s="9">
        <v>975</v>
      </c>
      <c r="S1229" s="9">
        <v>957</v>
      </c>
      <c r="T1229" s="9">
        <v>975</v>
      </c>
      <c r="U1229" s="9">
        <v>979</v>
      </c>
      <c r="V1229" s="9">
        <v>999</v>
      </c>
      <c r="W1229" s="9">
        <v>993</v>
      </c>
      <c r="X1229" s="9">
        <v>1010</v>
      </c>
      <c r="Y1229" s="9">
        <v>1018</v>
      </c>
      <c r="Z1229" s="9">
        <v>974</v>
      </c>
      <c r="AA1229" s="9">
        <v>922</v>
      </c>
      <c r="AB1229" s="9">
        <v>888</v>
      </c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</row>
    <row r="1230" spans="1:47" ht="14.4">
      <c r="A1230" s="3">
        <f>LOOKUP(D1230,'AMFI DATA_2023H2'!F:L,'AMFI DATA_2023H2'!L:L)</f>
        <v>1363</v>
      </c>
      <c r="B1230" s="4" t="s">
        <v>3689</v>
      </c>
      <c r="C1230" s="4" t="s">
        <v>3690</v>
      </c>
      <c r="D1230" s="5" t="s">
        <v>3691</v>
      </c>
      <c r="E1230" s="5">
        <v>331.91</v>
      </c>
      <c r="F1230" s="6">
        <f>LOOKUP(D1230,'AMFI DATA_2023H2'!F:J,'AMFI DATA_2023H2'!J:J)</f>
        <v>702.8305499999999</v>
      </c>
      <c r="G1230" s="7">
        <f t="shared" si="4"/>
        <v>-1</v>
      </c>
      <c r="H1230" s="9"/>
      <c r="I1230" s="9">
        <v>776</v>
      </c>
      <c r="J1230" s="9">
        <v>771</v>
      </c>
      <c r="K1230" s="9">
        <v>774</v>
      </c>
      <c r="L1230" s="9">
        <v>784</v>
      </c>
      <c r="M1230" s="9">
        <v>795</v>
      </c>
      <c r="N1230" s="9">
        <v>805</v>
      </c>
      <c r="O1230" s="9">
        <v>816</v>
      </c>
      <c r="P1230" s="9">
        <v>822</v>
      </c>
      <c r="Q1230" s="9">
        <v>830</v>
      </c>
      <c r="R1230" s="9">
        <v>791</v>
      </c>
      <c r="S1230" s="9">
        <v>760</v>
      </c>
      <c r="T1230" s="9">
        <v>750</v>
      </c>
      <c r="U1230" s="9">
        <v>752</v>
      </c>
      <c r="V1230" s="9">
        <v>755</v>
      </c>
      <c r="W1230" s="9">
        <v>747</v>
      </c>
      <c r="X1230" s="9">
        <v>755</v>
      </c>
      <c r="Y1230" s="9">
        <v>742</v>
      </c>
      <c r="Z1230" s="9">
        <v>746</v>
      </c>
      <c r="AA1230" s="9">
        <v>751</v>
      </c>
      <c r="AB1230" s="9">
        <v>755</v>
      </c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</row>
    <row r="1231" spans="1:47" ht="14.4">
      <c r="A1231" s="3">
        <f>LOOKUP(D1231,'AMFI DATA_2023H2'!F:L,'AMFI DATA_2023H2'!L:L)</f>
        <v>1364</v>
      </c>
      <c r="B1231" s="4" t="s">
        <v>3692</v>
      </c>
      <c r="C1231" s="4" t="s">
        <v>3693</v>
      </c>
      <c r="D1231" s="5" t="s">
        <v>3694</v>
      </c>
      <c r="E1231" s="5">
        <v>487.52</v>
      </c>
      <c r="F1231" s="6">
        <f>LOOKUP(D1231,'AMFI DATA_2023H2'!F:J,'AMFI DATA_2023H2'!J:J)</f>
        <v>696.32909999999993</v>
      </c>
      <c r="G1231" s="7">
        <f t="shared" si="4"/>
        <v>-1</v>
      </c>
      <c r="H1231" s="9"/>
      <c r="I1231" s="9">
        <v>705</v>
      </c>
      <c r="J1231" s="9">
        <v>706</v>
      </c>
      <c r="K1231" s="9">
        <v>717</v>
      </c>
      <c r="L1231" s="9">
        <v>718</v>
      </c>
      <c r="M1231" s="9">
        <v>726</v>
      </c>
      <c r="N1231" s="9">
        <v>730</v>
      </c>
      <c r="O1231" s="9">
        <v>741</v>
      </c>
      <c r="P1231" s="9">
        <v>737</v>
      </c>
      <c r="Q1231" s="9">
        <v>733</v>
      </c>
      <c r="R1231" s="9">
        <v>783</v>
      </c>
      <c r="S1231" s="9">
        <v>808</v>
      </c>
      <c r="T1231" s="9">
        <v>732</v>
      </c>
      <c r="U1231" s="9">
        <v>667</v>
      </c>
      <c r="V1231" s="9">
        <v>652</v>
      </c>
      <c r="W1231" s="9">
        <v>663</v>
      </c>
      <c r="X1231" s="9">
        <v>653</v>
      </c>
      <c r="Y1231" s="9">
        <v>650</v>
      </c>
      <c r="Z1231" s="9">
        <v>651</v>
      </c>
      <c r="AA1231" s="9">
        <v>663</v>
      </c>
      <c r="AB1231" s="9">
        <v>671</v>
      </c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</row>
    <row r="1232" spans="1:47" ht="14.4">
      <c r="A1232" s="3">
        <f>LOOKUP(D1232,'AMFI DATA_2023H2'!F:L,'AMFI DATA_2023H2'!L:L)</f>
        <v>1366</v>
      </c>
      <c r="B1232" s="4" t="s">
        <v>3695</v>
      </c>
      <c r="C1232" s="4" t="s">
        <v>3696</v>
      </c>
      <c r="D1232" s="5" t="s">
        <v>3697</v>
      </c>
      <c r="E1232" s="5">
        <v>733.35</v>
      </c>
      <c r="F1232" s="6">
        <f>LOOKUP(D1232,'AMFI DATA_2023H2'!F:J,'AMFI DATA_2023H2'!J:J)</f>
        <v>692.31320000000005</v>
      </c>
      <c r="G1232" s="7">
        <f t="shared" si="4"/>
        <v>-1</v>
      </c>
      <c r="H1232" s="9"/>
      <c r="I1232" s="9">
        <v>852</v>
      </c>
      <c r="J1232" s="9">
        <v>848</v>
      </c>
      <c r="K1232" s="9">
        <v>860</v>
      </c>
      <c r="L1232" s="9">
        <v>888</v>
      </c>
      <c r="M1232" s="9">
        <v>889</v>
      </c>
      <c r="N1232" s="9">
        <v>908</v>
      </c>
      <c r="O1232" s="9">
        <v>867</v>
      </c>
      <c r="P1232" s="9">
        <v>882</v>
      </c>
      <c r="Q1232" s="9">
        <v>868</v>
      </c>
      <c r="R1232" s="9">
        <v>855</v>
      </c>
      <c r="S1232" s="9">
        <v>855</v>
      </c>
      <c r="T1232" s="9">
        <v>881</v>
      </c>
      <c r="U1232" s="9">
        <v>850</v>
      </c>
      <c r="V1232" s="9">
        <v>860</v>
      </c>
      <c r="W1232" s="9">
        <v>879</v>
      </c>
      <c r="X1232" s="9">
        <v>869</v>
      </c>
      <c r="Y1232" s="9">
        <v>867</v>
      </c>
      <c r="Z1232" s="9">
        <v>850</v>
      </c>
      <c r="AA1232" s="9">
        <v>815</v>
      </c>
      <c r="AB1232" s="9">
        <v>806</v>
      </c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</row>
    <row r="1233" spans="1:47" ht="14.4">
      <c r="A1233" s="3">
        <f>LOOKUP(D1233,'AMFI DATA_2023H2'!F:L,'AMFI DATA_2023H2'!L:L)</f>
        <v>1369</v>
      </c>
      <c r="B1233" s="4" t="s">
        <v>3698</v>
      </c>
      <c r="C1233" s="4" t="s">
        <v>3699</v>
      </c>
      <c r="D1233" s="5" t="s">
        <v>3700</v>
      </c>
      <c r="E1233" s="5">
        <v>668.55</v>
      </c>
      <c r="F1233" s="6">
        <f>LOOKUP(D1233,'AMFI DATA_2023H2'!F:J,'AMFI DATA_2023H2'!J:J)</f>
        <v>687.26424999999995</v>
      </c>
      <c r="G1233" s="7">
        <f t="shared" si="4"/>
        <v>-1</v>
      </c>
      <c r="H1233" s="9"/>
      <c r="I1233" s="9">
        <v>837</v>
      </c>
      <c r="J1233" s="9">
        <v>831</v>
      </c>
      <c r="K1233" s="9">
        <v>835</v>
      </c>
      <c r="L1233" s="9">
        <v>794</v>
      </c>
      <c r="M1233" s="9">
        <v>820</v>
      </c>
      <c r="N1233" s="9">
        <v>834</v>
      </c>
      <c r="O1233" s="9">
        <v>775</v>
      </c>
      <c r="P1233" s="9">
        <v>751</v>
      </c>
      <c r="Q1233" s="9">
        <v>722</v>
      </c>
      <c r="R1233" s="9">
        <v>716</v>
      </c>
      <c r="S1233" s="9">
        <v>732</v>
      </c>
      <c r="T1233" s="9">
        <v>746</v>
      </c>
      <c r="U1233" s="9">
        <v>729</v>
      </c>
      <c r="V1233" s="9">
        <v>695</v>
      </c>
      <c r="W1233" s="9">
        <v>700</v>
      </c>
      <c r="X1233" s="9">
        <v>699</v>
      </c>
      <c r="Y1233" s="9">
        <v>686</v>
      </c>
      <c r="Z1233" s="9">
        <v>684</v>
      </c>
      <c r="AA1233" s="9">
        <v>684</v>
      </c>
      <c r="AB1233" s="9">
        <v>676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</row>
    <row r="1234" spans="1:47" ht="14.4">
      <c r="A1234" s="3">
        <f>LOOKUP(D1234,'AMFI DATA_2023H2'!F:L,'AMFI DATA_2023H2'!L:L)</f>
        <v>1370</v>
      </c>
      <c r="B1234" s="4" t="s">
        <v>3701</v>
      </c>
      <c r="C1234" s="4" t="s">
        <v>3702</v>
      </c>
      <c r="D1234" s="5" t="s">
        <v>3703</v>
      </c>
      <c r="E1234" s="5">
        <v>594.79999999999995</v>
      </c>
      <c r="F1234" s="6">
        <f>LOOKUP(D1234,'AMFI DATA_2023H2'!F:J,'AMFI DATA_2023H2'!J:J)</f>
        <v>685.90544999999997</v>
      </c>
      <c r="G1234" s="7">
        <f t="shared" si="4"/>
        <v>-1</v>
      </c>
      <c r="H1234" s="9"/>
      <c r="I1234" s="9">
        <v>690</v>
      </c>
      <c r="J1234" s="9">
        <v>689</v>
      </c>
      <c r="K1234" s="9">
        <v>693</v>
      </c>
      <c r="L1234" s="9">
        <v>700</v>
      </c>
      <c r="M1234" s="9">
        <v>707</v>
      </c>
      <c r="N1234" s="9">
        <v>722</v>
      </c>
      <c r="O1234" s="9">
        <v>701</v>
      </c>
      <c r="P1234" s="9">
        <v>721</v>
      </c>
      <c r="Q1234" s="9">
        <v>716</v>
      </c>
      <c r="R1234" s="9">
        <v>716</v>
      </c>
      <c r="S1234" s="9">
        <v>735</v>
      </c>
      <c r="T1234" s="9">
        <v>743</v>
      </c>
      <c r="U1234" s="9">
        <v>738</v>
      </c>
      <c r="V1234" s="9">
        <v>721</v>
      </c>
      <c r="W1234" s="9">
        <v>719</v>
      </c>
      <c r="X1234" s="9">
        <v>713</v>
      </c>
      <c r="Y1234" s="9">
        <v>731</v>
      </c>
      <c r="Z1234" s="9">
        <v>719</v>
      </c>
      <c r="AA1234" s="9">
        <v>738</v>
      </c>
      <c r="AB1234" s="9">
        <v>727</v>
      </c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</row>
    <row r="1235" spans="1:47" ht="14.4">
      <c r="A1235" s="3">
        <f>LOOKUP(D1235,'AMFI DATA_2023H2'!F:L,'AMFI DATA_2023H2'!L:L)</f>
        <v>1371</v>
      </c>
      <c r="B1235" s="4" t="s">
        <v>3704</v>
      </c>
      <c r="C1235" s="4" t="s">
        <v>3705</v>
      </c>
      <c r="D1235" s="5" t="s">
        <v>3706</v>
      </c>
      <c r="E1235" s="5">
        <v>445.36</v>
      </c>
      <c r="F1235" s="6">
        <f>LOOKUP(D1235,'AMFI DATA_2023H2'!F:J,'AMFI DATA_2023H2'!J:J)</f>
        <v>684.18029999999999</v>
      </c>
      <c r="G1235" s="7">
        <f t="shared" si="4"/>
        <v>-1</v>
      </c>
      <c r="H1235" s="9"/>
      <c r="I1235" s="9">
        <v>874</v>
      </c>
      <c r="J1235" s="9">
        <v>883</v>
      </c>
      <c r="K1235" s="9">
        <v>878</v>
      </c>
      <c r="L1235" s="9">
        <v>888</v>
      </c>
      <c r="M1235" s="9">
        <v>886</v>
      </c>
      <c r="N1235" s="9">
        <v>880</v>
      </c>
      <c r="O1235" s="9">
        <v>856</v>
      </c>
      <c r="P1235" s="9">
        <v>874</v>
      </c>
      <c r="Q1235" s="9">
        <v>869</v>
      </c>
      <c r="R1235" s="9">
        <v>868</v>
      </c>
      <c r="S1235" s="9">
        <v>876</v>
      </c>
      <c r="T1235" s="9">
        <v>887</v>
      </c>
      <c r="U1235" s="9">
        <v>884</v>
      </c>
      <c r="V1235" s="9">
        <v>901</v>
      </c>
      <c r="W1235" s="9">
        <v>885</v>
      </c>
      <c r="X1235" s="9">
        <v>872</v>
      </c>
      <c r="Y1235" s="9">
        <v>867</v>
      </c>
      <c r="Z1235" s="9">
        <v>887</v>
      </c>
      <c r="AA1235" s="9">
        <v>866</v>
      </c>
      <c r="AB1235" s="9">
        <v>874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</row>
    <row r="1236" spans="1:47" ht="14.4">
      <c r="A1236" s="3">
        <f>LOOKUP(D1236,'AMFI DATA_2023H2'!F:L,'AMFI DATA_2023H2'!L:L)</f>
        <v>1372</v>
      </c>
      <c r="B1236" s="4" t="s">
        <v>3707</v>
      </c>
      <c r="C1236" s="4" t="s">
        <v>3708</v>
      </c>
      <c r="D1236" s="5" t="s">
        <v>3709</v>
      </c>
      <c r="E1236" s="5">
        <v>352.47</v>
      </c>
      <c r="F1236" s="6">
        <f>LOOKUP(D1236,'AMFI DATA_2023H2'!F:J,'AMFI DATA_2023H2'!J:J)</f>
        <v>678.78599999999994</v>
      </c>
      <c r="G1236" s="7">
        <f t="shared" si="4"/>
        <v>-1</v>
      </c>
      <c r="H1236" s="9"/>
      <c r="I1236" s="9">
        <v>1318</v>
      </c>
      <c r="J1236" s="9">
        <v>1208</v>
      </c>
      <c r="K1236" s="9">
        <v>1151</v>
      </c>
      <c r="L1236" s="9">
        <v>1220</v>
      </c>
      <c r="M1236" s="9">
        <v>1245</v>
      </c>
      <c r="N1236" s="9">
        <v>1274</v>
      </c>
      <c r="O1236" s="9">
        <v>1227</v>
      </c>
      <c r="P1236" s="9">
        <v>1212</v>
      </c>
      <c r="Q1236" s="9">
        <v>1197</v>
      </c>
      <c r="R1236" s="9">
        <v>1228</v>
      </c>
      <c r="S1236" s="9">
        <v>1247</v>
      </c>
      <c r="T1236" s="9">
        <v>1215</v>
      </c>
      <c r="U1236" s="9">
        <v>1058</v>
      </c>
      <c r="V1236" s="9">
        <v>1074</v>
      </c>
      <c r="W1236" s="9">
        <v>1087</v>
      </c>
      <c r="X1236" s="9">
        <v>992</v>
      </c>
      <c r="Y1236" s="9">
        <v>982</v>
      </c>
      <c r="Z1236" s="9">
        <v>1005</v>
      </c>
      <c r="AA1236" s="9">
        <v>996</v>
      </c>
      <c r="AB1236" s="9">
        <v>963</v>
      </c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</row>
    <row r="1237" spans="1:47" ht="14.4">
      <c r="A1237" s="3">
        <f>LOOKUP(D1237,'AMFI DATA_2023H2'!F:L,'AMFI DATA_2023H2'!L:L)</f>
        <v>1373</v>
      </c>
      <c r="B1237" s="4" t="s">
        <v>3710</v>
      </c>
      <c r="C1237" s="4" t="s">
        <v>3711</v>
      </c>
      <c r="D1237" s="5" t="s">
        <v>3712</v>
      </c>
      <c r="E1237" s="5">
        <v>593.12</v>
      </c>
      <c r="F1237" s="6">
        <f>LOOKUP(D1237,'AMFI DATA_2023H2'!F:J,'AMFI DATA_2023H2'!J:J)</f>
        <v>678.60625000000005</v>
      </c>
      <c r="G1237" s="7">
        <f t="shared" si="4"/>
        <v>-1</v>
      </c>
      <c r="H1237" s="9"/>
      <c r="I1237" s="9">
        <v>993</v>
      </c>
      <c r="J1237" s="9">
        <v>958</v>
      </c>
      <c r="K1237" s="9">
        <v>974</v>
      </c>
      <c r="L1237" s="9">
        <v>964</v>
      </c>
      <c r="M1237" s="9">
        <v>974</v>
      </c>
      <c r="N1237" s="9">
        <v>971</v>
      </c>
      <c r="O1237" s="9">
        <v>871</v>
      </c>
      <c r="P1237" s="9">
        <v>856</v>
      </c>
      <c r="Q1237" s="9">
        <v>807</v>
      </c>
      <c r="R1237" s="9">
        <v>809</v>
      </c>
      <c r="S1237" s="9">
        <v>827</v>
      </c>
      <c r="T1237" s="9">
        <v>834</v>
      </c>
      <c r="U1237" s="9">
        <v>840</v>
      </c>
      <c r="V1237" s="9">
        <v>834</v>
      </c>
      <c r="W1237" s="9">
        <v>828</v>
      </c>
      <c r="X1237" s="9">
        <v>794</v>
      </c>
      <c r="Y1237" s="9">
        <v>773</v>
      </c>
      <c r="Z1237" s="9">
        <v>786</v>
      </c>
      <c r="AA1237" s="9">
        <v>810</v>
      </c>
      <c r="AB1237" s="9">
        <v>793</v>
      </c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</row>
    <row r="1238" spans="1:47" ht="14.4">
      <c r="A1238" s="3">
        <f>LOOKUP(D1238,'AMFI DATA_2023H2'!F:L,'AMFI DATA_2023H2'!L:L)</f>
        <v>1374</v>
      </c>
      <c r="B1238" s="4" t="s">
        <v>3713</v>
      </c>
      <c r="C1238" s="4" t="s">
        <v>3714</v>
      </c>
      <c r="D1238" s="5" t="s">
        <v>3715</v>
      </c>
      <c r="E1238" s="5">
        <v>461.82</v>
      </c>
      <c r="F1238" s="6">
        <f>LOOKUP(D1238,'AMFI DATA_2023H2'!F:J,'AMFI DATA_2023H2'!J:J)</f>
        <v>677.6086499999999</v>
      </c>
      <c r="G1238" s="7">
        <f t="shared" si="4"/>
        <v>-1</v>
      </c>
      <c r="H1238" s="9"/>
      <c r="I1238" s="9">
        <v>986</v>
      </c>
      <c r="J1238" s="9">
        <v>959</v>
      </c>
      <c r="K1238" s="9">
        <v>974</v>
      </c>
      <c r="L1238" s="9">
        <v>942</v>
      </c>
      <c r="M1238" s="9">
        <v>974</v>
      </c>
      <c r="N1238" s="9">
        <v>922</v>
      </c>
      <c r="O1238" s="9">
        <v>914</v>
      </c>
      <c r="P1238" s="9">
        <v>898</v>
      </c>
      <c r="Q1238" s="9">
        <v>884</v>
      </c>
      <c r="R1238" s="9">
        <v>862</v>
      </c>
      <c r="S1238" s="9">
        <v>854</v>
      </c>
      <c r="T1238" s="9">
        <v>872</v>
      </c>
      <c r="U1238" s="9">
        <v>830</v>
      </c>
      <c r="V1238" s="9">
        <v>835</v>
      </c>
      <c r="W1238" s="9">
        <v>828</v>
      </c>
      <c r="X1238" s="9">
        <v>824</v>
      </c>
      <c r="Y1238" s="9">
        <v>832</v>
      </c>
      <c r="Z1238" s="9">
        <v>830</v>
      </c>
      <c r="AA1238" s="9">
        <v>852</v>
      </c>
      <c r="AB1238" s="9">
        <v>815</v>
      </c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</row>
    <row r="1239" spans="1:47" ht="14.4">
      <c r="A1239" s="3">
        <f>LOOKUP(D1239,'AMFI DATA_2023H2'!F:L,'AMFI DATA_2023H2'!L:L)</f>
        <v>1376</v>
      </c>
      <c r="B1239" s="4" t="s">
        <v>3716</v>
      </c>
      <c r="C1239" s="4" t="s">
        <v>3717</v>
      </c>
      <c r="D1239" s="5" t="s">
        <v>3718</v>
      </c>
      <c r="E1239" s="5">
        <v>676.62</v>
      </c>
      <c r="F1239" s="6">
        <f>LOOKUP(D1239,'AMFI DATA_2023H2'!F:J,'AMFI DATA_2023H2'!J:J)</f>
        <v>677.10339999999997</v>
      </c>
      <c r="G1239" s="7">
        <f t="shared" si="4"/>
        <v>-1</v>
      </c>
      <c r="H1239" s="9"/>
      <c r="I1239" s="9">
        <v>658</v>
      </c>
      <c r="J1239" s="9">
        <v>662</v>
      </c>
      <c r="K1239" s="9">
        <v>674</v>
      </c>
      <c r="L1239" s="9">
        <v>686</v>
      </c>
      <c r="M1239" s="9">
        <v>695</v>
      </c>
      <c r="N1239" s="9">
        <v>687</v>
      </c>
      <c r="O1239" s="9">
        <v>666</v>
      </c>
      <c r="P1239" s="9">
        <v>664</v>
      </c>
      <c r="Q1239" s="9">
        <v>667</v>
      </c>
      <c r="R1239" s="9">
        <v>652</v>
      </c>
      <c r="S1239" s="9">
        <v>662</v>
      </c>
      <c r="T1239" s="9">
        <v>664</v>
      </c>
      <c r="U1239" s="9">
        <v>663</v>
      </c>
      <c r="V1239" s="9">
        <v>664</v>
      </c>
      <c r="W1239" s="9">
        <v>671</v>
      </c>
      <c r="X1239" s="9">
        <v>663</v>
      </c>
      <c r="Y1239" s="9">
        <v>663</v>
      </c>
      <c r="Z1239" s="9">
        <v>661</v>
      </c>
      <c r="AA1239" s="9">
        <v>664</v>
      </c>
      <c r="AB1239" s="9">
        <v>659</v>
      </c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</row>
    <row r="1240" spans="1:47" ht="14.4">
      <c r="A1240" s="3">
        <f>LOOKUP(D1240,'AMFI DATA_2023H2'!F:L,'AMFI DATA_2023H2'!L:L)</f>
        <v>1377</v>
      </c>
      <c r="B1240" s="4" t="s">
        <v>3719</v>
      </c>
      <c r="C1240" s="4" t="s">
        <v>3720</v>
      </c>
      <c r="D1240" s="5" t="s">
        <v>3721</v>
      </c>
      <c r="E1240" s="5">
        <v>344.24</v>
      </c>
      <c r="F1240" s="6">
        <f>LOOKUP(D1240,'AMFI DATA_2023H2'!F:J,'AMFI DATA_2023H2'!J:J)</f>
        <v>677.02070000000003</v>
      </c>
      <c r="G1240" s="7">
        <f t="shared" si="4"/>
        <v>-1</v>
      </c>
      <c r="H1240" s="8"/>
      <c r="I1240" s="8">
        <v>1083</v>
      </c>
      <c r="J1240" s="8">
        <v>1103</v>
      </c>
      <c r="K1240" s="8">
        <v>1093</v>
      </c>
      <c r="L1240" s="8">
        <v>1092</v>
      </c>
      <c r="M1240" s="8">
        <v>1050</v>
      </c>
      <c r="N1240" s="8">
        <v>1081</v>
      </c>
      <c r="O1240" s="8">
        <v>1057</v>
      </c>
      <c r="P1240" s="8">
        <v>1026</v>
      </c>
      <c r="Q1240" s="8">
        <v>1053</v>
      </c>
      <c r="R1240" s="8">
        <v>1086</v>
      </c>
      <c r="S1240" s="8">
        <v>1054</v>
      </c>
      <c r="T1240" s="8">
        <v>1043</v>
      </c>
      <c r="U1240" s="8">
        <v>1031</v>
      </c>
      <c r="V1240" s="8">
        <v>1035</v>
      </c>
      <c r="W1240" s="8">
        <v>1051</v>
      </c>
      <c r="X1240" s="8">
        <v>1038</v>
      </c>
      <c r="Y1240" s="8">
        <v>1061</v>
      </c>
      <c r="Z1240" s="8">
        <v>1073</v>
      </c>
      <c r="AA1240" s="8">
        <v>1100</v>
      </c>
      <c r="AB1240" s="8">
        <v>1091</v>
      </c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</row>
    <row r="1241" spans="1:47" ht="14.4">
      <c r="A1241" s="3">
        <f>LOOKUP(D1241,'AMFI DATA_2023H2'!F:L,'AMFI DATA_2023H2'!L:L)</f>
        <v>1378</v>
      </c>
      <c r="B1241" s="4" t="s">
        <v>3722</v>
      </c>
      <c r="C1241" s="4" t="s">
        <v>3723</v>
      </c>
      <c r="D1241" s="5" t="s">
        <v>3724</v>
      </c>
      <c r="E1241" s="5">
        <v>547.08000000000004</v>
      </c>
      <c r="F1241" s="6">
        <f>LOOKUP(D1241,'AMFI DATA_2023H2'!F:J,'AMFI DATA_2023H2'!J:J)</f>
        <v>676.00019999999995</v>
      </c>
      <c r="G1241" s="7">
        <f t="shared" si="4"/>
        <v>-1</v>
      </c>
      <c r="H1241" s="9"/>
      <c r="I1241" s="9">
        <v>711</v>
      </c>
      <c r="J1241" s="9">
        <v>711</v>
      </c>
      <c r="K1241" s="9">
        <v>698</v>
      </c>
      <c r="L1241" s="9">
        <v>710</v>
      </c>
      <c r="M1241" s="9">
        <v>732</v>
      </c>
      <c r="N1241" s="9">
        <v>733</v>
      </c>
      <c r="O1241" s="9">
        <v>723</v>
      </c>
      <c r="P1241" s="9">
        <v>0</v>
      </c>
      <c r="Q1241" s="9">
        <v>718</v>
      </c>
      <c r="R1241" s="9">
        <v>694</v>
      </c>
      <c r="S1241" s="9">
        <v>718</v>
      </c>
      <c r="T1241" s="9">
        <v>704</v>
      </c>
      <c r="U1241" s="9">
        <v>693</v>
      </c>
      <c r="V1241" s="9">
        <v>684</v>
      </c>
      <c r="W1241" s="9">
        <v>679</v>
      </c>
      <c r="X1241" s="9">
        <v>662</v>
      </c>
      <c r="Y1241" s="9">
        <v>652</v>
      </c>
      <c r="Z1241" s="9">
        <v>644</v>
      </c>
      <c r="AA1241" s="9">
        <v>655</v>
      </c>
      <c r="AB1241" s="9">
        <v>643</v>
      </c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</row>
    <row r="1242" spans="1:47" ht="14.4">
      <c r="A1242" s="3">
        <f>LOOKUP(D1242,'AMFI DATA_2023H2'!F:L,'AMFI DATA_2023H2'!L:L)</f>
        <v>1379</v>
      </c>
      <c r="B1242" s="4" t="s">
        <v>3725</v>
      </c>
      <c r="C1242" s="4" t="s">
        <v>3726</v>
      </c>
      <c r="D1242" s="5" t="s">
        <v>3727</v>
      </c>
      <c r="E1242" s="5">
        <v>442.67</v>
      </c>
      <c r="F1242" s="6">
        <f>LOOKUP(D1242,'AMFI DATA_2023H2'!F:J,'AMFI DATA_2023H2'!J:J)</f>
        <v>673.47299999999996</v>
      </c>
      <c r="G1242" s="7">
        <f t="shared" si="4"/>
        <v>-1</v>
      </c>
      <c r="H1242" s="9"/>
      <c r="I1242" s="9">
        <v>905</v>
      </c>
      <c r="J1242" s="9">
        <v>870</v>
      </c>
      <c r="K1242" s="9">
        <v>878</v>
      </c>
      <c r="L1242" s="9">
        <v>873</v>
      </c>
      <c r="M1242" s="9">
        <v>885</v>
      </c>
      <c r="N1242" s="9">
        <v>877</v>
      </c>
      <c r="O1242" s="9">
        <v>878</v>
      </c>
      <c r="P1242" s="9">
        <v>879</v>
      </c>
      <c r="Q1242" s="9">
        <v>861</v>
      </c>
      <c r="R1242" s="9">
        <v>907</v>
      </c>
      <c r="S1242" s="9">
        <v>869</v>
      </c>
      <c r="T1242" s="9">
        <v>877</v>
      </c>
      <c r="U1242" s="9">
        <v>865</v>
      </c>
      <c r="V1242" s="9">
        <v>870</v>
      </c>
      <c r="W1242" s="9">
        <v>874</v>
      </c>
      <c r="X1242" s="9">
        <v>854</v>
      </c>
      <c r="Y1242" s="9">
        <v>850</v>
      </c>
      <c r="Z1242" s="9">
        <v>857</v>
      </c>
      <c r="AA1242" s="9">
        <v>865</v>
      </c>
      <c r="AB1242" s="9">
        <v>788</v>
      </c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</row>
    <row r="1243" spans="1:47" ht="14.4">
      <c r="A1243" s="3">
        <f>LOOKUP(D1243,'AMFI DATA_2023H2'!F:L,'AMFI DATA_2023H2'!L:L)</f>
        <v>1380</v>
      </c>
      <c r="B1243" s="4" t="s">
        <v>3728</v>
      </c>
      <c r="C1243" s="4" t="s">
        <v>3729</v>
      </c>
      <c r="D1243" s="5" t="s">
        <v>3730</v>
      </c>
      <c r="E1243" s="5">
        <v>645.75</v>
      </c>
      <c r="F1243" s="6">
        <f>LOOKUP(D1243,'AMFI DATA_2023H2'!F:J,'AMFI DATA_2023H2'!J:J)</f>
        <v>669.34145000000001</v>
      </c>
      <c r="G1243" s="7">
        <f t="shared" si="4"/>
        <v>-1</v>
      </c>
      <c r="H1243" s="9"/>
      <c r="I1243" s="9">
        <v>810</v>
      </c>
      <c r="J1243" s="9">
        <v>822</v>
      </c>
      <c r="K1243" s="9">
        <v>819</v>
      </c>
      <c r="L1243" s="9">
        <v>811</v>
      </c>
      <c r="M1243" s="9">
        <v>886</v>
      </c>
      <c r="N1243" s="9">
        <v>922</v>
      </c>
      <c r="O1243" s="9">
        <v>914</v>
      </c>
      <c r="P1243" s="9">
        <v>903</v>
      </c>
      <c r="Q1243" s="9">
        <v>904</v>
      </c>
      <c r="R1243" s="9">
        <v>867</v>
      </c>
      <c r="S1243" s="9">
        <v>817</v>
      </c>
      <c r="T1243" s="9">
        <v>787</v>
      </c>
      <c r="U1243" s="9">
        <v>775</v>
      </c>
      <c r="V1243" s="9">
        <v>758</v>
      </c>
      <c r="W1243" s="9">
        <v>758</v>
      </c>
      <c r="X1243" s="9">
        <v>764</v>
      </c>
      <c r="Y1243" s="9">
        <v>788</v>
      </c>
      <c r="Z1243" s="9">
        <v>791</v>
      </c>
      <c r="AA1243" s="9">
        <v>801</v>
      </c>
      <c r="AB1243" s="9">
        <v>776</v>
      </c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</row>
    <row r="1244" spans="1:47" ht="14.4">
      <c r="A1244" s="3">
        <f>LOOKUP(D1244,'AMFI DATA_2023H2'!F:L,'AMFI DATA_2023H2'!L:L)</f>
        <v>1381</v>
      </c>
      <c r="B1244" s="4" t="s">
        <v>3731</v>
      </c>
      <c r="C1244" s="4" t="s">
        <v>3732</v>
      </c>
      <c r="D1244" s="5" t="s">
        <v>3733</v>
      </c>
      <c r="E1244" s="5">
        <v>426.42</v>
      </c>
      <c r="F1244" s="6">
        <f>LOOKUP(D1244,'AMFI DATA_2023H2'!F:J,'AMFI DATA_2023H2'!J:J)</f>
        <v>667.67810000000009</v>
      </c>
      <c r="G1244" s="7">
        <f t="shared" si="4"/>
        <v>-1</v>
      </c>
      <c r="H1244" s="9"/>
      <c r="I1244" s="9">
        <v>1065</v>
      </c>
      <c r="J1244" s="9">
        <v>968</v>
      </c>
      <c r="K1244" s="9">
        <v>1013</v>
      </c>
      <c r="L1244" s="9">
        <v>1034</v>
      </c>
      <c r="M1244" s="9">
        <v>1103</v>
      </c>
      <c r="N1244" s="9">
        <v>918</v>
      </c>
      <c r="O1244" s="9">
        <v>771</v>
      </c>
      <c r="P1244" s="9">
        <v>768</v>
      </c>
      <c r="Q1244" s="9">
        <v>769</v>
      </c>
      <c r="R1244" s="9">
        <v>773</v>
      </c>
      <c r="S1244" s="9">
        <v>788</v>
      </c>
      <c r="T1244" s="9">
        <v>793</v>
      </c>
      <c r="U1244" s="9">
        <v>798</v>
      </c>
      <c r="V1244" s="9">
        <v>803</v>
      </c>
      <c r="W1244" s="9">
        <v>783</v>
      </c>
      <c r="X1244" s="9">
        <v>777</v>
      </c>
      <c r="Y1244" s="9">
        <v>756</v>
      </c>
      <c r="Z1244" s="9">
        <v>748</v>
      </c>
      <c r="AA1244" s="9">
        <v>746</v>
      </c>
      <c r="AB1244" s="9">
        <v>750</v>
      </c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</row>
    <row r="1245" spans="1:47" ht="14.4">
      <c r="A1245" s="3">
        <f>LOOKUP(D1245,'AMFI DATA_2023H2'!F:L,'AMFI DATA_2023H2'!L:L)</f>
        <v>1382</v>
      </c>
      <c r="B1245" s="4" t="s">
        <v>3734</v>
      </c>
      <c r="C1245" s="4" t="s">
        <v>3735</v>
      </c>
      <c r="D1245" s="5" t="s">
        <v>3736</v>
      </c>
      <c r="E1245" s="5">
        <v>498.9</v>
      </c>
      <c r="F1245" s="6">
        <f>LOOKUP(D1245,'AMFI DATA_2023H2'!F:J,'AMFI DATA_2023H2'!J:J)</f>
        <v>666.37954999999999</v>
      </c>
      <c r="G1245" s="7">
        <f t="shared" si="4"/>
        <v>-1</v>
      </c>
      <c r="H1245" s="9"/>
      <c r="I1245" s="9">
        <v>686</v>
      </c>
      <c r="J1245" s="9">
        <v>681</v>
      </c>
      <c r="K1245" s="9">
        <v>676</v>
      </c>
      <c r="L1245" s="9">
        <v>670</v>
      </c>
      <c r="M1245" s="9">
        <v>682</v>
      </c>
      <c r="N1245" s="9">
        <v>675</v>
      </c>
      <c r="O1245" s="9">
        <v>665</v>
      </c>
      <c r="P1245" s="9">
        <v>681</v>
      </c>
      <c r="Q1245" s="9">
        <v>692</v>
      </c>
      <c r="R1245" s="9">
        <v>690</v>
      </c>
      <c r="S1245" s="9">
        <v>680</v>
      </c>
      <c r="T1245" s="9">
        <v>684</v>
      </c>
      <c r="U1245" s="9">
        <v>687</v>
      </c>
      <c r="V1245" s="9">
        <v>690</v>
      </c>
      <c r="W1245" s="9">
        <v>688</v>
      </c>
      <c r="X1245" s="9">
        <v>687</v>
      </c>
      <c r="Y1245" s="9">
        <v>682</v>
      </c>
      <c r="Z1245" s="9">
        <v>685</v>
      </c>
      <c r="AA1245" s="9">
        <v>684</v>
      </c>
      <c r="AB1245" s="9">
        <v>688</v>
      </c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</row>
    <row r="1246" spans="1:47" ht="14.4">
      <c r="A1246" s="3">
        <f>LOOKUP(D1246,'AMFI DATA_2023H2'!F:L,'AMFI DATA_2023H2'!L:L)</f>
        <v>1384</v>
      </c>
      <c r="B1246" s="4" t="s">
        <v>3737</v>
      </c>
      <c r="C1246" s="4" t="s">
        <v>3738</v>
      </c>
      <c r="D1246" s="5" t="s">
        <v>3739</v>
      </c>
      <c r="E1246" s="5">
        <v>768.62</v>
      </c>
      <c r="F1246" s="6">
        <f>LOOKUP(D1246,'AMFI DATA_2023H2'!F:J,'AMFI DATA_2023H2'!J:J)</f>
        <v>661.9057499999999</v>
      </c>
      <c r="G1246" s="7">
        <f t="shared" si="4"/>
        <v>-1</v>
      </c>
      <c r="H1246" s="9"/>
      <c r="I1246" s="9">
        <v>581</v>
      </c>
      <c r="J1246" s="9">
        <v>581</v>
      </c>
      <c r="K1246" s="9">
        <v>581</v>
      </c>
      <c r="L1246" s="9">
        <v>579</v>
      </c>
      <c r="M1246" s="9">
        <v>581</v>
      </c>
      <c r="N1246" s="9">
        <v>587</v>
      </c>
      <c r="O1246" s="9">
        <v>583</v>
      </c>
      <c r="P1246" s="9">
        <v>577</v>
      </c>
      <c r="Q1246" s="9">
        <v>582</v>
      </c>
      <c r="R1246" s="9">
        <v>588</v>
      </c>
      <c r="S1246" s="9">
        <v>593</v>
      </c>
      <c r="T1246" s="9">
        <v>591</v>
      </c>
      <c r="U1246" s="9">
        <v>586</v>
      </c>
      <c r="V1246" s="9">
        <v>594</v>
      </c>
      <c r="W1246" s="9">
        <v>580</v>
      </c>
      <c r="X1246" s="9">
        <v>591</v>
      </c>
      <c r="Y1246" s="9">
        <v>580</v>
      </c>
      <c r="Z1246" s="9">
        <v>580</v>
      </c>
      <c r="AA1246" s="9">
        <v>581</v>
      </c>
      <c r="AB1246" s="9">
        <v>581</v>
      </c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</row>
    <row r="1247" spans="1:47" ht="14.4">
      <c r="A1247" s="3">
        <f>LOOKUP(D1247,'AMFI DATA_2023H2'!F:L,'AMFI DATA_2023H2'!L:L)</f>
        <v>1385</v>
      </c>
      <c r="B1247" s="4" t="s">
        <v>3740</v>
      </c>
      <c r="C1247" s="4" t="s">
        <v>3741</v>
      </c>
      <c r="D1247" s="5" t="s">
        <v>3742</v>
      </c>
      <c r="E1247" s="5">
        <v>537.4</v>
      </c>
      <c r="F1247" s="6">
        <f>LOOKUP(D1247,'AMFI DATA_2023H2'!F:J,'AMFI DATA_2023H2'!J:J)</f>
        <v>659.75324999999998</v>
      </c>
      <c r="G1247" s="7">
        <f t="shared" si="4"/>
        <v>-1</v>
      </c>
      <c r="H1247" s="9"/>
      <c r="I1247" s="9">
        <v>799</v>
      </c>
      <c r="J1247" s="9">
        <v>806</v>
      </c>
      <c r="K1247" s="9">
        <v>799</v>
      </c>
      <c r="L1247" s="9">
        <v>836</v>
      </c>
      <c r="M1247" s="9">
        <v>829</v>
      </c>
      <c r="N1247" s="9">
        <v>828</v>
      </c>
      <c r="O1247" s="9">
        <v>823</v>
      </c>
      <c r="P1247" s="9">
        <v>767</v>
      </c>
      <c r="Q1247" s="9">
        <v>753</v>
      </c>
      <c r="R1247" s="9">
        <v>741</v>
      </c>
      <c r="S1247" s="9">
        <v>750</v>
      </c>
      <c r="T1247" s="9">
        <v>754</v>
      </c>
      <c r="U1247" s="9">
        <v>750</v>
      </c>
      <c r="V1247" s="9">
        <v>745</v>
      </c>
      <c r="W1247" s="9">
        <v>759</v>
      </c>
      <c r="X1247" s="9">
        <v>752</v>
      </c>
      <c r="Y1247" s="9">
        <v>752</v>
      </c>
      <c r="Z1247" s="9">
        <v>771</v>
      </c>
      <c r="AA1247" s="9">
        <v>763</v>
      </c>
      <c r="AB1247" s="9">
        <v>744</v>
      </c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</row>
    <row r="1248" spans="1:47" ht="14.4">
      <c r="A1248" s="3">
        <f>LOOKUP(D1248,'AMFI DATA_2023H2'!F:L,'AMFI DATA_2023H2'!L:L)</f>
        <v>1386</v>
      </c>
      <c r="B1248" s="4" t="s">
        <v>3743</v>
      </c>
      <c r="C1248" s="4" t="s">
        <v>3744</v>
      </c>
      <c r="D1248" s="5" t="s">
        <v>3745</v>
      </c>
      <c r="E1248" s="5">
        <v>516.4</v>
      </c>
      <c r="F1248" s="6">
        <f>LOOKUP(D1248,'AMFI DATA_2023H2'!F:J,'AMFI DATA_2023H2'!J:J)</f>
        <v>657.57534353000005</v>
      </c>
      <c r="G1248" s="7">
        <f t="shared" si="4"/>
        <v>-1</v>
      </c>
      <c r="H1248" s="9"/>
      <c r="I1248" s="9">
        <v>1042</v>
      </c>
      <c r="J1248" s="9">
        <v>1017</v>
      </c>
      <c r="K1248" s="9">
        <v>1019</v>
      </c>
      <c r="L1248" s="9">
        <v>1020</v>
      </c>
      <c r="M1248" s="9">
        <v>973</v>
      </c>
      <c r="N1248" s="9">
        <v>927</v>
      </c>
      <c r="O1248" s="9">
        <v>947</v>
      </c>
      <c r="P1248" s="9">
        <v>941</v>
      </c>
      <c r="Q1248" s="9">
        <v>920</v>
      </c>
      <c r="R1248" s="9">
        <v>960</v>
      </c>
      <c r="S1248" s="9">
        <v>848</v>
      </c>
      <c r="T1248" s="9">
        <v>833</v>
      </c>
      <c r="U1248" s="9">
        <v>743</v>
      </c>
      <c r="V1248" s="9">
        <v>747</v>
      </c>
      <c r="W1248" s="9">
        <v>713</v>
      </c>
      <c r="X1248" s="9">
        <v>713</v>
      </c>
      <c r="Y1248" s="9">
        <v>713</v>
      </c>
      <c r="Z1248" s="9">
        <v>711</v>
      </c>
      <c r="AA1248" s="9">
        <v>713</v>
      </c>
      <c r="AB1248" s="9">
        <v>718</v>
      </c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</row>
    <row r="1249" spans="1:47" ht="14.4">
      <c r="A1249" s="3">
        <f>LOOKUP(D1249,'AMFI DATA_2023H2'!F:L,'AMFI DATA_2023H2'!L:L)</f>
        <v>1387</v>
      </c>
      <c r="B1249" s="4" t="s">
        <v>3746</v>
      </c>
      <c r="C1249" s="4" t="s">
        <v>3747</v>
      </c>
      <c r="D1249" s="5" t="s">
        <v>3748</v>
      </c>
      <c r="E1249" s="5">
        <v>437.74</v>
      </c>
      <c r="F1249" s="6">
        <f>LOOKUP(D1249,'AMFI DATA_2023H2'!F:J,'AMFI DATA_2023H2'!J:J)</f>
        <v>656.05279999999993</v>
      </c>
      <c r="G1249" s="7">
        <f t="shared" si="4"/>
        <v>-1</v>
      </c>
      <c r="H1249" s="9"/>
      <c r="I1249" s="9">
        <v>776</v>
      </c>
      <c r="J1249" s="9">
        <v>770</v>
      </c>
      <c r="K1249" s="9">
        <v>780</v>
      </c>
      <c r="L1249" s="9">
        <v>772</v>
      </c>
      <c r="M1249" s="9">
        <v>787</v>
      </c>
      <c r="N1249" s="9">
        <v>808</v>
      </c>
      <c r="O1249" s="9">
        <v>885</v>
      </c>
      <c r="P1249" s="9">
        <v>860</v>
      </c>
      <c r="Q1249" s="9">
        <v>862</v>
      </c>
      <c r="R1249" s="9">
        <v>862</v>
      </c>
      <c r="S1249" s="9">
        <v>863</v>
      </c>
      <c r="T1249" s="9">
        <v>851</v>
      </c>
      <c r="U1249" s="9">
        <v>860</v>
      </c>
      <c r="V1249" s="9">
        <v>854</v>
      </c>
      <c r="W1249" s="9">
        <v>789</v>
      </c>
      <c r="X1249" s="9">
        <v>773</v>
      </c>
      <c r="Y1249" s="9">
        <v>774</v>
      </c>
      <c r="Z1249" s="9">
        <v>762</v>
      </c>
      <c r="AA1249" s="9">
        <v>772</v>
      </c>
      <c r="AB1249" s="9">
        <v>754</v>
      </c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</row>
    <row r="1250" spans="1:47" ht="14.4">
      <c r="A1250" s="3">
        <f>LOOKUP(D1250,'AMFI DATA_2023H2'!F:L,'AMFI DATA_2023H2'!L:L)</f>
        <v>1388</v>
      </c>
      <c r="B1250" s="4" t="s">
        <v>3749</v>
      </c>
      <c r="C1250" s="4" t="s">
        <v>3750</v>
      </c>
      <c r="D1250" s="5" t="s">
        <v>3751</v>
      </c>
      <c r="E1250" s="5">
        <v>268.95</v>
      </c>
      <c r="F1250" s="6">
        <f>LOOKUP(D1250,'AMFI DATA_2023H2'!F:J,'AMFI DATA_2023H2'!J:J)</f>
        <v>655.93700000000001</v>
      </c>
      <c r="G1250" s="7">
        <f t="shared" si="4"/>
        <v>-1</v>
      </c>
      <c r="H1250" s="9"/>
      <c r="I1250" s="9">
        <v>954</v>
      </c>
      <c r="J1250" s="9">
        <v>930</v>
      </c>
      <c r="K1250" s="9">
        <v>949</v>
      </c>
      <c r="L1250" s="9">
        <v>938</v>
      </c>
      <c r="M1250" s="9">
        <v>951</v>
      </c>
      <c r="N1250" s="9">
        <v>964</v>
      </c>
      <c r="O1250" s="9">
        <v>948</v>
      </c>
      <c r="P1250" s="9">
        <v>959</v>
      </c>
      <c r="Q1250" s="9">
        <v>972</v>
      </c>
      <c r="R1250" s="9">
        <v>935</v>
      </c>
      <c r="S1250" s="9">
        <v>946</v>
      </c>
      <c r="T1250" s="9">
        <v>953</v>
      </c>
      <c r="U1250" s="9">
        <v>909</v>
      </c>
      <c r="V1250" s="9">
        <v>929</v>
      </c>
      <c r="W1250" s="9">
        <v>914</v>
      </c>
      <c r="X1250" s="9">
        <v>923</v>
      </c>
      <c r="Y1250" s="9">
        <v>940</v>
      </c>
      <c r="Z1250" s="9">
        <v>963</v>
      </c>
      <c r="AA1250" s="9">
        <v>945</v>
      </c>
      <c r="AB1250" s="9">
        <v>977</v>
      </c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</row>
    <row r="1251" spans="1:47" ht="14.4">
      <c r="A1251" s="3">
        <f>LOOKUP(D1251,'AMFI DATA_2023H2'!F:L,'AMFI DATA_2023H2'!L:L)</f>
        <v>1389</v>
      </c>
      <c r="B1251" s="4" t="s">
        <v>3752</v>
      </c>
      <c r="C1251" s="4" t="s">
        <v>3753</v>
      </c>
      <c r="D1251" s="5" t="s">
        <v>3754</v>
      </c>
      <c r="E1251" s="5">
        <v>486.61</v>
      </c>
      <c r="F1251" s="6">
        <f>LOOKUP(D1251,'AMFI DATA_2023H2'!F:J,'AMFI DATA_2023H2'!J:J)</f>
        <v>654.82455000000004</v>
      </c>
      <c r="G1251" s="7">
        <f t="shared" si="4"/>
        <v>-1</v>
      </c>
      <c r="H1251" s="9"/>
      <c r="I1251" s="9">
        <v>644</v>
      </c>
      <c r="J1251" s="9">
        <v>644</v>
      </c>
      <c r="K1251" s="9">
        <v>643</v>
      </c>
      <c r="L1251" s="9">
        <v>654</v>
      </c>
      <c r="M1251" s="9">
        <v>652</v>
      </c>
      <c r="N1251" s="9">
        <v>654</v>
      </c>
      <c r="O1251" s="9">
        <v>637</v>
      </c>
      <c r="P1251" s="9">
        <v>649</v>
      </c>
      <c r="Q1251" s="9">
        <v>619</v>
      </c>
      <c r="R1251" s="9">
        <v>623</v>
      </c>
      <c r="S1251" s="9">
        <v>624</v>
      </c>
      <c r="T1251" s="9">
        <v>632</v>
      </c>
      <c r="U1251" s="9">
        <v>635</v>
      </c>
      <c r="V1251" s="9">
        <v>630</v>
      </c>
      <c r="W1251" s="9">
        <v>624</v>
      </c>
      <c r="X1251" s="9">
        <v>616</v>
      </c>
      <c r="Y1251" s="9">
        <v>612</v>
      </c>
      <c r="Z1251" s="9">
        <v>605</v>
      </c>
      <c r="AA1251" s="9">
        <v>646</v>
      </c>
      <c r="AB1251" s="9">
        <v>637</v>
      </c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</row>
    <row r="1252" spans="1:47" ht="14.4">
      <c r="A1252" s="3">
        <f>LOOKUP(D1252,'AMFI DATA_2023H2'!F:L,'AMFI DATA_2023H2'!L:L)</f>
        <v>1390</v>
      </c>
      <c r="B1252" s="4" t="s">
        <v>3755</v>
      </c>
      <c r="C1252" s="4" t="s">
        <v>3756</v>
      </c>
      <c r="D1252" s="5" t="s">
        <v>3757</v>
      </c>
      <c r="E1252" s="5">
        <v>560.37</v>
      </c>
      <c r="F1252" s="6">
        <f>LOOKUP(D1252,'AMFI DATA_2023H2'!F:J,'AMFI DATA_2023H2'!J:J)</f>
        <v>653.59720000000004</v>
      </c>
      <c r="G1252" s="7">
        <f t="shared" si="4"/>
        <v>-1</v>
      </c>
      <c r="H1252" s="9"/>
      <c r="I1252" s="9">
        <v>937</v>
      </c>
      <c r="J1252" s="9">
        <v>932</v>
      </c>
      <c r="K1252" s="9">
        <v>915</v>
      </c>
      <c r="L1252" s="9">
        <v>900</v>
      </c>
      <c r="M1252" s="9">
        <v>915</v>
      </c>
      <c r="N1252" s="9">
        <v>945</v>
      </c>
      <c r="O1252" s="9">
        <v>964</v>
      </c>
      <c r="P1252" s="9">
        <v>910</v>
      </c>
      <c r="Q1252" s="9">
        <v>927</v>
      </c>
      <c r="R1252" s="9">
        <v>946</v>
      </c>
      <c r="S1252" s="9">
        <v>935</v>
      </c>
      <c r="T1252" s="9">
        <v>950</v>
      </c>
      <c r="U1252" s="9">
        <v>946</v>
      </c>
      <c r="V1252" s="9">
        <v>976</v>
      </c>
      <c r="W1252" s="9">
        <v>996</v>
      </c>
      <c r="X1252" s="9">
        <v>974</v>
      </c>
      <c r="Y1252" s="9">
        <v>970</v>
      </c>
      <c r="Z1252" s="9">
        <v>947</v>
      </c>
      <c r="AA1252" s="9">
        <v>958</v>
      </c>
      <c r="AB1252" s="9">
        <v>992</v>
      </c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</row>
    <row r="1253" spans="1:47" ht="14.4">
      <c r="A1253" s="3">
        <f>LOOKUP(D1253,'AMFI DATA_2023H2'!F:L,'AMFI DATA_2023H2'!L:L)</f>
        <v>1392</v>
      </c>
      <c r="B1253" s="4" t="s">
        <v>3758</v>
      </c>
      <c r="C1253" s="4" t="s">
        <v>3759</v>
      </c>
      <c r="D1253" s="5" t="s">
        <v>3760</v>
      </c>
      <c r="E1253" s="5">
        <v>460.58</v>
      </c>
      <c r="F1253" s="6">
        <f>LOOKUP(D1253,'AMFI DATA_2023H2'!F:J,'AMFI DATA_2023H2'!J:J)</f>
        <v>649.53324999999995</v>
      </c>
      <c r="G1253" s="7">
        <f t="shared" si="4"/>
        <v>-1</v>
      </c>
      <c r="H1253" s="9"/>
      <c r="I1253" s="9">
        <v>730</v>
      </c>
      <c r="J1253" s="9">
        <v>740</v>
      </c>
      <c r="K1253" s="9">
        <v>726</v>
      </c>
      <c r="L1253" s="9">
        <v>742</v>
      </c>
      <c r="M1253" s="9">
        <v>768</v>
      </c>
      <c r="N1253" s="9">
        <v>759</v>
      </c>
      <c r="O1253" s="9">
        <v>752</v>
      </c>
      <c r="P1253" s="9">
        <v>720</v>
      </c>
      <c r="Q1253" s="9">
        <v>714</v>
      </c>
      <c r="R1253" s="9">
        <v>712</v>
      </c>
      <c r="S1253" s="9">
        <v>734</v>
      </c>
      <c r="T1253" s="9">
        <v>735</v>
      </c>
      <c r="U1253" s="9">
        <v>728</v>
      </c>
      <c r="V1253" s="9">
        <v>726</v>
      </c>
      <c r="W1253" s="9">
        <v>735</v>
      </c>
      <c r="X1253" s="9">
        <v>724</v>
      </c>
      <c r="Y1253" s="9">
        <v>719</v>
      </c>
      <c r="Z1253" s="9">
        <v>740</v>
      </c>
      <c r="AA1253" s="9">
        <v>733</v>
      </c>
      <c r="AB1253" s="9">
        <v>730</v>
      </c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</row>
    <row r="1254" spans="1:47" ht="14.4">
      <c r="A1254" s="3">
        <f>LOOKUP(D1254,'AMFI DATA_2023H2'!F:L,'AMFI DATA_2023H2'!L:L)</f>
        <v>1393</v>
      </c>
      <c r="B1254" s="4" t="s">
        <v>3761</v>
      </c>
      <c r="C1254" s="4" t="s">
        <v>3762</v>
      </c>
      <c r="D1254" s="5" t="s">
        <v>3763</v>
      </c>
      <c r="E1254" s="5">
        <v>706.36</v>
      </c>
      <c r="F1254" s="6">
        <f>LOOKUP(D1254,'AMFI DATA_2023H2'!F:J,'AMFI DATA_2023H2'!J:J)</f>
        <v>649.34465</v>
      </c>
      <c r="G1254" s="7">
        <f t="shared" si="4"/>
        <v>-1</v>
      </c>
      <c r="H1254" s="9"/>
      <c r="I1254" s="9">
        <v>650</v>
      </c>
      <c r="J1254" s="9">
        <v>639</v>
      </c>
      <c r="K1254" s="9">
        <v>653</v>
      </c>
      <c r="L1254" s="9">
        <v>648</v>
      </c>
      <c r="M1254" s="9">
        <v>647</v>
      </c>
      <c r="N1254" s="9">
        <v>650</v>
      </c>
      <c r="O1254" s="9">
        <v>669</v>
      </c>
      <c r="P1254" s="9">
        <v>665</v>
      </c>
      <c r="Q1254" s="9">
        <v>647</v>
      </c>
      <c r="R1254" s="9">
        <v>650</v>
      </c>
      <c r="S1254" s="9">
        <v>663</v>
      </c>
      <c r="T1254" s="9">
        <v>665</v>
      </c>
      <c r="U1254" s="9">
        <v>667</v>
      </c>
      <c r="V1254" s="9">
        <v>658</v>
      </c>
      <c r="W1254" s="9">
        <v>654</v>
      </c>
      <c r="X1254" s="9">
        <v>657</v>
      </c>
      <c r="Y1254" s="9">
        <v>649</v>
      </c>
      <c r="Z1254" s="9">
        <v>666</v>
      </c>
      <c r="AA1254" s="9">
        <v>682</v>
      </c>
      <c r="AB1254" s="9">
        <v>665</v>
      </c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</row>
    <row r="1255" spans="1:47" ht="14.4">
      <c r="A1255" s="3">
        <f>LOOKUP(D1255,'AMFI DATA_2023H2'!F:L,'AMFI DATA_2023H2'!L:L)</f>
        <v>1394</v>
      </c>
      <c r="B1255" s="4" t="s">
        <v>3764</v>
      </c>
      <c r="C1255" s="4" t="s">
        <v>3765</v>
      </c>
      <c r="D1255" s="5" t="s">
        <v>3766</v>
      </c>
      <c r="E1255" s="5">
        <v>426</v>
      </c>
      <c r="F1255" s="6">
        <f>LOOKUP(D1255,'AMFI DATA_2023H2'!F:J,'AMFI DATA_2023H2'!J:J)</f>
        <v>648.8691</v>
      </c>
      <c r="G1255" s="7">
        <f t="shared" si="4"/>
        <v>-1</v>
      </c>
      <c r="H1255" s="9"/>
      <c r="I1255" s="9">
        <v>904</v>
      </c>
      <c r="J1255" s="9">
        <v>897</v>
      </c>
      <c r="K1255" s="9">
        <v>925</v>
      </c>
      <c r="L1255" s="9">
        <v>935</v>
      </c>
      <c r="M1255" s="9">
        <v>970</v>
      </c>
      <c r="N1255" s="9">
        <v>939</v>
      </c>
      <c r="O1255" s="9">
        <v>952</v>
      </c>
      <c r="P1255" s="9">
        <v>977</v>
      </c>
      <c r="Q1255" s="9">
        <v>951</v>
      </c>
      <c r="R1255" s="9">
        <v>915</v>
      </c>
      <c r="S1255" s="9">
        <v>829</v>
      </c>
      <c r="T1255" s="9">
        <v>834</v>
      </c>
      <c r="U1255" s="9">
        <v>797</v>
      </c>
      <c r="V1255" s="9">
        <v>817</v>
      </c>
      <c r="W1255" s="9">
        <v>759</v>
      </c>
      <c r="X1255" s="9">
        <v>754</v>
      </c>
      <c r="Y1255" s="9">
        <v>767</v>
      </c>
      <c r="Z1255" s="9">
        <v>781</v>
      </c>
      <c r="AA1255" s="9">
        <v>791</v>
      </c>
      <c r="AB1255" s="9">
        <v>785</v>
      </c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</row>
    <row r="1256" spans="1:47" ht="14.4">
      <c r="A1256" s="3">
        <f>LOOKUP(D1256,'AMFI DATA_2023H2'!F:L,'AMFI DATA_2023H2'!L:L)</f>
        <v>1395</v>
      </c>
      <c r="B1256" s="4" t="s">
        <v>3767</v>
      </c>
      <c r="C1256" s="4" t="s">
        <v>3768</v>
      </c>
      <c r="D1256" s="5" t="s">
        <v>3769</v>
      </c>
      <c r="E1256" s="5">
        <v>570.66</v>
      </c>
      <c r="F1256" s="6">
        <f>LOOKUP(D1256,'AMFI DATA_2023H2'!F:J,'AMFI DATA_2023H2'!J:J)</f>
        <v>648.75689999999997</v>
      </c>
      <c r="G1256" s="7">
        <f t="shared" si="4"/>
        <v>-1</v>
      </c>
      <c r="H1256" s="9"/>
      <c r="I1256" s="9">
        <v>800</v>
      </c>
      <c r="J1256" s="9">
        <v>773</v>
      </c>
      <c r="K1256" s="9">
        <v>776</v>
      </c>
      <c r="L1256" s="9">
        <v>783</v>
      </c>
      <c r="M1256" s="9">
        <v>798</v>
      </c>
      <c r="N1256" s="9">
        <v>809</v>
      </c>
      <c r="O1256" s="9">
        <v>810</v>
      </c>
      <c r="P1256" s="9">
        <v>815</v>
      </c>
      <c r="Q1256" s="9">
        <v>815</v>
      </c>
      <c r="R1256" s="9">
        <v>821</v>
      </c>
      <c r="S1256" s="9">
        <v>835</v>
      </c>
      <c r="T1256" s="9">
        <v>862</v>
      </c>
      <c r="U1256" s="9">
        <v>754</v>
      </c>
      <c r="V1256" s="9">
        <v>728</v>
      </c>
      <c r="W1256" s="9">
        <v>688</v>
      </c>
      <c r="X1256" s="9">
        <v>670</v>
      </c>
      <c r="Y1256" s="9">
        <v>682</v>
      </c>
      <c r="Z1256" s="9">
        <v>673</v>
      </c>
      <c r="AA1256" s="9">
        <v>665</v>
      </c>
      <c r="AB1256" s="9">
        <v>648</v>
      </c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</row>
    <row r="1257" spans="1:47" ht="14.4">
      <c r="A1257" s="3">
        <f>LOOKUP(D1257,'AMFI DATA_2023H2'!F:L,'AMFI DATA_2023H2'!L:L)</f>
        <v>1397</v>
      </c>
      <c r="B1257" s="4" t="s">
        <v>3770</v>
      </c>
      <c r="C1257" s="4" t="s">
        <v>3771</v>
      </c>
      <c r="D1257" s="5" t="s">
        <v>3772</v>
      </c>
      <c r="E1257" s="5">
        <v>510.3</v>
      </c>
      <c r="F1257" s="6">
        <f>LOOKUP(D1257,'AMFI DATA_2023H2'!F:J,'AMFI DATA_2023H2'!J:J)</f>
        <v>646.4203</v>
      </c>
      <c r="G1257" s="7">
        <f t="shared" si="4"/>
        <v>-1</v>
      </c>
      <c r="H1257" s="9"/>
      <c r="I1257" s="9">
        <v>720</v>
      </c>
      <c r="J1257" s="9">
        <v>677</v>
      </c>
      <c r="K1257" s="9">
        <v>669</v>
      </c>
      <c r="L1257" s="9">
        <v>680</v>
      </c>
      <c r="M1257" s="9">
        <v>692</v>
      </c>
      <c r="N1257" s="9">
        <v>711</v>
      </c>
      <c r="O1257" s="9">
        <v>723</v>
      </c>
      <c r="P1257" s="9">
        <v>728</v>
      </c>
      <c r="Q1257" s="9">
        <v>666</v>
      </c>
      <c r="R1257" s="9">
        <v>654</v>
      </c>
      <c r="S1257" s="9">
        <v>651</v>
      </c>
      <c r="T1257" s="9">
        <v>656</v>
      </c>
      <c r="U1257" s="9">
        <v>654</v>
      </c>
      <c r="V1257" s="9">
        <v>655</v>
      </c>
      <c r="W1257" s="9">
        <v>664</v>
      </c>
      <c r="X1257" s="9">
        <v>665</v>
      </c>
      <c r="Y1257" s="9">
        <v>655</v>
      </c>
      <c r="Z1257" s="9">
        <v>661</v>
      </c>
      <c r="AA1257" s="9">
        <v>654</v>
      </c>
      <c r="AB1257" s="9">
        <v>659</v>
      </c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</row>
    <row r="1258" spans="1:47" ht="14.4">
      <c r="A1258" s="3">
        <f>LOOKUP(D1258,'AMFI DATA_2023H2'!F:L,'AMFI DATA_2023H2'!L:L)</f>
        <v>1398</v>
      </c>
      <c r="B1258" s="4" t="s">
        <v>3773</v>
      </c>
      <c r="C1258" s="4" t="s">
        <v>3774</v>
      </c>
      <c r="D1258" s="5" t="s">
        <v>3775</v>
      </c>
      <c r="E1258" s="5">
        <v>728.06</v>
      </c>
      <c r="F1258" s="6">
        <f>LOOKUP(D1258,'AMFI DATA_2023H2'!F:J,'AMFI DATA_2023H2'!J:J)</f>
        <v>645.80975000000001</v>
      </c>
      <c r="G1258" s="7">
        <f t="shared" si="4"/>
        <v>-1</v>
      </c>
      <c r="H1258" s="9"/>
      <c r="I1258" s="9">
        <v>852</v>
      </c>
      <c r="J1258" s="9">
        <v>808</v>
      </c>
      <c r="K1258" s="9">
        <v>814</v>
      </c>
      <c r="L1258" s="9">
        <v>846</v>
      </c>
      <c r="M1258" s="9">
        <v>771</v>
      </c>
      <c r="N1258" s="9">
        <v>792</v>
      </c>
      <c r="O1258" s="9">
        <v>809</v>
      </c>
      <c r="P1258" s="9">
        <v>804</v>
      </c>
      <c r="Q1258" s="9">
        <v>779</v>
      </c>
      <c r="R1258" s="9">
        <v>798</v>
      </c>
      <c r="S1258" s="9">
        <v>776</v>
      </c>
      <c r="T1258" s="9">
        <v>652</v>
      </c>
      <c r="U1258" s="9">
        <v>651</v>
      </c>
      <c r="V1258" s="9">
        <v>654</v>
      </c>
      <c r="W1258" s="9">
        <v>650</v>
      </c>
      <c r="X1258" s="9">
        <v>642</v>
      </c>
      <c r="Y1258" s="9">
        <v>648</v>
      </c>
      <c r="Z1258" s="9">
        <v>645</v>
      </c>
      <c r="AA1258" s="9">
        <v>650</v>
      </c>
      <c r="AB1258" s="9">
        <v>654</v>
      </c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</row>
    <row r="1259" spans="1:47" ht="14.4">
      <c r="A1259" s="3">
        <f>LOOKUP(D1259,'AMFI DATA_2023H2'!F:L,'AMFI DATA_2023H2'!L:L)</f>
        <v>1400</v>
      </c>
      <c r="B1259" s="4" t="s">
        <v>3776</v>
      </c>
      <c r="C1259" s="4" t="s">
        <v>3777</v>
      </c>
      <c r="D1259" s="5" t="s">
        <v>3778</v>
      </c>
      <c r="E1259" s="5">
        <v>403.56</v>
      </c>
      <c r="F1259" s="6">
        <f>LOOKUP(D1259,'AMFI DATA_2023H2'!F:J,'AMFI DATA_2023H2'!J:J)</f>
        <v>644.05645000000004</v>
      </c>
      <c r="G1259" s="7">
        <f t="shared" si="4"/>
        <v>-1</v>
      </c>
      <c r="H1259" s="9"/>
      <c r="I1259" s="9">
        <v>911</v>
      </c>
      <c r="J1259" s="9">
        <v>927</v>
      </c>
      <c r="K1259" s="9">
        <v>905</v>
      </c>
      <c r="L1259" s="9">
        <v>909</v>
      </c>
      <c r="M1259" s="9">
        <v>925</v>
      </c>
      <c r="N1259" s="9">
        <v>931</v>
      </c>
      <c r="O1259" s="9">
        <v>948</v>
      </c>
      <c r="P1259" s="9">
        <v>920</v>
      </c>
      <c r="Q1259" s="9">
        <v>922</v>
      </c>
      <c r="R1259" s="9">
        <v>911</v>
      </c>
      <c r="S1259" s="9">
        <v>933</v>
      </c>
      <c r="T1259" s="9">
        <v>937</v>
      </c>
      <c r="U1259" s="9">
        <v>985</v>
      </c>
      <c r="V1259" s="9">
        <v>894</v>
      </c>
      <c r="W1259" s="9">
        <v>815</v>
      </c>
      <c r="X1259" s="9">
        <v>706</v>
      </c>
      <c r="Y1259" s="9">
        <v>717</v>
      </c>
      <c r="Z1259" s="9">
        <v>687</v>
      </c>
      <c r="AA1259" s="9">
        <v>692</v>
      </c>
      <c r="AB1259" s="9">
        <v>626</v>
      </c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</row>
    <row r="1260" spans="1:47" ht="14.4">
      <c r="A1260" s="3">
        <f>LOOKUP(D1260,'AMFI DATA_2023H2'!F:L,'AMFI DATA_2023H2'!L:L)</f>
        <v>1401</v>
      </c>
      <c r="B1260" s="4" t="s">
        <v>3779</v>
      </c>
      <c r="C1260" s="4" t="s">
        <v>3780</v>
      </c>
      <c r="D1260" s="5" t="s">
        <v>3781</v>
      </c>
      <c r="E1260" s="5">
        <v>579.62</v>
      </c>
      <c r="F1260" s="6">
        <f>LOOKUP(D1260,'AMFI DATA_2023H2'!F:J,'AMFI DATA_2023H2'!J:J)</f>
        <v>643.51634999999999</v>
      </c>
      <c r="G1260" s="7">
        <f t="shared" si="4"/>
        <v>-1</v>
      </c>
      <c r="H1260" s="9"/>
      <c r="I1260" s="9">
        <v>916</v>
      </c>
      <c r="J1260" s="9">
        <v>894</v>
      </c>
      <c r="K1260" s="9">
        <v>905</v>
      </c>
      <c r="L1260" s="9">
        <v>914</v>
      </c>
      <c r="M1260" s="9">
        <v>947</v>
      </c>
      <c r="N1260" s="9">
        <v>928</v>
      </c>
      <c r="O1260" s="9">
        <v>879</v>
      </c>
      <c r="P1260" s="9">
        <v>894</v>
      </c>
      <c r="Q1260" s="9">
        <v>925</v>
      </c>
      <c r="R1260" s="9">
        <v>912</v>
      </c>
      <c r="S1260" s="9">
        <v>904</v>
      </c>
      <c r="T1260" s="9">
        <v>931</v>
      </c>
      <c r="U1260" s="9">
        <v>939</v>
      </c>
      <c r="V1260" s="9">
        <v>956</v>
      </c>
      <c r="W1260" s="9">
        <v>887</v>
      </c>
      <c r="X1260" s="9">
        <v>830</v>
      </c>
      <c r="Y1260" s="9">
        <v>766</v>
      </c>
      <c r="Z1260" s="9">
        <v>762</v>
      </c>
      <c r="AA1260" s="9">
        <v>757</v>
      </c>
      <c r="AB1260" s="9">
        <v>763</v>
      </c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</row>
    <row r="1261" spans="1:47" ht="14.4">
      <c r="A1261" s="3">
        <f>LOOKUP(D1261,'AMFI DATA_2023H2'!F:L,'AMFI DATA_2023H2'!L:L)</f>
        <v>1403</v>
      </c>
      <c r="B1261" s="4" t="s">
        <v>3782</v>
      </c>
      <c r="C1261" s="4" t="s">
        <v>3783</v>
      </c>
      <c r="D1261" s="5" t="s">
        <v>3784</v>
      </c>
      <c r="E1261" s="5">
        <v>314.89999999999998</v>
      </c>
      <c r="F1261" s="6">
        <f>LOOKUP(D1261,'AMFI DATA_2023H2'!F:J,'AMFI DATA_2023H2'!J:J)</f>
        <v>641.10505000000001</v>
      </c>
      <c r="G1261" s="7">
        <f t="shared" si="4"/>
        <v>-1</v>
      </c>
      <c r="H1261" s="9"/>
      <c r="I1261" s="9">
        <v>855</v>
      </c>
      <c r="J1261" s="9">
        <v>845</v>
      </c>
      <c r="K1261" s="9">
        <v>846</v>
      </c>
      <c r="L1261" s="9">
        <v>845</v>
      </c>
      <c r="M1261" s="9">
        <v>877</v>
      </c>
      <c r="N1261" s="9">
        <v>886</v>
      </c>
      <c r="O1261" s="9">
        <v>910</v>
      </c>
      <c r="P1261" s="9">
        <v>878</v>
      </c>
      <c r="Q1261" s="9">
        <v>902</v>
      </c>
      <c r="R1261" s="9">
        <v>912</v>
      </c>
      <c r="S1261" s="9">
        <v>874</v>
      </c>
      <c r="T1261" s="9">
        <v>877</v>
      </c>
      <c r="U1261" s="9">
        <v>895</v>
      </c>
      <c r="V1261" s="9">
        <v>870</v>
      </c>
      <c r="W1261" s="9">
        <v>884</v>
      </c>
      <c r="X1261" s="9">
        <v>867</v>
      </c>
      <c r="Y1261" s="9">
        <v>864</v>
      </c>
      <c r="Z1261" s="9">
        <v>898</v>
      </c>
      <c r="AA1261" s="9">
        <v>908</v>
      </c>
      <c r="AB1261" s="9">
        <v>862</v>
      </c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</row>
    <row r="1262" spans="1:47" ht="14.4">
      <c r="A1262" s="3">
        <f>LOOKUP(D1262,'AMFI DATA_2023H2'!F:L,'AMFI DATA_2023H2'!L:L)</f>
        <v>1406</v>
      </c>
      <c r="B1262" s="4" t="s">
        <v>3785</v>
      </c>
      <c r="C1262" s="4" t="s">
        <v>3786</v>
      </c>
      <c r="D1262" s="5" t="s">
        <v>3787</v>
      </c>
      <c r="E1262" s="5">
        <v>624.39</v>
      </c>
      <c r="F1262" s="6">
        <f>LOOKUP(D1262,'AMFI DATA_2023H2'!F:J,'AMFI DATA_2023H2'!J:J)</f>
        <v>639.90920000000006</v>
      </c>
      <c r="G1262" s="7">
        <f t="shared" si="4"/>
        <v>-1</v>
      </c>
      <c r="H1262" s="9"/>
      <c r="I1262" s="9">
        <v>723</v>
      </c>
      <c r="J1262" s="9">
        <v>701</v>
      </c>
      <c r="K1262" s="9">
        <v>705</v>
      </c>
      <c r="L1262" s="9">
        <v>725</v>
      </c>
      <c r="M1262" s="9">
        <v>704</v>
      </c>
      <c r="N1262" s="9">
        <v>724</v>
      </c>
      <c r="O1262" s="9">
        <v>747</v>
      </c>
      <c r="P1262" s="9">
        <v>706</v>
      </c>
      <c r="Q1262" s="9">
        <v>713</v>
      </c>
      <c r="R1262" s="9">
        <v>697</v>
      </c>
      <c r="S1262" s="9">
        <v>718</v>
      </c>
      <c r="T1262" s="9">
        <v>699</v>
      </c>
      <c r="U1262" s="9">
        <v>705</v>
      </c>
      <c r="V1262" s="9">
        <v>689</v>
      </c>
      <c r="W1262" s="9">
        <v>701</v>
      </c>
      <c r="X1262" s="9">
        <v>696</v>
      </c>
      <c r="Y1262" s="9">
        <v>697</v>
      </c>
      <c r="Z1262" s="9">
        <v>705</v>
      </c>
      <c r="AA1262" s="9">
        <v>713</v>
      </c>
      <c r="AB1262" s="9">
        <v>732</v>
      </c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</row>
    <row r="1263" spans="1:47" ht="14.4">
      <c r="A1263" s="3">
        <f>LOOKUP(D1263,'AMFI DATA_2023H2'!F:L,'AMFI DATA_2023H2'!L:L)</f>
        <v>1407</v>
      </c>
      <c r="B1263" s="4" t="s">
        <v>3788</v>
      </c>
      <c r="C1263" s="4" t="s">
        <v>3789</v>
      </c>
      <c r="D1263" s="5" t="s">
        <v>3790</v>
      </c>
      <c r="E1263" s="5">
        <v>676.38</v>
      </c>
      <c r="F1263" s="6">
        <f>LOOKUP(D1263,'AMFI DATA_2023H2'!F:J,'AMFI DATA_2023H2'!J:J)</f>
        <v>637.58075000000008</v>
      </c>
      <c r="G1263" s="7">
        <f t="shared" si="4"/>
        <v>-1</v>
      </c>
      <c r="H1263" s="9"/>
      <c r="I1263" s="9">
        <v>798</v>
      </c>
      <c r="J1263" s="9">
        <v>742</v>
      </c>
      <c r="K1263" s="9">
        <v>683</v>
      </c>
      <c r="L1263" s="9">
        <v>694</v>
      </c>
      <c r="M1263" s="9">
        <v>710</v>
      </c>
      <c r="N1263" s="9">
        <v>719</v>
      </c>
      <c r="O1263" s="9">
        <v>732</v>
      </c>
      <c r="P1263" s="9">
        <v>727</v>
      </c>
      <c r="Q1263" s="9">
        <v>727</v>
      </c>
      <c r="R1263" s="9">
        <v>706</v>
      </c>
      <c r="S1263" s="9">
        <v>719</v>
      </c>
      <c r="T1263" s="9">
        <v>742</v>
      </c>
      <c r="U1263" s="9">
        <v>731</v>
      </c>
      <c r="V1263" s="9">
        <v>744</v>
      </c>
      <c r="W1263" s="9">
        <v>707</v>
      </c>
      <c r="X1263" s="9">
        <v>669</v>
      </c>
      <c r="Y1263" s="9">
        <v>679</v>
      </c>
      <c r="Z1263" s="9">
        <v>677</v>
      </c>
      <c r="AA1263" s="9">
        <v>659</v>
      </c>
      <c r="AB1263" s="9">
        <v>652</v>
      </c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</row>
    <row r="1264" spans="1:47" ht="14.4">
      <c r="A1264" s="3">
        <f>LOOKUP(D1264,'AMFI DATA_2023H2'!F:L,'AMFI DATA_2023H2'!L:L)</f>
        <v>1408</v>
      </c>
      <c r="B1264" s="4" t="s">
        <v>3791</v>
      </c>
      <c r="C1264" s="4" t="s">
        <v>3792</v>
      </c>
      <c r="D1264" s="5" t="s">
        <v>3793</v>
      </c>
      <c r="E1264" s="5">
        <v>354.99</v>
      </c>
      <c r="F1264" s="6">
        <f>LOOKUP(D1264,'AMFI DATA_2023H2'!F:J,'AMFI DATA_2023H2'!J:J)</f>
        <v>634.77575000000002</v>
      </c>
      <c r="G1264" s="7">
        <f t="shared" si="4"/>
        <v>-1</v>
      </c>
      <c r="H1264" s="9"/>
      <c r="I1264" s="9">
        <v>1186</v>
      </c>
      <c r="J1264" s="9">
        <v>1182</v>
      </c>
      <c r="K1264" s="9">
        <v>1195</v>
      </c>
      <c r="L1264" s="9">
        <v>1208</v>
      </c>
      <c r="M1264" s="9">
        <v>1199</v>
      </c>
      <c r="N1264" s="9">
        <v>1209</v>
      </c>
      <c r="O1264" s="9">
        <v>1162</v>
      </c>
      <c r="P1264" s="9">
        <v>1176</v>
      </c>
      <c r="Q1264" s="9">
        <v>1141</v>
      </c>
      <c r="R1264" s="9">
        <v>1080</v>
      </c>
      <c r="S1264" s="9">
        <v>1106</v>
      </c>
      <c r="T1264" s="9">
        <v>1045</v>
      </c>
      <c r="U1264" s="9">
        <v>1049</v>
      </c>
      <c r="V1264" s="9">
        <v>1065</v>
      </c>
      <c r="W1264" s="9">
        <v>1048</v>
      </c>
      <c r="X1264" s="9">
        <v>1041</v>
      </c>
      <c r="Y1264" s="9">
        <v>1031</v>
      </c>
      <c r="Z1264" s="9">
        <v>992</v>
      </c>
      <c r="AA1264" s="9">
        <v>961</v>
      </c>
      <c r="AB1264" s="9">
        <v>938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</row>
    <row r="1265" spans="1:47" ht="14.4">
      <c r="A1265" s="3">
        <f>LOOKUP(D1265,'AMFI DATA_2023H2'!F:L,'AMFI DATA_2023H2'!L:L)</f>
        <v>1410</v>
      </c>
      <c r="B1265" s="4" t="s">
        <v>3794</v>
      </c>
      <c r="C1265" s="4" t="s">
        <v>3795</v>
      </c>
      <c r="D1265" s="5" t="s">
        <v>3796</v>
      </c>
      <c r="E1265" s="5">
        <v>549.99</v>
      </c>
      <c r="F1265" s="6">
        <f>LOOKUP(D1265,'AMFI DATA_2023H2'!F:J,'AMFI DATA_2023H2'!J:J)</f>
        <v>634.22019999999998</v>
      </c>
      <c r="G1265" s="7">
        <f t="shared" si="4"/>
        <v>-1</v>
      </c>
      <c r="H1265" s="9"/>
      <c r="I1265" s="9">
        <v>661</v>
      </c>
      <c r="J1265" s="9">
        <v>662</v>
      </c>
      <c r="K1265" s="9">
        <v>664</v>
      </c>
      <c r="L1265" s="9">
        <v>671</v>
      </c>
      <c r="M1265" s="9">
        <v>683</v>
      </c>
      <c r="N1265" s="9">
        <v>677</v>
      </c>
      <c r="O1265" s="9">
        <v>682</v>
      </c>
      <c r="P1265" s="9">
        <v>674</v>
      </c>
      <c r="Q1265" s="9">
        <v>676</v>
      </c>
      <c r="R1265" s="9">
        <v>687</v>
      </c>
      <c r="S1265" s="9">
        <v>708</v>
      </c>
      <c r="T1265" s="9">
        <v>729</v>
      </c>
      <c r="U1265" s="9">
        <v>712</v>
      </c>
      <c r="V1265" s="9">
        <v>706</v>
      </c>
      <c r="W1265" s="9">
        <v>714</v>
      </c>
      <c r="X1265" s="9">
        <v>711</v>
      </c>
      <c r="Y1265" s="9">
        <v>733</v>
      </c>
      <c r="Z1265" s="9">
        <v>730</v>
      </c>
      <c r="AA1265" s="9">
        <v>737</v>
      </c>
      <c r="AB1265" s="9">
        <v>701</v>
      </c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</row>
    <row r="1266" spans="1:47" ht="14.4">
      <c r="A1266" s="3">
        <f>LOOKUP(D1266,'AMFI DATA_2023H2'!F:L,'AMFI DATA_2023H2'!L:L)</f>
        <v>1411</v>
      </c>
      <c r="B1266" s="4" t="s">
        <v>3797</v>
      </c>
      <c r="C1266" s="4" t="s">
        <v>3798</v>
      </c>
      <c r="D1266" s="5" t="s">
        <v>3799</v>
      </c>
      <c r="E1266" s="5">
        <v>549.17999999999995</v>
      </c>
      <c r="F1266" s="6">
        <f>LOOKUP(D1266,'AMFI DATA_2023H2'!F:J,'AMFI DATA_2023H2'!J:J)</f>
        <v>628.97915</v>
      </c>
      <c r="G1266" s="7">
        <f t="shared" si="4"/>
        <v>-1</v>
      </c>
      <c r="H1266" s="9"/>
      <c r="I1266" s="9">
        <v>679</v>
      </c>
      <c r="J1266" s="9">
        <v>688</v>
      </c>
      <c r="K1266" s="9">
        <v>681</v>
      </c>
      <c r="L1266" s="9">
        <v>703</v>
      </c>
      <c r="M1266" s="9">
        <v>706</v>
      </c>
      <c r="N1266" s="9">
        <v>670</v>
      </c>
      <c r="O1266" s="9">
        <v>666</v>
      </c>
      <c r="P1266" s="9">
        <v>665</v>
      </c>
      <c r="Q1266" s="9">
        <v>669</v>
      </c>
      <c r="R1266" s="9">
        <v>660</v>
      </c>
      <c r="S1266" s="9">
        <v>667</v>
      </c>
      <c r="T1266" s="9">
        <v>659</v>
      </c>
      <c r="U1266" s="9">
        <v>659</v>
      </c>
      <c r="V1266" s="9">
        <v>672</v>
      </c>
      <c r="W1266" s="9">
        <v>666</v>
      </c>
      <c r="X1266" s="9">
        <v>660</v>
      </c>
      <c r="Y1266" s="9">
        <v>665</v>
      </c>
      <c r="Z1266" s="9">
        <v>671</v>
      </c>
      <c r="AA1266" s="9">
        <v>678</v>
      </c>
      <c r="AB1266" s="9">
        <v>669</v>
      </c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</row>
    <row r="1267" spans="1:47" ht="14.4">
      <c r="A1267" s="3">
        <f>LOOKUP(D1267,'AMFI DATA_2023H2'!F:L,'AMFI DATA_2023H2'!L:L)</f>
        <v>1414</v>
      </c>
      <c r="B1267" s="4" t="s">
        <v>3800</v>
      </c>
      <c r="C1267" s="4" t="s">
        <v>3801</v>
      </c>
      <c r="D1267" s="5" t="s">
        <v>3802</v>
      </c>
      <c r="E1267" s="5">
        <v>454.19</v>
      </c>
      <c r="F1267" s="6">
        <f>LOOKUP(D1267,'AMFI DATA_2023H2'!F:J,'AMFI DATA_2023H2'!J:J)</f>
        <v>625.4701</v>
      </c>
      <c r="G1267" s="7">
        <f t="shared" si="4"/>
        <v>-1</v>
      </c>
      <c r="H1267" s="9"/>
      <c r="I1267" s="9">
        <v>1105</v>
      </c>
      <c r="J1267" s="9">
        <v>1082</v>
      </c>
      <c r="K1267" s="9">
        <v>1069</v>
      </c>
      <c r="L1267" s="9">
        <v>1094</v>
      </c>
      <c r="M1267" s="9">
        <v>1136</v>
      </c>
      <c r="N1267" s="9">
        <v>1050</v>
      </c>
      <c r="O1267" s="9">
        <v>1047</v>
      </c>
      <c r="P1267" s="9">
        <v>1069</v>
      </c>
      <c r="Q1267" s="9">
        <v>972</v>
      </c>
      <c r="R1267" s="9">
        <v>880</v>
      </c>
      <c r="S1267" s="9">
        <v>890</v>
      </c>
      <c r="T1267" s="9">
        <v>903</v>
      </c>
      <c r="U1267" s="9">
        <v>905</v>
      </c>
      <c r="V1267" s="9">
        <v>878</v>
      </c>
      <c r="W1267" s="9">
        <v>894</v>
      </c>
      <c r="X1267" s="9">
        <v>870</v>
      </c>
      <c r="Y1267" s="9">
        <v>870</v>
      </c>
      <c r="Z1267" s="9">
        <v>872</v>
      </c>
      <c r="AA1267" s="9">
        <v>793</v>
      </c>
      <c r="AB1267" s="9">
        <v>807</v>
      </c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</row>
    <row r="1268" spans="1:47" ht="14.4">
      <c r="A1268" s="3">
        <f>LOOKUP(D1268,'AMFI DATA_2023H2'!F:L,'AMFI DATA_2023H2'!L:L)</f>
        <v>1416</v>
      </c>
      <c r="B1268" s="4" t="s">
        <v>3803</v>
      </c>
      <c r="C1268" s="4" t="s">
        <v>3804</v>
      </c>
      <c r="D1268" s="5" t="s">
        <v>3805</v>
      </c>
      <c r="E1268" s="5">
        <v>245.14</v>
      </c>
      <c r="F1268" s="6">
        <f>LOOKUP(D1268,'AMFI DATA_2023H2'!F:J,'AMFI DATA_2023H2'!J:J)</f>
        <v>623.95500000000004</v>
      </c>
      <c r="G1268" s="7">
        <f t="shared" si="4"/>
        <v>-1</v>
      </c>
      <c r="H1268" s="9"/>
      <c r="I1268" s="9">
        <v>1172</v>
      </c>
      <c r="J1268" s="9">
        <v>1149</v>
      </c>
      <c r="K1268" s="9">
        <v>1172</v>
      </c>
      <c r="L1268" s="9">
        <v>1196</v>
      </c>
      <c r="M1268" s="9">
        <v>1221</v>
      </c>
      <c r="N1268" s="9">
        <v>1246</v>
      </c>
      <c r="O1268" s="9">
        <v>1271</v>
      </c>
      <c r="P1268" s="9">
        <v>1297</v>
      </c>
      <c r="Q1268" s="9">
        <v>1297</v>
      </c>
      <c r="R1268" s="9">
        <v>1276</v>
      </c>
      <c r="S1268" s="9">
        <v>1215</v>
      </c>
      <c r="T1268" s="9">
        <v>1157</v>
      </c>
      <c r="U1268" s="9">
        <v>1102</v>
      </c>
      <c r="V1268" s="9">
        <v>1050</v>
      </c>
      <c r="W1268" s="9">
        <v>1000</v>
      </c>
      <c r="X1268" s="9">
        <v>934</v>
      </c>
      <c r="Y1268" s="9">
        <v>915</v>
      </c>
      <c r="Z1268" s="9">
        <v>897</v>
      </c>
      <c r="AA1268" s="9">
        <v>897</v>
      </c>
      <c r="AB1268" s="9">
        <v>908</v>
      </c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</row>
    <row r="1269" spans="1:47" ht="14.4">
      <c r="A1269" s="3">
        <f>LOOKUP(D1269,'AMFI DATA_2023H2'!F:L,'AMFI DATA_2023H2'!L:L)</f>
        <v>1417</v>
      </c>
      <c r="B1269" s="4" t="s">
        <v>3806</v>
      </c>
      <c r="C1269" s="4" t="s">
        <v>3807</v>
      </c>
      <c r="D1269" s="5" t="s">
        <v>3808</v>
      </c>
      <c r="E1269" s="5">
        <v>409.8</v>
      </c>
      <c r="F1269" s="6">
        <f>LOOKUP(D1269,'AMFI DATA_2023H2'!F:J,'AMFI DATA_2023H2'!J:J)</f>
        <v>623.77170000000001</v>
      </c>
      <c r="G1269" s="7">
        <f t="shared" si="4"/>
        <v>-1</v>
      </c>
      <c r="H1269" s="9"/>
      <c r="I1269" s="9">
        <v>808</v>
      </c>
      <c r="J1269" s="9">
        <v>802</v>
      </c>
      <c r="K1269" s="9">
        <v>793</v>
      </c>
      <c r="L1269" s="9">
        <v>806</v>
      </c>
      <c r="M1269" s="9">
        <v>798</v>
      </c>
      <c r="N1269" s="9">
        <v>762</v>
      </c>
      <c r="O1269" s="9">
        <v>755</v>
      </c>
      <c r="P1269" s="9">
        <v>753</v>
      </c>
      <c r="Q1269" s="9">
        <v>750</v>
      </c>
      <c r="R1269" s="9">
        <v>752</v>
      </c>
      <c r="S1269" s="9">
        <v>757</v>
      </c>
      <c r="T1269" s="9">
        <v>768</v>
      </c>
      <c r="U1269" s="9">
        <v>745</v>
      </c>
      <c r="V1269" s="9">
        <v>740</v>
      </c>
      <c r="W1269" s="9">
        <v>746</v>
      </c>
      <c r="X1269" s="9">
        <v>749</v>
      </c>
      <c r="Y1269" s="9">
        <v>760</v>
      </c>
      <c r="Z1269" s="9">
        <v>746</v>
      </c>
      <c r="AA1269" s="9">
        <v>748</v>
      </c>
      <c r="AB1269" s="9">
        <v>757</v>
      </c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</row>
    <row r="1270" spans="1:47" ht="14.4">
      <c r="A1270" s="3">
        <f>LOOKUP(D1270,'AMFI DATA_2023H2'!F:L,'AMFI DATA_2023H2'!L:L)</f>
        <v>1418</v>
      </c>
      <c r="B1270" s="4" t="s">
        <v>3809</v>
      </c>
      <c r="C1270" s="4" t="s">
        <v>3810</v>
      </c>
      <c r="D1270" s="5" t="s">
        <v>3811</v>
      </c>
      <c r="E1270" s="5">
        <v>479.42</v>
      </c>
      <c r="F1270" s="6">
        <f>LOOKUP(D1270,'AMFI DATA_2023H2'!F:J,'AMFI DATA_2023H2'!J:J)</f>
        <v>623.48790000000008</v>
      </c>
      <c r="G1270" s="7">
        <f t="shared" si="4"/>
        <v>-1</v>
      </c>
      <c r="H1270" s="9"/>
      <c r="I1270" s="9">
        <v>769</v>
      </c>
      <c r="J1270" s="9">
        <v>782</v>
      </c>
      <c r="K1270" s="9">
        <v>779</v>
      </c>
      <c r="L1270" s="9">
        <v>796</v>
      </c>
      <c r="M1270" s="9">
        <v>794</v>
      </c>
      <c r="N1270" s="9">
        <v>768</v>
      </c>
      <c r="O1270" s="9">
        <v>761</v>
      </c>
      <c r="P1270" s="9">
        <v>772</v>
      </c>
      <c r="Q1270" s="9">
        <v>773</v>
      </c>
      <c r="R1270" s="9">
        <v>765</v>
      </c>
      <c r="S1270" s="9">
        <v>766</v>
      </c>
      <c r="T1270" s="9">
        <v>777</v>
      </c>
      <c r="U1270" s="9">
        <v>774</v>
      </c>
      <c r="V1270" s="9">
        <v>760</v>
      </c>
      <c r="W1270" s="9">
        <v>751</v>
      </c>
      <c r="X1270" s="9">
        <v>701</v>
      </c>
      <c r="Y1270" s="9">
        <v>712</v>
      </c>
      <c r="Z1270" s="9">
        <v>721</v>
      </c>
      <c r="AA1270" s="9">
        <v>730</v>
      </c>
      <c r="AB1270" s="9">
        <v>697</v>
      </c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</row>
    <row r="1271" spans="1:47" ht="14.4">
      <c r="A1271" s="3">
        <f>LOOKUP(D1271,'AMFI DATA_2023H2'!F:L,'AMFI DATA_2023H2'!L:L)</f>
        <v>1419</v>
      </c>
      <c r="B1271" s="4" t="s">
        <v>3812</v>
      </c>
      <c r="C1271" s="4" t="s">
        <v>3813</v>
      </c>
      <c r="D1271" s="5" t="s">
        <v>3814</v>
      </c>
      <c r="E1271" s="5">
        <v>309.07</v>
      </c>
      <c r="F1271" s="6">
        <f>LOOKUP(D1271,'AMFI DATA_2023H2'!F:J,'AMFI DATA_2023H2'!J:J)</f>
        <v>622.67409999999995</v>
      </c>
      <c r="G1271" s="7">
        <f t="shared" si="4"/>
        <v>-1</v>
      </c>
      <c r="H1271" s="9"/>
      <c r="I1271" s="9">
        <v>1155</v>
      </c>
      <c r="J1271" s="9">
        <v>1127</v>
      </c>
      <c r="K1271" s="9">
        <v>1155</v>
      </c>
      <c r="L1271" s="9">
        <v>1197</v>
      </c>
      <c r="M1271" s="9">
        <v>1144</v>
      </c>
      <c r="N1271" s="9">
        <v>1178</v>
      </c>
      <c r="O1271" s="9">
        <v>1172</v>
      </c>
      <c r="P1271" s="9">
        <v>1171</v>
      </c>
      <c r="Q1271" s="9">
        <v>1179</v>
      </c>
      <c r="R1271" s="9">
        <v>1223</v>
      </c>
      <c r="S1271" s="9">
        <v>1282</v>
      </c>
      <c r="T1271" s="9">
        <v>1260</v>
      </c>
      <c r="U1271" s="9">
        <v>1201</v>
      </c>
      <c r="V1271" s="9">
        <v>1144</v>
      </c>
      <c r="W1271" s="9">
        <v>1091</v>
      </c>
      <c r="X1271" s="9">
        <v>1047</v>
      </c>
      <c r="Y1271" s="9">
        <v>1042</v>
      </c>
      <c r="Z1271" s="9">
        <v>1061</v>
      </c>
      <c r="AA1271" s="9">
        <v>998</v>
      </c>
      <c r="AB1271" s="9">
        <v>956</v>
      </c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</row>
    <row r="1272" spans="1:47" ht="14.4">
      <c r="A1272" s="3">
        <f>LOOKUP(D1272,'AMFI DATA_2023H2'!F:L,'AMFI DATA_2023H2'!L:L)</f>
        <v>1420</v>
      </c>
      <c r="B1272" s="4" t="s">
        <v>3815</v>
      </c>
      <c r="C1272" s="4" t="s">
        <v>3816</v>
      </c>
      <c r="D1272" s="5" t="s">
        <v>3817</v>
      </c>
      <c r="E1272" s="5">
        <v>340.01</v>
      </c>
      <c r="F1272" s="6">
        <f>LOOKUP(D1272,'AMFI DATA_2023H2'!F:J,'AMFI DATA_2023H2'!J:J)</f>
        <v>621.31134999999995</v>
      </c>
      <c r="G1272" s="7">
        <f t="shared" si="4"/>
        <v>-1</v>
      </c>
      <c r="H1272" s="9"/>
      <c r="I1272" s="9">
        <v>983</v>
      </c>
      <c r="J1272" s="9">
        <v>964</v>
      </c>
      <c r="K1272" s="9">
        <v>968</v>
      </c>
      <c r="L1272" s="9">
        <v>986</v>
      </c>
      <c r="M1272" s="9">
        <v>967</v>
      </c>
      <c r="N1272" s="9">
        <v>948</v>
      </c>
      <c r="O1272" s="9">
        <v>956</v>
      </c>
      <c r="P1272" s="9">
        <v>964</v>
      </c>
      <c r="Q1272" s="9">
        <v>967</v>
      </c>
      <c r="R1272" s="9">
        <v>954</v>
      </c>
      <c r="S1272" s="9">
        <v>964</v>
      </c>
      <c r="T1272" s="9">
        <v>953</v>
      </c>
      <c r="U1272" s="9">
        <v>935</v>
      </c>
      <c r="V1272" s="9">
        <v>938</v>
      </c>
      <c r="W1272" s="9">
        <v>957</v>
      </c>
      <c r="X1272" s="9">
        <v>952</v>
      </c>
      <c r="Y1272" s="9">
        <v>972</v>
      </c>
      <c r="Z1272" s="9">
        <v>991</v>
      </c>
      <c r="AA1272" s="9">
        <v>949</v>
      </c>
      <c r="AB1272" s="9">
        <v>942</v>
      </c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</row>
    <row r="1273" spans="1:47" ht="14.4">
      <c r="A1273" s="3">
        <f>LOOKUP(D1273,'AMFI DATA_2023H2'!F:L,'AMFI DATA_2023H2'!L:L)</f>
        <v>1423</v>
      </c>
      <c r="B1273" s="4" t="s">
        <v>3818</v>
      </c>
      <c r="C1273" s="4" t="s">
        <v>3819</v>
      </c>
      <c r="D1273" s="5" t="s">
        <v>3820</v>
      </c>
      <c r="E1273" s="5">
        <v>534.46</v>
      </c>
      <c r="F1273" s="6">
        <f>LOOKUP(D1273,'AMFI DATA_2023H2'!F:J,'AMFI DATA_2023H2'!J:J)</f>
        <v>614.79330000000004</v>
      </c>
      <c r="G1273" s="7">
        <f t="shared" si="4"/>
        <v>-1</v>
      </c>
      <c r="H1273" s="9"/>
      <c r="I1273" s="9">
        <v>674</v>
      </c>
      <c r="J1273" s="9">
        <v>674</v>
      </c>
      <c r="K1273" s="9">
        <v>652</v>
      </c>
      <c r="L1273" s="9">
        <v>653</v>
      </c>
      <c r="M1273" s="9">
        <v>661</v>
      </c>
      <c r="N1273" s="9">
        <v>658</v>
      </c>
      <c r="O1273" s="9">
        <v>671</v>
      </c>
      <c r="P1273" s="9">
        <v>659</v>
      </c>
      <c r="Q1273" s="9">
        <v>654</v>
      </c>
      <c r="R1273" s="9">
        <v>668</v>
      </c>
      <c r="S1273" s="9">
        <v>664</v>
      </c>
      <c r="T1273" s="9">
        <v>680</v>
      </c>
      <c r="U1273" s="9">
        <v>670</v>
      </c>
      <c r="V1273" s="9">
        <v>673</v>
      </c>
      <c r="W1273" s="9">
        <v>654</v>
      </c>
      <c r="X1273" s="9">
        <v>654</v>
      </c>
      <c r="Y1273" s="9">
        <v>652</v>
      </c>
      <c r="Z1273" s="9">
        <v>656</v>
      </c>
      <c r="AA1273" s="9">
        <v>657</v>
      </c>
      <c r="AB1273" s="9">
        <v>657</v>
      </c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</row>
    <row r="1274" spans="1:47" ht="14.4">
      <c r="A1274" s="3">
        <f>LOOKUP(D1274,'AMFI DATA_2023H2'!F:L,'AMFI DATA_2023H2'!L:L)</f>
        <v>1424</v>
      </c>
      <c r="B1274" s="4" t="s">
        <v>3821</v>
      </c>
      <c r="C1274" s="4" t="s">
        <v>3822</v>
      </c>
      <c r="D1274" s="5" t="s">
        <v>3823</v>
      </c>
      <c r="E1274" s="5">
        <v>432.4</v>
      </c>
      <c r="F1274" s="6">
        <f>LOOKUP(D1274,'AMFI DATA_2023H2'!F:J,'AMFI DATA_2023H2'!J:J)</f>
        <v>613.48464999999999</v>
      </c>
      <c r="G1274" s="7">
        <f t="shared" si="4"/>
        <v>-1</v>
      </c>
      <c r="H1274" s="9"/>
      <c r="I1274" s="9">
        <v>665</v>
      </c>
      <c r="J1274" s="9">
        <v>656</v>
      </c>
      <c r="K1274" s="9">
        <v>665</v>
      </c>
      <c r="L1274" s="9">
        <v>671</v>
      </c>
      <c r="M1274" s="9">
        <v>684</v>
      </c>
      <c r="N1274" s="9">
        <v>700</v>
      </c>
      <c r="O1274" s="9">
        <v>702</v>
      </c>
      <c r="P1274" s="9">
        <v>666</v>
      </c>
      <c r="Q1274" s="9">
        <v>666</v>
      </c>
      <c r="R1274" s="9">
        <v>669</v>
      </c>
      <c r="S1274" s="9">
        <v>670</v>
      </c>
      <c r="T1274" s="9">
        <v>671</v>
      </c>
      <c r="U1274" s="9">
        <v>663</v>
      </c>
      <c r="V1274" s="9">
        <v>664</v>
      </c>
      <c r="W1274" s="9">
        <v>658</v>
      </c>
      <c r="X1274" s="9">
        <v>668</v>
      </c>
      <c r="Y1274" s="9">
        <v>660</v>
      </c>
      <c r="Z1274" s="9">
        <v>649</v>
      </c>
      <c r="AA1274" s="9">
        <v>647</v>
      </c>
      <c r="AB1274" s="9">
        <v>650</v>
      </c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</row>
    <row r="1275" spans="1:47" ht="14.4">
      <c r="A1275" s="3">
        <f>LOOKUP(D1275,'AMFI DATA_2023H2'!F:L,'AMFI DATA_2023H2'!L:L)</f>
        <v>1426</v>
      </c>
      <c r="B1275" s="4" t="s">
        <v>3824</v>
      </c>
      <c r="C1275" s="4" t="s">
        <v>3825</v>
      </c>
      <c r="D1275" s="5" t="s">
        <v>3826</v>
      </c>
      <c r="E1275" s="5">
        <v>335.34</v>
      </c>
      <c r="F1275" s="6">
        <f>LOOKUP(D1275,'AMFI DATA_2023H2'!F:J,'AMFI DATA_2023H2'!J:J)</f>
        <v>611.19614999999999</v>
      </c>
      <c r="G1275" s="7">
        <f t="shared" si="4"/>
        <v>-1</v>
      </c>
      <c r="H1275" s="9"/>
      <c r="I1275" s="9">
        <v>1162</v>
      </c>
      <c r="J1275" s="9">
        <v>1174</v>
      </c>
      <c r="K1275" s="9">
        <v>1176</v>
      </c>
      <c r="L1275" s="9">
        <v>1167</v>
      </c>
      <c r="M1275" s="9">
        <v>1221</v>
      </c>
      <c r="N1275" s="9">
        <v>1201</v>
      </c>
      <c r="O1275" s="9">
        <v>1200</v>
      </c>
      <c r="P1275" s="9">
        <v>1138</v>
      </c>
      <c r="Q1275" s="9">
        <v>1132</v>
      </c>
      <c r="R1275" s="9">
        <v>1130</v>
      </c>
      <c r="S1275" s="9">
        <v>1131</v>
      </c>
      <c r="T1275" s="9">
        <v>1121</v>
      </c>
      <c r="U1275" s="9">
        <v>1114</v>
      </c>
      <c r="V1275" s="9">
        <v>1148</v>
      </c>
      <c r="W1275" s="9">
        <v>1046</v>
      </c>
      <c r="X1275" s="9">
        <v>1037</v>
      </c>
      <c r="Y1275" s="9">
        <v>972</v>
      </c>
      <c r="Z1275" s="9">
        <v>949</v>
      </c>
      <c r="AA1275" s="9">
        <v>972</v>
      </c>
      <c r="AB1275" s="9">
        <v>978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</row>
    <row r="1276" spans="1:47" ht="14.4">
      <c r="A1276" s="3">
        <f>LOOKUP(D1276,'AMFI DATA_2023H2'!F:L,'AMFI DATA_2023H2'!L:L)</f>
        <v>1429</v>
      </c>
      <c r="B1276" s="4" t="s">
        <v>3827</v>
      </c>
      <c r="C1276" s="4" t="s">
        <v>3828</v>
      </c>
      <c r="D1276" s="5" t="s">
        <v>3829</v>
      </c>
      <c r="E1276" s="5">
        <v>306.04000000000002</v>
      </c>
      <c r="F1276" s="6">
        <f>LOOKUP(D1276,'AMFI DATA_2023H2'!F:J,'AMFI DATA_2023H2'!J:J)</f>
        <v>607.09674999999993</v>
      </c>
      <c r="G1276" s="7">
        <f t="shared" si="4"/>
        <v>-1</v>
      </c>
      <c r="H1276" s="9"/>
      <c r="I1276" s="9">
        <v>1022</v>
      </c>
      <c r="J1276" s="9">
        <v>1003</v>
      </c>
      <c r="K1276" s="9">
        <v>983</v>
      </c>
      <c r="L1276" s="9">
        <v>977</v>
      </c>
      <c r="M1276" s="9">
        <v>966</v>
      </c>
      <c r="N1276" s="9">
        <v>950</v>
      </c>
      <c r="O1276" s="9">
        <v>931</v>
      </c>
      <c r="P1276" s="9">
        <v>914</v>
      </c>
      <c r="Q1276" s="9">
        <v>896</v>
      </c>
      <c r="R1276" s="9">
        <v>906</v>
      </c>
      <c r="S1276" s="9">
        <v>925</v>
      </c>
      <c r="T1276" s="9">
        <v>936</v>
      </c>
      <c r="U1276" s="9">
        <v>939</v>
      </c>
      <c r="V1276" s="9">
        <v>958</v>
      </c>
      <c r="W1276" s="9">
        <v>977</v>
      </c>
      <c r="X1276" s="9">
        <v>960</v>
      </c>
      <c r="Y1276" s="9">
        <v>959</v>
      </c>
      <c r="Z1276" s="9">
        <v>942</v>
      </c>
      <c r="AA1276" s="9">
        <v>945</v>
      </c>
      <c r="AB1276" s="9">
        <v>948</v>
      </c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</row>
    <row r="1277" spans="1:47" ht="14.4">
      <c r="A1277" s="3">
        <f>LOOKUP(D1277,'AMFI DATA_2023H2'!F:L,'AMFI DATA_2023H2'!L:L)</f>
        <v>1431</v>
      </c>
      <c r="B1277" s="4" t="s">
        <v>3830</v>
      </c>
      <c r="C1277" s="4" t="s">
        <v>3831</v>
      </c>
      <c r="D1277" s="5" t="s">
        <v>3832</v>
      </c>
      <c r="E1277" s="5">
        <v>833.73</v>
      </c>
      <c r="F1277" s="6">
        <f>LOOKUP(D1277,'AMFI DATA_2023H2'!F:J,'AMFI DATA_2023H2'!J:J)</f>
        <v>596.94364999999993</v>
      </c>
      <c r="G1277" s="7">
        <f t="shared" ref="G1277:G1531" si="5">H1277/F1277-1</f>
        <v>-1</v>
      </c>
      <c r="H1277" s="9"/>
      <c r="I1277" s="9">
        <v>761</v>
      </c>
      <c r="J1277" s="9">
        <v>775</v>
      </c>
      <c r="K1277" s="9">
        <v>747</v>
      </c>
      <c r="L1277" s="9">
        <v>792</v>
      </c>
      <c r="M1277" s="9">
        <v>822</v>
      </c>
      <c r="N1277" s="9">
        <v>786</v>
      </c>
      <c r="O1277" s="9">
        <v>731</v>
      </c>
      <c r="P1277" s="9">
        <v>716</v>
      </c>
      <c r="Q1277" s="9">
        <v>720</v>
      </c>
      <c r="R1277" s="9">
        <v>706</v>
      </c>
      <c r="S1277" s="9">
        <v>721</v>
      </c>
      <c r="T1277" s="9">
        <v>706</v>
      </c>
      <c r="U1277" s="9">
        <v>692</v>
      </c>
      <c r="V1277" s="9">
        <v>685</v>
      </c>
      <c r="W1277" s="9">
        <v>728</v>
      </c>
      <c r="X1277" s="9">
        <v>718</v>
      </c>
      <c r="Y1277" s="9">
        <v>721</v>
      </c>
      <c r="Z1277" s="9">
        <v>707</v>
      </c>
      <c r="AA1277" s="9">
        <v>722</v>
      </c>
      <c r="AB1277" s="9">
        <v>721</v>
      </c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</row>
    <row r="1278" spans="1:47" ht="14.4">
      <c r="A1278" s="3">
        <f>LOOKUP(D1278,'AMFI DATA_2023H2'!F:L,'AMFI DATA_2023H2'!L:L)</f>
        <v>1432</v>
      </c>
      <c r="B1278" s="4" t="s">
        <v>3833</v>
      </c>
      <c r="C1278" s="4" t="s">
        <v>3834</v>
      </c>
      <c r="D1278" s="5" t="s">
        <v>3835</v>
      </c>
      <c r="E1278" s="5">
        <v>398.13</v>
      </c>
      <c r="F1278" s="6">
        <f>LOOKUP(D1278,'AMFI DATA_2023H2'!F:J,'AMFI DATA_2023H2'!J:J)</f>
        <v>596.77475000000004</v>
      </c>
      <c r="G1278" s="7">
        <f t="shared" si="5"/>
        <v>-1</v>
      </c>
      <c r="H1278" s="9"/>
      <c r="I1278" s="9">
        <v>678</v>
      </c>
      <c r="J1278" s="9">
        <v>679</v>
      </c>
      <c r="K1278" s="9">
        <v>678</v>
      </c>
      <c r="L1278" s="9">
        <v>690</v>
      </c>
      <c r="M1278" s="9">
        <v>719</v>
      </c>
      <c r="N1278" s="9">
        <v>723</v>
      </c>
      <c r="O1278" s="9">
        <v>705</v>
      </c>
      <c r="P1278" s="9">
        <v>685</v>
      </c>
      <c r="Q1278" s="9">
        <v>708</v>
      </c>
      <c r="R1278" s="9">
        <v>670</v>
      </c>
      <c r="S1278" s="9">
        <v>655</v>
      </c>
      <c r="T1278" s="9">
        <v>639</v>
      </c>
      <c r="U1278" s="9">
        <v>644</v>
      </c>
      <c r="V1278" s="9">
        <v>649</v>
      </c>
      <c r="W1278" s="9">
        <v>654</v>
      </c>
      <c r="X1278" s="9">
        <v>657</v>
      </c>
      <c r="Y1278" s="9">
        <v>659</v>
      </c>
      <c r="Z1278" s="9">
        <v>666</v>
      </c>
      <c r="AA1278" s="9">
        <v>657</v>
      </c>
      <c r="AB1278" s="9">
        <v>638</v>
      </c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</row>
    <row r="1279" spans="1:47" ht="14.4">
      <c r="A1279" s="3">
        <f>LOOKUP(D1279,'AMFI DATA_2023H2'!F:L,'AMFI DATA_2023H2'!L:L)</f>
        <v>1433</v>
      </c>
      <c r="B1279" s="4" t="s">
        <v>3836</v>
      </c>
      <c r="C1279" s="4" t="s">
        <v>3837</v>
      </c>
      <c r="D1279" s="5" t="s">
        <v>3838</v>
      </c>
      <c r="E1279" s="5">
        <v>332.57</v>
      </c>
      <c r="F1279" s="6">
        <f>LOOKUP(D1279,'AMFI DATA_2023H2'!F:J,'AMFI DATA_2023H2'!J:J)</f>
        <v>594.62245000000007</v>
      </c>
      <c r="G1279" s="7">
        <f t="shared" si="5"/>
        <v>-1</v>
      </c>
      <c r="H1279" s="8"/>
      <c r="I1279" s="8">
        <v>1500</v>
      </c>
      <c r="J1279" s="8">
        <v>1506</v>
      </c>
      <c r="K1279" s="8">
        <v>1494</v>
      </c>
      <c r="L1279" s="8">
        <v>1459</v>
      </c>
      <c r="M1279" s="8">
        <v>1535</v>
      </c>
      <c r="N1279" s="8">
        <v>1242</v>
      </c>
      <c r="O1279" s="8">
        <v>1183</v>
      </c>
      <c r="P1279" s="8">
        <v>1127</v>
      </c>
      <c r="Q1279" s="8">
        <v>1076</v>
      </c>
      <c r="R1279" s="8">
        <v>1061</v>
      </c>
      <c r="S1279" s="8">
        <v>1073</v>
      </c>
      <c r="T1279" s="8">
        <v>1075</v>
      </c>
      <c r="U1279" s="8">
        <v>1078</v>
      </c>
      <c r="V1279" s="8">
        <v>1069</v>
      </c>
      <c r="W1279" s="8">
        <v>1071</v>
      </c>
      <c r="X1279" s="8">
        <v>1096</v>
      </c>
      <c r="Y1279" s="8">
        <v>1075</v>
      </c>
      <c r="Z1279" s="8">
        <v>1132</v>
      </c>
      <c r="AA1279" s="8">
        <v>1080</v>
      </c>
      <c r="AB1279" s="8">
        <v>1027</v>
      </c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</row>
    <row r="1280" spans="1:47" ht="14.4">
      <c r="A1280" s="3">
        <f>LOOKUP(D1280,'AMFI DATA_2023H2'!F:L,'AMFI DATA_2023H2'!L:L)</f>
        <v>1436</v>
      </c>
      <c r="B1280" s="4" t="s">
        <v>3839</v>
      </c>
      <c r="C1280" s="4" t="s">
        <v>3840</v>
      </c>
      <c r="D1280" s="5" t="s">
        <v>3841</v>
      </c>
      <c r="E1280" s="5">
        <v>437.9</v>
      </c>
      <c r="F1280" s="6">
        <f>LOOKUP(D1280,'AMFI DATA_2023H2'!F:J,'AMFI DATA_2023H2'!J:J)</f>
        <v>590.40054999999995</v>
      </c>
      <c r="G1280" s="7">
        <f t="shared" si="5"/>
        <v>-1</v>
      </c>
      <c r="H1280" s="9"/>
      <c r="I1280" s="9">
        <v>864</v>
      </c>
      <c r="J1280" s="9">
        <v>812</v>
      </c>
      <c r="K1280" s="9">
        <v>834</v>
      </c>
      <c r="L1280" s="9">
        <v>893</v>
      </c>
      <c r="M1280" s="9">
        <v>843</v>
      </c>
      <c r="N1280" s="9">
        <v>851</v>
      </c>
      <c r="O1280" s="9">
        <v>864</v>
      </c>
      <c r="P1280" s="9">
        <v>862</v>
      </c>
      <c r="Q1280" s="9">
        <v>877</v>
      </c>
      <c r="R1280" s="9">
        <v>880</v>
      </c>
      <c r="S1280" s="9">
        <v>868</v>
      </c>
      <c r="T1280" s="9">
        <v>885</v>
      </c>
      <c r="U1280" s="9">
        <v>877</v>
      </c>
      <c r="V1280" s="9">
        <v>890</v>
      </c>
      <c r="W1280" s="9">
        <v>939</v>
      </c>
      <c r="X1280" s="9">
        <v>934</v>
      </c>
      <c r="Y1280" s="9">
        <v>934</v>
      </c>
      <c r="Z1280" s="9">
        <v>919</v>
      </c>
      <c r="AA1280" s="9">
        <v>872</v>
      </c>
      <c r="AB1280" s="9">
        <v>868</v>
      </c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</row>
    <row r="1281" spans="1:47" ht="14.4">
      <c r="A1281" s="3">
        <f>LOOKUP(D1281,'AMFI DATA_2023H2'!F:L,'AMFI DATA_2023H2'!L:L)</f>
        <v>1437</v>
      </c>
      <c r="B1281" s="4" t="s">
        <v>3842</v>
      </c>
      <c r="C1281" s="4" t="s">
        <v>3843</v>
      </c>
      <c r="D1281" s="5" t="s">
        <v>3844</v>
      </c>
      <c r="E1281" s="5">
        <v>439.51</v>
      </c>
      <c r="F1281" s="6">
        <f>LOOKUP(D1281,'AMFI DATA_2023H2'!F:J,'AMFI DATA_2023H2'!J:J)</f>
        <v>589.99029999999993</v>
      </c>
      <c r="G1281" s="7">
        <f t="shared" si="5"/>
        <v>-1</v>
      </c>
      <c r="H1281" s="9"/>
      <c r="I1281" s="9">
        <v>876</v>
      </c>
      <c r="J1281" s="9">
        <v>861</v>
      </c>
      <c r="K1281" s="9">
        <v>851</v>
      </c>
      <c r="L1281" s="9">
        <v>841</v>
      </c>
      <c r="M1281" s="9">
        <v>873</v>
      </c>
      <c r="N1281" s="9">
        <v>806</v>
      </c>
      <c r="O1281" s="9">
        <v>741</v>
      </c>
      <c r="P1281" s="9">
        <v>744</v>
      </c>
      <c r="Q1281" s="9">
        <v>751</v>
      </c>
      <c r="R1281" s="9">
        <v>759</v>
      </c>
      <c r="S1281" s="9">
        <v>741</v>
      </c>
      <c r="T1281" s="9">
        <v>741</v>
      </c>
      <c r="U1281" s="9">
        <v>751</v>
      </c>
      <c r="V1281" s="9">
        <v>725</v>
      </c>
      <c r="W1281" s="9">
        <v>695</v>
      </c>
      <c r="X1281" s="9">
        <v>670</v>
      </c>
      <c r="Y1281" s="9">
        <v>694</v>
      </c>
      <c r="Z1281" s="9">
        <v>687</v>
      </c>
      <c r="AA1281" s="9">
        <v>690</v>
      </c>
      <c r="AB1281" s="9">
        <v>696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</row>
    <row r="1282" spans="1:47" ht="14.4">
      <c r="A1282" s="3">
        <f>LOOKUP(D1282,'AMFI DATA_2023H2'!F:L,'AMFI DATA_2023H2'!L:L)</f>
        <v>1441</v>
      </c>
      <c r="B1282" s="4" t="s">
        <v>3845</v>
      </c>
      <c r="C1282" s="4" t="s">
        <v>3846</v>
      </c>
      <c r="D1282" s="5" t="s">
        <v>3847</v>
      </c>
      <c r="E1282" s="5">
        <v>431.79</v>
      </c>
      <c r="F1282" s="6">
        <f>LOOKUP(D1282,'AMFI DATA_2023H2'!F:J,'AMFI DATA_2023H2'!J:J)</f>
        <v>581.20794999999998</v>
      </c>
      <c r="G1282" s="7">
        <f t="shared" si="5"/>
        <v>-1</v>
      </c>
      <c r="H1282" s="9"/>
      <c r="I1282" s="9">
        <v>541</v>
      </c>
      <c r="J1282" s="9">
        <v>544</v>
      </c>
      <c r="K1282" s="9">
        <v>538</v>
      </c>
      <c r="L1282" s="9">
        <v>547</v>
      </c>
      <c r="M1282" s="9">
        <v>560</v>
      </c>
      <c r="N1282" s="9">
        <v>559</v>
      </c>
      <c r="O1282" s="9">
        <v>559</v>
      </c>
      <c r="P1282" s="9">
        <v>559</v>
      </c>
      <c r="Q1282" s="9">
        <v>557</v>
      </c>
      <c r="R1282" s="9">
        <v>556</v>
      </c>
      <c r="S1282" s="9">
        <v>565</v>
      </c>
      <c r="T1282" s="9">
        <v>565</v>
      </c>
      <c r="U1282" s="9">
        <v>562</v>
      </c>
      <c r="V1282" s="9">
        <v>573</v>
      </c>
      <c r="W1282" s="9">
        <v>576</v>
      </c>
      <c r="X1282" s="9">
        <v>565</v>
      </c>
      <c r="Y1282" s="9">
        <v>562</v>
      </c>
      <c r="Z1282" s="9">
        <v>584</v>
      </c>
      <c r="AA1282" s="9">
        <v>559</v>
      </c>
      <c r="AB1282" s="9">
        <v>567</v>
      </c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</row>
    <row r="1283" spans="1:47" ht="14.4">
      <c r="A1283" s="3">
        <f>LOOKUP(D1283,'AMFI DATA_2023H2'!F:L,'AMFI DATA_2023H2'!L:L)</f>
        <v>1442</v>
      </c>
      <c r="B1283" s="4" t="s">
        <v>3848</v>
      </c>
      <c r="C1283" s="4" t="s">
        <v>3849</v>
      </c>
      <c r="D1283" s="5" t="s">
        <v>3850</v>
      </c>
      <c r="E1283" s="5">
        <v>545.16</v>
      </c>
      <c r="F1283" s="6">
        <f>LOOKUP(D1283,'AMFI DATA_2023H2'!F:J,'AMFI DATA_2023H2'!J:J)</f>
        <v>579.98115000000007</v>
      </c>
      <c r="G1283" s="7">
        <f t="shared" si="5"/>
        <v>-1</v>
      </c>
      <c r="H1283" s="9"/>
      <c r="I1283" s="9">
        <v>628</v>
      </c>
      <c r="J1283" s="9">
        <v>619</v>
      </c>
      <c r="K1283" s="9">
        <v>626</v>
      </c>
      <c r="L1283" s="9">
        <v>632</v>
      </c>
      <c r="M1283" s="9">
        <v>629</v>
      </c>
      <c r="N1283" s="9">
        <v>626</v>
      </c>
      <c r="O1283" s="9">
        <v>627</v>
      </c>
      <c r="P1283" s="9">
        <v>639</v>
      </c>
      <c r="Q1283" s="9">
        <v>624</v>
      </c>
      <c r="R1283" s="9">
        <v>615</v>
      </c>
      <c r="S1283" s="9">
        <v>629</v>
      </c>
      <c r="T1283" s="9">
        <v>650</v>
      </c>
      <c r="U1283" s="9">
        <v>629</v>
      </c>
      <c r="V1283" s="9">
        <v>621</v>
      </c>
      <c r="W1283" s="9">
        <v>623</v>
      </c>
      <c r="X1283" s="9">
        <v>624</v>
      </c>
      <c r="Y1283" s="9">
        <v>620</v>
      </c>
      <c r="Z1283" s="9">
        <v>628</v>
      </c>
      <c r="AA1283" s="9">
        <v>631</v>
      </c>
      <c r="AB1283" s="9">
        <v>622</v>
      </c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</row>
    <row r="1284" spans="1:47" ht="14.4">
      <c r="A1284" s="3">
        <f>LOOKUP(D1284,'AMFI DATA_2023H2'!F:L,'AMFI DATA_2023H2'!L:L)</f>
        <v>1443</v>
      </c>
      <c r="B1284" s="4" t="s">
        <v>3851</v>
      </c>
      <c r="C1284" s="4" t="s">
        <v>3852</v>
      </c>
      <c r="D1284" s="5" t="s">
        <v>3853</v>
      </c>
      <c r="E1284" s="5">
        <v>605.99</v>
      </c>
      <c r="F1284" s="6">
        <f>LOOKUP(D1284,'AMFI DATA_2023H2'!F:J,'AMFI DATA_2023H2'!J:J)</f>
        <v>578.96440000000007</v>
      </c>
      <c r="G1284" s="7">
        <f t="shared" si="5"/>
        <v>-1</v>
      </c>
      <c r="H1284" s="9"/>
      <c r="I1284" s="9">
        <v>588</v>
      </c>
      <c r="J1284" s="9">
        <v>551</v>
      </c>
      <c r="K1284" s="9">
        <v>558</v>
      </c>
      <c r="L1284" s="9">
        <v>560</v>
      </c>
      <c r="M1284" s="9">
        <v>558</v>
      </c>
      <c r="N1284" s="9">
        <v>552</v>
      </c>
      <c r="O1284" s="9">
        <v>550</v>
      </c>
      <c r="P1284" s="9">
        <v>553</v>
      </c>
      <c r="Q1284" s="9">
        <v>553</v>
      </c>
      <c r="R1284" s="9">
        <v>549</v>
      </c>
      <c r="S1284" s="9">
        <v>552</v>
      </c>
      <c r="T1284" s="9">
        <v>560</v>
      </c>
      <c r="U1284" s="9">
        <v>569</v>
      </c>
      <c r="V1284" s="9">
        <v>563</v>
      </c>
      <c r="W1284" s="9">
        <v>560</v>
      </c>
      <c r="X1284" s="9">
        <v>555</v>
      </c>
      <c r="Y1284" s="9">
        <v>558</v>
      </c>
      <c r="Z1284" s="9">
        <v>558</v>
      </c>
      <c r="AA1284" s="9">
        <v>543</v>
      </c>
      <c r="AB1284" s="9">
        <v>554</v>
      </c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</row>
    <row r="1285" spans="1:47" ht="14.4">
      <c r="A1285" s="3">
        <f>LOOKUP(D1285,'AMFI DATA_2023H2'!F:L,'AMFI DATA_2023H2'!L:L)</f>
        <v>1444</v>
      </c>
      <c r="B1285" s="4" t="s">
        <v>3854</v>
      </c>
      <c r="C1285" s="4" t="s">
        <v>3855</v>
      </c>
      <c r="D1285" s="5" t="s">
        <v>3856</v>
      </c>
      <c r="E1285" s="5">
        <v>15227.27</v>
      </c>
      <c r="F1285" s="6">
        <f>LOOKUP(D1285,'AMFI DATA_2023H2'!F:J,'AMFI DATA_2023H2'!J:J)</f>
        <v>578.34854999999993</v>
      </c>
      <c r="G1285" s="7">
        <f t="shared" si="5"/>
        <v>-1</v>
      </c>
      <c r="H1285" s="9"/>
      <c r="I1285" s="9">
        <v>565</v>
      </c>
      <c r="J1285" s="9">
        <v>559</v>
      </c>
      <c r="K1285" s="9">
        <v>555</v>
      </c>
      <c r="L1285" s="9">
        <v>560</v>
      </c>
      <c r="M1285" s="9">
        <v>566</v>
      </c>
      <c r="N1285" s="9">
        <v>575</v>
      </c>
      <c r="O1285" s="9">
        <v>572</v>
      </c>
      <c r="P1285" s="9">
        <v>561</v>
      </c>
      <c r="Q1285" s="9">
        <v>564</v>
      </c>
      <c r="R1285" s="9">
        <v>563</v>
      </c>
      <c r="S1285" s="9">
        <v>571</v>
      </c>
      <c r="T1285" s="9">
        <v>574</v>
      </c>
      <c r="U1285" s="9">
        <v>548</v>
      </c>
      <c r="V1285" s="9">
        <v>549</v>
      </c>
      <c r="W1285" s="9">
        <v>552</v>
      </c>
      <c r="X1285" s="9">
        <v>560</v>
      </c>
      <c r="Y1285" s="9">
        <v>561</v>
      </c>
      <c r="Z1285" s="9">
        <v>580</v>
      </c>
      <c r="AA1285" s="9">
        <v>568</v>
      </c>
      <c r="AB1285" s="9">
        <v>556</v>
      </c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</row>
    <row r="1286" spans="1:47" ht="14.4">
      <c r="A1286" s="3">
        <f>LOOKUP(D1286,'AMFI DATA_2023H2'!F:L,'AMFI DATA_2023H2'!L:L)</f>
        <v>1448</v>
      </c>
      <c r="B1286" s="4" t="s">
        <v>3857</v>
      </c>
      <c r="C1286" s="4" t="s">
        <v>3858</v>
      </c>
      <c r="D1286" s="5" t="s">
        <v>3859</v>
      </c>
      <c r="E1286" s="5">
        <v>413.65</v>
      </c>
      <c r="F1286" s="6">
        <f>LOOKUP(D1286,'AMFI DATA_2023H2'!F:J,'AMFI DATA_2023H2'!J:J)</f>
        <v>576.18020000000001</v>
      </c>
      <c r="G1286" s="7">
        <f t="shared" si="5"/>
        <v>-1</v>
      </c>
      <c r="H1286" s="9"/>
      <c r="I1286" s="9">
        <v>761</v>
      </c>
      <c r="J1286" s="9">
        <v>776</v>
      </c>
      <c r="K1286" s="9">
        <v>751</v>
      </c>
      <c r="L1286" s="9">
        <v>757</v>
      </c>
      <c r="M1286" s="9">
        <v>770</v>
      </c>
      <c r="N1286" s="9">
        <v>769</v>
      </c>
      <c r="O1286" s="9">
        <v>755</v>
      </c>
      <c r="P1286" s="9">
        <v>760</v>
      </c>
      <c r="Q1286" s="9">
        <v>752</v>
      </c>
      <c r="R1286" s="9">
        <v>740</v>
      </c>
      <c r="S1286" s="9">
        <v>760</v>
      </c>
      <c r="T1286" s="9">
        <v>756</v>
      </c>
      <c r="U1286" s="9">
        <v>767</v>
      </c>
      <c r="V1286" s="9">
        <v>776</v>
      </c>
      <c r="W1286" s="9">
        <v>729</v>
      </c>
      <c r="X1286" s="9">
        <v>722</v>
      </c>
      <c r="Y1286" s="9">
        <v>734</v>
      </c>
      <c r="Z1286" s="9">
        <v>743</v>
      </c>
      <c r="AA1286" s="9">
        <v>762</v>
      </c>
      <c r="AB1286" s="9">
        <v>755</v>
      </c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</row>
    <row r="1287" spans="1:47" ht="14.4">
      <c r="A1287" s="3">
        <f>LOOKUP(D1287,'AMFI DATA_2023H2'!F:L,'AMFI DATA_2023H2'!L:L)</f>
        <v>1450</v>
      </c>
      <c r="B1287" s="4" t="s">
        <v>3860</v>
      </c>
      <c r="C1287" s="4" t="s">
        <v>3861</v>
      </c>
      <c r="D1287" s="5" t="s">
        <v>3862</v>
      </c>
      <c r="E1287" s="5">
        <v>373.35</v>
      </c>
      <c r="F1287" s="6">
        <f>LOOKUP(D1287,'AMFI DATA_2023H2'!F:J,'AMFI DATA_2023H2'!J:J)</f>
        <v>575.22395000000006</v>
      </c>
      <c r="G1287" s="7">
        <f t="shared" si="5"/>
        <v>-1</v>
      </c>
      <c r="H1287" s="9"/>
      <c r="I1287" s="9">
        <v>667</v>
      </c>
      <c r="J1287" s="9">
        <v>643</v>
      </c>
      <c r="K1287" s="9">
        <v>620</v>
      </c>
      <c r="L1287" s="9">
        <v>632</v>
      </c>
      <c r="M1287" s="9">
        <v>657</v>
      </c>
      <c r="N1287" s="9">
        <v>643</v>
      </c>
      <c r="O1287" s="9">
        <v>652</v>
      </c>
      <c r="P1287" s="9">
        <v>662</v>
      </c>
      <c r="Q1287" s="9">
        <v>659</v>
      </c>
      <c r="R1287" s="9">
        <v>653</v>
      </c>
      <c r="S1287" s="9">
        <v>639</v>
      </c>
      <c r="T1287" s="9">
        <v>635</v>
      </c>
      <c r="U1287" s="9">
        <v>634</v>
      </c>
      <c r="V1287" s="9">
        <v>638</v>
      </c>
      <c r="W1287" s="9">
        <v>658</v>
      </c>
      <c r="X1287" s="9">
        <v>663</v>
      </c>
      <c r="Y1287" s="9">
        <v>671</v>
      </c>
      <c r="Z1287" s="9">
        <v>619</v>
      </c>
      <c r="AA1287" s="9">
        <v>624</v>
      </c>
      <c r="AB1287" s="9">
        <v>630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</row>
    <row r="1288" spans="1:47" ht="14.4">
      <c r="A1288" s="3">
        <f>LOOKUP(D1288,'AMFI DATA_2023H2'!F:L,'AMFI DATA_2023H2'!L:L)</f>
        <v>1451</v>
      </c>
      <c r="B1288" s="4" t="s">
        <v>3863</v>
      </c>
      <c r="C1288" s="4" t="s">
        <v>3864</v>
      </c>
      <c r="D1288" s="5" t="s">
        <v>3865</v>
      </c>
      <c r="E1288" s="5">
        <v>397.26</v>
      </c>
      <c r="F1288" s="6">
        <f>LOOKUP(D1288,'AMFI DATA_2023H2'!F:J,'AMFI DATA_2023H2'!J:J)</f>
        <v>574.2192</v>
      </c>
      <c r="G1288" s="7">
        <f t="shared" si="5"/>
        <v>-1</v>
      </c>
      <c r="H1288" s="8"/>
      <c r="I1288" s="8">
        <v>941</v>
      </c>
      <c r="J1288" s="8">
        <v>920</v>
      </c>
      <c r="K1288" s="8">
        <v>927</v>
      </c>
      <c r="L1288" s="8">
        <v>936</v>
      </c>
      <c r="M1288" s="8">
        <v>993</v>
      </c>
      <c r="N1288" s="8">
        <v>1021</v>
      </c>
      <c r="O1288" s="8">
        <v>1031</v>
      </c>
      <c r="P1288" s="8">
        <v>1032</v>
      </c>
      <c r="Q1288" s="8">
        <v>1039</v>
      </c>
      <c r="R1288" s="8">
        <v>1015</v>
      </c>
      <c r="S1288" s="8">
        <v>1043</v>
      </c>
      <c r="T1288" s="8">
        <v>1036</v>
      </c>
      <c r="U1288" s="8">
        <v>1046</v>
      </c>
      <c r="V1288" s="8">
        <v>1040</v>
      </c>
      <c r="W1288" s="8">
        <v>1067</v>
      </c>
      <c r="X1288" s="8">
        <v>1061</v>
      </c>
      <c r="Y1288" s="8">
        <v>1073</v>
      </c>
      <c r="Z1288" s="8">
        <v>1074</v>
      </c>
      <c r="AA1288" s="8">
        <v>1074</v>
      </c>
      <c r="AB1288" s="8">
        <v>1065</v>
      </c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</row>
    <row r="1289" spans="1:47" ht="14.4">
      <c r="A1289" s="3">
        <f>LOOKUP(D1289,'AMFI DATA_2023H2'!F:L,'AMFI DATA_2023H2'!L:L)</f>
        <v>1452</v>
      </c>
      <c r="B1289" s="4" t="s">
        <v>3866</v>
      </c>
      <c r="C1289" s="4" t="s">
        <v>3867</v>
      </c>
      <c r="D1289" s="5" t="s">
        <v>3868</v>
      </c>
      <c r="E1289" s="5">
        <v>397.76</v>
      </c>
      <c r="F1289" s="6">
        <f>LOOKUP(D1289,'AMFI DATA_2023H2'!F:J,'AMFI DATA_2023H2'!J:J)</f>
        <v>574.04755</v>
      </c>
      <c r="G1289" s="7">
        <f t="shared" si="5"/>
        <v>-1</v>
      </c>
      <c r="H1289" s="9"/>
      <c r="I1289" s="9">
        <v>759</v>
      </c>
      <c r="J1289" s="9">
        <v>767</v>
      </c>
      <c r="K1289" s="9">
        <v>767</v>
      </c>
      <c r="L1289" s="9">
        <v>763</v>
      </c>
      <c r="M1289" s="9">
        <v>781</v>
      </c>
      <c r="N1289" s="9">
        <v>788</v>
      </c>
      <c r="O1289" s="9">
        <v>781</v>
      </c>
      <c r="P1289" s="9">
        <v>787</v>
      </c>
      <c r="Q1289" s="9">
        <v>808</v>
      </c>
      <c r="R1289" s="9">
        <v>806</v>
      </c>
      <c r="S1289" s="9">
        <v>814</v>
      </c>
      <c r="T1289" s="9">
        <v>771</v>
      </c>
      <c r="U1289" s="9">
        <v>768</v>
      </c>
      <c r="V1289" s="9">
        <v>741</v>
      </c>
      <c r="W1289" s="9">
        <v>747</v>
      </c>
      <c r="X1289" s="9">
        <v>706</v>
      </c>
      <c r="Y1289" s="9">
        <v>715</v>
      </c>
      <c r="Z1289" s="9">
        <v>727</v>
      </c>
      <c r="AA1289" s="9">
        <v>734</v>
      </c>
      <c r="AB1289" s="9">
        <v>740</v>
      </c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</row>
    <row r="1290" spans="1:47" ht="14.4">
      <c r="A1290" s="3">
        <f>LOOKUP(D1290,'AMFI DATA_2023H2'!F:L,'AMFI DATA_2023H2'!L:L)</f>
        <v>1454</v>
      </c>
      <c r="B1290" s="4" t="s">
        <v>3869</v>
      </c>
      <c r="C1290" s="4" t="s">
        <v>3870</v>
      </c>
      <c r="D1290" s="5" t="s">
        <v>3871</v>
      </c>
      <c r="E1290" s="5">
        <v>451.53</v>
      </c>
      <c r="F1290" s="6">
        <f>LOOKUP(D1290,'AMFI DATA_2023H2'!F:J,'AMFI DATA_2023H2'!J:J)</f>
        <v>572.45891615200003</v>
      </c>
      <c r="G1290" s="7">
        <f t="shared" si="5"/>
        <v>-1</v>
      </c>
      <c r="H1290" s="9"/>
      <c r="I1290" s="9">
        <v>937</v>
      </c>
      <c r="J1290" s="9">
        <v>930</v>
      </c>
      <c r="K1290" s="9">
        <v>886</v>
      </c>
      <c r="L1290" s="9">
        <v>906</v>
      </c>
      <c r="M1290" s="9">
        <v>938</v>
      </c>
      <c r="N1290" s="9">
        <v>940</v>
      </c>
      <c r="O1290" s="9">
        <v>950</v>
      </c>
      <c r="P1290" s="9">
        <v>946</v>
      </c>
      <c r="Q1290" s="9">
        <v>934</v>
      </c>
      <c r="R1290" s="9">
        <v>989</v>
      </c>
      <c r="S1290" s="9">
        <v>898</v>
      </c>
      <c r="T1290" s="9">
        <v>817</v>
      </c>
      <c r="U1290" s="9">
        <v>809</v>
      </c>
      <c r="V1290" s="9">
        <v>794</v>
      </c>
      <c r="W1290" s="9">
        <v>781</v>
      </c>
      <c r="X1290" s="9">
        <v>771</v>
      </c>
      <c r="Y1290" s="9">
        <v>767</v>
      </c>
      <c r="Z1290" s="9">
        <v>786</v>
      </c>
      <c r="AA1290" s="9">
        <v>801</v>
      </c>
      <c r="AB1290" s="9">
        <v>736</v>
      </c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</row>
    <row r="1291" spans="1:47" ht="14.4">
      <c r="A1291" s="3">
        <f>LOOKUP(D1291,'AMFI DATA_2023H2'!F:L,'AMFI DATA_2023H2'!L:L)</f>
        <v>1458</v>
      </c>
      <c r="B1291" s="4" t="s">
        <v>3872</v>
      </c>
      <c r="C1291" s="4" t="s">
        <v>3873</v>
      </c>
      <c r="D1291" s="5" t="s">
        <v>3874</v>
      </c>
      <c r="E1291" s="5">
        <v>402.46</v>
      </c>
      <c r="F1291" s="6">
        <f>LOOKUP(D1291,'AMFI DATA_2023H2'!F:J,'AMFI DATA_2023H2'!J:J)</f>
        <v>566.82555000000002</v>
      </c>
      <c r="G1291" s="7">
        <f t="shared" si="5"/>
        <v>-1</v>
      </c>
      <c r="H1291" s="9"/>
      <c r="I1291" s="9">
        <v>766</v>
      </c>
      <c r="J1291" s="9">
        <v>729</v>
      </c>
      <c r="K1291" s="9">
        <v>680</v>
      </c>
      <c r="L1291" s="9">
        <v>644</v>
      </c>
      <c r="M1291" s="9">
        <v>665</v>
      </c>
      <c r="N1291" s="9">
        <v>663</v>
      </c>
      <c r="O1291" s="9">
        <v>684</v>
      </c>
      <c r="P1291" s="9">
        <v>667</v>
      </c>
      <c r="Q1291" s="9">
        <v>596</v>
      </c>
      <c r="R1291" s="9">
        <v>571</v>
      </c>
      <c r="S1291" s="9">
        <v>579</v>
      </c>
      <c r="T1291" s="9">
        <v>579</v>
      </c>
      <c r="U1291" s="9">
        <v>584</v>
      </c>
      <c r="V1291" s="9">
        <v>574</v>
      </c>
      <c r="W1291" s="9">
        <v>579</v>
      </c>
      <c r="X1291" s="9">
        <v>578</v>
      </c>
      <c r="Y1291" s="9">
        <v>582</v>
      </c>
      <c r="Z1291" s="9">
        <v>595</v>
      </c>
      <c r="AA1291" s="9">
        <v>542</v>
      </c>
      <c r="AB1291" s="9">
        <v>546</v>
      </c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</row>
    <row r="1292" spans="1:47" ht="14.4">
      <c r="A1292" s="3">
        <f>LOOKUP(D1292,'AMFI DATA_2023H2'!F:L,'AMFI DATA_2023H2'!L:L)</f>
        <v>1460</v>
      </c>
      <c r="B1292" s="4" t="s">
        <v>3875</v>
      </c>
      <c r="C1292" s="4" t="s">
        <v>3876</v>
      </c>
      <c r="D1292" s="5" t="s">
        <v>3877</v>
      </c>
      <c r="E1292" s="5">
        <v>433.99</v>
      </c>
      <c r="F1292" s="6">
        <f>LOOKUP(D1292,'AMFI DATA_2023H2'!F:J,'AMFI DATA_2023H2'!J:J)</f>
        <v>563.75825000000009</v>
      </c>
      <c r="G1292" s="7">
        <f t="shared" si="5"/>
        <v>-1</v>
      </c>
      <c r="H1292" s="9"/>
      <c r="I1292" s="9">
        <v>696</v>
      </c>
      <c r="J1292" s="9">
        <v>705</v>
      </c>
      <c r="K1292" s="9">
        <v>702</v>
      </c>
      <c r="L1292" s="9">
        <v>710</v>
      </c>
      <c r="M1292" s="9">
        <v>738</v>
      </c>
      <c r="N1292" s="9">
        <v>754</v>
      </c>
      <c r="O1292" s="9">
        <v>777</v>
      </c>
      <c r="P1292" s="9">
        <v>742</v>
      </c>
      <c r="Q1292" s="9">
        <v>699</v>
      </c>
      <c r="R1292" s="9">
        <v>731</v>
      </c>
      <c r="S1292" s="9">
        <v>654</v>
      </c>
      <c r="T1292" s="9">
        <v>654</v>
      </c>
      <c r="U1292" s="9">
        <v>653</v>
      </c>
      <c r="V1292" s="9">
        <v>672</v>
      </c>
      <c r="W1292" s="9">
        <v>602</v>
      </c>
      <c r="X1292" s="9">
        <v>593</v>
      </c>
      <c r="Y1292" s="9">
        <v>599</v>
      </c>
      <c r="Z1292" s="9">
        <v>607</v>
      </c>
      <c r="AA1292" s="9">
        <v>614</v>
      </c>
      <c r="AB1292" s="9">
        <v>599</v>
      </c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</row>
    <row r="1293" spans="1:47" ht="14.4">
      <c r="A1293" s="3">
        <f>LOOKUP(D1293,'AMFI DATA_2023H2'!F:L,'AMFI DATA_2023H2'!L:L)</f>
        <v>1461</v>
      </c>
      <c r="B1293" s="4" t="s">
        <v>3878</v>
      </c>
      <c r="C1293" s="4" t="s">
        <v>3879</v>
      </c>
      <c r="D1293" s="5" t="s">
        <v>3880</v>
      </c>
      <c r="E1293" s="5">
        <v>416.97</v>
      </c>
      <c r="F1293" s="6">
        <f>LOOKUP(D1293,'AMFI DATA_2023H2'!F:J,'AMFI DATA_2023H2'!J:J)</f>
        <v>562.79050000000007</v>
      </c>
      <c r="G1293" s="7">
        <f t="shared" si="5"/>
        <v>-1</v>
      </c>
      <c r="H1293" s="9"/>
      <c r="I1293" s="9">
        <v>573</v>
      </c>
      <c r="J1293" s="9">
        <v>550</v>
      </c>
      <c r="K1293" s="9">
        <v>550</v>
      </c>
      <c r="L1293" s="9">
        <v>555</v>
      </c>
      <c r="M1293" s="9">
        <v>568</v>
      </c>
      <c r="N1293" s="9">
        <v>571</v>
      </c>
      <c r="O1293" s="9">
        <v>594</v>
      </c>
      <c r="P1293" s="9">
        <v>578</v>
      </c>
      <c r="Q1293" s="9">
        <v>572</v>
      </c>
      <c r="R1293" s="9">
        <v>571</v>
      </c>
      <c r="S1293" s="9">
        <v>553</v>
      </c>
      <c r="T1293" s="9">
        <v>566</v>
      </c>
      <c r="U1293" s="9">
        <v>569</v>
      </c>
      <c r="V1293" s="9">
        <v>557</v>
      </c>
      <c r="W1293" s="9">
        <v>549</v>
      </c>
      <c r="X1293" s="9">
        <v>547</v>
      </c>
      <c r="Y1293" s="9">
        <v>546</v>
      </c>
      <c r="Z1293" s="9">
        <v>550</v>
      </c>
      <c r="AA1293" s="9">
        <v>550</v>
      </c>
      <c r="AB1293" s="9">
        <v>562</v>
      </c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</row>
    <row r="1294" spans="1:47" ht="14.4">
      <c r="A1294" s="3">
        <f>LOOKUP(D1294,'AMFI DATA_2023H2'!F:L,'AMFI DATA_2023H2'!L:L)</f>
        <v>1463</v>
      </c>
      <c r="B1294" s="4" t="s">
        <v>3881</v>
      </c>
      <c r="C1294" s="4" t="s">
        <v>3882</v>
      </c>
      <c r="D1294" s="5" t="s">
        <v>3883</v>
      </c>
      <c r="E1294" s="5">
        <v>463.35</v>
      </c>
      <c r="F1294" s="6">
        <f>LOOKUP(D1294,'AMFI DATA_2023H2'!F:J,'AMFI DATA_2023H2'!J:J)</f>
        <v>560.57815000000005</v>
      </c>
      <c r="G1294" s="7">
        <f t="shared" si="5"/>
        <v>-1</v>
      </c>
      <c r="H1294" s="9"/>
      <c r="I1294" s="9">
        <v>775</v>
      </c>
      <c r="J1294" s="9">
        <v>736</v>
      </c>
      <c r="K1294" s="9">
        <v>703</v>
      </c>
      <c r="L1294" s="9">
        <v>721</v>
      </c>
      <c r="M1294" s="9">
        <v>745</v>
      </c>
      <c r="N1294" s="9">
        <v>737</v>
      </c>
      <c r="O1294" s="9">
        <v>727</v>
      </c>
      <c r="P1294" s="9">
        <v>732</v>
      </c>
      <c r="Q1294" s="9">
        <v>749</v>
      </c>
      <c r="R1294" s="9">
        <v>758</v>
      </c>
      <c r="S1294" s="9">
        <v>768</v>
      </c>
      <c r="T1294" s="9">
        <v>792</v>
      </c>
      <c r="U1294" s="9">
        <v>722</v>
      </c>
      <c r="V1294" s="9">
        <v>687</v>
      </c>
      <c r="W1294" s="9">
        <v>689</v>
      </c>
      <c r="X1294" s="9">
        <v>668</v>
      </c>
      <c r="Y1294" s="9">
        <v>691</v>
      </c>
      <c r="Z1294" s="9">
        <v>701</v>
      </c>
      <c r="AA1294" s="9">
        <v>726</v>
      </c>
      <c r="AB1294" s="9">
        <v>719</v>
      </c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</row>
    <row r="1295" spans="1:47" ht="14.4">
      <c r="A1295" s="3">
        <f>LOOKUP(D1295,'AMFI DATA_2023H2'!F:L,'AMFI DATA_2023H2'!L:L)</f>
        <v>1464</v>
      </c>
      <c r="B1295" s="4" t="s">
        <v>3884</v>
      </c>
      <c r="C1295" s="4" t="s">
        <v>3885</v>
      </c>
      <c r="D1295" s="5" t="s">
        <v>3886</v>
      </c>
      <c r="E1295" s="5">
        <v>387.47</v>
      </c>
      <c r="F1295" s="6">
        <f>LOOKUP(D1295,'AMFI DATA_2023H2'!F:J,'AMFI DATA_2023H2'!J:J)</f>
        <v>559.7016000000001</v>
      </c>
      <c r="G1295" s="7">
        <f t="shared" si="5"/>
        <v>-1</v>
      </c>
      <c r="H1295" s="9"/>
      <c r="I1295" s="9">
        <v>644</v>
      </c>
      <c r="J1295" s="9">
        <v>631</v>
      </c>
      <c r="K1295" s="9">
        <v>624</v>
      </c>
      <c r="L1295" s="9">
        <v>629</v>
      </c>
      <c r="M1295" s="9">
        <v>635</v>
      </c>
      <c r="N1295" s="9">
        <v>637</v>
      </c>
      <c r="O1295" s="9">
        <v>636</v>
      </c>
      <c r="P1295" s="9">
        <v>641</v>
      </c>
      <c r="Q1295" s="9">
        <v>643</v>
      </c>
      <c r="R1295" s="9">
        <v>650</v>
      </c>
      <c r="S1295" s="9">
        <v>647</v>
      </c>
      <c r="T1295" s="9">
        <v>629</v>
      </c>
      <c r="U1295" s="9">
        <v>650</v>
      </c>
      <c r="V1295" s="9">
        <v>632</v>
      </c>
      <c r="W1295" s="9">
        <v>631</v>
      </c>
      <c r="X1295" s="9">
        <v>647</v>
      </c>
      <c r="Y1295" s="9">
        <v>633</v>
      </c>
      <c r="Z1295" s="9">
        <v>654</v>
      </c>
      <c r="AA1295" s="9">
        <v>667</v>
      </c>
      <c r="AB1295" s="9">
        <v>666</v>
      </c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</row>
    <row r="1296" spans="1:47" ht="14.4">
      <c r="A1296" s="3">
        <f>LOOKUP(D1296,'AMFI DATA_2023H2'!F:L,'AMFI DATA_2023H2'!L:L)</f>
        <v>1466</v>
      </c>
      <c r="B1296" s="4" t="s">
        <v>3887</v>
      </c>
      <c r="C1296" s="4" t="s">
        <v>3888</v>
      </c>
      <c r="D1296" s="5" t="s">
        <v>3889</v>
      </c>
      <c r="E1296" s="5">
        <v>539.14</v>
      </c>
      <c r="F1296" s="6">
        <f>LOOKUP(D1296,'AMFI DATA_2023H2'!F:J,'AMFI DATA_2023H2'!J:J)</f>
        <v>557.07120000000009</v>
      </c>
      <c r="G1296" s="7">
        <f t="shared" si="5"/>
        <v>-1</v>
      </c>
      <c r="H1296" s="9"/>
      <c r="I1296" s="9">
        <v>522</v>
      </c>
      <c r="J1296" s="9">
        <v>520</v>
      </c>
      <c r="K1296" s="9">
        <v>525</v>
      </c>
      <c r="L1296" s="9">
        <v>536</v>
      </c>
      <c r="M1296" s="9">
        <v>531</v>
      </c>
      <c r="N1296" s="9">
        <v>534</v>
      </c>
      <c r="O1296" s="9">
        <v>542</v>
      </c>
      <c r="P1296" s="9">
        <v>548</v>
      </c>
      <c r="Q1296" s="9">
        <v>542</v>
      </c>
      <c r="R1296" s="9">
        <v>548</v>
      </c>
      <c r="S1296" s="9">
        <v>552</v>
      </c>
      <c r="T1296" s="9">
        <v>520</v>
      </c>
      <c r="U1296" s="9">
        <v>523</v>
      </c>
      <c r="V1296" s="9">
        <v>521</v>
      </c>
      <c r="W1296" s="9">
        <v>522</v>
      </c>
      <c r="X1296" s="9">
        <v>516</v>
      </c>
      <c r="Y1296" s="9">
        <v>518</v>
      </c>
      <c r="Z1296" s="9">
        <v>519</v>
      </c>
      <c r="AA1296" s="9">
        <v>516</v>
      </c>
      <c r="AB1296" s="9">
        <v>514</v>
      </c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</row>
    <row r="1297" spans="1:47" ht="14.4">
      <c r="A1297" s="3">
        <f>LOOKUP(D1297,'AMFI DATA_2023H2'!F:L,'AMFI DATA_2023H2'!L:L)</f>
        <v>1467</v>
      </c>
      <c r="B1297" s="4" t="s">
        <v>3890</v>
      </c>
      <c r="C1297" s="4" t="s">
        <v>3891</v>
      </c>
      <c r="D1297" s="5" t="s">
        <v>3892</v>
      </c>
      <c r="E1297" s="5">
        <v>292.73</v>
      </c>
      <c r="F1297" s="6">
        <f>LOOKUP(D1297,'AMFI DATA_2023H2'!F:J,'AMFI DATA_2023H2'!J:J)</f>
        <v>555.58330000000001</v>
      </c>
      <c r="G1297" s="7">
        <f t="shared" si="5"/>
        <v>-1</v>
      </c>
      <c r="H1297" s="9"/>
      <c r="I1297" s="9">
        <v>764</v>
      </c>
      <c r="J1297" s="9">
        <v>778</v>
      </c>
      <c r="K1297" s="9">
        <v>790</v>
      </c>
      <c r="L1297" s="9">
        <v>807</v>
      </c>
      <c r="M1297" s="9">
        <v>812</v>
      </c>
      <c r="N1297" s="9">
        <v>774</v>
      </c>
      <c r="O1297" s="9">
        <v>769</v>
      </c>
      <c r="P1297" s="9">
        <v>773</v>
      </c>
      <c r="Q1297" s="9">
        <v>786</v>
      </c>
      <c r="R1297" s="9">
        <v>800</v>
      </c>
      <c r="S1297" s="9">
        <v>795</v>
      </c>
      <c r="T1297" s="9">
        <v>797</v>
      </c>
      <c r="U1297" s="9">
        <v>822</v>
      </c>
      <c r="V1297" s="9">
        <v>783</v>
      </c>
      <c r="W1297" s="9">
        <v>746</v>
      </c>
      <c r="X1297" s="9">
        <v>765</v>
      </c>
      <c r="Y1297" s="9">
        <v>729</v>
      </c>
      <c r="Z1297" s="9">
        <v>705</v>
      </c>
      <c r="AA1297" s="9">
        <v>709</v>
      </c>
      <c r="AB1297" s="9">
        <v>706</v>
      </c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</row>
    <row r="1298" spans="1:47" ht="14.4">
      <c r="A1298" s="3">
        <f>LOOKUP(D1298,'AMFI DATA_2023H2'!F:L,'AMFI DATA_2023H2'!L:L)</f>
        <v>1471</v>
      </c>
      <c r="B1298" s="4" t="s">
        <v>3893</v>
      </c>
      <c r="C1298" s="4" t="s">
        <v>3894</v>
      </c>
      <c r="D1298" s="5" t="s">
        <v>3895</v>
      </c>
      <c r="E1298" s="5">
        <v>954.61</v>
      </c>
      <c r="F1298" s="6">
        <f>LOOKUP(D1298,'AMFI DATA_2023H2'!F:J,'AMFI DATA_2023H2'!J:J)</f>
        <v>552.10885000000007</v>
      </c>
      <c r="G1298" s="7">
        <f t="shared" si="5"/>
        <v>-1</v>
      </c>
      <c r="H1298" s="9"/>
      <c r="I1298" s="9">
        <v>744</v>
      </c>
      <c r="J1298" s="9">
        <v>776</v>
      </c>
      <c r="K1298" s="9">
        <v>793</v>
      </c>
      <c r="L1298" s="9">
        <v>798</v>
      </c>
      <c r="M1298" s="9">
        <v>819</v>
      </c>
      <c r="N1298" s="9">
        <v>826</v>
      </c>
      <c r="O1298" s="9">
        <v>828</v>
      </c>
      <c r="P1298" s="9">
        <v>824</v>
      </c>
      <c r="Q1298" s="9">
        <v>846</v>
      </c>
      <c r="R1298" s="9">
        <v>866</v>
      </c>
      <c r="S1298" s="9">
        <v>762</v>
      </c>
      <c r="T1298" s="9">
        <v>717</v>
      </c>
      <c r="U1298" s="9">
        <v>714</v>
      </c>
      <c r="V1298" s="9">
        <v>704</v>
      </c>
      <c r="W1298" s="9">
        <v>699</v>
      </c>
      <c r="X1298" s="9">
        <v>673</v>
      </c>
      <c r="Y1298" s="9">
        <v>668</v>
      </c>
      <c r="Z1298" s="9">
        <v>686</v>
      </c>
      <c r="AA1298" s="9">
        <v>687</v>
      </c>
      <c r="AB1298" s="9">
        <v>717</v>
      </c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</row>
    <row r="1299" spans="1:47" ht="14.4">
      <c r="A1299" s="3">
        <f>LOOKUP(D1299,'AMFI DATA_2023H2'!F:L,'AMFI DATA_2023H2'!L:L)</f>
        <v>1472</v>
      </c>
      <c r="B1299" s="4" t="s">
        <v>3896</v>
      </c>
      <c r="C1299" s="4" t="s">
        <v>3897</v>
      </c>
      <c r="D1299" s="5" t="s">
        <v>3898</v>
      </c>
      <c r="E1299" s="5">
        <v>534.30999999999995</v>
      </c>
      <c r="F1299" s="6">
        <f>LOOKUP(D1299,'AMFI DATA_2023H2'!F:J,'AMFI DATA_2023H2'!J:J)</f>
        <v>550.58895000000007</v>
      </c>
      <c r="G1299" s="7">
        <f t="shared" si="5"/>
        <v>-1</v>
      </c>
      <c r="H1299" s="9"/>
      <c r="I1299" s="9">
        <v>610</v>
      </c>
      <c r="J1299" s="9">
        <v>600</v>
      </c>
      <c r="K1299" s="9">
        <v>621</v>
      </c>
      <c r="L1299" s="9">
        <v>644</v>
      </c>
      <c r="M1299" s="9">
        <v>656</v>
      </c>
      <c r="N1299" s="9">
        <v>610</v>
      </c>
      <c r="O1299" s="9">
        <v>627</v>
      </c>
      <c r="P1299" s="9">
        <v>589</v>
      </c>
      <c r="Q1299" s="9">
        <v>577</v>
      </c>
      <c r="R1299" s="9">
        <v>586</v>
      </c>
      <c r="S1299" s="9">
        <v>597</v>
      </c>
      <c r="T1299" s="9">
        <v>603</v>
      </c>
      <c r="U1299" s="9">
        <v>588</v>
      </c>
      <c r="V1299" s="9">
        <v>590</v>
      </c>
      <c r="W1299" s="9">
        <v>586</v>
      </c>
      <c r="X1299" s="9">
        <v>588</v>
      </c>
      <c r="Y1299" s="9">
        <v>594</v>
      </c>
      <c r="Z1299" s="9">
        <v>600</v>
      </c>
      <c r="AA1299" s="9">
        <v>618</v>
      </c>
      <c r="AB1299" s="9">
        <v>591</v>
      </c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</row>
    <row r="1300" spans="1:47" ht="14.4">
      <c r="A1300" s="3">
        <f>LOOKUP(D1300,'AMFI DATA_2023H2'!F:L,'AMFI DATA_2023H2'!L:L)</f>
        <v>1473</v>
      </c>
      <c r="B1300" s="4" t="s">
        <v>3899</v>
      </c>
      <c r="C1300" s="4" t="s">
        <v>3900</v>
      </c>
      <c r="D1300" s="5" t="s">
        <v>3901</v>
      </c>
      <c r="E1300" s="5">
        <v>393.82</v>
      </c>
      <c r="F1300" s="6">
        <f>LOOKUP(D1300,'AMFI DATA_2023H2'!F:J,'AMFI DATA_2023H2'!J:J)</f>
        <v>549.97114999999997</v>
      </c>
      <c r="G1300" s="7">
        <f t="shared" si="5"/>
        <v>-1</v>
      </c>
      <c r="H1300" s="9"/>
      <c r="I1300" s="9">
        <v>770</v>
      </c>
      <c r="J1300" s="9">
        <v>761</v>
      </c>
      <c r="K1300" s="9">
        <v>751</v>
      </c>
      <c r="L1300" s="9">
        <v>761</v>
      </c>
      <c r="M1300" s="9">
        <v>777</v>
      </c>
      <c r="N1300" s="9">
        <v>752</v>
      </c>
      <c r="O1300" s="9">
        <v>768</v>
      </c>
      <c r="P1300" s="9">
        <v>775</v>
      </c>
      <c r="Q1300" s="9">
        <v>740</v>
      </c>
      <c r="R1300" s="9">
        <v>747</v>
      </c>
      <c r="S1300" s="9">
        <v>711</v>
      </c>
      <c r="T1300" s="9">
        <v>689</v>
      </c>
      <c r="U1300" s="9">
        <v>707</v>
      </c>
      <c r="V1300" s="9">
        <v>683</v>
      </c>
      <c r="W1300" s="9">
        <v>667</v>
      </c>
      <c r="X1300" s="9">
        <v>673</v>
      </c>
      <c r="Y1300" s="9">
        <v>673</v>
      </c>
      <c r="Z1300" s="9">
        <v>697</v>
      </c>
      <c r="AA1300" s="9">
        <v>704</v>
      </c>
      <c r="AB1300" s="9">
        <v>679</v>
      </c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</row>
    <row r="1301" spans="1:47" ht="14.4">
      <c r="A1301" s="3">
        <f>LOOKUP(D1301,'AMFI DATA_2023H2'!F:L,'AMFI DATA_2023H2'!L:L)</f>
        <v>1474</v>
      </c>
      <c r="B1301" s="4" t="s">
        <v>3902</v>
      </c>
      <c r="C1301" s="4" t="s">
        <v>3903</v>
      </c>
      <c r="D1301" s="5" t="s">
        <v>3904</v>
      </c>
      <c r="E1301" s="5">
        <v>619.48</v>
      </c>
      <c r="F1301" s="6">
        <f>LOOKUP(D1301,'AMFI DATA_2023H2'!F:J,'AMFI DATA_2023H2'!J:J)</f>
        <v>547.45090000000005</v>
      </c>
      <c r="G1301" s="7">
        <f t="shared" si="5"/>
        <v>-1</v>
      </c>
      <c r="H1301" s="9"/>
      <c r="I1301" s="9">
        <v>839</v>
      </c>
      <c r="J1301" s="9">
        <v>828</v>
      </c>
      <c r="K1301" s="9">
        <v>789</v>
      </c>
      <c r="L1301" s="9">
        <v>803</v>
      </c>
      <c r="M1301" s="9">
        <v>781</v>
      </c>
      <c r="N1301" s="9">
        <v>798</v>
      </c>
      <c r="O1301" s="9">
        <v>806</v>
      </c>
      <c r="P1301" s="9">
        <v>806</v>
      </c>
      <c r="Q1301" s="9">
        <v>828</v>
      </c>
      <c r="R1301" s="9">
        <v>826</v>
      </c>
      <c r="S1301" s="9">
        <v>822</v>
      </c>
      <c r="T1301" s="9">
        <v>837</v>
      </c>
      <c r="U1301" s="9">
        <v>879</v>
      </c>
      <c r="V1301" s="9">
        <v>893</v>
      </c>
      <c r="W1301" s="9">
        <v>850</v>
      </c>
      <c r="X1301" s="9">
        <v>773</v>
      </c>
      <c r="Y1301" s="9">
        <v>753</v>
      </c>
      <c r="Z1301" s="9">
        <v>748</v>
      </c>
      <c r="AA1301" s="9">
        <v>733</v>
      </c>
      <c r="AB1301" s="9">
        <v>670</v>
      </c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</row>
    <row r="1302" spans="1:47" ht="14.4">
      <c r="A1302" s="3">
        <f>LOOKUP(D1302,'AMFI DATA_2023H2'!F:L,'AMFI DATA_2023H2'!L:L)</f>
        <v>1476</v>
      </c>
      <c r="B1302" s="4" t="s">
        <v>3905</v>
      </c>
      <c r="C1302" s="4" t="s">
        <v>3906</v>
      </c>
      <c r="D1302" s="5" t="s">
        <v>3907</v>
      </c>
      <c r="E1302" s="5">
        <v>393.85</v>
      </c>
      <c r="F1302" s="6">
        <f>LOOKUP(D1302,'AMFI DATA_2023H2'!F:J,'AMFI DATA_2023H2'!J:J)</f>
        <v>546.40885000000003</v>
      </c>
      <c r="G1302" s="7">
        <f t="shared" si="5"/>
        <v>-1</v>
      </c>
      <c r="H1302" s="9"/>
      <c r="I1302" s="9">
        <v>630</v>
      </c>
      <c r="J1302" s="9">
        <v>631</v>
      </c>
      <c r="K1302" s="9">
        <v>615</v>
      </c>
      <c r="L1302" s="9">
        <v>618</v>
      </c>
      <c r="M1302" s="9">
        <v>619</v>
      </c>
      <c r="N1302" s="9">
        <v>630</v>
      </c>
      <c r="O1302" s="9">
        <v>644</v>
      </c>
      <c r="P1302" s="9">
        <v>633</v>
      </c>
      <c r="Q1302" s="9">
        <v>632</v>
      </c>
      <c r="R1302" s="9">
        <v>636</v>
      </c>
      <c r="S1302" s="9">
        <v>641</v>
      </c>
      <c r="T1302" s="9">
        <v>653</v>
      </c>
      <c r="U1302" s="9">
        <v>655</v>
      </c>
      <c r="V1302" s="9">
        <v>635</v>
      </c>
      <c r="W1302" s="9">
        <v>630</v>
      </c>
      <c r="X1302" s="9">
        <v>614</v>
      </c>
      <c r="Y1302" s="9">
        <v>602</v>
      </c>
      <c r="Z1302" s="9">
        <v>595</v>
      </c>
      <c r="AA1302" s="9">
        <v>578</v>
      </c>
      <c r="AB1302" s="9">
        <v>573</v>
      </c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</row>
    <row r="1303" spans="1:47" ht="14.4">
      <c r="A1303" s="3">
        <f>LOOKUP(D1303,'AMFI DATA_2023H2'!F:L,'AMFI DATA_2023H2'!L:L)</f>
        <v>1477</v>
      </c>
      <c r="B1303" s="4" t="s">
        <v>3908</v>
      </c>
      <c r="C1303" s="4" t="s">
        <v>3909</v>
      </c>
      <c r="D1303" s="5" t="s">
        <v>3910</v>
      </c>
      <c r="E1303" s="5">
        <v>381.5</v>
      </c>
      <c r="F1303" s="6">
        <f>LOOKUP(D1303,'AMFI DATA_2023H2'!F:J,'AMFI DATA_2023H2'!J:J)</f>
        <v>541.77419999999995</v>
      </c>
      <c r="G1303" s="7">
        <f t="shared" si="5"/>
        <v>-1</v>
      </c>
      <c r="H1303" s="9"/>
      <c r="I1303" s="9">
        <v>529</v>
      </c>
      <c r="J1303" s="9">
        <v>538</v>
      </c>
      <c r="K1303" s="9">
        <v>525</v>
      </c>
      <c r="L1303" s="9">
        <v>528</v>
      </c>
      <c r="M1303" s="9">
        <v>535</v>
      </c>
      <c r="N1303" s="9">
        <v>543</v>
      </c>
      <c r="O1303" s="9">
        <v>536</v>
      </c>
      <c r="P1303" s="9">
        <v>496</v>
      </c>
      <c r="Q1303" s="9">
        <v>485</v>
      </c>
      <c r="R1303" s="9">
        <v>490</v>
      </c>
      <c r="S1303" s="9">
        <v>498</v>
      </c>
      <c r="T1303" s="9">
        <v>503</v>
      </c>
      <c r="U1303" s="9">
        <v>517</v>
      </c>
      <c r="V1303" s="9">
        <v>532</v>
      </c>
      <c r="W1303" s="9">
        <v>524</v>
      </c>
      <c r="X1303" s="9">
        <v>529</v>
      </c>
      <c r="Y1303" s="9">
        <v>527</v>
      </c>
      <c r="Z1303" s="9">
        <v>526</v>
      </c>
      <c r="AA1303" s="9">
        <v>525</v>
      </c>
      <c r="AB1303" s="9">
        <v>508</v>
      </c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</row>
    <row r="1304" spans="1:47" ht="14.4">
      <c r="A1304" s="3">
        <f>LOOKUP(D1304,'AMFI DATA_2023H2'!F:L,'AMFI DATA_2023H2'!L:L)</f>
        <v>1478</v>
      </c>
      <c r="B1304" s="4" t="s">
        <v>3911</v>
      </c>
      <c r="C1304" s="4" t="s">
        <v>3912</v>
      </c>
      <c r="D1304" s="5" t="s">
        <v>3913</v>
      </c>
      <c r="E1304" s="5">
        <v>382.02</v>
      </c>
      <c r="F1304" s="6">
        <f>LOOKUP(D1304,'AMFI DATA_2023H2'!F:J,'AMFI DATA_2023H2'!J:J)</f>
        <v>539.59224999999992</v>
      </c>
      <c r="G1304" s="7">
        <f t="shared" si="5"/>
        <v>-1</v>
      </c>
      <c r="H1304" s="9"/>
      <c r="I1304" s="9">
        <v>598</v>
      </c>
      <c r="J1304" s="9">
        <v>603</v>
      </c>
      <c r="K1304" s="9">
        <v>577</v>
      </c>
      <c r="L1304" s="9">
        <v>582</v>
      </c>
      <c r="M1304" s="9">
        <v>594</v>
      </c>
      <c r="N1304" s="9">
        <v>605</v>
      </c>
      <c r="O1304" s="9">
        <v>602</v>
      </c>
      <c r="P1304" s="9">
        <v>0</v>
      </c>
      <c r="Q1304" s="9">
        <v>561</v>
      </c>
      <c r="R1304" s="9">
        <v>563</v>
      </c>
      <c r="S1304" s="9">
        <v>581</v>
      </c>
      <c r="T1304" s="9">
        <v>581</v>
      </c>
      <c r="U1304" s="9">
        <v>581</v>
      </c>
      <c r="V1304" s="9">
        <v>571</v>
      </c>
      <c r="W1304" s="9">
        <v>583</v>
      </c>
      <c r="X1304" s="9">
        <v>577</v>
      </c>
      <c r="Y1304" s="9">
        <v>582</v>
      </c>
      <c r="Z1304" s="9">
        <v>588</v>
      </c>
      <c r="AA1304" s="9">
        <v>598</v>
      </c>
      <c r="AB1304" s="9">
        <v>601</v>
      </c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</row>
    <row r="1305" spans="1:47" ht="14.4">
      <c r="A1305" s="3">
        <f>LOOKUP(D1305,'AMFI DATA_2023H2'!F:L,'AMFI DATA_2023H2'!L:L)</f>
        <v>1479</v>
      </c>
      <c r="B1305" s="4" t="s">
        <v>3914</v>
      </c>
      <c r="C1305" s="4" t="s">
        <v>3915</v>
      </c>
      <c r="D1305" s="5" t="s">
        <v>3916</v>
      </c>
      <c r="E1305" s="5">
        <v>364.82</v>
      </c>
      <c r="F1305" s="6">
        <f>LOOKUP(D1305,'AMFI DATA_2023H2'!F:J,'AMFI DATA_2023H2'!J:J)</f>
        <v>539.11865</v>
      </c>
      <c r="G1305" s="7">
        <f t="shared" si="5"/>
        <v>-1</v>
      </c>
      <c r="H1305" s="9"/>
      <c r="I1305" s="9">
        <v>851</v>
      </c>
      <c r="J1305" s="9">
        <v>863</v>
      </c>
      <c r="K1305" s="9">
        <v>828</v>
      </c>
      <c r="L1305" s="9">
        <v>816</v>
      </c>
      <c r="M1305" s="9">
        <v>780</v>
      </c>
      <c r="N1305" s="9">
        <v>740</v>
      </c>
      <c r="O1305" s="9">
        <v>707</v>
      </c>
      <c r="P1305" s="9">
        <v>673</v>
      </c>
      <c r="Q1305" s="9">
        <v>648</v>
      </c>
      <c r="R1305" s="9">
        <v>660</v>
      </c>
      <c r="S1305" s="9">
        <v>662</v>
      </c>
      <c r="T1305" s="9">
        <v>669</v>
      </c>
      <c r="U1305" s="9">
        <v>661</v>
      </c>
      <c r="V1305" s="9">
        <v>686</v>
      </c>
      <c r="W1305" s="9">
        <v>690</v>
      </c>
      <c r="X1305" s="9">
        <v>670</v>
      </c>
      <c r="Y1305" s="9">
        <v>648</v>
      </c>
      <c r="Z1305" s="9">
        <v>649</v>
      </c>
      <c r="AA1305" s="9">
        <v>658</v>
      </c>
      <c r="AB1305" s="9">
        <v>684</v>
      </c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</row>
    <row r="1306" spans="1:47" ht="14.4">
      <c r="A1306" s="3">
        <f>LOOKUP(D1306,'AMFI DATA_2023H2'!F:L,'AMFI DATA_2023H2'!L:L)</f>
        <v>1480</v>
      </c>
      <c r="B1306" s="4" t="s">
        <v>3917</v>
      </c>
      <c r="C1306" s="4" t="s">
        <v>3918</v>
      </c>
      <c r="D1306" s="5" t="s">
        <v>3919</v>
      </c>
      <c r="E1306" s="5">
        <v>404.73</v>
      </c>
      <c r="F1306" s="6">
        <f>LOOKUP(D1306,'AMFI DATA_2023H2'!F:J,'AMFI DATA_2023H2'!J:J)</f>
        <v>533.91345000000001</v>
      </c>
      <c r="G1306" s="7">
        <f t="shared" si="5"/>
        <v>-1</v>
      </c>
      <c r="H1306" s="9"/>
      <c r="I1306" s="9">
        <v>718</v>
      </c>
      <c r="J1306" s="9">
        <v>687</v>
      </c>
      <c r="K1306" s="9">
        <v>632</v>
      </c>
      <c r="L1306" s="9">
        <v>652</v>
      </c>
      <c r="M1306" s="9">
        <v>651</v>
      </c>
      <c r="N1306" s="9">
        <v>638</v>
      </c>
      <c r="O1306" s="9">
        <v>638</v>
      </c>
      <c r="P1306" s="9">
        <v>638</v>
      </c>
      <c r="Q1306" s="9">
        <v>640</v>
      </c>
      <c r="R1306" s="9">
        <v>643</v>
      </c>
      <c r="S1306" s="9">
        <v>636</v>
      </c>
      <c r="T1306" s="9">
        <v>645</v>
      </c>
      <c r="U1306" s="9">
        <v>635</v>
      </c>
      <c r="V1306" s="9">
        <v>651</v>
      </c>
      <c r="W1306" s="9">
        <v>658</v>
      </c>
      <c r="X1306" s="9">
        <v>639</v>
      </c>
      <c r="Y1306" s="9">
        <v>638</v>
      </c>
      <c r="Z1306" s="9">
        <v>638</v>
      </c>
      <c r="AA1306" s="9">
        <v>643</v>
      </c>
      <c r="AB1306" s="9">
        <v>640</v>
      </c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</row>
    <row r="1307" spans="1:47" ht="14.4">
      <c r="A1307" s="3">
        <f>LOOKUP(D1307,'AMFI DATA_2023H2'!F:L,'AMFI DATA_2023H2'!L:L)</f>
        <v>1481</v>
      </c>
      <c r="B1307" s="4" t="s">
        <v>3920</v>
      </c>
      <c r="C1307" s="4" t="s">
        <v>3921</v>
      </c>
      <c r="D1307" s="5" t="s">
        <v>3922</v>
      </c>
      <c r="E1307" s="5">
        <v>267.52</v>
      </c>
      <c r="F1307" s="6">
        <f>LOOKUP(D1307,'AMFI DATA_2023H2'!F:J,'AMFI DATA_2023H2'!J:J)</f>
        <v>533.84719999999993</v>
      </c>
      <c r="G1307" s="7">
        <f t="shared" si="5"/>
        <v>-1</v>
      </c>
      <c r="H1307" s="9"/>
      <c r="I1307" s="9">
        <v>912</v>
      </c>
      <c r="J1307" s="9">
        <v>916</v>
      </c>
      <c r="K1307" s="9">
        <v>873</v>
      </c>
      <c r="L1307" s="9">
        <v>893</v>
      </c>
      <c r="M1307" s="9">
        <v>855</v>
      </c>
      <c r="N1307" s="9">
        <v>821</v>
      </c>
      <c r="O1307" s="9">
        <v>805</v>
      </c>
      <c r="P1307" s="9">
        <v>810</v>
      </c>
      <c r="Q1307" s="9">
        <v>807</v>
      </c>
      <c r="R1307" s="9">
        <v>817</v>
      </c>
      <c r="S1307" s="9">
        <v>834</v>
      </c>
      <c r="T1307" s="9">
        <v>818</v>
      </c>
      <c r="U1307" s="9">
        <v>816</v>
      </c>
      <c r="V1307" s="9">
        <v>804</v>
      </c>
      <c r="W1307" s="9">
        <v>809</v>
      </c>
      <c r="X1307" s="9">
        <v>810</v>
      </c>
      <c r="Y1307" s="9">
        <v>826</v>
      </c>
      <c r="Z1307" s="9">
        <v>843</v>
      </c>
      <c r="AA1307" s="9">
        <v>829</v>
      </c>
      <c r="AB1307" s="9">
        <v>861</v>
      </c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</row>
    <row r="1308" spans="1:47" ht="14.4">
      <c r="A1308" s="3">
        <f>LOOKUP(D1308,'AMFI DATA_2023H2'!F:L,'AMFI DATA_2023H2'!L:L)</f>
        <v>1483</v>
      </c>
      <c r="B1308" s="4" t="s">
        <v>3923</v>
      </c>
      <c r="C1308" s="4" t="s">
        <v>3924</v>
      </c>
      <c r="D1308" s="5" t="s">
        <v>3925</v>
      </c>
      <c r="E1308" s="5">
        <v>398.89</v>
      </c>
      <c r="F1308" s="6">
        <f>LOOKUP(D1308,'AMFI DATA_2023H2'!F:J,'AMFI DATA_2023H2'!J:J)</f>
        <v>531.50984999999991</v>
      </c>
      <c r="G1308" s="7">
        <f t="shared" si="5"/>
        <v>-1</v>
      </c>
      <c r="H1308" s="9"/>
      <c r="I1308" s="9">
        <v>720</v>
      </c>
      <c r="J1308" s="9">
        <v>719</v>
      </c>
      <c r="K1308" s="9">
        <v>728</v>
      </c>
      <c r="L1308" s="9">
        <v>742</v>
      </c>
      <c r="M1308" s="9">
        <v>769</v>
      </c>
      <c r="N1308" s="9">
        <v>771</v>
      </c>
      <c r="O1308" s="9">
        <v>771</v>
      </c>
      <c r="P1308" s="9">
        <v>771</v>
      </c>
      <c r="Q1308" s="9">
        <v>736</v>
      </c>
      <c r="R1308" s="9">
        <v>727</v>
      </c>
      <c r="S1308" s="9">
        <v>734</v>
      </c>
      <c r="T1308" s="9">
        <v>733</v>
      </c>
      <c r="U1308" s="9">
        <v>729</v>
      </c>
      <c r="V1308" s="9">
        <v>745</v>
      </c>
      <c r="W1308" s="9">
        <v>743</v>
      </c>
      <c r="X1308" s="9">
        <v>726</v>
      </c>
      <c r="Y1308" s="9">
        <v>721</v>
      </c>
      <c r="Z1308" s="9">
        <v>722</v>
      </c>
      <c r="AA1308" s="9">
        <v>726</v>
      </c>
      <c r="AB1308" s="9">
        <v>732</v>
      </c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</row>
    <row r="1309" spans="1:47" ht="14.4">
      <c r="A1309" s="3">
        <f>LOOKUP(D1309,'AMFI DATA_2023H2'!F:L,'AMFI DATA_2023H2'!L:L)</f>
        <v>1485</v>
      </c>
      <c r="B1309" s="4" t="s">
        <v>3926</v>
      </c>
      <c r="C1309" s="4" t="s">
        <v>3927</v>
      </c>
      <c r="D1309" s="5" t="s">
        <v>3928</v>
      </c>
      <c r="E1309" s="5">
        <v>491.36</v>
      </c>
      <c r="F1309" s="6">
        <f>LOOKUP(D1309,'AMFI DATA_2023H2'!F:J,'AMFI DATA_2023H2'!J:J)</f>
        <v>530.88684999999998</v>
      </c>
      <c r="G1309" s="7">
        <f t="shared" si="5"/>
        <v>-1</v>
      </c>
      <c r="H1309" s="9"/>
      <c r="I1309" s="9">
        <v>588</v>
      </c>
      <c r="J1309" s="9">
        <v>571</v>
      </c>
      <c r="K1309" s="9">
        <v>586</v>
      </c>
      <c r="L1309" s="9">
        <v>619</v>
      </c>
      <c r="M1309" s="9">
        <v>575</v>
      </c>
      <c r="N1309" s="9">
        <v>582</v>
      </c>
      <c r="O1309" s="9">
        <v>577</v>
      </c>
      <c r="P1309" s="9">
        <v>588</v>
      </c>
      <c r="Q1309" s="9">
        <v>583</v>
      </c>
      <c r="R1309" s="9">
        <v>594</v>
      </c>
      <c r="S1309" s="9">
        <v>550</v>
      </c>
      <c r="T1309" s="9">
        <v>538</v>
      </c>
      <c r="U1309" s="9">
        <v>538</v>
      </c>
      <c r="V1309" s="9">
        <v>541</v>
      </c>
      <c r="W1309" s="9">
        <v>567</v>
      </c>
      <c r="X1309" s="9">
        <v>558</v>
      </c>
      <c r="Y1309" s="9">
        <v>558</v>
      </c>
      <c r="Z1309" s="9">
        <v>572</v>
      </c>
      <c r="AA1309" s="9">
        <v>571</v>
      </c>
      <c r="AB1309" s="9">
        <v>559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</row>
    <row r="1310" spans="1:47" ht="14.4">
      <c r="A1310" s="3">
        <f>LOOKUP(D1310,'AMFI DATA_2023H2'!F:L,'AMFI DATA_2023H2'!L:L)</f>
        <v>1486</v>
      </c>
      <c r="B1310" s="4" t="s">
        <v>3929</v>
      </c>
      <c r="C1310" s="4" t="s">
        <v>3930</v>
      </c>
      <c r="D1310" s="5" t="s">
        <v>3931</v>
      </c>
      <c r="E1310" s="5">
        <v>387.39</v>
      </c>
      <c r="F1310" s="6">
        <f>LOOKUP(D1310,'AMFI DATA_2023H2'!F:J,'AMFI DATA_2023H2'!J:J)</f>
        <v>529.57535000000007</v>
      </c>
      <c r="G1310" s="7">
        <f t="shared" si="5"/>
        <v>-1</v>
      </c>
      <c r="H1310" s="9"/>
      <c r="I1310" s="9">
        <v>728</v>
      </c>
      <c r="J1310" s="9">
        <v>701</v>
      </c>
      <c r="K1310" s="9">
        <v>715</v>
      </c>
      <c r="L1310" s="9">
        <v>732</v>
      </c>
      <c r="M1310" s="9">
        <v>701</v>
      </c>
      <c r="N1310" s="9">
        <v>661</v>
      </c>
      <c r="O1310" s="9">
        <v>654</v>
      </c>
      <c r="P1310" s="9">
        <v>635</v>
      </c>
      <c r="Q1310" s="9">
        <v>655</v>
      </c>
      <c r="R1310" s="9">
        <v>660</v>
      </c>
      <c r="S1310" s="9">
        <v>682</v>
      </c>
      <c r="T1310" s="9">
        <v>671</v>
      </c>
      <c r="U1310" s="9">
        <v>701</v>
      </c>
      <c r="V1310" s="9">
        <v>707</v>
      </c>
      <c r="W1310" s="9">
        <v>696</v>
      </c>
      <c r="X1310" s="9">
        <v>701</v>
      </c>
      <c r="Y1310" s="9">
        <v>679</v>
      </c>
      <c r="Z1310" s="9">
        <v>703</v>
      </c>
      <c r="AA1310" s="9">
        <v>715</v>
      </c>
      <c r="AB1310" s="9">
        <v>726</v>
      </c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</row>
    <row r="1311" spans="1:47" ht="14.4">
      <c r="A1311" s="3">
        <f>LOOKUP(D1311,'AMFI DATA_2023H2'!F:L,'AMFI DATA_2023H2'!L:L)</f>
        <v>1487</v>
      </c>
      <c r="B1311" s="4" t="s">
        <v>3932</v>
      </c>
      <c r="C1311" s="4" t="s">
        <v>3933</v>
      </c>
      <c r="D1311" s="5" t="s">
        <v>3934</v>
      </c>
      <c r="E1311" s="5">
        <v>339.96</v>
      </c>
      <c r="F1311" s="6">
        <f>LOOKUP(D1311,'AMFI DATA_2023H2'!F:J,'AMFI DATA_2023H2'!J:J)</f>
        <v>526.80754999999999</v>
      </c>
      <c r="G1311" s="7">
        <f t="shared" si="5"/>
        <v>-1</v>
      </c>
      <c r="H1311" s="9"/>
      <c r="I1311" s="9">
        <v>633</v>
      </c>
      <c r="J1311" s="9">
        <v>619</v>
      </c>
      <c r="K1311" s="9">
        <v>626</v>
      </c>
      <c r="L1311" s="9">
        <v>634</v>
      </c>
      <c r="M1311" s="9">
        <v>642</v>
      </c>
      <c r="N1311" s="9">
        <v>641</v>
      </c>
      <c r="O1311" s="9">
        <v>658</v>
      </c>
      <c r="P1311" s="9">
        <v>629</v>
      </c>
      <c r="Q1311" s="9">
        <v>639</v>
      </c>
      <c r="R1311" s="9">
        <v>636</v>
      </c>
      <c r="S1311" s="9">
        <v>653</v>
      </c>
      <c r="T1311" s="9">
        <v>655</v>
      </c>
      <c r="U1311" s="9">
        <v>639</v>
      </c>
      <c r="V1311" s="9">
        <v>637</v>
      </c>
      <c r="W1311" s="9">
        <v>616</v>
      </c>
      <c r="X1311" s="9">
        <v>613</v>
      </c>
      <c r="Y1311" s="9">
        <v>610</v>
      </c>
      <c r="Z1311" s="9">
        <v>616</v>
      </c>
      <c r="AA1311" s="9">
        <v>619</v>
      </c>
      <c r="AB1311" s="9">
        <v>627</v>
      </c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</row>
    <row r="1312" spans="1:47" ht="14.4">
      <c r="A1312" s="3">
        <f>LOOKUP(D1312,'AMFI DATA_2023H2'!F:L,'AMFI DATA_2023H2'!L:L)</f>
        <v>1488</v>
      </c>
      <c r="B1312" s="4" t="s">
        <v>3935</v>
      </c>
      <c r="C1312" s="4" t="s">
        <v>3936</v>
      </c>
      <c r="D1312" s="5" t="s">
        <v>3937</v>
      </c>
      <c r="E1312" s="5">
        <v>389.95</v>
      </c>
      <c r="F1312" s="6">
        <f>LOOKUP(D1312,'AMFI DATA_2023H2'!F:J,'AMFI DATA_2023H2'!J:J)</f>
        <v>525.83420000000001</v>
      </c>
      <c r="G1312" s="7">
        <f t="shared" si="5"/>
        <v>-1</v>
      </c>
      <c r="H1312" s="9"/>
      <c r="I1312" s="9">
        <v>666</v>
      </c>
      <c r="J1312" s="9">
        <v>657</v>
      </c>
      <c r="K1312" s="9">
        <v>657</v>
      </c>
      <c r="L1312" s="9">
        <v>658</v>
      </c>
      <c r="M1312" s="9">
        <v>666</v>
      </c>
      <c r="N1312" s="9">
        <v>677</v>
      </c>
      <c r="O1312" s="9">
        <v>689</v>
      </c>
      <c r="P1312" s="9">
        <v>682</v>
      </c>
      <c r="Q1312" s="9">
        <v>691</v>
      </c>
      <c r="R1312" s="9">
        <v>701</v>
      </c>
      <c r="S1312" s="9">
        <v>715</v>
      </c>
      <c r="T1312" s="9">
        <v>718</v>
      </c>
      <c r="U1312" s="9">
        <v>730</v>
      </c>
      <c r="V1312" s="9">
        <v>720</v>
      </c>
      <c r="W1312" s="9">
        <v>745</v>
      </c>
      <c r="X1312" s="9">
        <v>731</v>
      </c>
      <c r="Y1312" s="9">
        <v>706</v>
      </c>
      <c r="Z1312" s="9">
        <v>682</v>
      </c>
      <c r="AA1312" s="9">
        <v>690</v>
      </c>
      <c r="AB1312" s="9">
        <v>710</v>
      </c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</row>
    <row r="1313" spans="1:47" ht="14.4">
      <c r="A1313" s="3">
        <f>LOOKUP(D1313,'AMFI DATA_2023H2'!F:L,'AMFI DATA_2023H2'!L:L)</f>
        <v>1489</v>
      </c>
      <c r="B1313" s="4" t="s">
        <v>3938</v>
      </c>
      <c r="C1313" s="4" t="s">
        <v>3939</v>
      </c>
      <c r="D1313" s="5" t="s">
        <v>3940</v>
      </c>
      <c r="E1313" s="5">
        <v>382.49</v>
      </c>
      <c r="F1313" s="6">
        <f>LOOKUP(D1313,'AMFI DATA_2023H2'!F:J,'AMFI DATA_2023H2'!J:J)</f>
        <v>525.67665</v>
      </c>
      <c r="G1313" s="7">
        <f t="shared" si="5"/>
        <v>-1</v>
      </c>
      <c r="H1313" s="9"/>
      <c r="I1313" s="9">
        <v>912</v>
      </c>
      <c r="J1313" s="9">
        <v>760</v>
      </c>
      <c r="K1313" s="9">
        <v>781</v>
      </c>
      <c r="L1313" s="9">
        <v>775</v>
      </c>
      <c r="M1313" s="9">
        <v>782</v>
      </c>
      <c r="N1313" s="9">
        <v>658</v>
      </c>
      <c r="O1313" s="9">
        <v>677</v>
      </c>
      <c r="P1313" s="9">
        <v>657</v>
      </c>
      <c r="Q1313" s="9">
        <v>643</v>
      </c>
      <c r="R1313" s="9">
        <v>646</v>
      </c>
      <c r="S1313" s="9">
        <v>631</v>
      </c>
      <c r="T1313" s="9">
        <v>637</v>
      </c>
      <c r="U1313" s="9">
        <v>626</v>
      </c>
      <c r="V1313" s="9">
        <v>628</v>
      </c>
      <c r="W1313" s="9">
        <v>636</v>
      </c>
      <c r="X1313" s="9">
        <v>636</v>
      </c>
      <c r="Y1313" s="9">
        <v>651</v>
      </c>
      <c r="Z1313" s="9">
        <v>653</v>
      </c>
      <c r="AA1313" s="9">
        <v>645</v>
      </c>
      <c r="AB1313" s="9">
        <v>651</v>
      </c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</row>
    <row r="1314" spans="1:47" ht="14.4">
      <c r="A1314" s="3">
        <f>LOOKUP(D1314,'AMFI DATA_2023H2'!F:L,'AMFI DATA_2023H2'!L:L)</f>
        <v>1491</v>
      </c>
      <c r="B1314" s="4" t="s">
        <v>3941</v>
      </c>
      <c r="C1314" s="4" t="s">
        <v>3942</v>
      </c>
      <c r="D1314" s="5" t="s">
        <v>3943</v>
      </c>
      <c r="E1314" s="5">
        <v>251.31</v>
      </c>
      <c r="F1314" s="6">
        <f>LOOKUP(D1314,'AMFI DATA_2023H2'!F:J,'AMFI DATA_2023H2'!J:J)</f>
        <v>521.45444999999995</v>
      </c>
      <c r="G1314" s="7">
        <f t="shared" si="5"/>
        <v>-1</v>
      </c>
      <c r="H1314" s="9"/>
      <c r="I1314" s="9">
        <v>931</v>
      </c>
      <c r="J1314" s="9">
        <v>889</v>
      </c>
      <c r="K1314" s="9">
        <v>845</v>
      </c>
      <c r="L1314" s="9">
        <v>889</v>
      </c>
      <c r="M1314" s="9">
        <v>934</v>
      </c>
      <c r="N1314" s="9">
        <v>903</v>
      </c>
      <c r="O1314" s="9">
        <v>862</v>
      </c>
      <c r="P1314" s="9">
        <v>819</v>
      </c>
      <c r="Q1314" s="9">
        <v>781</v>
      </c>
      <c r="R1314" s="9">
        <v>744</v>
      </c>
      <c r="S1314" s="9">
        <v>709</v>
      </c>
      <c r="T1314" s="9">
        <v>674</v>
      </c>
      <c r="U1314" s="9">
        <v>704</v>
      </c>
      <c r="V1314" s="9">
        <v>750</v>
      </c>
      <c r="W1314" s="9">
        <v>761</v>
      </c>
      <c r="X1314" s="9">
        <v>723</v>
      </c>
      <c r="Y1314" s="9">
        <v>690</v>
      </c>
      <c r="Z1314" s="9">
        <v>672</v>
      </c>
      <c r="AA1314" s="9">
        <v>668</v>
      </c>
      <c r="AB1314" s="9">
        <v>636</v>
      </c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</row>
    <row r="1315" spans="1:47" ht="14.4">
      <c r="A1315" s="3">
        <f>LOOKUP(D1315,'AMFI DATA_2023H2'!F:L,'AMFI DATA_2023H2'!L:L)</f>
        <v>1492</v>
      </c>
      <c r="B1315" s="4" t="s">
        <v>3944</v>
      </c>
      <c r="C1315" s="4" t="s">
        <v>3945</v>
      </c>
      <c r="D1315" s="5" t="s">
        <v>3946</v>
      </c>
      <c r="E1315" s="5">
        <v>486.42</v>
      </c>
      <c r="F1315" s="6">
        <f>LOOKUP(D1315,'AMFI DATA_2023H2'!F:J,'AMFI DATA_2023H2'!J:J)</f>
        <v>521.28009999999995</v>
      </c>
      <c r="G1315" s="7">
        <f t="shared" si="5"/>
        <v>-1</v>
      </c>
      <c r="H1315" s="9"/>
      <c r="I1315" s="9">
        <v>541</v>
      </c>
      <c r="J1315" s="9">
        <v>542</v>
      </c>
      <c r="K1315" s="9">
        <v>530</v>
      </c>
      <c r="L1315" s="9">
        <v>554</v>
      </c>
      <c r="M1315" s="9">
        <v>561</v>
      </c>
      <c r="N1315" s="9">
        <v>549</v>
      </c>
      <c r="O1315" s="9">
        <v>563</v>
      </c>
      <c r="P1315" s="9">
        <v>563</v>
      </c>
      <c r="Q1315" s="9">
        <v>559</v>
      </c>
      <c r="R1315" s="9">
        <v>573</v>
      </c>
      <c r="S1315" s="9">
        <v>536</v>
      </c>
      <c r="T1315" s="9">
        <v>534</v>
      </c>
      <c r="U1315" s="9">
        <v>524</v>
      </c>
      <c r="V1315" s="9">
        <v>526</v>
      </c>
      <c r="W1315" s="9">
        <v>520</v>
      </c>
      <c r="X1315" s="9">
        <v>517</v>
      </c>
      <c r="Y1315" s="9">
        <v>512</v>
      </c>
      <c r="Z1315" s="9">
        <v>526</v>
      </c>
      <c r="AA1315" s="9">
        <v>525</v>
      </c>
      <c r="AB1315" s="9">
        <v>532</v>
      </c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</row>
    <row r="1316" spans="1:47" ht="14.4">
      <c r="A1316" s="3">
        <f>LOOKUP(D1316,'AMFI DATA_2023H2'!F:L,'AMFI DATA_2023H2'!L:L)</f>
        <v>1494</v>
      </c>
      <c r="B1316" s="4" t="s">
        <v>3947</v>
      </c>
      <c r="C1316" s="4" t="s">
        <v>3948</v>
      </c>
      <c r="D1316" s="5" t="s">
        <v>3949</v>
      </c>
      <c r="E1316" s="5">
        <v>494.13</v>
      </c>
      <c r="F1316" s="6">
        <f>LOOKUP(D1316,'AMFI DATA_2023H2'!F:J,'AMFI DATA_2023H2'!J:J)</f>
        <v>519.2029</v>
      </c>
      <c r="G1316" s="7">
        <f t="shared" si="5"/>
        <v>-1</v>
      </c>
      <c r="H1316" s="9"/>
      <c r="I1316" s="9">
        <v>535</v>
      </c>
      <c r="J1316" s="9">
        <v>540</v>
      </c>
      <c r="K1316" s="9">
        <v>540</v>
      </c>
      <c r="L1316" s="9">
        <v>551</v>
      </c>
      <c r="M1316" s="9">
        <v>564</v>
      </c>
      <c r="N1316" s="9">
        <v>563</v>
      </c>
      <c r="O1316" s="9">
        <v>569</v>
      </c>
      <c r="P1316" s="9">
        <v>572</v>
      </c>
      <c r="Q1316" s="9">
        <v>558</v>
      </c>
      <c r="R1316" s="9">
        <v>564</v>
      </c>
      <c r="S1316" s="9">
        <v>542</v>
      </c>
      <c r="T1316" s="9">
        <v>527</v>
      </c>
      <c r="U1316" s="9">
        <v>521</v>
      </c>
      <c r="V1316" s="9">
        <v>520</v>
      </c>
      <c r="W1316" s="9">
        <v>507</v>
      </c>
      <c r="X1316" s="9">
        <v>497</v>
      </c>
      <c r="Y1316" s="9">
        <v>500</v>
      </c>
      <c r="Z1316" s="9">
        <v>503</v>
      </c>
      <c r="AA1316" s="9">
        <v>511</v>
      </c>
      <c r="AB1316" s="9">
        <v>505</v>
      </c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</row>
    <row r="1317" spans="1:47" ht="14.4">
      <c r="A1317" s="3">
        <f>LOOKUP(D1317,'AMFI DATA_2023H2'!F:L,'AMFI DATA_2023H2'!L:L)</f>
        <v>1495</v>
      </c>
      <c r="B1317" s="4" t="s">
        <v>3950</v>
      </c>
      <c r="C1317" s="4" t="s">
        <v>3951</v>
      </c>
      <c r="D1317" s="5" t="s">
        <v>3952</v>
      </c>
      <c r="E1317" s="5">
        <v>580.36</v>
      </c>
      <c r="F1317" s="6">
        <f>LOOKUP(D1317,'AMFI DATA_2023H2'!F:J,'AMFI DATA_2023H2'!J:J)</f>
        <v>519.10199982731046</v>
      </c>
      <c r="G1317" s="7">
        <f t="shared" si="5"/>
        <v>-1</v>
      </c>
      <c r="H1317" s="9"/>
      <c r="I1317" s="9">
        <v>1003</v>
      </c>
      <c r="J1317" s="9">
        <v>926</v>
      </c>
      <c r="K1317" s="9">
        <v>901</v>
      </c>
      <c r="L1317" s="9">
        <v>815</v>
      </c>
      <c r="M1317" s="9">
        <v>847</v>
      </c>
      <c r="N1317" s="9">
        <v>852</v>
      </c>
      <c r="O1317" s="9">
        <v>833</v>
      </c>
      <c r="P1317" s="9">
        <v>814</v>
      </c>
      <c r="Q1317" s="9">
        <v>741</v>
      </c>
      <c r="R1317" s="9">
        <v>779</v>
      </c>
      <c r="S1317" s="9">
        <v>660</v>
      </c>
      <c r="T1317" s="9">
        <v>657</v>
      </c>
      <c r="U1317" s="9">
        <v>643</v>
      </c>
      <c r="V1317" s="9">
        <v>654</v>
      </c>
      <c r="W1317" s="9">
        <v>647</v>
      </c>
      <c r="X1317" s="9">
        <v>654</v>
      </c>
      <c r="Y1317" s="9">
        <v>656</v>
      </c>
      <c r="Z1317" s="9">
        <v>658</v>
      </c>
      <c r="AA1317" s="9">
        <v>663</v>
      </c>
      <c r="AB1317" s="9">
        <v>662</v>
      </c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</row>
    <row r="1318" spans="1:47" ht="14.4">
      <c r="A1318" s="3">
        <f>LOOKUP(D1318,'AMFI DATA_2023H2'!F:L,'AMFI DATA_2023H2'!L:L)</f>
        <v>1496</v>
      </c>
      <c r="B1318" s="4" t="s">
        <v>3953</v>
      </c>
      <c r="C1318" s="4" t="s">
        <v>3954</v>
      </c>
      <c r="D1318" s="5" t="s">
        <v>3955</v>
      </c>
      <c r="E1318" s="5">
        <v>412.5</v>
      </c>
      <c r="F1318" s="6">
        <f>LOOKUP(D1318,'AMFI DATA_2023H2'!F:J,'AMFI DATA_2023H2'!J:J)</f>
        <v>515.202</v>
      </c>
      <c r="G1318" s="7">
        <f t="shared" si="5"/>
        <v>-1</v>
      </c>
      <c r="H1318" s="9"/>
      <c r="I1318" s="9">
        <v>929</v>
      </c>
      <c r="J1318" s="9">
        <v>930</v>
      </c>
      <c r="K1318" s="9">
        <v>882</v>
      </c>
      <c r="L1318" s="9">
        <v>870</v>
      </c>
      <c r="M1318" s="9">
        <v>918</v>
      </c>
      <c r="N1318" s="9">
        <v>992</v>
      </c>
      <c r="O1318" s="9">
        <v>902</v>
      </c>
      <c r="P1318" s="9">
        <v>927</v>
      </c>
      <c r="Q1318" s="9">
        <v>842</v>
      </c>
      <c r="R1318" s="9">
        <v>702</v>
      </c>
      <c r="S1318" s="9">
        <v>607</v>
      </c>
      <c r="T1318" s="9">
        <v>587</v>
      </c>
      <c r="U1318" s="9">
        <v>586</v>
      </c>
      <c r="V1318" s="9">
        <v>581</v>
      </c>
      <c r="W1318" s="9">
        <v>574</v>
      </c>
      <c r="X1318" s="9">
        <v>583</v>
      </c>
      <c r="Y1318" s="9">
        <v>588</v>
      </c>
      <c r="Z1318" s="9">
        <v>602</v>
      </c>
      <c r="AA1318" s="9">
        <v>557</v>
      </c>
      <c r="AB1318" s="9">
        <v>547</v>
      </c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</row>
    <row r="1319" spans="1:47" ht="14.4">
      <c r="A1319" s="3">
        <f>LOOKUP(D1319,'AMFI DATA_2023H2'!F:L,'AMFI DATA_2023H2'!L:L)</f>
        <v>1497</v>
      </c>
      <c r="B1319" s="4" t="s">
        <v>3956</v>
      </c>
      <c r="C1319" s="4" t="s">
        <v>3957</v>
      </c>
      <c r="D1319" s="5" t="s">
        <v>3958</v>
      </c>
      <c r="E1319" s="5">
        <v>426.97</v>
      </c>
      <c r="F1319" s="6">
        <f>LOOKUP(D1319,'AMFI DATA_2023H2'!F:J,'AMFI DATA_2023H2'!J:J)</f>
        <v>513.90184999999997</v>
      </c>
      <c r="G1319" s="7">
        <f t="shared" si="5"/>
        <v>-1</v>
      </c>
      <c r="H1319" s="9"/>
      <c r="I1319" s="9">
        <v>619</v>
      </c>
      <c r="J1319" s="9">
        <v>614</v>
      </c>
      <c r="K1319" s="9">
        <v>596</v>
      </c>
      <c r="L1319" s="9">
        <v>601</v>
      </c>
      <c r="M1319" s="9">
        <v>615</v>
      </c>
      <c r="N1319" s="9">
        <v>613</v>
      </c>
      <c r="O1319" s="9">
        <v>612</v>
      </c>
      <c r="P1319" s="9">
        <v>589</v>
      </c>
      <c r="Q1319" s="9">
        <v>589</v>
      </c>
      <c r="R1319" s="9">
        <v>594</v>
      </c>
      <c r="S1319" s="9">
        <v>602</v>
      </c>
      <c r="T1319" s="9">
        <v>599</v>
      </c>
      <c r="U1319" s="9">
        <v>596</v>
      </c>
      <c r="V1319" s="9">
        <v>593</v>
      </c>
      <c r="W1319" s="9">
        <v>576</v>
      </c>
      <c r="X1319" s="9">
        <v>547</v>
      </c>
      <c r="Y1319" s="9">
        <v>553</v>
      </c>
      <c r="Z1319" s="9">
        <v>555</v>
      </c>
      <c r="AA1319" s="9">
        <v>554</v>
      </c>
      <c r="AB1319" s="9">
        <v>559</v>
      </c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</row>
    <row r="1320" spans="1:47" ht="14.4">
      <c r="A1320" s="3">
        <f>LOOKUP(D1320,'AMFI DATA_2023H2'!F:L,'AMFI DATA_2023H2'!L:L)</f>
        <v>1498</v>
      </c>
      <c r="B1320" s="4" t="s">
        <v>3959</v>
      </c>
      <c r="C1320" s="4" t="s">
        <v>3960</v>
      </c>
      <c r="D1320" s="5" t="s">
        <v>3961</v>
      </c>
      <c r="E1320" s="5">
        <v>307.44</v>
      </c>
      <c r="F1320" s="6">
        <f>LOOKUP(D1320,'AMFI DATA_2023H2'!F:J,'AMFI DATA_2023H2'!J:J)</f>
        <v>511.3381</v>
      </c>
      <c r="G1320" s="7">
        <f t="shared" si="5"/>
        <v>-1</v>
      </c>
      <c r="H1320" s="9"/>
      <c r="I1320" s="9">
        <v>748</v>
      </c>
      <c r="J1320" s="9">
        <v>738</v>
      </c>
      <c r="K1320" s="9">
        <v>724</v>
      </c>
      <c r="L1320" s="9">
        <v>711</v>
      </c>
      <c r="M1320" s="9">
        <v>693</v>
      </c>
      <c r="N1320" s="9">
        <v>674</v>
      </c>
      <c r="O1320" s="9">
        <v>656</v>
      </c>
      <c r="P1320" s="9">
        <v>638</v>
      </c>
      <c r="Q1320" s="9">
        <v>626</v>
      </c>
      <c r="R1320" s="9">
        <v>605</v>
      </c>
      <c r="S1320" s="9">
        <v>589</v>
      </c>
      <c r="T1320" s="9">
        <v>633</v>
      </c>
      <c r="U1320" s="9">
        <v>611</v>
      </c>
      <c r="V1320" s="9">
        <v>618</v>
      </c>
      <c r="W1320" s="9">
        <v>585</v>
      </c>
      <c r="X1320" s="9">
        <v>589</v>
      </c>
      <c r="Y1320" s="9">
        <v>589</v>
      </c>
      <c r="Z1320" s="9">
        <v>568</v>
      </c>
      <c r="AA1320" s="9">
        <v>578</v>
      </c>
      <c r="AB1320" s="9">
        <v>558</v>
      </c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</row>
    <row r="1321" spans="1:47" ht="14.4">
      <c r="A1321" s="3">
        <f>LOOKUP(D1321,'AMFI DATA_2023H2'!F:L,'AMFI DATA_2023H2'!L:L)</f>
        <v>1499</v>
      </c>
      <c r="B1321" s="4" t="s">
        <v>3962</v>
      </c>
      <c r="C1321" s="4" t="s">
        <v>3963</v>
      </c>
      <c r="D1321" s="5" t="s">
        <v>3964</v>
      </c>
      <c r="E1321" s="5">
        <v>399.58</v>
      </c>
      <c r="F1321" s="6">
        <f>LOOKUP(D1321,'AMFI DATA_2023H2'!F:J,'AMFI DATA_2023H2'!J:J)</f>
        <v>510.23384999999996</v>
      </c>
      <c r="G1321" s="7">
        <f t="shared" si="5"/>
        <v>-1</v>
      </c>
      <c r="H1321" s="9"/>
      <c r="I1321" s="9">
        <v>579</v>
      </c>
      <c r="J1321" s="9">
        <v>570</v>
      </c>
      <c r="K1321" s="9">
        <v>570</v>
      </c>
      <c r="L1321" s="9">
        <v>562</v>
      </c>
      <c r="M1321" s="9">
        <v>577</v>
      </c>
      <c r="N1321" s="9">
        <v>570</v>
      </c>
      <c r="O1321" s="9">
        <v>582</v>
      </c>
      <c r="P1321" s="9">
        <v>573</v>
      </c>
      <c r="Q1321" s="9">
        <v>585</v>
      </c>
      <c r="R1321" s="9">
        <v>598</v>
      </c>
      <c r="S1321" s="9">
        <v>549</v>
      </c>
      <c r="T1321" s="9">
        <v>538</v>
      </c>
      <c r="U1321" s="9">
        <v>533</v>
      </c>
      <c r="V1321" s="9">
        <v>541</v>
      </c>
      <c r="W1321" s="9">
        <v>535</v>
      </c>
      <c r="X1321" s="9">
        <v>524</v>
      </c>
      <c r="Y1321" s="9">
        <v>528</v>
      </c>
      <c r="Z1321" s="9">
        <v>544</v>
      </c>
      <c r="AA1321" s="9">
        <v>545</v>
      </c>
      <c r="AB1321" s="9">
        <v>544</v>
      </c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</row>
    <row r="1322" spans="1:47" ht="14.4">
      <c r="A1322" s="3">
        <f>LOOKUP(D1322,'AMFI DATA_2023H2'!F:L,'AMFI DATA_2023H2'!L:L)</f>
        <v>1500</v>
      </c>
      <c r="B1322" s="4" t="s">
        <v>3965</v>
      </c>
      <c r="C1322" s="4" t="s">
        <v>3966</v>
      </c>
      <c r="D1322" s="5" t="s">
        <v>3967</v>
      </c>
      <c r="E1322" s="5">
        <v>483.51</v>
      </c>
      <c r="F1322" s="6">
        <f>LOOKUP(D1322,'AMFI DATA_2023H2'!F:J,'AMFI DATA_2023H2'!J:J)</f>
        <v>509.25075000000004</v>
      </c>
      <c r="G1322" s="7">
        <f t="shared" si="5"/>
        <v>-1</v>
      </c>
      <c r="H1322" s="9"/>
      <c r="I1322" s="9">
        <v>564</v>
      </c>
      <c r="J1322" s="9">
        <v>561</v>
      </c>
      <c r="K1322" s="9">
        <v>550</v>
      </c>
      <c r="L1322" s="9">
        <v>554</v>
      </c>
      <c r="M1322" s="9">
        <v>554</v>
      </c>
      <c r="N1322" s="9">
        <v>559</v>
      </c>
      <c r="O1322" s="9">
        <v>565</v>
      </c>
      <c r="P1322" s="9">
        <v>566</v>
      </c>
      <c r="Q1322" s="9">
        <v>542</v>
      </c>
      <c r="R1322" s="9">
        <v>538</v>
      </c>
      <c r="S1322" s="9">
        <v>553</v>
      </c>
      <c r="T1322" s="9">
        <v>557</v>
      </c>
      <c r="U1322" s="9">
        <v>551</v>
      </c>
      <c r="V1322" s="9">
        <v>559</v>
      </c>
      <c r="W1322" s="9">
        <v>570</v>
      </c>
      <c r="X1322" s="9">
        <v>570</v>
      </c>
      <c r="Y1322" s="9">
        <v>568</v>
      </c>
      <c r="Z1322" s="9">
        <v>574</v>
      </c>
      <c r="AA1322" s="9">
        <v>522</v>
      </c>
      <c r="AB1322" s="9">
        <v>534</v>
      </c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</row>
    <row r="1323" spans="1:47" ht="14.4">
      <c r="A1323" s="3">
        <f>LOOKUP(D1323,'AMFI DATA_2023H2'!F:L,'AMFI DATA_2023H2'!L:L)</f>
        <v>1502</v>
      </c>
      <c r="B1323" s="4" t="s">
        <v>3968</v>
      </c>
      <c r="C1323" s="4" t="s">
        <v>3969</v>
      </c>
      <c r="D1323" s="5" t="s">
        <v>3970</v>
      </c>
      <c r="E1323" s="5">
        <v>398.89</v>
      </c>
      <c r="F1323" s="6">
        <f>LOOKUP(D1323,'AMFI DATA_2023H2'!F:J,'AMFI DATA_2023H2'!J:J)</f>
        <v>506.21055000000001</v>
      </c>
      <c r="G1323" s="7">
        <f t="shared" si="5"/>
        <v>-1</v>
      </c>
      <c r="H1323" s="9"/>
      <c r="I1323" s="9">
        <v>506</v>
      </c>
      <c r="J1323" s="9">
        <v>506</v>
      </c>
      <c r="K1323" s="9">
        <v>517</v>
      </c>
      <c r="L1323" s="9">
        <v>528</v>
      </c>
      <c r="M1323" s="9">
        <v>505</v>
      </c>
      <c r="N1323" s="9">
        <v>516</v>
      </c>
      <c r="O1323" s="9">
        <v>530</v>
      </c>
      <c r="P1323" s="9">
        <v>532</v>
      </c>
      <c r="Q1323" s="9">
        <v>531</v>
      </c>
      <c r="R1323" s="9">
        <v>527</v>
      </c>
      <c r="S1323" s="9">
        <v>530</v>
      </c>
      <c r="T1323" s="9">
        <v>522</v>
      </c>
      <c r="U1323" s="9">
        <v>525</v>
      </c>
      <c r="V1323" s="9">
        <v>525</v>
      </c>
      <c r="W1323" s="9">
        <v>535</v>
      </c>
      <c r="X1323" s="9">
        <v>543</v>
      </c>
      <c r="Y1323" s="9">
        <v>537</v>
      </c>
      <c r="Z1323" s="9">
        <v>555</v>
      </c>
      <c r="AA1323" s="9">
        <v>558</v>
      </c>
      <c r="AB1323" s="9">
        <v>538</v>
      </c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</row>
    <row r="1324" spans="1:47" ht="14.4">
      <c r="A1324" s="3">
        <f>LOOKUP(D1324,'AMFI DATA_2023H2'!F:L,'AMFI DATA_2023H2'!L:L)</f>
        <v>1504</v>
      </c>
      <c r="B1324" s="4" t="s">
        <v>3971</v>
      </c>
      <c r="C1324" s="4" t="s">
        <v>3972</v>
      </c>
      <c r="D1324" s="5" t="s">
        <v>3973</v>
      </c>
      <c r="E1324" s="5">
        <v>2554.08</v>
      </c>
      <c r="F1324" s="6">
        <f>LOOKUP(D1324,'AMFI DATA_2023H2'!F:J,'AMFI DATA_2023H2'!J:J)</f>
        <v>503.14024999999998</v>
      </c>
      <c r="G1324" s="7">
        <f t="shared" si="5"/>
        <v>-1</v>
      </c>
      <c r="H1324" s="9"/>
      <c r="I1324" s="9">
        <v>640</v>
      </c>
      <c r="J1324" s="9">
        <v>644</v>
      </c>
      <c r="K1324" s="9">
        <v>658</v>
      </c>
      <c r="L1324" s="9">
        <v>668</v>
      </c>
      <c r="M1324" s="9">
        <v>676</v>
      </c>
      <c r="N1324" s="9">
        <v>681</v>
      </c>
      <c r="O1324" s="9">
        <v>680</v>
      </c>
      <c r="P1324" s="9">
        <v>682</v>
      </c>
      <c r="Q1324" s="9">
        <v>684</v>
      </c>
      <c r="R1324" s="9">
        <v>653</v>
      </c>
      <c r="S1324" s="9">
        <v>640</v>
      </c>
      <c r="T1324" s="9">
        <v>644</v>
      </c>
      <c r="U1324" s="9">
        <v>647</v>
      </c>
      <c r="V1324" s="9">
        <v>652</v>
      </c>
      <c r="W1324" s="9">
        <v>616</v>
      </c>
      <c r="X1324" s="9">
        <v>607</v>
      </c>
      <c r="Y1324" s="9">
        <v>620</v>
      </c>
      <c r="Z1324" s="9">
        <v>631</v>
      </c>
      <c r="AA1324" s="9">
        <v>634</v>
      </c>
      <c r="AB1324" s="9">
        <v>638</v>
      </c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</row>
    <row r="1325" spans="1:47" ht="14.4">
      <c r="A1325" s="3">
        <f>LOOKUP(D1325,'AMFI DATA_2023H2'!F:L,'AMFI DATA_2023H2'!L:L)</f>
        <v>1507</v>
      </c>
      <c r="B1325" s="4" t="s">
        <v>3974</v>
      </c>
      <c r="C1325" s="4" t="s">
        <v>3975</v>
      </c>
      <c r="D1325" s="5" t="s">
        <v>3976</v>
      </c>
      <c r="E1325" s="5">
        <v>452.75</v>
      </c>
      <c r="F1325" s="6">
        <f>LOOKUP(D1325,'AMFI DATA_2023H2'!F:J,'AMFI DATA_2023H2'!J:J)</f>
        <v>500.95769999999999</v>
      </c>
      <c r="G1325" s="7">
        <f t="shared" si="5"/>
        <v>-1</v>
      </c>
      <c r="H1325" s="9"/>
      <c r="I1325" s="9">
        <v>723</v>
      </c>
      <c r="J1325" s="9">
        <v>724</v>
      </c>
      <c r="K1325" s="9">
        <v>704</v>
      </c>
      <c r="L1325" s="9">
        <v>702</v>
      </c>
      <c r="M1325" s="9">
        <v>734</v>
      </c>
      <c r="N1325" s="9">
        <v>712</v>
      </c>
      <c r="O1325" s="9">
        <v>706</v>
      </c>
      <c r="P1325" s="9">
        <v>708</v>
      </c>
      <c r="Q1325" s="9">
        <v>646</v>
      </c>
      <c r="R1325" s="9">
        <v>672</v>
      </c>
      <c r="S1325" s="9">
        <v>614</v>
      </c>
      <c r="T1325" s="9">
        <v>614</v>
      </c>
      <c r="U1325" s="9">
        <v>599</v>
      </c>
      <c r="V1325" s="9">
        <v>589</v>
      </c>
      <c r="W1325" s="9">
        <v>595</v>
      </c>
      <c r="X1325" s="9">
        <v>590</v>
      </c>
      <c r="Y1325" s="9">
        <v>581</v>
      </c>
      <c r="Z1325" s="9">
        <v>583</v>
      </c>
      <c r="AA1325" s="9">
        <v>576</v>
      </c>
      <c r="AB1325" s="9">
        <v>589</v>
      </c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</row>
    <row r="1326" spans="1:47" ht="14.4">
      <c r="A1326" s="3">
        <f>LOOKUP(D1326,'AMFI DATA_2023H2'!F:L,'AMFI DATA_2023H2'!L:L)</f>
        <v>1508</v>
      </c>
      <c r="B1326" s="4" t="s">
        <v>3977</v>
      </c>
      <c r="C1326" s="4" t="s">
        <v>3978</v>
      </c>
      <c r="D1326" s="5" t="s">
        <v>3979</v>
      </c>
      <c r="E1326" s="5">
        <v>463.23</v>
      </c>
      <c r="F1326" s="6">
        <f>LOOKUP(D1326,'AMFI DATA_2023H2'!F:J,'AMFI DATA_2023H2'!J:J)</f>
        <v>499.33545000000004</v>
      </c>
      <c r="G1326" s="7">
        <f t="shared" si="5"/>
        <v>-1</v>
      </c>
      <c r="H1326" s="9"/>
      <c r="I1326" s="9">
        <v>574</v>
      </c>
      <c r="J1326" s="9">
        <v>540</v>
      </c>
      <c r="K1326" s="9">
        <v>532</v>
      </c>
      <c r="L1326" s="9">
        <v>529</v>
      </c>
      <c r="M1326" s="9">
        <v>588</v>
      </c>
      <c r="N1326" s="9">
        <v>583</v>
      </c>
      <c r="O1326" s="9">
        <v>581</v>
      </c>
      <c r="P1326" s="9">
        <v>583</v>
      </c>
      <c r="Q1326" s="9">
        <v>576</v>
      </c>
      <c r="R1326" s="9">
        <v>590</v>
      </c>
      <c r="S1326" s="9">
        <v>588</v>
      </c>
      <c r="T1326" s="9">
        <v>594</v>
      </c>
      <c r="U1326" s="9">
        <v>591</v>
      </c>
      <c r="V1326" s="9">
        <v>606</v>
      </c>
      <c r="W1326" s="9">
        <v>608</v>
      </c>
      <c r="X1326" s="9">
        <v>607</v>
      </c>
      <c r="Y1326" s="9">
        <v>603</v>
      </c>
      <c r="Z1326" s="9">
        <v>572</v>
      </c>
      <c r="AA1326" s="9">
        <v>514</v>
      </c>
      <c r="AB1326" s="9">
        <v>501</v>
      </c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</row>
    <row r="1327" spans="1:47" ht="14.4">
      <c r="A1327" s="3">
        <f>LOOKUP(D1327,'AMFI DATA_2023H2'!F:L,'AMFI DATA_2023H2'!L:L)</f>
        <v>1509</v>
      </c>
      <c r="B1327" s="4" t="s">
        <v>3980</v>
      </c>
      <c r="C1327" s="4" t="s">
        <v>3981</v>
      </c>
      <c r="D1327" s="5" t="s">
        <v>3982</v>
      </c>
      <c r="E1327" s="5">
        <v>352.14</v>
      </c>
      <c r="F1327" s="6">
        <f>LOOKUP(D1327,'AMFI DATA_2023H2'!F:J,'AMFI DATA_2023H2'!J:J)</f>
        <v>497.41055</v>
      </c>
      <c r="G1327" s="7">
        <f t="shared" si="5"/>
        <v>-1</v>
      </c>
      <c r="H1327" s="9"/>
      <c r="I1327" s="9">
        <v>617</v>
      </c>
      <c r="J1327" s="9">
        <v>588</v>
      </c>
      <c r="K1327" s="9">
        <v>589</v>
      </c>
      <c r="L1327" s="9">
        <v>605</v>
      </c>
      <c r="M1327" s="9">
        <v>603</v>
      </c>
      <c r="N1327" s="9">
        <v>599</v>
      </c>
      <c r="O1327" s="9">
        <v>607</v>
      </c>
      <c r="P1327" s="9">
        <v>586</v>
      </c>
      <c r="Q1327" s="9">
        <v>562</v>
      </c>
      <c r="R1327" s="9">
        <v>567</v>
      </c>
      <c r="S1327" s="9">
        <v>587</v>
      </c>
      <c r="T1327" s="9">
        <v>566</v>
      </c>
      <c r="U1327" s="9">
        <v>572</v>
      </c>
      <c r="V1327" s="9">
        <v>570</v>
      </c>
      <c r="W1327" s="9">
        <v>560</v>
      </c>
      <c r="X1327" s="9">
        <v>565</v>
      </c>
      <c r="Y1327" s="9">
        <v>567</v>
      </c>
      <c r="Z1327" s="9">
        <v>566</v>
      </c>
      <c r="AA1327" s="9">
        <v>577</v>
      </c>
      <c r="AB1327" s="9">
        <v>586</v>
      </c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</row>
    <row r="1328" spans="1:47" ht="14.4">
      <c r="A1328" s="3">
        <f>LOOKUP(D1328,'AMFI DATA_2023H2'!F:L,'AMFI DATA_2023H2'!L:L)</f>
        <v>1510</v>
      </c>
      <c r="B1328" s="4" t="s">
        <v>3983</v>
      </c>
      <c r="C1328" s="4" t="s">
        <v>3984</v>
      </c>
      <c r="D1328" s="5" t="s">
        <v>3985</v>
      </c>
      <c r="E1328" s="5">
        <v>551.82000000000005</v>
      </c>
      <c r="F1328" s="6">
        <f>LOOKUP(D1328,'AMFI DATA_2023H2'!F:J,'AMFI DATA_2023H2'!J:J)</f>
        <v>497.06509999999997</v>
      </c>
      <c r="G1328" s="7">
        <f t="shared" si="5"/>
        <v>-1</v>
      </c>
      <c r="H1328" s="9"/>
      <c r="I1328" s="9">
        <v>380</v>
      </c>
      <c r="J1328" s="9">
        <v>373</v>
      </c>
      <c r="K1328" s="9">
        <v>383</v>
      </c>
      <c r="L1328" s="9">
        <v>392</v>
      </c>
      <c r="M1328" s="9">
        <v>394</v>
      </c>
      <c r="N1328" s="9">
        <v>398</v>
      </c>
      <c r="O1328" s="9">
        <v>391</v>
      </c>
      <c r="P1328" s="9">
        <v>400</v>
      </c>
      <c r="Q1328" s="9">
        <v>426</v>
      </c>
      <c r="R1328" s="9">
        <v>434</v>
      </c>
      <c r="S1328" s="9">
        <v>443</v>
      </c>
      <c r="T1328" s="9">
        <v>418</v>
      </c>
      <c r="U1328" s="9">
        <v>430</v>
      </c>
      <c r="V1328" s="9">
        <v>432</v>
      </c>
      <c r="W1328" s="9">
        <v>433</v>
      </c>
      <c r="X1328" s="9">
        <v>433</v>
      </c>
      <c r="Y1328" s="9">
        <v>449</v>
      </c>
      <c r="Z1328" s="9">
        <v>454</v>
      </c>
      <c r="AA1328" s="9">
        <v>456</v>
      </c>
      <c r="AB1328" s="9">
        <v>461</v>
      </c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</row>
    <row r="1329" spans="1:47" ht="14.4">
      <c r="A1329" s="3">
        <f>LOOKUP(D1329,'AMFI DATA_2023H2'!F:L,'AMFI DATA_2023H2'!L:L)</f>
        <v>1512</v>
      </c>
      <c r="B1329" s="4" t="s">
        <v>3986</v>
      </c>
      <c r="C1329" s="4" t="s">
        <v>3987</v>
      </c>
      <c r="D1329" s="5" t="s">
        <v>3988</v>
      </c>
      <c r="E1329" s="5">
        <v>466.79</v>
      </c>
      <c r="F1329" s="6">
        <f>LOOKUP(D1329,'AMFI DATA_2023H2'!F:J,'AMFI DATA_2023H2'!J:J)</f>
        <v>494.59024999999997</v>
      </c>
      <c r="G1329" s="7">
        <f t="shared" si="5"/>
        <v>-1</v>
      </c>
      <c r="H1329" s="9"/>
      <c r="I1329" s="9">
        <v>525</v>
      </c>
      <c r="J1329" s="9">
        <v>504</v>
      </c>
      <c r="K1329" s="9">
        <v>518</v>
      </c>
      <c r="L1329" s="9">
        <v>517</v>
      </c>
      <c r="M1329" s="9">
        <v>522</v>
      </c>
      <c r="N1329" s="9">
        <v>523</v>
      </c>
      <c r="O1329" s="9">
        <v>526</v>
      </c>
      <c r="P1329" s="9">
        <v>527</v>
      </c>
      <c r="Q1329" s="9">
        <v>522</v>
      </c>
      <c r="R1329" s="9">
        <v>523</v>
      </c>
      <c r="S1329" s="9">
        <v>521</v>
      </c>
      <c r="T1329" s="9">
        <v>523</v>
      </c>
      <c r="U1329" s="9">
        <v>526</v>
      </c>
      <c r="V1329" s="9">
        <v>544</v>
      </c>
      <c r="W1329" s="9">
        <v>534</v>
      </c>
      <c r="X1329" s="9">
        <v>513</v>
      </c>
      <c r="Y1329" s="9">
        <v>499</v>
      </c>
      <c r="Z1329" s="9">
        <v>505</v>
      </c>
      <c r="AA1329" s="9">
        <v>499</v>
      </c>
      <c r="AB1329" s="9">
        <v>496</v>
      </c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</row>
    <row r="1330" spans="1:47" ht="14.4">
      <c r="A1330" s="3">
        <f>LOOKUP(D1330,'AMFI DATA_2023H2'!F:L,'AMFI DATA_2023H2'!L:L)</f>
        <v>1514</v>
      </c>
      <c r="B1330" s="4" t="s">
        <v>3989</v>
      </c>
      <c r="C1330" s="4" t="s">
        <v>3990</v>
      </c>
      <c r="D1330" s="5" t="s">
        <v>3991</v>
      </c>
      <c r="E1330" s="5">
        <v>452.44</v>
      </c>
      <c r="F1330" s="6">
        <f>LOOKUP(D1330,'AMFI DATA_2023H2'!F:J,'AMFI DATA_2023H2'!J:J)</f>
        <v>490.21204999999998</v>
      </c>
      <c r="G1330" s="7">
        <f t="shared" si="5"/>
        <v>-1</v>
      </c>
      <c r="H1330" s="9"/>
      <c r="I1330" s="9">
        <v>641</v>
      </c>
      <c r="J1330" s="9">
        <v>644</v>
      </c>
      <c r="K1330" s="9">
        <v>660</v>
      </c>
      <c r="L1330" s="9">
        <v>551</v>
      </c>
      <c r="M1330" s="9">
        <v>552</v>
      </c>
      <c r="N1330" s="9">
        <v>548</v>
      </c>
      <c r="O1330" s="9">
        <v>534</v>
      </c>
      <c r="P1330" s="9">
        <v>535</v>
      </c>
      <c r="Q1330" s="9">
        <v>530</v>
      </c>
      <c r="R1330" s="9">
        <v>519</v>
      </c>
      <c r="S1330" s="9">
        <v>522</v>
      </c>
      <c r="T1330" s="9">
        <v>522</v>
      </c>
      <c r="U1330" s="9">
        <v>526</v>
      </c>
      <c r="V1330" s="9">
        <v>519</v>
      </c>
      <c r="W1330" s="9">
        <v>524</v>
      </c>
      <c r="X1330" s="9">
        <v>524</v>
      </c>
      <c r="Y1330" s="9">
        <v>530</v>
      </c>
      <c r="Z1330" s="9">
        <v>522</v>
      </c>
      <c r="AA1330" s="9">
        <v>515</v>
      </c>
      <c r="AB1330" s="9">
        <v>510</v>
      </c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</row>
    <row r="1331" spans="1:47" ht="14.4">
      <c r="A1331" s="3">
        <f>LOOKUP(D1331,'AMFI DATA_2023H2'!F:L,'AMFI DATA_2023H2'!L:L)</f>
        <v>1515</v>
      </c>
      <c r="B1331" s="4" t="s">
        <v>3992</v>
      </c>
      <c r="C1331" s="4" t="s">
        <v>3993</v>
      </c>
      <c r="D1331" s="5" t="s">
        <v>3994</v>
      </c>
      <c r="E1331" s="5">
        <v>182.84</v>
      </c>
      <c r="F1331" s="6">
        <f>LOOKUP(D1331,'AMFI DATA_2023H2'!F:J,'AMFI DATA_2023H2'!J:J)</f>
        <v>489.72275000000002</v>
      </c>
      <c r="G1331" s="7">
        <f t="shared" si="5"/>
        <v>-1</v>
      </c>
      <c r="H1331" s="9"/>
      <c r="I1331" s="9">
        <v>581</v>
      </c>
      <c r="J1331" s="9">
        <v>547</v>
      </c>
      <c r="K1331" s="9">
        <v>569</v>
      </c>
      <c r="L1331" s="9">
        <v>564</v>
      </c>
      <c r="M1331" s="9">
        <v>590</v>
      </c>
      <c r="N1331" s="9">
        <v>589</v>
      </c>
      <c r="O1331" s="9">
        <v>606</v>
      </c>
      <c r="P1331" s="9">
        <v>609</v>
      </c>
      <c r="Q1331" s="9">
        <v>621</v>
      </c>
      <c r="R1331" s="9">
        <v>599</v>
      </c>
      <c r="S1331" s="9">
        <v>576</v>
      </c>
      <c r="T1331" s="9">
        <v>544</v>
      </c>
      <c r="U1331" s="9">
        <v>561</v>
      </c>
      <c r="V1331" s="9">
        <v>573</v>
      </c>
      <c r="W1331" s="9">
        <v>554</v>
      </c>
      <c r="X1331" s="9">
        <v>531</v>
      </c>
      <c r="Y1331" s="9">
        <v>524</v>
      </c>
      <c r="Z1331" s="9">
        <v>536</v>
      </c>
      <c r="AA1331" s="9">
        <v>538</v>
      </c>
      <c r="AB1331" s="9">
        <v>517</v>
      </c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</row>
    <row r="1332" spans="1:47" ht="14.4">
      <c r="A1332" s="3">
        <f>LOOKUP(D1332,'AMFI DATA_2023H2'!F:L,'AMFI DATA_2023H2'!L:L)</f>
        <v>1517</v>
      </c>
      <c r="B1332" s="4" t="s">
        <v>3995</v>
      </c>
      <c r="C1332" s="4" t="s">
        <v>3996</v>
      </c>
      <c r="D1332" s="5" t="s">
        <v>3997</v>
      </c>
      <c r="E1332" s="5">
        <v>387.92</v>
      </c>
      <c r="F1332" s="6">
        <f>LOOKUP(D1332,'AMFI DATA_2023H2'!F:J,'AMFI DATA_2023H2'!J:J)</f>
        <v>487.46994999999998</v>
      </c>
      <c r="G1332" s="7">
        <f t="shared" si="5"/>
        <v>-1</v>
      </c>
      <c r="H1332" s="9"/>
      <c r="I1332" s="9">
        <v>544</v>
      </c>
      <c r="J1332" s="9">
        <v>507</v>
      </c>
      <c r="K1332" s="9">
        <v>515</v>
      </c>
      <c r="L1332" s="9">
        <v>521</v>
      </c>
      <c r="M1332" s="9">
        <v>514</v>
      </c>
      <c r="N1332" s="9">
        <v>527</v>
      </c>
      <c r="O1332" s="9">
        <v>526</v>
      </c>
      <c r="P1332" s="9">
        <v>523</v>
      </c>
      <c r="Q1332" s="9">
        <v>530</v>
      </c>
      <c r="R1332" s="9">
        <v>505</v>
      </c>
      <c r="S1332" s="9">
        <v>505</v>
      </c>
      <c r="T1332" s="9">
        <v>500</v>
      </c>
      <c r="U1332" s="9">
        <v>502</v>
      </c>
      <c r="V1332" s="9">
        <v>501</v>
      </c>
      <c r="W1332" s="9">
        <v>499</v>
      </c>
      <c r="X1332" s="9">
        <v>496</v>
      </c>
      <c r="Y1332" s="9">
        <v>492</v>
      </c>
      <c r="Z1332" s="9">
        <v>502</v>
      </c>
      <c r="AA1332" s="9">
        <v>490</v>
      </c>
      <c r="AB1332" s="9">
        <v>491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</row>
    <row r="1333" spans="1:47" ht="14.4">
      <c r="A1333" s="3">
        <f>LOOKUP(D1333,'AMFI DATA_2023H2'!F:L,'AMFI DATA_2023H2'!L:L)</f>
        <v>1518</v>
      </c>
      <c r="B1333" s="4" t="s">
        <v>3998</v>
      </c>
      <c r="C1333" s="4" t="s">
        <v>3999</v>
      </c>
      <c r="D1333" s="5" t="s">
        <v>4000</v>
      </c>
      <c r="E1333" s="5">
        <v>437.74</v>
      </c>
      <c r="F1333" s="6">
        <f>LOOKUP(D1333,'AMFI DATA_2023H2'!F:J,'AMFI DATA_2023H2'!J:J)</f>
        <v>487.45384999999999</v>
      </c>
      <c r="G1333" s="7">
        <f t="shared" si="5"/>
        <v>-1</v>
      </c>
      <c r="H1333" s="9"/>
      <c r="I1333" s="9">
        <v>474</v>
      </c>
      <c r="J1333" s="9">
        <v>483</v>
      </c>
      <c r="K1333" s="9">
        <v>478</v>
      </c>
      <c r="L1333" s="9">
        <v>503</v>
      </c>
      <c r="M1333" s="9">
        <v>529</v>
      </c>
      <c r="N1333" s="9">
        <v>506</v>
      </c>
      <c r="O1333" s="9">
        <v>480</v>
      </c>
      <c r="P1333" s="9">
        <v>459</v>
      </c>
      <c r="Q1333" s="9">
        <v>467</v>
      </c>
      <c r="R1333" s="9">
        <v>471</v>
      </c>
      <c r="S1333" s="9">
        <v>463</v>
      </c>
      <c r="T1333" s="9">
        <v>440</v>
      </c>
      <c r="U1333" s="9">
        <v>438</v>
      </c>
      <c r="V1333" s="9">
        <v>445</v>
      </c>
      <c r="W1333" s="9">
        <v>437</v>
      </c>
      <c r="X1333" s="9">
        <v>440</v>
      </c>
      <c r="Y1333" s="9">
        <v>434</v>
      </c>
      <c r="Z1333" s="9">
        <v>437</v>
      </c>
      <c r="AA1333" s="9">
        <v>442</v>
      </c>
      <c r="AB1333" s="9">
        <v>438</v>
      </c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</row>
    <row r="1334" spans="1:47" ht="14.4">
      <c r="A1334" s="3">
        <f>LOOKUP(D1334,'AMFI DATA_2023H2'!F:L,'AMFI DATA_2023H2'!L:L)</f>
        <v>1519</v>
      </c>
      <c r="B1334" s="4" t="s">
        <v>4001</v>
      </c>
      <c r="C1334" s="4" t="s">
        <v>4002</v>
      </c>
      <c r="D1334" s="5" t="s">
        <v>4003</v>
      </c>
      <c r="E1334" s="5">
        <v>399.07</v>
      </c>
      <c r="F1334" s="6">
        <f>LOOKUP(D1334,'AMFI DATA_2023H2'!F:J,'AMFI DATA_2023H2'!J:J)</f>
        <v>487.0684</v>
      </c>
      <c r="G1334" s="7">
        <f t="shared" si="5"/>
        <v>-1</v>
      </c>
      <c r="H1334" s="9"/>
      <c r="I1334" s="9">
        <v>494</v>
      </c>
      <c r="J1334" s="9">
        <v>485</v>
      </c>
      <c r="K1334" s="9">
        <v>485</v>
      </c>
      <c r="L1334" s="9">
        <v>486</v>
      </c>
      <c r="M1334" s="9">
        <v>491</v>
      </c>
      <c r="N1334" s="9">
        <v>524</v>
      </c>
      <c r="O1334" s="9">
        <v>530</v>
      </c>
      <c r="P1334" s="9">
        <v>538</v>
      </c>
      <c r="Q1334" s="9">
        <v>512</v>
      </c>
      <c r="R1334" s="9">
        <v>482</v>
      </c>
      <c r="S1334" s="9">
        <v>494</v>
      </c>
      <c r="T1334" s="9">
        <v>499</v>
      </c>
      <c r="U1334" s="9">
        <v>500</v>
      </c>
      <c r="V1334" s="9">
        <v>480</v>
      </c>
      <c r="W1334" s="9">
        <v>484</v>
      </c>
      <c r="X1334" s="9">
        <v>477</v>
      </c>
      <c r="Y1334" s="9">
        <v>484</v>
      </c>
      <c r="Z1334" s="9">
        <v>476</v>
      </c>
      <c r="AA1334" s="9">
        <v>488</v>
      </c>
      <c r="AB1334" s="9">
        <v>485</v>
      </c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</row>
    <row r="1335" spans="1:47" ht="14.4">
      <c r="A1335" s="3" t="e">
        <f>LOOKUP(D1335,'AMFI DATA_2023H2'!F:L,'AMFI DATA_2023H2'!L:L)</f>
        <v>#N/A</v>
      </c>
      <c r="B1335" s="4" t="s">
        <v>4004</v>
      </c>
      <c r="C1335" s="4" t="s">
        <v>4005</v>
      </c>
      <c r="D1335" s="5" t="s">
        <v>4006</v>
      </c>
      <c r="E1335" s="5">
        <v>291.66000000000003</v>
      </c>
      <c r="F1335" s="6" t="e">
        <f>LOOKUP(D1335,'AMFI DATA_2023H2'!F:J,'AMFI DATA_2023H2'!J:J)</f>
        <v>#N/A</v>
      </c>
      <c r="G1335" s="7" t="e">
        <f t="shared" si="5"/>
        <v>#N/A</v>
      </c>
      <c r="H1335" s="9"/>
      <c r="I1335" s="9">
        <v>606</v>
      </c>
      <c r="J1335" s="9">
        <v>598</v>
      </c>
      <c r="K1335" s="9">
        <v>599</v>
      </c>
      <c r="L1335" s="9">
        <v>585</v>
      </c>
      <c r="M1335" s="9">
        <v>627</v>
      </c>
      <c r="N1335" s="9">
        <v>629</v>
      </c>
      <c r="O1335" s="9">
        <v>627</v>
      </c>
      <c r="P1335" s="9">
        <v>618</v>
      </c>
      <c r="Q1335" s="9">
        <v>618</v>
      </c>
      <c r="R1335" s="9">
        <v>619</v>
      </c>
      <c r="S1335" s="9">
        <v>617</v>
      </c>
      <c r="T1335" s="9">
        <v>620</v>
      </c>
      <c r="U1335" s="9">
        <v>632</v>
      </c>
      <c r="V1335" s="9">
        <v>603</v>
      </c>
      <c r="W1335" s="9">
        <v>623</v>
      </c>
      <c r="X1335" s="9">
        <v>623</v>
      </c>
      <c r="Y1335" s="9">
        <v>633</v>
      </c>
      <c r="Z1335" s="9">
        <v>657</v>
      </c>
      <c r="AA1335" s="9">
        <v>667</v>
      </c>
      <c r="AB1335" s="9">
        <v>668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</row>
    <row r="1336" spans="1:47" ht="14.4">
      <c r="A1336" s="3">
        <f>LOOKUP(D1336,'AMFI DATA_2023H2'!F:L,'AMFI DATA_2023H2'!L:L)</f>
        <v>1524</v>
      </c>
      <c r="B1336" s="4" t="s">
        <v>4007</v>
      </c>
      <c r="C1336" s="4" t="s">
        <v>4008</v>
      </c>
      <c r="D1336" s="5" t="s">
        <v>4009</v>
      </c>
      <c r="E1336" s="5">
        <v>396.47</v>
      </c>
      <c r="F1336" s="6">
        <f>LOOKUP(D1336,'AMFI DATA_2023H2'!F:J,'AMFI DATA_2023H2'!J:J)</f>
        <v>478.21775000000002</v>
      </c>
      <c r="G1336" s="7">
        <f t="shared" si="5"/>
        <v>-1</v>
      </c>
      <c r="H1336" s="9"/>
      <c r="I1336" s="9">
        <v>862</v>
      </c>
      <c r="J1336" s="9">
        <v>880</v>
      </c>
      <c r="K1336" s="9">
        <v>870</v>
      </c>
      <c r="L1336" s="9">
        <v>872</v>
      </c>
      <c r="M1336" s="9">
        <v>921</v>
      </c>
      <c r="N1336" s="9">
        <v>829</v>
      </c>
      <c r="O1336" s="9">
        <v>762</v>
      </c>
      <c r="P1336" s="9">
        <v>761</v>
      </c>
      <c r="Q1336" s="9">
        <v>774</v>
      </c>
      <c r="R1336" s="9">
        <v>780</v>
      </c>
      <c r="S1336" s="9">
        <v>776</v>
      </c>
      <c r="T1336" s="9">
        <v>786</v>
      </c>
      <c r="U1336" s="9">
        <v>732</v>
      </c>
      <c r="V1336" s="9">
        <v>721</v>
      </c>
      <c r="W1336" s="9">
        <v>730</v>
      </c>
      <c r="X1336" s="9">
        <v>704</v>
      </c>
      <c r="Y1336" s="9">
        <v>735</v>
      </c>
      <c r="Z1336" s="9">
        <v>706</v>
      </c>
      <c r="AA1336" s="9">
        <v>703</v>
      </c>
      <c r="AB1336" s="9">
        <v>727</v>
      </c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</row>
    <row r="1337" spans="1:47" ht="14.4">
      <c r="A1337" s="3">
        <f>LOOKUP(D1337,'AMFI DATA_2023H2'!F:L,'AMFI DATA_2023H2'!L:L)</f>
        <v>1525</v>
      </c>
      <c r="B1337" s="4" t="s">
        <v>4010</v>
      </c>
      <c r="C1337" s="4" t="s">
        <v>4011</v>
      </c>
      <c r="D1337" s="5" t="s">
        <v>4012</v>
      </c>
      <c r="E1337" s="5">
        <v>461.71</v>
      </c>
      <c r="F1337" s="6">
        <f>LOOKUP(D1337,'AMFI DATA_2023H2'!F:J,'AMFI DATA_2023H2'!J:J)</f>
        <v>478.06214999999997</v>
      </c>
      <c r="G1337" s="7">
        <f t="shared" si="5"/>
        <v>-1</v>
      </c>
      <c r="H1337" s="9"/>
      <c r="I1337" s="9">
        <v>454</v>
      </c>
      <c r="J1337" s="9">
        <v>455</v>
      </c>
      <c r="K1337" s="9">
        <v>457</v>
      </c>
      <c r="L1337" s="9">
        <v>467</v>
      </c>
      <c r="M1337" s="9">
        <v>475</v>
      </c>
      <c r="N1337" s="9">
        <v>477</v>
      </c>
      <c r="O1337" s="9">
        <v>477</v>
      </c>
      <c r="P1337" s="9">
        <v>473</v>
      </c>
      <c r="Q1337" s="9">
        <v>475</v>
      </c>
      <c r="R1337" s="9">
        <v>477</v>
      </c>
      <c r="S1337" s="9">
        <v>472</v>
      </c>
      <c r="T1337" s="9">
        <v>476</v>
      </c>
      <c r="U1337" s="9">
        <v>482</v>
      </c>
      <c r="V1337" s="9">
        <v>471</v>
      </c>
      <c r="W1337" s="9">
        <v>488</v>
      </c>
      <c r="X1337" s="9">
        <v>455</v>
      </c>
      <c r="Y1337" s="9">
        <v>457</v>
      </c>
      <c r="Z1337" s="9">
        <v>448</v>
      </c>
      <c r="AA1337" s="9">
        <v>446</v>
      </c>
      <c r="AB1337" s="9">
        <v>450</v>
      </c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</row>
    <row r="1338" spans="1:47" ht="14.4">
      <c r="A1338" s="3">
        <f>LOOKUP(D1338,'AMFI DATA_2023H2'!F:L,'AMFI DATA_2023H2'!L:L)</f>
        <v>1526</v>
      </c>
      <c r="B1338" s="4" t="s">
        <v>4013</v>
      </c>
      <c r="C1338" s="4" t="s">
        <v>4014</v>
      </c>
      <c r="D1338" s="5" t="s">
        <v>4015</v>
      </c>
      <c r="E1338" s="5">
        <v>378.02</v>
      </c>
      <c r="F1338" s="6">
        <f>LOOKUP(D1338,'AMFI DATA_2023H2'!F:J,'AMFI DATA_2023H2'!J:J)</f>
        <v>477.35694999999998</v>
      </c>
      <c r="G1338" s="7">
        <f t="shared" si="5"/>
        <v>-1</v>
      </c>
      <c r="H1338" s="9"/>
      <c r="I1338" s="9">
        <v>618</v>
      </c>
      <c r="J1338" s="9">
        <v>605</v>
      </c>
      <c r="K1338" s="9">
        <v>620</v>
      </c>
      <c r="L1338" s="9">
        <v>620</v>
      </c>
      <c r="M1338" s="9">
        <v>663</v>
      </c>
      <c r="N1338" s="9">
        <v>652</v>
      </c>
      <c r="O1338" s="9">
        <v>652</v>
      </c>
      <c r="P1338" s="9">
        <v>631</v>
      </c>
      <c r="Q1338" s="9">
        <v>640</v>
      </c>
      <c r="R1338" s="9">
        <v>682</v>
      </c>
      <c r="S1338" s="9">
        <v>700</v>
      </c>
      <c r="T1338" s="9">
        <v>712</v>
      </c>
      <c r="U1338" s="9">
        <v>635</v>
      </c>
      <c r="V1338" s="9">
        <v>615</v>
      </c>
      <c r="W1338" s="9">
        <v>605</v>
      </c>
      <c r="X1338" s="9">
        <v>630</v>
      </c>
      <c r="Y1338" s="9">
        <v>640</v>
      </c>
      <c r="Z1338" s="9">
        <v>633</v>
      </c>
      <c r="AA1338" s="9">
        <v>633</v>
      </c>
      <c r="AB1338" s="9">
        <v>592</v>
      </c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</row>
    <row r="1339" spans="1:47" ht="14.4">
      <c r="A1339" s="3">
        <f>LOOKUP(D1339,'AMFI DATA_2023H2'!F:L,'AMFI DATA_2023H2'!L:L)</f>
        <v>1527</v>
      </c>
      <c r="B1339" s="4" t="s">
        <v>4016</v>
      </c>
      <c r="C1339" s="4" t="s">
        <v>4017</v>
      </c>
      <c r="D1339" s="5" t="s">
        <v>4018</v>
      </c>
      <c r="E1339" s="5">
        <v>303.69</v>
      </c>
      <c r="F1339" s="6">
        <f>LOOKUP(D1339,'AMFI DATA_2023H2'!F:J,'AMFI DATA_2023H2'!J:J)</f>
        <v>474.07950000000005</v>
      </c>
      <c r="G1339" s="7">
        <f t="shared" si="5"/>
        <v>-1</v>
      </c>
      <c r="H1339" s="9"/>
      <c r="I1339" s="9">
        <v>739</v>
      </c>
      <c r="J1339" s="9">
        <v>750</v>
      </c>
      <c r="K1339" s="9">
        <v>765</v>
      </c>
      <c r="L1339" s="9">
        <v>740</v>
      </c>
      <c r="M1339" s="9">
        <v>777</v>
      </c>
      <c r="N1339" s="9">
        <v>791</v>
      </c>
      <c r="O1339" s="9">
        <v>714</v>
      </c>
      <c r="P1339" s="9">
        <v>677</v>
      </c>
      <c r="Q1339" s="9">
        <v>666</v>
      </c>
      <c r="R1339" s="9">
        <v>685</v>
      </c>
      <c r="S1339" s="9">
        <v>673</v>
      </c>
      <c r="T1339" s="9">
        <v>679</v>
      </c>
      <c r="U1339" s="9">
        <v>652</v>
      </c>
      <c r="V1339" s="9">
        <v>657</v>
      </c>
      <c r="W1339" s="9">
        <v>644</v>
      </c>
      <c r="X1339" s="9">
        <v>586</v>
      </c>
      <c r="Y1339" s="9">
        <v>576</v>
      </c>
      <c r="Z1339" s="9">
        <v>586</v>
      </c>
      <c r="AA1339" s="9">
        <v>587</v>
      </c>
      <c r="AB1339" s="9">
        <v>582</v>
      </c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</row>
    <row r="1340" spans="1:47" ht="14.4">
      <c r="A1340" s="3">
        <f>LOOKUP(D1340,'AMFI DATA_2023H2'!F:L,'AMFI DATA_2023H2'!L:L)</f>
        <v>1532</v>
      </c>
      <c r="B1340" s="4" t="s">
        <v>4019</v>
      </c>
      <c r="C1340" s="4" t="s">
        <v>4020</v>
      </c>
      <c r="D1340" s="5" t="s">
        <v>4021</v>
      </c>
      <c r="E1340" s="5">
        <v>451.8</v>
      </c>
      <c r="F1340" s="6">
        <f>LOOKUP(D1340,'AMFI DATA_2023H2'!F:J,'AMFI DATA_2023H2'!J:J)</f>
        <v>472.18134999999995</v>
      </c>
      <c r="G1340" s="7">
        <f t="shared" si="5"/>
        <v>-1</v>
      </c>
      <c r="H1340" s="9"/>
      <c r="I1340" s="9">
        <v>586</v>
      </c>
      <c r="J1340" s="9">
        <v>594</v>
      </c>
      <c r="K1340" s="9">
        <v>587</v>
      </c>
      <c r="L1340" s="9">
        <v>583</v>
      </c>
      <c r="M1340" s="9">
        <v>603</v>
      </c>
      <c r="N1340" s="9">
        <v>597</v>
      </c>
      <c r="O1340" s="9">
        <v>607</v>
      </c>
      <c r="P1340" s="9">
        <v>556</v>
      </c>
      <c r="Q1340" s="9">
        <v>562</v>
      </c>
      <c r="R1340" s="9">
        <v>557</v>
      </c>
      <c r="S1340" s="9">
        <v>575</v>
      </c>
      <c r="T1340" s="9">
        <v>576</v>
      </c>
      <c r="U1340" s="9">
        <v>573</v>
      </c>
      <c r="V1340" s="9">
        <v>583</v>
      </c>
      <c r="W1340" s="9">
        <v>586</v>
      </c>
      <c r="X1340" s="9">
        <v>548</v>
      </c>
      <c r="Y1340" s="9">
        <v>550</v>
      </c>
      <c r="Z1340" s="9">
        <v>562</v>
      </c>
      <c r="AA1340" s="9">
        <v>579</v>
      </c>
      <c r="AB1340" s="9">
        <v>580</v>
      </c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</row>
    <row r="1341" spans="1:47" ht="14.4">
      <c r="A1341" s="3">
        <f>LOOKUP(D1341,'AMFI DATA_2023H2'!F:L,'AMFI DATA_2023H2'!L:L)</f>
        <v>1533</v>
      </c>
      <c r="B1341" s="4" t="s">
        <v>4022</v>
      </c>
      <c r="C1341" s="4" t="s">
        <v>4023</v>
      </c>
      <c r="D1341" s="5" t="s">
        <v>4024</v>
      </c>
      <c r="E1341" s="5">
        <v>324.45999999999998</v>
      </c>
      <c r="F1341" s="6">
        <f>LOOKUP(D1341,'AMFI DATA_2023H2'!F:J,'AMFI DATA_2023H2'!J:J)</f>
        <v>471.43174999999997</v>
      </c>
      <c r="G1341" s="7">
        <f t="shared" si="5"/>
        <v>-1</v>
      </c>
      <c r="H1341" s="9"/>
      <c r="I1341" s="9">
        <v>695</v>
      </c>
      <c r="J1341" s="9">
        <v>617</v>
      </c>
      <c r="K1341" s="9">
        <v>604</v>
      </c>
      <c r="L1341" s="9">
        <v>613</v>
      </c>
      <c r="M1341" s="9">
        <v>624</v>
      </c>
      <c r="N1341" s="9">
        <v>626</v>
      </c>
      <c r="O1341" s="9">
        <v>630</v>
      </c>
      <c r="P1341" s="9">
        <v>619</v>
      </c>
      <c r="Q1341" s="9">
        <v>619</v>
      </c>
      <c r="R1341" s="9">
        <v>617</v>
      </c>
      <c r="S1341" s="9">
        <v>596</v>
      </c>
      <c r="T1341" s="9">
        <v>569</v>
      </c>
      <c r="U1341" s="9">
        <v>564</v>
      </c>
      <c r="V1341" s="9">
        <v>552</v>
      </c>
      <c r="W1341" s="9">
        <v>549</v>
      </c>
      <c r="X1341" s="9">
        <v>554</v>
      </c>
      <c r="Y1341" s="9">
        <v>562</v>
      </c>
      <c r="Z1341" s="9">
        <v>568</v>
      </c>
      <c r="AA1341" s="9">
        <v>556</v>
      </c>
      <c r="AB1341" s="9">
        <v>550</v>
      </c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</row>
    <row r="1342" spans="1:47" ht="14.4">
      <c r="A1342" s="3">
        <f>LOOKUP(D1342,'AMFI DATA_2023H2'!F:L,'AMFI DATA_2023H2'!L:L)</f>
        <v>1534</v>
      </c>
      <c r="B1342" s="4" t="s">
        <v>4025</v>
      </c>
      <c r="C1342" s="4" t="s">
        <v>4026</v>
      </c>
      <c r="D1342" s="5" t="s">
        <v>4027</v>
      </c>
      <c r="E1342" s="5">
        <v>391.68</v>
      </c>
      <c r="F1342" s="6">
        <f>LOOKUP(D1342,'AMFI DATA_2023H2'!F:J,'AMFI DATA_2023H2'!J:J)</f>
        <v>471.41539999999998</v>
      </c>
      <c r="G1342" s="7">
        <f t="shared" si="5"/>
        <v>-1</v>
      </c>
      <c r="H1342" s="9"/>
      <c r="I1342" s="9">
        <v>579</v>
      </c>
      <c r="J1342" s="9">
        <v>584</v>
      </c>
      <c r="K1342" s="9">
        <v>592</v>
      </c>
      <c r="L1342" s="9">
        <v>585</v>
      </c>
      <c r="M1342" s="9">
        <v>606</v>
      </c>
      <c r="N1342" s="9">
        <v>604</v>
      </c>
      <c r="O1342" s="9">
        <v>595</v>
      </c>
      <c r="P1342" s="9">
        <v>608</v>
      </c>
      <c r="Q1342" s="9">
        <v>600</v>
      </c>
      <c r="R1342" s="9">
        <v>608</v>
      </c>
      <c r="S1342" s="9">
        <v>605</v>
      </c>
      <c r="T1342" s="9">
        <v>607</v>
      </c>
      <c r="U1342" s="9">
        <v>606</v>
      </c>
      <c r="V1342" s="9">
        <v>622</v>
      </c>
      <c r="W1342" s="9">
        <v>622</v>
      </c>
      <c r="X1342" s="9">
        <v>616</v>
      </c>
      <c r="Y1342" s="9">
        <v>618</v>
      </c>
      <c r="Z1342" s="9">
        <v>631</v>
      </c>
      <c r="AA1342" s="9">
        <v>631</v>
      </c>
      <c r="AB1342" s="9">
        <v>633</v>
      </c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</row>
    <row r="1343" spans="1:47" ht="14.4">
      <c r="A1343" s="3">
        <f>LOOKUP(D1343,'AMFI DATA_2023H2'!F:L,'AMFI DATA_2023H2'!L:L)</f>
        <v>1537</v>
      </c>
      <c r="B1343" s="4" t="s">
        <v>4028</v>
      </c>
      <c r="C1343" s="4" t="s">
        <v>4029</v>
      </c>
      <c r="D1343" s="5" t="s">
        <v>4030</v>
      </c>
      <c r="E1343" s="5">
        <v>297.63</v>
      </c>
      <c r="F1343" s="6">
        <f>LOOKUP(D1343,'AMFI DATA_2023H2'!F:J,'AMFI DATA_2023H2'!J:J)</f>
        <v>469.79965000000004</v>
      </c>
      <c r="G1343" s="7">
        <f t="shared" si="5"/>
        <v>-1</v>
      </c>
      <c r="H1343" s="9"/>
      <c r="I1343" s="9">
        <v>520</v>
      </c>
      <c r="J1343" s="9">
        <v>527</v>
      </c>
      <c r="K1343" s="9">
        <v>531</v>
      </c>
      <c r="L1343" s="9">
        <v>533</v>
      </c>
      <c r="M1343" s="9">
        <v>549</v>
      </c>
      <c r="N1343" s="9">
        <v>554</v>
      </c>
      <c r="O1343" s="9">
        <v>559</v>
      </c>
      <c r="P1343" s="9">
        <v>559</v>
      </c>
      <c r="Q1343" s="9">
        <v>553</v>
      </c>
      <c r="R1343" s="9">
        <v>565</v>
      </c>
      <c r="S1343" s="9">
        <v>549</v>
      </c>
      <c r="T1343" s="9">
        <v>550</v>
      </c>
      <c r="U1343" s="9">
        <v>555</v>
      </c>
      <c r="V1343" s="9">
        <v>560</v>
      </c>
      <c r="W1343" s="9">
        <v>565</v>
      </c>
      <c r="X1343" s="9">
        <v>562</v>
      </c>
      <c r="Y1343" s="9">
        <v>557</v>
      </c>
      <c r="Z1343" s="9">
        <v>564</v>
      </c>
      <c r="AA1343" s="9">
        <v>574</v>
      </c>
      <c r="AB1343" s="9">
        <v>589</v>
      </c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</row>
    <row r="1344" spans="1:47" ht="14.4">
      <c r="A1344" s="3">
        <f>LOOKUP(D1344,'AMFI DATA_2023H2'!F:L,'AMFI DATA_2023H2'!L:L)</f>
        <v>1538</v>
      </c>
      <c r="B1344" s="4" t="s">
        <v>4031</v>
      </c>
      <c r="C1344" s="4" t="s">
        <v>4032</v>
      </c>
      <c r="D1344" s="5" t="s">
        <v>4033</v>
      </c>
      <c r="E1344" s="5">
        <v>4164.3599999999997</v>
      </c>
      <c r="F1344" s="6">
        <f>LOOKUP(D1344,'AMFI DATA_2023H2'!F:J,'AMFI DATA_2023H2'!J:J)</f>
        <v>469.37885</v>
      </c>
      <c r="G1344" s="7">
        <f t="shared" si="5"/>
        <v>-1</v>
      </c>
      <c r="H1344" s="9"/>
      <c r="I1344" s="9">
        <v>596</v>
      </c>
      <c r="J1344" s="9">
        <v>611</v>
      </c>
      <c r="K1344" s="9">
        <v>575</v>
      </c>
      <c r="L1344" s="9">
        <v>576</v>
      </c>
      <c r="M1344" s="9">
        <v>606</v>
      </c>
      <c r="N1344" s="9">
        <v>629</v>
      </c>
      <c r="O1344" s="9">
        <v>584</v>
      </c>
      <c r="P1344" s="9">
        <v>590</v>
      </c>
      <c r="Q1344" s="9">
        <v>549</v>
      </c>
      <c r="R1344" s="9">
        <v>546</v>
      </c>
      <c r="S1344" s="9">
        <v>562</v>
      </c>
      <c r="T1344" s="9">
        <v>576</v>
      </c>
      <c r="U1344" s="9">
        <v>526</v>
      </c>
      <c r="V1344" s="9">
        <v>525</v>
      </c>
      <c r="W1344" s="9">
        <v>516</v>
      </c>
      <c r="X1344" s="9">
        <v>518</v>
      </c>
      <c r="Y1344" s="9">
        <v>504</v>
      </c>
      <c r="Z1344" s="9">
        <v>507</v>
      </c>
      <c r="AA1344" s="9">
        <v>506</v>
      </c>
      <c r="AB1344" s="9">
        <v>510</v>
      </c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</row>
    <row r="1345" spans="1:47" ht="14.4">
      <c r="A1345" s="3">
        <f>LOOKUP(D1345,'AMFI DATA_2023H2'!F:L,'AMFI DATA_2023H2'!L:L)</f>
        <v>1539</v>
      </c>
      <c r="B1345" s="4" t="s">
        <v>4034</v>
      </c>
      <c r="C1345" s="4" t="s">
        <v>4035</v>
      </c>
      <c r="D1345" s="5" t="s">
        <v>4036</v>
      </c>
      <c r="E1345" s="5">
        <v>416.54</v>
      </c>
      <c r="F1345" s="6">
        <f>LOOKUP(D1345,'AMFI DATA_2023H2'!F:J,'AMFI DATA_2023H2'!J:J)</f>
        <v>468.87200000000001</v>
      </c>
      <c r="G1345" s="7">
        <f t="shared" si="5"/>
        <v>-1</v>
      </c>
      <c r="H1345" s="9"/>
      <c r="I1345" s="9">
        <v>580</v>
      </c>
      <c r="J1345" s="9">
        <v>578</v>
      </c>
      <c r="K1345" s="9">
        <v>570</v>
      </c>
      <c r="L1345" s="9">
        <v>593</v>
      </c>
      <c r="M1345" s="9">
        <v>604</v>
      </c>
      <c r="N1345" s="9">
        <v>633</v>
      </c>
      <c r="O1345" s="9">
        <v>622</v>
      </c>
      <c r="P1345" s="9">
        <v>613</v>
      </c>
      <c r="Q1345" s="9">
        <v>546</v>
      </c>
      <c r="R1345" s="9">
        <v>555</v>
      </c>
      <c r="S1345" s="9">
        <v>555</v>
      </c>
      <c r="T1345" s="9">
        <v>551</v>
      </c>
      <c r="U1345" s="9">
        <v>545</v>
      </c>
      <c r="V1345" s="9">
        <v>540</v>
      </c>
      <c r="W1345" s="9">
        <v>530</v>
      </c>
      <c r="X1345" s="9">
        <v>527</v>
      </c>
      <c r="Y1345" s="9">
        <v>525</v>
      </c>
      <c r="Z1345" s="9">
        <v>535</v>
      </c>
      <c r="AA1345" s="9">
        <v>534</v>
      </c>
      <c r="AB1345" s="9">
        <v>523</v>
      </c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</row>
    <row r="1346" spans="1:47" ht="14.4">
      <c r="A1346" s="3">
        <f>LOOKUP(D1346,'AMFI DATA_2023H2'!F:L,'AMFI DATA_2023H2'!L:L)</f>
        <v>1540</v>
      </c>
      <c r="B1346" s="4" t="s">
        <v>4037</v>
      </c>
      <c r="C1346" s="4" t="s">
        <v>4038</v>
      </c>
      <c r="D1346" s="5" t="s">
        <v>4039</v>
      </c>
      <c r="E1346" s="5">
        <v>402.5</v>
      </c>
      <c r="F1346" s="6">
        <f>LOOKUP(D1346,'AMFI DATA_2023H2'!F:J,'AMFI DATA_2023H2'!J:J)</f>
        <v>466.63729999999998</v>
      </c>
      <c r="G1346" s="7">
        <f t="shared" si="5"/>
        <v>-1</v>
      </c>
      <c r="H1346" s="9"/>
      <c r="I1346" s="9">
        <v>401</v>
      </c>
      <c r="J1346" s="9">
        <v>403</v>
      </c>
      <c r="K1346" s="9">
        <v>417</v>
      </c>
      <c r="L1346" s="9">
        <v>425</v>
      </c>
      <c r="M1346" s="9">
        <v>452</v>
      </c>
      <c r="N1346" s="9">
        <v>484</v>
      </c>
      <c r="O1346" s="9">
        <v>495</v>
      </c>
      <c r="P1346" s="9">
        <v>481</v>
      </c>
      <c r="Q1346" s="9">
        <v>481</v>
      </c>
      <c r="R1346" s="9">
        <v>482</v>
      </c>
      <c r="S1346" s="9">
        <v>484</v>
      </c>
      <c r="T1346" s="9">
        <v>475</v>
      </c>
      <c r="U1346" s="9">
        <v>476</v>
      </c>
      <c r="V1346" s="9">
        <v>479</v>
      </c>
      <c r="W1346" s="9">
        <v>478</v>
      </c>
      <c r="X1346" s="9">
        <v>480</v>
      </c>
      <c r="Y1346" s="9">
        <v>482</v>
      </c>
      <c r="Z1346" s="9">
        <v>492</v>
      </c>
      <c r="AA1346" s="9">
        <v>491</v>
      </c>
      <c r="AB1346" s="9">
        <v>499</v>
      </c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</row>
    <row r="1347" spans="1:47" ht="14.4">
      <c r="A1347" s="3">
        <f>LOOKUP(D1347,'AMFI DATA_2023H2'!F:L,'AMFI DATA_2023H2'!L:L)</f>
        <v>1541</v>
      </c>
      <c r="B1347" s="4" t="s">
        <v>4040</v>
      </c>
      <c r="C1347" s="4" t="s">
        <v>4041</v>
      </c>
      <c r="D1347" s="5" t="s">
        <v>4042</v>
      </c>
      <c r="E1347" s="5">
        <v>550.26</v>
      </c>
      <c r="F1347" s="6">
        <f>LOOKUP(D1347,'AMFI DATA_2023H2'!F:J,'AMFI DATA_2023H2'!J:J)</f>
        <v>464.89249999999998</v>
      </c>
      <c r="G1347" s="7">
        <f t="shared" si="5"/>
        <v>-1</v>
      </c>
      <c r="H1347" s="9"/>
      <c r="I1347" s="9">
        <v>446</v>
      </c>
      <c r="J1347" s="9">
        <v>442</v>
      </c>
      <c r="K1347" s="9">
        <v>447</v>
      </c>
      <c r="L1347" s="9">
        <v>450</v>
      </c>
      <c r="M1347" s="9">
        <v>453</v>
      </c>
      <c r="N1347" s="9">
        <v>451</v>
      </c>
      <c r="O1347" s="9">
        <v>442</v>
      </c>
      <c r="P1347" s="9">
        <v>443</v>
      </c>
      <c r="Q1347" s="9">
        <v>452</v>
      </c>
      <c r="R1347" s="9">
        <v>456</v>
      </c>
      <c r="S1347" s="9">
        <v>456</v>
      </c>
      <c r="T1347" s="9">
        <v>441</v>
      </c>
      <c r="U1347" s="9">
        <v>446</v>
      </c>
      <c r="V1347" s="9">
        <v>441</v>
      </c>
      <c r="W1347" s="9">
        <v>446</v>
      </c>
      <c r="X1347" s="9">
        <v>442</v>
      </c>
      <c r="Y1347" s="9">
        <v>449</v>
      </c>
      <c r="Z1347" s="9">
        <v>441</v>
      </c>
      <c r="AA1347" s="9">
        <v>444</v>
      </c>
      <c r="AB1347" s="9">
        <v>453</v>
      </c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</row>
    <row r="1348" spans="1:47" ht="14.4">
      <c r="A1348" s="3">
        <f>LOOKUP(D1348,'AMFI DATA_2023H2'!F:L,'AMFI DATA_2023H2'!L:L)</f>
        <v>1542</v>
      </c>
      <c r="B1348" s="4" t="s">
        <v>4043</v>
      </c>
      <c r="C1348" s="4" t="s">
        <v>4044</v>
      </c>
      <c r="D1348" s="5" t="s">
        <v>4045</v>
      </c>
      <c r="E1348" s="5">
        <v>384.75</v>
      </c>
      <c r="F1348" s="6">
        <f>LOOKUP(D1348,'AMFI DATA_2023H2'!F:J,'AMFI DATA_2023H2'!J:J)</f>
        <v>464.4282</v>
      </c>
      <c r="G1348" s="7">
        <f t="shared" si="5"/>
        <v>-1</v>
      </c>
      <c r="H1348" s="9"/>
      <c r="I1348" s="9">
        <v>783</v>
      </c>
      <c r="J1348" s="9">
        <v>721</v>
      </c>
      <c r="K1348" s="9">
        <v>712</v>
      </c>
      <c r="L1348" s="9">
        <v>698</v>
      </c>
      <c r="M1348" s="9">
        <v>704</v>
      </c>
      <c r="N1348" s="9">
        <v>668</v>
      </c>
      <c r="O1348" s="9">
        <v>646</v>
      </c>
      <c r="P1348" s="9">
        <v>665</v>
      </c>
      <c r="Q1348" s="9">
        <v>609</v>
      </c>
      <c r="R1348" s="9">
        <v>613</v>
      </c>
      <c r="S1348" s="9">
        <v>605</v>
      </c>
      <c r="T1348" s="9">
        <v>610</v>
      </c>
      <c r="U1348" s="9">
        <v>601</v>
      </c>
      <c r="V1348" s="9">
        <v>604</v>
      </c>
      <c r="W1348" s="9">
        <v>602</v>
      </c>
      <c r="X1348" s="9">
        <v>587</v>
      </c>
      <c r="Y1348" s="9">
        <v>584</v>
      </c>
      <c r="Z1348" s="9">
        <v>585</v>
      </c>
      <c r="AA1348" s="9">
        <v>607</v>
      </c>
      <c r="AB1348" s="9">
        <v>606</v>
      </c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</row>
    <row r="1349" spans="1:47" ht="14.4">
      <c r="A1349" s="3">
        <f>LOOKUP(D1349,'AMFI DATA_2023H2'!F:L,'AMFI DATA_2023H2'!L:L)</f>
        <v>1543</v>
      </c>
      <c r="B1349" s="4" t="s">
        <v>4046</v>
      </c>
      <c r="C1349" s="4" t="s">
        <v>4047</v>
      </c>
      <c r="D1349" s="5" t="s">
        <v>4048</v>
      </c>
      <c r="E1349" s="5">
        <v>408.8</v>
      </c>
      <c r="F1349" s="6">
        <f>LOOKUP(D1349,'AMFI DATA_2023H2'!F:J,'AMFI DATA_2023H2'!J:J)</f>
        <v>462.16395</v>
      </c>
      <c r="G1349" s="7">
        <f t="shared" si="5"/>
        <v>-1</v>
      </c>
      <c r="H1349" s="9"/>
      <c r="I1349" s="9">
        <v>685</v>
      </c>
      <c r="J1349" s="9">
        <v>658</v>
      </c>
      <c r="K1349" s="9">
        <v>637</v>
      </c>
      <c r="L1349" s="9">
        <v>636</v>
      </c>
      <c r="M1349" s="9">
        <v>675</v>
      </c>
      <c r="N1349" s="9">
        <v>681</v>
      </c>
      <c r="O1349" s="9">
        <v>684</v>
      </c>
      <c r="P1349" s="9">
        <v>735</v>
      </c>
      <c r="Q1349" s="9">
        <v>709</v>
      </c>
      <c r="R1349" s="9">
        <v>591</v>
      </c>
      <c r="S1349" s="9">
        <v>492</v>
      </c>
      <c r="T1349" s="9">
        <v>493</v>
      </c>
      <c r="U1349" s="9">
        <v>509</v>
      </c>
      <c r="V1349" s="9">
        <v>499</v>
      </c>
      <c r="W1349" s="9">
        <v>498</v>
      </c>
      <c r="X1349" s="9">
        <v>506</v>
      </c>
      <c r="Y1349" s="9">
        <v>504</v>
      </c>
      <c r="Z1349" s="9">
        <v>493</v>
      </c>
      <c r="AA1349" s="9">
        <v>477</v>
      </c>
      <c r="AB1349" s="9">
        <v>482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</row>
    <row r="1350" spans="1:47" ht="14.4">
      <c r="A1350" s="3">
        <f>LOOKUP(D1350,'AMFI DATA_2023H2'!F:L,'AMFI DATA_2023H2'!L:L)</f>
        <v>1545</v>
      </c>
      <c r="B1350" s="4" t="s">
        <v>4049</v>
      </c>
      <c r="C1350" s="4" t="s">
        <v>4050</v>
      </c>
      <c r="D1350" s="5" t="s">
        <v>4051</v>
      </c>
      <c r="E1350" s="5">
        <v>435.07</v>
      </c>
      <c r="F1350" s="6">
        <f>LOOKUP(D1350,'AMFI DATA_2023H2'!F:J,'AMFI DATA_2023H2'!J:J)</f>
        <v>461.45085</v>
      </c>
      <c r="G1350" s="7">
        <f t="shared" si="5"/>
        <v>-1</v>
      </c>
      <c r="H1350" s="9"/>
      <c r="I1350" s="9">
        <v>814</v>
      </c>
      <c r="J1350" s="9">
        <v>774</v>
      </c>
      <c r="K1350" s="9">
        <v>758</v>
      </c>
      <c r="L1350" s="9">
        <v>721</v>
      </c>
      <c r="M1350" s="9">
        <v>742</v>
      </c>
      <c r="N1350" s="9">
        <v>721</v>
      </c>
      <c r="O1350" s="9">
        <v>738</v>
      </c>
      <c r="P1350" s="9">
        <v>726</v>
      </c>
      <c r="Q1350" s="9">
        <v>722</v>
      </c>
      <c r="R1350" s="9">
        <v>686</v>
      </c>
      <c r="S1350" s="9">
        <v>664</v>
      </c>
      <c r="T1350" s="9">
        <v>679</v>
      </c>
      <c r="U1350" s="9">
        <v>658</v>
      </c>
      <c r="V1350" s="9">
        <v>643</v>
      </c>
      <c r="W1350" s="9">
        <v>642</v>
      </c>
      <c r="X1350" s="9">
        <v>612</v>
      </c>
      <c r="Y1350" s="9">
        <v>624</v>
      </c>
      <c r="Z1350" s="9">
        <v>600</v>
      </c>
      <c r="AA1350" s="9">
        <v>571</v>
      </c>
      <c r="AB1350" s="9">
        <v>554</v>
      </c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</row>
    <row r="1351" spans="1:47" ht="14.4">
      <c r="A1351" s="3">
        <f>LOOKUP(D1351,'AMFI DATA_2023H2'!F:L,'AMFI DATA_2023H2'!L:L)</f>
        <v>1547</v>
      </c>
      <c r="B1351" s="4" t="s">
        <v>4052</v>
      </c>
      <c r="C1351" s="4" t="s">
        <v>4053</v>
      </c>
      <c r="D1351" s="5" t="s">
        <v>4054</v>
      </c>
      <c r="E1351" s="5">
        <v>303.68</v>
      </c>
      <c r="F1351" s="6">
        <f>LOOKUP(D1351,'AMFI DATA_2023H2'!F:J,'AMFI DATA_2023H2'!J:J)</f>
        <v>457.32135</v>
      </c>
      <c r="G1351" s="7">
        <f t="shared" si="5"/>
        <v>-1</v>
      </c>
      <c r="H1351" s="9"/>
      <c r="I1351" s="9">
        <v>796</v>
      </c>
      <c r="J1351" s="9">
        <v>758</v>
      </c>
      <c r="K1351" s="9">
        <v>722</v>
      </c>
      <c r="L1351" s="9">
        <v>688</v>
      </c>
      <c r="M1351" s="9">
        <v>655</v>
      </c>
      <c r="N1351" s="9">
        <v>624</v>
      </c>
      <c r="O1351" s="9">
        <v>636</v>
      </c>
      <c r="P1351" s="9">
        <v>645</v>
      </c>
      <c r="Q1351" s="9">
        <v>622</v>
      </c>
      <c r="R1351" s="9">
        <v>610</v>
      </c>
      <c r="S1351" s="9">
        <v>629</v>
      </c>
      <c r="T1351" s="9">
        <v>620</v>
      </c>
      <c r="U1351" s="9">
        <v>619</v>
      </c>
      <c r="V1351" s="9">
        <v>615</v>
      </c>
      <c r="W1351" s="9">
        <v>632</v>
      </c>
      <c r="X1351" s="9">
        <v>633</v>
      </c>
      <c r="Y1351" s="9">
        <v>603</v>
      </c>
      <c r="Z1351" s="9">
        <v>615</v>
      </c>
      <c r="AA1351" s="9">
        <v>647</v>
      </c>
      <c r="AB1351" s="9">
        <v>673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</row>
    <row r="1352" spans="1:47" ht="14.4">
      <c r="A1352" s="3">
        <f>LOOKUP(D1352,'AMFI DATA_2023H2'!F:L,'AMFI DATA_2023H2'!L:L)</f>
        <v>1548</v>
      </c>
      <c r="B1352" s="4" t="s">
        <v>4055</v>
      </c>
      <c r="C1352" s="4" t="s">
        <v>4056</v>
      </c>
      <c r="D1352" s="5" t="s">
        <v>4057</v>
      </c>
      <c r="E1352" s="5">
        <v>354.72</v>
      </c>
      <c r="F1352" s="6">
        <f>LOOKUP(D1352,'AMFI DATA_2023H2'!F:J,'AMFI DATA_2023H2'!J:J)</f>
        <v>456.5539</v>
      </c>
      <c r="G1352" s="7">
        <f t="shared" si="5"/>
        <v>-1</v>
      </c>
      <c r="H1352" s="9"/>
      <c r="I1352" s="9">
        <v>487</v>
      </c>
      <c r="J1352" s="9">
        <v>486</v>
      </c>
      <c r="K1352" s="9">
        <v>492</v>
      </c>
      <c r="L1352" s="9">
        <v>492</v>
      </c>
      <c r="M1352" s="9">
        <v>492</v>
      </c>
      <c r="N1352" s="9">
        <v>499</v>
      </c>
      <c r="O1352" s="9">
        <v>488</v>
      </c>
      <c r="P1352" s="9">
        <v>495</v>
      </c>
      <c r="Q1352" s="9">
        <v>512</v>
      </c>
      <c r="R1352" s="9">
        <v>515</v>
      </c>
      <c r="S1352" s="9">
        <v>513</v>
      </c>
      <c r="T1352" s="9">
        <v>517</v>
      </c>
      <c r="U1352" s="9">
        <v>514</v>
      </c>
      <c r="V1352" s="9">
        <v>520</v>
      </c>
      <c r="W1352" s="9">
        <v>523</v>
      </c>
      <c r="X1352" s="9">
        <v>481</v>
      </c>
      <c r="Y1352" s="9">
        <v>484</v>
      </c>
      <c r="Z1352" s="9">
        <v>490</v>
      </c>
      <c r="AA1352" s="9">
        <v>470</v>
      </c>
      <c r="AB1352" s="9">
        <v>470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</row>
    <row r="1353" spans="1:47" ht="14.4">
      <c r="A1353" s="3">
        <f>LOOKUP(D1353,'AMFI DATA_2023H2'!F:L,'AMFI DATA_2023H2'!L:L)</f>
        <v>1551</v>
      </c>
      <c r="B1353" s="4" t="s">
        <v>4058</v>
      </c>
      <c r="C1353" s="4" t="s">
        <v>4059</v>
      </c>
      <c r="D1353" s="5" t="s">
        <v>4060</v>
      </c>
      <c r="E1353" s="5">
        <v>400.84</v>
      </c>
      <c r="F1353" s="6">
        <f>LOOKUP(D1353,'AMFI DATA_2023H2'!F:J,'AMFI DATA_2023H2'!J:J)</f>
        <v>454.3843</v>
      </c>
      <c r="G1353" s="7">
        <f t="shared" si="5"/>
        <v>-1</v>
      </c>
      <c r="H1353" s="9"/>
      <c r="I1353" s="9">
        <v>628</v>
      </c>
      <c r="J1353" s="9">
        <v>567</v>
      </c>
      <c r="K1353" s="9">
        <v>542</v>
      </c>
      <c r="L1353" s="9">
        <v>530</v>
      </c>
      <c r="M1353" s="9">
        <v>555</v>
      </c>
      <c r="N1353" s="9">
        <v>502</v>
      </c>
      <c r="O1353" s="9">
        <v>498</v>
      </c>
      <c r="P1353" s="9">
        <v>501</v>
      </c>
      <c r="Q1353" s="9">
        <v>489</v>
      </c>
      <c r="R1353" s="9">
        <v>504</v>
      </c>
      <c r="S1353" s="9">
        <v>491</v>
      </c>
      <c r="T1353" s="9">
        <v>484</v>
      </c>
      <c r="U1353" s="9">
        <v>480</v>
      </c>
      <c r="V1353" s="9">
        <v>477</v>
      </c>
      <c r="W1353" s="9">
        <v>479</v>
      </c>
      <c r="X1353" s="9">
        <v>475</v>
      </c>
      <c r="Y1353" s="9">
        <v>480</v>
      </c>
      <c r="Z1353" s="9">
        <v>482</v>
      </c>
      <c r="AA1353" s="9">
        <v>488</v>
      </c>
      <c r="AB1353" s="9">
        <v>478</v>
      </c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</row>
    <row r="1354" spans="1:47" ht="14.4">
      <c r="A1354" s="3">
        <f>LOOKUP(D1354,'AMFI DATA_2023H2'!F:L,'AMFI DATA_2023H2'!L:L)</f>
        <v>1553</v>
      </c>
      <c r="B1354" s="4" t="s">
        <v>4061</v>
      </c>
      <c r="C1354" s="4" t="s">
        <v>4062</v>
      </c>
      <c r="D1354" s="5" t="s">
        <v>4063</v>
      </c>
      <c r="E1354" s="5">
        <v>403.41</v>
      </c>
      <c r="F1354" s="6">
        <f>LOOKUP(D1354,'AMFI DATA_2023H2'!F:J,'AMFI DATA_2023H2'!J:J)</f>
        <v>453.91515000000004</v>
      </c>
      <c r="G1354" s="7">
        <f t="shared" si="5"/>
        <v>-1</v>
      </c>
      <c r="H1354" s="9"/>
      <c r="I1354" s="9">
        <v>428</v>
      </c>
      <c r="J1354" s="9">
        <v>432</v>
      </c>
      <c r="K1354" s="9">
        <v>428</v>
      </c>
      <c r="L1354" s="9">
        <v>435</v>
      </c>
      <c r="M1354" s="9">
        <v>444</v>
      </c>
      <c r="N1354" s="9">
        <v>453</v>
      </c>
      <c r="O1354" s="9">
        <v>449</v>
      </c>
      <c r="P1354" s="9">
        <v>453</v>
      </c>
      <c r="Q1354" s="9">
        <v>445</v>
      </c>
      <c r="R1354" s="9">
        <v>451</v>
      </c>
      <c r="S1354" s="9">
        <v>448</v>
      </c>
      <c r="T1354" s="9">
        <v>448</v>
      </c>
      <c r="U1354" s="9">
        <v>453</v>
      </c>
      <c r="V1354" s="9">
        <v>438</v>
      </c>
      <c r="W1354" s="9">
        <v>442</v>
      </c>
      <c r="X1354" s="9">
        <v>439</v>
      </c>
      <c r="Y1354" s="9">
        <v>411</v>
      </c>
      <c r="Z1354" s="9">
        <v>412</v>
      </c>
      <c r="AA1354" s="9">
        <v>410</v>
      </c>
      <c r="AB1354" s="9">
        <v>416</v>
      </c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</row>
    <row r="1355" spans="1:47" ht="14.4">
      <c r="A1355" s="3">
        <f>LOOKUP(D1355,'AMFI DATA_2023H2'!F:L,'AMFI DATA_2023H2'!L:L)</f>
        <v>1554</v>
      </c>
      <c r="B1355" s="4" t="s">
        <v>4064</v>
      </c>
      <c r="C1355" s="4" t="s">
        <v>4065</v>
      </c>
      <c r="D1355" s="5" t="s">
        <v>4066</v>
      </c>
      <c r="E1355" s="5">
        <v>430.75</v>
      </c>
      <c r="F1355" s="6">
        <f>LOOKUP(D1355,'AMFI DATA_2023H2'!F:J,'AMFI DATA_2023H2'!J:J)</f>
        <v>453.84805</v>
      </c>
      <c r="G1355" s="7">
        <f t="shared" si="5"/>
        <v>-1</v>
      </c>
      <c r="H1355" s="9"/>
      <c r="I1355" s="9">
        <v>525</v>
      </c>
      <c r="J1355" s="9">
        <v>525</v>
      </c>
      <c r="K1355" s="9">
        <v>525</v>
      </c>
      <c r="L1355" s="9">
        <v>525</v>
      </c>
      <c r="M1355" s="9">
        <v>539</v>
      </c>
      <c r="N1355" s="9">
        <v>553</v>
      </c>
      <c r="O1355" s="9">
        <v>553</v>
      </c>
      <c r="P1355" s="9">
        <v>553</v>
      </c>
      <c r="Q1355" s="9">
        <v>553</v>
      </c>
      <c r="R1355" s="9">
        <v>567</v>
      </c>
      <c r="S1355" s="9">
        <v>553</v>
      </c>
      <c r="T1355" s="9">
        <v>553</v>
      </c>
      <c r="U1355" s="9">
        <v>553</v>
      </c>
      <c r="V1355" s="9">
        <v>553</v>
      </c>
      <c r="W1355" s="9">
        <v>595</v>
      </c>
      <c r="X1355" s="9">
        <v>581</v>
      </c>
      <c r="Y1355" s="9">
        <v>581</v>
      </c>
      <c r="Z1355" s="9">
        <v>581</v>
      </c>
      <c r="AA1355" s="9">
        <v>539</v>
      </c>
      <c r="AB1355" s="9">
        <v>608</v>
      </c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</row>
    <row r="1356" spans="1:47" ht="14.4">
      <c r="A1356" s="3">
        <f>LOOKUP(D1356,'AMFI DATA_2023H2'!F:L,'AMFI DATA_2023H2'!L:L)</f>
        <v>1555</v>
      </c>
      <c r="B1356" s="4" t="s">
        <v>4067</v>
      </c>
      <c r="C1356" s="4" t="s">
        <v>4068</v>
      </c>
      <c r="D1356" s="5" t="s">
        <v>4069</v>
      </c>
      <c r="E1356" s="5">
        <v>336.81</v>
      </c>
      <c r="F1356" s="6">
        <f>LOOKUP(D1356,'AMFI DATA_2023H2'!F:J,'AMFI DATA_2023H2'!J:J)</f>
        <v>451.98609999999996</v>
      </c>
      <c r="G1356" s="7">
        <f t="shared" si="5"/>
        <v>-1</v>
      </c>
      <c r="H1356" s="9"/>
      <c r="I1356" s="9">
        <v>391</v>
      </c>
      <c r="J1356" s="9">
        <v>386</v>
      </c>
      <c r="K1356" s="9">
        <v>394</v>
      </c>
      <c r="L1356" s="9">
        <v>381</v>
      </c>
      <c r="M1356" s="9">
        <v>393</v>
      </c>
      <c r="N1356" s="9">
        <v>374</v>
      </c>
      <c r="O1356" s="9">
        <v>380</v>
      </c>
      <c r="P1356" s="9">
        <v>379</v>
      </c>
      <c r="Q1356" s="9">
        <v>372</v>
      </c>
      <c r="R1356" s="9">
        <v>378</v>
      </c>
      <c r="S1356" s="9">
        <v>382</v>
      </c>
      <c r="T1356" s="9">
        <v>378</v>
      </c>
      <c r="U1356" s="9">
        <v>371</v>
      </c>
      <c r="V1356" s="9">
        <v>368</v>
      </c>
      <c r="W1356" s="9">
        <v>370</v>
      </c>
      <c r="X1356" s="9">
        <v>367</v>
      </c>
      <c r="Y1356" s="9">
        <v>374</v>
      </c>
      <c r="Z1356" s="9">
        <v>377</v>
      </c>
      <c r="AA1356" s="9">
        <v>385</v>
      </c>
      <c r="AB1356" s="9">
        <v>378</v>
      </c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</row>
    <row r="1357" spans="1:47" ht="14.4">
      <c r="A1357" s="3">
        <f>LOOKUP(D1357,'AMFI DATA_2023H2'!F:L,'AMFI DATA_2023H2'!L:L)</f>
        <v>1556</v>
      </c>
      <c r="B1357" s="4" t="s">
        <v>4070</v>
      </c>
      <c r="C1357" s="4" t="s">
        <v>4071</v>
      </c>
      <c r="D1357" s="5" t="s">
        <v>4072</v>
      </c>
      <c r="E1357" s="5">
        <v>398.03</v>
      </c>
      <c r="F1357" s="6">
        <f>LOOKUP(D1357,'AMFI DATA_2023H2'!F:J,'AMFI DATA_2023H2'!J:J)</f>
        <v>450.55449999999996</v>
      </c>
      <c r="G1357" s="7">
        <f t="shared" si="5"/>
        <v>-1</v>
      </c>
      <c r="H1357" s="9"/>
      <c r="I1357" s="9">
        <v>571</v>
      </c>
      <c r="J1357" s="9">
        <v>535</v>
      </c>
      <c r="K1357" s="9">
        <v>518</v>
      </c>
      <c r="L1357" s="9">
        <v>540</v>
      </c>
      <c r="M1357" s="9">
        <v>537</v>
      </c>
      <c r="N1357" s="9">
        <v>489</v>
      </c>
      <c r="O1357" s="9">
        <v>500</v>
      </c>
      <c r="P1357" s="9">
        <v>487</v>
      </c>
      <c r="Q1357" s="9">
        <v>482</v>
      </c>
      <c r="R1357" s="9">
        <v>481</v>
      </c>
      <c r="S1357" s="9">
        <v>492</v>
      </c>
      <c r="T1357" s="9">
        <v>483</v>
      </c>
      <c r="U1357" s="9">
        <v>482</v>
      </c>
      <c r="V1357" s="9">
        <v>487</v>
      </c>
      <c r="W1357" s="9">
        <v>487</v>
      </c>
      <c r="X1357" s="9">
        <v>492</v>
      </c>
      <c r="Y1357" s="9">
        <v>482</v>
      </c>
      <c r="Z1357" s="9">
        <v>486</v>
      </c>
      <c r="AA1357" s="9">
        <v>479</v>
      </c>
      <c r="AB1357" s="9">
        <v>476</v>
      </c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</row>
    <row r="1358" spans="1:47" ht="14.4">
      <c r="A1358" s="3">
        <f>LOOKUP(D1358,'AMFI DATA_2023H2'!F:L,'AMFI DATA_2023H2'!L:L)</f>
        <v>1557</v>
      </c>
      <c r="B1358" s="4" t="s">
        <v>4073</v>
      </c>
      <c r="C1358" s="4" t="s">
        <v>4074</v>
      </c>
      <c r="D1358" s="5" t="s">
        <v>4075</v>
      </c>
      <c r="E1358" s="5">
        <v>368.23</v>
      </c>
      <c r="F1358" s="6">
        <f>LOOKUP(D1358,'AMFI DATA_2023H2'!F:J,'AMFI DATA_2023H2'!J:J)</f>
        <v>448.93150000000003</v>
      </c>
      <c r="G1358" s="7">
        <f t="shared" si="5"/>
        <v>-1</v>
      </c>
      <c r="H1358" s="9"/>
      <c r="I1358" s="9">
        <v>525</v>
      </c>
      <c r="J1358" s="9">
        <v>522</v>
      </c>
      <c r="K1358" s="9">
        <v>525</v>
      </c>
      <c r="L1358" s="9">
        <v>536</v>
      </c>
      <c r="M1358" s="9">
        <v>533</v>
      </c>
      <c r="N1358" s="9">
        <v>532</v>
      </c>
      <c r="O1358" s="9">
        <v>535</v>
      </c>
      <c r="P1358" s="9">
        <v>499</v>
      </c>
      <c r="Q1358" s="9">
        <v>506</v>
      </c>
      <c r="R1358" s="9">
        <v>508</v>
      </c>
      <c r="S1358" s="9">
        <v>513</v>
      </c>
      <c r="T1358" s="9">
        <v>511</v>
      </c>
      <c r="U1358" s="9">
        <v>510</v>
      </c>
      <c r="V1358" s="9">
        <v>506</v>
      </c>
      <c r="W1358" s="9">
        <v>482</v>
      </c>
      <c r="X1358" s="9">
        <v>474</v>
      </c>
      <c r="Y1358" s="9">
        <v>474</v>
      </c>
      <c r="Z1358" s="9">
        <v>468</v>
      </c>
      <c r="AA1358" s="9">
        <v>470</v>
      </c>
      <c r="AB1358" s="9">
        <v>478</v>
      </c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</row>
    <row r="1359" spans="1:47" ht="14.4">
      <c r="A1359" s="3">
        <f>LOOKUP(D1359,'AMFI DATA_2023H2'!F:L,'AMFI DATA_2023H2'!L:L)</f>
        <v>1558</v>
      </c>
      <c r="B1359" s="4" t="s">
        <v>4076</v>
      </c>
      <c r="C1359" s="4" t="s">
        <v>4077</v>
      </c>
      <c r="D1359" s="5" t="s">
        <v>4078</v>
      </c>
      <c r="E1359" s="5">
        <v>399.08</v>
      </c>
      <c r="F1359" s="6">
        <f>LOOKUP(D1359,'AMFI DATA_2023H2'!F:J,'AMFI DATA_2023H2'!J:J)</f>
        <v>448.79165</v>
      </c>
      <c r="G1359" s="7">
        <f t="shared" si="5"/>
        <v>-1</v>
      </c>
      <c r="H1359" s="9"/>
      <c r="I1359" s="9">
        <v>429</v>
      </c>
      <c r="J1359" s="9">
        <v>436</v>
      </c>
      <c r="K1359" s="9">
        <v>437</v>
      </c>
      <c r="L1359" s="9">
        <v>447</v>
      </c>
      <c r="M1359" s="9">
        <v>449</v>
      </c>
      <c r="N1359" s="9">
        <v>448</v>
      </c>
      <c r="O1359" s="9">
        <v>457</v>
      </c>
      <c r="P1359" s="9">
        <v>456</v>
      </c>
      <c r="Q1359" s="9">
        <v>446</v>
      </c>
      <c r="R1359" s="9">
        <v>442</v>
      </c>
      <c r="S1359" s="9">
        <v>451</v>
      </c>
      <c r="T1359" s="9">
        <v>450</v>
      </c>
      <c r="U1359" s="9">
        <v>454</v>
      </c>
      <c r="V1359" s="9">
        <v>462</v>
      </c>
      <c r="W1359" s="9">
        <v>441</v>
      </c>
      <c r="X1359" s="9">
        <v>448</v>
      </c>
      <c r="Y1359" s="9">
        <v>440</v>
      </c>
      <c r="Z1359" s="9">
        <v>448</v>
      </c>
      <c r="AA1359" s="9">
        <v>443</v>
      </c>
      <c r="AB1359" s="9">
        <v>449</v>
      </c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</row>
    <row r="1360" spans="1:47" ht="14.4">
      <c r="A1360" s="3">
        <f>LOOKUP(D1360,'AMFI DATA_2023H2'!F:L,'AMFI DATA_2023H2'!L:L)</f>
        <v>1561</v>
      </c>
      <c r="B1360" s="4" t="s">
        <v>4079</v>
      </c>
      <c r="C1360" s="4" t="s">
        <v>4080</v>
      </c>
      <c r="D1360" s="5" t="s">
        <v>4081</v>
      </c>
      <c r="E1360" s="5">
        <v>457.59</v>
      </c>
      <c r="F1360" s="6">
        <f>LOOKUP(D1360,'AMFI DATA_2023H2'!F:J,'AMFI DATA_2023H2'!J:J)</f>
        <v>447.28325000000001</v>
      </c>
      <c r="G1360" s="7">
        <f t="shared" si="5"/>
        <v>-1</v>
      </c>
      <c r="H1360" s="9"/>
      <c r="I1360" s="9">
        <v>447</v>
      </c>
      <c r="J1360" s="9">
        <v>447</v>
      </c>
      <c r="K1360" s="9">
        <v>447</v>
      </c>
      <c r="L1360" s="9">
        <v>456</v>
      </c>
      <c r="M1360" s="9">
        <v>458</v>
      </c>
      <c r="N1360" s="9">
        <v>454</v>
      </c>
      <c r="O1360" s="9">
        <v>454</v>
      </c>
      <c r="P1360" s="9">
        <v>458</v>
      </c>
      <c r="Q1360" s="9">
        <v>450</v>
      </c>
      <c r="R1360" s="9">
        <v>450</v>
      </c>
      <c r="S1360" s="9">
        <v>454</v>
      </c>
      <c r="T1360" s="9">
        <v>456</v>
      </c>
      <c r="U1360" s="9">
        <v>456</v>
      </c>
      <c r="V1360" s="9">
        <v>452</v>
      </c>
      <c r="W1360" s="9">
        <v>461</v>
      </c>
      <c r="X1360" s="9">
        <v>470</v>
      </c>
      <c r="Y1360" s="9">
        <v>516</v>
      </c>
      <c r="Z1360" s="9">
        <v>434</v>
      </c>
      <c r="AA1360" s="9">
        <v>433</v>
      </c>
      <c r="AB1360" s="9">
        <v>433</v>
      </c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</row>
    <row r="1361" spans="1:47" ht="14.4">
      <c r="A1361" s="3">
        <f>LOOKUP(D1361,'AMFI DATA_2023H2'!F:L,'AMFI DATA_2023H2'!L:L)</f>
        <v>1562</v>
      </c>
      <c r="B1361" s="4" t="s">
        <v>4082</v>
      </c>
      <c r="C1361" s="4" t="s">
        <v>4083</v>
      </c>
      <c r="D1361" s="5" t="s">
        <v>4084</v>
      </c>
      <c r="E1361" s="5">
        <v>282.33999999999997</v>
      </c>
      <c r="F1361" s="6">
        <f>LOOKUP(D1361,'AMFI DATA_2023H2'!F:J,'AMFI DATA_2023H2'!J:J)</f>
        <v>446.57585</v>
      </c>
      <c r="G1361" s="7">
        <f t="shared" si="5"/>
        <v>-1</v>
      </c>
      <c r="H1361" s="9"/>
      <c r="I1361" s="9">
        <v>606</v>
      </c>
      <c r="J1361" s="9">
        <v>614</v>
      </c>
      <c r="K1361" s="9">
        <v>592</v>
      </c>
      <c r="L1361" s="9">
        <v>613</v>
      </c>
      <c r="M1361" s="9">
        <v>615</v>
      </c>
      <c r="N1361" s="9">
        <v>613</v>
      </c>
      <c r="O1361" s="9">
        <v>580</v>
      </c>
      <c r="P1361" s="9">
        <v>551</v>
      </c>
      <c r="Q1361" s="9">
        <v>523</v>
      </c>
      <c r="R1361" s="9">
        <v>533</v>
      </c>
      <c r="S1361" s="9">
        <v>523</v>
      </c>
      <c r="T1361" s="9">
        <v>522</v>
      </c>
      <c r="U1361" s="9">
        <v>519</v>
      </c>
      <c r="V1361" s="9">
        <v>522</v>
      </c>
      <c r="W1361" s="9">
        <v>525</v>
      </c>
      <c r="X1361" s="9">
        <v>525</v>
      </c>
      <c r="Y1361" s="9">
        <v>528</v>
      </c>
      <c r="Z1361" s="9">
        <v>545</v>
      </c>
      <c r="AA1361" s="9">
        <v>500</v>
      </c>
      <c r="AB1361" s="9">
        <v>503</v>
      </c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</row>
    <row r="1362" spans="1:47" ht="14.4">
      <c r="A1362" s="3">
        <f>LOOKUP(D1362,'AMFI DATA_2023H2'!F:L,'AMFI DATA_2023H2'!L:L)</f>
        <v>1564</v>
      </c>
      <c r="B1362" s="4" t="s">
        <v>4085</v>
      </c>
      <c r="C1362" s="4" t="s">
        <v>4086</v>
      </c>
      <c r="D1362" s="5" t="s">
        <v>4087</v>
      </c>
      <c r="E1362" s="5">
        <v>528.70000000000005</v>
      </c>
      <c r="F1362" s="6">
        <f>LOOKUP(D1362,'AMFI DATA_2023H2'!F:J,'AMFI DATA_2023H2'!J:J)</f>
        <v>445.15620000000001</v>
      </c>
      <c r="G1362" s="7">
        <f t="shared" si="5"/>
        <v>-1</v>
      </c>
      <c r="H1362" s="9"/>
      <c r="I1362" s="9">
        <v>534</v>
      </c>
      <c r="J1362" s="9">
        <v>525</v>
      </c>
      <c r="K1362" s="9">
        <v>532</v>
      </c>
      <c r="L1362" s="9">
        <v>539</v>
      </c>
      <c r="M1362" s="9">
        <v>552</v>
      </c>
      <c r="N1362" s="9">
        <v>510</v>
      </c>
      <c r="O1362" s="9">
        <v>477</v>
      </c>
      <c r="P1362" s="9">
        <v>475</v>
      </c>
      <c r="Q1362" s="9">
        <v>485</v>
      </c>
      <c r="R1362" s="9">
        <v>502</v>
      </c>
      <c r="S1362" s="9">
        <v>467</v>
      </c>
      <c r="T1362" s="9">
        <v>427</v>
      </c>
      <c r="U1362" s="9">
        <v>413</v>
      </c>
      <c r="V1362" s="9">
        <v>410</v>
      </c>
      <c r="W1362" s="9">
        <v>411</v>
      </c>
      <c r="X1362" s="9">
        <v>411</v>
      </c>
      <c r="Y1362" s="9">
        <v>407</v>
      </c>
      <c r="Z1362" s="9">
        <v>409</v>
      </c>
      <c r="AA1362" s="9">
        <v>413</v>
      </c>
      <c r="AB1362" s="9">
        <v>416</v>
      </c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</row>
    <row r="1363" spans="1:47" ht="14.4">
      <c r="A1363" s="3">
        <f>LOOKUP(D1363,'AMFI DATA_2023H2'!F:L,'AMFI DATA_2023H2'!L:L)</f>
        <v>1566</v>
      </c>
      <c r="B1363" s="4" t="s">
        <v>4088</v>
      </c>
      <c r="C1363" s="4" t="s">
        <v>4089</v>
      </c>
      <c r="D1363" s="5" t="s">
        <v>4090</v>
      </c>
      <c r="E1363" s="5">
        <v>405.41</v>
      </c>
      <c r="F1363" s="6">
        <f>LOOKUP(D1363,'AMFI DATA_2023H2'!F:J,'AMFI DATA_2023H2'!J:J)</f>
        <v>444.71940000000001</v>
      </c>
      <c r="G1363" s="7">
        <f t="shared" si="5"/>
        <v>-1</v>
      </c>
      <c r="H1363" s="9"/>
      <c r="I1363" s="9">
        <v>526</v>
      </c>
      <c r="J1363" s="9">
        <v>516</v>
      </c>
      <c r="K1363" s="9">
        <v>516</v>
      </c>
      <c r="L1363" s="9">
        <v>531</v>
      </c>
      <c r="M1363" s="9">
        <v>541</v>
      </c>
      <c r="N1363" s="9">
        <v>550</v>
      </c>
      <c r="O1363" s="9">
        <v>553</v>
      </c>
      <c r="P1363" s="9">
        <v>576</v>
      </c>
      <c r="Q1363" s="9">
        <v>541</v>
      </c>
      <c r="R1363" s="9">
        <v>495</v>
      </c>
      <c r="S1363" s="9">
        <v>488</v>
      </c>
      <c r="T1363" s="9">
        <v>494</v>
      </c>
      <c r="U1363" s="9">
        <v>493</v>
      </c>
      <c r="V1363" s="9">
        <v>493</v>
      </c>
      <c r="W1363" s="9">
        <v>492</v>
      </c>
      <c r="X1363" s="9">
        <v>477</v>
      </c>
      <c r="Y1363" s="9">
        <v>481</v>
      </c>
      <c r="Z1363" s="9">
        <v>479</v>
      </c>
      <c r="AA1363" s="9">
        <v>483</v>
      </c>
      <c r="AB1363" s="9">
        <v>476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</row>
    <row r="1364" spans="1:47" ht="14.4">
      <c r="A1364" s="3">
        <f>LOOKUP(D1364,'AMFI DATA_2023H2'!F:L,'AMFI DATA_2023H2'!L:L)</f>
        <v>1568</v>
      </c>
      <c r="B1364" s="4" t="s">
        <v>4091</v>
      </c>
      <c r="C1364" s="4" t="s">
        <v>4092</v>
      </c>
      <c r="D1364" s="5" t="s">
        <v>4093</v>
      </c>
      <c r="E1364" s="5">
        <v>349.94</v>
      </c>
      <c r="F1364" s="6">
        <f>LOOKUP(D1364,'AMFI DATA_2023H2'!F:J,'AMFI DATA_2023H2'!J:J)</f>
        <v>440.04904999999997</v>
      </c>
      <c r="G1364" s="7">
        <f t="shared" si="5"/>
        <v>-1</v>
      </c>
      <c r="H1364" s="9"/>
      <c r="I1364" s="9">
        <v>462</v>
      </c>
      <c r="J1364" s="9">
        <v>455</v>
      </c>
      <c r="K1364" s="9">
        <v>462</v>
      </c>
      <c r="L1364" s="9">
        <v>469</v>
      </c>
      <c r="M1364" s="9">
        <v>474</v>
      </c>
      <c r="N1364" s="9">
        <v>466</v>
      </c>
      <c r="O1364" s="9">
        <v>443</v>
      </c>
      <c r="P1364" s="9">
        <v>449</v>
      </c>
      <c r="Q1364" s="9">
        <v>448</v>
      </c>
      <c r="R1364" s="9">
        <v>452</v>
      </c>
      <c r="S1364" s="9">
        <v>463</v>
      </c>
      <c r="T1364" s="9">
        <v>470</v>
      </c>
      <c r="U1364" s="9">
        <v>472</v>
      </c>
      <c r="V1364" s="9">
        <v>492</v>
      </c>
      <c r="W1364" s="9">
        <v>493</v>
      </c>
      <c r="X1364" s="9">
        <v>470</v>
      </c>
      <c r="Y1364" s="9">
        <v>456</v>
      </c>
      <c r="Z1364" s="9">
        <v>449</v>
      </c>
      <c r="AA1364" s="9">
        <v>444</v>
      </c>
      <c r="AB1364" s="9">
        <v>453</v>
      </c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</row>
    <row r="1365" spans="1:47" ht="14.4">
      <c r="A1365" s="3">
        <f>LOOKUP(D1365,'AMFI DATA_2023H2'!F:L,'AMFI DATA_2023H2'!L:L)</f>
        <v>1569</v>
      </c>
      <c r="B1365" s="4" t="s">
        <v>4094</v>
      </c>
      <c r="C1365" s="4" t="s">
        <v>4095</v>
      </c>
      <c r="D1365" s="5" t="s">
        <v>4096</v>
      </c>
      <c r="E1365" s="5">
        <v>322.88</v>
      </c>
      <c r="F1365" s="6">
        <f>LOOKUP(D1365,'AMFI DATA_2023H2'!F:J,'AMFI DATA_2023H2'!J:J)</f>
        <v>438.24194999999997</v>
      </c>
      <c r="G1365" s="7">
        <f t="shared" si="5"/>
        <v>-1</v>
      </c>
      <c r="H1365" s="9"/>
      <c r="I1365" s="9">
        <v>610</v>
      </c>
      <c r="J1365" s="9">
        <v>617</v>
      </c>
      <c r="K1365" s="9">
        <v>610</v>
      </c>
      <c r="L1365" s="9">
        <v>618</v>
      </c>
      <c r="M1365" s="9">
        <v>643</v>
      </c>
      <c r="N1365" s="9">
        <v>637</v>
      </c>
      <c r="O1365" s="9">
        <v>592</v>
      </c>
      <c r="P1365" s="9">
        <v>591</v>
      </c>
      <c r="Q1365" s="9">
        <v>586</v>
      </c>
      <c r="R1365" s="9">
        <v>590</v>
      </c>
      <c r="S1365" s="9">
        <v>606</v>
      </c>
      <c r="T1365" s="9">
        <v>594</v>
      </c>
      <c r="U1365" s="9">
        <v>606</v>
      </c>
      <c r="V1365" s="9">
        <v>600</v>
      </c>
      <c r="W1365" s="9">
        <v>607</v>
      </c>
      <c r="X1365" s="9">
        <v>593</v>
      </c>
      <c r="Y1365" s="9">
        <v>597</v>
      </c>
      <c r="Z1365" s="9">
        <v>606</v>
      </c>
      <c r="AA1365" s="9">
        <v>603</v>
      </c>
      <c r="AB1365" s="9">
        <v>623</v>
      </c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</row>
    <row r="1366" spans="1:47" ht="14.4">
      <c r="A1366" s="3">
        <f>LOOKUP(D1366,'AMFI DATA_2023H2'!F:L,'AMFI DATA_2023H2'!L:L)</f>
        <v>1570</v>
      </c>
      <c r="B1366" s="4" t="s">
        <v>4097</v>
      </c>
      <c r="C1366" s="4" t="s">
        <v>4098</v>
      </c>
      <c r="D1366" s="5" t="s">
        <v>4099</v>
      </c>
      <c r="E1366" s="5">
        <v>404.83</v>
      </c>
      <c r="F1366" s="6">
        <f>LOOKUP(D1366,'AMFI DATA_2023H2'!F:J,'AMFI DATA_2023H2'!J:J)</f>
        <v>437.82560000000001</v>
      </c>
      <c r="G1366" s="7">
        <f t="shared" si="5"/>
        <v>-1</v>
      </c>
      <c r="H1366" s="9"/>
      <c r="I1366" s="9">
        <v>560</v>
      </c>
      <c r="J1366" s="9">
        <v>538</v>
      </c>
      <c r="K1366" s="9">
        <v>526</v>
      </c>
      <c r="L1366" s="9">
        <v>538</v>
      </c>
      <c r="M1366" s="9">
        <v>547</v>
      </c>
      <c r="N1366" s="9">
        <v>549</v>
      </c>
      <c r="O1366" s="9">
        <v>554</v>
      </c>
      <c r="P1366" s="9">
        <v>569</v>
      </c>
      <c r="Q1366" s="9">
        <v>570</v>
      </c>
      <c r="R1366" s="9">
        <v>608</v>
      </c>
      <c r="S1366" s="9">
        <v>506</v>
      </c>
      <c r="T1366" s="9">
        <v>469</v>
      </c>
      <c r="U1366" s="9">
        <v>459</v>
      </c>
      <c r="V1366" s="9">
        <v>430</v>
      </c>
      <c r="W1366" s="9">
        <v>436</v>
      </c>
      <c r="X1366" s="9">
        <v>437</v>
      </c>
      <c r="Y1366" s="9">
        <v>440</v>
      </c>
      <c r="Z1366" s="9">
        <v>431</v>
      </c>
      <c r="AA1366" s="9">
        <v>428</v>
      </c>
      <c r="AB1366" s="9">
        <v>426</v>
      </c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</row>
    <row r="1367" spans="1:47" ht="14.4">
      <c r="A1367" s="3">
        <f>LOOKUP(D1367,'AMFI DATA_2023H2'!F:L,'AMFI DATA_2023H2'!L:L)</f>
        <v>1571</v>
      </c>
      <c r="B1367" s="4" t="s">
        <v>4100</v>
      </c>
      <c r="C1367" s="4" t="s">
        <v>4101</v>
      </c>
      <c r="D1367" s="5" t="s">
        <v>4102</v>
      </c>
      <c r="E1367" s="5">
        <v>393.14</v>
      </c>
      <c r="F1367" s="6">
        <f>LOOKUP(D1367,'AMFI DATA_2023H2'!F:J,'AMFI DATA_2023H2'!J:J)</f>
        <v>436.74880000000002</v>
      </c>
      <c r="G1367" s="7">
        <f t="shared" si="5"/>
        <v>-1</v>
      </c>
      <c r="H1367" s="9"/>
      <c r="I1367" s="9">
        <v>672</v>
      </c>
      <c r="J1367" s="9">
        <v>664</v>
      </c>
      <c r="K1367" s="9">
        <v>648</v>
      </c>
      <c r="L1367" s="9">
        <v>641</v>
      </c>
      <c r="M1367" s="9">
        <v>648</v>
      </c>
      <c r="N1367" s="9">
        <v>656</v>
      </c>
      <c r="O1367" s="9">
        <v>662</v>
      </c>
      <c r="P1367" s="9">
        <v>635</v>
      </c>
      <c r="Q1367" s="9">
        <v>628</v>
      </c>
      <c r="R1367" s="9">
        <v>632</v>
      </c>
      <c r="S1367" s="9">
        <v>646</v>
      </c>
      <c r="T1367" s="9">
        <v>647</v>
      </c>
      <c r="U1367" s="9">
        <v>659</v>
      </c>
      <c r="V1367" s="9">
        <v>648</v>
      </c>
      <c r="W1367" s="9">
        <v>604</v>
      </c>
      <c r="X1367" s="9">
        <v>611</v>
      </c>
      <c r="Y1367" s="9">
        <v>624</v>
      </c>
      <c r="Z1367" s="9">
        <v>625</v>
      </c>
      <c r="AA1367" s="9">
        <v>633</v>
      </c>
      <c r="AB1367" s="9">
        <v>629</v>
      </c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</row>
    <row r="1368" spans="1:47" ht="14.4">
      <c r="A1368" s="3">
        <f>LOOKUP(D1368,'AMFI DATA_2023H2'!F:L,'AMFI DATA_2023H2'!L:L)</f>
        <v>1574</v>
      </c>
      <c r="B1368" s="4" t="s">
        <v>4103</v>
      </c>
      <c r="C1368" s="4" t="s">
        <v>4104</v>
      </c>
      <c r="D1368" s="5" t="s">
        <v>4105</v>
      </c>
      <c r="E1368" s="5">
        <v>351.47</v>
      </c>
      <c r="F1368" s="6">
        <f>LOOKUP(D1368,'AMFI DATA_2023H2'!F:J,'AMFI DATA_2023H2'!J:J)</f>
        <v>435.21860000000004</v>
      </c>
      <c r="G1368" s="7">
        <f t="shared" si="5"/>
        <v>-1</v>
      </c>
      <c r="H1368" s="9"/>
      <c r="I1368" s="9">
        <v>588</v>
      </c>
      <c r="J1368" s="9">
        <v>572</v>
      </c>
      <c r="K1368" s="9">
        <v>587</v>
      </c>
      <c r="L1368" s="9">
        <v>566</v>
      </c>
      <c r="M1368" s="9">
        <v>604</v>
      </c>
      <c r="N1368" s="9">
        <v>601</v>
      </c>
      <c r="O1368" s="9">
        <v>616</v>
      </c>
      <c r="P1368" s="9">
        <v>627</v>
      </c>
      <c r="Q1368" s="9">
        <v>628</v>
      </c>
      <c r="R1368" s="9">
        <v>621</v>
      </c>
      <c r="S1368" s="9">
        <v>601</v>
      </c>
      <c r="T1368" s="9">
        <v>627</v>
      </c>
      <c r="U1368" s="9">
        <v>620</v>
      </c>
      <c r="V1368" s="9">
        <v>642</v>
      </c>
      <c r="W1368" s="9">
        <v>628</v>
      </c>
      <c r="X1368" s="9">
        <v>525</v>
      </c>
      <c r="Y1368" s="9">
        <v>525</v>
      </c>
      <c r="Z1368" s="9">
        <v>542</v>
      </c>
      <c r="AA1368" s="9">
        <v>513</v>
      </c>
      <c r="AB1368" s="9">
        <v>487</v>
      </c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</row>
    <row r="1369" spans="1:47" ht="14.4">
      <c r="A1369" s="3">
        <f>LOOKUP(D1369,'AMFI DATA_2023H2'!F:L,'AMFI DATA_2023H2'!L:L)</f>
        <v>1578</v>
      </c>
      <c r="B1369" s="4" t="s">
        <v>4106</v>
      </c>
      <c r="C1369" s="4" t="s">
        <v>4107</v>
      </c>
      <c r="D1369" s="5" t="s">
        <v>4108</v>
      </c>
      <c r="E1369" s="5">
        <v>327.43</v>
      </c>
      <c r="F1369" s="6">
        <f>LOOKUP(D1369,'AMFI DATA_2023H2'!F:J,'AMFI DATA_2023H2'!J:J)</f>
        <v>429.99519999999995</v>
      </c>
      <c r="G1369" s="7">
        <f t="shared" si="5"/>
        <v>-1</v>
      </c>
      <c r="H1369" s="9"/>
      <c r="I1369" s="9">
        <v>587</v>
      </c>
      <c r="J1369" s="9">
        <v>567</v>
      </c>
      <c r="K1369" s="9">
        <v>561</v>
      </c>
      <c r="L1369" s="9">
        <v>565</v>
      </c>
      <c r="M1369" s="9">
        <v>585</v>
      </c>
      <c r="N1369" s="9">
        <v>555</v>
      </c>
      <c r="O1369" s="9">
        <v>562</v>
      </c>
      <c r="P1369" s="9">
        <v>566</v>
      </c>
      <c r="Q1369" s="9">
        <v>570</v>
      </c>
      <c r="R1369" s="9">
        <v>567</v>
      </c>
      <c r="S1369" s="9">
        <v>576</v>
      </c>
      <c r="T1369" s="9">
        <v>580</v>
      </c>
      <c r="U1369" s="9">
        <v>591</v>
      </c>
      <c r="V1369" s="9">
        <v>619</v>
      </c>
      <c r="W1369" s="9">
        <v>545</v>
      </c>
      <c r="X1369" s="9">
        <v>558</v>
      </c>
      <c r="Y1369" s="9">
        <v>567</v>
      </c>
      <c r="Z1369" s="9">
        <v>576</v>
      </c>
      <c r="AA1369" s="9">
        <v>585</v>
      </c>
      <c r="AB1369" s="9">
        <v>579</v>
      </c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</row>
    <row r="1370" spans="1:47" ht="14.4">
      <c r="A1370" s="3">
        <f>LOOKUP(D1370,'AMFI DATA_2023H2'!F:L,'AMFI DATA_2023H2'!L:L)</f>
        <v>1580</v>
      </c>
      <c r="B1370" s="4" t="s">
        <v>4109</v>
      </c>
      <c r="C1370" s="4" t="s">
        <v>4110</v>
      </c>
      <c r="D1370" s="5" t="s">
        <v>4111</v>
      </c>
      <c r="E1370" s="5">
        <v>340.66</v>
      </c>
      <c r="F1370" s="6">
        <f>LOOKUP(D1370,'AMFI DATA_2023H2'!F:J,'AMFI DATA_2023H2'!J:J)</f>
        <v>427.87135000000001</v>
      </c>
      <c r="G1370" s="7">
        <f t="shared" si="5"/>
        <v>-1</v>
      </c>
      <c r="H1370" s="9"/>
      <c r="I1370" s="9">
        <v>440</v>
      </c>
      <c r="J1370" s="9">
        <v>440</v>
      </c>
      <c r="K1370" s="9">
        <v>441</v>
      </c>
      <c r="L1370" s="9">
        <v>449</v>
      </c>
      <c r="M1370" s="9">
        <v>460</v>
      </c>
      <c r="N1370" s="9">
        <v>471</v>
      </c>
      <c r="O1370" s="9">
        <v>452</v>
      </c>
      <c r="P1370" s="9">
        <v>454</v>
      </c>
      <c r="Q1370" s="9">
        <v>455</v>
      </c>
      <c r="R1370" s="9">
        <v>437</v>
      </c>
      <c r="S1370" s="9">
        <v>443</v>
      </c>
      <c r="T1370" s="9">
        <v>437</v>
      </c>
      <c r="U1370" s="9">
        <v>437</v>
      </c>
      <c r="V1370" s="9">
        <v>448</v>
      </c>
      <c r="W1370" s="9">
        <v>445</v>
      </c>
      <c r="X1370" s="9">
        <v>443</v>
      </c>
      <c r="Y1370" s="9">
        <v>441</v>
      </c>
      <c r="Z1370" s="9">
        <v>443</v>
      </c>
      <c r="AA1370" s="9">
        <v>450</v>
      </c>
      <c r="AB1370" s="9">
        <v>452</v>
      </c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</row>
    <row r="1371" spans="1:47" ht="14.4">
      <c r="A1371" s="3">
        <f>LOOKUP(D1371,'AMFI DATA_2023H2'!F:L,'AMFI DATA_2023H2'!L:L)</f>
        <v>1581</v>
      </c>
      <c r="B1371" s="4" t="s">
        <v>4112</v>
      </c>
      <c r="C1371" s="4" t="s">
        <v>4113</v>
      </c>
      <c r="D1371" s="5" t="s">
        <v>4114</v>
      </c>
      <c r="E1371" s="5">
        <v>324.08</v>
      </c>
      <c r="F1371" s="6">
        <f>LOOKUP(D1371,'AMFI DATA_2023H2'!F:J,'AMFI DATA_2023H2'!J:J)</f>
        <v>427.29059999999998</v>
      </c>
      <c r="G1371" s="7">
        <f t="shared" si="5"/>
        <v>-1</v>
      </c>
      <c r="H1371" s="9"/>
      <c r="I1371" s="9">
        <v>448</v>
      </c>
      <c r="J1371" s="9">
        <v>437</v>
      </c>
      <c r="K1371" s="9">
        <v>444</v>
      </c>
      <c r="L1371" s="9">
        <v>450</v>
      </c>
      <c r="M1371" s="9">
        <v>459</v>
      </c>
      <c r="N1371" s="9">
        <v>460</v>
      </c>
      <c r="O1371" s="9">
        <v>452</v>
      </c>
      <c r="P1371" s="9">
        <v>453</v>
      </c>
      <c r="Q1371" s="9">
        <v>451</v>
      </c>
      <c r="R1371" s="9">
        <v>458</v>
      </c>
      <c r="S1371" s="9">
        <v>460</v>
      </c>
      <c r="T1371" s="9">
        <v>459</v>
      </c>
      <c r="U1371" s="9">
        <v>439</v>
      </c>
      <c r="V1371" s="9">
        <v>441</v>
      </c>
      <c r="W1371" s="9">
        <v>443</v>
      </c>
      <c r="X1371" s="9">
        <v>437</v>
      </c>
      <c r="Y1371" s="9">
        <v>436</v>
      </c>
      <c r="Z1371" s="9">
        <v>435</v>
      </c>
      <c r="AA1371" s="9">
        <v>438</v>
      </c>
      <c r="AB1371" s="9">
        <v>434</v>
      </c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</row>
    <row r="1372" spans="1:47" ht="14.4">
      <c r="A1372" s="3">
        <f>LOOKUP(D1372,'AMFI DATA_2023H2'!F:L,'AMFI DATA_2023H2'!L:L)</f>
        <v>1582</v>
      </c>
      <c r="B1372" s="4" t="s">
        <v>4115</v>
      </c>
      <c r="C1372" s="4" t="s">
        <v>4116</v>
      </c>
      <c r="D1372" s="5" t="s">
        <v>4117</v>
      </c>
      <c r="E1372" s="5">
        <v>432.22</v>
      </c>
      <c r="F1372" s="6">
        <f>LOOKUP(D1372,'AMFI DATA_2023H2'!F:J,'AMFI DATA_2023H2'!J:J)</f>
        <v>426.27584999999999</v>
      </c>
      <c r="G1372" s="7">
        <f t="shared" si="5"/>
        <v>-1</v>
      </c>
      <c r="H1372" s="9"/>
      <c r="I1372" s="9">
        <v>503</v>
      </c>
      <c r="J1372" s="9">
        <v>475</v>
      </c>
      <c r="K1372" s="9">
        <v>487</v>
      </c>
      <c r="L1372" s="9">
        <v>488</v>
      </c>
      <c r="M1372" s="9">
        <v>497</v>
      </c>
      <c r="N1372" s="9">
        <v>505</v>
      </c>
      <c r="O1372" s="9">
        <v>510</v>
      </c>
      <c r="P1372" s="9">
        <v>505</v>
      </c>
      <c r="Q1372" s="9">
        <v>522</v>
      </c>
      <c r="R1372" s="9">
        <v>509</v>
      </c>
      <c r="S1372" s="9">
        <v>520</v>
      </c>
      <c r="T1372" s="9">
        <v>520</v>
      </c>
      <c r="U1372" s="9">
        <v>483</v>
      </c>
      <c r="V1372" s="9">
        <v>488</v>
      </c>
      <c r="W1372" s="9">
        <v>456</v>
      </c>
      <c r="X1372" s="9">
        <v>457</v>
      </c>
      <c r="Y1372" s="9">
        <v>445</v>
      </c>
      <c r="Z1372" s="9">
        <v>447</v>
      </c>
      <c r="AA1372" s="9">
        <v>450</v>
      </c>
      <c r="AB1372" s="9">
        <v>450</v>
      </c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</row>
    <row r="1373" spans="1:47" ht="14.4">
      <c r="A1373" s="3">
        <f>LOOKUP(D1373,'AMFI DATA_2023H2'!F:L,'AMFI DATA_2023H2'!L:L)</f>
        <v>1585</v>
      </c>
      <c r="B1373" s="4" t="s">
        <v>4118</v>
      </c>
      <c r="C1373" s="4" t="s">
        <v>4119</v>
      </c>
      <c r="D1373" s="5" t="s">
        <v>4120</v>
      </c>
      <c r="E1373" s="5">
        <v>377.71</v>
      </c>
      <c r="F1373" s="6">
        <f>LOOKUP(D1373,'AMFI DATA_2023H2'!F:J,'AMFI DATA_2023H2'!J:J)</f>
        <v>423.63290000000001</v>
      </c>
      <c r="G1373" s="7">
        <f t="shared" si="5"/>
        <v>-1</v>
      </c>
      <c r="H1373" s="9"/>
      <c r="I1373" s="9">
        <v>455</v>
      </c>
      <c r="J1373" s="9">
        <v>456</v>
      </c>
      <c r="K1373" s="9">
        <v>455</v>
      </c>
      <c r="L1373" s="9">
        <v>463</v>
      </c>
      <c r="M1373" s="9">
        <v>462</v>
      </c>
      <c r="N1373" s="9">
        <v>465</v>
      </c>
      <c r="O1373" s="9">
        <v>469</v>
      </c>
      <c r="P1373" s="9">
        <v>467</v>
      </c>
      <c r="Q1373" s="9">
        <v>460</v>
      </c>
      <c r="R1373" s="9">
        <v>460</v>
      </c>
      <c r="S1373" s="9">
        <v>463</v>
      </c>
      <c r="T1373" s="9">
        <v>465</v>
      </c>
      <c r="U1373" s="9">
        <v>466</v>
      </c>
      <c r="V1373" s="9">
        <v>468</v>
      </c>
      <c r="W1373" s="9">
        <v>464</v>
      </c>
      <c r="X1373" s="9">
        <v>455</v>
      </c>
      <c r="Y1373" s="9">
        <v>465</v>
      </c>
      <c r="Z1373" s="9">
        <v>469</v>
      </c>
      <c r="AA1373" s="9">
        <v>460</v>
      </c>
      <c r="AB1373" s="9">
        <v>457</v>
      </c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</row>
    <row r="1374" spans="1:47" ht="14.4">
      <c r="A1374" s="3">
        <f>LOOKUP(D1374,'AMFI DATA_2023H2'!F:L,'AMFI DATA_2023H2'!L:L)</f>
        <v>1586</v>
      </c>
      <c r="B1374" s="4" t="s">
        <v>4121</v>
      </c>
      <c r="C1374" s="4" t="s">
        <v>4122</v>
      </c>
      <c r="D1374" s="5" t="s">
        <v>4123</v>
      </c>
      <c r="E1374" s="5">
        <v>335.78</v>
      </c>
      <c r="F1374" s="6">
        <f>LOOKUP(D1374,'AMFI DATA_2023H2'!F:J,'AMFI DATA_2023H2'!J:J)</f>
        <v>423.17464999999999</v>
      </c>
      <c r="G1374" s="7">
        <f t="shared" si="5"/>
        <v>-1</v>
      </c>
      <c r="H1374" s="9"/>
      <c r="I1374" s="9">
        <v>543</v>
      </c>
      <c r="J1374" s="9">
        <v>533</v>
      </c>
      <c r="K1374" s="9">
        <v>533</v>
      </c>
      <c r="L1374" s="9">
        <v>533</v>
      </c>
      <c r="M1374" s="9">
        <v>522</v>
      </c>
      <c r="N1374" s="9">
        <v>516</v>
      </c>
      <c r="O1374" s="9">
        <v>506</v>
      </c>
      <c r="P1374" s="9">
        <v>496</v>
      </c>
      <c r="Q1374" s="9">
        <v>492</v>
      </c>
      <c r="R1374" s="9">
        <v>483</v>
      </c>
      <c r="S1374" s="9">
        <v>474</v>
      </c>
      <c r="T1374" s="9">
        <v>472</v>
      </c>
      <c r="U1374" s="9">
        <v>474</v>
      </c>
      <c r="V1374" s="9">
        <v>465</v>
      </c>
      <c r="W1374" s="9">
        <v>462</v>
      </c>
      <c r="X1374" s="9">
        <v>471</v>
      </c>
      <c r="Y1374" s="9">
        <v>481</v>
      </c>
      <c r="Z1374" s="9">
        <v>490</v>
      </c>
      <c r="AA1374" s="9">
        <v>484</v>
      </c>
      <c r="AB1374" s="9">
        <v>500</v>
      </c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</row>
    <row r="1375" spans="1:47" ht="14.4">
      <c r="A1375" s="3">
        <f>LOOKUP(D1375,'AMFI DATA_2023H2'!F:L,'AMFI DATA_2023H2'!L:L)</f>
        <v>1588</v>
      </c>
      <c r="B1375" s="4" t="s">
        <v>4124</v>
      </c>
      <c r="C1375" s="4" t="s">
        <v>4125</v>
      </c>
      <c r="D1375" s="5" t="s">
        <v>4126</v>
      </c>
      <c r="E1375" s="5">
        <v>86.1</v>
      </c>
      <c r="F1375" s="6">
        <f>LOOKUP(D1375,'AMFI DATA_2023H2'!F:J,'AMFI DATA_2023H2'!J:J)</f>
        <v>422.18915000000004</v>
      </c>
      <c r="G1375" s="7">
        <f t="shared" si="5"/>
        <v>-1</v>
      </c>
      <c r="H1375" s="9"/>
      <c r="I1375" s="9">
        <v>684</v>
      </c>
      <c r="J1375" s="9">
        <v>672</v>
      </c>
      <c r="K1375" s="9">
        <v>659</v>
      </c>
      <c r="L1375" s="9">
        <v>653</v>
      </c>
      <c r="M1375" s="9">
        <v>635</v>
      </c>
      <c r="N1375" s="9">
        <v>623</v>
      </c>
      <c r="O1375" s="9">
        <v>615</v>
      </c>
      <c r="P1375" s="9">
        <v>600</v>
      </c>
      <c r="Q1375" s="9">
        <v>593</v>
      </c>
      <c r="R1375" s="9">
        <v>571</v>
      </c>
      <c r="S1375" s="9">
        <v>571</v>
      </c>
      <c r="T1375" s="9">
        <v>557</v>
      </c>
      <c r="U1375" s="9">
        <v>553</v>
      </c>
      <c r="V1375" s="9">
        <v>542</v>
      </c>
      <c r="W1375" s="9">
        <v>532</v>
      </c>
      <c r="X1375" s="9">
        <v>518</v>
      </c>
      <c r="Y1375" s="9">
        <v>512</v>
      </c>
      <c r="Z1375" s="9">
        <v>518</v>
      </c>
      <c r="AA1375" s="9">
        <v>508</v>
      </c>
      <c r="AB1375" s="9">
        <v>519</v>
      </c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</row>
    <row r="1376" spans="1:47" ht="14.4">
      <c r="A1376" s="3">
        <f>LOOKUP(D1376,'AMFI DATA_2023H2'!F:L,'AMFI DATA_2023H2'!L:L)</f>
        <v>1589</v>
      </c>
      <c r="B1376" s="4" t="s">
        <v>4127</v>
      </c>
      <c r="C1376" s="4" t="s">
        <v>4128</v>
      </c>
      <c r="D1376" s="5" t="s">
        <v>4129</v>
      </c>
      <c r="E1376" s="5">
        <v>204.18</v>
      </c>
      <c r="F1376" s="6">
        <f>LOOKUP(D1376,'AMFI DATA_2023H2'!F:J,'AMFI DATA_2023H2'!J:J)</f>
        <v>420.1497</v>
      </c>
      <c r="G1376" s="7">
        <f t="shared" si="5"/>
        <v>-1</v>
      </c>
      <c r="H1376" s="9"/>
      <c r="I1376" s="9">
        <v>650</v>
      </c>
      <c r="J1376" s="9">
        <v>670</v>
      </c>
      <c r="K1376" s="9">
        <v>697</v>
      </c>
      <c r="L1376" s="9">
        <v>688</v>
      </c>
      <c r="M1376" s="9">
        <v>709</v>
      </c>
      <c r="N1376" s="9">
        <v>705</v>
      </c>
      <c r="O1376" s="9">
        <v>710</v>
      </c>
      <c r="P1376" s="9">
        <v>684</v>
      </c>
      <c r="Q1376" s="9">
        <v>631</v>
      </c>
      <c r="R1376" s="9">
        <v>587</v>
      </c>
      <c r="S1376" s="9">
        <v>573</v>
      </c>
      <c r="T1376" s="9">
        <v>587</v>
      </c>
      <c r="U1376" s="9">
        <v>575</v>
      </c>
      <c r="V1376" s="9">
        <v>592</v>
      </c>
      <c r="W1376" s="9">
        <v>575</v>
      </c>
      <c r="X1376" s="9">
        <v>527</v>
      </c>
      <c r="Y1376" s="9">
        <v>516</v>
      </c>
      <c r="Z1376" s="9">
        <v>524</v>
      </c>
      <c r="AA1376" s="9">
        <v>534</v>
      </c>
      <c r="AB1376" s="9">
        <v>524</v>
      </c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</row>
    <row r="1377" spans="1:47" ht="14.4">
      <c r="A1377" s="3">
        <f>LOOKUP(D1377,'AMFI DATA_2023H2'!F:L,'AMFI DATA_2023H2'!L:L)</f>
        <v>1592</v>
      </c>
      <c r="B1377" s="4" t="s">
        <v>4130</v>
      </c>
      <c r="C1377" s="4" t="s">
        <v>4131</v>
      </c>
      <c r="D1377" s="5" t="s">
        <v>4132</v>
      </c>
      <c r="E1377" s="5">
        <v>267.31</v>
      </c>
      <c r="F1377" s="6">
        <f>LOOKUP(D1377,'AMFI DATA_2023H2'!F:J,'AMFI DATA_2023H2'!J:J)</f>
        <v>417.96320000000003</v>
      </c>
      <c r="G1377" s="7">
        <f t="shared" si="5"/>
        <v>-1</v>
      </c>
      <c r="H1377" s="9"/>
      <c r="I1377" s="9">
        <v>556</v>
      </c>
      <c r="J1377" s="9">
        <v>548</v>
      </c>
      <c r="K1377" s="9">
        <v>546</v>
      </c>
      <c r="L1377" s="9">
        <v>561</v>
      </c>
      <c r="M1377" s="9">
        <v>550</v>
      </c>
      <c r="N1377" s="9">
        <v>559</v>
      </c>
      <c r="O1377" s="9">
        <v>564</v>
      </c>
      <c r="P1377" s="9">
        <v>541</v>
      </c>
      <c r="Q1377" s="9">
        <v>536</v>
      </c>
      <c r="R1377" s="9">
        <v>538</v>
      </c>
      <c r="S1377" s="9">
        <v>562</v>
      </c>
      <c r="T1377" s="9">
        <v>575</v>
      </c>
      <c r="U1377" s="9">
        <v>572</v>
      </c>
      <c r="V1377" s="9">
        <v>557</v>
      </c>
      <c r="W1377" s="9">
        <v>592</v>
      </c>
      <c r="X1377" s="9">
        <v>598</v>
      </c>
      <c r="Y1377" s="9">
        <v>584</v>
      </c>
      <c r="Z1377" s="9">
        <v>608</v>
      </c>
      <c r="AA1377" s="9">
        <v>605</v>
      </c>
      <c r="AB1377" s="9">
        <v>557</v>
      </c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</row>
    <row r="1378" spans="1:47" ht="14.4">
      <c r="A1378" s="3">
        <f>LOOKUP(D1378,'AMFI DATA_2023H2'!F:L,'AMFI DATA_2023H2'!L:L)</f>
        <v>1595</v>
      </c>
      <c r="B1378" s="4" t="s">
        <v>4133</v>
      </c>
      <c r="C1378" s="4" t="s">
        <v>4134</v>
      </c>
      <c r="D1378" s="5" t="s">
        <v>4135</v>
      </c>
      <c r="E1378" s="5">
        <v>238.62</v>
      </c>
      <c r="F1378" s="6">
        <f>LOOKUP(D1378,'AMFI DATA_2023H2'!F:J,'AMFI DATA_2023H2'!J:J)</f>
        <v>416.32639999999998</v>
      </c>
      <c r="G1378" s="7">
        <f t="shared" si="5"/>
        <v>-1</v>
      </c>
      <c r="H1378" s="9"/>
      <c r="I1378" s="9">
        <v>675</v>
      </c>
      <c r="J1378" s="9">
        <v>661</v>
      </c>
      <c r="K1378" s="9">
        <v>651</v>
      </c>
      <c r="L1378" s="9">
        <v>667</v>
      </c>
      <c r="M1378" s="9">
        <v>691</v>
      </c>
      <c r="N1378" s="9">
        <v>700</v>
      </c>
      <c r="O1378" s="9">
        <v>706</v>
      </c>
      <c r="P1378" s="9">
        <v>696</v>
      </c>
      <c r="Q1378" s="9">
        <v>688</v>
      </c>
      <c r="R1378" s="9">
        <v>703</v>
      </c>
      <c r="S1378" s="9">
        <v>643</v>
      </c>
      <c r="T1378" s="9">
        <v>645</v>
      </c>
      <c r="U1378" s="9">
        <v>644</v>
      </c>
      <c r="V1378" s="9">
        <v>652</v>
      </c>
      <c r="W1378" s="9">
        <v>642</v>
      </c>
      <c r="X1378" s="9">
        <v>651</v>
      </c>
      <c r="Y1378" s="9">
        <v>662</v>
      </c>
      <c r="Z1378" s="9">
        <v>680</v>
      </c>
      <c r="AA1378" s="9">
        <v>688</v>
      </c>
      <c r="AB1378" s="9">
        <v>670</v>
      </c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</row>
    <row r="1379" spans="1:47" ht="14.4">
      <c r="A1379" s="3">
        <f>LOOKUP(D1379,'AMFI DATA_2023H2'!F:L,'AMFI DATA_2023H2'!L:L)</f>
        <v>1596</v>
      </c>
      <c r="B1379" s="4" t="s">
        <v>4136</v>
      </c>
      <c r="C1379" s="4" t="s">
        <v>4137</v>
      </c>
      <c r="D1379" s="5" t="s">
        <v>4138</v>
      </c>
      <c r="E1379" s="5">
        <v>364.29</v>
      </c>
      <c r="F1379" s="6">
        <f>LOOKUP(D1379,'AMFI DATA_2023H2'!F:J,'AMFI DATA_2023H2'!J:J)</f>
        <v>415.84789999999998</v>
      </c>
      <c r="G1379" s="7">
        <f t="shared" si="5"/>
        <v>-1</v>
      </c>
      <c r="H1379" s="9"/>
      <c r="I1379" s="9">
        <v>474</v>
      </c>
      <c r="J1379" s="9">
        <v>469</v>
      </c>
      <c r="K1379" s="9">
        <v>480</v>
      </c>
      <c r="L1379" s="9">
        <v>492</v>
      </c>
      <c r="M1379" s="9">
        <v>464</v>
      </c>
      <c r="N1379" s="9">
        <v>461</v>
      </c>
      <c r="O1379" s="9">
        <v>462</v>
      </c>
      <c r="P1379" s="9">
        <v>462</v>
      </c>
      <c r="Q1379" s="9">
        <v>468</v>
      </c>
      <c r="R1379" s="9">
        <v>475</v>
      </c>
      <c r="S1379" s="9">
        <v>473</v>
      </c>
      <c r="T1379" s="9">
        <v>467</v>
      </c>
      <c r="U1379" s="9">
        <v>462</v>
      </c>
      <c r="V1379" s="9">
        <v>466</v>
      </c>
      <c r="W1379" s="9">
        <v>459</v>
      </c>
      <c r="X1379" s="9">
        <v>452</v>
      </c>
      <c r="Y1379" s="9">
        <v>455</v>
      </c>
      <c r="Z1379" s="9">
        <v>465</v>
      </c>
      <c r="AA1379" s="9">
        <v>462</v>
      </c>
      <c r="AB1379" s="9">
        <v>464</v>
      </c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</row>
    <row r="1380" spans="1:47" ht="14.4">
      <c r="A1380" s="3">
        <f>LOOKUP(D1380,'AMFI DATA_2023H2'!F:L,'AMFI DATA_2023H2'!L:L)</f>
        <v>1597</v>
      </c>
      <c r="B1380" s="4" t="s">
        <v>4139</v>
      </c>
      <c r="C1380" s="4" t="s">
        <v>4140</v>
      </c>
      <c r="D1380" s="5" t="s">
        <v>4141</v>
      </c>
      <c r="E1380" s="5">
        <v>554.9</v>
      </c>
      <c r="F1380" s="6">
        <f>LOOKUP(D1380,'AMFI DATA_2023H2'!F:J,'AMFI DATA_2023H2'!J:J)</f>
        <v>415.23040000000003</v>
      </c>
      <c r="G1380" s="7">
        <f t="shared" si="5"/>
        <v>-1</v>
      </c>
      <c r="H1380" s="9"/>
      <c r="I1380" s="9">
        <v>355</v>
      </c>
      <c r="J1380" s="9">
        <v>350</v>
      </c>
      <c r="K1380" s="9">
        <v>352</v>
      </c>
      <c r="L1380" s="9">
        <v>354</v>
      </c>
      <c r="M1380" s="9">
        <v>363</v>
      </c>
      <c r="N1380" s="9">
        <v>362</v>
      </c>
      <c r="O1380" s="9">
        <v>365</v>
      </c>
      <c r="P1380" s="9">
        <v>361</v>
      </c>
      <c r="Q1380" s="9">
        <v>367</v>
      </c>
      <c r="R1380" s="9">
        <v>365</v>
      </c>
      <c r="S1380" s="9">
        <v>366</v>
      </c>
      <c r="T1380" s="9">
        <v>369</v>
      </c>
      <c r="U1380" s="9">
        <v>373</v>
      </c>
      <c r="V1380" s="9">
        <v>365</v>
      </c>
      <c r="W1380" s="9">
        <v>355</v>
      </c>
      <c r="X1380" s="9">
        <v>355</v>
      </c>
      <c r="Y1380" s="9">
        <v>355</v>
      </c>
      <c r="Z1380" s="9">
        <v>356</v>
      </c>
      <c r="AA1380" s="9">
        <v>359</v>
      </c>
      <c r="AB1380" s="9">
        <v>356</v>
      </c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</row>
    <row r="1381" spans="1:47" ht="14.4">
      <c r="A1381" s="3">
        <f>LOOKUP(D1381,'AMFI DATA_2023H2'!F:L,'AMFI DATA_2023H2'!L:L)</f>
        <v>1599</v>
      </c>
      <c r="B1381" s="4" t="s">
        <v>4142</v>
      </c>
      <c r="C1381" s="4" t="s">
        <v>4143</v>
      </c>
      <c r="D1381" s="5" t="s">
        <v>4144</v>
      </c>
      <c r="E1381" s="5">
        <v>331.54</v>
      </c>
      <c r="F1381" s="6">
        <f>LOOKUP(D1381,'AMFI DATA_2023H2'!F:J,'AMFI DATA_2023H2'!J:J)</f>
        <v>413.85</v>
      </c>
      <c r="G1381" s="7">
        <f t="shared" si="5"/>
        <v>-1</v>
      </c>
      <c r="H1381" s="9"/>
      <c r="I1381" s="9">
        <v>506</v>
      </c>
      <c r="J1381" s="9">
        <v>513</v>
      </c>
      <c r="K1381" s="9">
        <v>500</v>
      </c>
      <c r="L1381" s="9">
        <v>501</v>
      </c>
      <c r="M1381" s="9">
        <v>515</v>
      </c>
      <c r="N1381" s="9">
        <v>521</v>
      </c>
      <c r="O1381" s="9">
        <v>538</v>
      </c>
      <c r="P1381" s="9">
        <v>538</v>
      </c>
      <c r="Q1381" s="9">
        <v>476</v>
      </c>
      <c r="R1381" s="9">
        <v>453</v>
      </c>
      <c r="S1381" s="9">
        <v>460</v>
      </c>
      <c r="T1381" s="9">
        <v>465</v>
      </c>
      <c r="U1381" s="9">
        <v>463</v>
      </c>
      <c r="V1381" s="9">
        <v>469</v>
      </c>
      <c r="W1381" s="9">
        <v>477</v>
      </c>
      <c r="X1381" s="9">
        <v>475</v>
      </c>
      <c r="Y1381" s="9">
        <v>470</v>
      </c>
      <c r="Z1381" s="9">
        <v>441</v>
      </c>
      <c r="AA1381" s="9">
        <v>444</v>
      </c>
      <c r="AB1381" s="9">
        <v>448</v>
      </c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</row>
    <row r="1382" spans="1:47" ht="14.4">
      <c r="A1382" s="3">
        <f>LOOKUP(D1382,'AMFI DATA_2023H2'!F:L,'AMFI DATA_2023H2'!L:L)</f>
        <v>1601</v>
      </c>
      <c r="B1382" s="4" t="s">
        <v>4145</v>
      </c>
      <c r="C1382" s="4" t="s">
        <v>4146</v>
      </c>
      <c r="D1382" s="5" t="s">
        <v>4147</v>
      </c>
      <c r="E1382" s="5">
        <v>289.75</v>
      </c>
      <c r="F1382" s="6">
        <f>LOOKUP(D1382,'AMFI DATA_2023H2'!F:J,'AMFI DATA_2023H2'!J:J)</f>
        <v>413.27774999999997</v>
      </c>
      <c r="G1382" s="7">
        <f t="shared" si="5"/>
        <v>-1</v>
      </c>
      <c r="H1382" s="9"/>
      <c r="I1382" s="9">
        <v>554</v>
      </c>
      <c r="J1382" s="9">
        <v>548</v>
      </c>
      <c r="K1382" s="9">
        <v>539</v>
      </c>
      <c r="L1382" s="9">
        <v>549</v>
      </c>
      <c r="M1382" s="9">
        <v>577</v>
      </c>
      <c r="N1382" s="9">
        <v>562</v>
      </c>
      <c r="O1382" s="9">
        <v>578</v>
      </c>
      <c r="P1382" s="9">
        <v>568</v>
      </c>
      <c r="Q1382" s="9">
        <v>568</v>
      </c>
      <c r="R1382" s="9">
        <v>586</v>
      </c>
      <c r="S1382" s="9">
        <v>562</v>
      </c>
      <c r="T1382" s="9">
        <v>548</v>
      </c>
      <c r="U1382" s="9">
        <v>533</v>
      </c>
      <c r="V1382" s="9">
        <v>509</v>
      </c>
      <c r="W1382" s="9">
        <v>497</v>
      </c>
      <c r="X1382" s="9">
        <v>497</v>
      </c>
      <c r="Y1382" s="9">
        <v>510</v>
      </c>
      <c r="Z1382" s="9">
        <v>508</v>
      </c>
      <c r="AA1382" s="9">
        <v>516</v>
      </c>
      <c r="AB1382" s="9">
        <v>535</v>
      </c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</row>
    <row r="1383" spans="1:47" ht="14.4">
      <c r="A1383" s="3">
        <f>LOOKUP(D1383,'AMFI DATA_2023H2'!F:L,'AMFI DATA_2023H2'!L:L)</f>
        <v>1602</v>
      </c>
      <c r="B1383" s="4" t="s">
        <v>4148</v>
      </c>
      <c r="C1383" s="4" t="s">
        <v>4149</v>
      </c>
      <c r="D1383" s="5" t="s">
        <v>4150</v>
      </c>
      <c r="E1383" s="5">
        <v>357.91</v>
      </c>
      <c r="F1383" s="6">
        <f>LOOKUP(D1383,'AMFI DATA_2023H2'!F:J,'AMFI DATA_2023H2'!J:J)</f>
        <v>412.63845000000003</v>
      </c>
      <c r="G1383" s="7">
        <f t="shared" si="5"/>
        <v>-1</v>
      </c>
      <c r="H1383" s="9"/>
      <c r="I1383" s="9">
        <v>622</v>
      </c>
      <c r="J1383" s="9">
        <v>607</v>
      </c>
      <c r="K1383" s="9">
        <v>607</v>
      </c>
      <c r="L1383" s="9">
        <v>620</v>
      </c>
      <c r="M1383" s="9">
        <v>642</v>
      </c>
      <c r="N1383" s="9">
        <v>644</v>
      </c>
      <c r="O1383" s="9">
        <v>564</v>
      </c>
      <c r="P1383" s="9">
        <v>566</v>
      </c>
      <c r="Q1383" s="9">
        <v>569</v>
      </c>
      <c r="R1383" s="9">
        <v>581</v>
      </c>
      <c r="S1383" s="9">
        <v>581</v>
      </c>
      <c r="T1383" s="9">
        <v>572</v>
      </c>
      <c r="U1383" s="9">
        <v>574</v>
      </c>
      <c r="V1383" s="9">
        <v>555</v>
      </c>
      <c r="W1383" s="9">
        <v>559</v>
      </c>
      <c r="X1383" s="9">
        <v>568</v>
      </c>
      <c r="Y1383" s="9">
        <v>568</v>
      </c>
      <c r="Z1383" s="9">
        <v>543</v>
      </c>
      <c r="AA1383" s="9">
        <v>560</v>
      </c>
      <c r="AB1383" s="9">
        <v>542</v>
      </c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</row>
    <row r="1384" spans="1:47" ht="14.4">
      <c r="A1384" s="3">
        <f>LOOKUP(D1384,'AMFI DATA_2023H2'!F:L,'AMFI DATA_2023H2'!L:L)</f>
        <v>1603</v>
      </c>
      <c r="B1384" s="4" t="s">
        <v>4151</v>
      </c>
      <c r="C1384" s="4" t="s">
        <v>4152</v>
      </c>
      <c r="D1384" s="5" t="s">
        <v>4153</v>
      </c>
      <c r="E1384" s="5">
        <v>375.84</v>
      </c>
      <c r="F1384" s="6">
        <f>LOOKUP(D1384,'AMFI DATA_2023H2'!F:J,'AMFI DATA_2023H2'!J:J)</f>
        <v>412.12605000000002</v>
      </c>
      <c r="G1384" s="7">
        <f t="shared" si="5"/>
        <v>-1</v>
      </c>
      <c r="H1384" s="9"/>
      <c r="I1384" s="9">
        <v>335</v>
      </c>
      <c r="J1384" s="9">
        <v>325</v>
      </c>
      <c r="K1384" s="9">
        <v>329</v>
      </c>
      <c r="L1384" s="9">
        <v>334</v>
      </c>
      <c r="M1384" s="9">
        <v>348</v>
      </c>
      <c r="N1384" s="9">
        <v>349</v>
      </c>
      <c r="O1384" s="9">
        <v>350</v>
      </c>
      <c r="P1384" s="9">
        <v>342</v>
      </c>
      <c r="Q1384" s="9">
        <v>354</v>
      </c>
      <c r="R1384" s="9">
        <v>354</v>
      </c>
      <c r="S1384" s="9">
        <v>354</v>
      </c>
      <c r="T1384" s="9">
        <v>343</v>
      </c>
      <c r="U1384" s="9">
        <v>331</v>
      </c>
      <c r="V1384" s="9">
        <v>316</v>
      </c>
      <c r="W1384" s="9">
        <v>317</v>
      </c>
      <c r="X1384" s="9">
        <v>306</v>
      </c>
      <c r="Y1384" s="9">
        <v>313</v>
      </c>
      <c r="Z1384" s="9">
        <v>326</v>
      </c>
      <c r="AA1384" s="9">
        <v>330</v>
      </c>
      <c r="AB1384" s="9">
        <v>326</v>
      </c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</row>
    <row r="1385" spans="1:47" ht="14.4">
      <c r="A1385" s="3">
        <f>LOOKUP(D1385,'AMFI DATA_2023H2'!F:L,'AMFI DATA_2023H2'!L:L)</f>
        <v>1605</v>
      </c>
      <c r="B1385" s="4" t="s">
        <v>4154</v>
      </c>
      <c r="C1385" s="4" t="s">
        <v>4155</v>
      </c>
      <c r="D1385" s="5" t="s">
        <v>4156</v>
      </c>
      <c r="E1385" s="5">
        <v>375.94</v>
      </c>
      <c r="F1385" s="6">
        <f>LOOKUP(D1385,'AMFI DATA_2023H2'!F:J,'AMFI DATA_2023H2'!J:J)</f>
        <v>411.81344999999999</v>
      </c>
      <c r="G1385" s="7">
        <f t="shared" si="5"/>
        <v>-1</v>
      </c>
      <c r="H1385" s="9"/>
      <c r="I1385" s="9">
        <v>394</v>
      </c>
      <c r="J1385" s="9">
        <v>390</v>
      </c>
      <c r="K1385" s="9">
        <v>394</v>
      </c>
      <c r="L1385" s="9">
        <v>405</v>
      </c>
      <c r="M1385" s="9">
        <v>412</v>
      </c>
      <c r="N1385" s="9">
        <v>415</v>
      </c>
      <c r="O1385" s="9">
        <v>419</v>
      </c>
      <c r="P1385" s="9">
        <v>413</v>
      </c>
      <c r="Q1385" s="9">
        <v>410</v>
      </c>
      <c r="R1385" s="9">
        <v>420</v>
      </c>
      <c r="S1385" s="9">
        <v>413</v>
      </c>
      <c r="T1385" s="9">
        <v>418</v>
      </c>
      <c r="U1385" s="9">
        <v>422</v>
      </c>
      <c r="V1385" s="9">
        <v>423</v>
      </c>
      <c r="W1385" s="9">
        <v>403</v>
      </c>
      <c r="X1385" s="9">
        <v>376</v>
      </c>
      <c r="Y1385" s="9">
        <v>379</v>
      </c>
      <c r="Z1385" s="9">
        <v>379</v>
      </c>
      <c r="AA1385" s="9">
        <v>384</v>
      </c>
      <c r="AB1385" s="9">
        <v>383</v>
      </c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</row>
    <row r="1386" spans="1:47" ht="14.4">
      <c r="A1386" s="3">
        <f>LOOKUP(D1386,'AMFI DATA_2023H2'!F:L,'AMFI DATA_2023H2'!L:L)</f>
        <v>1607</v>
      </c>
      <c r="B1386" s="4" t="s">
        <v>4157</v>
      </c>
      <c r="C1386" s="4" t="s">
        <v>4158</v>
      </c>
      <c r="D1386" s="5" t="s">
        <v>4159</v>
      </c>
      <c r="E1386" s="5">
        <v>307.10000000000002</v>
      </c>
      <c r="F1386" s="6">
        <f>LOOKUP(D1386,'AMFI DATA_2023H2'!F:J,'AMFI DATA_2023H2'!J:J)</f>
        <v>408.53830000000005</v>
      </c>
      <c r="G1386" s="7">
        <f t="shared" si="5"/>
        <v>-1</v>
      </c>
      <c r="H1386" s="9"/>
      <c r="I1386" s="9">
        <v>531</v>
      </c>
      <c r="J1386" s="9">
        <v>530</v>
      </c>
      <c r="K1386" s="9">
        <v>537</v>
      </c>
      <c r="L1386" s="9">
        <v>529</v>
      </c>
      <c r="M1386" s="9">
        <v>539</v>
      </c>
      <c r="N1386" s="9">
        <v>511</v>
      </c>
      <c r="O1386" s="9">
        <v>506</v>
      </c>
      <c r="P1386" s="9">
        <v>493</v>
      </c>
      <c r="Q1386" s="9">
        <v>492</v>
      </c>
      <c r="R1386" s="9">
        <v>485</v>
      </c>
      <c r="S1386" s="9">
        <v>485</v>
      </c>
      <c r="T1386" s="9">
        <v>487</v>
      </c>
      <c r="U1386" s="9">
        <v>483</v>
      </c>
      <c r="V1386" s="9">
        <v>477</v>
      </c>
      <c r="W1386" s="9">
        <v>473</v>
      </c>
      <c r="X1386" s="9">
        <v>485</v>
      </c>
      <c r="Y1386" s="9">
        <v>477</v>
      </c>
      <c r="Z1386" s="9">
        <v>496</v>
      </c>
      <c r="AA1386" s="9">
        <v>487</v>
      </c>
      <c r="AB1386" s="9">
        <v>472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</row>
    <row r="1387" spans="1:47" ht="14.4">
      <c r="A1387" s="3">
        <f>LOOKUP(D1387,'AMFI DATA_2023H2'!F:L,'AMFI DATA_2023H2'!L:L)</f>
        <v>1608</v>
      </c>
      <c r="B1387" s="4" t="s">
        <v>4160</v>
      </c>
      <c r="C1387" s="4" t="s">
        <v>4161</v>
      </c>
      <c r="D1387" s="5" t="s">
        <v>4162</v>
      </c>
      <c r="E1387" s="5">
        <v>265.12</v>
      </c>
      <c r="F1387" s="6">
        <f>LOOKUP(D1387,'AMFI DATA_2023H2'!F:J,'AMFI DATA_2023H2'!J:J)</f>
        <v>406.68185</v>
      </c>
      <c r="G1387" s="7">
        <f t="shared" si="5"/>
        <v>-1</v>
      </c>
      <c r="H1387" s="9"/>
      <c r="I1387" s="9">
        <v>516</v>
      </c>
      <c r="J1387" s="9">
        <v>522</v>
      </c>
      <c r="K1387" s="9">
        <v>532</v>
      </c>
      <c r="L1387" s="9">
        <v>523</v>
      </c>
      <c r="M1387" s="9">
        <v>539</v>
      </c>
      <c r="N1387" s="9">
        <v>540</v>
      </c>
      <c r="O1387" s="9">
        <v>542</v>
      </c>
      <c r="P1387" s="9">
        <v>544</v>
      </c>
      <c r="Q1387" s="9">
        <v>554</v>
      </c>
      <c r="R1387" s="9">
        <v>548</v>
      </c>
      <c r="S1387" s="9">
        <v>553</v>
      </c>
      <c r="T1387" s="9">
        <v>560</v>
      </c>
      <c r="U1387" s="9">
        <v>559</v>
      </c>
      <c r="V1387" s="9">
        <v>577</v>
      </c>
      <c r="W1387" s="9">
        <v>578</v>
      </c>
      <c r="X1387" s="9">
        <v>586</v>
      </c>
      <c r="Y1387" s="9">
        <v>596</v>
      </c>
      <c r="Z1387" s="9">
        <v>569</v>
      </c>
      <c r="AA1387" s="9">
        <v>613</v>
      </c>
      <c r="AB1387" s="9">
        <v>519</v>
      </c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</row>
    <row r="1388" spans="1:47" ht="14.4">
      <c r="A1388" s="3">
        <f>LOOKUP(D1388,'AMFI DATA_2023H2'!F:L,'AMFI DATA_2023H2'!L:L)</f>
        <v>1609</v>
      </c>
      <c r="B1388" s="4" t="s">
        <v>4163</v>
      </c>
      <c r="C1388" s="4" t="s">
        <v>4164</v>
      </c>
      <c r="D1388" s="5" t="s">
        <v>4165</v>
      </c>
      <c r="E1388" s="5">
        <v>264.70999999999998</v>
      </c>
      <c r="F1388" s="6">
        <f>LOOKUP(D1388,'AMFI DATA_2023H2'!F:J,'AMFI DATA_2023H2'!J:J)</f>
        <v>405.44484999999997</v>
      </c>
      <c r="G1388" s="7">
        <f t="shared" si="5"/>
        <v>-1</v>
      </c>
      <c r="H1388" s="9"/>
      <c r="I1388" s="9">
        <v>640</v>
      </c>
      <c r="J1388" s="9">
        <v>635</v>
      </c>
      <c r="K1388" s="9">
        <v>635</v>
      </c>
      <c r="L1388" s="9">
        <v>635</v>
      </c>
      <c r="M1388" s="9">
        <v>645</v>
      </c>
      <c r="N1388" s="9">
        <v>652</v>
      </c>
      <c r="O1388" s="9">
        <v>664</v>
      </c>
      <c r="P1388" s="9">
        <v>633</v>
      </c>
      <c r="Q1388" s="9">
        <v>647</v>
      </c>
      <c r="R1388" s="9">
        <v>646</v>
      </c>
      <c r="S1388" s="9">
        <v>622</v>
      </c>
      <c r="T1388" s="9">
        <v>586</v>
      </c>
      <c r="U1388" s="9">
        <v>566</v>
      </c>
      <c r="V1388" s="9">
        <v>561</v>
      </c>
      <c r="W1388" s="9">
        <v>584</v>
      </c>
      <c r="X1388" s="9">
        <v>600</v>
      </c>
      <c r="Y1388" s="9">
        <v>600</v>
      </c>
      <c r="Z1388" s="9">
        <v>603</v>
      </c>
      <c r="AA1388" s="9">
        <v>592</v>
      </c>
      <c r="AB1388" s="9">
        <v>615</v>
      </c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</row>
    <row r="1389" spans="1:47" ht="14.4">
      <c r="A1389" s="3">
        <f>LOOKUP(D1389,'AMFI DATA_2023H2'!F:L,'AMFI DATA_2023H2'!L:L)</f>
        <v>1610</v>
      </c>
      <c r="B1389" s="4" t="s">
        <v>4166</v>
      </c>
      <c r="C1389" s="4" t="s">
        <v>4167</v>
      </c>
      <c r="D1389" s="5" t="s">
        <v>4168</v>
      </c>
      <c r="E1389" s="5">
        <v>309.01</v>
      </c>
      <c r="F1389" s="6">
        <f>LOOKUP(D1389,'AMFI DATA_2023H2'!F:J,'AMFI DATA_2023H2'!J:J)</f>
        <v>404.89659999999998</v>
      </c>
      <c r="G1389" s="7">
        <f t="shared" si="5"/>
        <v>-1</v>
      </c>
      <c r="H1389" s="9"/>
      <c r="I1389" s="9">
        <v>767</v>
      </c>
      <c r="J1389" s="9">
        <v>745</v>
      </c>
      <c r="K1389" s="9">
        <v>731</v>
      </c>
      <c r="L1389" s="9">
        <v>720</v>
      </c>
      <c r="M1389" s="9">
        <v>756</v>
      </c>
      <c r="N1389" s="9">
        <v>796</v>
      </c>
      <c r="O1389" s="9">
        <v>813</v>
      </c>
      <c r="P1389" s="9">
        <v>774</v>
      </c>
      <c r="Q1389" s="9">
        <v>742</v>
      </c>
      <c r="R1389" s="9">
        <v>707</v>
      </c>
      <c r="S1389" s="9">
        <v>741</v>
      </c>
      <c r="T1389" s="9">
        <v>716</v>
      </c>
      <c r="U1389" s="9">
        <v>692</v>
      </c>
      <c r="V1389" s="9">
        <v>659</v>
      </c>
      <c r="W1389" s="9">
        <v>627</v>
      </c>
      <c r="X1389" s="9">
        <v>610</v>
      </c>
      <c r="Y1389" s="9">
        <v>623</v>
      </c>
      <c r="Z1389" s="9">
        <v>635</v>
      </c>
      <c r="AA1389" s="9">
        <v>635</v>
      </c>
      <c r="AB1389" s="9">
        <v>648</v>
      </c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</row>
    <row r="1390" spans="1:47" ht="14.4">
      <c r="A1390" s="3">
        <f>LOOKUP(D1390,'AMFI DATA_2023H2'!F:L,'AMFI DATA_2023H2'!L:L)</f>
        <v>1611</v>
      </c>
      <c r="B1390" s="4" t="s">
        <v>4169</v>
      </c>
      <c r="C1390" s="4" t="s">
        <v>4170</v>
      </c>
      <c r="D1390" s="5" t="s">
        <v>4171</v>
      </c>
      <c r="E1390" s="5">
        <v>326.60000000000002</v>
      </c>
      <c r="F1390" s="6">
        <f>LOOKUP(D1390,'AMFI DATA_2023H2'!F:J,'AMFI DATA_2023H2'!J:J)</f>
        <v>404.58260000000001</v>
      </c>
      <c r="G1390" s="7">
        <f t="shared" si="5"/>
        <v>-1</v>
      </c>
      <c r="H1390" s="9"/>
      <c r="I1390" s="9">
        <v>597</v>
      </c>
      <c r="J1390" s="9">
        <v>601</v>
      </c>
      <c r="K1390" s="9">
        <v>600</v>
      </c>
      <c r="L1390" s="9">
        <v>557</v>
      </c>
      <c r="M1390" s="9">
        <v>597</v>
      </c>
      <c r="N1390" s="9">
        <v>657</v>
      </c>
      <c r="O1390" s="9">
        <v>659</v>
      </c>
      <c r="P1390" s="9">
        <v>623</v>
      </c>
      <c r="Q1390" s="9">
        <v>519</v>
      </c>
      <c r="R1390" s="9">
        <v>473</v>
      </c>
      <c r="S1390" s="9">
        <v>394</v>
      </c>
      <c r="T1390" s="9">
        <v>395</v>
      </c>
      <c r="U1390" s="9">
        <v>397</v>
      </c>
      <c r="V1390" s="9">
        <v>402</v>
      </c>
      <c r="W1390" s="9">
        <v>390</v>
      </c>
      <c r="X1390" s="9">
        <v>393</v>
      </c>
      <c r="Y1390" s="9">
        <v>401</v>
      </c>
      <c r="Z1390" s="9">
        <v>403</v>
      </c>
      <c r="AA1390" s="9">
        <v>402</v>
      </c>
      <c r="AB1390" s="9">
        <v>404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</row>
    <row r="1391" spans="1:47" ht="14.4">
      <c r="A1391" s="3">
        <f>LOOKUP(D1391,'AMFI DATA_2023H2'!F:L,'AMFI DATA_2023H2'!L:L)</f>
        <v>1612</v>
      </c>
      <c r="B1391" s="4" t="s">
        <v>4172</v>
      </c>
      <c r="C1391" s="4" t="s">
        <v>4173</v>
      </c>
      <c r="D1391" s="5" t="s">
        <v>4174</v>
      </c>
      <c r="E1391" s="5">
        <v>238.62</v>
      </c>
      <c r="F1391" s="6">
        <f>LOOKUP(D1391,'AMFI DATA_2023H2'!F:J,'AMFI DATA_2023H2'!J:J)</f>
        <v>404.22410000000002</v>
      </c>
      <c r="G1391" s="7">
        <f t="shared" si="5"/>
        <v>-1</v>
      </c>
      <c r="H1391" s="9"/>
      <c r="I1391" s="9">
        <v>383</v>
      </c>
      <c r="J1391" s="9">
        <v>375</v>
      </c>
      <c r="K1391" s="9">
        <v>374</v>
      </c>
      <c r="L1391" s="9">
        <v>392</v>
      </c>
      <c r="M1391" s="9">
        <v>382</v>
      </c>
      <c r="N1391" s="9">
        <v>397</v>
      </c>
      <c r="O1391" s="9">
        <v>375</v>
      </c>
      <c r="P1391" s="9">
        <v>378</v>
      </c>
      <c r="Q1391" s="9">
        <v>385</v>
      </c>
      <c r="R1391" s="9">
        <v>392</v>
      </c>
      <c r="S1391" s="9">
        <v>390</v>
      </c>
      <c r="T1391" s="9">
        <v>401</v>
      </c>
      <c r="U1391" s="9">
        <v>413</v>
      </c>
      <c r="V1391" s="9">
        <v>431</v>
      </c>
      <c r="W1391" s="9">
        <v>417</v>
      </c>
      <c r="X1391" s="9">
        <v>428</v>
      </c>
      <c r="Y1391" s="9">
        <v>402</v>
      </c>
      <c r="Z1391" s="9">
        <v>418</v>
      </c>
      <c r="AA1391" s="9">
        <v>437</v>
      </c>
      <c r="AB1391" s="9">
        <v>428</v>
      </c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</row>
    <row r="1392" spans="1:47" ht="14.4">
      <c r="A1392" s="3">
        <f>LOOKUP(D1392,'AMFI DATA_2023H2'!F:L,'AMFI DATA_2023H2'!L:L)</f>
        <v>1613</v>
      </c>
      <c r="B1392" s="4" t="s">
        <v>4175</v>
      </c>
      <c r="C1392" s="4" t="s">
        <v>4176</v>
      </c>
      <c r="D1392" s="5" t="s">
        <v>4177</v>
      </c>
      <c r="E1392" s="5">
        <v>293.48</v>
      </c>
      <c r="F1392" s="6">
        <f>LOOKUP(D1392,'AMFI DATA_2023H2'!F:J,'AMFI DATA_2023H2'!J:J)</f>
        <v>403.27089999999998</v>
      </c>
      <c r="G1392" s="7">
        <f t="shared" si="5"/>
        <v>-1</v>
      </c>
      <c r="H1392" s="9"/>
      <c r="I1392" s="9">
        <v>528</v>
      </c>
      <c r="J1392" s="9">
        <v>520</v>
      </c>
      <c r="K1392" s="9">
        <v>530</v>
      </c>
      <c r="L1392" s="9">
        <v>501</v>
      </c>
      <c r="M1392" s="9">
        <v>512</v>
      </c>
      <c r="N1392" s="9">
        <v>532</v>
      </c>
      <c r="O1392" s="9">
        <v>536</v>
      </c>
      <c r="P1392" s="9">
        <v>553</v>
      </c>
      <c r="Q1392" s="9">
        <v>492</v>
      </c>
      <c r="R1392" s="9">
        <v>497</v>
      </c>
      <c r="S1392" s="9">
        <v>466</v>
      </c>
      <c r="T1392" s="9">
        <v>481</v>
      </c>
      <c r="U1392" s="9">
        <v>457</v>
      </c>
      <c r="V1392" s="9">
        <v>451</v>
      </c>
      <c r="W1392" s="9">
        <v>438</v>
      </c>
      <c r="X1392" s="9">
        <v>434</v>
      </c>
      <c r="Y1392" s="9">
        <v>430</v>
      </c>
      <c r="Z1392" s="9">
        <v>431</v>
      </c>
      <c r="AA1392" s="9">
        <v>425</v>
      </c>
      <c r="AB1392" s="9">
        <v>424</v>
      </c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</row>
    <row r="1393" spans="1:47" ht="14.4">
      <c r="A1393" s="3">
        <f>LOOKUP(D1393,'AMFI DATA_2023H2'!F:L,'AMFI DATA_2023H2'!L:L)</f>
        <v>1614</v>
      </c>
      <c r="B1393" s="4" t="s">
        <v>4178</v>
      </c>
      <c r="C1393" s="4" t="s">
        <v>4179</v>
      </c>
      <c r="D1393" s="5" t="s">
        <v>4180</v>
      </c>
      <c r="E1393" s="5">
        <v>360.54</v>
      </c>
      <c r="F1393" s="6">
        <f>LOOKUP(D1393,'AMFI DATA_2023H2'!F:J,'AMFI DATA_2023H2'!J:J)</f>
        <v>398.89355</v>
      </c>
      <c r="G1393" s="7">
        <f t="shared" si="5"/>
        <v>-1</v>
      </c>
      <c r="H1393" s="9"/>
      <c r="I1393" s="9">
        <v>517</v>
      </c>
      <c r="J1393" s="9">
        <v>515</v>
      </c>
      <c r="K1393" s="9">
        <v>512</v>
      </c>
      <c r="L1393" s="9">
        <v>455</v>
      </c>
      <c r="M1393" s="9">
        <v>439</v>
      </c>
      <c r="N1393" s="9">
        <v>455</v>
      </c>
      <c r="O1393" s="9">
        <v>463</v>
      </c>
      <c r="P1393" s="9">
        <v>472</v>
      </c>
      <c r="Q1393" s="9">
        <v>444</v>
      </c>
      <c r="R1393" s="9">
        <v>455</v>
      </c>
      <c r="S1393" s="9">
        <v>425</v>
      </c>
      <c r="T1393" s="9">
        <v>429</v>
      </c>
      <c r="U1393" s="9">
        <v>425</v>
      </c>
      <c r="V1393" s="9">
        <v>425</v>
      </c>
      <c r="W1393" s="9">
        <v>432</v>
      </c>
      <c r="X1393" s="9">
        <v>436</v>
      </c>
      <c r="Y1393" s="9">
        <v>432</v>
      </c>
      <c r="Z1393" s="9">
        <v>442</v>
      </c>
      <c r="AA1393" s="9">
        <v>422</v>
      </c>
      <c r="AB1393" s="9">
        <v>426</v>
      </c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</row>
    <row r="1394" spans="1:47" ht="14.4">
      <c r="A1394" s="3">
        <f>LOOKUP(D1394,'AMFI DATA_2023H2'!F:L,'AMFI DATA_2023H2'!L:L)</f>
        <v>1615</v>
      </c>
      <c r="B1394" s="4" t="s">
        <v>4181</v>
      </c>
      <c r="C1394" s="4" t="s">
        <v>4182</v>
      </c>
      <c r="D1394" s="5" t="s">
        <v>4183</v>
      </c>
      <c r="E1394" s="5">
        <v>357.21</v>
      </c>
      <c r="F1394" s="6">
        <f>LOOKUP(D1394,'AMFI DATA_2023H2'!F:J,'AMFI DATA_2023H2'!J:J)</f>
        <v>398.77109999999999</v>
      </c>
      <c r="G1394" s="7">
        <f t="shared" si="5"/>
        <v>-1</v>
      </c>
      <c r="H1394" s="9"/>
      <c r="I1394" s="9">
        <v>375</v>
      </c>
      <c r="J1394" s="9">
        <v>376</v>
      </c>
      <c r="K1394" s="9">
        <v>381</v>
      </c>
      <c r="L1394" s="9">
        <v>379</v>
      </c>
      <c r="M1394" s="9">
        <v>375</v>
      </c>
      <c r="N1394" s="9">
        <v>376</v>
      </c>
      <c r="O1394" s="9">
        <v>374</v>
      </c>
      <c r="P1394" s="9">
        <v>372</v>
      </c>
      <c r="Q1394" s="9">
        <v>376</v>
      </c>
      <c r="R1394" s="9">
        <v>374</v>
      </c>
      <c r="S1394" s="9">
        <v>380</v>
      </c>
      <c r="T1394" s="9">
        <v>380</v>
      </c>
      <c r="U1394" s="9">
        <v>381</v>
      </c>
      <c r="V1394" s="9">
        <v>381</v>
      </c>
      <c r="W1394" s="9">
        <v>383</v>
      </c>
      <c r="X1394" s="9">
        <v>378</v>
      </c>
      <c r="Y1394" s="9">
        <v>376</v>
      </c>
      <c r="Z1394" s="9">
        <v>377</v>
      </c>
      <c r="AA1394" s="9">
        <v>373</v>
      </c>
      <c r="AB1394" s="9">
        <v>376</v>
      </c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</row>
    <row r="1395" spans="1:47" ht="14.4">
      <c r="A1395" s="3">
        <f>LOOKUP(D1395,'AMFI DATA_2023H2'!F:L,'AMFI DATA_2023H2'!L:L)</f>
        <v>1619</v>
      </c>
      <c r="B1395" s="4" t="s">
        <v>4184</v>
      </c>
      <c r="C1395" s="4" t="s">
        <v>4185</v>
      </c>
      <c r="D1395" s="5" t="s">
        <v>4186</v>
      </c>
      <c r="E1395" s="5">
        <v>305.57</v>
      </c>
      <c r="F1395" s="6">
        <f>LOOKUP(D1395,'AMFI DATA_2023H2'!F:J,'AMFI DATA_2023H2'!J:J)</f>
        <v>393.8621</v>
      </c>
      <c r="G1395" s="7">
        <f t="shared" si="5"/>
        <v>-1</v>
      </c>
      <c r="H1395" s="9"/>
      <c r="I1395" s="9">
        <v>435</v>
      </c>
      <c r="J1395" s="9">
        <v>393</v>
      </c>
      <c r="K1395" s="9">
        <v>402</v>
      </c>
      <c r="L1395" s="9">
        <v>394</v>
      </c>
      <c r="M1395" s="9">
        <v>403</v>
      </c>
      <c r="N1395" s="9">
        <v>410</v>
      </c>
      <c r="O1395" s="9">
        <v>404</v>
      </c>
      <c r="P1395" s="9">
        <v>405</v>
      </c>
      <c r="Q1395" s="9">
        <v>400</v>
      </c>
      <c r="R1395" s="9">
        <v>399</v>
      </c>
      <c r="S1395" s="9">
        <v>410</v>
      </c>
      <c r="T1395" s="9">
        <v>410</v>
      </c>
      <c r="U1395" s="9">
        <v>410</v>
      </c>
      <c r="V1395" s="9">
        <v>398</v>
      </c>
      <c r="W1395" s="9">
        <v>404</v>
      </c>
      <c r="X1395" s="9">
        <v>394</v>
      </c>
      <c r="Y1395" s="9">
        <v>392</v>
      </c>
      <c r="Z1395" s="9">
        <v>389</v>
      </c>
      <c r="AA1395" s="9">
        <v>394</v>
      </c>
      <c r="AB1395" s="9">
        <v>399</v>
      </c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</row>
    <row r="1396" spans="1:47" ht="14.4">
      <c r="A1396" s="3">
        <f>LOOKUP(D1396,'AMFI DATA_2023H2'!F:L,'AMFI DATA_2023H2'!L:L)</f>
        <v>1620</v>
      </c>
      <c r="B1396" s="4" t="s">
        <v>4187</v>
      </c>
      <c r="C1396" s="4" t="s">
        <v>4188</v>
      </c>
      <c r="D1396" s="5" t="s">
        <v>4189</v>
      </c>
      <c r="E1396" s="5">
        <v>333.09</v>
      </c>
      <c r="F1396" s="6">
        <f>LOOKUP(D1396,'AMFI DATA_2023H2'!F:J,'AMFI DATA_2023H2'!J:J)</f>
        <v>391.29444999999998</v>
      </c>
      <c r="G1396" s="7">
        <f t="shared" si="5"/>
        <v>-1</v>
      </c>
      <c r="H1396" s="9"/>
      <c r="I1396" s="9">
        <v>437</v>
      </c>
      <c r="J1396" s="9">
        <v>408</v>
      </c>
      <c r="K1396" s="9">
        <v>416</v>
      </c>
      <c r="L1396" s="9">
        <v>420</v>
      </c>
      <c r="M1396" s="9">
        <v>416</v>
      </c>
      <c r="N1396" s="9">
        <v>401</v>
      </c>
      <c r="O1396" s="9">
        <v>395</v>
      </c>
      <c r="P1396" s="9">
        <v>397</v>
      </c>
      <c r="Q1396" s="9">
        <v>393</v>
      </c>
      <c r="R1396" s="9">
        <v>398</v>
      </c>
      <c r="S1396" s="9">
        <v>399</v>
      </c>
      <c r="T1396" s="9">
        <v>396</v>
      </c>
      <c r="U1396" s="9">
        <v>395</v>
      </c>
      <c r="V1396" s="9">
        <v>398</v>
      </c>
      <c r="W1396" s="9">
        <v>398</v>
      </c>
      <c r="X1396" s="9">
        <v>400</v>
      </c>
      <c r="Y1396" s="9">
        <v>394</v>
      </c>
      <c r="Z1396" s="9">
        <v>402</v>
      </c>
      <c r="AA1396" s="9">
        <v>391</v>
      </c>
      <c r="AB1396" s="9">
        <v>382</v>
      </c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</row>
    <row r="1397" spans="1:47" ht="14.4">
      <c r="A1397" s="3">
        <f>LOOKUP(D1397,'AMFI DATA_2023H2'!F:L,'AMFI DATA_2023H2'!L:L)</f>
        <v>1621</v>
      </c>
      <c r="B1397" s="4" t="s">
        <v>4190</v>
      </c>
      <c r="C1397" s="4" t="s">
        <v>4191</v>
      </c>
      <c r="D1397" s="5" t="s">
        <v>4192</v>
      </c>
      <c r="E1397" s="5">
        <v>370.19</v>
      </c>
      <c r="F1397" s="6">
        <f>LOOKUP(D1397,'AMFI DATA_2023H2'!F:J,'AMFI DATA_2023H2'!J:J)</f>
        <v>390.00279999999998</v>
      </c>
      <c r="G1397" s="7">
        <f t="shared" si="5"/>
        <v>-1</v>
      </c>
      <c r="H1397" s="9"/>
      <c r="I1397" s="9">
        <v>384</v>
      </c>
      <c r="J1397" s="9">
        <v>387</v>
      </c>
      <c r="K1397" s="9">
        <v>386</v>
      </c>
      <c r="L1397" s="9">
        <v>391</v>
      </c>
      <c r="M1397" s="9">
        <v>405</v>
      </c>
      <c r="N1397" s="9">
        <v>418</v>
      </c>
      <c r="O1397" s="9">
        <v>424</v>
      </c>
      <c r="P1397" s="9">
        <v>420</v>
      </c>
      <c r="Q1397" s="9">
        <v>414</v>
      </c>
      <c r="R1397" s="9">
        <v>407</v>
      </c>
      <c r="S1397" s="9">
        <v>401</v>
      </c>
      <c r="T1397" s="9">
        <v>410</v>
      </c>
      <c r="U1397" s="9">
        <v>401</v>
      </c>
      <c r="V1397" s="9">
        <v>406</v>
      </c>
      <c r="W1397" s="9">
        <v>392</v>
      </c>
      <c r="X1397" s="9">
        <v>381</v>
      </c>
      <c r="Y1397" s="9">
        <v>386</v>
      </c>
      <c r="Z1397" s="9">
        <v>380</v>
      </c>
      <c r="AA1397" s="9">
        <v>382</v>
      </c>
      <c r="AB1397" s="9">
        <v>384</v>
      </c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</row>
    <row r="1398" spans="1:47" ht="14.4">
      <c r="A1398" s="3">
        <f>LOOKUP(D1398,'AMFI DATA_2023H2'!F:L,'AMFI DATA_2023H2'!L:L)</f>
        <v>1622</v>
      </c>
      <c r="B1398" s="4" t="s">
        <v>4193</v>
      </c>
      <c r="C1398" s="4" t="s">
        <v>4194</v>
      </c>
      <c r="D1398" s="5" t="s">
        <v>4195</v>
      </c>
      <c r="E1398" s="5">
        <v>271.64999999999998</v>
      </c>
      <c r="F1398" s="6">
        <f>LOOKUP(D1398,'AMFI DATA_2023H2'!F:J,'AMFI DATA_2023H2'!J:J)</f>
        <v>387.68770000000001</v>
      </c>
      <c r="G1398" s="7">
        <f t="shared" si="5"/>
        <v>-1</v>
      </c>
      <c r="H1398" s="9"/>
      <c r="I1398" s="9">
        <v>1228</v>
      </c>
      <c r="J1398" s="9">
        <v>1204</v>
      </c>
      <c r="K1398" s="9">
        <v>1095</v>
      </c>
      <c r="L1398" s="9">
        <v>995</v>
      </c>
      <c r="M1398" s="9">
        <v>878</v>
      </c>
      <c r="N1398" s="9">
        <v>798</v>
      </c>
      <c r="O1398" s="9">
        <v>821</v>
      </c>
      <c r="P1398" s="9">
        <v>847</v>
      </c>
      <c r="Q1398" s="9">
        <v>840</v>
      </c>
      <c r="R1398" s="9">
        <v>805</v>
      </c>
      <c r="S1398" s="9">
        <v>672</v>
      </c>
      <c r="T1398" s="9">
        <v>640</v>
      </c>
      <c r="U1398" s="9">
        <v>625</v>
      </c>
      <c r="V1398" s="9">
        <v>631</v>
      </c>
      <c r="W1398" s="9">
        <v>655</v>
      </c>
      <c r="X1398" s="9">
        <v>652</v>
      </c>
      <c r="Y1398" s="9">
        <v>658</v>
      </c>
      <c r="Z1398" s="9">
        <v>655</v>
      </c>
      <c r="AA1398" s="9">
        <v>662</v>
      </c>
      <c r="AB1398" s="9">
        <v>685</v>
      </c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</row>
    <row r="1399" spans="1:47" ht="14.4">
      <c r="A1399" s="3">
        <f>LOOKUP(D1399,'AMFI DATA_2023H2'!F:L,'AMFI DATA_2023H2'!L:L)</f>
        <v>1624</v>
      </c>
      <c r="B1399" s="4" t="s">
        <v>4196</v>
      </c>
      <c r="C1399" s="4" t="s">
        <v>4197</v>
      </c>
      <c r="D1399" s="5" t="s">
        <v>4198</v>
      </c>
      <c r="E1399" s="5">
        <v>356.96</v>
      </c>
      <c r="F1399" s="6">
        <f>LOOKUP(D1399,'AMFI DATA_2023H2'!F:J,'AMFI DATA_2023H2'!J:J)</f>
        <v>387.00975</v>
      </c>
      <c r="G1399" s="7">
        <f t="shared" si="5"/>
        <v>-1</v>
      </c>
      <c r="H1399" s="9"/>
      <c r="I1399" s="9">
        <v>354</v>
      </c>
      <c r="J1399" s="9">
        <v>355</v>
      </c>
      <c r="K1399" s="9">
        <v>355</v>
      </c>
      <c r="L1399" s="9">
        <v>358</v>
      </c>
      <c r="M1399" s="9">
        <v>362</v>
      </c>
      <c r="N1399" s="9">
        <v>362</v>
      </c>
      <c r="O1399" s="9">
        <v>363</v>
      </c>
      <c r="P1399" s="9">
        <v>364</v>
      </c>
      <c r="Q1399" s="9">
        <v>364</v>
      </c>
      <c r="R1399" s="9">
        <v>363</v>
      </c>
      <c r="S1399" s="9">
        <v>365</v>
      </c>
      <c r="T1399" s="9">
        <v>363</v>
      </c>
      <c r="U1399" s="9">
        <v>363</v>
      </c>
      <c r="V1399" s="9">
        <v>364</v>
      </c>
      <c r="W1399" s="9">
        <v>365</v>
      </c>
      <c r="X1399" s="9">
        <v>365</v>
      </c>
      <c r="Y1399" s="9">
        <v>362</v>
      </c>
      <c r="Z1399" s="9">
        <v>363</v>
      </c>
      <c r="AA1399" s="9">
        <v>366</v>
      </c>
      <c r="AB1399" s="9">
        <v>365</v>
      </c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</row>
    <row r="1400" spans="1:47" ht="14.4">
      <c r="A1400" s="3">
        <f>LOOKUP(D1400,'AMFI DATA_2023H2'!F:L,'AMFI DATA_2023H2'!L:L)</f>
        <v>1625</v>
      </c>
      <c r="B1400" s="4" t="s">
        <v>4199</v>
      </c>
      <c r="C1400" s="4" t="s">
        <v>4200</v>
      </c>
      <c r="D1400" s="5" t="s">
        <v>4201</v>
      </c>
      <c r="E1400" s="5">
        <v>311.35000000000002</v>
      </c>
      <c r="F1400" s="6">
        <f>LOOKUP(D1400,'AMFI DATA_2023H2'!F:J,'AMFI DATA_2023H2'!J:J)</f>
        <v>386.84084999999999</v>
      </c>
      <c r="G1400" s="7">
        <f t="shared" si="5"/>
        <v>-1</v>
      </c>
      <c r="H1400" s="9"/>
      <c r="I1400" s="9">
        <v>477</v>
      </c>
      <c r="J1400" s="9">
        <v>465</v>
      </c>
      <c r="K1400" s="9">
        <v>473</v>
      </c>
      <c r="L1400" s="9">
        <v>477</v>
      </c>
      <c r="M1400" s="9">
        <v>500</v>
      </c>
      <c r="N1400" s="9">
        <v>505</v>
      </c>
      <c r="O1400" s="9">
        <v>507</v>
      </c>
      <c r="P1400" s="9">
        <v>486</v>
      </c>
      <c r="Q1400" s="9">
        <v>458</v>
      </c>
      <c r="R1400" s="9">
        <v>465</v>
      </c>
      <c r="S1400" s="9">
        <v>468</v>
      </c>
      <c r="T1400" s="9">
        <v>469</v>
      </c>
      <c r="U1400" s="9">
        <v>468</v>
      </c>
      <c r="V1400" s="9">
        <v>462</v>
      </c>
      <c r="W1400" s="9">
        <v>466</v>
      </c>
      <c r="X1400" s="9">
        <v>472</v>
      </c>
      <c r="Y1400" s="9">
        <v>491</v>
      </c>
      <c r="Z1400" s="9">
        <v>490</v>
      </c>
      <c r="AA1400" s="9">
        <v>471</v>
      </c>
      <c r="AB1400" s="9">
        <v>484</v>
      </c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</row>
    <row r="1401" spans="1:47" ht="14.4">
      <c r="A1401" s="3">
        <f>LOOKUP(D1401,'AMFI DATA_2023H2'!F:L,'AMFI DATA_2023H2'!L:L)</f>
        <v>1627</v>
      </c>
      <c r="B1401" s="4" t="s">
        <v>4202</v>
      </c>
      <c r="C1401" s="4" t="s">
        <v>4203</v>
      </c>
      <c r="D1401" s="5" t="s">
        <v>4204</v>
      </c>
      <c r="E1401" s="5">
        <v>251.36</v>
      </c>
      <c r="F1401" s="6">
        <f>LOOKUP(D1401,'AMFI DATA_2023H2'!F:J,'AMFI DATA_2023H2'!J:J)</f>
        <v>385.53549999999996</v>
      </c>
      <c r="G1401" s="7">
        <f t="shared" si="5"/>
        <v>-1</v>
      </c>
      <c r="H1401" s="9"/>
      <c r="I1401" s="9">
        <v>521</v>
      </c>
      <c r="J1401" s="9">
        <v>519</v>
      </c>
      <c r="K1401" s="9">
        <v>515</v>
      </c>
      <c r="L1401" s="9">
        <v>521</v>
      </c>
      <c r="M1401" s="9">
        <v>546</v>
      </c>
      <c r="N1401" s="9">
        <v>548</v>
      </c>
      <c r="O1401" s="9">
        <v>546</v>
      </c>
      <c r="P1401" s="9">
        <v>544</v>
      </c>
      <c r="Q1401" s="9">
        <v>541</v>
      </c>
      <c r="R1401" s="9">
        <v>539</v>
      </c>
      <c r="S1401" s="9">
        <v>552</v>
      </c>
      <c r="T1401" s="9">
        <v>554</v>
      </c>
      <c r="U1401" s="9">
        <v>551</v>
      </c>
      <c r="V1401" s="9">
        <v>535</v>
      </c>
      <c r="W1401" s="9">
        <v>539</v>
      </c>
      <c r="X1401" s="9">
        <v>542</v>
      </c>
      <c r="Y1401" s="9">
        <v>551</v>
      </c>
      <c r="Z1401" s="9">
        <v>529</v>
      </c>
      <c r="AA1401" s="9">
        <v>528</v>
      </c>
      <c r="AB1401" s="9">
        <v>521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</row>
    <row r="1402" spans="1:47" ht="14.4">
      <c r="A1402" s="3">
        <f>LOOKUP(D1402,'AMFI DATA_2023H2'!F:L,'AMFI DATA_2023H2'!L:L)</f>
        <v>1628</v>
      </c>
      <c r="B1402" s="4" t="s">
        <v>4205</v>
      </c>
      <c r="C1402" s="4" t="s">
        <v>4206</v>
      </c>
      <c r="D1402" s="5" t="s">
        <v>4207</v>
      </c>
      <c r="E1402" s="5">
        <v>291.92</v>
      </c>
      <c r="F1402" s="6">
        <f>LOOKUP(D1402,'AMFI DATA_2023H2'!F:J,'AMFI DATA_2023H2'!J:J)</f>
        <v>385.39274999999998</v>
      </c>
      <c r="G1402" s="7">
        <f t="shared" si="5"/>
        <v>-1</v>
      </c>
      <c r="H1402" s="9"/>
      <c r="I1402" s="9">
        <v>382</v>
      </c>
      <c r="J1402" s="9">
        <v>386</v>
      </c>
      <c r="K1402" s="9">
        <v>393</v>
      </c>
      <c r="L1402" s="9">
        <v>401</v>
      </c>
      <c r="M1402" s="9">
        <v>405</v>
      </c>
      <c r="N1402" s="9">
        <v>403</v>
      </c>
      <c r="O1402" s="9">
        <v>411</v>
      </c>
      <c r="P1402" s="9">
        <v>411</v>
      </c>
      <c r="Q1402" s="9">
        <v>420</v>
      </c>
      <c r="R1402" s="9">
        <v>425</v>
      </c>
      <c r="S1402" s="9">
        <v>423</v>
      </c>
      <c r="T1402" s="9">
        <v>420</v>
      </c>
      <c r="U1402" s="9">
        <v>419</v>
      </c>
      <c r="V1402" s="9">
        <v>418</v>
      </c>
      <c r="W1402" s="9">
        <v>410</v>
      </c>
      <c r="X1402" s="9">
        <v>402</v>
      </c>
      <c r="Y1402" s="9">
        <v>403</v>
      </c>
      <c r="Z1402" s="9">
        <v>408</v>
      </c>
      <c r="AA1402" s="9">
        <v>416</v>
      </c>
      <c r="AB1402" s="9">
        <v>419</v>
      </c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</row>
    <row r="1403" spans="1:47" ht="14.4">
      <c r="A1403" s="3">
        <f>LOOKUP(D1403,'AMFI DATA_2023H2'!F:L,'AMFI DATA_2023H2'!L:L)</f>
        <v>1630</v>
      </c>
      <c r="B1403" s="4" t="s">
        <v>4208</v>
      </c>
      <c r="C1403" s="4" t="s">
        <v>4209</v>
      </c>
      <c r="D1403" s="5" t="s">
        <v>4210</v>
      </c>
      <c r="E1403" s="5">
        <v>301.55</v>
      </c>
      <c r="F1403" s="6">
        <f>LOOKUP(D1403,'AMFI DATA_2023H2'!F:J,'AMFI DATA_2023H2'!J:J)</f>
        <v>384.73090000000002</v>
      </c>
      <c r="G1403" s="7">
        <f t="shared" si="5"/>
        <v>-1</v>
      </c>
      <c r="H1403" s="9"/>
      <c r="I1403" s="9">
        <v>478</v>
      </c>
      <c r="J1403" s="9">
        <v>475</v>
      </c>
      <c r="K1403" s="9">
        <v>479</v>
      </c>
      <c r="L1403" s="9">
        <v>479</v>
      </c>
      <c r="M1403" s="9">
        <v>495</v>
      </c>
      <c r="N1403" s="9">
        <v>471</v>
      </c>
      <c r="O1403" s="9">
        <v>436</v>
      </c>
      <c r="P1403" s="9">
        <v>429</v>
      </c>
      <c r="Q1403" s="9">
        <v>429</v>
      </c>
      <c r="R1403" s="9">
        <v>426</v>
      </c>
      <c r="S1403" s="9">
        <v>425</v>
      </c>
      <c r="T1403" s="9">
        <v>420</v>
      </c>
      <c r="U1403" s="9">
        <v>413</v>
      </c>
      <c r="V1403" s="9">
        <v>406</v>
      </c>
      <c r="W1403" s="9">
        <v>411</v>
      </c>
      <c r="X1403" s="9">
        <v>409</v>
      </c>
      <c r="Y1403" s="9">
        <v>421</v>
      </c>
      <c r="Z1403" s="9">
        <v>425</v>
      </c>
      <c r="AA1403" s="9">
        <v>434</v>
      </c>
      <c r="AB1403" s="9">
        <v>416</v>
      </c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</row>
    <row r="1404" spans="1:47" ht="14.4">
      <c r="A1404" s="3">
        <f>LOOKUP(D1404,'AMFI DATA_2023H2'!F:L,'AMFI DATA_2023H2'!L:L)</f>
        <v>1631</v>
      </c>
      <c r="B1404" s="4" t="s">
        <v>4211</v>
      </c>
      <c r="C1404" s="4" t="s">
        <v>4212</v>
      </c>
      <c r="D1404" s="5" t="s">
        <v>4213</v>
      </c>
      <c r="E1404" s="5">
        <v>277.24</v>
      </c>
      <c r="F1404" s="6">
        <f>LOOKUP(D1404,'AMFI DATA_2023H2'!F:J,'AMFI DATA_2023H2'!J:J)</f>
        <v>384.07595000000003</v>
      </c>
      <c r="G1404" s="7">
        <f t="shared" si="5"/>
        <v>-1</v>
      </c>
      <c r="H1404" s="9"/>
      <c r="I1404" s="9">
        <v>509</v>
      </c>
      <c r="J1404" s="9">
        <v>489</v>
      </c>
      <c r="K1404" s="9">
        <v>492</v>
      </c>
      <c r="L1404" s="9">
        <v>500</v>
      </c>
      <c r="M1404" s="9">
        <v>522</v>
      </c>
      <c r="N1404" s="9">
        <v>521</v>
      </c>
      <c r="O1404" s="9">
        <v>538</v>
      </c>
      <c r="P1404" s="9">
        <v>554</v>
      </c>
      <c r="Q1404" s="9">
        <v>530</v>
      </c>
      <c r="R1404" s="9">
        <v>507</v>
      </c>
      <c r="S1404" s="9">
        <v>515</v>
      </c>
      <c r="T1404" s="9">
        <v>512</v>
      </c>
      <c r="U1404" s="9">
        <v>513</v>
      </c>
      <c r="V1404" s="9">
        <v>510</v>
      </c>
      <c r="W1404" s="9">
        <v>515</v>
      </c>
      <c r="X1404" s="9">
        <v>509</v>
      </c>
      <c r="Y1404" s="9">
        <v>512</v>
      </c>
      <c r="Z1404" s="9">
        <v>527</v>
      </c>
      <c r="AA1404" s="9">
        <v>543</v>
      </c>
      <c r="AB1404" s="9">
        <v>519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</row>
    <row r="1405" spans="1:47" ht="14.4">
      <c r="A1405" s="3">
        <f>LOOKUP(D1405,'AMFI DATA_2023H2'!F:L,'AMFI DATA_2023H2'!L:L)</f>
        <v>1633</v>
      </c>
      <c r="B1405" s="4" t="s">
        <v>4214</v>
      </c>
      <c r="C1405" s="4" t="s">
        <v>4215</v>
      </c>
      <c r="D1405" s="5" t="s">
        <v>4216</v>
      </c>
      <c r="E1405" s="5">
        <v>317.37</v>
      </c>
      <c r="F1405" s="6">
        <f>LOOKUP(D1405,'AMFI DATA_2023H2'!F:J,'AMFI DATA_2023H2'!J:J)</f>
        <v>383.13414999999998</v>
      </c>
      <c r="G1405" s="7">
        <f t="shared" si="5"/>
        <v>-1</v>
      </c>
      <c r="H1405" s="9"/>
      <c r="I1405" s="9">
        <v>526</v>
      </c>
      <c r="J1405" s="9">
        <v>505</v>
      </c>
      <c r="K1405" s="9">
        <v>502</v>
      </c>
      <c r="L1405" s="9">
        <v>503</v>
      </c>
      <c r="M1405" s="9">
        <v>508</v>
      </c>
      <c r="N1405" s="9">
        <v>502</v>
      </c>
      <c r="O1405" s="9">
        <v>509</v>
      </c>
      <c r="P1405" s="9">
        <v>506</v>
      </c>
      <c r="Q1405" s="9">
        <v>507</v>
      </c>
      <c r="R1405" s="9">
        <v>529</v>
      </c>
      <c r="S1405" s="9">
        <v>526</v>
      </c>
      <c r="T1405" s="9">
        <v>532</v>
      </c>
      <c r="U1405" s="9">
        <v>481</v>
      </c>
      <c r="V1405" s="9">
        <v>439</v>
      </c>
      <c r="W1405" s="9">
        <v>443</v>
      </c>
      <c r="X1405" s="9">
        <v>416</v>
      </c>
      <c r="Y1405" s="9">
        <v>402</v>
      </c>
      <c r="Z1405" s="9">
        <v>405</v>
      </c>
      <c r="AA1405" s="9">
        <v>400</v>
      </c>
      <c r="AB1405" s="9">
        <v>393</v>
      </c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</row>
    <row r="1406" spans="1:47" ht="14.4">
      <c r="A1406" s="3">
        <f>LOOKUP(D1406,'AMFI DATA_2023H2'!F:L,'AMFI DATA_2023H2'!L:L)</f>
        <v>1634</v>
      </c>
      <c r="B1406" s="4" t="s">
        <v>4217</v>
      </c>
      <c r="C1406" s="4" t="s">
        <v>4218</v>
      </c>
      <c r="D1406" s="5" t="s">
        <v>4219</v>
      </c>
      <c r="E1406" s="5">
        <v>334.03</v>
      </c>
      <c r="F1406" s="6">
        <f>LOOKUP(D1406,'AMFI DATA_2023H2'!F:J,'AMFI DATA_2023H2'!J:J)</f>
        <v>380.48230000000001</v>
      </c>
      <c r="G1406" s="7">
        <f t="shared" si="5"/>
        <v>-1</v>
      </c>
      <c r="H1406" s="9"/>
      <c r="I1406" s="9">
        <v>488</v>
      </c>
      <c r="J1406" s="9">
        <v>482</v>
      </c>
      <c r="K1406" s="9">
        <v>474</v>
      </c>
      <c r="L1406" s="9">
        <v>471</v>
      </c>
      <c r="M1406" s="9">
        <v>469</v>
      </c>
      <c r="N1406" s="9">
        <v>476</v>
      </c>
      <c r="O1406" s="9">
        <v>477</v>
      </c>
      <c r="P1406" s="9">
        <v>474</v>
      </c>
      <c r="Q1406" s="9">
        <v>471</v>
      </c>
      <c r="R1406" s="9">
        <v>478</v>
      </c>
      <c r="S1406" s="9">
        <v>488</v>
      </c>
      <c r="T1406" s="9">
        <v>485</v>
      </c>
      <c r="U1406" s="9">
        <v>494</v>
      </c>
      <c r="V1406" s="9">
        <v>505</v>
      </c>
      <c r="W1406" s="9">
        <v>483</v>
      </c>
      <c r="X1406" s="9">
        <v>460</v>
      </c>
      <c r="Y1406" s="9">
        <v>440</v>
      </c>
      <c r="Z1406" s="9">
        <v>437</v>
      </c>
      <c r="AA1406" s="9">
        <v>429</v>
      </c>
      <c r="AB1406" s="9">
        <v>446</v>
      </c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</row>
    <row r="1407" spans="1:47" ht="14.4">
      <c r="A1407" s="3">
        <f>LOOKUP(D1407,'AMFI DATA_2023H2'!F:L,'AMFI DATA_2023H2'!L:L)</f>
        <v>1636</v>
      </c>
      <c r="B1407" s="4" t="s">
        <v>4220</v>
      </c>
      <c r="C1407" s="4" t="s">
        <v>4221</v>
      </c>
      <c r="D1407" s="5" t="s">
        <v>4222</v>
      </c>
      <c r="E1407" s="5">
        <v>237.58</v>
      </c>
      <c r="F1407" s="6">
        <f>LOOKUP(D1407,'AMFI DATA_2023H2'!F:J,'AMFI DATA_2023H2'!J:J)</f>
        <v>378.91925000000003</v>
      </c>
      <c r="G1407" s="7">
        <f t="shared" si="5"/>
        <v>-1</v>
      </c>
      <c r="H1407" s="9"/>
      <c r="I1407" s="9">
        <v>601</v>
      </c>
      <c r="J1407" s="9">
        <v>529</v>
      </c>
      <c r="K1407" s="9">
        <v>534</v>
      </c>
      <c r="L1407" s="9">
        <v>546</v>
      </c>
      <c r="M1407" s="9">
        <v>558</v>
      </c>
      <c r="N1407" s="9">
        <v>566</v>
      </c>
      <c r="O1407" s="9">
        <v>564</v>
      </c>
      <c r="P1407" s="9">
        <v>567</v>
      </c>
      <c r="Q1407" s="9">
        <v>566</v>
      </c>
      <c r="R1407" s="9">
        <v>570</v>
      </c>
      <c r="S1407" s="9">
        <v>503</v>
      </c>
      <c r="T1407" s="9">
        <v>434</v>
      </c>
      <c r="U1407" s="9">
        <v>430</v>
      </c>
      <c r="V1407" s="9">
        <v>433</v>
      </c>
      <c r="W1407" s="9">
        <v>427</v>
      </c>
      <c r="X1407" s="9">
        <v>431</v>
      </c>
      <c r="Y1407" s="9">
        <v>430</v>
      </c>
      <c r="Z1407" s="9">
        <v>432</v>
      </c>
      <c r="AA1407" s="9">
        <v>442</v>
      </c>
      <c r="AB1407" s="9">
        <v>439</v>
      </c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</row>
    <row r="1408" spans="1:47" ht="14.4">
      <c r="A1408" s="3">
        <f>LOOKUP(D1408,'AMFI DATA_2023H2'!F:L,'AMFI DATA_2023H2'!L:L)</f>
        <v>1637</v>
      </c>
      <c r="B1408" s="4" t="s">
        <v>4223</v>
      </c>
      <c r="C1408" s="4" t="s">
        <v>4224</v>
      </c>
      <c r="D1408" s="5" t="s">
        <v>4225</v>
      </c>
      <c r="E1408" s="5">
        <v>298.87</v>
      </c>
      <c r="F1408" s="6">
        <f>LOOKUP(D1408,'AMFI DATA_2023H2'!F:J,'AMFI DATA_2023H2'!J:J)</f>
        <v>375.66129999999998</v>
      </c>
      <c r="G1408" s="7">
        <f t="shared" si="5"/>
        <v>-1</v>
      </c>
      <c r="H1408" s="9"/>
      <c r="I1408" s="9">
        <v>446</v>
      </c>
      <c r="J1408" s="9">
        <v>425</v>
      </c>
      <c r="K1408" s="9">
        <v>426</v>
      </c>
      <c r="L1408" s="9">
        <v>435</v>
      </c>
      <c r="M1408" s="9">
        <v>442</v>
      </c>
      <c r="N1408" s="9">
        <v>454</v>
      </c>
      <c r="O1408" s="9">
        <v>451</v>
      </c>
      <c r="P1408" s="9">
        <v>434</v>
      </c>
      <c r="Q1408" s="9">
        <v>444</v>
      </c>
      <c r="R1408" s="9">
        <v>450</v>
      </c>
      <c r="S1408" s="9">
        <v>465</v>
      </c>
      <c r="T1408" s="9">
        <v>443</v>
      </c>
      <c r="U1408" s="9">
        <v>435</v>
      </c>
      <c r="V1408" s="9">
        <v>420</v>
      </c>
      <c r="W1408" s="9">
        <v>420</v>
      </c>
      <c r="X1408" s="9">
        <v>417</v>
      </c>
      <c r="Y1408" s="9">
        <v>410</v>
      </c>
      <c r="Z1408" s="9">
        <v>423</v>
      </c>
      <c r="AA1408" s="9">
        <v>422</v>
      </c>
      <c r="AB1408" s="9">
        <v>405</v>
      </c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</row>
    <row r="1409" spans="1:47" ht="14.4">
      <c r="A1409" s="3">
        <f>LOOKUP(D1409,'AMFI DATA_2023H2'!F:L,'AMFI DATA_2023H2'!L:L)</f>
        <v>1639</v>
      </c>
      <c r="B1409" s="4" t="s">
        <v>4226</v>
      </c>
      <c r="C1409" s="4" t="s">
        <v>4227</v>
      </c>
      <c r="D1409" s="5" t="s">
        <v>4228</v>
      </c>
      <c r="E1409" s="5">
        <v>327.12</v>
      </c>
      <c r="F1409" s="6">
        <f>LOOKUP(D1409,'AMFI DATA_2023H2'!F:J,'AMFI DATA_2023H2'!J:J)</f>
        <v>373.22829999999999</v>
      </c>
      <c r="G1409" s="7">
        <f t="shared" si="5"/>
        <v>-1</v>
      </c>
      <c r="H1409" s="9"/>
      <c r="I1409" s="9">
        <v>398</v>
      </c>
      <c r="J1409" s="9">
        <v>398</v>
      </c>
      <c r="K1409" s="9">
        <v>399</v>
      </c>
      <c r="L1409" s="9">
        <v>406</v>
      </c>
      <c r="M1409" s="9">
        <v>410</v>
      </c>
      <c r="N1409" s="9">
        <v>423</v>
      </c>
      <c r="O1409" s="9">
        <v>411</v>
      </c>
      <c r="P1409" s="9">
        <v>414</v>
      </c>
      <c r="Q1409" s="9">
        <v>420</v>
      </c>
      <c r="R1409" s="9">
        <v>427</v>
      </c>
      <c r="S1409" s="9">
        <v>437</v>
      </c>
      <c r="T1409" s="9">
        <v>449</v>
      </c>
      <c r="U1409" s="9">
        <v>429</v>
      </c>
      <c r="V1409" s="9">
        <v>409</v>
      </c>
      <c r="W1409" s="9">
        <v>406</v>
      </c>
      <c r="X1409" s="9">
        <v>412</v>
      </c>
      <c r="Y1409" s="9">
        <v>401</v>
      </c>
      <c r="Z1409" s="9">
        <v>406</v>
      </c>
      <c r="AA1409" s="9">
        <v>420</v>
      </c>
      <c r="AB1409" s="9">
        <v>404</v>
      </c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</row>
    <row r="1410" spans="1:47" ht="14.4">
      <c r="A1410" s="3">
        <f>LOOKUP(D1410,'AMFI DATA_2023H2'!F:L,'AMFI DATA_2023H2'!L:L)</f>
        <v>1643</v>
      </c>
      <c r="B1410" s="4" t="s">
        <v>4229</v>
      </c>
      <c r="C1410" s="4" t="s">
        <v>4230</v>
      </c>
      <c r="D1410" s="5" t="s">
        <v>4231</v>
      </c>
      <c r="E1410" s="5">
        <v>341.82</v>
      </c>
      <c r="F1410" s="6">
        <f>LOOKUP(D1410,'AMFI DATA_2023H2'!F:J,'AMFI DATA_2023H2'!J:J)</f>
        <v>371.75824544</v>
      </c>
      <c r="G1410" s="7">
        <f t="shared" si="5"/>
        <v>-1</v>
      </c>
      <c r="H1410" s="9"/>
      <c r="I1410" s="9">
        <v>328</v>
      </c>
      <c r="J1410" s="9">
        <v>329</v>
      </c>
      <c r="K1410" s="9">
        <v>334</v>
      </c>
      <c r="L1410" s="9">
        <v>337</v>
      </c>
      <c r="M1410" s="9">
        <v>339</v>
      </c>
      <c r="N1410" s="9">
        <v>345</v>
      </c>
      <c r="O1410" s="9">
        <v>348</v>
      </c>
      <c r="P1410" s="9">
        <v>345</v>
      </c>
      <c r="Q1410" s="9">
        <v>346</v>
      </c>
      <c r="R1410" s="9">
        <v>346</v>
      </c>
      <c r="S1410" s="9">
        <v>353</v>
      </c>
      <c r="T1410" s="9">
        <v>356</v>
      </c>
      <c r="U1410" s="9">
        <v>360</v>
      </c>
      <c r="V1410" s="9">
        <v>367</v>
      </c>
      <c r="W1410" s="9">
        <v>372</v>
      </c>
      <c r="X1410" s="9">
        <v>364</v>
      </c>
      <c r="Y1410" s="9">
        <v>364</v>
      </c>
      <c r="Z1410" s="9">
        <v>364</v>
      </c>
      <c r="AA1410" s="9">
        <v>368</v>
      </c>
      <c r="AB1410" s="9">
        <v>362</v>
      </c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</row>
    <row r="1411" spans="1:47" ht="14.4">
      <c r="A1411" s="3">
        <f>LOOKUP(D1411,'AMFI DATA_2023H2'!F:L,'AMFI DATA_2023H2'!L:L)</f>
        <v>1644</v>
      </c>
      <c r="B1411" s="4" t="s">
        <v>4232</v>
      </c>
      <c r="C1411" s="4" t="s">
        <v>4233</v>
      </c>
      <c r="D1411" s="5" t="s">
        <v>4234</v>
      </c>
      <c r="E1411" s="5">
        <v>338.75</v>
      </c>
      <c r="F1411" s="6">
        <f>LOOKUP(D1411,'AMFI DATA_2023H2'!F:J,'AMFI DATA_2023H2'!J:J)</f>
        <v>371.72730000000001</v>
      </c>
      <c r="G1411" s="7">
        <f t="shared" si="5"/>
        <v>-1</v>
      </c>
      <c r="H1411" s="9"/>
      <c r="I1411" s="9">
        <v>495</v>
      </c>
      <c r="J1411" s="9">
        <v>476</v>
      </c>
      <c r="K1411" s="9">
        <v>417</v>
      </c>
      <c r="L1411" s="9">
        <v>415</v>
      </c>
      <c r="M1411" s="9">
        <v>427</v>
      </c>
      <c r="N1411" s="9">
        <v>428</v>
      </c>
      <c r="O1411" s="9">
        <v>422</v>
      </c>
      <c r="P1411" s="9">
        <v>431</v>
      </c>
      <c r="Q1411" s="9">
        <v>424</v>
      </c>
      <c r="R1411" s="9">
        <v>396</v>
      </c>
      <c r="S1411" s="9">
        <v>357</v>
      </c>
      <c r="T1411" s="9">
        <v>352</v>
      </c>
      <c r="U1411" s="9">
        <v>343</v>
      </c>
      <c r="V1411" s="9">
        <v>344</v>
      </c>
      <c r="W1411" s="9">
        <v>345</v>
      </c>
      <c r="X1411" s="9">
        <v>343</v>
      </c>
      <c r="Y1411" s="9">
        <v>351</v>
      </c>
      <c r="Z1411" s="9">
        <v>352</v>
      </c>
      <c r="AA1411" s="9">
        <v>359</v>
      </c>
      <c r="AB1411" s="9">
        <v>359</v>
      </c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</row>
    <row r="1412" spans="1:47" ht="14.4">
      <c r="A1412" s="3">
        <f>LOOKUP(D1412,'AMFI DATA_2023H2'!F:L,'AMFI DATA_2023H2'!L:L)</f>
        <v>1646</v>
      </c>
      <c r="B1412" s="4" t="s">
        <v>4235</v>
      </c>
      <c r="C1412" s="4" t="s">
        <v>4236</v>
      </c>
      <c r="D1412" s="5" t="s">
        <v>4237</v>
      </c>
      <c r="E1412" s="5">
        <v>329.58</v>
      </c>
      <c r="F1412" s="6">
        <f>LOOKUP(D1412,'AMFI DATA_2023H2'!F:J,'AMFI DATA_2023H2'!J:J)</f>
        <v>370.38559999999995</v>
      </c>
      <c r="G1412" s="7">
        <f t="shared" si="5"/>
        <v>-1</v>
      </c>
      <c r="H1412" s="9"/>
      <c r="I1412" s="9">
        <v>455</v>
      </c>
      <c r="J1412" s="9">
        <v>431</v>
      </c>
      <c r="K1412" s="9">
        <v>446</v>
      </c>
      <c r="L1412" s="9">
        <v>450</v>
      </c>
      <c r="M1412" s="9">
        <v>460</v>
      </c>
      <c r="N1412" s="9">
        <v>455</v>
      </c>
      <c r="O1412" s="9">
        <v>453</v>
      </c>
      <c r="P1412" s="9">
        <v>459</v>
      </c>
      <c r="Q1412" s="9">
        <v>437</v>
      </c>
      <c r="R1412" s="9">
        <v>449</v>
      </c>
      <c r="S1412" s="9">
        <v>450</v>
      </c>
      <c r="T1412" s="9">
        <v>456</v>
      </c>
      <c r="U1412" s="9">
        <v>439</v>
      </c>
      <c r="V1412" s="9">
        <v>438</v>
      </c>
      <c r="W1412" s="9">
        <v>448</v>
      </c>
      <c r="X1412" s="9">
        <v>456</v>
      </c>
      <c r="Y1412" s="9">
        <v>460</v>
      </c>
      <c r="Z1412" s="9">
        <v>464</v>
      </c>
      <c r="AA1412" s="9">
        <v>458</v>
      </c>
      <c r="AB1412" s="9">
        <v>450</v>
      </c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</row>
    <row r="1413" spans="1:47" ht="14.4">
      <c r="A1413" s="3">
        <f>LOOKUP(D1413,'AMFI DATA_2023H2'!F:L,'AMFI DATA_2023H2'!L:L)</f>
        <v>1647</v>
      </c>
      <c r="B1413" s="4" t="s">
        <v>4238</v>
      </c>
      <c r="C1413" s="4" t="s">
        <v>4239</v>
      </c>
      <c r="D1413" s="5" t="s">
        <v>4240</v>
      </c>
      <c r="E1413" s="5">
        <v>298.89999999999998</v>
      </c>
      <c r="F1413" s="6">
        <f>LOOKUP(D1413,'AMFI DATA_2023H2'!F:J,'AMFI DATA_2023H2'!J:J)</f>
        <v>369.50975</v>
      </c>
      <c r="G1413" s="7">
        <f t="shared" si="5"/>
        <v>-1</v>
      </c>
      <c r="H1413" s="9"/>
      <c r="I1413" s="9">
        <v>406</v>
      </c>
      <c r="J1413" s="9">
        <v>390</v>
      </c>
      <c r="K1413" s="9">
        <v>383</v>
      </c>
      <c r="L1413" s="9">
        <v>387</v>
      </c>
      <c r="M1413" s="9">
        <v>406</v>
      </c>
      <c r="N1413" s="9">
        <v>400</v>
      </c>
      <c r="O1413" s="9">
        <v>404</v>
      </c>
      <c r="P1413" s="9">
        <v>402</v>
      </c>
      <c r="Q1413" s="9">
        <v>402</v>
      </c>
      <c r="R1413" s="9">
        <v>408</v>
      </c>
      <c r="S1413" s="9">
        <v>419</v>
      </c>
      <c r="T1413" s="9">
        <v>412</v>
      </c>
      <c r="U1413" s="9">
        <v>421</v>
      </c>
      <c r="V1413" s="9">
        <v>424</v>
      </c>
      <c r="W1413" s="9">
        <v>415</v>
      </c>
      <c r="X1413" s="9">
        <v>402</v>
      </c>
      <c r="Y1413" s="9">
        <v>400</v>
      </c>
      <c r="Z1413" s="9">
        <v>386</v>
      </c>
      <c r="AA1413" s="9">
        <v>394</v>
      </c>
      <c r="AB1413" s="9">
        <v>378</v>
      </c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</row>
    <row r="1414" spans="1:47" ht="14.4">
      <c r="A1414" s="3">
        <f>LOOKUP(D1414,'AMFI DATA_2023H2'!F:L,'AMFI DATA_2023H2'!L:L)</f>
        <v>1651</v>
      </c>
      <c r="B1414" s="4" t="s">
        <v>4241</v>
      </c>
      <c r="C1414" s="4" t="s">
        <v>4242</v>
      </c>
      <c r="D1414" s="5" t="s">
        <v>4243</v>
      </c>
      <c r="E1414" s="5">
        <v>308.16000000000003</v>
      </c>
      <c r="F1414" s="6">
        <f>LOOKUP(D1414,'AMFI DATA_2023H2'!F:J,'AMFI DATA_2023H2'!J:J)</f>
        <v>365.59659999999997</v>
      </c>
      <c r="G1414" s="7">
        <f t="shared" si="5"/>
        <v>-1</v>
      </c>
      <c r="H1414" s="9"/>
      <c r="I1414" s="9">
        <v>462</v>
      </c>
      <c r="J1414" s="9">
        <v>452</v>
      </c>
      <c r="K1414" s="9">
        <v>459</v>
      </c>
      <c r="L1414" s="9">
        <v>482</v>
      </c>
      <c r="M1414" s="9">
        <v>478</v>
      </c>
      <c r="N1414" s="9">
        <v>469</v>
      </c>
      <c r="O1414" s="9">
        <v>462</v>
      </c>
      <c r="P1414" s="9">
        <v>463</v>
      </c>
      <c r="Q1414" s="9">
        <v>466</v>
      </c>
      <c r="R1414" s="9">
        <v>476</v>
      </c>
      <c r="S1414" s="9">
        <v>486</v>
      </c>
      <c r="T1414" s="9">
        <v>490</v>
      </c>
      <c r="U1414" s="9">
        <v>501</v>
      </c>
      <c r="V1414" s="9">
        <v>517</v>
      </c>
      <c r="W1414" s="9">
        <v>536</v>
      </c>
      <c r="X1414" s="9">
        <v>545</v>
      </c>
      <c r="Y1414" s="9">
        <v>543</v>
      </c>
      <c r="Z1414" s="9">
        <v>585</v>
      </c>
      <c r="AA1414" s="9">
        <v>502</v>
      </c>
      <c r="AB1414" s="9">
        <v>413</v>
      </c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</row>
    <row r="1415" spans="1:47" ht="14.4">
      <c r="A1415" s="3">
        <f>LOOKUP(D1415,'AMFI DATA_2023H2'!F:L,'AMFI DATA_2023H2'!L:L)</f>
        <v>1652</v>
      </c>
      <c r="B1415" s="4" t="s">
        <v>4244</v>
      </c>
      <c r="C1415" s="4" t="s">
        <v>4245</v>
      </c>
      <c r="D1415" s="5" t="s">
        <v>4246</v>
      </c>
      <c r="E1415" s="5">
        <v>271.38</v>
      </c>
      <c r="F1415" s="6">
        <f>LOOKUP(D1415,'AMFI DATA_2023H2'!F:J,'AMFI DATA_2023H2'!J:J)</f>
        <v>363.68414999999999</v>
      </c>
      <c r="G1415" s="7">
        <f t="shared" si="5"/>
        <v>-1</v>
      </c>
      <c r="H1415" s="9"/>
      <c r="I1415" s="9">
        <v>489</v>
      </c>
      <c r="J1415" s="9">
        <v>496</v>
      </c>
      <c r="K1415" s="9">
        <v>478</v>
      </c>
      <c r="L1415" s="9">
        <v>477</v>
      </c>
      <c r="M1415" s="9">
        <v>484</v>
      </c>
      <c r="N1415" s="9">
        <v>473</v>
      </c>
      <c r="O1415" s="9">
        <v>415</v>
      </c>
      <c r="P1415" s="9">
        <v>410</v>
      </c>
      <c r="Q1415" s="9">
        <v>410</v>
      </c>
      <c r="R1415" s="9">
        <v>415</v>
      </c>
      <c r="S1415" s="9">
        <v>419</v>
      </c>
      <c r="T1415" s="9">
        <v>417</v>
      </c>
      <c r="U1415" s="9">
        <v>413</v>
      </c>
      <c r="V1415" s="9">
        <v>419</v>
      </c>
      <c r="W1415" s="9">
        <v>402</v>
      </c>
      <c r="X1415" s="9">
        <v>401</v>
      </c>
      <c r="Y1415" s="9">
        <v>401</v>
      </c>
      <c r="Z1415" s="9">
        <v>405</v>
      </c>
      <c r="AA1415" s="9">
        <v>418</v>
      </c>
      <c r="AB1415" s="9">
        <v>417</v>
      </c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</row>
    <row r="1416" spans="1:47" ht="14.4">
      <c r="A1416" s="3">
        <f>LOOKUP(D1416,'AMFI DATA_2023H2'!F:L,'AMFI DATA_2023H2'!L:L)</f>
        <v>1654</v>
      </c>
      <c r="B1416" s="4" t="s">
        <v>4247</v>
      </c>
      <c r="C1416" s="4" t="s">
        <v>4248</v>
      </c>
      <c r="D1416" s="5" t="s">
        <v>4249</v>
      </c>
      <c r="E1416" s="5">
        <v>423</v>
      </c>
      <c r="F1416" s="6">
        <f>LOOKUP(D1416,'AMFI DATA_2023H2'!F:J,'AMFI DATA_2023H2'!J:J)</f>
        <v>363.11855000000003</v>
      </c>
      <c r="G1416" s="7">
        <f t="shared" si="5"/>
        <v>-1</v>
      </c>
      <c r="H1416" s="9"/>
      <c r="I1416" s="9">
        <v>359</v>
      </c>
      <c r="J1416" s="9">
        <v>361</v>
      </c>
      <c r="K1416" s="9">
        <v>339</v>
      </c>
      <c r="L1416" s="9">
        <v>358</v>
      </c>
      <c r="M1416" s="9">
        <v>369</v>
      </c>
      <c r="N1416" s="9">
        <v>313</v>
      </c>
      <c r="O1416" s="9">
        <v>299</v>
      </c>
      <c r="P1416" s="9">
        <v>295</v>
      </c>
      <c r="Q1416" s="9">
        <v>297</v>
      </c>
      <c r="R1416" s="9">
        <v>289</v>
      </c>
      <c r="S1416" s="9">
        <v>287</v>
      </c>
      <c r="T1416" s="9">
        <v>284</v>
      </c>
      <c r="U1416" s="9">
        <v>288</v>
      </c>
      <c r="V1416" s="9">
        <v>283</v>
      </c>
      <c r="W1416" s="9">
        <v>278</v>
      </c>
      <c r="X1416" s="9">
        <v>267</v>
      </c>
      <c r="Y1416" s="9">
        <v>265</v>
      </c>
      <c r="Z1416" s="9">
        <v>267</v>
      </c>
      <c r="AA1416" s="9">
        <v>270</v>
      </c>
      <c r="AB1416" s="9">
        <v>264</v>
      </c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</row>
    <row r="1417" spans="1:47" ht="14.4">
      <c r="A1417" s="3">
        <f>LOOKUP(D1417,'AMFI DATA_2023H2'!F:L,'AMFI DATA_2023H2'!L:L)</f>
        <v>1655</v>
      </c>
      <c r="B1417" s="4" t="s">
        <v>4250</v>
      </c>
      <c r="C1417" s="4" t="s">
        <v>4251</v>
      </c>
      <c r="D1417" s="5" t="s">
        <v>4252</v>
      </c>
      <c r="E1417" s="5">
        <v>319.56</v>
      </c>
      <c r="F1417" s="6">
        <f>LOOKUP(D1417,'AMFI DATA_2023H2'!F:J,'AMFI DATA_2023H2'!J:J)</f>
        <v>363.05605000000003</v>
      </c>
      <c r="G1417" s="7">
        <f t="shared" si="5"/>
        <v>-1</v>
      </c>
      <c r="H1417" s="9"/>
      <c r="I1417" s="9">
        <v>571</v>
      </c>
      <c r="J1417" s="9">
        <v>585</v>
      </c>
      <c r="K1417" s="9">
        <v>577</v>
      </c>
      <c r="L1417" s="9">
        <v>579</v>
      </c>
      <c r="M1417" s="9">
        <v>596</v>
      </c>
      <c r="N1417" s="9">
        <v>570</v>
      </c>
      <c r="O1417" s="9">
        <v>591</v>
      </c>
      <c r="P1417" s="9">
        <v>590</v>
      </c>
      <c r="Q1417" s="9">
        <v>602</v>
      </c>
      <c r="R1417" s="9">
        <v>594</v>
      </c>
      <c r="S1417" s="9">
        <v>573</v>
      </c>
      <c r="T1417" s="9">
        <v>582</v>
      </c>
      <c r="U1417" s="9">
        <v>580</v>
      </c>
      <c r="V1417" s="9">
        <v>571</v>
      </c>
      <c r="W1417" s="9">
        <v>604</v>
      </c>
      <c r="X1417" s="9">
        <v>531</v>
      </c>
      <c r="Y1417" s="9">
        <v>471</v>
      </c>
      <c r="Z1417" s="9">
        <v>426</v>
      </c>
      <c r="AA1417" s="9">
        <v>418</v>
      </c>
      <c r="AB1417" s="9">
        <v>419</v>
      </c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</row>
    <row r="1418" spans="1:47" ht="14.4">
      <c r="A1418" s="3">
        <f>LOOKUP(D1418,'AMFI DATA_2023H2'!F:L,'AMFI DATA_2023H2'!L:L)</f>
        <v>1656</v>
      </c>
      <c r="B1418" s="4" t="s">
        <v>4253</v>
      </c>
      <c r="C1418" s="4" t="s">
        <v>4254</v>
      </c>
      <c r="D1418" s="5" t="s">
        <v>4255</v>
      </c>
      <c r="E1418" s="5">
        <v>62.29</v>
      </c>
      <c r="F1418" s="6">
        <f>LOOKUP(D1418,'AMFI DATA_2023H2'!F:J,'AMFI DATA_2023H2'!J:J)</f>
        <v>362.54560000000004</v>
      </c>
      <c r="G1418" s="7">
        <f t="shared" si="5"/>
        <v>-1</v>
      </c>
      <c r="H1418" s="9"/>
      <c r="I1418" s="9">
        <v>710</v>
      </c>
      <c r="J1418" s="9">
        <v>735</v>
      </c>
      <c r="K1418" s="9">
        <v>703</v>
      </c>
      <c r="L1418" s="9">
        <v>684</v>
      </c>
      <c r="M1418" s="9">
        <v>716</v>
      </c>
      <c r="N1418" s="9">
        <v>742</v>
      </c>
      <c r="O1418" s="9">
        <v>778</v>
      </c>
      <c r="P1418" s="9">
        <v>741</v>
      </c>
      <c r="Q1418" s="9">
        <v>706</v>
      </c>
      <c r="R1418" s="9">
        <v>743</v>
      </c>
      <c r="S1418" s="9">
        <v>782</v>
      </c>
      <c r="T1418" s="9">
        <v>813</v>
      </c>
      <c r="U1418" s="9">
        <v>777</v>
      </c>
      <c r="V1418" s="9">
        <v>740</v>
      </c>
      <c r="W1418" s="9">
        <v>705</v>
      </c>
      <c r="X1418" s="9">
        <v>641</v>
      </c>
      <c r="Y1418" s="9">
        <v>583</v>
      </c>
      <c r="Z1418" s="9">
        <v>530</v>
      </c>
      <c r="AA1418" s="9">
        <v>440</v>
      </c>
      <c r="AB1418" s="9">
        <v>368</v>
      </c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</row>
    <row r="1419" spans="1:47" ht="14.4">
      <c r="A1419" s="3">
        <f>LOOKUP(D1419,'AMFI DATA_2023H2'!F:L,'AMFI DATA_2023H2'!L:L)</f>
        <v>1658</v>
      </c>
      <c r="B1419" s="4" t="s">
        <v>4256</v>
      </c>
      <c r="C1419" s="4" t="s">
        <v>4257</v>
      </c>
      <c r="D1419" s="5" t="s">
        <v>4258</v>
      </c>
      <c r="E1419" s="5">
        <v>376.19</v>
      </c>
      <c r="F1419" s="6">
        <f>LOOKUP(D1419,'AMFI DATA_2023H2'!F:J,'AMFI DATA_2023H2'!J:J)</f>
        <v>360.834</v>
      </c>
      <c r="G1419" s="7">
        <f t="shared" si="5"/>
        <v>-1</v>
      </c>
      <c r="H1419" s="9"/>
      <c r="I1419" s="9">
        <v>361</v>
      </c>
      <c r="J1419" s="9">
        <v>356</v>
      </c>
      <c r="K1419" s="9">
        <v>355</v>
      </c>
      <c r="L1419" s="9">
        <v>357</v>
      </c>
      <c r="M1419" s="9">
        <v>353</v>
      </c>
      <c r="N1419" s="9">
        <v>365</v>
      </c>
      <c r="O1419" s="9">
        <v>361</v>
      </c>
      <c r="P1419" s="9">
        <v>364</v>
      </c>
      <c r="Q1419" s="9">
        <v>366</v>
      </c>
      <c r="R1419" s="9">
        <v>369</v>
      </c>
      <c r="S1419" s="9">
        <v>368</v>
      </c>
      <c r="T1419" s="9">
        <v>363</v>
      </c>
      <c r="U1419" s="9">
        <v>366</v>
      </c>
      <c r="V1419" s="9">
        <v>381</v>
      </c>
      <c r="W1419" s="9">
        <v>400</v>
      </c>
      <c r="X1419" s="9">
        <v>393</v>
      </c>
      <c r="Y1419" s="9">
        <v>389</v>
      </c>
      <c r="Z1419" s="9">
        <v>360</v>
      </c>
      <c r="AA1419" s="9">
        <v>364</v>
      </c>
      <c r="AB1419" s="9">
        <v>358</v>
      </c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</row>
    <row r="1420" spans="1:47" ht="14.4">
      <c r="A1420" s="3">
        <f>LOOKUP(D1420,'AMFI DATA_2023H2'!F:L,'AMFI DATA_2023H2'!L:L)</f>
        <v>1661</v>
      </c>
      <c r="B1420" s="4" t="s">
        <v>4259</v>
      </c>
      <c r="C1420" s="4" t="s">
        <v>4260</v>
      </c>
      <c r="D1420" s="5" t="s">
        <v>4261</v>
      </c>
      <c r="E1420" s="5">
        <v>349.32</v>
      </c>
      <c r="F1420" s="6">
        <f>LOOKUP(D1420,'AMFI DATA_2023H2'!F:J,'AMFI DATA_2023H2'!J:J)</f>
        <v>357.85174999999998</v>
      </c>
      <c r="G1420" s="7">
        <f t="shared" si="5"/>
        <v>-1</v>
      </c>
      <c r="H1420" s="9"/>
      <c r="I1420" s="9">
        <v>471</v>
      </c>
      <c r="J1420" s="9">
        <v>467</v>
      </c>
      <c r="K1420" s="9">
        <v>477</v>
      </c>
      <c r="L1420" s="9">
        <v>487</v>
      </c>
      <c r="M1420" s="9">
        <v>501</v>
      </c>
      <c r="N1420" s="9">
        <v>490</v>
      </c>
      <c r="O1420" s="9">
        <v>473</v>
      </c>
      <c r="P1420" s="9">
        <v>483</v>
      </c>
      <c r="Q1420" s="9">
        <v>480</v>
      </c>
      <c r="R1420" s="9">
        <v>483</v>
      </c>
      <c r="S1420" s="9">
        <v>519</v>
      </c>
      <c r="T1420" s="9">
        <v>478</v>
      </c>
      <c r="U1420" s="9">
        <v>399</v>
      </c>
      <c r="V1420" s="9">
        <v>380</v>
      </c>
      <c r="W1420" s="9">
        <v>383</v>
      </c>
      <c r="X1420" s="9">
        <v>375</v>
      </c>
      <c r="Y1420" s="9">
        <v>373</v>
      </c>
      <c r="Z1420" s="9">
        <v>375</v>
      </c>
      <c r="AA1420" s="9">
        <v>374</v>
      </c>
      <c r="AB1420" s="9">
        <v>370</v>
      </c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</row>
    <row r="1421" spans="1:47" ht="14.4">
      <c r="A1421" s="3">
        <f>LOOKUP(D1421,'AMFI DATA_2023H2'!F:L,'AMFI DATA_2023H2'!L:L)</f>
        <v>1662</v>
      </c>
      <c r="B1421" s="4" t="s">
        <v>4262</v>
      </c>
      <c r="C1421" s="4" t="s">
        <v>4263</v>
      </c>
      <c r="D1421" s="5" t="s">
        <v>4264</v>
      </c>
      <c r="E1421" s="5">
        <v>183.47</v>
      </c>
      <c r="F1421" s="6">
        <f>LOOKUP(D1421,'AMFI DATA_2023H2'!F:J,'AMFI DATA_2023H2'!J:J)</f>
        <v>356.65189999999996</v>
      </c>
      <c r="G1421" s="7">
        <f t="shared" si="5"/>
        <v>-1</v>
      </c>
      <c r="H1421" s="9"/>
      <c r="I1421" s="9">
        <v>758</v>
      </c>
      <c r="J1421" s="9">
        <v>727</v>
      </c>
      <c r="K1421" s="9">
        <v>688</v>
      </c>
      <c r="L1421" s="9">
        <v>694</v>
      </c>
      <c r="M1421" s="9">
        <v>708</v>
      </c>
      <c r="N1421" s="9">
        <v>695</v>
      </c>
      <c r="O1421" s="9">
        <v>690</v>
      </c>
      <c r="P1421" s="9">
        <v>717</v>
      </c>
      <c r="Q1421" s="9">
        <v>745</v>
      </c>
      <c r="R1421" s="9">
        <v>709</v>
      </c>
      <c r="S1421" s="9">
        <v>733</v>
      </c>
      <c r="T1421" s="9">
        <v>723</v>
      </c>
      <c r="U1421" s="9">
        <v>657</v>
      </c>
      <c r="V1421" s="9">
        <v>667</v>
      </c>
      <c r="W1421" s="9">
        <v>612</v>
      </c>
      <c r="X1421" s="9">
        <v>557</v>
      </c>
      <c r="Y1421" s="9">
        <v>541</v>
      </c>
      <c r="Z1421" s="9">
        <v>543</v>
      </c>
      <c r="AA1421" s="9">
        <v>553</v>
      </c>
      <c r="AB1421" s="9">
        <v>553</v>
      </c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</row>
    <row r="1422" spans="1:47" ht="14.4">
      <c r="A1422" s="3">
        <f>LOOKUP(D1422,'AMFI DATA_2023H2'!F:L,'AMFI DATA_2023H2'!L:L)</f>
        <v>1663</v>
      </c>
      <c r="B1422" s="4" t="s">
        <v>4265</v>
      </c>
      <c r="C1422" s="4" t="s">
        <v>4266</v>
      </c>
      <c r="D1422" s="5" t="s">
        <v>4267</v>
      </c>
      <c r="E1422" s="5">
        <v>833.73</v>
      </c>
      <c r="F1422" s="6">
        <f>LOOKUP(D1422,'AMFI DATA_2023H2'!F:J,'AMFI DATA_2023H2'!J:J)</f>
        <v>356.46589999999998</v>
      </c>
      <c r="G1422" s="7">
        <f t="shared" si="5"/>
        <v>-1</v>
      </c>
      <c r="H1422" s="9"/>
      <c r="I1422" s="9">
        <v>311</v>
      </c>
      <c r="J1422" s="9">
        <v>316</v>
      </c>
      <c r="K1422" s="9">
        <v>310</v>
      </c>
      <c r="L1422" s="9">
        <v>304</v>
      </c>
      <c r="M1422" s="9">
        <v>298</v>
      </c>
      <c r="N1422" s="9">
        <v>292</v>
      </c>
      <c r="O1422" s="9">
        <v>287</v>
      </c>
      <c r="P1422" s="9">
        <v>281</v>
      </c>
      <c r="Q1422" s="9">
        <v>277</v>
      </c>
      <c r="R1422" s="9">
        <v>283</v>
      </c>
      <c r="S1422" s="9">
        <v>285</v>
      </c>
      <c r="T1422" s="9">
        <v>285</v>
      </c>
      <c r="U1422" s="9">
        <v>280</v>
      </c>
      <c r="V1422" s="9">
        <v>275</v>
      </c>
      <c r="W1422" s="9">
        <v>269</v>
      </c>
      <c r="X1422" s="9">
        <v>264</v>
      </c>
      <c r="Y1422" s="9">
        <v>259</v>
      </c>
      <c r="Z1422" s="9">
        <v>255</v>
      </c>
      <c r="AA1422" s="9">
        <v>250</v>
      </c>
      <c r="AB1422" s="9">
        <v>245</v>
      </c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</row>
    <row r="1423" spans="1:47" ht="14.4">
      <c r="A1423" s="3">
        <f>LOOKUP(D1423,'AMFI DATA_2023H2'!F:L,'AMFI DATA_2023H2'!L:L)</f>
        <v>1666</v>
      </c>
      <c r="B1423" s="4" t="s">
        <v>4268</v>
      </c>
      <c r="C1423" s="4" t="s">
        <v>4269</v>
      </c>
      <c r="D1423" s="5" t="s">
        <v>4270</v>
      </c>
      <c r="E1423" s="5">
        <v>362.24</v>
      </c>
      <c r="F1423" s="6">
        <f>LOOKUP(D1423,'AMFI DATA_2023H2'!F:J,'AMFI DATA_2023H2'!J:J)</f>
        <v>353.7611</v>
      </c>
      <c r="G1423" s="7">
        <f t="shared" si="5"/>
        <v>-1</v>
      </c>
      <c r="H1423" s="9"/>
      <c r="I1423" s="9">
        <v>399</v>
      </c>
      <c r="J1423" s="9">
        <v>393</v>
      </c>
      <c r="K1423" s="9">
        <v>405</v>
      </c>
      <c r="L1423" s="9">
        <v>409</v>
      </c>
      <c r="M1423" s="9">
        <v>417</v>
      </c>
      <c r="N1423" s="9">
        <v>412</v>
      </c>
      <c r="O1423" s="9">
        <v>409</v>
      </c>
      <c r="P1423" s="9">
        <v>415</v>
      </c>
      <c r="Q1423" s="9">
        <v>417</v>
      </c>
      <c r="R1423" s="9">
        <v>405</v>
      </c>
      <c r="S1423" s="9">
        <v>413</v>
      </c>
      <c r="T1423" s="9">
        <v>416</v>
      </c>
      <c r="U1423" s="9">
        <v>423</v>
      </c>
      <c r="V1423" s="9">
        <v>413</v>
      </c>
      <c r="W1423" s="9">
        <v>423</v>
      </c>
      <c r="X1423" s="9">
        <v>428</v>
      </c>
      <c r="Y1423" s="9">
        <v>428</v>
      </c>
      <c r="Z1423" s="9">
        <v>441</v>
      </c>
      <c r="AA1423" s="9">
        <v>457</v>
      </c>
      <c r="AB1423" s="9">
        <v>415</v>
      </c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</row>
    <row r="1424" spans="1:47" ht="14.4">
      <c r="A1424" s="3">
        <f>LOOKUP(D1424,'AMFI DATA_2023H2'!F:L,'AMFI DATA_2023H2'!L:L)</f>
        <v>1667</v>
      </c>
      <c r="B1424" s="4" t="s">
        <v>4271</v>
      </c>
      <c r="C1424" s="4" t="s">
        <v>4272</v>
      </c>
      <c r="D1424" s="5" t="s">
        <v>4273</v>
      </c>
      <c r="E1424" s="5">
        <v>306.23</v>
      </c>
      <c r="F1424" s="6">
        <f>LOOKUP(D1424,'AMFI DATA_2023H2'!F:J,'AMFI DATA_2023H2'!J:J)</f>
        <v>353.22314999999998</v>
      </c>
      <c r="G1424" s="7">
        <f t="shared" si="5"/>
        <v>-1</v>
      </c>
      <c r="H1424" s="9"/>
      <c r="I1424" s="9">
        <v>477</v>
      </c>
      <c r="J1424" s="9">
        <v>474</v>
      </c>
      <c r="K1424" s="9">
        <v>465</v>
      </c>
      <c r="L1424" s="9">
        <v>471</v>
      </c>
      <c r="M1424" s="9">
        <v>462</v>
      </c>
      <c r="N1424" s="9">
        <v>464</v>
      </c>
      <c r="O1424" s="9">
        <v>455</v>
      </c>
      <c r="P1424" s="9">
        <v>457</v>
      </c>
      <c r="Q1424" s="9">
        <v>448</v>
      </c>
      <c r="R1424" s="9">
        <v>451</v>
      </c>
      <c r="S1424" s="9">
        <v>455</v>
      </c>
      <c r="T1424" s="9">
        <v>452</v>
      </c>
      <c r="U1424" s="9">
        <v>461</v>
      </c>
      <c r="V1424" s="9">
        <v>460</v>
      </c>
      <c r="W1424" s="9">
        <v>451</v>
      </c>
      <c r="X1424" s="9">
        <v>442</v>
      </c>
      <c r="Y1424" s="9">
        <v>448</v>
      </c>
      <c r="Z1424" s="9">
        <v>449</v>
      </c>
      <c r="AA1424" s="9">
        <v>439</v>
      </c>
      <c r="AB1424" s="9">
        <v>443</v>
      </c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</row>
    <row r="1425" spans="1:47" ht="14.4">
      <c r="A1425" s="3">
        <f>LOOKUP(D1425,'AMFI DATA_2023H2'!F:L,'AMFI DATA_2023H2'!L:L)</f>
        <v>1668</v>
      </c>
      <c r="B1425" s="4" t="s">
        <v>4274</v>
      </c>
      <c r="C1425" s="4" t="s">
        <v>4275</v>
      </c>
      <c r="D1425" s="5" t="s">
        <v>4276</v>
      </c>
      <c r="E1425" s="5">
        <v>377.89</v>
      </c>
      <c r="F1425" s="6">
        <f>LOOKUP(D1425,'AMFI DATA_2023H2'!F:J,'AMFI DATA_2023H2'!J:J)</f>
        <v>352.40480000000002</v>
      </c>
      <c r="G1425" s="7">
        <f t="shared" si="5"/>
        <v>-1</v>
      </c>
      <c r="H1425" s="9"/>
      <c r="I1425" s="9">
        <v>362</v>
      </c>
      <c r="J1425" s="9">
        <v>350</v>
      </c>
      <c r="K1425" s="9">
        <v>350</v>
      </c>
      <c r="L1425" s="9">
        <v>358</v>
      </c>
      <c r="M1425" s="9">
        <v>361</v>
      </c>
      <c r="N1425" s="9">
        <v>356</v>
      </c>
      <c r="O1425" s="9">
        <v>363</v>
      </c>
      <c r="P1425" s="9">
        <v>355</v>
      </c>
      <c r="Q1425" s="9">
        <v>360</v>
      </c>
      <c r="R1425" s="9">
        <v>361</v>
      </c>
      <c r="S1425" s="9">
        <v>360</v>
      </c>
      <c r="T1425" s="9">
        <v>350</v>
      </c>
      <c r="U1425" s="9">
        <v>349</v>
      </c>
      <c r="V1425" s="9">
        <v>352</v>
      </c>
      <c r="W1425" s="9">
        <v>352</v>
      </c>
      <c r="X1425" s="9">
        <v>350</v>
      </c>
      <c r="Y1425" s="9">
        <v>352</v>
      </c>
      <c r="Z1425" s="9">
        <v>347</v>
      </c>
      <c r="AA1425" s="9">
        <v>349</v>
      </c>
      <c r="AB1425" s="9">
        <v>348</v>
      </c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</row>
    <row r="1426" spans="1:47" ht="14.4">
      <c r="A1426" s="3">
        <f>LOOKUP(D1426,'AMFI DATA_2023H2'!F:L,'AMFI DATA_2023H2'!L:L)</f>
        <v>1669</v>
      </c>
      <c r="B1426" s="4" t="s">
        <v>4277</v>
      </c>
      <c r="C1426" s="4" t="s">
        <v>4278</v>
      </c>
      <c r="D1426" s="5" t="s">
        <v>4279</v>
      </c>
      <c r="E1426" s="5">
        <v>202.05</v>
      </c>
      <c r="F1426" s="6">
        <f>LOOKUP(D1426,'AMFI DATA_2023H2'!F:J,'AMFI DATA_2023H2'!J:J)</f>
        <v>352.23630000000003</v>
      </c>
      <c r="G1426" s="7">
        <f t="shared" si="5"/>
        <v>-1</v>
      </c>
      <c r="H1426" s="9"/>
      <c r="I1426" s="9">
        <v>550</v>
      </c>
      <c r="J1426" s="9">
        <v>560</v>
      </c>
      <c r="K1426" s="9">
        <v>551</v>
      </c>
      <c r="L1426" s="9">
        <v>562</v>
      </c>
      <c r="M1426" s="9">
        <v>573</v>
      </c>
      <c r="N1426" s="9">
        <v>581</v>
      </c>
      <c r="O1426" s="9">
        <v>570</v>
      </c>
      <c r="P1426" s="9">
        <v>581</v>
      </c>
      <c r="Q1426" s="9">
        <v>594</v>
      </c>
      <c r="R1426" s="9">
        <v>569</v>
      </c>
      <c r="S1426" s="9">
        <v>557</v>
      </c>
      <c r="T1426" s="9">
        <v>530</v>
      </c>
      <c r="U1426" s="9">
        <v>505</v>
      </c>
      <c r="V1426" s="9">
        <v>481</v>
      </c>
      <c r="W1426" s="9">
        <v>458</v>
      </c>
      <c r="X1426" s="9">
        <v>436</v>
      </c>
      <c r="Y1426" s="9">
        <v>439</v>
      </c>
      <c r="Z1426" s="9">
        <v>448</v>
      </c>
      <c r="AA1426" s="9">
        <v>461</v>
      </c>
      <c r="AB1426" s="9">
        <v>468</v>
      </c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</row>
    <row r="1427" spans="1:47" ht="14.4">
      <c r="A1427" s="3">
        <f>LOOKUP(D1427,'AMFI DATA_2023H2'!F:L,'AMFI DATA_2023H2'!L:L)</f>
        <v>1670</v>
      </c>
      <c r="B1427" s="4" t="s">
        <v>4280</v>
      </c>
      <c r="C1427" s="4" t="s">
        <v>4281</v>
      </c>
      <c r="D1427" s="5" t="s">
        <v>4282</v>
      </c>
      <c r="E1427" s="5">
        <v>159.18</v>
      </c>
      <c r="F1427" s="6">
        <f>LOOKUP(D1427,'AMFI DATA_2023H2'!F:J,'AMFI DATA_2023H2'!J:J)</f>
        <v>351.9871</v>
      </c>
      <c r="G1427" s="7">
        <f t="shared" si="5"/>
        <v>-1</v>
      </c>
      <c r="H1427" s="9"/>
      <c r="I1427" s="9">
        <v>491</v>
      </c>
      <c r="J1427" s="9">
        <v>491</v>
      </c>
      <c r="K1427" s="9">
        <v>491</v>
      </c>
      <c r="L1427" s="9">
        <v>493</v>
      </c>
      <c r="M1427" s="9">
        <v>484</v>
      </c>
      <c r="N1427" s="9">
        <v>474</v>
      </c>
      <c r="O1427" s="9">
        <v>465</v>
      </c>
      <c r="P1427" s="9">
        <v>469</v>
      </c>
      <c r="Q1427" s="9">
        <v>478</v>
      </c>
      <c r="R1427" s="9">
        <v>483</v>
      </c>
      <c r="S1427" s="9">
        <v>490</v>
      </c>
      <c r="T1427" s="9">
        <v>481</v>
      </c>
      <c r="U1427" s="9">
        <v>475</v>
      </c>
      <c r="V1427" s="9">
        <v>485</v>
      </c>
      <c r="W1427" s="9">
        <v>476</v>
      </c>
      <c r="X1427" s="9">
        <v>471</v>
      </c>
      <c r="Y1427" s="9">
        <v>481</v>
      </c>
      <c r="Z1427" s="9">
        <v>484</v>
      </c>
      <c r="AA1427" s="9">
        <v>484</v>
      </c>
      <c r="AB1427" s="9">
        <v>494</v>
      </c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</row>
    <row r="1428" spans="1:47" ht="14.4">
      <c r="A1428" s="3">
        <f>LOOKUP(D1428,'AMFI DATA_2023H2'!F:L,'AMFI DATA_2023H2'!L:L)</f>
        <v>1672</v>
      </c>
      <c r="B1428" s="4" t="s">
        <v>4283</v>
      </c>
      <c r="C1428" s="4" t="s">
        <v>4284</v>
      </c>
      <c r="D1428" s="5" t="s">
        <v>4285</v>
      </c>
      <c r="E1428" s="5">
        <v>348.54</v>
      </c>
      <c r="F1428" s="6">
        <f>LOOKUP(D1428,'AMFI DATA_2023H2'!F:J,'AMFI DATA_2023H2'!J:J)</f>
        <v>350.46450000000004</v>
      </c>
      <c r="G1428" s="7">
        <f t="shared" si="5"/>
        <v>-1</v>
      </c>
      <c r="H1428" s="9"/>
      <c r="I1428" s="9">
        <v>428</v>
      </c>
      <c r="J1428" s="9">
        <v>447</v>
      </c>
      <c r="K1428" s="9">
        <v>438</v>
      </c>
      <c r="L1428" s="9">
        <v>426</v>
      </c>
      <c r="M1428" s="9">
        <v>403</v>
      </c>
      <c r="N1428" s="9">
        <v>417</v>
      </c>
      <c r="O1428" s="9">
        <v>423</v>
      </c>
      <c r="P1428" s="9">
        <v>433</v>
      </c>
      <c r="Q1428" s="9">
        <v>417</v>
      </c>
      <c r="R1428" s="9">
        <v>384</v>
      </c>
      <c r="S1428" s="9">
        <v>369</v>
      </c>
      <c r="T1428" s="9">
        <v>379</v>
      </c>
      <c r="U1428" s="9">
        <v>353</v>
      </c>
      <c r="V1428" s="9">
        <v>354</v>
      </c>
      <c r="W1428" s="9">
        <v>356</v>
      </c>
      <c r="X1428" s="9">
        <v>355</v>
      </c>
      <c r="Y1428" s="9">
        <v>353</v>
      </c>
      <c r="Z1428" s="9">
        <v>362</v>
      </c>
      <c r="AA1428" s="9">
        <v>362</v>
      </c>
      <c r="AB1428" s="9">
        <v>364</v>
      </c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</row>
    <row r="1429" spans="1:47" ht="14.4">
      <c r="A1429" s="3">
        <f>LOOKUP(D1429,'AMFI DATA_2023H2'!F:L,'AMFI DATA_2023H2'!L:L)</f>
        <v>1673</v>
      </c>
      <c r="B1429" s="4" t="s">
        <v>4286</v>
      </c>
      <c r="C1429" s="4" t="s">
        <v>4287</v>
      </c>
      <c r="D1429" s="5" t="s">
        <v>4288</v>
      </c>
      <c r="E1429" s="5">
        <v>288.25</v>
      </c>
      <c r="F1429" s="6">
        <f>LOOKUP(D1429,'AMFI DATA_2023H2'!F:J,'AMFI DATA_2023H2'!J:J)</f>
        <v>350.43029999999999</v>
      </c>
      <c r="G1429" s="7">
        <f t="shared" si="5"/>
        <v>-1</v>
      </c>
      <c r="H1429" s="9"/>
      <c r="I1429" s="9">
        <v>356</v>
      </c>
      <c r="J1429" s="9">
        <v>358</v>
      </c>
      <c r="K1429" s="9">
        <v>356</v>
      </c>
      <c r="L1429" s="9">
        <v>350</v>
      </c>
      <c r="M1429" s="9">
        <v>355</v>
      </c>
      <c r="N1429" s="9">
        <v>352</v>
      </c>
      <c r="O1429" s="9">
        <v>351</v>
      </c>
      <c r="P1429" s="9">
        <v>351</v>
      </c>
      <c r="Q1429" s="9">
        <v>350</v>
      </c>
      <c r="R1429" s="9">
        <v>352</v>
      </c>
      <c r="S1429" s="9">
        <v>350</v>
      </c>
      <c r="T1429" s="9">
        <v>350</v>
      </c>
      <c r="U1429" s="9">
        <v>350</v>
      </c>
      <c r="V1429" s="9">
        <v>350</v>
      </c>
      <c r="W1429" s="9">
        <v>351</v>
      </c>
      <c r="X1429" s="9">
        <v>348</v>
      </c>
      <c r="Y1429" s="9">
        <v>354</v>
      </c>
      <c r="Z1429" s="9">
        <v>352</v>
      </c>
      <c r="AA1429" s="9">
        <v>347</v>
      </c>
      <c r="AB1429" s="9">
        <v>348</v>
      </c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</row>
    <row r="1430" spans="1:47" ht="14.4">
      <c r="A1430" s="3">
        <f>LOOKUP(D1430,'AMFI DATA_2023H2'!F:L,'AMFI DATA_2023H2'!L:L)</f>
        <v>1676</v>
      </c>
      <c r="B1430" s="4" t="s">
        <v>4289</v>
      </c>
      <c r="C1430" s="4" t="s">
        <v>4290</v>
      </c>
      <c r="D1430" s="5" t="s">
        <v>4291</v>
      </c>
      <c r="E1430" s="5">
        <v>193.89</v>
      </c>
      <c r="F1430" s="6">
        <f>LOOKUP(D1430,'AMFI DATA_2023H2'!F:J,'AMFI DATA_2023H2'!J:J)</f>
        <v>344.56899999999996</v>
      </c>
      <c r="G1430" s="7">
        <f t="shared" si="5"/>
        <v>-1</v>
      </c>
      <c r="H1430" s="9"/>
      <c r="I1430" s="9">
        <v>645</v>
      </c>
      <c r="J1430" s="9">
        <v>616</v>
      </c>
      <c r="K1430" s="9">
        <v>618</v>
      </c>
      <c r="L1430" s="9">
        <v>634</v>
      </c>
      <c r="M1430" s="9">
        <v>667</v>
      </c>
      <c r="N1430" s="9">
        <v>672</v>
      </c>
      <c r="O1430" s="9">
        <v>674</v>
      </c>
      <c r="P1430" s="9">
        <v>668</v>
      </c>
      <c r="Q1430" s="9">
        <v>666</v>
      </c>
      <c r="R1430" s="9">
        <v>681</v>
      </c>
      <c r="S1430" s="9">
        <v>702</v>
      </c>
      <c r="T1430" s="9">
        <v>710</v>
      </c>
      <c r="U1430" s="9">
        <v>702</v>
      </c>
      <c r="V1430" s="9">
        <v>731</v>
      </c>
      <c r="W1430" s="9">
        <v>696</v>
      </c>
      <c r="X1430" s="9">
        <v>663</v>
      </c>
      <c r="Y1430" s="9">
        <v>631</v>
      </c>
      <c r="Z1430" s="9">
        <v>654</v>
      </c>
      <c r="AA1430" s="9">
        <v>670</v>
      </c>
      <c r="AB1430" s="9">
        <v>706</v>
      </c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</row>
    <row r="1431" spans="1:47" ht="14.4">
      <c r="A1431" s="3">
        <f>LOOKUP(D1431,'AMFI DATA_2023H2'!F:L,'AMFI DATA_2023H2'!L:L)</f>
        <v>1678</v>
      </c>
      <c r="B1431" s="4" t="s">
        <v>4292</v>
      </c>
      <c r="C1431" s="4" t="s">
        <v>4293</v>
      </c>
      <c r="D1431" s="5" t="s">
        <v>4294</v>
      </c>
      <c r="E1431" s="5">
        <v>270.20999999999998</v>
      </c>
      <c r="F1431" s="6">
        <f>LOOKUP(D1431,'AMFI DATA_2023H2'!F:J,'AMFI DATA_2023H2'!J:J)</f>
        <v>343.83114999999998</v>
      </c>
      <c r="G1431" s="7">
        <f t="shared" si="5"/>
        <v>-1</v>
      </c>
      <c r="H1431" s="9"/>
      <c r="I1431" s="9">
        <v>338</v>
      </c>
      <c r="J1431" s="9">
        <v>329</v>
      </c>
      <c r="K1431" s="9">
        <v>329</v>
      </c>
      <c r="L1431" s="9">
        <v>337</v>
      </c>
      <c r="M1431" s="9">
        <v>338</v>
      </c>
      <c r="N1431" s="9">
        <v>342</v>
      </c>
      <c r="O1431" s="9">
        <v>343</v>
      </c>
      <c r="P1431" s="9">
        <v>344</v>
      </c>
      <c r="Q1431" s="9">
        <v>341</v>
      </c>
      <c r="R1431" s="9">
        <v>342</v>
      </c>
      <c r="S1431" s="9">
        <v>346</v>
      </c>
      <c r="T1431" s="9">
        <v>343</v>
      </c>
      <c r="U1431" s="9">
        <v>340</v>
      </c>
      <c r="V1431" s="9">
        <v>339</v>
      </c>
      <c r="W1431" s="9">
        <v>340</v>
      </c>
      <c r="X1431" s="9">
        <v>341</v>
      </c>
      <c r="Y1431" s="9">
        <v>337</v>
      </c>
      <c r="Z1431" s="9">
        <v>341</v>
      </c>
      <c r="AA1431" s="9">
        <v>343</v>
      </c>
      <c r="AB1431" s="9">
        <v>340</v>
      </c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</row>
    <row r="1432" spans="1:47" ht="14.4">
      <c r="A1432" s="3">
        <f>LOOKUP(D1432,'AMFI DATA_2023H2'!F:L,'AMFI DATA_2023H2'!L:L)</f>
        <v>1679</v>
      </c>
      <c r="B1432" s="4" t="s">
        <v>4295</v>
      </c>
      <c r="C1432" s="4" t="s">
        <v>4296</v>
      </c>
      <c r="D1432" s="5" t="s">
        <v>4297</v>
      </c>
      <c r="E1432" s="5">
        <v>278.33</v>
      </c>
      <c r="F1432" s="6">
        <f>LOOKUP(D1432,'AMFI DATA_2023H2'!F:J,'AMFI DATA_2023H2'!J:J)</f>
        <v>342.55</v>
      </c>
      <c r="G1432" s="7">
        <f t="shared" si="5"/>
        <v>-1</v>
      </c>
      <c r="H1432" s="9"/>
      <c r="I1432" s="9">
        <v>350</v>
      </c>
      <c r="J1432" s="9">
        <v>341</v>
      </c>
      <c r="K1432" s="9">
        <v>346</v>
      </c>
      <c r="L1432" s="9">
        <v>344</v>
      </c>
      <c r="M1432" s="9">
        <v>348</v>
      </c>
      <c r="N1432" s="9">
        <v>354</v>
      </c>
      <c r="O1432" s="9">
        <v>350</v>
      </c>
      <c r="P1432" s="9">
        <v>348</v>
      </c>
      <c r="Q1432" s="9">
        <v>347</v>
      </c>
      <c r="R1432" s="9">
        <v>351</v>
      </c>
      <c r="S1432" s="9">
        <v>358</v>
      </c>
      <c r="T1432" s="9">
        <v>354</v>
      </c>
      <c r="U1432" s="9">
        <v>354</v>
      </c>
      <c r="V1432" s="9">
        <v>350</v>
      </c>
      <c r="W1432" s="9">
        <v>350</v>
      </c>
      <c r="X1432" s="9">
        <v>355</v>
      </c>
      <c r="Y1432" s="9">
        <v>356</v>
      </c>
      <c r="Z1432" s="9">
        <v>347</v>
      </c>
      <c r="AA1432" s="9">
        <v>351</v>
      </c>
      <c r="AB1432" s="9">
        <v>364</v>
      </c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</row>
    <row r="1433" spans="1:47" ht="14.4">
      <c r="A1433" s="3">
        <f>LOOKUP(D1433,'AMFI DATA_2023H2'!F:L,'AMFI DATA_2023H2'!L:L)</f>
        <v>1682</v>
      </c>
      <c r="B1433" s="4" t="s">
        <v>4298</v>
      </c>
      <c r="C1433" s="4" t="s">
        <v>4299</v>
      </c>
      <c r="D1433" s="5" t="s">
        <v>4300</v>
      </c>
      <c r="E1433" s="5">
        <v>221.25</v>
      </c>
      <c r="F1433" s="6">
        <f>LOOKUP(D1433,'AMFI DATA_2023H2'!F:J,'AMFI DATA_2023H2'!J:J)</f>
        <v>339.52284999999995</v>
      </c>
      <c r="G1433" s="7">
        <f t="shared" si="5"/>
        <v>-1</v>
      </c>
      <c r="H1433" s="9"/>
      <c r="I1433" s="9">
        <v>445</v>
      </c>
      <c r="J1433" s="9">
        <v>454</v>
      </c>
      <c r="K1433" s="9">
        <v>463</v>
      </c>
      <c r="L1433" s="9">
        <v>472</v>
      </c>
      <c r="M1433" s="9">
        <v>482</v>
      </c>
      <c r="N1433" s="9">
        <v>492</v>
      </c>
      <c r="O1433" s="9">
        <v>502</v>
      </c>
      <c r="P1433" s="9">
        <v>497</v>
      </c>
      <c r="Q1433" s="9">
        <v>508</v>
      </c>
      <c r="R1433" s="9">
        <v>516</v>
      </c>
      <c r="S1433" s="9">
        <v>506</v>
      </c>
      <c r="T1433" s="9">
        <v>496</v>
      </c>
      <c r="U1433" s="9">
        <v>487</v>
      </c>
      <c r="V1433" s="9">
        <v>477</v>
      </c>
      <c r="W1433" s="9">
        <v>487</v>
      </c>
      <c r="X1433" s="9">
        <v>497</v>
      </c>
      <c r="Y1433" s="9">
        <v>487</v>
      </c>
      <c r="Z1433" s="9">
        <v>477</v>
      </c>
      <c r="AA1433" s="9">
        <v>454</v>
      </c>
      <c r="AB1433" s="9">
        <v>433</v>
      </c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</row>
    <row r="1434" spans="1:47" ht="14.4">
      <c r="A1434" s="3">
        <f>LOOKUP(D1434,'AMFI DATA_2023H2'!F:L,'AMFI DATA_2023H2'!L:L)</f>
        <v>1683</v>
      </c>
      <c r="B1434" s="4" t="s">
        <v>4301</v>
      </c>
      <c r="C1434" s="4" t="s">
        <v>4302</v>
      </c>
      <c r="D1434" s="5" t="s">
        <v>4303</v>
      </c>
      <c r="E1434" s="5">
        <v>373.25</v>
      </c>
      <c r="F1434" s="6">
        <f>LOOKUP(D1434,'AMFI DATA_2023H2'!F:J,'AMFI DATA_2023H2'!J:J)</f>
        <v>338.95265000000001</v>
      </c>
      <c r="G1434" s="7">
        <f t="shared" si="5"/>
        <v>-1</v>
      </c>
      <c r="H1434" s="9"/>
      <c r="I1434" s="9">
        <v>351</v>
      </c>
      <c r="J1434" s="9">
        <v>335</v>
      </c>
      <c r="K1434" s="9">
        <v>338</v>
      </c>
      <c r="L1434" s="9">
        <v>346</v>
      </c>
      <c r="M1434" s="9">
        <v>349</v>
      </c>
      <c r="N1434" s="9">
        <v>347</v>
      </c>
      <c r="O1434" s="9">
        <v>357</v>
      </c>
      <c r="P1434" s="9">
        <v>346</v>
      </c>
      <c r="Q1434" s="9">
        <v>348</v>
      </c>
      <c r="R1434" s="9">
        <v>357</v>
      </c>
      <c r="S1434" s="9">
        <v>358</v>
      </c>
      <c r="T1434" s="9">
        <v>361</v>
      </c>
      <c r="U1434" s="9">
        <v>334</v>
      </c>
      <c r="V1434" s="9">
        <v>337</v>
      </c>
      <c r="W1434" s="9">
        <v>328</v>
      </c>
      <c r="X1434" s="9">
        <v>323</v>
      </c>
      <c r="Y1434" s="9">
        <v>328</v>
      </c>
      <c r="Z1434" s="9">
        <v>325</v>
      </c>
      <c r="AA1434" s="9">
        <v>313</v>
      </c>
      <c r="AB1434" s="9">
        <v>313</v>
      </c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</row>
    <row r="1435" spans="1:47" ht="14.4">
      <c r="A1435" s="3">
        <f>LOOKUP(D1435,'AMFI DATA_2023H2'!F:L,'AMFI DATA_2023H2'!L:L)</f>
        <v>1684</v>
      </c>
      <c r="B1435" s="4" t="s">
        <v>4304</v>
      </c>
      <c r="C1435" s="4" t="s">
        <v>4305</v>
      </c>
      <c r="D1435" s="5" t="s">
        <v>4306</v>
      </c>
      <c r="E1435" s="5">
        <v>241.58</v>
      </c>
      <c r="F1435" s="6">
        <f>LOOKUP(D1435,'AMFI DATA_2023H2'!F:J,'AMFI DATA_2023H2'!J:J)</f>
        <v>336.95515</v>
      </c>
      <c r="G1435" s="7">
        <f t="shared" si="5"/>
        <v>-1</v>
      </c>
      <c r="H1435" s="9"/>
      <c r="I1435" s="9">
        <v>380</v>
      </c>
      <c r="J1435" s="9">
        <v>377</v>
      </c>
      <c r="K1435" s="9">
        <v>389</v>
      </c>
      <c r="L1435" s="9">
        <v>401</v>
      </c>
      <c r="M1435" s="9">
        <v>382</v>
      </c>
      <c r="N1435" s="9">
        <v>364</v>
      </c>
      <c r="O1435" s="9">
        <v>366</v>
      </c>
      <c r="P1435" s="9">
        <v>363</v>
      </c>
      <c r="Q1435" s="9">
        <v>370</v>
      </c>
      <c r="R1435" s="9">
        <v>375</v>
      </c>
      <c r="S1435" s="9">
        <v>375</v>
      </c>
      <c r="T1435" s="9">
        <v>367</v>
      </c>
      <c r="U1435" s="9">
        <v>360</v>
      </c>
      <c r="V1435" s="9">
        <v>353</v>
      </c>
      <c r="W1435" s="9">
        <v>357</v>
      </c>
      <c r="X1435" s="9">
        <v>358</v>
      </c>
      <c r="Y1435" s="9">
        <v>359</v>
      </c>
      <c r="Z1435" s="9">
        <v>357</v>
      </c>
      <c r="AA1435" s="9">
        <v>358</v>
      </c>
      <c r="AB1435" s="9">
        <v>363</v>
      </c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</row>
    <row r="1436" spans="1:47" ht="14.4">
      <c r="A1436" s="3">
        <f>LOOKUP(D1436,'AMFI DATA_2023H2'!F:L,'AMFI DATA_2023H2'!L:L)</f>
        <v>1685</v>
      </c>
      <c r="B1436" s="4" t="s">
        <v>4307</v>
      </c>
      <c r="C1436" s="4" t="s">
        <v>4308</v>
      </c>
      <c r="D1436" s="5" t="s">
        <v>4309</v>
      </c>
      <c r="E1436" s="5">
        <v>196.2</v>
      </c>
      <c r="F1436" s="6">
        <f>LOOKUP(D1436,'AMFI DATA_2023H2'!F:J,'AMFI DATA_2023H2'!J:J)</f>
        <v>336.80719999999997</v>
      </c>
      <c r="G1436" s="7">
        <f t="shared" si="5"/>
        <v>-1</v>
      </c>
      <c r="H1436" s="9"/>
      <c r="I1436" s="9">
        <v>509</v>
      </c>
      <c r="J1436" s="9">
        <v>519</v>
      </c>
      <c r="K1436" s="9">
        <v>521</v>
      </c>
      <c r="L1436" s="9">
        <v>504</v>
      </c>
      <c r="M1436" s="9">
        <v>462</v>
      </c>
      <c r="N1436" s="9">
        <v>468</v>
      </c>
      <c r="O1436" s="9">
        <v>472</v>
      </c>
      <c r="P1436" s="9">
        <v>472</v>
      </c>
      <c r="Q1436" s="9">
        <v>482</v>
      </c>
      <c r="R1436" s="9">
        <v>468</v>
      </c>
      <c r="S1436" s="9">
        <v>461</v>
      </c>
      <c r="T1436" s="9">
        <v>453</v>
      </c>
      <c r="U1436" s="9">
        <v>456</v>
      </c>
      <c r="V1436" s="9">
        <v>460</v>
      </c>
      <c r="W1436" s="9">
        <v>455</v>
      </c>
      <c r="X1436" s="9">
        <v>447</v>
      </c>
      <c r="Y1436" s="9">
        <v>447</v>
      </c>
      <c r="Z1436" s="9">
        <v>436</v>
      </c>
      <c r="AA1436" s="9">
        <v>449</v>
      </c>
      <c r="AB1436" s="9">
        <v>443</v>
      </c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</row>
    <row r="1437" spans="1:47" ht="14.4">
      <c r="A1437" s="3">
        <f>LOOKUP(D1437,'AMFI DATA_2023H2'!F:L,'AMFI DATA_2023H2'!L:L)</f>
        <v>1686</v>
      </c>
      <c r="B1437" s="4" t="s">
        <v>4310</v>
      </c>
      <c r="C1437" s="4" t="s">
        <v>4311</v>
      </c>
      <c r="D1437" s="5" t="s">
        <v>4312</v>
      </c>
      <c r="E1437" s="5">
        <v>235.03</v>
      </c>
      <c r="F1437" s="6">
        <f>LOOKUP(D1437,'AMFI DATA_2023H2'!F:J,'AMFI DATA_2023H2'!J:J)</f>
        <v>336.24914999999999</v>
      </c>
      <c r="G1437" s="7">
        <f t="shared" si="5"/>
        <v>-1</v>
      </c>
      <c r="H1437" s="9"/>
      <c r="I1437" s="9">
        <v>405</v>
      </c>
      <c r="J1437" s="9">
        <v>403</v>
      </c>
      <c r="K1437" s="9">
        <v>387</v>
      </c>
      <c r="L1437" s="9">
        <v>395</v>
      </c>
      <c r="M1437" s="9">
        <v>395</v>
      </c>
      <c r="N1437" s="9">
        <v>377</v>
      </c>
      <c r="O1437" s="9">
        <v>385</v>
      </c>
      <c r="P1437" s="9">
        <v>394</v>
      </c>
      <c r="Q1437" s="9">
        <v>400</v>
      </c>
      <c r="R1437" s="9">
        <v>408</v>
      </c>
      <c r="S1437" s="9">
        <v>422</v>
      </c>
      <c r="T1437" s="9">
        <v>426</v>
      </c>
      <c r="U1437" s="9">
        <v>442</v>
      </c>
      <c r="V1437" s="9">
        <v>429</v>
      </c>
      <c r="W1437" s="9">
        <v>447</v>
      </c>
      <c r="X1437" s="9">
        <v>448</v>
      </c>
      <c r="Y1437" s="9">
        <v>440</v>
      </c>
      <c r="Z1437" s="9">
        <v>438</v>
      </c>
      <c r="AA1437" s="9">
        <v>437</v>
      </c>
      <c r="AB1437" s="9">
        <v>442</v>
      </c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</row>
    <row r="1438" spans="1:47" ht="14.4">
      <c r="A1438" s="3">
        <f>LOOKUP(D1438,'AMFI DATA_2023H2'!F:L,'AMFI DATA_2023H2'!L:L)</f>
        <v>1687</v>
      </c>
      <c r="B1438" s="4" t="s">
        <v>4313</v>
      </c>
      <c r="C1438" s="4" t="s">
        <v>4314</v>
      </c>
      <c r="D1438" s="5" t="s">
        <v>4315</v>
      </c>
      <c r="E1438" s="5">
        <v>279.70999999999998</v>
      </c>
      <c r="F1438" s="6">
        <f>LOOKUP(D1438,'AMFI DATA_2023H2'!F:J,'AMFI DATA_2023H2'!J:J)</f>
        <v>336.12435000000005</v>
      </c>
      <c r="G1438" s="7">
        <f t="shared" si="5"/>
        <v>-1</v>
      </c>
      <c r="H1438" s="9"/>
      <c r="I1438" s="9">
        <v>519</v>
      </c>
      <c r="J1438" s="9">
        <v>520</v>
      </c>
      <c r="K1438" s="9">
        <v>519</v>
      </c>
      <c r="L1438" s="9">
        <v>513</v>
      </c>
      <c r="M1438" s="9">
        <v>537</v>
      </c>
      <c r="N1438" s="9">
        <v>507</v>
      </c>
      <c r="O1438" s="9">
        <v>533</v>
      </c>
      <c r="P1438" s="9">
        <v>516</v>
      </c>
      <c r="Q1438" s="9">
        <v>527</v>
      </c>
      <c r="R1438" s="9">
        <v>490</v>
      </c>
      <c r="S1438" s="9">
        <v>439</v>
      </c>
      <c r="T1438" s="9">
        <v>437</v>
      </c>
      <c r="U1438" s="9">
        <v>436</v>
      </c>
      <c r="V1438" s="9">
        <v>427</v>
      </c>
      <c r="W1438" s="9">
        <v>431</v>
      </c>
      <c r="X1438" s="9">
        <v>443</v>
      </c>
      <c r="Y1438" s="9">
        <v>445</v>
      </c>
      <c r="Z1438" s="9">
        <v>462</v>
      </c>
      <c r="AA1438" s="9">
        <v>396</v>
      </c>
      <c r="AB1438" s="9">
        <v>397</v>
      </c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</row>
    <row r="1439" spans="1:47" ht="14.4">
      <c r="A1439" s="3">
        <f>LOOKUP(D1439,'AMFI DATA_2023H2'!F:L,'AMFI DATA_2023H2'!L:L)</f>
        <v>1688</v>
      </c>
      <c r="B1439" s="4" t="s">
        <v>4316</v>
      </c>
      <c r="C1439" s="4" t="s">
        <v>4317</v>
      </c>
      <c r="D1439" s="5" t="s">
        <v>4318</v>
      </c>
      <c r="E1439" s="5">
        <v>69795.289999999994</v>
      </c>
      <c r="F1439" s="6">
        <f>LOOKUP(D1439,'AMFI DATA_2023H2'!F:J,'AMFI DATA_2023H2'!J:J)</f>
        <v>335.92494999999997</v>
      </c>
      <c r="G1439" s="7">
        <f t="shared" si="5"/>
        <v>-1</v>
      </c>
      <c r="H1439" s="9"/>
      <c r="I1439" s="9">
        <v>377</v>
      </c>
      <c r="J1439" s="9">
        <v>379</v>
      </c>
      <c r="K1439" s="9">
        <v>393</v>
      </c>
      <c r="L1439" s="9">
        <v>393</v>
      </c>
      <c r="M1439" s="9">
        <v>365</v>
      </c>
      <c r="N1439" s="9">
        <v>358</v>
      </c>
      <c r="O1439" s="9">
        <v>356</v>
      </c>
      <c r="P1439" s="9">
        <v>360</v>
      </c>
      <c r="Q1439" s="9">
        <v>355</v>
      </c>
      <c r="R1439" s="9">
        <v>360</v>
      </c>
      <c r="S1439" s="9">
        <v>355</v>
      </c>
      <c r="T1439" s="9">
        <v>357</v>
      </c>
      <c r="U1439" s="9">
        <v>361</v>
      </c>
      <c r="V1439" s="9">
        <v>358</v>
      </c>
      <c r="W1439" s="9">
        <v>361</v>
      </c>
      <c r="X1439" s="9">
        <v>359</v>
      </c>
      <c r="Y1439" s="9">
        <v>361</v>
      </c>
      <c r="Z1439" s="9">
        <v>359</v>
      </c>
      <c r="AA1439" s="9">
        <v>364</v>
      </c>
      <c r="AB1439" s="9">
        <v>372</v>
      </c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</row>
    <row r="1440" spans="1:47" ht="14.4">
      <c r="A1440" s="3">
        <f>LOOKUP(D1440,'AMFI DATA_2023H2'!F:L,'AMFI DATA_2023H2'!L:L)</f>
        <v>1689</v>
      </c>
      <c r="B1440" s="4" t="s">
        <v>4319</v>
      </c>
      <c r="C1440" s="4" t="s">
        <v>4320</v>
      </c>
      <c r="D1440" s="5" t="s">
        <v>4321</v>
      </c>
      <c r="E1440" s="5">
        <v>237.55</v>
      </c>
      <c r="F1440" s="6">
        <f>LOOKUP(D1440,'AMFI DATA_2023H2'!F:J,'AMFI DATA_2023H2'!J:J)</f>
        <v>335.32074999999998</v>
      </c>
      <c r="G1440" s="7">
        <f t="shared" si="5"/>
        <v>-1</v>
      </c>
      <c r="H1440" s="9"/>
      <c r="I1440" s="9">
        <v>450</v>
      </c>
      <c r="J1440" s="9">
        <v>459</v>
      </c>
      <c r="K1440" s="9">
        <v>469</v>
      </c>
      <c r="L1440" s="9">
        <v>478</v>
      </c>
      <c r="M1440" s="9">
        <v>488</v>
      </c>
      <c r="N1440" s="9">
        <v>478</v>
      </c>
      <c r="O1440" s="9">
        <v>488</v>
      </c>
      <c r="P1440" s="9">
        <v>498</v>
      </c>
      <c r="Q1440" s="9">
        <v>508</v>
      </c>
      <c r="R1440" s="9">
        <v>519</v>
      </c>
      <c r="S1440" s="9">
        <v>529</v>
      </c>
      <c r="T1440" s="9">
        <v>509</v>
      </c>
      <c r="U1440" s="9">
        <v>480</v>
      </c>
      <c r="V1440" s="9">
        <v>457</v>
      </c>
      <c r="W1440" s="9">
        <v>451</v>
      </c>
      <c r="X1440" s="9">
        <v>455</v>
      </c>
      <c r="Y1440" s="9">
        <v>446</v>
      </c>
      <c r="Z1440" s="9">
        <v>423</v>
      </c>
      <c r="AA1440" s="9">
        <v>422</v>
      </c>
      <c r="AB1440" s="9">
        <v>437</v>
      </c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</row>
    <row r="1441" spans="1:47" ht="14.4">
      <c r="A1441" s="3">
        <f>LOOKUP(D1441,'AMFI DATA_2023H2'!F:L,'AMFI DATA_2023H2'!L:L)</f>
        <v>1690</v>
      </c>
      <c r="B1441" s="4" t="s">
        <v>4322</v>
      </c>
      <c r="C1441" s="4" t="s">
        <v>4323</v>
      </c>
      <c r="D1441" s="5" t="s">
        <v>4324</v>
      </c>
      <c r="E1441" s="5">
        <v>305.57</v>
      </c>
      <c r="F1441" s="6">
        <f>LOOKUP(D1441,'AMFI DATA_2023H2'!F:J,'AMFI DATA_2023H2'!J:J)</f>
        <v>335.24350000000004</v>
      </c>
      <c r="G1441" s="7">
        <f t="shared" si="5"/>
        <v>-1</v>
      </c>
      <c r="H1441" s="9"/>
      <c r="I1441" s="9">
        <v>396</v>
      </c>
      <c r="J1441" s="9">
        <v>389</v>
      </c>
      <c r="K1441" s="9">
        <v>394</v>
      </c>
      <c r="L1441" s="9">
        <v>398</v>
      </c>
      <c r="M1441" s="9">
        <v>417</v>
      </c>
      <c r="N1441" s="9">
        <v>414</v>
      </c>
      <c r="O1441" s="9">
        <v>409</v>
      </c>
      <c r="P1441" s="9">
        <v>414</v>
      </c>
      <c r="Q1441" s="9">
        <v>422</v>
      </c>
      <c r="R1441" s="9">
        <v>418</v>
      </c>
      <c r="S1441" s="9">
        <v>414</v>
      </c>
      <c r="T1441" s="9">
        <v>425</v>
      </c>
      <c r="U1441" s="9">
        <v>427</v>
      </c>
      <c r="V1441" s="9">
        <v>419</v>
      </c>
      <c r="W1441" s="9">
        <v>406</v>
      </c>
      <c r="X1441" s="9">
        <v>389</v>
      </c>
      <c r="Y1441" s="9">
        <v>379</v>
      </c>
      <c r="Z1441" s="9">
        <v>382</v>
      </c>
      <c r="AA1441" s="9">
        <v>398</v>
      </c>
      <c r="AB1441" s="9">
        <v>398</v>
      </c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</row>
    <row r="1442" spans="1:47" ht="14.4">
      <c r="A1442" s="3">
        <f>LOOKUP(D1442,'AMFI DATA_2023H2'!F:L,'AMFI DATA_2023H2'!L:L)</f>
        <v>1692</v>
      </c>
      <c r="B1442" s="4" t="s">
        <v>4325</v>
      </c>
      <c r="C1442" s="4" t="s">
        <v>4326</v>
      </c>
      <c r="D1442" s="5" t="s">
        <v>4327</v>
      </c>
      <c r="E1442" s="5">
        <v>240.13</v>
      </c>
      <c r="F1442" s="6">
        <f>LOOKUP(D1442,'AMFI DATA_2023H2'!F:J,'AMFI DATA_2023H2'!J:J)</f>
        <v>334.66364999999996</v>
      </c>
      <c r="G1442" s="7">
        <f t="shared" si="5"/>
        <v>-1</v>
      </c>
      <c r="H1442" s="9"/>
      <c r="I1442" s="9">
        <v>345</v>
      </c>
      <c r="J1442" s="9">
        <v>343</v>
      </c>
      <c r="K1442" s="9">
        <v>358</v>
      </c>
      <c r="L1442" s="9">
        <v>357</v>
      </c>
      <c r="M1442" s="9">
        <v>360</v>
      </c>
      <c r="N1442" s="9">
        <v>365</v>
      </c>
      <c r="O1442" s="9">
        <v>374</v>
      </c>
      <c r="P1442" s="9">
        <v>368</v>
      </c>
      <c r="Q1442" s="9">
        <v>381</v>
      </c>
      <c r="R1442" s="9">
        <v>383</v>
      </c>
      <c r="S1442" s="9">
        <v>379</v>
      </c>
      <c r="T1442" s="9">
        <v>372</v>
      </c>
      <c r="U1442" s="9">
        <v>392</v>
      </c>
      <c r="V1442" s="9">
        <v>340</v>
      </c>
      <c r="W1442" s="9">
        <v>350</v>
      </c>
      <c r="X1442" s="9">
        <v>345</v>
      </c>
      <c r="Y1442" s="9">
        <v>350</v>
      </c>
      <c r="Z1442" s="9">
        <v>346</v>
      </c>
      <c r="AA1442" s="9">
        <v>316</v>
      </c>
      <c r="AB1442" s="9">
        <v>324</v>
      </c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</row>
    <row r="1443" spans="1:47" ht="14.4">
      <c r="A1443" s="3">
        <f>LOOKUP(D1443,'AMFI DATA_2023H2'!F:L,'AMFI DATA_2023H2'!L:L)</f>
        <v>1694</v>
      </c>
      <c r="B1443" s="4" t="s">
        <v>4328</v>
      </c>
      <c r="C1443" s="4" t="s">
        <v>4329</v>
      </c>
      <c r="D1443" s="5" t="s">
        <v>4330</v>
      </c>
      <c r="E1443" s="5">
        <v>204.69</v>
      </c>
      <c r="F1443" s="6">
        <f>LOOKUP(D1443,'AMFI DATA_2023H2'!F:J,'AMFI DATA_2023H2'!J:J)</f>
        <v>334.36554999999998</v>
      </c>
      <c r="G1443" s="7">
        <f t="shared" si="5"/>
        <v>-1</v>
      </c>
      <c r="H1443" s="9"/>
      <c r="I1443" s="9">
        <v>488</v>
      </c>
      <c r="J1443" s="9">
        <v>498</v>
      </c>
      <c r="K1443" s="9">
        <v>508</v>
      </c>
      <c r="L1443" s="9">
        <v>518</v>
      </c>
      <c r="M1443" s="9">
        <v>528</v>
      </c>
      <c r="N1443" s="9">
        <v>519</v>
      </c>
      <c r="O1443" s="9">
        <v>510</v>
      </c>
      <c r="P1443" s="9">
        <v>500</v>
      </c>
      <c r="Q1443" s="9">
        <v>490</v>
      </c>
      <c r="R1443" s="9">
        <v>481</v>
      </c>
      <c r="S1443" s="9">
        <v>471</v>
      </c>
      <c r="T1443" s="9">
        <v>467</v>
      </c>
      <c r="U1443" s="9">
        <v>467</v>
      </c>
      <c r="V1443" s="9">
        <v>459</v>
      </c>
      <c r="W1443" s="9">
        <v>468</v>
      </c>
      <c r="X1443" s="9">
        <v>477</v>
      </c>
      <c r="Y1443" s="9">
        <v>487</v>
      </c>
      <c r="Z1443" s="9">
        <v>487</v>
      </c>
      <c r="AA1443" s="9">
        <v>474</v>
      </c>
      <c r="AB1443" s="9">
        <v>474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</row>
    <row r="1444" spans="1:47" ht="14.4">
      <c r="A1444" s="3">
        <f>LOOKUP(D1444,'AMFI DATA_2023H2'!F:L,'AMFI DATA_2023H2'!L:L)</f>
        <v>1695</v>
      </c>
      <c r="B1444" s="4" t="s">
        <v>4331</v>
      </c>
      <c r="C1444" s="4" t="s">
        <v>4332</v>
      </c>
      <c r="D1444" s="5" t="s">
        <v>4333</v>
      </c>
      <c r="E1444" s="5">
        <v>166.91</v>
      </c>
      <c r="F1444" s="6">
        <f>LOOKUP(D1444,'AMFI DATA_2023H2'!F:J,'AMFI DATA_2023H2'!J:J)</f>
        <v>333.40705000000003</v>
      </c>
      <c r="G1444" s="7">
        <f t="shared" si="5"/>
        <v>-1</v>
      </c>
      <c r="H1444" s="9"/>
      <c r="I1444" s="9">
        <v>398</v>
      </c>
      <c r="J1444" s="9">
        <v>379</v>
      </c>
      <c r="K1444" s="9">
        <v>360</v>
      </c>
      <c r="L1444" s="9">
        <v>379</v>
      </c>
      <c r="M1444" s="9">
        <v>390</v>
      </c>
      <c r="N1444" s="9">
        <v>384</v>
      </c>
      <c r="O1444" s="9">
        <v>400</v>
      </c>
      <c r="P1444" s="9">
        <v>383</v>
      </c>
      <c r="Q1444" s="9">
        <v>402</v>
      </c>
      <c r="R1444" s="9">
        <v>386</v>
      </c>
      <c r="S1444" s="9">
        <v>373</v>
      </c>
      <c r="T1444" s="9">
        <v>380</v>
      </c>
      <c r="U1444" s="9">
        <v>378</v>
      </c>
      <c r="V1444" s="9">
        <v>370</v>
      </c>
      <c r="W1444" s="9">
        <v>363</v>
      </c>
      <c r="X1444" s="9">
        <v>356</v>
      </c>
      <c r="Y1444" s="9">
        <v>358</v>
      </c>
      <c r="Z1444" s="9">
        <v>362</v>
      </c>
      <c r="AA1444" s="9">
        <v>350</v>
      </c>
      <c r="AB1444" s="9">
        <v>359</v>
      </c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</row>
    <row r="1445" spans="1:47" ht="14.4">
      <c r="A1445" s="3">
        <f>LOOKUP(D1445,'AMFI DATA_2023H2'!F:L,'AMFI DATA_2023H2'!L:L)</f>
        <v>1700</v>
      </c>
      <c r="B1445" s="4" t="s">
        <v>4334</v>
      </c>
      <c r="C1445" s="4" t="s">
        <v>4335</v>
      </c>
      <c r="D1445" s="5" t="s">
        <v>4336</v>
      </c>
      <c r="E1445" s="5">
        <v>274.86</v>
      </c>
      <c r="F1445" s="6">
        <f>LOOKUP(D1445,'AMFI DATA_2023H2'!F:J,'AMFI DATA_2023H2'!J:J)</f>
        <v>330.26274999999998</v>
      </c>
      <c r="G1445" s="7">
        <f t="shared" si="5"/>
        <v>-1</v>
      </c>
      <c r="H1445" s="9"/>
      <c r="I1445" s="9">
        <v>381</v>
      </c>
      <c r="J1445" s="9">
        <v>383</v>
      </c>
      <c r="K1445" s="9">
        <v>380</v>
      </c>
      <c r="L1445" s="9">
        <v>378</v>
      </c>
      <c r="M1445" s="9">
        <v>391</v>
      </c>
      <c r="N1445" s="9">
        <v>397</v>
      </c>
      <c r="O1445" s="9">
        <v>406</v>
      </c>
      <c r="P1445" s="9">
        <v>371</v>
      </c>
      <c r="Q1445" s="9">
        <v>377</v>
      </c>
      <c r="R1445" s="9">
        <v>377</v>
      </c>
      <c r="S1445" s="9">
        <v>380</v>
      </c>
      <c r="T1445" s="9">
        <v>375</v>
      </c>
      <c r="U1445" s="9">
        <v>380</v>
      </c>
      <c r="V1445" s="9">
        <v>366</v>
      </c>
      <c r="W1445" s="9">
        <v>366</v>
      </c>
      <c r="X1445" s="9">
        <v>365</v>
      </c>
      <c r="Y1445" s="9">
        <v>367</v>
      </c>
      <c r="Z1445" s="9">
        <v>334</v>
      </c>
      <c r="AA1445" s="9">
        <v>332</v>
      </c>
      <c r="AB1445" s="9">
        <v>335</v>
      </c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</row>
    <row r="1446" spans="1:47" ht="14.4">
      <c r="A1446" s="3">
        <f>LOOKUP(D1446,'AMFI DATA_2023H2'!F:L,'AMFI DATA_2023H2'!L:L)</f>
        <v>1701</v>
      </c>
      <c r="B1446" s="4" t="s">
        <v>4337</v>
      </c>
      <c r="C1446" s="4" t="s">
        <v>4338</v>
      </c>
      <c r="D1446" s="5" t="s">
        <v>4339</v>
      </c>
      <c r="E1446" s="5">
        <v>269.10000000000002</v>
      </c>
      <c r="F1446" s="6">
        <f>LOOKUP(D1446,'AMFI DATA_2023H2'!F:J,'AMFI DATA_2023H2'!J:J)</f>
        <v>330.24490000000003</v>
      </c>
      <c r="G1446" s="7">
        <f t="shared" si="5"/>
        <v>-1</v>
      </c>
      <c r="H1446" s="9"/>
      <c r="I1446" s="9">
        <v>464</v>
      </c>
      <c r="J1446" s="9">
        <v>440</v>
      </c>
      <c r="K1446" s="9">
        <v>422</v>
      </c>
      <c r="L1446" s="9">
        <v>429</v>
      </c>
      <c r="M1446" s="9">
        <v>450</v>
      </c>
      <c r="N1446" s="9">
        <v>465</v>
      </c>
      <c r="O1446" s="9">
        <v>478</v>
      </c>
      <c r="P1446" s="9">
        <v>479</v>
      </c>
      <c r="Q1446" s="9">
        <v>458</v>
      </c>
      <c r="R1446" s="9">
        <v>460</v>
      </c>
      <c r="S1446" s="9">
        <v>470</v>
      </c>
      <c r="T1446" s="9">
        <v>481</v>
      </c>
      <c r="U1446" s="9">
        <v>469</v>
      </c>
      <c r="V1446" s="9">
        <v>455</v>
      </c>
      <c r="W1446" s="9">
        <v>434</v>
      </c>
      <c r="X1446" s="9">
        <v>413</v>
      </c>
      <c r="Y1446" s="9">
        <v>425</v>
      </c>
      <c r="Z1446" s="9">
        <v>437</v>
      </c>
      <c r="AA1446" s="9">
        <v>448</v>
      </c>
      <c r="AB1446" s="9">
        <v>470</v>
      </c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</row>
    <row r="1447" spans="1:47" ht="14.4">
      <c r="A1447" s="3">
        <f>LOOKUP(D1447,'AMFI DATA_2023H2'!F:L,'AMFI DATA_2023H2'!L:L)</f>
        <v>1704</v>
      </c>
      <c r="B1447" s="4" t="s">
        <v>4340</v>
      </c>
      <c r="C1447" s="4" t="s">
        <v>4341</v>
      </c>
      <c r="D1447" s="5" t="s">
        <v>4342</v>
      </c>
      <c r="E1447" s="5">
        <v>310.02</v>
      </c>
      <c r="F1447" s="6">
        <f>LOOKUP(D1447,'AMFI DATA_2023H2'!F:J,'AMFI DATA_2023H2'!J:J)</f>
        <v>329.78504999999996</v>
      </c>
      <c r="G1447" s="7">
        <f t="shared" si="5"/>
        <v>-1</v>
      </c>
      <c r="H1447" s="9"/>
      <c r="I1447" s="9">
        <v>381</v>
      </c>
      <c r="J1447" s="9">
        <v>383</v>
      </c>
      <c r="K1447" s="9">
        <v>385</v>
      </c>
      <c r="L1447" s="9">
        <v>388</v>
      </c>
      <c r="M1447" s="9">
        <v>369</v>
      </c>
      <c r="N1447" s="9">
        <v>352</v>
      </c>
      <c r="O1447" s="9">
        <v>352</v>
      </c>
      <c r="P1447" s="9">
        <v>354</v>
      </c>
      <c r="Q1447" s="9">
        <v>354</v>
      </c>
      <c r="R1447" s="9">
        <v>354</v>
      </c>
      <c r="S1447" s="9">
        <v>356</v>
      </c>
      <c r="T1447" s="9">
        <v>356</v>
      </c>
      <c r="U1447" s="9">
        <v>356</v>
      </c>
      <c r="V1447" s="9">
        <v>360</v>
      </c>
      <c r="W1447" s="9">
        <v>363</v>
      </c>
      <c r="X1447" s="9">
        <v>353</v>
      </c>
      <c r="Y1447" s="9">
        <v>339</v>
      </c>
      <c r="Z1447" s="9">
        <v>343</v>
      </c>
      <c r="AA1447" s="9">
        <v>346</v>
      </c>
      <c r="AB1447" s="9">
        <v>340</v>
      </c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</row>
    <row r="1448" spans="1:47" ht="14.4">
      <c r="A1448" s="3">
        <f>LOOKUP(D1448,'AMFI DATA_2023H2'!F:L,'AMFI DATA_2023H2'!L:L)</f>
        <v>1705</v>
      </c>
      <c r="B1448" s="4" t="s">
        <v>4343</v>
      </c>
      <c r="C1448" s="4" t="s">
        <v>4344</v>
      </c>
      <c r="D1448" s="5" t="s">
        <v>4345</v>
      </c>
      <c r="E1448" s="5">
        <v>361.63</v>
      </c>
      <c r="F1448" s="6">
        <f>LOOKUP(D1448,'AMFI DATA_2023H2'!F:J,'AMFI DATA_2023H2'!J:J)</f>
        <v>328.49110000000002</v>
      </c>
      <c r="G1448" s="7">
        <f t="shared" si="5"/>
        <v>-1</v>
      </c>
      <c r="H1448" s="9"/>
      <c r="I1448" s="9">
        <v>290</v>
      </c>
      <c r="J1448" s="9">
        <v>293</v>
      </c>
      <c r="K1448" s="9">
        <v>298</v>
      </c>
      <c r="L1448" s="9">
        <v>313</v>
      </c>
      <c r="M1448" s="9">
        <v>314</v>
      </c>
      <c r="N1448" s="9">
        <v>315</v>
      </c>
      <c r="O1448" s="9">
        <v>314</v>
      </c>
      <c r="P1448" s="9">
        <v>312</v>
      </c>
      <c r="Q1448" s="9">
        <v>312</v>
      </c>
      <c r="R1448" s="9">
        <v>317</v>
      </c>
      <c r="S1448" s="9">
        <v>313</v>
      </c>
      <c r="T1448" s="9">
        <v>317</v>
      </c>
      <c r="U1448" s="9">
        <v>317</v>
      </c>
      <c r="V1448" s="9">
        <v>316</v>
      </c>
      <c r="W1448" s="9">
        <v>315</v>
      </c>
      <c r="X1448" s="9">
        <v>315</v>
      </c>
      <c r="Y1448" s="9">
        <v>315</v>
      </c>
      <c r="Z1448" s="9">
        <v>317</v>
      </c>
      <c r="AA1448" s="9">
        <v>325</v>
      </c>
      <c r="AB1448" s="9">
        <v>324</v>
      </c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</row>
    <row r="1449" spans="1:47" ht="14.4">
      <c r="A1449" s="3">
        <f>LOOKUP(D1449,'AMFI DATA_2023H2'!F:L,'AMFI DATA_2023H2'!L:L)</f>
        <v>1707</v>
      </c>
      <c r="B1449" s="4" t="s">
        <v>4346</v>
      </c>
      <c r="C1449" s="4" t="s">
        <v>4347</v>
      </c>
      <c r="D1449" s="5" t="s">
        <v>4348</v>
      </c>
      <c r="E1449" s="5">
        <v>265.44</v>
      </c>
      <c r="F1449" s="6">
        <f>LOOKUP(D1449,'AMFI DATA_2023H2'!F:J,'AMFI DATA_2023H2'!J:J)</f>
        <v>327.51260000000002</v>
      </c>
      <c r="G1449" s="7">
        <f t="shared" si="5"/>
        <v>-1</v>
      </c>
      <c r="H1449" s="9"/>
      <c r="I1449" s="9">
        <v>547</v>
      </c>
      <c r="J1449" s="9">
        <v>537</v>
      </c>
      <c r="K1449" s="9">
        <v>539</v>
      </c>
      <c r="L1449" s="9">
        <v>552</v>
      </c>
      <c r="M1449" s="9">
        <v>538</v>
      </c>
      <c r="N1449" s="9">
        <v>527</v>
      </c>
      <c r="O1449" s="9">
        <v>538</v>
      </c>
      <c r="P1449" s="9">
        <v>541</v>
      </c>
      <c r="Q1449" s="9">
        <v>539</v>
      </c>
      <c r="R1449" s="9">
        <v>538</v>
      </c>
      <c r="S1449" s="9">
        <v>557</v>
      </c>
      <c r="T1449" s="9">
        <v>554</v>
      </c>
      <c r="U1449" s="9">
        <v>517</v>
      </c>
      <c r="V1449" s="9">
        <v>435</v>
      </c>
      <c r="W1449" s="9">
        <v>436</v>
      </c>
      <c r="X1449" s="9">
        <v>417</v>
      </c>
      <c r="Y1449" s="9">
        <v>427</v>
      </c>
      <c r="Z1449" s="9">
        <v>434</v>
      </c>
      <c r="AA1449" s="9">
        <v>432</v>
      </c>
      <c r="AB1449" s="9">
        <v>421</v>
      </c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</row>
    <row r="1450" spans="1:47" ht="14.4">
      <c r="A1450" s="3">
        <f>LOOKUP(D1450,'AMFI DATA_2023H2'!F:L,'AMFI DATA_2023H2'!L:L)</f>
        <v>1708</v>
      </c>
      <c r="B1450" s="4" t="s">
        <v>4349</v>
      </c>
      <c r="C1450" s="4" t="s">
        <v>4350</v>
      </c>
      <c r="D1450" s="5" t="s">
        <v>4351</v>
      </c>
      <c r="E1450" s="5">
        <v>264.22000000000003</v>
      </c>
      <c r="F1450" s="6">
        <f>LOOKUP(D1450,'AMFI DATA_2023H2'!F:J,'AMFI DATA_2023H2'!J:J)</f>
        <v>327.4547</v>
      </c>
      <c r="G1450" s="7">
        <f t="shared" si="5"/>
        <v>-1</v>
      </c>
      <c r="H1450" s="9"/>
      <c r="I1450" s="9">
        <v>429</v>
      </c>
      <c r="J1450" s="9">
        <v>418</v>
      </c>
      <c r="K1450" s="9">
        <v>428</v>
      </c>
      <c r="L1450" s="9">
        <v>431</v>
      </c>
      <c r="M1450" s="9">
        <v>444</v>
      </c>
      <c r="N1450" s="9">
        <v>449</v>
      </c>
      <c r="O1450" s="9">
        <v>438</v>
      </c>
      <c r="P1450" s="9">
        <v>436</v>
      </c>
      <c r="Q1450" s="9">
        <v>423</v>
      </c>
      <c r="R1450" s="9">
        <v>437</v>
      </c>
      <c r="S1450" s="9">
        <v>420</v>
      </c>
      <c r="T1450" s="9">
        <v>427</v>
      </c>
      <c r="U1450" s="9">
        <v>391</v>
      </c>
      <c r="V1450" s="9">
        <v>376</v>
      </c>
      <c r="W1450" s="9">
        <v>376</v>
      </c>
      <c r="X1450" s="9">
        <v>348</v>
      </c>
      <c r="Y1450" s="9">
        <v>346</v>
      </c>
      <c r="Z1450" s="9">
        <v>353</v>
      </c>
      <c r="AA1450" s="9">
        <v>358</v>
      </c>
      <c r="AB1450" s="9">
        <v>352</v>
      </c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</row>
    <row r="1451" spans="1:47" ht="14.4">
      <c r="A1451" s="3">
        <f>LOOKUP(D1451,'AMFI DATA_2023H2'!F:L,'AMFI DATA_2023H2'!L:L)</f>
        <v>1711</v>
      </c>
      <c r="B1451" s="4" t="s">
        <v>4352</v>
      </c>
      <c r="C1451" s="4" t="s">
        <v>4353</v>
      </c>
      <c r="D1451" s="5" t="s">
        <v>4354</v>
      </c>
      <c r="E1451" s="5">
        <v>275.07</v>
      </c>
      <c r="F1451" s="6">
        <f>LOOKUP(D1451,'AMFI DATA_2023H2'!F:J,'AMFI DATA_2023H2'!J:J)</f>
        <v>326.53485000000001</v>
      </c>
      <c r="G1451" s="7">
        <f t="shared" si="5"/>
        <v>-1</v>
      </c>
      <c r="H1451" s="9"/>
      <c r="I1451" s="9">
        <v>343</v>
      </c>
      <c r="J1451" s="9">
        <v>335</v>
      </c>
      <c r="K1451" s="9">
        <v>336</v>
      </c>
      <c r="L1451" s="9">
        <v>348</v>
      </c>
      <c r="M1451" s="9">
        <v>352</v>
      </c>
      <c r="N1451" s="9">
        <v>359</v>
      </c>
      <c r="O1451" s="9">
        <v>358</v>
      </c>
      <c r="P1451" s="9">
        <v>333</v>
      </c>
      <c r="Q1451" s="9">
        <v>335</v>
      </c>
      <c r="R1451" s="9">
        <v>334</v>
      </c>
      <c r="S1451" s="9">
        <v>336</v>
      </c>
      <c r="T1451" s="9">
        <v>342</v>
      </c>
      <c r="U1451" s="9">
        <v>333</v>
      </c>
      <c r="V1451" s="9">
        <v>334</v>
      </c>
      <c r="W1451" s="9">
        <v>335</v>
      </c>
      <c r="X1451" s="9">
        <v>334</v>
      </c>
      <c r="Y1451" s="9">
        <v>317</v>
      </c>
      <c r="Z1451" s="9">
        <v>319</v>
      </c>
      <c r="AA1451" s="9">
        <v>326</v>
      </c>
      <c r="AB1451" s="9">
        <v>304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</row>
    <row r="1452" spans="1:47" ht="14.4">
      <c r="A1452" s="3">
        <f>LOOKUP(D1452,'AMFI DATA_2023H2'!F:L,'AMFI DATA_2023H2'!L:L)</f>
        <v>1712</v>
      </c>
      <c r="B1452" s="4" t="s">
        <v>4355</v>
      </c>
      <c r="C1452" s="4" t="s">
        <v>4356</v>
      </c>
      <c r="D1452" s="5" t="s">
        <v>4357</v>
      </c>
      <c r="E1452" s="5">
        <v>265.81</v>
      </c>
      <c r="F1452" s="6">
        <f>LOOKUP(D1452,'AMFI DATA_2023H2'!F:J,'AMFI DATA_2023H2'!J:J)</f>
        <v>325.25889999999998</v>
      </c>
      <c r="G1452" s="7">
        <f t="shared" si="5"/>
        <v>-1</v>
      </c>
      <c r="H1452" s="9"/>
      <c r="I1452" s="9">
        <v>387</v>
      </c>
      <c r="J1452" s="9">
        <v>371</v>
      </c>
      <c r="K1452" s="9">
        <v>375</v>
      </c>
      <c r="L1452" s="9">
        <v>377</v>
      </c>
      <c r="M1452" s="9">
        <v>384</v>
      </c>
      <c r="N1452" s="9">
        <v>363</v>
      </c>
      <c r="O1452" s="9">
        <v>364</v>
      </c>
      <c r="P1452" s="9">
        <v>361</v>
      </c>
      <c r="Q1452" s="9">
        <v>361</v>
      </c>
      <c r="R1452" s="9">
        <v>358</v>
      </c>
      <c r="S1452" s="9">
        <v>361</v>
      </c>
      <c r="T1452" s="9">
        <v>359</v>
      </c>
      <c r="U1452" s="9">
        <v>358</v>
      </c>
      <c r="V1452" s="9">
        <v>359</v>
      </c>
      <c r="W1452" s="9">
        <v>361</v>
      </c>
      <c r="X1452" s="9">
        <v>362</v>
      </c>
      <c r="Y1452" s="9">
        <v>367</v>
      </c>
      <c r="Z1452" s="9">
        <v>368</v>
      </c>
      <c r="AA1452" s="9">
        <v>366</v>
      </c>
      <c r="AB1452" s="9">
        <v>355</v>
      </c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</row>
    <row r="1453" spans="1:47" ht="14.4">
      <c r="A1453" s="3">
        <f>LOOKUP(D1453,'AMFI DATA_2023H2'!F:L,'AMFI DATA_2023H2'!L:L)</f>
        <v>1714</v>
      </c>
      <c r="B1453" s="4" t="s">
        <v>4358</v>
      </c>
      <c r="C1453" s="4" t="s">
        <v>4359</v>
      </c>
      <c r="D1453" s="5" t="s">
        <v>4360</v>
      </c>
      <c r="E1453" s="5">
        <v>225.65</v>
      </c>
      <c r="F1453" s="6">
        <f>LOOKUP(D1453,'AMFI DATA_2023H2'!F:J,'AMFI DATA_2023H2'!J:J)</f>
        <v>324.63780000000003</v>
      </c>
      <c r="G1453" s="7">
        <f t="shared" si="5"/>
        <v>-1</v>
      </c>
      <c r="H1453" s="9"/>
      <c r="I1453" s="9">
        <v>397</v>
      </c>
      <c r="J1453" s="9">
        <v>395</v>
      </c>
      <c r="K1453" s="9">
        <v>411</v>
      </c>
      <c r="L1453" s="9">
        <v>411</v>
      </c>
      <c r="M1453" s="9">
        <v>393</v>
      </c>
      <c r="N1453" s="9">
        <v>393</v>
      </c>
      <c r="O1453" s="9">
        <v>410</v>
      </c>
      <c r="P1453" s="9">
        <v>391</v>
      </c>
      <c r="Q1453" s="9">
        <v>401</v>
      </c>
      <c r="R1453" s="9">
        <v>384</v>
      </c>
      <c r="S1453" s="9">
        <v>365</v>
      </c>
      <c r="T1453" s="9">
        <v>357</v>
      </c>
      <c r="U1453" s="9">
        <v>365</v>
      </c>
      <c r="V1453" s="9">
        <v>348</v>
      </c>
      <c r="W1453" s="9">
        <v>332</v>
      </c>
      <c r="X1453" s="9">
        <v>317</v>
      </c>
      <c r="Y1453" s="9">
        <v>333</v>
      </c>
      <c r="Z1453" s="9">
        <v>317</v>
      </c>
      <c r="AA1453" s="9">
        <v>317</v>
      </c>
      <c r="AB1453" s="9">
        <v>330</v>
      </c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</row>
    <row r="1454" spans="1:47" ht="14.4">
      <c r="A1454" s="3">
        <f>LOOKUP(D1454,'AMFI DATA_2023H2'!F:L,'AMFI DATA_2023H2'!L:L)</f>
        <v>1716</v>
      </c>
      <c r="B1454" s="4" t="s">
        <v>4361</v>
      </c>
      <c r="C1454" s="4" t="s">
        <v>4362</v>
      </c>
      <c r="D1454" s="5" t="s">
        <v>4363</v>
      </c>
      <c r="E1454" s="5">
        <v>310.33</v>
      </c>
      <c r="F1454" s="6">
        <f>LOOKUP(D1454,'AMFI DATA_2023H2'!F:J,'AMFI DATA_2023H2'!J:J)</f>
        <v>323.57974999999999</v>
      </c>
      <c r="G1454" s="7">
        <f t="shared" si="5"/>
        <v>-1</v>
      </c>
      <c r="H1454" s="9"/>
      <c r="I1454" s="9">
        <v>309</v>
      </c>
      <c r="J1454" s="9">
        <v>310</v>
      </c>
      <c r="K1454" s="9">
        <v>312</v>
      </c>
      <c r="L1454" s="9">
        <v>316</v>
      </c>
      <c r="M1454" s="9">
        <v>316</v>
      </c>
      <c r="N1454" s="9">
        <v>320</v>
      </c>
      <c r="O1454" s="9">
        <v>322</v>
      </c>
      <c r="P1454" s="9">
        <v>316</v>
      </c>
      <c r="Q1454" s="9">
        <v>317</v>
      </c>
      <c r="R1454" s="9">
        <v>318</v>
      </c>
      <c r="S1454" s="9">
        <v>318</v>
      </c>
      <c r="T1454" s="9">
        <v>320</v>
      </c>
      <c r="U1454" s="9">
        <v>315</v>
      </c>
      <c r="V1454" s="9">
        <v>314</v>
      </c>
      <c r="W1454" s="9">
        <v>316</v>
      </c>
      <c r="X1454" s="9">
        <v>312</v>
      </c>
      <c r="Y1454" s="9">
        <v>311</v>
      </c>
      <c r="Z1454" s="9">
        <v>311</v>
      </c>
      <c r="AA1454" s="9">
        <v>312</v>
      </c>
      <c r="AB1454" s="9">
        <v>310</v>
      </c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</row>
    <row r="1455" spans="1:47" ht="14.4">
      <c r="A1455" s="3">
        <f>LOOKUP(D1455,'AMFI DATA_2023H2'!F:L,'AMFI DATA_2023H2'!L:L)</f>
        <v>1723</v>
      </c>
      <c r="B1455" s="4" t="s">
        <v>4364</v>
      </c>
      <c r="C1455" s="4" t="s">
        <v>4365</v>
      </c>
      <c r="D1455" s="5" t="s">
        <v>4366</v>
      </c>
      <c r="E1455" s="5">
        <v>83.78</v>
      </c>
      <c r="F1455" s="6">
        <f>LOOKUP(D1455,'AMFI DATA_2023H2'!F:J,'AMFI DATA_2023H2'!J:J)</f>
        <v>318.16745000000003</v>
      </c>
      <c r="G1455" s="7">
        <f t="shared" si="5"/>
        <v>-1</v>
      </c>
      <c r="H1455" s="9"/>
      <c r="I1455" s="9">
        <v>390</v>
      </c>
      <c r="J1455" s="9">
        <v>371</v>
      </c>
      <c r="K1455" s="9">
        <v>374</v>
      </c>
      <c r="L1455" s="9">
        <v>387</v>
      </c>
      <c r="M1455" s="9">
        <v>392</v>
      </c>
      <c r="N1455" s="9">
        <v>405</v>
      </c>
      <c r="O1455" s="9">
        <v>395</v>
      </c>
      <c r="P1455" s="9">
        <v>385</v>
      </c>
      <c r="Q1455" s="9">
        <v>383</v>
      </c>
      <c r="R1455" s="9">
        <v>401</v>
      </c>
      <c r="S1455" s="9">
        <v>424</v>
      </c>
      <c r="T1455" s="9">
        <v>399</v>
      </c>
      <c r="U1455" s="9">
        <v>405</v>
      </c>
      <c r="V1455" s="9">
        <v>387</v>
      </c>
      <c r="W1455" s="9">
        <v>389</v>
      </c>
      <c r="X1455" s="9">
        <v>399</v>
      </c>
      <c r="Y1455" s="9">
        <v>400</v>
      </c>
      <c r="Z1455" s="9">
        <v>389</v>
      </c>
      <c r="AA1455" s="9">
        <v>379</v>
      </c>
      <c r="AB1455" s="9">
        <v>392</v>
      </c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</row>
    <row r="1456" spans="1:47" ht="14.4">
      <c r="A1456" s="3">
        <f>LOOKUP(D1456,'AMFI DATA_2023H2'!F:L,'AMFI DATA_2023H2'!L:L)</f>
        <v>1724</v>
      </c>
      <c r="B1456" s="4" t="s">
        <v>4367</v>
      </c>
      <c r="C1456" s="4" t="s">
        <v>4368</v>
      </c>
      <c r="D1456" s="5" t="s">
        <v>4369</v>
      </c>
      <c r="E1456" s="5">
        <v>240.82</v>
      </c>
      <c r="F1456" s="6">
        <f>LOOKUP(D1456,'AMFI DATA_2023H2'!F:J,'AMFI DATA_2023H2'!J:J)</f>
        <v>318.12479999999999</v>
      </c>
      <c r="G1456" s="7">
        <f t="shared" si="5"/>
        <v>-1</v>
      </c>
      <c r="H1456" s="9"/>
      <c r="I1456" s="9">
        <v>342</v>
      </c>
      <c r="J1456" s="9">
        <v>342</v>
      </c>
      <c r="K1456" s="9">
        <v>343</v>
      </c>
      <c r="L1456" s="9">
        <v>352</v>
      </c>
      <c r="M1456" s="9">
        <v>362</v>
      </c>
      <c r="N1456" s="9">
        <v>357</v>
      </c>
      <c r="O1456" s="9">
        <v>358</v>
      </c>
      <c r="P1456" s="9">
        <v>355</v>
      </c>
      <c r="Q1456" s="9">
        <v>354</v>
      </c>
      <c r="R1456" s="9">
        <v>353</v>
      </c>
      <c r="S1456" s="9">
        <v>349</v>
      </c>
      <c r="T1456" s="9">
        <v>336</v>
      </c>
      <c r="U1456" s="9">
        <v>332</v>
      </c>
      <c r="V1456" s="9">
        <v>334</v>
      </c>
      <c r="W1456" s="9">
        <v>335</v>
      </c>
      <c r="X1456" s="9">
        <v>328</v>
      </c>
      <c r="Y1456" s="9">
        <v>333</v>
      </c>
      <c r="Z1456" s="9">
        <v>333</v>
      </c>
      <c r="AA1456" s="9">
        <v>335</v>
      </c>
      <c r="AB1456" s="9">
        <v>335</v>
      </c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</row>
    <row r="1457" spans="1:47" ht="14.4">
      <c r="A1457" s="3">
        <f>LOOKUP(D1457,'AMFI DATA_2023H2'!F:L,'AMFI DATA_2023H2'!L:L)</f>
        <v>1725</v>
      </c>
      <c r="B1457" s="4" t="s">
        <v>4370</v>
      </c>
      <c r="C1457" s="4" t="s">
        <v>4371</v>
      </c>
      <c r="D1457" s="5" t="s">
        <v>4372</v>
      </c>
      <c r="E1457" s="5">
        <v>270.97000000000003</v>
      </c>
      <c r="F1457" s="6">
        <f>LOOKUP(D1457,'AMFI DATA_2023H2'!F:J,'AMFI DATA_2023H2'!J:J)</f>
        <v>317.45820000000003</v>
      </c>
      <c r="G1457" s="7">
        <f t="shared" si="5"/>
        <v>-1</v>
      </c>
      <c r="H1457" s="9"/>
      <c r="I1457" s="9">
        <v>389</v>
      </c>
      <c r="J1457" s="9">
        <v>366</v>
      </c>
      <c r="K1457" s="9">
        <v>367</v>
      </c>
      <c r="L1457" s="9">
        <v>366</v>
      </c>
      <c r="M1457" s="9">
        <v>386</v>
      </c>
      <c r="N1457" s="9">
        <v>400</v>
      </c>
      <c r="O1457" s="9">
        <v>362</v>
      </c>
      <c r="P1457" s="9">
        <v>371</v>
      </c>
      <c r="Q1457" s="9">
        <v>362</v>
      </c>
      <c r="R1457" s="9">
        <v>352</v>
      </c>
      <c r="S1457" s="9">
        <v>340</v>
      </c>
      <c r="T1457" s="9">
        <v>341</v>
      </c>
      <c r="U1457" s="9">
        <v>334</v>
      </c>
      <c r="V1457" s="9">
        <v>334</v>
      </c>
      <c r="W1457" s="9">
        <v>332</v>
      </c>
      <c r="X1457" s="9">
        <v>334</v>
      </c>
      <c r="Y1457" s="9">
        <v>319</v>
      </c>
      <c r="Z1457" s="9">
        <v>323</v>
      </c>
      <c r="AA1457" s="9">
        <v>324</v>
      </c>
      <c r="AB1457" s="9">
        <v>318</v>
      </c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</row>
    <row r="1458" spans="1:47" ht="14.4">
      <c r="A1458" s="3">
        <f>LOOKUP(D1458,'AMFI DATA_2023H2'!F:L,'AMFI DATA_2023H2'!L:L)</f>
        <v>1726</v>
      </c>
      <c r="B1458" s="4" t="s">
        <v>4373</v>
      </c>
      <c r="C1458" s="4" t="s">
        <v>4374</v>
      </c>
      <c r="D1458" s="5" t="s">
        <v>4375</v>
      </c>
      <c r="E1458" s="5">
        <v>255.81</v>
      </c>
      <c r="F1458" s="6">
        <f>LOOKUP(D1458,'AMFI DATA_2023H2'!F:J,'AMFI DATA_2023H2'!J:J)</f>
        <v>316.4135</v>
      </c>
      <c r="G1458" s="7">
        <f t="shared" si="5"/>
        <v>-1</v>
      </c>
      <c r="H1458" s="9"/>
      <c r="I1458" s="9">
        <v>281</v>
      </c>
      <c r="J1458" s="9">
        <v>266</v>
      </c>
      <c r="K1458" s="9">
        <v>276</v>
      </c>
      <c r="L1458" s="9">
        <v>278</v>
      </c>
      <c r="M1458" s="9">
        <v>283</v>
      </c>
      <c r="N1458" s="9">
        <v>284</v>
      </c>
      <c r="O1458" s="9">
        <v>277</v>
      </c>
      <c r="P1458" s="9">
        <v>279</v>
      </c>
      <c r="Q1458" s="9">
        <v>284</v>
      </c>
      <c r="R1458" s="9">
        <v>287</v>
      </c>
      <c r="S1458" s="9">
        <v>292</v>
      </c>
      <c r="T1458" s="9">
        <v>274</v>
      </c>
      <c r="U1458" s="9">
        <v>276</v>
      </c>
      <c r="V1458" s="9">
        <v>273</v>
      </c>
      <c r="W1458" s="9">
        <v>283</v>
      </c>
      <c r="X1458" s="9">
        <v>238</v>
      </c>
      <c r="Y1458" s="9">
        <v>269</v>
      </c>
      <c r="Z1458" s="9">
        <v>278</v>
      </c>
      <c r="AA1458" s="9">
        <v>277</v>
      </c>
      <c r="AB1458" s="9">
        <v>280</v>
      </c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</row>
    <row r="1459" spans="1:47" ht="14.4">
      <c r="A1459" s="3">
        <f>LOOKUP(D1459,'AMFI DATA_2023H2'!F:L,'AMFI DATA_2023H2'!L:L)</f>
        <v>1729</v>
      </c>
      <c r="B1459" s="4" t="s">
        <v>4376</v>
      </c>
      <c r="C1459" s="4" t="s">
        <v>4377</v>
      </c>
      <c r="D1459" s="5" t="s">
        <v>4378</v>
      </c>
      <c r="E1459" s="5">
        <v>285.02</v>
      </c>
      <c r="F1459" s="6">
        <f>LOOKUP(D1459,'AMFI DATA_2023H2'!F:J,'AMFI DATA_2023H2'!J:J)</f>
        <v>314.26089999999999</v>
      </c>
      <c r="G1459" s="7">
        <f t="shared" si="5"/>
        <v>-1</v>
      </c>
      <c r="H1459" s="9"/>
      <c r="I1459" s="9">
        <v>334</v>
      </c>
      <c r="J1459" s="9">
        <v>333</v>
      </c>
      <c r="K1459" s="9">
        <v>328</v>
      </c>
      <c r="L1459" s="9">
        <v>336</v>
      </c>
      <c r="M1459" s="9">
        <v>339</v>
      </c>
      <c r="N1459" s="9">
        <v>346</v>
      </c>
      <c r="O1459" s="9">
        <v>349</v>
      </c>
      <c r="P1459" s="9">
        <v>346</v>
      </c>
      <c r="Q1459" s="9">
        <v>340</v>
      </c>
      <c r="R1459" s="9">
        <v>347</v>
      </c>
      <c r="S1459" s="9">
        <v>340</v>
      </c>
      <c r="T1459" s="9">
        <v>338</v>
      </c>
      <c r="U1459" s="9">
        <v>335</v>
      </c>
      <c r="V1459" s="9">
        <v>325</v>
      </c>
      <c r="W1459" s="9">
        <v>333</v>
      </c>
      <c r="X1459" s="9">
        <v>326</v>
      </c>
      <c r="Y1459" s="9">
        <v>331</v>
      </c>
      <c r="Z1459" s="9">
        <v>332</v>
      </c>
      <c r="AA1459" s="9">
        <v>334</v>
      </c>
      <c r="AB1459" s="9">
        <v>341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</row>
    <row r="1460" spans="1:47" ht="14.4">
      <c r="A1460" s="3">
        <f>LOOKUP(D1460,'AMFI DATA_2023H2'!F:L,'AMFI DATA_2023H2'!L:L)</f>
        <v>1732</v>
      </c>
      <c r="B1460" s="4" t="s">
        <v>4379</v>
      </c>
      <c r="C1460" s="4" t="s">
        <v>4380</v>
      </c>
      <c r="D1460" s="5" t="s">
        <v>4381</v>
      </c>
      <c r="E1460" s="5">
        <v>251.15</v>
      </c>
      <c r="F1460" s="6">
        <f>LOOKUP(D1460,'AMFI DATA_2023H2'!F:J,'AMFI DATA_2023H2'!J:J)</f>
        <v>311.98389999999995</v>
      </c>
      <c r="G1460" s="7">
        <f t="shared" si="5"/>
        <v>-1</v>
      </c>
      <c r="H1460" s="9"/>
      <c r="I1460" s="9">
        <v>360</v>
      </c>
      <c r="J1460" s="9">
        <v>362</v>
      </c>
      <c r="K1460" s="9">
        <v>364</v>
      </c>
      <c r="L1460" s="9">
        <v>364</v>
      </c>
      <c r="M1460" s="9">
        <v>366</v>
      </c>
      <c r="N1460" s="9">
        <v>359</v>
      </c>
      <c r="O1460" s="9">
        <v>360</v>
      </c>
      <c r="P1460" s="9">
        <v>358</v>
      </c>
      <c r="Q1460" s="9">
        <v>355</v>
      </c>
      <c r="R1460" s="9">
        <v>357</v>
      </c>
      <c r="S1460" s="9">
        <v>365</v>
      </c>
      <c r="T1460" s="9">
        <v>369</v>
      </c>
      <c r="U1460" s="9">
        <v>370</v>
      </c>
      <c r="V1460" s="9">
        <v>367</v>
      </c>
      <c r="W1460" s="9">
        <v>367</v>
      </c>
      <c r="X1460" s="9">
        <v>369</v>
      </c>
      <c r="Y1460" s="9">
        <v>375</v>
      </c>
      <c r="Z1460" s="9">
        <v>361</v>
      </c>
      <c r="AA1460" s="9">
        <v>365</v>
      </c>
      <c r="AB1460" s="9">
        <v>363</v>
      </c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</row>
    <row r="1461" spans="1:47" ht="14.4">
      <c r="A1461" s="3">
        <f>LOOKUP(D1461,'AMFI DATA_2023H2'!F:L,'AMFI DATA_2023H2'!L:L)</f>
        <v>1733</v>
      </c>
      <c r="B1461" s="4" t="s">
        <v>4382</v>
      </c>
      <c r="C1461" s="4" t="s">
        <v>4383</v>
      </c>
      <c r="D1461" s="5" t="s">
        <v>4384</v>
      </c>
      <c r="E1461" s="5">
        <v>320.27999999999997</v>
      </c>
      <c r="F1461" s="6">
        <f>LOOKUP(D1461,'AMFI DATA_2023H2'!F:J,'AMFI DATA_2023H2'!J:J)</f>
        <v>311.10554999999999</v>
      </c>
      <c r="G1461" s="7">
        <f t="shared" si="5"/>
        <v>-1</v>
      </c>
      <c r="H1461" s="9"/>
      <c r="I1461" s="9">
        <v>319</v>
      </c>
      <c r="J1461" s="9">
        <v>324</v>
      </c>
      <c r="K1461" s="9">
        <v>328</v>
      </c>
      <c r="L1461" s="9">
        <v>332</v>
      </c>
      <c r="M1461" s="9">
        <v>330</v>
      </c>
      <c r="N1461" s="9">
        <v>333</v>
      </c>
      <c r="O1461" s="9">
        <v>327</v>
      </c>
      <c r="P1461" s="9">
        <v>318</v>
      </c>
      <c r="Q1461" s="9">
        <v>317</v>
      </c>
      <c r="R1461" s="9">
        <v>317</v>
      </c>
      <c r="S1461" s="9">
        <v>326</v>
      </c>
      <c r="T1461" s="9">
        <v>322</v>
      </c>
      <c r="U1461" s="9">
        <v>323</v>
      </c>
      <c r="V1461" s="9">
        <v>320</v>
      </c>
      <c r="W1461" s="9">
        <v>314</v>
      </c>
      <c r="X1461" s="9">
        <v>326</v>
      </c>
      <c r="Y1461" s="9">
        <v>318</v>
      </c>
      <c r="Z1461" s="9">
        <v>327</v>
      </c>
      <c r="AA1461" s="9">
        <v>325</v>
      </c>
      <c r="AB1461" s="9">
        <v>325</v>
      </c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</row>
    <row r="1462" spans="1:47" ht="14.4">
      <c r="A1462" s="3">
        <f>LOOKUP(D1462,'AMFI DATA_2023H2'!F:L,'AMFI DATA_2023H2'!L:L)</f>
        <v>1735</v>
      </c>
      <c r="B1462" s="4" t="s">
        <v>4385</v>
      </c>
      <c r="C1462" s="4" t="s">
        <v>4386</v>
      </c>
      <c r="D1462" s="5" t="s">
        <v>4387</v>
      </c>
      <c r="E1462" s="5">
        <v>289.41000000000003</v>
      </c>
      <c r="F1462" s="6">
        <f>LOOKUP(D1462,'AMFI DATA_2023H2'!F:J,'AMFI DATA_2023H2'!J:J)</f>
        <v>308.87985000000003</v>
      </c>
      <c r="G1462" s="7">
        <f t="shared" si="5"/>
        <v>-1</v>
      </c>
      <c r="H1462" s="9"/>
      <c r="I1462" s="9">
        <v>338</v>
      </c>
      <c r="J1462" s="9">
        <v>339</v>
      </c>
      <c r="K1462" s="9">
        <v>345</v>
      </c>
      <c r="L1462" s="9">
        <v>339</v>
      </c>
      <c r="M1462" s="9">
        <v>354</v>
      </c>
      <c r="N1462" s="9">
        <v>355</v>
      </c>
      <c r="O1462" s="9">
        <v>357</v>
      </c>
      <c r="P1462" s="9">
        <v>350</v>
      </c>
      <c r="Q1462" s="9">
        <v>347</v>
      </c>
      <c r="R1462" s="9">
        <v>322</v>
      </c>
      <c r="S1462" s="9">
        <v>319</v>
      </c>
      <c r="T1462" s="9">
        <v>317</v>
      </c>
      <c r="U1462" s="9">
        <v>316</v>
      </c>
      <c r="V1462" s="9">
        <v>316</v>
      </c>
      <c r="W1462" s="9">
        <v>312</v>
      </c>
      <c r="X1462" s="9">
        <v>308</v>
      </c>
      <c r="Y1462" s="9">
        <v>309</v>
      </c>
      <c r="Z1462" s="9">
        <v>316</v>
      </c>
      <c r="AA1462" s="9">
        <v>321</v>
      </c>
      <c r="AB1462" s="9">
        <v>310</v>
      </c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</row>
    <row r="1463" spans="1:47" ht="14.4">
      <c r="A1463" s="3">
        <f>LOOKUP(D1463,'AMFI DATA_2023H2'!F:L,'AMFI DATA_2023H2'!L:L)</f>
        <v>1738</v>
      </c>
      <c r="B1463" s="4" t="s">
        <v>4388</v>
      </c>
      <c r="C1463" s="4" t="s">
        <v>4389</v>
      </c>
      <c r="D1463" s="5" t="s">
        <v>4390</v>
      </c>
      <c r="E1463" s="5">
        <v>39237.620000000003</v>
      </c>
      <c r="F1463" s="6">
        <f>LOOKUP(D1463,'AMFI DATA_2023H2'!F:J,'AMFI DATA_2023H2'!J:J)</f>
        <v>305.03684999999996</v>
      </c>
      <c r="G1463" s="7">
        <f t="shared" si="5"/>
        <v>-1</v>
      </c>
      <c r="H1463" s="9"/>
      <c r="I1463" s="9">
        <v>360</v>
      </c>
      <c r="J1463" s="9">
        <v>352</v>
      </c>
      <c r="K1463" s="9">
        <v>346</v>
      </c>
      <c r="L1463" s="9">
        <v>348</v>
      </c>
      <c r="M1463" s="9">
        <v>364</v>
      </c>
      <c r="N1463" s="9">
        <v>358</v>
      </c>
      <c r="O1463" s="9">
        <v>331</v>
      </c>
      <c r="P1463" s="9">
        <v>330</v>
      </c>
      <c r="Q1463" s="9">
        <v>319</v>
      </c>
      <c r="R1463" s="9">
        <v>325</v>
      </c>
      <c r="S1463" s="9">
        <v>321</v>
      </c>
      <c r="T1463" s="9">
        <v>328</v>
      </c>
      <c r="U1463" s="9">
        <v>326</v>
      </c>
      <c r="V1463" s="9">
        <v>319</v>
      </c>
      <c r="W1463" s="9">
        <v>327</v>
      </c>
      <c r="X1463" s="9">
        <v>323</v>
      </c>
      <c r="Y1463" s="9">
        <v>318</v>
      </c>
      <c r="Z1463" s="9">
        <v>323</v>
      </c>
      <c r="AA1463" s="9">
        <v>312</v>
      </c>
      <c r="AB1463" s="9">
        <v>310</v>
      </c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</row>
    <row r="1464" spans="1:47" ht="14.4">
      <c r="A1464" s="3">
        <f>LOOKUP(D1464,'AMFI DATA_2023H2'!F:L,'AMFI DATA_2023H2'!L:L)</f>
        <v>1740</v>
      </c>
      <c r="B1464" s="4" t="s">
        <v>4391</v>
      </c>
      <c r="C1464" s="4" t="s">
        <v>4392</v>
      </c>
      <c r="D1464" s="5" t="s">
        <v>4393</v>
      </c>
      <c r="E1464" s="5">
        <v>240.06</v>
      </c>
      <c r="F1464" s="6">
        <f>LOOKUP(D1464,'AMFI DATA_2023H2'!F:J,'AMFI DATA_2023H2'!J:J)</f>
        <v>302.40350000000001</v>
      </c>
      <c r="G1464" s="7">
        <f t="shared" si="5"/>
        <v>-1</v>
      </c>
      <c r="H1464" s="9"/>
      <c r="I1464" s="9">
        <v>419</v>
      </c>
      <c r="J1464" s="9">
        <v>391</v>
      </c>
      <c r="K1464" s="9">
        <v>405</v>
      </c>
      <c r="L1464" s="9">
        <v>396</v>
      </c>
      <c r="M1464" s="9">
        <v>407</v>
      </c>
      <c r="N1464" s="9">
        <v>408</v>
      </c>
      <c r="O1464" s="9">
        <v>412</v>
      </c>
      <c r="P1464" s="9">
        <v>410</v>
      </c>
      <c r="Q1464" s="9">
        <v>413</v>
      </c>
      <c r="R1464" s="9">
        <v>416</v>
      </c>
      <c r="S1464" s="9">
        <v>397</v>
      </c>
      <c r="T1464" s="9">
        <v>389</v>
      </c>
      <c r="U1464" s="9">
        <v>385</v>
      </c>
      <c r="V1464" s="9">
        <v>375</v>
      </c>
      <c r="W1464" s="9">
        <v>378</v>
      </c>
      <c r="X1464" s="9">
        <v>379</v>
      </c>
      <c r="Y1464" s="9">
        <v>380</v>
      </c>
      <c r="Z1464" s="9">
        <v>391</v>
      </c>
      <c r="AA1464" s="9">
        <v>390</v>
      </c>
      <c r="AB1464" s="9">
        <v>385</v>
      </c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</row>
    <row r="1465" spans="1:47" ht="14.4">
      <c r="A1465" s="3">
        <f>LOOKUP(D1465,'AMFI DATA_2023H2'!F:L,'AMFI DATA_2023H2'!L:L)</f>
        <v>1741</v>
      </c>
      <c r="B1465" s="4" t="s">
        <v>4394</v>
      </c>
      <c r="C1465" s="4" t="s">
        <v>4395</v>
      </c>
      <c r="D1465" s="5" t="s">
        <v>4396</v>
      </c>
      <c r="E1465" s="5">
        <v>272.11</v>
      </c>
      <c r="F1465" s="6">
        <f>LOOKUP(D1465,'AMFI DATA_2023H2'!F:J,'AMFI DATA_2023H2'!J:J)</f>
        <v>302.30135000000001</v>
      </c>
      <c r="G1465" s="7">
        <f t="shared" si="5"/>
        <v>-1</v>
      </c>
      <c r="H1465" s="9"/>
      <c r="I1465" s="9">
        <v>427</v>
      </c>
      <c r="J1465" s="9">
        <v>432</v>
      </c>
      <c r="K1465" s="9">
        <v>427</v>
      </c>
      <c r="L1465" s="9">
        <v>432</v>
      </c>
      <c r="M1465" s="9">
        <v>438</v>
      </c>
      <c r="N1465" s="9">
        <v>408</v>
      </c>
      <c r="O1465" s="9">
        <v>375</v>
      </c>
      <c r="P1465" s="9">
        <v>386</v>
      </c>
      <c r="Q1465" s="9">
        <v>374</v>
      </c>
      <c r="R1465" s="9">
        <v>353</v>
      </c>
      <c r="S1465" s="9">
        <v>351</v>
      </c>
      <c r="T1465" s="9">
        <v>349</v>
      </c>
      <c r="U1465" s="9">
        <v>342</v>
      </c>
      <c r="V1465" s="9">
        <v>347</v>
      </c>
      <c r="W1465" s="9">
        <v>344</v>
      </c>
      <c r="X1465" s="9">
        <v>341</v>
      </c>
      <c r="Y1465" s="9">
        <v>340</v>
      </c>
      <c r="Z1465" s="9">
        <v>345</v>
      </c>
      <c r="AA1465" s="9">
        <v>355</v>
      </c>
      <c r="AB1465" s="9">
        <v>357</v>
      </c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</row>
    <row r="1466" spans="1:47" ht="14.4">
      <c r="A1466" s="3">
        <f>LOOKUP(D1466,'AMFI DATA_2023H2'!F:L,'AMFI DATA_2023H2'!L:L)</f>
        <v>1742</v>
      </c>
      <c r="B1466" s="4" t="s">
        <v>4397</v>
      </c>
      <c r="C1466" s="4" t="s">
        <v>4398</v>
      </c>
      <c r="D1466" s="5" t="s">
        <v>4399</v>
      </c>
      <c r="E1466" s="5">
        <v>310.73</v>
      </c>
      <c r="F1466" s="6">
        <f>LOOKUP(D1466,'AMFI DATA_2023H2'!F:J,'AMFI DATA_2023H2'!J:J)</f>
        <v>301.73249999999996</v>
      </c>
      <c r="G1466" s="7">
        <f t="shared" si="5"/>
        <v>-1</v>
      </c>
      <c r="H1466" s="9"/>
      <c r="I1466" s="9">
        <v>321</v>
      </c>
      <c r="J1466" s="9">
        <v>319</v>
      </c>
      <c r="K1466" s="9">
        <v>323</v>
      </c>
      <c r="L1466" s="9">
        <v>330</v>
      </c>
      <c r="M1466" s="9">
        <v>335</v>
      </c>
      <c r="N1466" s="9">
        <v>326</v>
      </c>
      <c r="O1466" s="9">
        <v>331</v>
      </c>
      <c r="P1466" s="9">
        <v>301</v>
      </c>
      <c r="Q1466" s="9">
        <v>302</v>
      </c>
      <c r="R1466" s="9">
        <v>306</v>
      </c>
      <c r="S1466" s="9">
        <v>309</v>
      </c>
      <c r="T1466" s="9">
        <v>310</v>
      </c>
      <c r="U1466" s="9">
        <v>307</v>
      </c>
      <c r="V1466" s="9">
        <v>293</v>
      </c>
      <c r="W1466" s="9">
        <v>297</v>
      </c>
      <c r="X1466" s="9">
        <v>295</v>
      </c>
      <c r="Y1466" s="9">
        <v>299</v>
      </c>
      <c r="Z1466" s="9">
        <v>301</v>
      </c>
      <c r="AA1466" s="9">
        <v>306</v>
      </c>
      <c r="AB1466" s="9">
        <v>316</v>
      </c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</row>
    <row r="1467" spans="1:47" ht="14.4">
      <c r="A1467" s="3">
        <f>LOOKUP(D1467,'AMFI DATA_2023H2'!F:L,'AMFI DATA_2023H2'!L:L)</f>
        <v>1743</v>
      </c>
      <c r="B1467" s="4" t="s">
        <v>4400</v>
      </c>
      <c r="C1467" s="4" t="s">
        <v>4401</v>
      </c>
      <c r="D1467" s="5" t="s">
        <v>4402</v>
      </c>
      <c r="E1467" s="5">
        <v>254.66</v>
      </c>
      <c r="F1467" s="6">
        <f>LOOKUP(D1467,'AMFI DATA_2023H2'!F:J,'AMFI DATA_2023H2'!J:J)</f>
        <v>301.64224999999999</v>
      </c>
      <c r="G1467" s="7">
        <f t="shared" si="5"/>
        <v>-1</v>
      </c>
      <c r="H1467" s="9"/>
      <c r="I1467" s="9">
        <v>375</v>
      </c>
      <c r="J1467" s="9">
        <v>372</v>
      </c>
      <c r="K1467" s="9">
        <v>364</v>
      </c>
      <c r="L1467" s="9">
        <v>367</v>
      </c>
      <c r="M1467" s="9">
        <v>375</v>
      </c>
      <c r="N1467" s="9">
        <v>378</v>
      </c>
      <c r="O1467" s="9">
        <v>377</v>
      </c>
      <c r="P1467" s="9">
        <v>375</v>
      </c>
      <c r="Q1467" s="9">
        <v>366</v>
      </c>
      <c r="R1467" s="9">
        <v>366</v>
      </c>
      <c r="S1467" s="9">
        <v>372</v>
      </c>
      <c r="T1467" s="9">
        <v>377</v>
      </c>
      <c r="U1467" s="9">
        <v>360</v>
      </c>
      <c r="V1467" s="9">
        <v>358</v>
      </c>
      <c r="W1467" s="9">
        <v>357</v>
      </c>
      <c r="X1467" s="9">
        <v>365</v>
      </c>
      <c r="Y1467" s="9">
        <v>360</v>
      </c>
      <c r="Z1467" s="9">
        <v>356</v>
      </c>
      <c r="AA1467" s="9">
        <v>352</v>
      </c>
      <c r="AB1467" s="9">
        <v>342</v>
      </c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</row>
    <row r="1468" spans="1:47" ht="14.4">
      <c r="A1468" s="3">
        <f>LOOKUP(D1468,'AMFI DATA_2023H2'!F:L,'AMFI DATA_2023H2'!L:L)</f>
        <v>1744</v>
      </c>
      <c r="B1468" s="4" t="s">
        <v>4403</v>
      </c>
      <c r="C1468" s="4" t="s">
        <v>4404</v>
      </c>
      <c r="D1468" s="5" t="s">
        <v>4405</v>
      </c>
      <c r="E1468" s="5">
        <v>53947.53</v>
      </c>
      <c r="F1468" s="6">
        <f>LOOKUP(D1468,'AMFI DATA_2023H2'!F:J,'AMFI DATA_2023H2'!J:J)</f>
        <v>301.40655000000004</v>
      </c>
      <c r="G1468" s="7">
        <f t="shared" si="5"/>
        <v>-1</v>
      </c>
      <c r="H1468" s="9"/>
      <c r="I1468" s="9">
        <v>330</v>
      </c>
      <c r="J1468" s="9">
        <v>330</v>
      </c>
      <c r="K1468" s="9">
        <v>329</v>
      </c>
      <c r="L1468" s="9">
        <v>325</v>
      </c>
      <c r="M1468" s="9">
        <v>329</v>
      </c>
      <c r="N1468" s="9">
        <v>345</v>
      </c>
      <c r="O1468" s="9">
        <v>336</v>
      </c>
      <c r="P1468" s="9">
        <v>323</v>
      </c>
      <c r="Q1468" s="9">
        <v>328</v>
      </c>
      <c r="R1468" s="9">
        <v>330</v>
      </c>
      <c r="S1468" s="9">
        <v>353</v>
      </c>
      <c r="T1468" s="9">
        <v>356</v>
      </c>
      <c r="U1468" s="9">
        <v>355</v>
      </c>
      <c r="V1468" s="9">
        <v>352</v>
      </c>
      <c r="W1468" s="9">
        <v>350</v>
      </c>
      <c r="X1468" s="9">
        <v>355</v>
      </c>
      <c r="Y1468" s="9">
        <v>351</v>
      </c>
      <c r="Z1468" s="9">
        <v>352</v>
      </c>
      <c r="AA1468" s="9">
        <v>339</v>
      </c>
      <c r="AB1468" s="9">
        <v>328</v>
      </c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</row>
    <row r="1469" spans="1:47" ht="14.4">
      <c r="A1469" s="3">
        <f>LOOKUP(D1469,'AMFI DATA_2023H2'!F:L,'AMFI DATA_2023H2'!L:L)</f>
        <v>1745</v>
      </c>
      <c r="B1469" s="4" t="s">
        <v>4406</v>
      </c>
      <c r="C1469" s="4" t="s">
        <v>4407</v>
      </c>
      <c r="D1469" s="5" t="s">
        <v>4408</v>
      </c>
      <c r="E1469" s="5">
        <v>261.25</v>
      </c>
      <c r="F1469" s="6">
        <f>LOOKUP(D1469,'AMFI DATA_2023H2'!F:J,'AMFI DATA_2023H2'!J:J)</f>
        <v>301.00445000000002</v>
      </c>
      <c r="G1469" s="7">
        <f t="shared" si="5"/>
        <v>-1</v>
      </c>
      <c r="H1469" s="9"/>
      <c r="I1469" s="9">
        <v>448</v>
      </c>
      <c r="J1469" s="9">
        <v>393</v>
      </c>
      <c r="K1469" s="9">
        <v>374</v>
      </c>
      <c r="L1469" s="9">
        <v>380</v>
      </c>
      <c r="M1469" s="9">
        <v>378</v>
      </c>
      <c r="N1469" s="9">
        <v>378</v>
      </c>
      <c r="O1469" s="9">
        <v>406</v>
      </c>
      <c r="P1469" s="9">
        <v>343</v>
      </c>
      <c r="Q1469" s="9">
        <v>345</v>
      </c>
      <c r="R1469" s="9">
        <v>342</v>
      </c>
      <c r="S1469" s="9">
        <v>317</v>
      </c>
      <c r="T1469" s="9">
        <v>320</v>
      </c>
      <c r="U1469" s="9">
        <v>321</v>
      </c>
      <c r="V1469" s="9">
        <v>322</v>
      </c>
      <c r="W1469" s="9">
        <v>317</v>
      </c>
      <c r="X1469" s="9">
        <v>311</v>
      </c>
      <c r="Y1469" s="9">
        <v>315</v>
      </c>
      <c r="Z1469" s="9">
        <v>321</v>
      </c>
      <c r="AA1469" s="9">
        <v>321</v>
      </c>
      <c r="AB1469" s="9">
        <v>294</v>
      </c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</row>
    <row r="1470" spans="1:47" ht="14.4">
      <c r="A1470" s="3">
        <f>LOOKUP(D1470,'AMFI DATA_2023H2'!F:L,'AMFI DATA_2023H2'!L:L)</f>
        <v>1746</v>
      </c>
      <c r="B1470" s="4" t="s">
        <v>4409</v>
      </c>
      <c r="C1470" s="4" t="s">
        <v>4410</v>
      </c>
      <c r="D1470" s="5" t="s">
        <v>4411</v>
      </c>
      <c r="E1470" s="5">
        <v>210.18</v>
      </c>
      <c r="F1470" s="6">
        <f>LOOKUP(D1470,'AMFI DATA_2023H2'!F:J,'AMFI DATA_2023H2'!J:J)</f>
        <v>300.74929999999995</v>
      </c>
      <c r="G1470" s="7">
        <f t="shared" si="5"/>
        <v>-1</v>
      </c>
      <c r="H1470" s="9"/>
      <c r="I1470" s="9">
        <v>406</v>
      </c>
      <c r="J1470" s="9">
        <v>412</v>
      </c>
      <c r="K1470" s="9">
        <v>406</v>
      </c>
      <c r="L1470" s="9">
        <v>415</v>
      </c>
      <c r="M1470" s="9">
        <v>425</v>
      </c>
      <c r="N1470" s="9">
        <v>421</v>
      </c>
      <c r="O1470" s="9">
        <v>434</v>
      </c>
      <c r="P1470" s="9">
        <v>436</v>
      </c>
      <c r="Q1470" s="9">
        <v>440</v>
      </c>
      <c r="R1470" s="9">
        <v>437</v>
      </c>
      <c r="S1470" s="9">
        <v>453</v>
      </c>
      <c r="T1470" s="9">
        <v>452</v>
      </c>
      <c r="U1470" s="9">
        <v>440</v>
      </c>
      <c r="V1470" s="9">
        <v>440</v>
      </c>
      <c r="W1470" s="9">
        <v>444</v>
      </c>
      <c r="X1470" s="9">
        <v>454</v>
      </c>
      <c r="Y1470" s="9">
        <v>445</v>
      </c>
      <c r="Z1470" s="9">
        <v>440</v>
      </c>
      <c r="AA1470" s="9">
        <v>423</v>
      </c>
      <c r="AB1470" s="9">
        <v>429</v>
      </c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</row>
    <row r="1471" spans="1:47" ht="14.4">
      <c r="A1471" s="3">
        <f>LOOKUP(D1471,'AMFI DATA_2023H2'!F:L,'AMFI DATA_2023H2'!L:L)</f>
        <v>1748</v>
      </c>
      <c r="B1471" s="4" t="s">
        <v>4412</v>
      </c>
      <c r="C1471" s="4" t="s">
        <v>4413</v>
      </c>
      <c r="D1471" s="5" t="s">
        <v>4414</v>
      </c>
      <c r="E1471" s="5">
        <v>245.3</v>
      </c>
      <c r="F1471" s="6">
        <f>LOOKUP(D1471,'AMFI DATA_2023H2'!F:J,'AMFI DATA_2023H2'!J:J)</f>
        <v>300.33550000000002</v>
      </c>
      <c r="G1471" s="7">
        <f t="shared" si="5"/>
        <v>-1</v>
      </c>
      <c r="H1471" s="9"/>
      <c r="I1471" s="9">
        <v>327</v>
      </c>
      <c r="J1471" s="9">
        <v>326</v>
      </c>
      <c r="K1471" s="9">
        <v>321</v>
      </c>
      <c r="L1471" s="9">
        <v>332</v>
      </c>
      <c r="M1471" s="9">
        <v>346</v>
      </c>
      <c r="N1471" s="9">
        <v>344</v>
      </c>
      <c r="O1471" s="9">
        <v>332</v>
      </c>
      <c r="P1471" s="9">
        <v>336</v>
      </c>
      <c r="Q1471" s="9">
        <v>332</v>
      </c>
      <c r="R1471" s="9">
        <v>347</v>
      </c>
      <c r="S1471" s="9">
        <v>351</v>
      </c>
      <c r="T1471" s="9">
        <v>353</v>
      </c>
      <c r="U1471" s="9">
        <v>353</v>
      </c>
      <c r="V1471" s="9">
        <v>359</v>
      </c>
      <c r="W1471" s="9">
        <v>360</v>
      </c>
      <c r="X1471" s="9">
        <v>364</v>
      </c>
      <c r="Y1471" s="9">
        <v>355</v>
      </c>
      <c r="Z1471" s="9">
        <v>353</v>
      </c>
      <c r="AA1471" s="9">
        <v>374</v>
      </c>
      <c r="AB1471" s="9">
        <v>371</v>
      </c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</row>
    <row r="1472" spans="1:47" ht="14.4">
      <c r="A1472" s="3">
        <f>LOOKUP(D1472,'AMFI DATA_2023H2'!F:L,'AMFI DATA_2023H2'!L:L)</f>
        <v>1753</v>
      </c>
      <c r="B1472" s="4" t="s">
        <v>4415</v>
      </c>
      <c r="C1472" s="4" t="s">
        <v>4416</v>
      </c>
      <c r="D1472" s="5" t="s">
        <v>4417</v>
      </c>
      <c r="E1472" s="5">
        <v>208.44</v>
      </c>
      <c r="F1472" s="6">
        <f>LOOKUP(D1472,'AMFI DATA_2023H2'!F:J,'AMFI DATA_2023H2'!J:J)</f>
        <v>297.62374999999997</v>
      </c>
      <c r="G1472" s="7">
        <f t="shared" si="5"/>
        <v>-1</v>
      </c>
      <c r="H1472" s="9"/>
      <c r="I1472" s="9">
        <v>546</v>
      </c>
      <c r="J1472" s="9">
        <v>536</v>
      </c>
      <c r="K1472" s="9">
        <v>525</v>
      </c>
      <c r="L1472" s="9">
        <v>515</v>
      </c>
      <c r="M1472" s="9">
        <v>505</v>
      </c>
      <c r="N1472" s="9">
        <v>496</v>
      </c>
      <c r="O1472" s="9">
        <v>487</v>
      </c>
      <c r="P1472" s="9">
        <v>477</v>
      </c>
      <c r="Q1472" s="9">
        <v>468</v>
      </c>
      <c r="R1472" s="9">
        <v>459</v>
      </c>
      <c r="S1472" s="9">
        <v>446</v>
      </c>
      <c r="T1472" s="9">
        <v>449</v>
      </c>
      <c r="U1472" s="9">
        <v>440</v>
      </c>
      <c r="V1472" s="9">
        <v>408</v>
      </c>
      <c r="W1472" s="9">
        <v>412</v>
      </c>
      <c r="X1472" s="9">
        <v>419</v>
      </c>
      <c r="Y1472" s="9">
        <v>400</v>
      </c>
      <c r="Z1472" s="9">
        <v>406</v>
      </c>
      <c r="AA1472" s="9">
        <v>396</v>
      </c>
      <c r="AB1472" s="9">
        <v>405</v>
      </c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</row>
    <row r="1473" spans="1:47" ht="14.4">
      <c r="A1473" s="3">
        <f>LOOKUP(D1473,'AMFI DATA_2023H2'!F:L,'AMFI DATA_2023H2'!L:L)</f>
        <v>1755</v>
      </c>
      <c r="B1473" s="4" t="s">
        <v>4418</v>
      </c>
      <c r="C1473" s="4" t="s">
        <v>4419</v>
      </c>
      <c r="D1473" s="5" t="s">
        <v>4420</v>
      </c>
      <c r="E1473" s="5">
        <v>145.91999999999999</v>
      </c>
      <c r="F1473" s="6">
        <f>LOOKUP(D1473,'AMFI DATA_2023H2'!F:J,'AMFI DATA_2023H2'!J:J)</f>
        <v>296.52215000000001</v>
      </c>
      <c r="G1473" s="7">
        <f t="shared" si="5"/>
        <v>-1</v>
      </c>
      <c r="H1473" s="9"/>
      <c r="I1473" s="9">
        <v>412</v>
      </c>
      <c r="J1473" s="9">
        <v>392</v>
      </c>
      <c r="K1473" s="9">
        <v>380</v>
      </c>
      <c r="L1473" s="9">
        <v>374</v>
      </c>
      <c r="M1473" s="9">
        <v>379</v>
      </c>
      <c r="N1473" s="9">
        <v>381</v>
      </c>
      <c r="O1473" s="9">
        <v>386</v>
      </c>
      <c r="P1473" s="9">
        <v>384</v>
      </c>
      <c r="Q1473" s="9">
        <v>372</v>
      </c>
      <c r="R1473" s="9">
        <v>390</v>
      </c>
      <c r="S1473" s="9">
        <v>406</v>
      </c>
      <c r="T1473" s="9">
        <v>405</v>
      </c>
      <c r="U1473" s="9">
        <v>398</v>
      </c>
      <c r="V1473" s="9">
        <v>379</v>
      </c>
      <c r="W1473" s="9">
        <v>361</v>
      </c>
      <c r="X1473" s="9">
        <v>344</v>
      </c>
      <c r="Y1473" s="9">
        <v>349</v>
      </c>
      <c r="Z1473" s="9">
        <v>355</v>
      </c>
      <c r="AA1473" s="9">
        <v>392</v>
      </c>
      <c r="AB1473" s="9">
        <v>400</v>
      </c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</row>
    <row r="1474" spans="1:47" ht="14.4">
      <c r="A1474" s="3">
        <f>LOOKUP(D1474,'AMFI DATA_2023H2'!F:L,'AMFI DATA_2023H2'!L:L)</f>
        <v>1762</v>
      </c>
      <c r="B1474" s="4" t="s">
        <v>4421</v>
      </c>
      <c r="C1474" s="4" t="s">
        <v>4422</v>
      </c>
      <c r="D1474" s="5" t="s">
        <v>4423</v>
      </c>
      <c r="E1474" s="5">
        <v>224.23</v>
      </c>
      <c r="F1474" s="6">
        <f>LOOKUP(D1474,'AMFI DATA_2023H2'!F:J,'AMFI DATA_2023H2'!J:J)</f>
        <v>293.32240000000002</v>
      </c>
      <c r="G1474" s="7">
        <f t="shared" si="5"/>
        <v>-1</v>
      </c>
      <c r="H1474" s="9"/>
      <c r="I1474" s="9">
        <v>412</v>
      </c>
      <c r="J1474" s="9">
        <v>422</v>
      </c>
      <c r="K1474" s="9">
        <v>424</v>
      </c>
      <c r="L1474" s="9">
        <v>418</v>
      </c>
      <c r="M1474" s="9">
        <v>412</v>
      </c>
      <c r="N1474" s="9">
        <v>420</v>
      </c>
      <c r="O1474" s="9">
        <v>412</v>
      </c>
      <c r="P1474" s="9">
        <v>0</v>
      </c>
      <c r="Q1474" s="9">
        <v>414</v>
      </c>
      <c r="R1474" s="9">
        <v>395</v>
      </c>
      <c r="S1474" s="9">
        <v>377</v>
      </c>
      <c r="T1474" s="9">
        <v>382</v>
      </c>
      <c r="U1474" s="9">
        <v>372</v>
      </c>
      <c r="V1474" s="9">
        <v>380</v>
      </c>
      <c r="W1474" s="9">
        <v>370</v>
      </c>
      <c r="X1474" s="9">
        <v>353</v>
      </c>
      <c r="Y1474" s="9">
        <v>346</v>
      </c>
      <c r="Z1474" s="9">
        <v>357</v>
      </c>
      <c r="AA1474" s="9">
        <v>342</v>
      </c>
      <c r="AB1474" s="9">
        <v>355</v>
      </c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</row>
    <row r="1475" spans="1:47" ht="14.4">
      <c r="A1475" s="3">
        <f>LOOKUP(D1475,'AMFI DATA_2023H2'!F:L,'AMFI DATA_2023H2'!L:L)</f>
        <v>1764</v>
      </c>
      <c r="B1475" s="4" t="s">
        <v>4424</v>
      </c>
      <c r="C1475" s="4" t="s">
        <v>4425</v>
      </c>
      <c r="D1475" s="5" t="s">
        <v>4426</v>
      </c>
      <c r="E1475" s="5">
        <v>220.16</v>
      </c>
      <c r="F1475" s="6">
        <f>LOOKUP(D1475,'AMFI DATA_2023H2'!F:J,'AMFI DATA_2023H2'!J:J)</f>
        <v>291.59059999999999</v>
      </c>
      <c r="G1475" s="7">
        <f t="shared" si="5"/>
        <v>-1</v>
      </c>
      <c r="H1475" s="9"/>
      <c r="I1475" s="9">
        <v>341</v>
      </c>
      <c r="J1475" s="9">
        <v>338</v>
      </c>
      <c r="K1475" s="9">
        <v>345</v>
      </c>
      <c r="L1475" s="9">
        <v>341</v>
      </c>
      <c r="M1475" s="9">
        <v>349</v>
      </c>
      <c r="N1475" s="9">
        <v>343</v>
      </c>
      <c r="O1475" s="9">
        <v>348</v>
      </c>
      <c r="P1475" s="9">
        <v>344</v>
      </c>
      <c r="Q1475" s="9">
        <v>346</v>
      </c>
      <c r="R1475" s="9">
        <v>343</v>
      </c>
      <c r="S1475" s="9">
        <v>346</v>
      </c>
      <c r="T1475" s="9">
        <v>344</v>
      </c>
      <c r="U1475" s="9">
        <v>348</v>
      </c>
      <c r="V1475" s="9">
        <v>354</v>
      </c>
      <c r="W1475" s="9">
        <v>364</v>
      </c>
      <c r="X1475" s="9">
        <v>372</v>
      </c>
      <c r="Y1475" s="9">
        <v>372</v>
      </c>
      <c r="Z1475" s="9">
        <v>360</v>
      </c>
      <c r="AA1475" s="9">
        <v>355</v>
      </c>
      <c r="AB1475" s="9">
        <v>349</v>
      </c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</row>
    <row r="1476" spans="1:47" ht="14.4">
      <c r="A1476" s="3">
        <f>LOOKUP(D1476,'AMFI DATA_2023H2'!F:L,'AMFI DATA_2023H2'!L:L)</f>
        <v>1765</v>
      </c>
      <c r="B1476" s="4" t="s">
        <v>4427</v>
      </c>
      <c r="C1476" s="4" t="s">
        <v>4428</v>
      </c>
      <c r="D1476" s="5" t="s">
        <v>4429</v>
      </c>
      <c r="E1476" s="5">
        <v>239.9</v>
      </c>
      <c r="F1476" s="6">
        <f>LOOKUP(D1476,'AMFI DATA_2023H2'!F:J,'AMFI DATA_2023H2'!J:J)</f>
        <v>291.31745000000001</v>
      </c>
      <c r="G1476" s="7">
        <f t="shared" si="5"/>
        <v>-1</v>
      </c>
      <c r="H1476" s="9"/>
      <c r="I1476" s="9">
        <v>450</v>
      </c>
      <c r="J1476" s="9">
        <v>417</v>
      </c>
      <c r="K1476" s="9">
        <v>408</v>
      </c>
      <c r="L1476" s="9">
        <v>378</v>
      </c>
      <c r="M1476" s="9">
        <v>372</v>
      </c>
      <c r="N1476" s="9">
        <v>378</v>
      </c>
      <c r="O1476" s="9">
        <v>388</v>
      </c>
      <c r="P1476" s="9">
        <v>392</v>
      </c>
      <c r="Q1476" s="9">
        <v>403</v>
      </c>
      <c r="R1476" s="9">
        <v>409</v>
      </c>
      <c r="S1476" s="9">
        <v>421</v>
      </c>
      <c r="T1476" s="9">
        <v>420</v>
      </c>
      <c r="U1476" s="9">
        <v>427</v>
      </c>
      <c r="V1476" s="9">
        <v>418</v>
      </c>
      <c r="W1476" s="9">
        <v>420</v>
      </c>
      <c r="X1476" s="9">
        <v>410</v>
      </c>
      <c r="Y1476" s="9">
        <v>417</v>
      </c>
      <c r="Z1476" s="9">
        <v>421</v>
      </c>
      <c r="AA1476" s="9">
        <v>419</v>
      </c>
      <c r="AB1476" s="9">
        <v>426</v>
      </c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</row>
    <row r="1477" spans="1:47" ht="14.4">
      <c r="A1477" s="3">
        <f>LOOKUP(D1477,'AMFI DATA_2023H2'!F:L,'AMFI DATA_2023H2'!L:L)</f>
        <v>1766</v>
      </c>
      <c r="B1477" s="4" t="s">
        <v>4430</v>
      </c>
      <c r="C1477" s="4" t="s">
        <v>4431</v>
      </c>
      <c r="D1477" s="5" t="s">
        <v>4432</v>
      </c>
      <c r="E1477" s="5">
        <v>375.72</v>
      </c>
      <c r="F1477" s="6">
        <f>LOOKUP(D1477,'AMFI DATA_2023H2'!F:J,'AMFI DATA_2023H2'!J:J)</f>
        <v>290.23484999999999</v>
      </c>
      <c r="G1477" s="7">
        <f t="shared" si="5"/>
        <v>-1</v>
      </c>
      <c r="H1477" s="9"/>
      <c r="I1477" s="9">
        <v>315</v>
      </c>
      <c r="J1477" s="9">
        <v>304</v>
      </c>
      <c r="K1477" s="9">
        <v>306</v>
      </c>
      <c r="L1477" s="9">
        <v>312</v>
      </c>
      <c r="M1477" s="9">
        <v>318</v>
      </c>
      <c r="N1477" s="9">
        <v>323</v>
      </c>
      <c r="O1477" s="9">
        <v>329</v>
      </c>
      <c r="P1477" s="9">
        <v>330</v>
      </c>
      <c r="Q1477" s="9">
        <v>321</v>
      </c>
      <c r="R1477" s="9">
        <v>306</v>
      </c>
      <c r="S1477" s="9">
        <v>294</v>
      </c>
      <c r="T1477" s="9">
        <v>280</v>
      </c>
      <c r="U1477" s="9">
        <v>273</v>
      </c>
      <c r="V1477" s="9">
        <v>274</v>
      </c>
      <c r="W1477" s="9">
        <v>276</v>
      </c>
      <c r="X1477" s="9">
        <v>278</v>
      </c>
      <c r="Y1477" s="9">
        <v>275</v>
      </c>
      <c r="Z1477" s="9">
        <v>273</v>
      </c>
      <c r="AA1477" s="9">
        <v>271</v>
      </c>
      <c r="AB1477" s="9">
        <v>278</v>
      </c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</row>
    <row r="1478" spans="1:47" ht="14.4">
      <c r="A1478" s="3">
        <f>LOOKUP(D1478,'AMFI DATA_2023H2'!F:L,'AMFI DATA_2023H2'!L:L)</f>
        <v>1768</v>
      </c>
      <c r="B1478" s="4" t="s">
        <v>4433</v>
      </c>
      <c r="C1478" s="4" t="s">
        <v>4434</v>
      </c>
      <c r="D1478" s="5" t="s">
        <v>4435</v>
      </c>
      <c r="E1478" s="5">
        <v>252.01</v>
      </c>
      <c r="F1478" s="6">
        <f>LOOKUP(D1478,'AMFI DATA_2023H2'!F:J,'AMFI DATA_2023H2'!J:J)</f>
        <v>289.17939999999999</v>
      </c>
      <c r="G1478" s="7">
        <f t="shared" si="5"/>
        <v>-1</v>
      </c>
      <c r="H1478" s="9"/>
      <c r="I1478" s="9">
        <v>295</v>
      </c>
      <c r="J1478" s="9">
        <v>277</v>
      </c>
      <c r="K1478" s="9">
        <v>280</v>
      </c>
      <c r="L1478" s="9">
        <v>285</v>
      </c>
      <c r="M1478" s="9">
        <v>287</v>
      </c>
      <c r="N1478" s="9">
        <v>288</v>
      </c>
      <c r="O1478" s="9">
        <v>290</v>
      </c>
      <c r="P1478" s="9">
        <v>289</v>
      </c>
      <c r="Q1478" s="9">
        <v>291</v>
      </c>
      <c r="R1478" s="9">
        <v>289</v>
      </c>
      <c r="S1478" s="9">
        <v>289</v>
      </c>
      <c r="T1478" s="9">
        <v>289</v>
      </c>
      <c r="U1478" s="9">
        <v>289</v>
      </c>
      <c r="V1478" s="9">
        <v>289</v>
      </c>
      <c r="W1478" s="9">
        <v>291</v>
      </c>
      <c r="X1478" s="9">
        <v>290</v>
      </c>
      <c r="Y1478" s="9">
        <v>287</v>
      </c>
      <c r="Z1478" s="9">
        <v>288</v>
      </c>
      <c r="AA1478" s="9">
        <v>289</v>
      </c>
      <c r="AB1478" s="9">
        <v>293</v>
      </c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</row>
    <row r="1479" spans="1:47" ht="14.4">
      <c r="A1479" s="3">
        <f>LOOKUP(D1479,'AMFI DATA_2023H2'!F:L,'AMFI DATA_2023H2'!L:L)</f>
        <v>1769</v>
      </c>
      <c r="B1479" s="4" t="s">
        <v>4436</v>
      </c>
      <c r="C1479" s="4" t="s">
        <v>4437</v>
      </c>
      <c r="D1479" s="5" t="s">
        <v>4438</v>
      </c>
      <c r="E1479" s="5">
        <v>166.02</v>
      </c>
      <c r="F1479" s="6">
        <f>LOOKUP(D1479,'AMFI DATA_2023H2'!F:J,'AMFI DATA_2023H2'!J:J)</f>
        <v>286.94405</v>
      </c>
      <c r="G1479" s="7">
        <f t="shared" si="5"/>
        <v>-1</v>
      </c>
      <c r="H1479" s="9"/>
      <c r="I1479" s="9">
        <v>545</v>
      </c>
      <c r="J1479" s="9">
        <v>534</v>
      </c>
      <c r="K1479" s="9">
        <v>524</v>
      </c>
      <c r="L1479" s="9">
        <v>528</v>
      </c>
      <c r="M1479" s="9">
        <v>531</v>
      </c>
      <c r="N1479" s="9">
        <v>521</v>
      </c>
      <c r="O1479" s="9">
        <v>511</v>
      </c>
      <c r="P1479" s="9">
        <v>501</v>
      </c>
      <c r="Q1479" s="9">
        <v>491</v>
      </c>
      <c r="R1479" s="9">
        <v>482</v>
      </c>
      <c r="S1479" s="9">
        <v>491</v>
      </c>
      <c r="T1479" s="9">
        <v>501</v>
      </c>
      <c r="U1479" s="9">
        <v>511</v>
      </c>
      <c r="V1479" s="9">
        <v>486</v>
      </c>
      <c r="W1479" s="9">
        <v>463</v>
      </c>
      <c r="X1479" s="9">
        <v>441</v>
      </c>
      <c r="Y1479" s="9">
        <v>420</v>
      </c>
      <c r="Z1479" s="9">
        <v>400</v>
      </c>
      <c r="AA1479" s="9">
        <v>381</v>
      </c>
      <c r="AB1479" s="9">
        <v>363</v>
      </c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</row>
    <row r="1480" spans="1:47" ht="14.4">
      <c r="A1480" s="3">
        <f>LOOKUP(D1480,'AMFI DATA_2023H2'!F:L,'AMFI DATA_2023H2'!L:L)</f>
        <v>1770</v>
      </c>
      <c r="B1480" s="4" t="s">
        <v>4439</v>
      </c>
      <c r="C1480" s="4" t="s">
        <v>4440</v>
      </c>
      <c r="D1480" s="5" t="s">
        <v>4441</v>
      </c>
      <c r="E1480" s="5">
        <v>218.54</v>
      </c>
      <c r="F1480" s="6">
        <f>LOOKUP(D1480,'AMFI DATA_2023H2'!F:J,'AMFI DATA_2023H2'!J:J)</f>
        <v>286.87995000000001</v>
      </c>
      <c r="G1480" s="7">
        <f t="shared" si="5"/>
        <v>-1</v>
      </c>
      <c r="H1480" s="9"/>
      <c r="I1480" s="9">
        <v>312</v>
      </c>
      <c r="J1480" s="9">
        <v>308</v>
      </c>
      <c r="K1480" s="9">
        <v>312</v>
      </c>
      <c r="L1480" s="9">
        <v>318</v>
      </c>
      <c r="M1480" s="9">
        <v>325</v>
      </c>
      <c r="N1480" s="9">
        <v>331</v>
      </c>
      <c r="O1480" s="9">
        <v>338</v>
      </c>
      <c r="P1480" s="9">
        <v>345</v>
      </c>
      <c r="Q1480" s="9">
        <v>352</v>
      </c>
      <c r="R1480" s="9">
        <v>358</v>
      </c>
      <c r="S1480" s="9">
        <v>349</v>
      </c>
      <c r="T1480" s="9">
        <v>330</v>
      </c>
      <c r="U1480" s="9">
        <v>317</v>
      </c>
      <c r="V1480" s="9">
        <v>306</v>
      </c>
      <c r="W1480" s="9">
        <v>313</v>
      </c>
      <c r="X1480" s="9">
        <v>308</v>
      </c>
      <c r="Y1480" s="9">
        <v>302</v>
      </c>
      <c r="Z1480" s="9">
        <v>306</v>
      </c>
      <c r="AA1480" s="9">
        <v>307</v>
      </c>
      <c r="AB1480" s="9">
        <v>311</v>
      </c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</row>
    <row r="1481" spans="1:47" ht="14.4">
      <c r="A1481" s="3">
        <f>LOOKUP(D1481,'AMFI DATA_2023H2'!F:L,'AMFI DATA_2023H2'!L:L)</f>
        <v>1774</v>
      </c>
      <c r="B1481" s="4" t="s">
        <v>4442</v>
      </c>
      <c r="C1481" s="4" t="s">
        <v>4443</v>
      </c>
      <c r="D1481" s="5" t="s">
        <v>4444</v>
      </c>
      <c r="E1481" s="5">
        <v>319.66000000000003</v>
      </c>
      <c r="F1481" s="6">
        <f>LOOKUP(D1481,'AMFI DATA_2023H2'!F:J,'AMFI DATA_2023H2'!J:J)</f>
        <v>285.74765000000002</v>
      </c>
      <c r="G1481" s="7">
        <f t="shared" si="5"/>
        <v>-1</v>
      </c>
      <c r="H1481" s="9"/>
      <c r="I1481" s="9">
        <v>688</v>
      </c>
      <c r="J1481" s="9">
        <v>702</v>
      </c>
      <c r="K1481" s="9">
        <v>716</v>
      </c>
      <c r="L1481" s="9">
        <v>682</v>
      </c>
      <c r="M1481" s="9">
        <v>650</v>
      </c>
      <c r="N1481" s="9">
        <v>612</v>
      </c>
      <c r="O1481" s="9">
        <v>590</v>
      </c>
      <c r="P1481" s="9">
        <v>0</v>
      </c>
      <c r="Q1481" s="9">
        <v>592</v>
      </c>
      <c r="R1481" s="9">
        <v>538</v>
      </c>
      <c r="S1481" s="9">
        <v>489</v>
      </c>
      <c r="T1481" s="9">
        <v>532</v>
      </c>
      <c r="U1481" s="9">
        <v>487</v>
      </c>
      <c r="V1481" s="9">
        <v>406</v>
      </c>
      <c r="W1481" s="9">
        <v>338</v>
      </c>
      <c r="X1481" s="9">
        <v>320</v>
      </c>
      <c r="Y1481" s="9">
        <v>322</v>
      </c>
      <c r="Z1481" s="9">
        <v>317</v>
      </c>
      <c r="AA1481" s="9">
        <v>293</v>
      </c>
      <c r="AB1481" s="9">
        <v>288</v>
      </c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</row>
    <row r="1482" spans="1:47" ht="14.4">
      <c r="A1482" s="3">
        <f>LOOKUP(D1482,'AMFI DATA_2023H2'!F:L,'AMFI DATA_2023H2'!L:L)</f>
        <v>1778</v>
      </c>
      <c r="B1482" s="4" t="s">
        <v>4445</v>
      </c>
      <c r="C1482" s="4" t="s">
        <v>4446</v>
      </c>
      <c r="D1482" s="5" t="s">
        <v>4447</v>
      </c>
      <c r="E1482" s="5">
        <v>259.06</v>
      </c>
      <c r="F1482" s="6">
        <f>LOOKUP(D1482,'AMFI DATA_2023H2'!F:J,'AMFI DATA_2023H2'!J:J)</f>
        <v>283.71299999999997</v>
      </c>
      <c r="G1482" s="7">
        <f t="shared" si="5"/>
        <v>-1</v>
      </c>
      <c r="H1482" s="9"/>
      <c r="I1482" s="9">
        <v>336</v>
      </c>
      <c r="J1482" s="9">
        <v>328</v>
      </c>
      <c r="K1482" s="9">
        <v>322</v>
      </c>
      <c r="L1482" s="9">
        <v>333</v>
      </c>
      <c r="M1482" s="9">
        <v>344</v>
      </c>
      <c r="N1482" s="9">
        <v>349</v>
      </c>
      <c r="O1482" s="9">
        <v>328</v>
      </c>
      <c r="P1482" s="9">
        <v>323</v>
      </c>
      <c r="Q1482" s="9">
        <v>312</v>
      </c>
      <c r="R1482" s="9">
        <v>311</v>
      </c>
      <c r="S1482" s="9">
        <v>321</v>
      </c>
      <c r="T1482" s="9">
        <v>313</v>
      </c>
      <c r="U1482" s="9">
        <v>309</v>
      </c>
      <c r="V1482" s="9">
        <v>319</v>
      </c>
      <c r="W1482" s="9">
        <v>318</v>
      </c>
      <c r="X1482" s="9">
        <v>306</v>
      </c>
      <c r="Y1482" s="9">
        <v>307</v>
      </c>
      <c r="Z1482" s="9">
        <v>310</v>
      </c>
      <c r="AA1482" s="9">
        <v>320</v>
      </c>
      <c r="AB1482" s="9">
        <v>320</v>
      </c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</row>
    <row r="1483" spans="1:47" ht="14.4">
      <c r="A1483" s="3">
        <f>LOOKUP(D1483,'AMFI DATA_2023H2'!F:L,'AMFI DATA_2023H2'!L:L)</f>
        <v>1779</v>
      </c>
      <c r="B1483" s="4" t="s">
        <v>4448</v>
      </c>
      <c r="C1483" s="4" t="s">
        <v>4449</v>
      </c>
      <c r="D1483" s="5" t="s">
        <v>4450</v>
      </c>
      <c r="E1483" s="5">
        <v>279.12</v>
      </c>
      <c r="F1483" s="6">
        <f>LOOKUP(D1483,'AMFI DATA_2023H2'!F:J,'AMFI DATA_2023H2'!J:J)</f>
        <v>283.64665000000002</v>
      </c>
      <c r="G1483" s="7">
        <f t="shared" si="5"/>
        <v>-1</v>
      </c>
      <c r="H1483" s="9"/>
      <c r="I1483" s="9">
        <v>362</v>
      </c>
      <c r="J1483" s="9">
        <v>364</v>
      </c>
      <c r="K1483" s="9">
        <v>376</v>
      </c>
      <c r="L1483" s="9">
        <v>387</v>
      </c>
      <c r="M1483" s="9">
        <v>387</v>
      </c>
      <c r="N1483" s="9">
        <v>411</v>
      </c>
      <c r="O1483" s="9">
        <v>424</v>
      </c>
      <c r="P1483" s="9">
        <v>400</v>
      </c>
      <c r="Q1483" s="9">
        <v>391</v>
      </c>
      <c r="R1483" s="9">
        <v>386</v>
      </c>
      <c r="S1483" s="9">
        <v>364</v>
      </c>
      <c r="T1483" s="9">
        <v>362</v>
      </c>
      <c r="U1483" s="9">
        <v>343</v>
      </c>
      <c r="V1483" s="9">
        <v>331</v>
      </c>
      <c r="W1483" s="9">
        <v>334</v>
      </c>
      <c r="X1483" s="9">
        <v>329</v>
      </c>
      <c r="Y1483" s="9">
        <v>328</v>
      </c>
      <c r="Z1483" s="9">
        <v>329</v>
      </c>
      <c r="AA1483" s="9">
        <v>337</v>
      </c>
      <c r="AB1483" s="9">
        <v>343</v>
      </c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</row>
    <row r="1484" spans="1:47" ht="14.4">
      <c r="A1484" s="3">
        <f>LOOKUP(D1484,'AMFI DATA_2023H2'!F:L,'AMFI DATA_2023H2'!L:L)</f>
        <v>1783</v>
      </c>
      <c r="B1484" s="4" t="s">
        <v>4451</v>
      </c>
      <c r="C1484" s="4" t="s">
        <v>4452</v>
      </c>
      <c r="D1484" s="5" t="s">
        <v>4453</v>
      </c>
      <c r="E1484" s="5">
        <v>198.89</v>
      </c>
      <c r="F1484" s="6">
        <f>LOOKUP(D1484,'AMFI DATA_2023H2'!F:J,'AMFI DATA_2023H2'!J:J)</f>
        <v>278.33240000000001</v>
      </c>
      <c r="G1484" s="7">
        <f t="shared" si="5"/>
        <v>-1</v>
      </c>
      <c r="H1484" s="9"/>
      <c r="I1484" s="9">
        <v>394</v>
      </c>
      <c r="J1484" s="9">
        <v>388</v>
      </c>
      <c r="K1484" s="9">
        <v>398</v>
      </c>
      <c r="L1484" s="9">
        <v>408</v>
      </c>
      <c r="M1484" s="9">
        <v>408</v>
      </c>
      <c r="N1484" s="9">
        <v>389</v>
      </c>
      <c r="O1484" s="9">
        <v>370</v>
      </c>
      <c r="P1484" s="9">
        <v>389</v>
      </c>
      <c r="Q1484" s="9">
        <v>398</v>
      </c>
      <c r="R1484" s="9">
        <v>402</v>
      </c>
      <c r="S1484" s="9">
        <v>416</v>
      </c>
      <c r="T1484" s="9">
        <v>418</v>
      </c>
      <c r="U1484" s="9">
        <v>434</v>
      </c>
      <c r="V1484" s="9">
        <v>416</v>
      </c>
      <c r="W1484" s="9">
        <v>386</v>
      </c>
      <c r="X1484" s="9">
        <v>343</v>
      </c>
      <c r="Y1484" s="9">
        <v>326</v>
      </c>
      <c r="Z1484" s="9">
        <v>336</v>
      </c>
      <c r="AA1484" s="9">
        <v>319</v>
      </c>
      <c r="AB1484" s="9">
        <v>304</v>
      </c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</row>
    <row r="1485" spans="1:47" ht="14.4">
      <c r="A1485" s="3">
        <f>LOOKUP(D1485,'AMFI DATA_2023H2'!F:L,'AMFI DATA_2023H2'!L:L)</f>
        <v>1785</v>
      </c>
      <c r="B1485" s="4" t="s">
        <v>4454</v>
      </c>
      <c r="C1485" s="4" t="s">
        <v>4455</v>
      </c>
      <c r="D1485" s="5" t="s">
        <v>4456</v>
      </c>
      <c r="E1485" s="5">
        <v>213.32</v>
      </c>
      <c r="F1485" s="6">
        <f>LOOKUP(D1485,'AMFI DATA_2023H2'!F:J,'AMFI DATA_2023H2'!J:J)</f>
        <v>277.71719999999999</v>
      </c>
      <c r="G1485" s="7">
        <f t="shared" si="5"/>
        <v>-1</v>
      </c>
      <c r="H1485" s="9"/>
      <c r="I1485" s="9">
        <v>378</v>
      </c>
      <c r="J1485" s="9">
        <v>371</v>
      </c>
      <c r="K1485" s="9">
        <v>371</v>
      </c>
      <c r="L1485" s="9">
        <v>381</v>
      </c>
      <c r="M1485" s="9">
        <v>388</v>
      </c>
      <c r="N1485" s="9">
        <v>387</v>
      </c>
      <c r="O1485" s="9">
        <v>378</v>
      </c>
      <c r="P1485" s="9">
        <v>374</v>
      </c>
      <c r="Q1485" s="9">
        <v>379</v>
      </c>
      <c r="R1485" s="9">
        <v>382</v>
      </c>
      <c r="S1485" s="9">
        <v>374</v>
      </c>
      <c r="T1485" s="9">
        <v>375</v>
      </c>
      <c r="U1485" s="9">
        <v>377</v>
      </c>
      <c r="V1485" s="9">
        <v>380</v>
      </c>
      <c r="W1485" s="9">
        <v>375</v>
      </c>
      <c r="X1485" s="9">
        <v>377</v>
      </c>
      <c r="Y1485" s="9">
        <v>381</v>
      </c>
      <c r="Z1485" s="9">
        <v>364</v>
      </c>
      <c r="AA1485" s="9">
        <v>375</v>
      </c>
      <c r="AB1485" s="9">
        <v>386</v>
      </c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</row>
    <row r="1486" spans="1:47" ht="14.4">
      <c r="A1486" s="3">
        <f>LOOKUP(D1486,'AMFI DATA_2023H2'!F:L,'AMFI DATA_2023H2'!L:L)</f>
        <v>1786</v>
      </c>
      <c r="B1486" s="4" t="s">
        <v>4457</v>
      </c>
      <c r="C1486" s="4" t="s">
        <v>4458</v>
      </c>
      <c r="D1486" s="5" t="s">
        <v>4459</v>
      </c>
      <c r="E1486" s="5">
        <v>167.35</v>
      </c>
      <c r="F1486" s="6">
        <f>LOOKUP(D1486,'AMFI DATA_2023H2'!F:J,'AMFI DATA_2023H2'!J:J)</f>
        <v>277.68214999999998</v>
      </c>
      <c r="G1486" s="7">
        <f t="shared" si="5"/>
        <v>-1</v>
      </c>
      <c r="H1486" s="9"/>
      <c r="I1486" s="9">
        <v>413</v>
      </c>
      <c r="J1486" s="9">
        <v>411</v>
      </c>
      <c r="K1486" s="9">
        <v>403</v>
      </c>
      <c r="L1486" s="9">
        <v>411</v>
      </c>
      <c r="M1486" s="9">
        <v>419</v>
      </c>
      <c r="N1486" s="9">
        <v>421</v>
      </c>
      <c r="O1486" s="9">
        <v>401</v>
      </c>
      <c r="P1486" s="9">
        <v>382</v>
      </c>
      <c r="Q1486" s="9">
        <v>364</v>
      </c>
      <c r="R1486" s="9">
        <v>350</v>
      </c>
      <c r="S1486" s="9">
        <v>356</v>
      </c>
      <c r="T1486" s="9">
        <v>342</v>
      </c>
      <c r="U1486" s="9">
        <v>340</v>
      </c>
      <c r="V1486" s="9">
        <v>340</v>
      </c>
      <c r="W1486" s="9">
        <v>343</v>
      </c>
      <c r="X1486" s="9">
        <v>340</v>
      </c>
      <c r="Y1486" s="9">
        <v>358</v>
      </c>
      <c r="Z1486" s="9">
        <v>341</v>
      </c>
      <c r="AA1486" s="9">
        <v>320</v>
      </c>
      <c r="AB1486" s="9">
        <v>307</v>
      </c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</row>
    <row r="1487" spans="1:47" ht="14.4">
      <c r="A1487" s="3">
        <f>LOOKUP(D1487,'AMFI DATA_2023H2'!F:L,'AMFI DATA_2023H2'!L:L)</f>
        <v>1787</v>
      </c>
      <c r="B1487" s="4" t="s">
        <v>4460</v>
      </c>
      <c r="C1487" s="4" t="s">
        <v>4461</v>
      </c>
      <c r="D1487" s="5" t="s">
        <v>4462</v>
      </c>
      <c r="E1487" s="5">
        <v>196.19</v>
      </c>
      <c r="F1487" s="6">
        <f>LOOKUP(D1487,'AMFI DATA_2023H2'!F:J,'AMFI DATA_2023H2'!J:J)</f>
        <v>276.14765</v>
      </c>
      <c r="G1487" s="7">
        <f t="shared" si="5"/>
        <v>-1</v>
      </c>
      <c r="H1487" s="9"/>
      <c r="I1487" s="9">
        <v>402</v>
      </c>
      <c r="J1487" s="9">
        <v>403</v>
      </c>
      <c r="K1487" s="9">
        <v>417</v>
      </c>
      <c r="L1487" s="9">
        <v>442</v>
      </c>
      <c r="M1487" s="9">
        <v>438</v>
      </c>
      <c r="N1487" s="9">
        <v>450</v>
      </c>
      <c r="O1487" s="9">
        <v>457</v>
      </c>
      <c r="P1487" s="9">
        <v>460</v>
      </c>
      <c r="Q1487" s="9">
        <v>457</v>
      </c>
      <c r="R1487" s="9">
        <v>434</v>
      </c>
      <c r="S1487" s="9">
        <v>434</v>
      </c>
      <c r="T1487" s="9">
        <v>455</v>
      </c>
      <c r="U1487" s="9">
        <v>379</v>
      </c>
      <c r="V1487" s="9">
        <v>374</v>
      </c>
      <c r="W1487" s="9">
        <v>385</v>
      </c>
      <c r="X1487" s="9">
        <v>378</v>
      </c>
      <c r="Y1487" s="9">
        <v>397</v>
      </c>
      <c r="Z1487" s="9">
        <v>403</v>
      </c>
      <c r="AA1487" s="9">
        <v>427</v>
      </c>
      <c r="AB1487" s="9">
        <v>356</v>
      </c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</row>
    <row r="1488" spans="1:47" ht="14.4">
      <c r="A1488" s="3">
        <f>LOOKUP(D1488,'AMFI DATA_2023H2'!F:L,'AMFI DATA_2023H2'!L:L)</f>
        <v>1789</v>
      </c>
      <c r="B1488" s="4" t="s">
        <v>4463</v>
      </c>
      <c r="C1488" s="4" t="s">
        <v>4464</v>
      </c>
      <c r="D1488" s="5" t="s">
        <v>4465</v>
      </c>
      <c r="E1488" s="5">
        <v>238.51</v>
      </c>
      <c r="F1488" s="6">
        <f>LOOKUP(D1488,'AMFI DATA_2023H2'!F:J,'AMFI DATA_2023H2'!J:J)</f>
        <v>274.90210000000002</v>
      </c>
      <c r="G1488" s="7">
        <f t="shared" si="5"/>
        <v>-1</v>
      </c>
      <c r="H1488" s="9"/>
      <c r="I1488" s="9">
        <v>339</v>
      </c>
      <c r="J1488" s="9">
        <v>337</v>
      </c>
      <c r="K1488" s="9">
        <v>335</v>
      </c>
      <c r="L1488" s="9">
        <v>337</v>
      </c>
      <c r="M1488" s="9">
        <v>350</v>
      </c>
      <c r="N1488" s="9">
        <v>358</v>
      </c>
      <c r="O1488" s="9">
        <v>350</v>
      </c>
      <c r="P1488" s="9">
        <v>334</v>
      </c>
      <c r="Q1488" s="9">
        <v>335</v>
      </c>
      <c r="R1488" s="9">
        <v>333</v>
      </c>
      <c r="S1488" s="9">
        <v>335</v>
      </c>
      <c r="T1488" s="9">
        <v>338</v>
      </c>
      <c r="U1488" s="9">
        <v>343</v>
      </c>
      <c r="V1488" s="9">
        <v>336</v>
      </c>
      <c r="W1488" s="9">
        <v>320</v>
      </c>
      <c r="X1488" s="9">
        <v>308</v>
      </c>
      <c r="Y1488" s="9">
        <v>306</v>
      </c>
      <c r="Z1488" s="9">
        <v>311</v>
      </c>
      <c r="AA1488" s="9">
        <v>317</v>
      </c>
      <c r="AB1488" s="9">
        <v>308</v>
      </c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</row>
    <row r="1489" spans="1:47" ht="14.4">
      <c r="A1489" s="3">
        <f>LOOKUP(D1489,'AMFI DATA_2023H2'!F:L,'AMFI DATA_2023H2'!L:L)</f>
        <v>1794</v>
      </c>
      <c r="B1489" s="4" t="s">
        <v>4466</v>
      </c>
      <c r="C1489" s="4" t="s">
        <v>4467</v>
      </c>
      <c r="D1489" s="5" t="s">
        <v>4468</v>
      </c>
      <c r="E1489" s="5">
        <v>230.82</v>
      </c>
      <c r="F1489" s="6">
        <f>LOOKUP(D1489,'AMFI DATA_2023H2'!F:J,'AMFI DATA_2023H2'!J:J)</f>
        <v>272.70089999999999</v>
      </c>
      <c r="G1489" s="7">
        <f t="shared" si="5"/>
        <v>-1</v>
      </c>
      <c r="H1489" s="9"/>
      <c r="I1489" s="9">
        <v>313</v>
      </c>
      <c r="J1489" s="9">
        <v>311</v>
      </c>
      <c r="K1489" s="9">
        <v>313</v>
      </c>
      <c r="L1489" s="9">
        <v>316</v>
      </c>
      <c r="M1489" s="9">
        <v>321</v>
      </c>
      <c r="N1489" s="9">
        <v>317</v>
      </c>
      <c r="O1489" s="9">
        <v>314</v>
      </c>
      <c r="P1489" s="9">
        <v>318</v>
      </c>
      <c r="Q1489" s="9">
        <v>321</v>
      </c>
      <c r="R1489" s="9">
        <v>321</v>
      </c>
      <c r="S1489" s="9">
        <v>319</v>
      </c>
      <c r="T1489" s="9">
        <v>315</v>
      </c>
      <c r="U1489" s="9">
        <v>312</v>
      </c>
      <c r="V1489" s="9">
        <v>321</v>
      </c>
      <c r="W1489" s="9">
        <v>317</v>
      </c>
      <c r="X1489" s="9">
        <v>321</v>
      </c>
      <c r="Y1489" s="9">
        <v>338</v>
      </c>
      <c r="Z1489" s="9">
        <v>334</v>
      </c>
      <c r="AA1489" s="9">
        <v>344</v>
      </c>
      <c r="AB1489" s="9">
        <v>353</v>
      </c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</row>
    <row r="1490" spans="1:47" ht="14.4">
      <c r="A1490" s="3">
        <f>LOOKUP(D1490,'AMFI DATA_2023H2'!F:L,'AMFI DATA_2023H2'!L:L)</f>
        <v>1796</v>
      </c>
      <c r="B1490" s="4" t="s">
        <v>4469</v>
      </c>
      <c r="C1490" s="4" t="s">
        <v>4470</v>
      </c>
      <c r="D1490" s="5" t="s">
        <v>4471</v>
      </c>
      <c r="E1490" s="5">
        <v>230.56</v>
      </c>
      <c r="F1490" s="6">
        <f>LOOKUP(D1490,'AMFI DATA_2023H2'!F:J,'AMFI DATA_2023H2'!J:J)</f>
        <v>272.52070000000003</v>
      </c>
      <c r="G1490" s="7">
        <f t="shared" si="5"/>
        <v>-1</v>
      </c>
      <c r="H1490" s="9"/>
      <c r="I1490" s="9">
        <v>313</v>
      </c>
      <c r="J1490" s="9">
        <v>312</v>
      </c>
      <c r="K1490" s="9">
        <v>314</v>
      </c>
      <c r="L1490" s="9">
        <v>316</v>
      </c>
      <c r="M1490" s="9">
        <v>323</v>
      </c>
      <c r="N1490" s="9">
        <v>324</v>
      </c>
      <c r="O1490" s="9">
        <v>326</v>
      </c>
      <c r="P1490" s="9">
        <v>332</v>
      </c>
      <c r="Q1490" s="9">
        <v>322</v>
      </c>
      <c r="R1490" s="9">
        <v>317</v>
      </c>
      <c r="S1490" s="9">
        <v>307</v>
      </c>
      <c r="T1490" s="9">
        <v>301</v>
      </c>
      <c r="U1490" s="9">
        <v>293</v>
      </c>
      <c r="V1490" s="9">
        <v>290</v>
      </c>
      <c r="W1490" s="9">
        <v>288</v>
      </c>
      <c r="X1490" s="9">
        <v>288</v>
      </c>
      <c r="Y1490" s="9">
        <v>297</v>
      </c>
      <c r="Z1490" s="9">
        <v>288</v>
      </c>
      <c r="AA1490" s="9">
        <v>288</v>
      </c>
      <c r="AB1490" s="9">
        <v>292</v>
      </c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</row>
    <row r="1491" spans="1:47" ht="14.4">
      <c r="A1491" s="3">
        <f>LOOKUP(D1491,'AMFI DATA_2023H2'!F:L,'AMFI DATA_2023H2'!L:L)</f>
        <v>1797</v>
      </c>
      <c r="B1491" s="4" t="s">
        <v>4472</v>
      </c>
      <c r="C1491" s="4" t="s">
        <v>4473</v>
      </c>
      <c r="D1491" s="5" t="s">
        <v>4474</v>
      </c>
      <c r="E1491" s="5">
        <v>186.56</v>
      </c>
      <c r="F1491" s="6">
        <f>LOOKUP(D1491,'AMFI DATA_2023H2'!F:J,'AMFI DATA_2023H2'!J:J)</f>
        <v>272.45394999999996</v>
      </c>
      <c r="G1491" s="7">
        <f t="shared" si="5"/>
        <v>-1</v>
      </c>
      <c r="H1491" s="9"/>
      <c r="I1491" s="9">
        <v>319</v>
      </c>
      <c r="J1491" s="9">
        <v>318</v>
      </c>
      <c r="K1491" s="9">
        <v>324</v>
      </c>
      <c r="L1491" s="9">
        <v>321</v>
      </c>
      <c r="M1491" s="9">
        <v>322</v>
      </c>
      <c r="N1491" s="9">
        <v>321</v>
      </c>
      <c r="O1491" s="9">
        <v>321</v>
      </c>
      <c r="P1491" s="9">
        <v>323</v>
      </c>
      <c r="Q1491" s="9">
        <v>326</v>
      </c>
      <c r="R1491" s="9">
        <v>325</v>
      </c>
      <c r="S1491" s="9">
        <v>318</v>
      </c>
      <c r="T1491" s="9">
        <v>324</v>
      </c>
      <c r="U1491" s="9">
        <v>322</v>
      </c>
      <c r="V1491" s="9">
        <v>328</v>
      </c>
      <c r="W1491" s="9">
        <v>335</v>
      </c>
      <c r="X1491" s="9">
        <v>342</v>
      </c>
      <c r="Y1491" s="9">
        <v>349</v>
      </c>
      <c r="Z1491" s="9">
        <v>357</v>
      </c>
      <c r="AA1491" s="9">
        <v>346</v>
      </c>
      <c r="AB1491" s="9">
        <v>327</v>
      </c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</row>
    <row r="1492" spans="1:47" ht="14.4">
      <c r="A1492" s="3">
        <f>LOOKUP(D1492,'AMFI DATA_2023H2'!F:L,'AMFI DATA_2023H2'!L:L)</f>
        <v>1798</v>
      </c>
      <c r="B1492" s="4" t="s">
        <v>4475</v>
      </c>
      <c r="C1492" s="4" t="s">
        <v>4476</v>
      </c>
      <c r="D1492" s="5" t="s">
        <v>4477</v>
      </c>
      <c r="E1492" s="5">
        <v>132.9</v>
      </c>
      <c r="F1492" s="6">
        <f>LOOKUP(D1492,'AMFI DATA_2023H2'!F:J,'AMFI DATA_2023H2'!J:J)</f>
        <v>272.26274999999998</v>
      </c>
      <c r="G1492" s="7">
        <f t="shared" si="5"/>
        <v>-1</v>
      </c>
      <c r="H1492" s="9"/>
      <c r="I1492" s="9">
        <v>495</v>
      </c>
      <c r="J1492" s="9">
        <v>505</v>
      </c>
      <c r="K1492" s="9">
        <v>516</v>
      </c>
      <c r="L1492" s="9">
        <v>512</v>
      </c>
      <c r="M1492" s="9">
        <v>530</v>
      </c>
      <c r="N1492" s="9">
        <v>551</v>
      </c>
      <c r="O1492" s="9">
        <v>535</v>
      </c>
      <c r="P1492" s="9">
        <v>509</v>
      </c>
      <c r="Q1492" s="9">
        <v>485</v>
      </c>
      <c r="R1492" s="9">
        <v>462</v>
      </c>
      <c r="S1492" s="9">
        <v>440</v>
      </c>
      <c r="T1492" s="9">
        <v>431</v>
      </c>
      <c r="U1492" s="9">
        <v>434</v>
      </c>
      <c r="V1492" s="9">
        <v>443</v>
      </c>
      <c r="W1492" s="9">
        <v>452</v>
      </c>
      <c r="X1492" s="9">
        <v>461</v>
      </c>
      <c r="Y1492" s="9">
        <v>470</v>
      </c>
      <c r="Z1492" s="9">
        <v>480</v>
      </c>
      <c r="AA1492" s="9">
        <v>484</v>
      </c>
      <c r="AB1492" s="9">
        <v>480</v>
      </c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</row>
    <row r="1493" spans="1:47" ht="14.4">
      <c r="A1493" s="3">
        <f>LOOKUP(D1493,'AMFI DATA_2023H2'!F:L,'AMFI DATA_2023H2'!L:L)</f>
        <v>1799</v>
      </c>
      <c r="B1493" s="4" t="s">
        <v>4478</v>
      </c>
      <c r="C1493" s="4" t="s">
        <v>4479</v>
      </c>
      <c r="D1493" s="5" t="s">
        <v>4480</v>
      </c>
      <c r="E1493" s="5">
        <v>187.39</v>
      </c>
      <c r="F1493" s="6">
        <f>LOOKUP(D1493,'AMFI DATA_2023H2'!F:J,'AMFI DATA_2023H2'!J:J)</f>
        <v>272.15469999999999</v>
      </c>
      <c r="G1493" s="7">
        <f t="shared" si="5"/>
        <v>-1</v>
      </c>
      <c r="H1493" s="9"/>
      <c r="I1493" s="9">
        <v>479</v>
      </c>
      <c r="J1493" s="9">
        <v>489</v>
      </c>
      <c r="K1493" s="9">
        <v>499</v>
      </c>
      <c r="L1493" s="9">
        <v>509</v>
      </c>
      <c r="M1493" s="9">
        <v>519</v>
      </c>
      <c r="N1493" s="9">
        <v>530</v>
      </c>
      <c r="O1493" s="9">
        <v>505</v>
      </c>
      <c r="P1493" s="9">
        <v>483</v>
      </c>
      <c r="Q1493" s="9">
        <v>471</v>
      </c>
      <c r="R1493" s="9">
        <v>468</v>
      </c>
      <c r="S1493" s="9">
        <v>450</v>
      </c>
      <c r="T1493" s="9">
        <v>433</v>
      </c>
      <c r="U1493" s="9">
        <v>430</v>
      </c>
      <c r="V1493" s="9">
        <v>421</v>
      </c>
      <c r="W1493" s="9">
        <v>429</v>
      </c>
      <c r="X1493" s="9">
        <v>411</v>
      </c>
      <c r="Y1493" s="9">
        <v>425</v>
      </c>
      <c r="Z1493" s="9">
        <v>404</v>
      </c>
      <c r="AA1493" s="9">
        <v>385</v>
      </c>
      <c r="AB1493" s="9">
        <v>367</v>
      </c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</row>
    <row r="1494" spans="1:47" ht="14.4">
      <c r="A1494" s="3">
        <f>LOOKUP(D1494,'AMFI DATA_2023H2'!F:L,'AMFI DATA_2023H2'!L:L)</f>
        <v>1800</v>
      </c>
      <c r="B1494" s="4" t="s">
        <v>4481</v>
      </c>
      <c r="C1494" s="4" t="s">
        <v>4482</v>
      </c>
      <c r="D1494" s="5" t="s">
        <v>4483</v>
      </c>
      <c r="E1494" s="5">
        <v>209.85</v>
      </c>
      <c r="F1494" s="6">
        <f>LOOKUP(D1494,'AMFI DATA_2023H2'!F:J,'AMFI DATA_2023H2'!J:J)</f>
        <v>271.50305000000003</v>
      </c>
      <c r="G1494" s="7">
        <f t="shared" si="5"/>
        <v>-1</v>
      </c>
      <c r="H1494" s="9"/>
      <c r="I1494" s="9">
        <v>307</v>
      </c>
      <c r="J1494" s="9">
        <v>312</v>
      </c>
      <c r="K1494" s="9">
        <v>317</v>
      </c>
      <c r="L1494" s="9">
        <v>317</v>
      </c>
      <c r="M1494" s="9">
        <v>325</v>
      </c>
      <c r="N1494" s="9">
        <v>323</v>
      </c>
      <c r="O1494" s="9">
        <v>328</v>
      </c>
      <c r="P1494" s="9">
        <v>332</v>
      </c>
      <c r="Q1494" s="9">
        <v>334</v>
      </c>
      <c r="R1494" s="9">
        <v>335</v>
      </c>
      <c r="S1494" s="9">
        <v>334</v>
      </c>
      <c r="T1494" s="9">
        <v>334</v>
      </c>
      <c r="U1494" s="9">
        <v>323</v>
      </c>
      <c r="V1494" s="9">
        <v>329</v>
      </c>
      <c r="W1494" s="9">
        <v>325</v>
      </c>
      <c r="X1494" s="9">
        <v>328</v>
      </c>
      <c r="Y1494" s="9">
        <v>328</v>
      </c>
      <c r="Z1494" s="9">
        <v>333</v>
      </c>
      <c r="AA1494" s="9">
        <v>333</v>
      </c>
      <c r="AB1494" s="9">
        <v>336</v>
      </c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</row>
    <row r="1495" spans="1:47" ht="14.4">
      <c r="A1495" s="3">
        <f>LOOKUP(D1495,'AMFI DATA_2023H2'!F:L,'AMFI DATA_2023H2'!L:L)</f>
        <v>1810</v>
      </c>
      <c r="B1495" s="4" t="s">
        <v>4484</v>
      </c>
      <c r="C1495" s="4" t="s">
        <v>4485</v>
      </c>
      <c r="D1495" s="5" t="s">
        <v>4486</v>
      </c>
      <c r="E1495" s="5">
        <v>200.5</v>
      </c>
      <c r="F1495" s="6">
        <f>LOOKUP(D1495,'AMFI DATA_2023H2'!F:J,'AMFI DATA_2023H2'!J:J)</f>
        <v>265.62545</v>
      </c>
      <c r="G1495" s="7">
        <f t="shared" si="5"/>
        <v>-1</v>
      </c>
      <c r="H1495" s="9"/>
      <c r="I1495" s="9">
        <v>361</v>
      </c>
      <c r="J1495" s="9">
        <v>366</v>
      </c>
      <c r="K1495" s="9">
        <v>356</v>
      </c>
      <c r="L1495" s="9">
        <v>375</v>
      </c>
      <c r="M1495" s="9">
        <v>395</v>
      </c>
      <c r="N1495" s="9">
        <v>379</v>
      </c>
      <c r="O1495" s="9">
        <v>392</v>
      </c>
      <c r="P1495" s="9">
        <v>395</v>
      </c>
      <c r="Q1495" s="9">
        <v>390</v>
      </c>
      <c r="R1495" s="9">
        <v>394</v>
      </c>
      <c r="S1495" s="9">
        <v>413</v>
      </c>
      <c r="T1495" s="9">
        <v>393</v>
      </c>
      <c r="U1495" s="9">
        <v>384</v>
      </c>
      <c r="V1495" s="9">
        <v>382</v>
      </c>
      <c r="W1495" s="9">
        <v>374</v>
      </c>
      <c r="X1495" s="9">
        <v>367</v>
      </c>
      <c r="Y1495" s="9">
        <v>347</v>
      </c>
      <c r="Z1495" s="9">
        <v>362</v>
      </c>
      <c r="AA1495" s="9">
        <v>377</v>
      </c>
      <c r="AB1495" s="9">
        <v>365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</row>
    <row r="1496" spans="1:47" ht="14.4">
      <c r="A1496" s="3">
        <f>LOOKUP(D1496,'AMFI DATA_2023H2'!F:L,'AMFI DATA_2023H2'!L:L)</f>
        <v>1813</v>
      </c>
      <c r="B1496" s="4" t="s">
        <v>4487</v>
      </c>
      <c r="C1496" s="4" t="s">
        <v>4488</v>
      </c>
      <c r="D1496" s="5" t="s">
        <v>4489</v>
      </c>
      <c r="E1496" s="5">
        <v>211.19</v>
      </c>
      <c r="F1496" s="6">
        <f>LOOKUP(D1496,'AMFI DATA_2023H2'!F:J,'AMFI DATA_2023H2'!J:J)</f>
        <v>265.13240000000002</v>
      </c>
      <c r="G1496" s="7">
        <f t="shared" si="5"/>
        <v>-1</v>
      </c>
      <c r="H1496" s="9"/>
      <c r="I1496" s="9">
        <v>328</v>
      </c>
      <c r="J1496" s="9">
        <v>329</v>
      </c>
      <c r="K1496" s="9">
        <v>330</v>
      </c>
      <c r="L1496" s="9">
        <v>334</v>
      </c>
      <c r="M1496" s="9">
        <v>337</v>
      </c>
      <c r="N1496" s="9">
        <v>336</v>
      </c>
      <c r="O1496" s="9">
        <v>343</v>
      </c>
      <c r="P1496" s="9">
        <v>334</v>
      </c>
      <c r="Q1496" s="9">
        <v>320</v>
      </c>
      <c r="R1496" s="9">
        <v>310</v>
      </c>
      <c r="S1496" s="9">
        <v>300</v>
      </c>
      <c r="T1496" s="9">
        <v>299</v>
      </c>
      <c r="U1496" s="9">
        <v>300</v>
      </c>
      <c r="V1496" s="9">
        <v>300</v>
      </c>
      <c r="W1496" s="9">
        <v>298</v>
      </c>
      <c r="X1496" s="9">
        <v>303</v>
      </c>
      <c r="Y1496" s="9">
        <v>302</v>
      </c>
      <c r="Z1496" s="9">
        <v>300</v>
      </c>
      <c r="AA1496" s="9">
        <v>305</v>
      </c>
      <c r="AB1496" s="9">
        <v>310</v>
      </c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</row>
    <row r="1497" spans="1:47" ht="14.4">
      <c r="A1497" s="3">
        <f>LOOKUP(D1497,'AMFI DATA_2023H2'!F:L,'AMFI DATA_2023H2'!L:L)</f>
        <v>1816</v>
      </c>
      <c r="B1497" s="4" t="s">
        <v>4490</v>
      </c>
      <c r="C1497" s="4" t="s">
        <v>4491</v>
      </c>
      <c r="D1497" s="5" t="s">
        <v>4492</v>
      </c>
      <c r="E1497" s="5">
        <v>230.78</v>
      </c>
      <c r="F1497" s="6">
        <f>LOOKUP(D1497,'AMFI DATA_2023H2'!F:J,'AMFI DATA_2023H2'!J:J)</f>
        <v>264.04785000000004</v>
      </c>
      <c r="G1497" s="7">
        <f t="shared" si="5"/>
        <v>-1</v>
      </c>
      <c r="H1497" s="9"/>
      <c r="I1497" s="9">
        <v>381</v>
      </c>
      <c r="J1497" s="9">
        <v>382</v>
      </c>
      <c r="K1497" s="9">
        <v>375</v>
      </c>
      <c r="L1497" s="9">
        <v>382</v>
      </c>
      <c r="M1497" s="9">
        <v>381</v>
      </c>
      <c r="N1497" s="9">
        <v>352</v>
      </c>
      <c r="O1497" s="9">
        <v>330</v>
      </c>
      <c r="P1497" s="9">
        <v>303</v>
      </c>
      <c r="Q1497" s="9">
        <v>303</v>
      </c>
      <c r="R1497" s="9">
        <v>299</v>
      </c>
      <c r="S1497" s="9">
        <v>304</v>
      </c>
      <c r="T1497" s="9">
        <v>312</v>
      </c>
      <c r="U1497" s="9">
        <v>309</v>
      </c>
      <c r="V1497" s="9">
        <v>322</v>
      </c>
      <c r="W1497" s="9">
        <v>333</v>
      </c>
      <c r="X1497" s="9">
        <v>309</v>
      </c>
      <c r="Y1497" s="9">
        <v>316</v>
      </c>
      <c r="Z1497" s="9">
        <v>293</v>
      </c>
      <c r="AA1497" s="9">
        <v>271</v>
      </c>
      <c r="AB1497" s="9">
        <v>269</v>
      </c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</row>
    <row r="1498" spans="1:47" ht="14.4">
      <c r="A1498" s="3">
        <f>LOOKUP(D1498,'AMFI DATA_2023H2'!F:L,'AMFI DATA_2023H2'!L:L)</f>
        <v>1817</v>
      </c>
      <c r="B1498" s="4" t="s">
        <v>4493</v>
      </c>
      <c r="C1498" s="4" t="s">
        <v>4494</v>
      </c>
      <c r="D1498" s="5" t="s">
        <v>4495</v>
      </c>
      <c r="E1498" s="5">
        <v>200.75</v>
      </c>
      <c r="F1498" s="6">
        <f>LOOKUP(D1498,'AMFI DATA_2023H2'!F:J,'AMFI DATA_2023H2'!J:J)</f>
        <v>262.93860000000001</v>
      </c>
      <c r="G1498" s="7">
        <f t="shared" si="5"/>
        <v>-1</v>
      </c>
      <c r="H1498" s="9"/>
      <c r="I1498" s="9">
        <v>298</v>
      </c>
      <c r="J1498" s="9">
        <v>290</v>
      </c>
      <c r="K1498" s="9">
        <v>290</v>
      </c>
      <c r="L1498" s="9">
        <v>299</v>
      </c>
      <c r="M1498" s="9">
        <v>293</v>
      </c>
      <c r="N1498" s="9">
        <v>298</v>
      </c>
      <c r="O1498" s="9">
        <v>294</v>
      </c>
      <c r="P1498" s="9">
        <v>289</v>
      </c>
      <c r="Q1498" s="9">
        <v>297</v>
      </c>
      <c r="R1498" s="9">
        <v>293</v>
      </c>
      <c r="S1498" s="9">
        <v>293</v>
      </c>
      <c r="T1498" s="9">
        <v>294</v>
      </c>
      <c r="U1498" s="9">
        <v>295</v>
      </c>
      <c r="V1498" s="9">
        <v>302</v>
      </c>
      <c r="W1498" s="9">
        <v>302</v>
      </c>
      <c r="X1498" s="9">
        <v>295</v>
      </c>
      <c r="Y1498" s="9">
        <v>296</v>
      </c>
      <c r="Z1498" s="9">
        <v>296</v>
      </c>
      <c r="AA1498" s="9">
        <v>298</v>
      </c>
      <c r="AB1498" s="9">
        <v>301</v>
      </c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</row>
    <row r="1499" spans="1:47" ht="14.4">
      <c r="A1499" s="3">
        <f>LOOKUP(D1499,'AMFI DATA_2023H2'!F:L,'AMFI DATA_2023H2'!L:L)</f>
        <v>1818</v>
      </c>
      <c r="B1499" s="4" t="s">
        <v>4496</v>
      </c>
      <c r="C1499" s="4" t="s">
        <v>4497</v>
      </c>
      <c r="D1499" s="5" t="s">
        <v>4498</v>
      </c>
      <c r="E1499" s="5">
        <v>166.43</v>
      </c>
      <c r="F1499" s="6">
        <f>LOOKUP(D1499,'AMFI DATA_2023H2'!F:J,'AMFI DATA_2023H2'!J:J)</f>
        <v>262.04835000000003</v>
      </c>
      <c r="G1499" s="7">
        <f t="shared" si="5"/>
        <v>-1</v>
      </c>
      <c r="H1499" s="9"/>
      <c r="I1499" s="9">
        <v>470</v>
      </c>
      <c r="J1499" s="9">
        <v>461</v>
      </c>
      <c r="K1499" s="9">
        <v>470</v>
      </c>
      <c r="L1499" s="9">
        <v>480</v>
      </c>
      <c r="M1499" s="9">
        <v>489</v>
      </c>
      <c r="N1499" s="9">
        <v>499</v>
      </c>
      <c r="O1499" s="9">
        <v>489</v>
      </c>
      <c r="P1499" s="9">
        <v>480</v>
      </c>
      <c r="Q1499" s="9">
        <v>471</v>
      </c>
      <c r="R1499" s="9">
        <v>461</v>
      </c>
      <c r="S1499" s="9">
        <v>452</v>
      </c>
      <c r="T1499" s="9">
        <v>444</v>
      </c>
      <c r="U1499" s="9">
        <v>435</v>
      </c>
      <c r="V1499" s="9">
        <v>427</v>
      </c>
      <c r="W1499" s="9">
        <v>419</v>
      </c>
      <c r="X1499" s="9">
        <v>411</v>
      </c>
      <c r="Y1499" s="9">
        <v>391</v>
      </c>
      <c r="Z1499" s="9">
        <v>372</v>
      </c>
      <c r="AA1499" s="9">
        <v>352</v>
      </c>
      <c r="AB1499" s="9">
        <v>337</v>
      </c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</row>
    <row r="1500" spans="1:47" ht="14.4">
      <c r="A1500" s="3">
        <f>LOOKUP(D1500,'AMFI DATA_2023H2'!F:L,'AMFI DATA_2023H2'!L:L)</f>
        <v>1820</v>
      </c>
      <c r="B1500" s="4" t="s">
        <v>4499</v>
      </c>
      <c r="C1500" s="4" t="s">
        <v>4500</v>
      </c>
      <c r="D1500" s="5" t="s">
        <v>4501</v>
      </c>
      <c r="E1500" s="5">
        <v>250.15</v>
      </c>
      <c r="F1500" s="6">
        <f>LOOKUP(D1500,'AMFI DATA_2023H2'!F:J,'AMFI DATA_2023H2'!J:J)</f>
        <v>261.3467</v>
      </c>
      <c r="G1500" s="7">
        <f t="shared" si="5"/>
        <v>-1</v>
      </c>
      <c r="H1500" s="9"/>
      <c r="I1500" s="9">
        <v>329</v>
      </c>
      <c r="J1500" s="9">
        <v>334</v>
      </c>
      <c r="K1500" s="9">
        <v>314</v>
      </c>
      <c r="L1500" s="9">
        <v>322</v>
      </c>
      <c r="M1500" s="9">
        <v>325</v>
      </c>
      <c r="N1500" s="9">
        <v>337</v>
      </c>
      <c r="O1500" s="9">
        <v>310</v>
      </c>
      <c r="P1500" s="9">
        <v>321</v>
      </c>
      <c r="Q1500" s="9">
        <v>318</v>
      </c>
      <c r="R1500" s="9">
        <v>318</v>
      </c>
      <c r="S1500" s="9">
        <v>325</v>
      </c>
      <c r="T1500" s="9">
        <v>328</v>
      </c>
      <c r="U1500" s="9">
        <v>313</v>
      </c>
      <c r="V1500" s="9">
        <v>307</v>
      </c>
      <c r="W1500" s="9">
        <v>298</v>
      </c>
      <c r="X1500" s="9">
        <v>300</v>
      </c>
      <c r="Y1500" s="9">
        <v>305</v>
      </c>
      <c r="Z1500" s="9">
        <v>311</v>
      </c>
      <c r="AA1500" s="9">
        <v>310</v>
      </c>
      <c r="AB1500" s="9">
        <v>308</v>
      </c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</row>
    <row r="1501" spans="1:47" ht="14.4">
      <c r="A1501" s="3">
        <f>LOOKUP(D1501,'AMFI DATA_2023H2'!F:L,'AMFI DATA_2023H2'!L:L)</f>
        <v>1822</v>
      </c>
      <c r="B1501" s="4" t="s">
        <v>4502</v>
      </c>
      <c r="C1501" s="4" t="s">
        <v>4503</v>
      </c>
      <c r="D1501" s="5" t="s">
        <v>4504</v>
      </c>
      <c r="E1501" s="5">
        <v>351.15</v>
      </c>
      <c r="F1501" s="6">
        <f>LOOKUP(D1501,'AMFI DATA_2023H2'!F:J,'AMFI DATA_2023H2'!J:J)</f>
        <v>260.68270000000001</v>
      </c>
      <c r="G1501" s="7">
        <f t="shared" si="5"/>
        <v>-1</v>
      </c>
      <c r="H1501" s="9"/>
      <c r="I1501" s="9">
        <v>451</v>
      </c>
      <c r="J1501" s="9">
        <v>460</v>
      </c>
      <c r="K1501" s="9">
        <v>452</v>
      </c>
      <c r="L1501" s="9">
        <v>467</v>
      </c>
      <c r="M1501" s="9">
        <v>445</v>
      </c>
      <c r="N1501" s="9">
        <v>424</v>
      </c>
      <c r="O1501" s="9">
        <v>447</v>
      </c>
      <c r="P1501" s="9">
        <v>470</v>
      </c>
      <c r="Q1501" s="9">
        <v>495</v>
      </c>
      <c r="R1501" s="9">
        <v>520</v>
      </c>
      <c r="S1501" s="9">
        <v>538</v>
      </c>
      <c r="T1501" s="9">
        <v>489</v>
      </c>
      <c r="U1501" s="9">
        <v>408</v>
      </c>
      <c r="V1501" s="9">
        <v>377</v>
      </c>
      <c r="W1501" s="9">
        <v>348</v>
      </c>
      <c r="X1501" s="9">
        <v>292</v>
      </c>
      <c r="Y1501" s="9">
        <v>310</v>
      </c>
      <c r="Z1501" s="9">
        <v>299</v>
      </c>
      <c r="AA1501" s="9">
        <v>292</v>
      </c>
      <c r="AB1501" s="9">
        <v>267</v>
      </c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</row>
    <row r="1502" spans="1:47" ht="14.4">
      <c r="A1502" s="3">
        <f>LOOKUP(D1502,'AMFI DATA_2023H2'!F:L,'AMFI DATA_2023H2'!L:L)</f>
        <v>1827</v>
      </c>
      <c r="B1502" s="4" t="s">
        <v>4505</v>
      </c>
      <c r="C1502" s="4" t="s">
        <v>4506</v>
      </c>
      <c r="D1502" s="5" t="s">
        <v>4507</v>
      </c>
      <c r="E1502" s="5">
        <v>240.05</v>
      </c>
      <c r="F1502" s="6">
        <f>LOOKUP(D1502,'AMFI DATA_2023H2'!F:J,'AMFI DATA_2023H2'!J:J)</f>
        <v>258.87074999999999</v>
      </c>
      <c r="G1502" s="7">
        <f t="shared" si="5"/>
        <v>-1</v>
      </c>
      <c r="H1502" s="9"/>
      <c r="I1502" s="9">
        <v>363</v>
      </c>
      <c r="J1502" s="9">
        <v>362</v>
      </c>
      <c r="K1502" s="9">
        <v>376</v>
      </c>
      <c r="L1502" s="9">
        <v>347</v>
      </c>
      <c r="M1502" s="9">
        <v>355</v>
      </c>
      <c r="N1502" s="9">
        <v>348</v>
      </c>
      <c r="O1502" s="9">
        <v>339</v>
      </c>
      <c r="P1502" s="9">
        <v>345</v>
      </c>
      <c r="Q1502" s="9">
        <v>339</v>
      </c>
      <c r="R1502" s="9">
        <v>349</v>
      </c>
      <c r="S1502" s="9">
        <v>321</v>
      </c>
      <c r="T1502" s="9">
        <v>314</v>
      </c>
      <c r="U1502" s="9">
        <v>316</v>
      </c>
      <c r="V1502" s="9">
        <v>318</v>
      </c>
      <c r="W1502" s="9">
        <v>306</v>
      </c>
      <c r="X1502" s="9">
        <v>282</v>
      </c>
      <c r="Y1502" s="9">
        <v>296</v>
      </c>
      <c r="Z1502" s="9">
        <v>281</v>
      </c>
      <c r="AA1502" s="9">
        <v>287</v>
      </c>
      <c r="AB1502" s="9">
        <v>284</v>
      </c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</row>
    <row r="1503" spans="1:47" ht="14.4">
      <c r="A1503" s="3">
        <f>LOOKUP(D1503,'AMFI DATA_2023H2'!F:L,'AMFI DATA_2023H2'!L:L)</f>
        <v>1829</v>
      </c>
      <c r="B1503" s="4" t="s">
        <v>4508</v>
      </c>
      <c r="C1503" s="4" t="s">
        <v>4509</v>
      </c>
      <c r="D1503" s="5" t="s">
        <v>4510</v>
      </c>
      <c r="E1503" s="5">
        <v>181.52</v>
      </c>
      <c r="F1503" s="6">
        <f>LOOKUP(D1503,'AMFI DATA_2023H2'!F:J,'AMFI DATA_2023H2'!J:J)</f>
        <v>258.05009999999999</v>
      </c>
      <c r="G1503" s="7">
        <f t="shared" si="5"/>
        <v>-1</v>
      </c>
      <c r="H1503" s="9"/>
      <c r="I1503" s="9">
        <v>278</v>
      </c>
      <c r="J1503" s="9">
        <v>278</v>
      </c>
      <c r="K1503" s="9">
        <v>272</v>
      </c>
      <c r="L1503" s="9">
        <v>273</v>
      </c>
      <c r="M1503" s="9">
        <v>285</v>
      </c>
      <c r="N1503" s="9">
        <v>281</v>
      </c>
      <c r="O1503" s="9">
        <v>286</v>
      </c>
      <c r="P1503" s="9">
        <v>292</v>
      </c>
      <c r="Q1503" s="9">
        <v>297</v>
      </c>
      <c r="R1503" s="9">
        <v>292</v>
      </c>
      <c r="S1503" s="9">
        <v>286</v>
      </c>
      <c r="T1503" s="9">
        <v>281</v>
      </c>
      <c r="U1503" s="9">
        <v>279</v>
      </c>
      <c r="V1503" s="9">
        <v>284</v>
      </c>
      <c r="W1503" s="9">
        <v>290</v>
      </c>
      <c r="X1503" s="9">
        <v>296</v>
      </c>
      <c r="Y1503" s="9">
        <v>297</v>
      </c>
      <c r="Z1503" s="9">
        <v>302</v>
      </c>
      <c r="AA1503" s="9">
        <v>302</v>
      </c>
      <c r="AB1503" s="9">
        <v>296</v>
      </c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</row>
    <row r="1504" spans="1:47" ht="14.4">
      <c r="A1504" s="3">
        <f>LOOKUP(D1504,'AMFI DATA_2023H2'!F:L,'AMFI DATA_2023H2'!L:L)</f>
        <v>1831</v>
      </c>
      <c r="B1504" s="4" t="s">
        <v>4511</v>
      </c>
      <c r="C1504" s="4" t="s">
        <v>4512</v>
      </c>
      <c r="D1504" s="5" t="s">
        <v>4513</v>
      </c>
      <c r="E1504" s="5">
        <v>209.29</v>
      </c>
      <c r="F1504" s="6">
        <f>LOOKUP(D1504,'AMFI DATA_2023H2'!F:J,'AMFI DATA_2023H2'!J:J)</f>
        <v>256.9984</v>
      </c>
      <c r="G1504" s="7">
        <f t="shared" si="5"/>
        <v>-1</v>
      </c>
      <c r="H1504" s="9"/>
      <c r="I1504" s="9">
        <v>381</v>
      </c>
      <c r="J1504" s="9">
        <v>372</v>
      </c>
      <c r="K1504" s="9">
        <v>377</v>
      </c>
      <c r="L1504" s="9">
        <v>370</v>
      </c>
      <c r="M1504" s="9">
        <v>383</v>
      </c>
      <c r="N1504" s="9">
        <v>383</v>
      </c>
      <c r="O1504" s="9">
        <v>381</v>
      </c>
      <c r="P1504" s="9">
        <v>388</v>
      </c>
      <c r="Q1504" s="9">
        <v>382</v>
      </c>
      <c r="R1504" s="9">
        <v>386</v>
      </c>
      <c r="S1504" s="9">
        <v>392</v>
      </c>
      <c r="T1504" s="9">
        <v>396</v>
      </c>
      <c r="U1504" s="9">
        <v>381</v>
      </c>
      <c r="V1504" s="9">
        <v>354</v>
      </c>
      <c r="W1504" s="9">
        <v>336</v>
      </c>
      <c r="X1504" s="9">
        <v>328</v>
      </c>
      <c r="Y1504" s="9">
        <v>339</v>
      </c>
      <c r="Z1504" s="9">
        <v>330</v>
      </c>
      <c r="AA1504" s="9">
        <v>324</v>
      </c>
      <c r="AB1504" s="9">
        <v>326</v>
      </c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</row>
    <row r="1505" spans="1:47" ht="14.4">
      <c r="A1505" s="3">
        <f>LOOKUP(D1505,'AMFI DATA_2023H2'!F:L,'AMFI DATA_2023H2'!L:L)</f>
        <v>1833</v>
      </c>
      <c r="B1505" s="4" t="s">
        <v>4514</v>
      </c>
      <c r="C1505" s="4" t="s">
        <v>4515</v>
      </c>
      <c r="D1505" s="5" t="s">
        <v>4516</v>
      </c>
      <c r="E1505" s="5">
        <v>129.91999999999999</v>
      </c>
      <c r="F1505" s="6">
        <f>LOOKUP(D1505,'AMFI DATA_2023H2'!F:J,'AMFI DATA_2023H2'!J:J)</f>
        <v>256.43290000000002</v>
      </c>
      <c r="G1505" s="7">
        <f t="shared" si="5"/>
        <v>-1</v>
      </c>
      <c r="H1505" s="9"/>
      <c r="I1505" s="9">
        <v>462</v>
      </c>
      <c r="J1505" s="9">
        <v>453</v>
      </c>
      <c r="K1505" s="9">
        <v>462</v>
      </c>
      <c r="L1505" s="9">
        <v>471</v>
      </c>
      <c r="M1505" s="9">
        <v>474</v>
      </c>
      <c r="N1505" s="9">
        <v>475</v>
      </c>
      <c r="O1505" s="9">
        <v>484</v>
      </c>
      <c r="P1505" s="9">
        <v>475</v>
      </c>
      <c r="Q1505" s="9">
        <v>475</v>
      </c>
      <c r="R1505" s="9">
        <v>480</v>
      </c>
      <c r="S1505" s="9">
        <v>473</v>
      </c>
      <c r="T1505" s="9">
        <v>447</v>
      </c>
      <c r="U1505" s="9">
        <v>429</v>
      </c>
      <c r="V1505" s="9">
        <v>408</v>
      </c>
      <c r="W1505" s="9">
        <v>404</v>
      </c>
      <c r="X1505" s="9">
        <v>385</v>
      </c>
      <c r="Y1505" s="9">
        <v>378</v>
      </c>
      <c r="Z1505" s="9">
        <v>370</v>
      </c>
      <c r="AA1505" s="9">
        <v>370</v>
      </c>
      <c r="AB1505" s="9">
        <v>368</v>
      </c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</row>
    <row r="1506" spans="1:47" ht="14.4">
      <c r="A1506" s="3">
        <f>LOOKUP(D1506,'AMFI DATA_2023H2'!F:L,'AMFI DATA_2023H2'!L:L)</f>
        <v>1836</v>
      </c>
      <c r="B1506" s="4" t="s">
        <v>4517</v>
      </c>
      <c r="C1506" s="4" t="s">
        <v>4518</v>
      </c>
      <c r="D1506" s="5" t="s">
        <v>4519</v>
      </c>
      <c r="E1506" s="5">
        <v>196.25</v>
      </c>
      <c r="F1506" s="6">
        <f>LOOKUP(D1506,'AMFI DATA_2023H2'!F:J,'AMFI DATA_2023H2'!J:J)</f>
        <v>255.52179999999998</v>
      </c>
      <c r="G1506" s="7">
        <f t="shared" si="5"/>
        <v>-1</v>
      </c>
      <c r="H1506" s="9"/>
      <c r="I1506" s="9">
        <v>261</v>
      </c>
      <c r="J1506" s="9">
        <v>259</v>
      </c>
      <c r="K1506" s="9">
        <v>263</v>
      </c>
      <c r="L1506" s="9">
        <v>260</v>
      </c>
      <c r="M1506" s="9">
        <v>261</v>
      </c>
      <c r="N1506" s="9">
        <v>259</v>
      </c>
      <c r="O1506" s="9">
        <v>265</v>
      </c>
      <c r="P1506" s="9">
        <v>259</v>
      </c>
      <c r="Q1506" s="9">
        <v>262</v>
      </c>
      <c r="R1506" s="9">
        <v>258</v>
      </c>
      <c r="S1506" s="9">
        <v>259</v>
      </c>
      <c r="T1506" s="9">
        <v>261</v>
      </c>
      <c r="U1506" s="9">
        <v>264</v>
      </c>
      <c r="V1506" s="9">
        <v>254</v>
      </c>
      <c r="W1506" s="9">
        <v>252</v>
      </c>
      <c r="X1506" s="9">
        <v>251</v>
      </c>
      <c r="Y1506" s="9">
        <v>253</v>
      </c>
      <c r="Z1506" s="9">
        <v>253</v>
      </c>
      <c r="AA1506" s="9">
        <v>254</v>
      </c>
      <c r="AB1506" s="9">
        <v>255</v>
      </c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</row>
    <row r="1507" spans="1:47" ht="14.4">
      <c r="A1507" s="3">
        <f>LOOKUP(D1507,'AMFI DATA_2023H2'!F:L,'AMFI DATA_2023H2'!L:L)</f>
        <v>1839</v>
      </c>
      <c r="B1507" s="4" t="s">
        <v>4520</v>
      </c>
      <c r="C1507" s="4" t="s">
        <v>4521</v>
      </c>
      <c r="D1507" s="5" t="s">
        <v>4522</v>
      </c>
      <c r="E1507" s="5">
        <v>184.97</v>
      </c>
      <c r="F1507" s="6">
        <f>LOOKUP(D1507,'AMFI DATA_2023H2'!F:J,'AMFI DATA_2023H2'!J:J)</f>
        <v>254.24160000000001</v>
      </c>
      <c r="G1507" s="7">
        <f t="shared" si="5"/>
        <v>-1</v>
      </c>
      <c r="H1507" s="9"/>
      <c r="I1507" s="9">
        <v>274</v>
      </c>
      <c r="J1507" s="9">
        <v>278</v>
      </c>
      <c r="K1507" s="9">
        <v>282</v>
      </c>
      <c r="L1507" s="9">
        <v>285</v>
      </c>
      <c r="M1507" s="9">
        <v>288</v>
      </c>
      <c r="N1507" s="9">
        <v>296</v>
      </c>
      <c r="O1507" s="9">
        <v>304</v>
      </c>
      <c r="P1507" s="9">
        <v>307</v>
      </c>
      <c r="Q1507" s="9">
        <v>308</v>
      </c>
      <c r="R1507" s="9">
        <v>308</v>
      </c>
      <c r="S1507" s="9">
        <v>303</v>
      </c>
      <c r="T1507" s="9">
        <v>277</v>
      </c>
      <c r="U1507" s="9">
        <v>276</v>
      </c>
      <c r="V1507" s="9">
        <v>278</v>
      </c>
      <c r="W1507" s="9">
        <v>278</v>
      </c>
      <c r="X1507" s="9">
        <v>281</v>
      </c>
      <c r="Y1507" s="9">
        <v>276</v>
      </c>
      <c r="Z1507" s="9">
        <v>277</v>
      </c>
      <c r="AA1507" s="9">
        <v>280</v>
      </c>
      <c r="AB1507" s="9">
        <v>274</v>
      </c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</row>
    <row r="1508" spans="1:47" ht="14.4">
      <c r="A1508" s="3">
        <f>LOOKUP(D1508,'AMFI DATA_2023H2'!F:L,'AMFI DATA_2023H2'!L:L)</f>
        <v>1841</v>
      </c>
      <c r="B1508" s="4" t="s">
        <v>4523</v>
      </c>
      <c r="C1508" s="4" t="s">
        <v>4524</v>
      </c>
      <c r="D1508" s="5" t="s">
        <v>4525</v>
      </c>
      <c r="E1508" s="5">
        <v>220.4</v>
      </c>
      <c r="F1508" s="6">
        <f>LOOKUP(D1508,'AMFI DATA_2023H2'!F:J,'AMFI DATA_2023H2'!J:J)</f>
        <v>253.69515000000001</v>
      </c>
      <c r="G1508" s="7">
        <f t="shared" si="5"/>
        <v>-1</v>
      </c>
      <c r="H1508" s="9"/>
      <c r="I1508" s="9">
        <v>404</v>
      </c>
      <c r="J1508" s="9">
        <v>388</v>
      </c>
      <c r="K1508" s="9">
        <v>388</v>
      </c>
      <c r="L1508" s="9">
        <v>408</v>
      </c>
      <c r="M1508" s="9">
        <v>388</v>
      </c>
      <c r="N1508" s="9">
        <v>370</v>
      </c>
      <c r="O1508" s="9">
        <v>376</v>
      </c>
      <c r="P1508" s="9">
        <v>365</v>
      </c>
      <c r="Q1508" s="9">
        <v>366</v>
      </c>
      <c r="R1508" s="9">
        <v>372</v>
      </c>
      <c r="S1508" s="9">
        <v>361</v>
      </c>
      <c r="T1508" s="9">
        <v>356</v>
      </c>
      <c r="U1508" s="9">
        <v>358</v>
      </c>
      <c r="V1508" s="9">
        <v>358</v>
      </c>
      <c r="W1508" s="9">
        <v>351</v>
      </c>
      <c r="X1508" s="9">
        <v>357</v>
      </c>
      <c r="Y1508" s="9">
        <v>375</v>
      </c>
      <c r="Z1508" s="9">
        <v>354</v>
      </c>
      <c r="AA1508" s="9">
        <v>323</v>
      </c>
      <c r="AB1508" s="9">
        <v>309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</row>
    <row r="1509" spans="1:47" ht="14.4">
      <c r="A1509" s="3">
        <f>LOOKUP(D1509,'AMFI DATA_2023H2'!F:L,'AMFI DATA_2023H2'!L:L)</f>
        <v>1843</v>
      </c>
      <c r="B1509" s="4" t="s">
        <v>4526</v>
      </c>
      <c r="C1509" s="4" t="s">
        <v>4527</v>
      </c>
      <c r="D1509" s="5" t="s">
        <v>4528</v>
      </c>
      <c r="E1509" s="5">
        <v>145.24</v>
      </c>
      <c r="F1509" s="6">
        <f>LOOKUP(D1509,'AMFI DATA_2023H2'!F:J,'AMFI DATA_2023H2'!J:J)</f>
        <v>253.16185000000002</v>
      </c>
      <c r="G1509" s="7">
        <f t="shared" si="5"/>
        <v>-1</v>
      </c>
      <c r="H1509" s="9"/>
      <c r="I1509" s="9">
        <v>485</v>
      </c>
      <c r="J1509" s="9">
        <v>476</v>
      </c>
      <c r="K1509" s="9">
        <v>467</v>
      </c>
      <c r="L1509" s="9">
        <v>458</v>
      </c>
      <c r="M1509" s="9">
        <v>449</v>
      </c>
      <c r="N1509" s="9">
        <v>441</v>
      </c>
      <c r="O1509" s="9">
        <v>432</v>
      </c>
      <c r="P1509" s="9">
        <v>427</v>
      </c>
      <c r="Q1509" s="9">
        <v>436</v>
      </c>
      <c r="R1509" s="9">
        <v>432</v>
      </c>
      <c r="S1509" s="9">
        <v>423</v>
      </c>
      <c r="T1509" s="9">
        <v>415</v>
      </c>
      <c r="U1509" s="9">
        <v>407</v>
      </c>
      <c r="V1509" s="9">
        <v>415</v>
      </c>
      <c r="W1509" s="9">
        <v>424</v>
      </c>
      <c r="X1509" s="9">
        <v>432</v>
      </c>
      <c r="Y1509" s="9">
        <v>426</v>
      </c>
      <c r="Z1509" s="9">
        <v>435</v>
      </c>
      <c r="AA1509" s="9">
        <v>425</v>
      </c>
      <c r="AB1509" s="9">
        <v>429</v>
      </c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</row>
    <row r="1510" spans="1:47" ht="14.4">
      <c r="A1510" s="3">
        <f>LOOKUP(D1510,'AMFI DATA_2023H2'!F:L,'AMFI DATA_2023H2'!L:L)</f>
        <v>1844</v>
      </c>
      <c r="B1510" s="4" t="s">
        <v>4529</v>
      </c>
      <c r="C1510" s="4" t="s">
        <v>4530</v>
      </c>
      <c r="D1510" s="5" t="s">
        <v>4531</v>
      </c>
      <c r="E1510" s="5">
        <v>189.02</v>
      </c>
      <c r="F1510" s="6">
        <f>LOOKUP(D1510,'AMFI DATA_2023H2'!F:J,'AMFI DATA_2023H2'!J:J)</f>
        <v>252.51659999999998</v>
      </c>
      <c r="G1510" s="7">
        <f t="shared" si="5"/>
        <v>-1</v>
      </c>
      <c r="H1510" s="9"/>
      <c r="I1510" s="9">
        <v>345</v>
      </c>
      <c r="J1510" s="9">
        <v>327</v>
      </c>
      <c r="K1510" s="9">
        <v>313</v>
      </c>
      <c r="L1510" s="9">
        <v>329</v>
      </c>
      <c r="M1510" s="9">
        <v>347</v>
      </c>
      <c r="N1510" s="9">
        <v>363</v>
      </c>
      <c r="O1510" s="9">
        <v>385</v>
      </c>
      <c r="P1510" s="9">
        <v>376</v>
      </c>
      <c r="Q1510" s="9">
        <v>391</v>
      </c>
      <c r="R1510" s="9">
        <v>390</v>
      </c>
      <c r="S1510" s="9">
        <v>406</v>
      </c>
      <c r="T1510" s="9">
        <v>410</v>
      </c>
      <c r="U1510" s="9">
        <v>387</v>
      </c>
      <c r="V1510" s="9">
        <v>369</v>
      </c>
      <c r="W1510" s="9">
        <v>354</v>
      </c>
      <c r="X1510" s="9">
        <v>341</v>
      </c>
      <c r="Y1510" s="9">
        <v>338</v>
      </c>
      <c r="Z1510" s="9">
        <v>338</v>
      </c>
      <c r="AA1510" s="9">
        <v>339</v>
      </c>
      <c r="AB1510" s="9">
        <v>319</v>
      </c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</row>
    <row r="1511" spans="1:47" ht="14.4">
      <c r="A1511" s="3">
        <f>LOOKUP(D1511,'AMFI DATA_2023H2'!F:L,'AMFI DATA_2023H2'!L:L)</f>
        <v>1846</v>
      </c>
      <c r="B1511" s="4" t="s">
        <v>4532</v>
      </c>
      <c r="C1511" s="4" t="s">
        <v>4533</v>
      </c>
      <c r="D1511" s="5" t="s">
        <v>4534</v>
      </c>
      <c r="E1511" s="5">
        <v>207.68</v>
      </c>
      <c r="F1511" s="6">
        <f>LOOKUP(D1511,'AMFI DATA_2023H2'!F:J,'AMFI DATA_2023H2'!J:J)</f>
        <v>251.2542</v>
      </c>
      <c r="G1511" s="7">
        <f t="shared" si="5"/>
        <v>-1</v>
      </c>
      <c r="H1511" s="9"/>
      <c r="I1511" s="9">
        <v>257</v>
      </c>
      <c r="J1511" s="9">
        <v>254</v>
      </c>
      <c r="K1511" s="9">
        <v>251</v>
      </c>
      <c r="L1511" s="9">
        <v>256</v>
      </c>
      <c r="M1511" s="9">
        <v>260</v>
      </c>
      <c r="N1511" s="9">
        <v>263</v>
      </c>
      <c r="O1511" s="9">
        <v>260</v>
      </c>
      <c r="P1511" s="9">
        <v>260</v>
      </c>
      <c r="Q1511" s="9">
        <v>265</v>
      </c>
      <c r="R1511" s="9">
        <v>270</v>
      </c>
      <c r="S1511" s="9">
        <v>262</v>
      </c>
      <c r="T1511" s="9">
        <v>269</v>
      </c>
      <c r="U1511" s="9">
        <v>268</v>
      </c>
      <c r="V1511" s="9">
        <v>267</v>
      </c>
      <c r="W1511" s="9">
        <v>267</v>
      </c>
      <c r="X1511" s="9">
        <v>265</v>
      </c>
      <c r="Y1511" s="9">
        <v>262</v>
      </c>
      <c r="Z1511" s="9">
        <v>264</v>
      </c>
      <c r="AA1511" s="9">
        <v>263</v>
      </c>
      <c r="AB1511" s="9">
        <v>269</v>
      </c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</row>
    <row r="1512" spans="1:47" ht="14.4">
      <c r="A1512" s="3">
        <f>LOOKUP(D1512,'AMFI DATA_2023H2'!F:L,'AMFI DATA_2023H2'!L:L)</f>
        <v>1851</v>
      </c>
      <c r="B1512" s="4" t="s">
        <v>4535</v>
      </c>
      <c r="C1512" s="4" t="s">
        <v>4536</v>
      </c>
      <c r="D1512" s="5" t="s">
        <v>4537</v>
      </c>
      <c r="E1512" s="5">
        <v>190.11</v>
      </c>
      <c r="F1512" s="6">
        <f>LOOKUP(D1512,'AMFI DATA_2023H2'!F:J,'AMFI DATA_2023H2'!J:J)</f>
        <v>249.22390000000001</v>
      </c>
      <c r="G1512" s="7">
        <f t="shared" si="5"/>
        <v>-1</v>
      </c>
      <c r="H1512" s="9"/>
      <c r="I1512" s="9">
        <v>298</v>
      </c>
      <c r="J1512" s="9">
        <v>286</v>
      </c>
      <c r="K1512" s="9">
        <v>286</v>
      </c>
      <c r="L1512" s="9">
        <v>289</v>
      </c>
      <c r="M1512" s="9">
        <v>292</v>
      </c>
      <c r="N1512" s="9">
        <v>294</v>
      </c>
      <c r="O1512" s="9">
        <v>310</v>
      </c>
      <c r="P1512" s="9">
        <v>295</v>
      </c>
      <c r="Q1512" s="9">
        <v>283</v>
      </c>
      <c r="R1512" s="9">
        <v>280</v>
      </c>
      <c r="S1512" s="9">
        <v>281</v>
      </c>
      <c r="T1512" s="9">
        <v>279</v>
      </c>
      <c r="U1512" s="9">
        <v>280</v>
      </c>
      <c r="V1512" s="9">
        <v>283</v>
      </c>
      <c r="W1512" s="9">
        <v>281</v>
      </c>
      <c r="X1512" s="9">
        <v>280</v>
      </c>
      <c r="Y1512" s="9">
        <v>279</v>
      </c>
      <c r="Z1512" s="9">
        <v>278</v>
      </c>
      <c r="AA1512" s="9">
        <v>268</v>
      </c>
      <c r="AB1512" s="9">
        <v>257</v>
      </c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</row>
    <row r="1513" spans="1:47" ht="14.4">
      <c r="A1513" s="3">
        <f>LOOKUP(D1513,'AMFI DATA_2023H2'!F:L,'AMFI DATA_2023H2'!L:L)</f>
        <v>1853</v>
      </c>
      <c r="B1513" s="4" t="s">
        <v>4538</v>
      </c>
      <c r="C1513" s="4" t="s">
        <v>4539</v>
      </c>
      <c r="D1513" s="5" t="s">
        <v>4540</v>
      </c>
      <c r="E1513" s="5">
        <v>190.93</v>
      </c>
      <c r="F1513" s="6">
        <f>LOOKUP(D1513,'AMFI DATA_2023H2'!F:J,'AMFI DATA_2023H2'!J:J)</f>
        <v>246.99414999999999</v>
      </c>
      <c r="G1513" s="7">
        <f t="shared" si="5"/>
        <v>-1</v>
      </c>
      <c r="H1513" s="9"/>
      <c r="I1513" s="9">
        <v>264</v>
      </c>
      <c r="J1513" s="9">
        <v>261</v>
      </c>
      <c r="K1513" s="9">
        <v>266</v>
      </c>
      <c r="L1513" s="9">
        <v>271</v>
      </c>
      <c r="M1513" s="9">
        <v>277</v>
      </c>
      <c r="N1513" s="9">
        <v>282</v>
      </c>
      <c r="O1513" s="9">
        <v>281</v>
      </c>
      <c r="P1513" s="9">
        <v>275</v>
      </c>
      <c r="Q1513" s="9">
        <v>270</v>
      </c>
      <c r="R1513" s="9">
        <v>265</v>
      </c>
      <c r="S1513" s="9">
        <v>259</v>
      </c>
      <c r="T1513" s="9">
        <v>255</v>
      </c>
      <c r="U1513" s="9">
        <v>254</v>
      </c>
      <c r="V1513" s="9">
        <v>254</v>
      </c>
      <c r="W1513" s="9">
        <v>254</v>
      </c>
      <c r="X1513" s="9">
        <v>251</v>
      </c>
      <c r="Y1513" s="9">
        <v>256</v>
      </c>
      <c r="Z1513" s="9">
        <v>261</v>
      </c>
      <c r="AA1513" s="9">
        <v>256</v>
      </c>
      <c r="AB1513" s="9">
        <v>259</v>
      </c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</row>
    <row r="1514" spans="1:47" ht="14.4">
      <c r="A1514" s="3">
        <f>LOOKUP(D1514,'AMFI DATA_2023H2'!F:L,'AMFI DATA_2023H2'!L:L)</f>
        <v>1854</v>
      </c>
      <c r="B1514" s="4" t="s">
        <v>4541</v>
      </c>
      <c r="C1514" s="4" t="s">
        <v>4542</v>
      </c>
      <c r="D1514" s="5" t="s">
        <v>4543</v>
      </c>
      <c r="E1514" s="5">
        <v>251.11</v>
      </c>
      <c r="F1514" s="6">
        <f>LOOKUP(D1514,'AMFI DATA_2023H2'!F:J,'AMFI DATA_2023H2'!J:J)</f>
        <v>246.45505</v>
      </c>
      <c r="G1514" s="7">
        <f t="shared" si="5"/>
        <v>-1</v>
      </c>
      <c r="H1514" s="9"/>
      <c r="I1514" s="9">
        <v>290</v>
      </c>
      <c r="J1514" s="9">
        <v>272</v>
      </c>
      <c r="K1514" s="9">
        <v>276</v>
      </c>
      <c r="L1514" s="9">
        <v>279</v>
      </c>
      <c r="M1514" s="9">
        <v>285</v>
      </c>
      <c r="N1514" s="9">
        <v>276</v>
      </c>
      <c r="O1514" s="9">
        <v>277</v>
      </c>
      <c r="P1514" s="9">
        <v>278</v>
      </c>
      <c r="Q1514" s="9">
        <v>276</v>
      </c>
      <c r="R1514" s="9">
        <v>285</v>
      </c>
      <c r="S1514" s="9">
        <v>283</v>
      </c>
      <c r="T1514" s="9">
        <v>286</v>
      </c>
      <c r="U1514" s="9">
        <v>277</v>
      </c>
      <c r="V1514" s="9">
        <v>278</v>
      </c>
      <c r="W1514" s="9">
        <v>281</v>
      </c>
      <c r="X1514" s="9">
        <v>275</v>
      </c>
      <c r="Y1514" s="9">
        <v>280</v>
      </c>
      <c r="Z1514" s="9">
        <v>283</v>
      </c>
      <c r="AA1514" s="9">
        <v>272</v>
      </c>
      <c r="AB1514" s="9">
        <v>270</v>
      </c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</row>
    <row r="1515" spans="1:47" ht="14.4">
      <c r="A1515" s="3">
        <f>LOOKUP(D1515,'AMFI DATA_2023H2'!F:L,'AMFI DATA_2023H2'!L:L)</f>
        <v>1855</v>
      </c>
      <c r="B1515" s="4" t="s">
        <v>4544</v>
      </c>
      <c r="C1515" s="4" t="s">
        <v>4545</v>
      </c>
      <c r="D1515" s="5" t="s">
        <v>4546</v>
      </c>
      <c r="E1515" s="5">
        <v>253.65</v>
      </c>
      <c r="F1515" s="6">
        <f>LOOKUP(D1515,'AMFI DATA_2023H2'!F:J,'AMFI DATA_2023H2'!J:J)</f>
        <v>246.41159999999999</v>
      </c>
      <c r="G1515" s="7">
        <f t="shared" si="5"/>
        <v>-1</v>
      </c>
      <c r="H1515" s="9"/>
      <c r="I1515" s="9">
        <v>307</v>
      </c>
      <c r="J1515" s="9">
        <v>307</v>
      </c>
      <c r="K1515" s="9">
        <v>307</v>
      </c>
      <c r="L1515" s="9">
        <v>307</v>
      </c>
      <c r="M1515" s="9">
        <v>310</v>
      </c>
      <c r="N1515" s="9">
        <v>323</v>
      </c>
      <c r="O1515" s="9">
        <v>323</v>
      </c>
      <c r="P1515" s="9">
        <v>323</v>
      </c>
      <c r="Q1515" s="9">
        <v>322</v>
      </c>
      <c r="R1515" s="9">
        <v>296</v>
      </c>
      <c r="S1515" s="9">
        <v>282</v>
      </c>
      <c r="T1515" s="9">
        <v>278</v>
      </c>
      <c r="U1515" s="9">
        <v>260</v>
      </c>
      <c r="V1515" s="9">
        <v>249</v>
      </c>
      <c r="W1515" s="9">
        <v>252</v>
      </c>
      <c r="X1515" s="9">
        <v>250</v>
      </c>
      <c r="Y1515" s="9">
        <v>245</v>
      </c>
      <c r="Z1515" s="9">
        <v>248</v>
      </c>
      <c r="AA1515" s="9">
        <v>252</v>
      </c>
      <c r="AB1515" s="9">
        <v>253</v>
      </c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</row>
    <row r="1516" spans="1:47" ht="14.4">
      <c r="A1516" s="3">
        <f>LOOKUP(D1516,'AMFI DATA_2023H2'!F:L,'AMFI DATA_2023H2'!L:L)</f>
        <v>1856</v>
      </c>
      <c r="B1516" s="4" t="s">
        <v>4547</v>
      </c>
      <c r="C1516" s="4" t="s">
        <v>4548</v>
      </c>
      <c r="D1516" s="5" t="s">
        <v>4549</v>
      </c>
      <c r="E1516" s="5">
        <v>315.99</v>
      </c>
      <c r="F1516" s="6">
        <f>LOOKUP(D1516,'AMFI DATA_2023H2'!F:J,'AMFI DATA_2023H2'!J:J)</f>
        <v>245.7756</v>
      </c>
      <c r="G1516" s="7">
        <f t="shared" si="5"/>
        <v>-1</v>
      </c>
      <c r="H1516" s="9"/>
      <c r="I1516" s="9">
        <v>293</v>
      </c>
      <c r="J1516" s="9">
        <v>292</v>
      </c>
      <c r="K1516" s="9">
        <v>299</v>
      </c>
      <c r="L1516" s="9">
        <v>295</v>
      </c>
      <c r="M1516" s="9">
        <v>296</v>
      </c>
      <c r="N1516" s="9">
        <v>306</v>
      </c>
      <c r="O1516" s="9">
        <v>322</v>
      </c>
      <c r="P1516" s="9">
        <v>294</v>
      </c>
      <c r="Q1516" s="9">
        <v>267</v>
      </c>
      <c r="R1516" s="9">
        <v>244</v>
      </c>
      <c r="S1516" s="9">
        <v>239</v>
      </c>
      <c r="T1516" s="9">
        <v>239</v>
      </c>
      <c r="U1516" s="9">
        <v>236</v>
      </c>
      <c r="V1516" s="9">
        <v>238</v>
      </c>
      <c r="W1516" s="9">
        <v>240</v>
      </c>
      <c r="X1516" s="9">
        <v>239</v>
      </c>
      <c r="Y1516" s="9">
        <v>242</v>
      </c>
      <c r="Z1516" s="9">
        <v>247</v>
      </c>
      <c r="AA1516" s="9">
        <v>244</v>
      </c>
      <c r="AB1516" s="9">
        <v>243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</row>
    <row r="1517" spans="1:47" ht="14.4">
      <c r="A1517" s="3">
        <f>LOOKUP(D1517,'AMFI DATA_2023H2'!F:L,'AMFI DATA_2023H2'!L:L)</f>
        <v>1862</v>
      </c>
      <c r="B1517" s="4" t="s">
        <v>4550</v>
      </c>
      <c r="C1517" s="4" t="s">
        <v>4551</v>
      </c>
      <c r="D1517" s="5" t="s">
        <v>4552</v>
      </c>
      <c r="E1517" s="5">
        <v>206.8</v>
      </c>
      <c r="F1517" s="6">
        <f>LOOKUP(D1517,'AMFI DATA_2023H2'!F:J,'AMFI DATA_2023H2'!J:J)</f>
        <v>241.46084999999999</v>
      </c>
      <c r="G1517" s="7">
        <f t="shared" si="5"/>
        <v>-1</v>
      </c>
      <c r="H1517" s="9"/>
      <c r="I1517" s="9">
        <v>361</v>
      </c>
      <c r="J1517" s="9">
        <v>366</v>
      </c>
      <c r="K1517" s="9">
        <v>361</v>
      </c>
      <c r="L1517" s="9">
        <v>358</v>
      </c>
      <c r="M1517" s="9">
        <v>372</v>
      </c>
      <c r="N1517" s="9">
        <v>349</v>
      </c>
      <c r="O1517" s="9">
        <v>294</v>
      </c>
      <c r="P1517" s="9">
        <v>288</v>
      </c>
      <c r="Q1517" s="9">
        <v>296</v>
      </c>
      <c r="R1517" s="9">
        <v>279</v>
      </c>
      <c r="S1517" s="9">
        <v>286</v>
      </c>
      <c r="T1517" s="9">
        <v>291</v>
      </c>
      <c r="U1517" s="9">
        <v>289</v>
      </c>
      <c r="V1517" s="9">
        <v>295</v>
      </c>
      <c r="W1517" s="9">
        <v>290</v>
      </c>
      <c r="X1517" s="9">
        <v>274</v>
      </c>
      <c r="Y1517" s="9">
        <v>280</v>
      </c>
      <c r="Z1517" s="9">
        <v>290</v>
      </c>
      <c r="AA1517" s="9">
        <v>295</v>
      </c>
      <c r="AB1517" s="9">
        <v>314</v>
      </c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</row>
    <row r="1518" spans="1:47" ht="14.4">
      <c r="A1518" s="3">
        <f>LOOKUP(D1518,'AMFI DATA_2023H2'!F:L,'AMFI DATA_2023H2'!L:L)</f>
        <v>1866</v>
      </c>
      <c r="B1518" s="4" t="s">
        <v>4553</v>
      </c>
      <c r="C1518" s="4" t="s">
        <v>4554</v>
      </c>
      <c r="D1518" s="5" t="s">
        <v>4555</v>
      </c>
      <c r="E1518" s="5">
        <v>225.65</v>
      </c>
      <c r="F1518" s="6">
        <f>LOOKUP(D1518,'AMFI DATA_2023H2'!F:J,'AMFI DATA_2023H2'!J:J)</f>
        <v>239.42310000000001</v>
      </c>
      <c r="G1518" s="7">
        <f t="shared" si="5"/>
        <v>-1</v>
      </c>
      <c r="H1518" s="9"/>
      <c r="I1518" s="9">
        <v>290</v>
      </c>
      <c r="J1518" s="9">
        <v>288</v>
      </c>
      <c r="K1518" s="9">
        <v>295</v>
      </c>
      <c r="L1518" s="9">
        <v>293</v>
      </c>
      <c r="M1518" s="9">
        <v>307</v>
      </c>
      <c r="N1518" s="9">
        <v>310</v>
      </c>
      <c r="O1518" s="9">
        <v>311</v>
      </c>
      <c r="P1518" s="9">
        <v>311</v>
      </c>
      <c r="Q1518" s="9">
        <v>303</v>
      </c>
      <c r="R1518" s="9">
        <v>306</v>
      </c>
      <c r="S1518" s="9">
        <v>312</v>
      </c>
      <c r="T1518" s="9">
        <v>317</v>
      </c>
      <c r="U1518" s="9">
        <v>319</v>
      </c>
      <c r="V1518" s="9">
        <v>320</v>
      </c>
      <c r="W1518" s="9">
        <v>306</v>
      </c>
      <c r="X1518" s="9">
        <v>311</v>
      </c>
      <c r="Y1518" s="9">
        <v>310</v>
      </c>
      <c r="Z1518" s="9">
        <v>295</v>
      </c>
      <c r="AA1518" s="9">
        <v>298</v>
      </c>
      <c r="AB1518" s="9">
        <v>303</v>
      </c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</row>
    <row r="1519" spans="1:47" ht="14.4">
      <c r="A1519" s="3">
        <f>LOOKUP(D1519,'AMFI DATA_2023H2'!F:L,'AMFI DATA_2023H2'!L:L)</f>
        <v>1872</v>
      </c>
      <c r="B1519" s="4" t="s">
        <v>4556</v>
      </c>
      <c r="C1519" s="4" t="s">
        <v>4557</v>
      </c>
      <c r="D1519" s="5" t="s">
        <v>4558</v>
      </c>
      <c r="E1519" s="5">
        <v>225.12</v>
      </c>
      <c r="F1519" s="6">
        <f>LOOKUP(D1519,'AMFI DATA_2023H2'!F:J,'AMFI DATA_2023H2'!J:J)</f>
        <v>236.51265000000001</v>
      </c>
      <c r="G1519" s="7">
        <f t="shared" si="5"/>
        <v>-1</v>
      </c>
      <c r="H1519" s="9"/>
      <c r="I1519" s="9">
        <v>293</v>
      </c>
      <c r="J1519" s="9">
        <v>271</v>
      </c>
      <c r="K1519" s="9">
        <v>268</v>
      </c>
      <c r="L1519" s="9">
        <v>274</v>
      </c>
      <c r="M1519" s="9">
        <v>282</v>
      </c>
      <c r="N1519" s="9">
        <v>282</v>
      </c>
      <c r="O1519" s="9">
        <v>274</v>
      </c>
      <c r="P1519" s="9">
        <v>271</v>
      </c>
      <c r="Q1519" s="9">
        <v>266</v>
      </c>
      <c r="R1519" s="9">
        <v>263</v>
      </c>
      <c r="S1519" s="9">
        <v>270</v>
      </c>
      <c r="T1519" s="9">
        <v>274</v>
      </c>
      <c r="U1519" s="9">
        <v>274</v>
      </c>
      <c r="V1519" s="9">
        <v>279</v>
      </c>
      <c r="W1519" s="9">
        <v>276</v>
      </c>
      <c r="X1519" s="9">
        <v>266</v>
      </c>
      <c r="Y1519" s="9">
        <v>271</v>
      </c>
      <c r="Z1519" s="9">
        <v>274</v>
      </c>
      <c r="AA1519" s="9">
        <v>265</v>
      </c>
      <c r="AB1519" s="9">
        <v>264</v>
      </c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</row>
    <row r="1520" spans="1:47" ht="14.4">
      <c r="A1520" s="3">
        <f>LOOKUP(D1520,'AMFI DATA_2023H2'!F:L,'AMFI DATA_2023H2'!L:L)</f>
        <v>1873</v>
      </c>
      <c r="B1520" s="4" t="s">
        <v>4559</v>
      </c>
      <c r="C1520" s="4" t="s">
        <v>4560</v>
      </c>
      <c r="D1520" s="5" t="s">
        <v>4561</v>
      </c>
      <c r="E1520" s="5">
        <v>154.47</v>
      </c>
      <c r="F1520" s="6">
        <f>LOOKUP(D1520,'AMFI DATA_2023H2'!F:J,'AMFI DATA_2023H2'!J:J)</f>
        <v>236.2225</v>
      </c>
      <c r="G1520" s="7">
        <f t="shared" si="5"/>
        <v>-1</v>
      </c>
      <c r="H1520" s="9"/>
      <c r="I1520" s="9">
        <v>309</v>
      </c>
      <c r="J1520" s="9">
        <v>298</v>
      </c>
      <c r="K1520" s="9">
        <v>305</v>
      </c>
      <c r="L1520" s="9">
        <v>322</v>
      </c>
      <c r="M1520" s="9">
        <v>298</v>
      </c>
      <c r="N1520" s="9">
        <v>270</v>
      </c>
      <c r="O1520" s="9">
        <v>251</v>
      </c>
      <c r="P1520" s="9">
        <v>240</v>
      </c>
      <c r="Q1520" s="9">
        <v>243</v>
      </c>
      <c r="R1520" s="9">
        <v>236</v>
      </c>
      <c r="S1520" s="9">
        <v>241</v>
      </c>
      <c r="T1520" s="9">
        <v>241</v>
      </c>
      <c r="U1520" s="9">
        <v>247</v>
      </c>
      <c r="V1520" s="9">
        <v>244</v>
      </c>
      <c r="W1520" s="9">
        <v>253</v>
      </c>
      <c r="X1520" s="9">
        <v>243</v>
      </c>
      <c r="Y1520" s="9">
        <v>255</v>
      </c>
      <c r="Z1520" s="9">
        <v>250</v>
      </c>
      <c r="AA1520" s="9">
        <v>254</v>
      </c>
      <c r="AB1520" s="9">
        <v>247</v>
      </c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</row>
    <row r="1521" spans="1:47" ht="14.4">
      <c r="A1521" s="3">
        <f>LOOKUP(D1521,'AMFI DATA_2023H2'!F:L,'AMFI DATA_2023H2'!L:L)</f>
        <v>1875</v>
      </c>
      <c r="B1521" s="4" t="s">
        <v>4562</v>
      </c>
      <c r="C1521" s="4" t="s">
        <v>4563</v>
      </c>
      <c r="D1521" s="5" t="s">
        <v>4564</v>
      </c>
      <c r="E1521" s="5">
        <v>255.92</v>
      </c>
      <c r="F1521" s="6">
        <f>LOOKUP(D1521,'AMFI DATA_2023H2'!F:J,'AMFI DATA_2023H2'!J:J)</f>
        <v>235.87200000000001</v>
      </c>
      <c r="G1521" s="7">
        <f t="shared" si="5"/>
        <v>-1</v>
      </c>
      <c r="H1521" s="9"/>
      <c r="I1521" s="9">
        <v>248</v>
      </c>
      <c r="J1521" s="9">
        <v>234</v>
      </c>
      <c r="K1521" s="9">
        <v>225</v>
      </c>
      <c r="L1521" s="9">
        <v>225</v>
      </c>
      <c r="M1521" s="9">
        <v>226</v>
      </c>
      <c r="N1521" s="9">
        <v>220</v>
      </c>
      <c r="O1521" s="9">
        <v>217</v>
      </c>
      <c r="P1521" s="9">
        <v>217</v>
      </c>
      <c r="Q1521" s="9">
        <v>220</v>
      </c>
      <c r="R1521" s="9">
        <v>217</v>
      </c>
      <c r="S1521" s="9">
        <v>217</v>
      </c>
      <c r="T1521" s="9">
        <v>215</v>
      </c>
      <c r="U1521" s="9">
        <v>217</v>
      </c>
      <c r="V1521" s="9">
        <v>217</v>
      </c>
      <c r="W1521" s="9">
        <v>223</v>
      </c>
      <c r="X1521" s="9">
        <v>226</v>
      </c>
      <c r="Y1521" s="9">
        <v>224</v>
      </c>
      <c r="Z1521" s="9">
        <v>218</v>
      </c>
      <c r="AA1521" s="9">
        <v>216</v>
      </c>
      <c r="AB1521" s="9">
        <v>217</v>
      </c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</row>
    <row r="1522" spans="1:47" ht="14.4">
      <c r="A1522" s="3">
        <f>LOOKUP(D1522,'AMFI DATA_2023H2'!F:L,'AMFI DATA_2023H2'!L:L)</f>
        <v>1876</v>
      </c>
      <c r="B1522" s="4" t="s">
        <v>4565</v>
      </c>
      <c r="C1522" s="4" t="s">
        <v>4566</v>
      </c>
      <c r="D1522" s="5" t="s">
        <v>4567</v>
      </c>
      <c r="E1522" s="5">
        <v>184.77</v>
      </c>
      <c r="F1522" s="6">
        <f>LOOKUP(D1522,'AMFI DATA_2023H2'!F:J,'AMFI DATA_2023H2'!J:J)</f>
        <v>235.12110000000001</v>
      </c>
      <c r="G1522" s="7">
        <f t="shared" si="5"/>
        <v>-1</v>
      </c>
      <c r="H1522" s="9"/>
      <c r="I1522" s="9">
        <v>313</v>
      </c>
      <c r="J1522" s="9">
        <v>304</v>
      </c>
      <c r="K1522" s="9">
        <v>306</v>
      </c>
      <c r="L1522" s="9">
        <v>311</v>
      </c>
      <c r="M1522" s="9">
        <v>321</v>
      </c>
      <c r="N1522" s="9">
        <v>330</v>
      </c>
      <c r="O1522" s="9">
        <v>329</v>
      </c>
      <c r="P1522" s="9">
        <v>326</v>
      </c>
      <c r="Q1522" s="9">
        <v>306</v>
      </c>
      <c r="R1522" s="9">
        <v>312</v>
      </c>
      <c r="S1522" s="9">
        <v>314</v>
      </c>
      <c r="T1522" s="9">
        <v>308</v>
      </c>
      <c r="U1522" s="9">
        <v>307</v>
      </c>
      <c r="V1522" s="9">
        <v>315</v>
      </c>
      <c r="W1522" s="9">
        <v>320</v>
      </c>
      <c r="X1522" s="9">
        <v>307</v>
      </c>
      <c r="Y1522" s="9">
        <v>299</v>
      </c>
      <c r="Z1522" s="9">
        <v>289</v>
      </c>
      <c r="AA1522" s="9">
        <v>284</v>
      </c>
      <c r="AB1522" s="9">
        <v>278</v>
      </c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</row>
    <row r="1523" spans="1:47" ht="14.4">
      <c r="A1523" s="3">
        <f>LOOKUP(D1523,'AMFI DATA_2023H2'!F:L,'AMFI DATA_2023H2'!L:L)</f>
        <v>1878</v>
      </c>
      <c r="B1523" s="4" t="s">
        <v>4568</v>
      </c>
      <c r="C1523" s="4" t="s">
        <v>4569</v>
      </c>
      <c r="D1523" s="5" t="s">
        <v>4570</v>
      </c>
      <c r="E1523" s="5">
        <v>175.72</v>
      </c>
      <c r="F1523" s="6">
        <f>LOOKUP(D1523,'AMFI DATA_2023H2'!F:J,'AMFI DATA_2023H2'!J:J)</f>
        <v>233.93709999999999</v>
      </c>
      <c r="G1523" s="7">
        <f t="shared" si="5"/>
        <v>-1</v>
      </c>
      <c r="H1523" s="9"/>
      <c r="I1523" s="9">
        <v>347</v>
      </c>
      <c r="J1523" s="9">
        <v>346</v>
      </c>
      <c r="K1523" s="9">
        <v>343</v>
      </c>
      <c r="L1523" s="9">
        <v>355</v>
      </c>
      <c r="M1523" s="9">
        <v>346</v>
      </c>
      <c r="N1523" s="9">
        <v>357</v>
      </c>
      <c r="O1523" s="9">
        <v>365</v>
      </c>
      <c r="P1523" s="9">
        <v>359</v>
      </c>
      <c r="Q1523" s="9">
        <v>353</v>
      </c>
      <c r="R1523" s="9">
        <v>360</v>
      </c>
      <c r="S1523" s="9">
        <v>358</v>
      </c>
      <c r="T1523" s="9">
        <v>344</v>
      </c>
      <c r="U1523" s="9">
        <v>348</v>
      </c>
      <c r="V1523" s="9">
        <v>343</v>
      </c>
      <c r="W1523" s="9">
        <v>350</v>
      </c>
      <c r="X1523" s="9">
        <v>358</v>
      </c>
      <c r="Y1523" s="9">
        <v>350</v>
      </c>
      <c r="Z1523" s="9">
        <v>334</v>
      </c>
      <c r="AA1523" s="9">
        <v>352</v>
      </c>
      <c r="AB1523" s="9">
        <v>352</v>
      </c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</row>
    <row r="1524" spans="1:47" ht="14.4">
      <c r="A1524" s="3">
        <f>LOOKUP(D1524,'AMFI DATA_2023H2'!F:L,'AMFI DATA_2023H2'!L:L)</f>
        <v>1879</v>
      </c>
      <c r="B1524" s="4" t="s">
        <v>4571</v>
      </c>
      <c r="C1524" s="4" t="s">
        <v>4572</v>
      </c>
      <c r="D1524" s="5" t="s">
        <v>4573</v>
      </c>
      <c r="E1524" s="5">
        <v>205.52</v>
      </c>
      <c r="F1524" s="6">
        <f>LOOKUP(D1524,'AMFI DATA_2023H2'!F:J,'AMFI DATA_2023H2'!J:J)</f>
        <v>233.31950000000001</v>
      </c>
      <c r="G1524" s="7">
        <f t="shared" si="5"/>
        <v>-1</v>
      </c>
      <c r="H1524" s="9"/>
      <c r="I1524" s="9">
        <v>291</v>
      </c>
      <c r="J1524" s="9">
        <v>294</v>
      </c>
      <c r="K1524" s="9">
        <v>268</v>
      </c>
      <c r="L1524" s="9">
        <v>277</v>
      </c>
      <c r="M1524" s="9">
        <v>285</v>
      </c>
      <c r="N1524" s="9">
        <v>263</v>
      </c>
      <c r="O1524" s="9">
        <v>259</v>
      </c>
      <c r="P1524" s="9">
        <v>256</v>
      </c>
      <c r="Q1524" s="9">
        <v>261</v>
      </c>
      <c r="R1524" s="9">
        <v>258</v>
      </c>
      <c r="S1524" s="9">
        <v>255</v>
      </c>
      <c r="T1524" s="9">
        <v>255</v>
      </c>
      <c r="U1524" s="9">
        <v>256</v>
      </c>
      <c r="V1524" s="9">
        <v>258</v>
      </c>
      <c r="W1524" s="9">
        <v>257</v>
      </c>
      <c r="X1524" s="9">
        <v>246</v>
      </c>
      <c r="Y1524" s="9">
        <v>245</v>
      </c>
      <c r="Z1524" s="9">
        <v>246</v>
      </c>
      <c r="AA1524" s="9">
        <v>248</v>
      </c>
      <c r="AB1524" s="9">
        <v>247</v>
      </c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</row>
    <row r="1525" spans="1:47" ht="14.4">
      <c r="A1525" s="3">
        <f>LOOKUP(D1525,'AMFI DATA_2023H2'!F:L,'AMFI DATA_2023H2'!L:L)</f>
        <v>1881</v>
      </c>
      <c r="B1525" s="4" t="s">
        <v>4574</v>
      </c>
      <c r="C1525" s="4" t="s">
        <v>4575</v>
      </c>
      <c r="D1525" s="5" t="s">
        <v>4576</v>
      </c>
      <c r="E1525" s="5">
        <v>183.78</v>
      </c>
      <c r="F1525" s="6">
        <f>LOOKUP(D1525,'AMFI DATA_2023H2'!F:J,'AMFI DATA_2023H2'!J:J)</f>
        <v>231.38380000000001</v>
      </c>
      <c r="G1525" s="7">
        <f t="shared" si="5"/>
        <v>-1</v>
      </c>
      <c r="H1525" s="9"/>
      <c r="I1525" s="9">
        <v>270</v>
      </c>
      <c r="J1525" s="9">
        <v>271</v>
      </c>
      <c r="K1525" s="9">
        <v>271</v>
      </c>
      <c r="L1525" s="9">
        <v>274</v>
      </c>
      <c r="M1525" s="9">
        <v>278</v>
      </c>
      <c r="N1525" s="9">
        <v>280</v>
      </c>
      <c r="O1525" s="9">
        <v>282</v>
      </c>
      <c r="P1525" s="9">
        <v>282</v>
      </c>
      <c r="Q1525" s="9">
        <v>285</v>
      </c>
      <c r="R1525" s="9">
        <v>292</v>
      </c>
      <c r="S1525" s="9">
        <v>290</v>
      </c>
      <c r="T1525" s="9">
        <v>294</v>
      </c>
      <c r="U1525" s="9">
        <v>296</v>
      </c>
      <c r="V1525" s="9">
        <v>296</v>
      </c>
      <c r="W1525" s="9">
        <v>286</v>
      </c>
      <c r="X1525" s="9">
        <v>281</v>
      </c>
      <c r="Y1525" s="9">
        <v>281</v>
      </c>
      <c r="Z1525" s="9">
        <v>284</v>
      </c>
      <c r="AA1525" s="9">
        <v>292</v>
      </c>
      <c r="AB1525" s="9">
        <v>278</v>
      </c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</row>
    <row r="1526" spans="1:47" ht="14.4">
      <c r="A1526" s="3">
        <f>LOOKUP(D1526,'AMFI DATA_2023H2'!F:L,'AMFI DATA_2023H2'!L:L)</f>
        <v>1882</v>
      </c>
      <c r="B1526" s="4" t="s">
        <v>4577</v>
      </c>
      <c r="C1526" s="4" t="s">
        <v>4578</v>
      </c>
      <c r="D1526" s="5" t="s">
        <v>4579</v>
      </c>
      <c r="E1526" s="5">
        <v>175.68</v>
      </c>
      <c r="F1526" s="6">
        <f>LOOKUP(D1526,'AMFI DATA_2023H2'!F:J,'AMFI DATA_2023H2'!J:J)</f>
        <v>230.80714999999998</v>
      </c>
      <c r="G1526" s="7">
        <f t="shared" si="5"/>
        <v>-1</v>
      </c>
      <c r="H1526" s="9"/>
      <c r="I1526" s="9">
        <v>331</v>
      </c>
      <c r="J1526" s="9">
        <v>332</v>
      </c>
      <c r="K1526" s="9">
        <v>342</v>
      </c>
      <c r="L1526" s="9">
        <v>341</v>
      </c>
      <c r="M1526" s="9">
        <v>332</v>
      </c>
      <c r="N1526" s="9">
        <v>316</v>
      </c>
      <c r="O1526" s="9">
        <v>326</v>
      </c>
      <c r="P1526" s="9">
        <v>327</v>
      </c>
      <c r="Q1526" s="9">
        <v>361</v>
      </c>
      <c r="R1526" s="9">
        <v>386</v>
      </c>
      <c r="S1526" s="9">
        <v>368</v>
      </c>
      <c r="T1526" s="9">
        <v>310</v>
      </c>
      <c r="U1526" s="9">
        <v>258</v>
      </c>
      <c r="V1526" s="9">
        <v>234</v>
      </c>
      <c r="W1526" s="9">
        <v>239</v>
      </c>
      <c r="X1526" s="9">
        <v>239</v>
      </c>
      <c r="Y1526" s="9">
        <v>236</v>
      </c>
      <c r="Z1526" s="9">
        <v>242</v>
      </c>
      <c r="AA1526" s="9">
        <v>243</v>
      </c>
      <c r="AB1526" s="9">
        <v>242</v>
      </c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</row>
    <row r="1527" spans="1:47" ht="14.4">
      <c r="A1527" s="3">
        <f>LOOKUP(D1527,'AMFI DATA_2023H2'!F:L,'AMFI DATA_2023H2'!L:L)</f>
        <v>1883</v>
      </c>
      <c r="B1527" s="4" t="s">
        <v>4580</v>
      </c>
      <c r="C1527" s="4" t="s">
        <v>4581</v>
      </c>
      <c r="D1527" s="5" t="s">
        <v>4582</v>
      </c>
      <c r="E1527" s="5">
        <v>269.93</v>
      </c>
      <c r="F1527" s="6">
        <f>LOOKUP(D1527,'AMFI DATA_2023H2'!F:J,'AMFI DATA_2023H2'!J:J)</f>
        <v>230.55444999999997</v>
      </c>
      <c r="G1527" s="7">
        <f t="shared" si="5"/>
        <v>-1</v>
      </c>
      <c r="H1527" s="9"/>
      <c r="I1527" s="9">
        <v>283</v>
      </c>
      <c r="J1527" s="9">
        <v>278</v>
      </c>
      <c r="K1527" s="9">
        <v>281</v>
      </c>
      <c r="L1527" s="9">
        <v>292</v>
      </c>
      <c r="M1527" s="9">
        <v>301</v>
      </c>
      <c r="N1527" s="9">
        <v>308</v>
      </c>
      <c r="O1527" s="9">
        <v>294</v>
      </c>
      <c r="P1527" s="9">
        <v>283</v>
      </c>
      <c r="Q1527" s="9">
        <v>285</v>
      </c>
      <c r="R1527" s="9">
        <v>287</v>
      </c>
      <c r="S1527" s="9">
        <v>290</v>
      </c>
      <c r="T1527" s="9">
        <v>286</v>
      </c>
      <c r="U1527" s="9">
        <v>275</v>
      </c>
      <c r="V1527" s="9">
        <v>270</v>
      </c>
      <c r="W1527" s="9">
        <v>281</v>
      </c>
      <c r="X1527" s="9">
        <v>284</v>
      </c>
      <c r="Y1527" s="9">
        <v>289</v>
      </c>
      <c r="Z1527" s="9">
        <v>282</v>
      </c>
      <c r="AA1527" s="9">
        <v>295</v>
      </c>
      <c r="AB1527" s="9">
        <v>295</v>
      </c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</row>
    <row r="1528" spans="1:47" ht="14.4">
      <c r="A1528" s="3">
        <f>LOOKUP(D1528,'AMFI DATA_2023H2'!F:L,'AMFI DATA_2023H2'!L:L)</f>
        <v>1884</v>
      </c>
      <c r="B1528" s="4" t="s">
        <v>4583</v>
      </c>
      <c r="C1528" s="4" t="s">
        <v>4584</v>
      </c>
      <c r="D1528" s="5" t="s">
        <v>4585</v>
      </c>
      <c r="E1528" s="5">
        <v>184.83</v>
      </c>
      <c r="F1528" s="6">
        <f>LOOKUP(D1528,'AMFI DATA_2023H2'!F:J,'AMFI DATA_2023H2'!J:J)</f>
        <v>230.36110000000002</v>
      </c>
      <c r="G1528" s="7">
        <f t="shared" si="5"/>
        <v>-1</v>
      </c>
      <c r="H1528" s="9"/>
      <c r="I1528" s="9">
        <v>241</v>
      </c>
      <c r="J1528" s="9">
        <v>239</v>
      </c>
      <c r="K1528" s="9">
        <v>243</v>
      </c>
      <c r="L1528" s="9">
        <v>252</v>
      </c>
      <c r="M1528" s="9">
        <v>246</v>
      </c>
      <c r="N1528" s="9">
        <v>250</v>
      </c>
      <c r="O1528" s="9">
        <v>251</v>
      </c>
      <c r="P1528" s="9">
        <v>255</v>
      </c>
      <c r="Q1528" s="9">
        <v>252</v>
      </c>
      <c r="R1528" s="9">
        <v>252</v>
      </c>
      <c r="S1528" s="9">
        <v>240</v>
      </c>
      <c r="T1528" s="9">
        <v>231</v>
      </c>
      <c r="U1528" s="9">
        <v>229</v>
      </c>
      <c r="V1528" s="9">
        <v>222</v>
      </c>
      <c r="W1528" s="9">
        <v>221</v>
      </c>
      <c r="X1528" s="9">
        <v>220</v>
      </c>
      <c r="Y1528" s="9">
        <v>222</v>
      </c>
      <c r="Z1528" s="9">
        <v>223</v>
      </c>
      <c r="AA1528" s="9">
        <v>222</v>
      </c>
      <c r="AB1528" s="9">
        <v>223</v>
      </c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</row>
    <row r="1529" spans="1:47" ht="14.4">
      <c r="A1529" s="3">
        <f>LOOKUP(D1529,'AMFI DATA_2023H2'!F:L,'AMFI DATA_2023H2'!L:L)</f>
        <v>1885</v>
      </c>
      <c r="B1529" s="4" t="s">
        <v>4586</v>
      </c>
      <c r="C1529" s="4" t="s">
        <v>4587</v>
      </c>
      <c r="D1529" s="5" t="s">
        <v>4588</v>
      </c>
      <c r="E1529" s="5">
        <v>294.99</v>
      </c>
      <c r="F1529" s="6">
        <f>LOOKUP(D1529,'AMFI DATA_2023H2'!F:J,'AMFI DATA_2023H2'!J:J)</f>
        <v>229.82155</v>
      </c>
      <c r="G1529" s="7">
        <f t="shared" si="5"/>
        <v>-1</v>
      </c>
      <c r="H1529" s="9"/>
      <c r="I1529" s="9">
        <v>307</v>
      </c>
      <c r="J1529" s="9">
        <v>336</v>
      </c>
      <c r="K1529" s="9">
        <v>291</v>
      </c>
      <c r="L1529" s="9">
        <v>242</v>
      </c>
      <c r="M1529" s="9">
        <v>253</v>
      </c>
      <c r="N1529" s="9">
        <v>239</v>
      </c>
      <c r="O1529" s="9">
        <v>232</v>
      </c>
      <c r="P1529" s="9">
        <v>235</v>
      </c>
      <c r="Q1529" s="9">
        <v>236</v>
      </c>
      <c r="R1529" s="9">
        <v>232</v>
      </c>
      <c r="S1529" s="9">
        <v>232</v>
      </c>
      <c r="T1529" s="9">
        <v>239</v>
      </c>
      <c r="U1529" s="9">
        <v>244</v>
      </c>
      <c r="V1529" s="9">
        <v>230</v>
      </c>
      <c r="W1529" s="9">
        <v>232</v>
      </c>
      <c r="X1529" s="9">
        <v>229</v>
      </c>
      <c r="Y1529" s="9">
        <v>229</v>
      </c>
      <c r="Z1529" s="9">
        <v>224</v>
      </c>
      <c r="AA1529" s="9">
        <v>225</v>
      </c>
      <c r="AB1529" s="9">
        <v>230</v>
      </c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</row>
    <row r="1530" spans="1:47" ht="14.4">
      <c r="A1530" s="3">
        <f>LOOKUP(D1530,'AMFI DATA_2023H2'!F:L,'AMFI DATA_2023H2'!L:L)</f>
        <v>1886</v>
      </c>
      <c r="B1530" s="4" t="s">
        <v>4589</v>
      </c>
      <c r="C1530" s="4" t="s">
        <v>4590</v>
      </c>
      <c r="D1530" s="5" t="s">
        <v>4591</v>
      </c>
      <c r="E1530" s="5">
        <v>216.56</v>
      </c>
      <c r="F1530" s="6">
        <f>LOOKUP(D1530,'AMFI DATA_2023H2'!F:J,'AMFI DATA_2023H2'!J:J)</f>
        <v>229.0274</v>
      </c>
      <c r="G1530" s="7">
        <f t="shared" si="5"/>
        <v>-1</v>
      </c>
      <c r="H1530" s="9"/>
      <c r="I1530" s="9">
        <v>237</v>
      </c>
      <c r="J1530" s="9">
        <v>233</v>
      </c>
      <c r="K1530" s="9">
        <v>235</v>
      </c>
      <c r="L1530" s="9">
        <v>233</v>
      </c>
      <c r="M1530" s="9">
        <v>235</v>
      </c>
      <c r="N1530" s="9">
        <v>236</v>
      </c>
      <c r="O1530" s="9">
        <v>237</v>
      </c>
      <c r="P1530" s="9">
        <v>237</v>
      </c>
      <c r="Q1530" s="9">
        <v>239</v>
      </c>
      <c r="R1530" s="9">
        <v>238</v>
      </c>
      <c r="S1530" s="9">
        <v>239</v>
      </c>
      <c r="T1530" s="9">
        <v>244</v>
      </c>
      <c r="U1530" s="9">
        <v>240</v>
      </c>
      <c r="V1530" s="9">
        <v>240</v>
      </c>
      <c r="W1530" s="9">
        <v>240</v>
      </c>
      <c r="X1530" s="9">
        <v>236</v>
      </c>
      <c r="Y1530" s="9">
        <v>233</v>
      </c>
      <c r="Z1530" s="9">
        <v>231</v>
      </c>
      <c r="AA1530" s="9">
        <v>234</v>
      </c>
      <c r="AB1530" s="9">
        <v>253</v>
      </c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</row>
    <row r="1531" spans="1:47" ht="14.4">
      <c r="A1531" s="3">
        <f>LOOKUP(D1531,'AMFI DATA_2023H2'!F:L,'AMFI DATA_2023H2'!L:L)</f>
        <v>1887</v>
      </c>
      <c r="B1531" s="4" t="s">
        <v>4592</v>
      </c>
      <c r="C1531" s="4" t="s">
        <v>4593</v>
      </c>
      <c r="D1531" s="5" t="s">
        <v>4594</v>
      </c>
      <c r="E1531" s="5">
        <v>219.1</v>
      </c>
      <c r="F1531" s="6">
        <f>LOOKUP(D1531,'AMFI DATA_2023H2'!F:J,'AMFI DATA_2023H2'!J:J)</f>
        <v>229.01884999999999</v>
      </c>
      <c r="G1531" s="7">
        <f t="shared" si="5"/>
        <v>-1</v>
      </c>
      <c r="H1531" s="9"/>
      <c r="I1531" s="9">
        <v>246</v>
      </c>
      <c r="J1531" s="9">
        <v>236</v>
      </c>
      <c r="K1531" s="9">
        <v>236</v>
      </c>
      <c r="L1531" s="9">
        <v>240</v>
      </c>
      <c r="M1531" s="9">
        <v>250</v>
      </c>
      <c r="N1531" s="9">
        <v>248</v>
      </c>
      <c r="O1531" s="9">
        <v>248</v>
      </c>
      <c r="P1531" s="9">
        <v>233</v>
      </c>
      <c r="Q1531" s="9">
        <v>232</v>
      </c>
      <c r="R1531" s="9">
        <v>237</v>
      </c>
      <c r="S1531" s="9">
        <v>243</v>
      </c>
      <c r="T1531" s="9">
        <v>234</v>
      </c>
      <c r="U1531" s="9">
        <v>234</v>
      </c>
      <c r="V1531" s="9">
        <v>234</v>
      </c>
      <c r="W1531" s="9">
        <v>234</v>
      </c>
      <c r="X1531" s="9">
        <v>233</v>
      </c>
      <c r="Y1531" s="9">
        <v>237</v>
      </c>
      <c r="Z1531" s="9">
        <v>234</v>
      </c>
      <c r="AA1531" s="9">
        <v>243</v>
      </c>
      <c r="AB1531" s="9">
        <v>238</v>
      </c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</row>
    <row r="1532" spans="1:47" ht="14.4">
      <c r="A1532" s="3">
        <f>LOOKUP(D1532,'AMFI DATA_2023H2'!F:L,'AMFI DATA_2023H2'!L:L)</f>
        <v>1893</v>
      </c>
      <c r="B1532" s="4" t="s">
        <v>4595</v>
      </c>
      <c r="C1532" s="4" t="s">
        <v>4596</v>
      </c>
      <c r="D1532" s="5" t="s">
        <v>4597</v>
      </c>
      <c r="E1532" s="5">
        <v>163.04</v>
      </c>
      <c r="F1532" s="6">
        <f>LOOKUP(D1532,'AMFI DATA_2023H2'!F:J,'AMFI DATA_2023H2'!J:J)</f>
        <v>224.64840000000001</v>
      </c>
      <c r="G1532" s="7">
        <f t="shared" ref="G1532:G1786" si="6">H1532/F1532-1</f>
        <v>-1</v>
      </c>
      <c r="H1532" s="9"/>
      <c r="I1532" s="9">
        <v>331</v>
      </c>
      <c r="J1532" s="9">
        <v>349</v>
      </c>
      <c r="K1532" s="9">
        <v>317</v>
      </c>
      <c r="L1532" s="9">
        <v>288</v>
      </c>
      <c r="M1532" s="9">
        <v>262</v>
      </c>
      <c r="N1532" s="9">
        <v>264</v>
      </c>
      <c r="O1532" s="9">
        <v>264</v>
      </c>
      <c r="P1532" s="9">
        <v>259</v>
      </c>
      <c r="Q1532" s="9">
        <v>257</v>
      </c>
      <c r="R1532" s="9">
        <v>261</v>
      </c>
      <c r="S1532" s="9">
        <v>262</v>
      </c>
      <c r="T1532" s="9">
        <v>265</v>
      </c>
      <c r="U1532" s="9">
        <v>266</v>
      </c>
      <c r="V1532" s="9">
        <v>266</v>
      </c>
      <c r="W1532" s="9">
        <v>265</v>
      </c>
      <c r="X1532" s="9">
        <v>264</v>
      </c>
      <c r="Y1532" s="9">
        <v>259</v>
      </c>
      <c r="Z1532" s="9">
        <v>263</v>
      </c>
      <c r="AA1532" s="9">
        <v>265</v>
      </c>
      <c r="AB1532" s="9">
        <v>269</v>
      </c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</row>
    <row r="1533" spans="1:47" ht="14.4">
      <c r="A1533" s="3">
        <f>LOOKUP(D1533,'AMFI DATA_2023H2'!F:L,'AMFI DATA_2023H2'!L:L)</f>
        <v>1895</v>
      </c>
      <c r="B1533" s="4" t="s">
        <v>4598</v>
      </c>
      <c r="C1533" s="4" t="s">
        <v>4599</v>
      </c>
      <c r="D1533" s="5" t="s">
        <v>4600</v>
      </c>
      <c r="E1533" s="5">
        <v>227.12</v>
      </c>
      <c r="F1533" s="6">
        <f>LOOKUP(D1533,'AMFI DATA_2023H2'!F:J,'AMFI DATA_2023H2'!J:J)</f>
        <v>222.4588</v>
      </c>
      <c r="G1533" s="7">
        <f t="shared" si="6"/>
        <v>-1</v>
      </c>
      <c r="H1533" s="9"/>
      <c r="I1533" s="9">
        <v>235</v>
      </c>
      <c r="J1533" s="9">
        <v>236</v>
      </c>
      <c r="K1533" s="9">
        <v>234</v>
      </c>
      <c r="L1533" s="9">
        <v>233</v>
      </c>
      <c r="M1533" s="9">
        <v>234</v>
      </c>
      <c r="N1533" s="9">
        <v>237</v>
      </c>
      <c r="O1533" s="9">
        <v>241</v>
      </c>
      <c r="P1533" s="9">
        <v>244</v>
      </c>
      <c r="Q1533" s="9">
        <v>247</v>
      </c>
      <c r="R1533" s="9">
        <v>242</v>
      </c>
      <c r="S1533" s="9">
        <v>236</v>
      </c>
      <c r="T1533" s="9">
        <v>239</v>
      </c>
      <c r="U1533" s="9">
        <v>232</v>
      </c>
      <c r="V1533" s="9">
        <v>221</v>
      </c>
      <c r="W1533" s="9">
        <v>220</v>
      </c>
      <c r="X1533" s="9">
        <v>218</v>
      </c>
      <c r="Y1533" s="9">
        <v>220</v>
      </c>
      <c r="Z1533" s="9">
        <v>220</v>
      </c>
      <c r="AA1533" s="9">
        <v>221</v>
      </c>
      <c r="AB1533" s="9">
        <v>223</v>
      </c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</row>
    <row r="1534" spans="1:47" ht="14.4">
      <c r="A1534" s="3">
        <f>LOOKUP(D1534,'AMFI DATA_2023H2'!F:L,'AMFI DATA_2023H2'!L:L)</f>
        <v>1896</v>
      </c>
      <c r="B1534" s="4" t="s">
        <v>4601</v>
      </c>
      <c r="C1534" s="4" t="s">
        <v>4602</v>
      </c>
      <c r="D1534" s="5" t="s">
        <v>4603</v>
      </c>
      <c r="E1534" s="5">
        <v>157.52000000000001</v>
      </c>
      <c r="F1534" s="6">
        <f>LOOKUP(D1534,'AMFI DATA_2023H2'!F:J,'AMFI DATA_2023H2'!J:J)</f>
        <v>221.93574999999998</v>
      </c>
      <c r="G1534" s="7">
        <f t="shared" si="6"/>
        <v>-1</v>
      </c>
      <c r="H1534" s="9"/>
      <c r="I1534" s="9">
        <v>302</v>
      </c>
      <c r="J1534" s="9">
        <v>304</v>
      </c>
      <c r="K1534" s="9">
        <v>318</v>
      </c>
      <c r="L1534" s="9">
        <v>320</v>
      </c>
      <c r="M1534" s="9">
        <v>317</v>
      </c>
      <c r="N1534" s="9">
        <v>326</v>
      </c>
      <c r="O1534" s="9">
        <v>322</v>
      </c>
      <c r="P1534" s="9">
        <v>317</v>
      </c>
      <c r="Q1534" s="9">
        <v>310</v>
      </c>
      <c r="R1534" s="9">
        <v>318</v>
      </c>
      <c r="S1534" s="9">
        <v>329</v>
      </c>
      <c r="T1534" s="9">
        <v>331</v>
      </c>
      <c r="U1534" s="9">
        <v>319</v>
      </c>
      <c r="V1534" s="9">
        <v>314</v>
      </c>
      <c r="W1534" s="9">
        <v>320</v>
      </c>
      <c r="X1534" s="9">
        <v>331</v>
      </c>
      <c r="Y1534" s="9">
        <v>317</v>
      </c>
      <c r="Z1534" s="9">
        <v>279</v>
      </c>
      <c r="AA1534" s="9">
        <v>280</v>
      </c>
      <c r="AB1534" s="9">
        <v>281</v>
      </c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</row>
    <row r="1535" spans="1:47" ht="14.4">
      <c r="A1535" s="3">
        <f>LOOKUP(D1535,'AMFI DATA_2023H2'!F:L,'AMFI DATA_2023H2'!L:L)</f>
        <v>1898</v>
      </c>
      <c r="B1535" s="4" t="s">
        <v>4604</v>
      </c>
      <c r="C1535" s="4" t="s">
        <v>4605</v>
      </c>
      <c r="D1535" s="5" t="s">
        <v>4606</v>
      </c>
      <c r="E1535" s="5">
        <v>221</v>
      </c>
      <c r="F1535" s="6">
        <f>LOOKUP(D1535,'AMFI DATA_2023H2'!F:J,'AMFI DATA_2023H2'!J:J)</f>
        <v>221.54939999999999</v>
      </c>
      <c r="G1535" s="7">
        <f t="shared" si="6"/>
        <v>-1</v>
      </c>
      <c r="H1535" s="9"/>
      <c r="I1535" s="9">
        <v>258</v>
      </c>
      <c r="J1535" s="9">
        <v>267</v>
      </c>
      <c r="K1535" s="9">
        <v>272</v>
      </c>
      <c r="L1535" s="9">
        <v>273</v>
      </c>
      <c r="M1535" s="9">
        <v>281</v>
      </c>
      <c r="N1535" s="9">
        <v>293</v>
      </c>
      <c r="O1535" s="9">
        <v>279</v>
      </c>
      <c r="P1535" s="9">
        <v>280</v>
      </c>
      <c r="Q1535" s="9">
        <v>280</v>
      </c>
      <c r="R1535" s="9">
        <v>284</v>
      </c>
      <c r="S1535" s="9">
        <v>289</v>
      </c>
      <c r="T1535" s="9">
        <v>291</v>
      </c>
      <c r="U1535" s="9">
        <v>292</v>
      </c>
      <c r="V1535" s="9">
        <v>294</v>
      </c>
      <c r="W1535" s="9">
        <v>300</v>
      </c>
      <c r="X1535" s="9">
        <v>286</v>
      </c>
      <c r="Y1535" s="9">
        <v>290</v>
      </c>
      <c r="Z1535" s="9">
        <v>306</v>
      </c>
      <c r="AA1535" s="9">
        <v>315</v>
      </c>
      <c r="AB1535" s="9">
        <v>315</v>
      </c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</row>
    <row r="1536" spans="1:47" ht="14.4">
      <c r="A1536" s="3">
        <f>LOOKUP(D1536,'AMFI DATA_2023H2'!F:L,'AMFI DATA_2023H2'!L:L)</f>
        <v>1898</v>
      </c>
      <c r="B1536" s="4" t="s">
        <v>4607</v>
      </c>
      <c r="C1536" s="4" t="s">
        <v>4608</v>
      </c>
      <c r="D1536" s="5" t="s">
        <v>4609</v>
      </c>
      <c r="E1536" s="5">
        <v>221</v>
      </c>
      <c r="F1536" s="6">
        <f>LOOKUP(D1536,'AMFI DATA_2023H2'!F:J,'AMFI DATA_2023H2'!J:J)</f>
        <v>221.54939999999999</v>
      </c>
      <c r="G1536" s="7">
        <f t="shared" si="6"/>
        <v>-1</v>
      </c>
      <c r="H1536" s="8"/>
      <c r="I1536" s="8">
        <v>16314</v>
      </c>
      <c r="J1536" s="8">
        <v>16286</v>
      </c>
      <c r="K1536" s="8">
        <v>16093</v>
      </c>
      <c r="L1536" s="8">
        <v>16148</v>
      </c>
      <c r="M1536" s="8">
        <v>16107</v>
      </c>
      <c r="N1536" s="8">
        <v>15605</v>
      </c>
      <c r="O1536" s="8">
        <v>16127</v>
      </c>
      <c r="P1536" s="8">
        <v>15664</v>
      </c>
      <c r="Q1536" s="8">
        <v>15734</v>
      </c>
      <c r="R1536" s="8">
        <v>16151</v>
      </c>
      <c r="S1536" s="8">
        <v>16034</v>
      </c>
      <c r="T1536" s="8">
        <v>16226</v>
      </c>
      <c r="U1536" s="8">
        <v>16175</v>
      </c>
      <c r="V1536" s="8">
        <v>16208</v>
      </c>
      <c r="W1536" s="8">
        <v>16148</v>
      </c>
      <c r="X1536" s="8">
        <v>16311</v>
      </c>
      <c r="Y1536" s="8">
        <v>16239</v>
      </c>
      <c r="Z1536" s="8">
        <v>16260</v>
      </c>
      <c r="AA1536" s="8">
        <v>16038</v>
      </c>
      <c r="AB1536" s="8">
        <v>16136</v>
      </c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</row>
    <row r="1537" spans="1:47" ht="14.4">
      <c r="A1537" s="3">
        <f>LOOKUP(D1537,'AMFI DATA_2023H2'!F:L,'AMFI DATA_2023H2'!L:L)</f>
        <v>1900</v>
      </c>
      <c r="B1537" s="4" t="s">
        <v>4610</v>
      </c>
      <c r="C1537" s="4" t="s">
        <v>4611</v>
      </c>
      <c r="D1537" s="5" t="s">
        <v>4612</v>
      </c>
      <c r="E1537" s="5">
        <v>199.73</v>
      </c>
      <c r="F1537" s="6">
        <f>LOOKUP(D1537,'AMFI DATA_2023H2'!F:J,'AMFI DATA_2023H2'!J:J)</f>
        <v>221.28530000000001</v>
      </c>
      <c r="G1537" s="7">
        <f t="shared" si="6"/>
        <v>-1</v>
      </c>
      <c r="H1537" s="9"/>
      <c r="I1537" s="9">
        <v>323</v>
      </c>
      <c r="J1537" s="9">
        <v>309</v>
      </c>
      <c r="K1537" s="9">
        <v>304</v>
      </c>
      <c r="L1537" s="9">
        <v>301</v>
      </c>
      <c r="M1537" s="9">
        <v>317</v>
      </c>
      <c r="N1537" s="9">
        <v>301</v>
      </c>
      <c r="O1537" s="9">
        <v>287</v>
      </c>
      <c r="P1537" s="9">
        <v>273</v>
      </c>
      <c r="Q1537" s="9">
        <v>271</v>
      </c>
      <c r="R1537" s="9">
        <v>269</v>
      </c>
      <c r="S1537" s="9">
        <v>260</v>
      </c>
      <c r="T1537" s="9">
        <v>248</v>
      </c>
      <c r="U1537" s="9">
        <v>248</v>
      </c>
      <c r="V1537" s="9">
        <v>247</v>
      </c>
      <c r="W1537" s="9">
        <v>248</v>
      </c>
      <c r="X1537" s="9">
        <v>250</v>
      </c>
      <c r="Y1537" s="9">
        <v>251</v>
      </c>
      <c r="Z1537" s="9">
        <v>254</v>
      </c>
      <c r="AA1537" s="9">
        <v>256</v>
      </c>
      <c r="AB1537" s="9">
        <v>256</v>
      </c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</row>
    <row r="1538" spans="1:47" ht="14.4">
      <c r="A1538" s="3">
        <f>LOOKUP(D1538,'AMFI DATA_2023H2'!F:L,'AMFI DATA_2023H2'!L:L)</f>
        <v>1902</v>
      </c>
      <c r="B1538" s="4" t="s">
        <v>4613</v>
      </c>
      <c r="C1538" s="4" t="s">
        <v>4614</v>
      </c>
      <c r="D1538" s="5" t="s">
        <v>4615</v>
      </c>
      <c r="E1538" s="5">
        <v>425.66</v>
      </c>
      <c r="F1538" s="6">
        <f>LOOKUP(D1538,'AMFI DATA_2023H2'!F:J,'AMFI DATA_2023H2'!J:J)</f>
        <v>219.9288</v>
      </c>
      <c r="G1538" s="7">
        <f t="shared" si="6"/>
        <v>-1</v>
      </c>
      <c r="H1538" s="9"/>
      <c r="I1538" s="9">
        <v>225</v>
      </c>
      <c r="J1538" s="9">
        <v>222</v>
      </c>
      <c r="K1538" s="9">
        <v>222</v>
      </c>
      <c r="L1538" s="9">
        <v>218</v>
      </c>
      <c r="M1538" s="9">
        <v>214</v>
      </c>
      <c r="N1538" s="9">
        <v>210</v>
      </c>
      <c r="O1538" s="9">
        <v>206</v>
      </c>
      <c r="P1538" s="9">
        <v>203</v>
      </c>
      <c r="Q1538" s="9">
        <v>200</v>
      </c>
      <c r="R1538" s="9">
        <v>196</v>
      </c>
      <c r="S1538" s="9">
        <v>193</v>
      </c>
      <c r="T1538" s="9">
        <v>190</v>
      </c>
      <c r="U1538" s="9">
        <v>186</v>
      </c>
      <c r="V1538" s="9">
        <v>183</v>
      </c>
      <c r="W1538" s="9">
        <v>180</v>
      </c>
      <c r="X1538" s="9">
        <v>177</v>
      </c>
      <c r="Y1538" s="9">
        <v>177</v>
      </c>
      <c r="Z1538" s="9">
        <v>174</v>
      </c>
      <c r="AA1538" s="9">
        <v>171</v>
      </c>
      <c r="AB1538" s="9">
        <v>170</v>
      </c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</row>
    <row r="1539" spans="1:47" ht="14.4">
      <c r="A1539" s="3">
        <f>LOOKUP(D1539,'AMFI DATA_2023H2'!F:L,'AMFI DATA_2023H2'!L:L)</f>
        <v>1906</v>
      </c>
      <c r="B1539" s="4" t="s">
        <v>4616</v>
      </c>
      <c r="C1539" s="4" t="s">
        <v>4617</v>
      </c>
      <c r="D1539" s="5" t="s">
        <v>4618</v>
      </c>
      <c r="E1539" s="5">
        <v>194.59</v>
      </c>
      <c r="F1539" s="6">
        <f>LOOKUP(D1539,'AMFI DATA_2023H2'!F:J,'AMFI DATA_2023H2'!J:J)</f>
        <v>216.94085000000001</v>
      </c>
      <c r="G1539" s="7">
        <f t="shared" si="6"/>
        <v>-1</v>
      </c>
      <c r="H1539" s="9"/>
      <c r="I1539" s="9">
        <v>289</v>
      </c>
      <c r="J1539" s="9">
        <v>283</v>
      </c>
      <c r="K1539" s="9">
        <v>282</v>
      </c>
      <c r="L1539" s="9">
        <v>287</v>
      </c>
      <c r="M1539" s="9">
        <v>294</v>
      </c>
      <c r="N1539" s="9">
        <v>285</v>
      </c>
      <c r="O1539" s="9">
        <v>292</v>
      </c>
      <c r="P1539" s="9">
        <v>294</v>
      </c>
      <c r="Q1539" s="9">
        <v>300</v>
      </c>
      <c r="R1539" s="9">
        <v>290</v>
      </c>
      <c r="S1539" s="9">
        <v>284</v>
      </c>
      <c r="T1539" s="9">
        <v>288</v>
      </c>
      <c r="U1539" s="9">
        <v>295</v>
      </c>
      <c r="V1539" s="9">
        <v>299</v>
      </c>
      <c r="W1539" s="9">
        <v>271</v>
      </c>
      <c r="X1539" s="9">
        <v>260</v>
      </c>
      <c r="Y1539" s="9">
        <v>246</v>
      </c>
      <c r="Z1539" s="9">
        <v>258</v>
      </c>
      <c r="AA1539" s="9">
        <v>268</v>
      </c>
      <c r="AB1539" s="9">
        <v>271</v>
      </c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</row>
    <row r="1540" spans="1:47" ht="14.4">
      <c r="A1540" s="3">
        <f>LOOKUP(D1540,'AMFI DATA_2023H2'!F:L,'AMFI DATA_2023H2'!L:L)</f>
        <v>1913</v>
      </c>
      <c r="B1540" s="4" t="s">
        <v>4619</v>
      </c>
      <c r="C1540" s="4" t="s">
        <v>4620</v>
      </c>
      <c r="D1540" s="5" t="s">
        <v>4621</v>
      </c>
      <c r="E1540" s="5">
        <v>183.24</v>
      </c>
      <c r="F1540" s="6">
        <f>LOOKUP(D1540,'AMFI DATA_2023H2'!F:J,'AMFI DATA_2023H2'!J:J)</f>
        <v>213.0617</v>
      </c>
      <c r="G1540" s="7">
        <f t="shared" si="6"/>
        <v>-1</v>
      </c>
      <c r="H1540" s="9"/>
      <c r="I1540" s="9">
        <v>265</v>
      </c>
      <c r="J1540" s="9">
        <v>264</v>
      </c>
      <c r="K1540" s="9">
        <v>274</v>
      </c>
      <c r="L1540" s="9">
        <v>274</v>
      </c>
      <c r="M1540" s="9">
        <v>280</v>
      </c>
      <c r="N1540" s="9">
        <v>275</v>
      </c>
      <c r="O1540" s="9">
        <v>270</v>
      </c>
      <c r="P1540" s="9">
        <v>268</v>
      </c>
      <c r="Q1540" s="9">
        <v>272</v>
      </c>
      <c r="R1540" s="9">
        <v>266</v>
      </c>
      <c r="S1540" s="9">
        <v>263</v>
      </c>
      <c r="T1540" s="9">
        <v>262</v>
      </c>
      <c r="U1540" s="9">
        <v>261</v>
      </c>
      <c r="V1540" s="9">
        <v>249</v>
      </c>
      <c r="W1540" s="9">
        <v>248</v>
      </c>
      <c r="X1540" s="9">
        <v>239</v>
      </c>
      <c r="Y1540" s="9">
        <v>239</v>
      </c>
      <c r="Z1540" s="9">
        <v>243</v>
      </c>
      <c r="AA1540" s="9">
        <v>247</v>
      </c>
      <c r="AB1540" s="9">
        <v>243</v>
      </c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</row>
    <row r="1541" spans="1:47" ht="14.4">
      <c r="A1541" s="3">
        <f>LOOKUP(D1541,'AMFI DATA_2023H2'!F:L,'AMFI DATA_2023H2'!L:L)</f>
        <v>1915</v>
      </c>
      <c r="B1541" s="4" t="s">
        <v>4622</v>
      </c>
      <c r="C1541" s="4" t="s">
        <v>4623</v>
      </c>
      <c r="D1541" s="5" t="s">
        <v>4624</v>
      </c>
      <c r="E1541" s="5">
        <v>127.42</v>
      </c>
      <c r="F1541" s="6">
        <f>LOOKUP(D1541,'AMFI DATA_2023H2'!F:J,'AMFI DATA_2023H2'!J:J)</f>
        <v>212.34105</v>
      </c>
      <c r="G1541" s="7">
        <f t="shared" si="6"/>
        <v>-1</v>
      </c>
      <c r="H1541" s="9"/>
      <c r="I1541" s="9">
        <v>246</v>
      </c>
      <c r="J1541" s="9">
        <v>246</v>
      </c>
      <c r="K1541" s="9">
        <v>238</v>
      </c>
      <c r="L1541" s="9">
        <v>249</v>
      </c>
      <c r="M1541" s="9">
        <v>249</v>
      </c>
      <c r="N1541" s="9">
        <v>249</v>
      </c>
      <c r="O1541" s="9">
        <v>254</v>
      </c>
      <c r="P1541" s="9">
        <v>253</v>
      </c>
      <c r="Q1541" s="9">
        <v>249</v>
      </c>
      <c r="R1541" s="9">
        <v>257</v>
      </c>
      <c r="S1541" s="9">
        <v>260</v>
      </c>
      <c r="T1541" s="9">
        <v>255</v>
      </c>
      <c r="U1541" s="9">
        <v>261</v>
      </c>
      <c r="V1541" s="9">
        <v>262</v>
      </c>
      <c r="W1541" s="9">
        <v>262</v>
      </c>
      <c r="X1541" s="9">
        <v>265</v>
      </c>
      <c r="Y1541" s="9">
        <v>247</v>
      </c>
      <c r="Z1541" s="9">
        <v>253</v>
      </c>
      <c r="AA1541" s="9">
        <v>251</v>
      </c>
      <c r="AB1541" s="9">
        <v>250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</row>
    <row r="1542" spans="1:47" ht="14.4">
      <c r="A1542" s="3">
        <f>LOOKUP(D1542,'AMFI DATA_2023H2'!F:L,'AMFI DATA_2023H2'!L:L)</f>
        <v>1918</v>
      </c>
      <c r="B1542" s="4" t="s">
        <v>4625</v>
      </c>
      <c r="C1542" s="4" t="s">
        <v>4626</v>
      </c>
      <c r="D1542" s="5" t="s">
        <v>4627</v>
      </c>
      <c r="E1542" s="5">
        <v>242.56</v>
      </c>
      <c r="F1542" s="6">
        <f>LOOKUP(D1542,'AMFI DATA_2023H2'!F:J,'AMFI DATA_2023H2'!J:J)</f>
        <v>211.6472</v>
      </c>
      <c r="G1542" s="7">
        <f t="shared" si="6"/>
        <v>-1</v>
      </c>
      <c r="H1542" s="9"/>
      <c r="I1542" s="9">
        <v>144</v>
      </c>
      <c r="J1542" s="9">
        <v>143</v>
      </c>
      <c r="K1542" s="9">
        <v>144</v>
      </c>
      <c r="L1542" s="9">
        <v>144</v>
      </c>
      <c r="M1542" s="9">
        <v>144</v>
      </c>
      <c r="N1542" s="9">
        <v>144</v>
      </c>
      <c r="O1542" s="9">
        <v>144</v>
      </c>
      <c r="P1542" s="9">
        <v>150</v>
      </c>
      <c r="Q1542" s="9">
        <v>158</v>
      </c>
      <c r="R1542" s="9">
        <v>150</v>
      </c>
      <c r="S1542" s="9">
        <v>167</v>
      </c>
      <c r="T1542" s="9">
        <v>185</v>
      </c>
      <c r="U1542" s="9">
        <v>206</v>
      </c>
      <c r="V1542" s="9">
        <v>189</v>
      </c>
      <c r="W1542" s="9">
        <v>194</v>
      </c>
      <c r="X1542" s="9">
        <v>201</v>
      </c>
      <c r="Y1542" s="9">
        <v>202</v>
      </c>
      <c r="Z1542" s="9">
        <v>186</v>
      </c>
      <c r="AA1542" s="9">
        <v>184</v>
      </c>
      <c r="AB1542" s="9">
        <v>172</v>
      </c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</row>
    <row r="1543" spans="1:47" ht="14.4">
      <c r="A1543" s="3">
        <f>LOOKUP(D1543,'AMFI DATA_2023H2'!F:L,'AMFI DATA_2023H2'!L:L)</f>
        <v>1919</v>
      </c>
      <c r="B1543" s="4" t="s">
        <v>4628</v>
      </c>
      <c r="C1543" s="4" t="s">
        <v>4629</v>
      </c>
      <c r="D1543" s="5" t="s">
        <v>4630</v>
      </c>
      <c r="E1543" s="5">
        <v>151.04</v>
      </c>
      <c r="F1543" s="6">
        <f>LOOKUP(D1543,'AMFI DATA_2023H2'!F:J,'AMFI DATA_2023H2'!J:J)</f>
        <v>211.02085</v>
      </c>
      <c r="G1543" s="7">
        <f t="shared" si="6"/>
        <v>-1</v>
      </c>
      <c r="H1543" s="9"/>
      <c r="I1543" s="9">
        <v>271</v>
      </c>
      <c r="J1543" s="9">
        <v>260</v>
      </c>
      <c r="K1543" s="9">
        <v>264</v>
      </c>
      <c r="L1543" s="9">
        <v>270</v>
      </c>
      <c r="M1543" s="9">
        <v>265</v>
      </c>
      <c r="N1543" s="9">
        <v>263</v>
      </c>
      <c r="O1543" s="9">
        <v>255</v>
      </c>
      <c r="P1543" s="9">
        <v>0</v>
      </c>
      <c r="Q1543" s="9">
        <v>256</v>
      </c>
      <c r="R1543" s="9">
        <v>253</v>
      </c>
      <c r="S1543" s="9">
        <v>257</v>
      </c>
      <c r="T1543" s="9">
        <v>258</v>
      </c>
      <c r="U1543" s="9">
        <v>257</v>
      </c>
      <c r="V1543" s="9">
        <v>259</v>
      </c>
      <c r="W1543" s="9">
        <v>262</v>
      </c>
      <c r="X1543" s="9">
        <v>248</v>
      </c>
      <c r="Y1543" s="9">
        <v>251</v>
      </c>
      <c r="Z1543" s="9">
        <v>254</v>
      </c>
      <c r="AA1543" s="9">
        <v>255</v>
      </c>
      <c r="AB1543" s="9">
        <v>255</v>
      </c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</row>
    <row r="1544" spans="1:47" ht="14.4">
      <c r="A1544" s="3">
        <f>LOOKUP(D1544,'AMFI DATA_2023H2'!F:L,'AMFI DATA_2023H2'!L:L)</f>
        <v>1920</v>
      </c>
      <c r="B1544" s="4" t="s">
        <v>4631</v>
      </c>
      <c r="C1544" s="4" t="s">
        <v>4632</v>
      </c>
      <c r="D1544" s="5" t="s">
        <v>4633</v>
      </c>
      <c r="E1544" s="5">
        <v>217.63</v>
      </c>
      <c r="F1544" s="6">
        <f>LOOKUP(D1544,'AMFI DATA_2023H2'!F:J,'AMFI DATA_2023H2'!J:J)</f>
        <v>210.9665</v>
      </c>
      <c r="G1544" s="7">
        <f t="shared" si="6"/>
        <v>-1</v>
      </c>
      <c r="H1544" s="9"/>
      <c r="I1544" s="9">
        <v>240</v>
      </c>
      <c r="J1544" s="9">
        <v>245</v>
      </c>
      <c r="K1544" s="9">
        <v>246</v>
      </c>
      <c r="L1544" s="9">
        <v>251</v>
      </c>
      <c r="M1544" s="9">
        <v>246</v>
      </c>
      <c r="N1544" s="9">
        <v>245</v>
      </c>
      <c r="O1544" s="9">
        <v>241</v>
      </c>
      <c r="P1544" s="9">
        <v>237</v>
      </c>
      <c r="Q1544" s="9">
        <v>232</v>
      </c>
      <c r="R1544" s="9">
        <v>228</v>
      </c>
      <c r="S1544" s="9">
        <v>223</v>
      </c>
      <c r="T1544" s="9">
        <v>219</v>
      </c>
      <c r="U1544" s="9">
        <v>215</v>
      </c>
      <c r="V1544" s="9">
        <v>211</v>
      </c>
      <c r="W1544" s="9">
        <v>207</v>
      </c>
      <c r="X1544" s="9">
        <v>210</v>
      </c>
      <c r="Y1544" s="9">
        <v>214</v>
      </c>
      <c r="Z1544" s="9">
        <v>216</v>
      </c>
      <c r="AA1544" s="9">
        <v>220</v>
      </c>
      <c r="AB1544" s="9">
        <v>222</v>
      </c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</row>
    <row r="1545" spans="1:47" ht="14.4">
      <c r="A1545" s="3">
        <f>LOOKUP(D1545,'AMFI DATA_2023H2'!F:L,'AMFI DATA_2023H2'!L:L)</f>
        <v>1926</v>
      </c>
      <c r="B1545" s="4" t="s">
        <v>4634</v>
      </c>
      <c r="C1545" s="4" t="s">
        <v>4635</v>
      </c>
      <c r="D1545" s="5" t="s">
        <v>4636</v>
      </c>
      <c r="E1545" s="5">
        <v>188.57</v>
      </c>
      <c r="F1545" s="6">
        <f>LOOKUP(D1545,'AMFI DATA_2023H2'!F:J,'AMFI DATA_2023H2'!J:J)</f>
        <v>209.98095000000001</v>
      </c>
      <c r="G1545" s="7">
        <f t="shared" si="6"/>
        <v>-1</v>
      </c>
      <c r="H1545" s="9"/>
      <c r="I1545" s="9">
        <v>228</v>
      </c>
      <c r="J1545" s="9">
        <v>219</v>
      </c>
      <c r="K1545" s="9">
        <v>227</v>
      </c>
      <c r="L1545" s="9">
        <v>231</v>
      </c>
      <c r="M1545" s="9">
        <v>236</v>
      </c>
      <c r="N1545" s="9">
        <v>238</v>
      </c>
      <c r="O1545" s="9">
        <v>234</v>
      </c>
      <c r="P1545" s="9">
        <v>231</v>
      </c>
      <c r="Q1545" s="9">
        <v>226</v>
      </c>
      <c r="R1545" s="9">
        <v>228</v>
      </c>
      <c r="S1545" s="9">
        <v>231</v>
      </c>
      <c r="T1545" s="9">
        <v>234</v>
      </c>
      <c r="U1545" s="9">
        <v>222</v>
      </c>
      <c r="V1545" s="9">
        <v>230</v>
      </c>
      <c r="W1545" s="9">
        <v>235</v>
      </c>
      <c r="X1545" s="9">
        <v>240</v>
      </c>
      <c r="Y1545" s="9">
        <v>242</v>
      </c>
      <c r="Z1545" s="9">
        <v>258</v>
      </c>
      <c r="AA1545" s="9">
        <v>215</v>
      </c>
      <c r="AB1545" s="9">
        <v>212</v>
      </c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</row>
    <row r="1546" spans="1:47" ht="14.4">
      <c r="A1546" s="3">
        <f>LOOKUP(D1546,'AMFI DATA_2023H2'!F:L,'AMFI DATA_2023H2'!L:L)</f>
        <v>1927</v>
      </c>
      <c r="B1546" s="4" t="s">
        <v>4637</v>
      </c>
      <c r="C1546" s="4" t="s">
        <v>4638</v>
      </c>
      <c r="D1546" s="5" t="s">
        <v>4639</v>
      </c>
      <c r="E1546" s="5">
        <v>277.56</v>
      </c>
      <c r="F1546" s="6">
        <f>LOOKUP(D1546,'AMFI DATA_2023H2'!F:J,'AMFI DATA_2023H2'!J:J)</f>
        <v>209.4513</v>
      </c>
      <c r="G1546" s="7">
        <f t="shared" si="6"/>
        <v>-1</v>
      </c>
      <c r="H1546" s="9"/>
      <c r="I1546" s="9">
        <v>317</v>
      </c>
      <c r="J1546" s="9">
        <v>319</v>
      </c>
      <c r="K1546" s="9">
        <v>312</v>
      </c>
      <c r="L1546" s="9">
        <v>312</v>
      </c>
      <c r="M1546" s="9">
        <v>313</v>
      </c>
      <c r="N1546" s="9">
        <v>316</v>
      </c>
      <c r="O1546" s="9">
        <v>322</v>
      </c>
      <c r="P1546" s="9">
        <v>319</v>
      </c>
      <c r="Q1546" s="9">
        <v>319</v>
      </c>
      <c r="R1546" s="9">
        <v>321</v>
      </c>
      <c r="S1546" s="9">
        <v>328</v>
      </c>
      <c r="T1546" s="9">
        <v>327</v>
      </c>
      <c r="U1546" s="9">
        <v>329</v>
      </c>
      <c r="V1546" s="9">
        <v>333</v>
      </c>
      <c r="W1546" s="9">
        <v>337</v>
      </c>
      <c r="X1546" s="9">
        <v>325</v>
      </c>
      <c r="Y1546" s="9">
        <v>328</v>
      </c>
      <c r="Z1546" s="9">
        <v>329</v>
      </c>
      <c r="AA1546" s="9">
        <v>328</v>
      </c>
      <c r="AB1546" s="9">
        <v>331</v>
      </c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</row>
    <row r="1547" spans="1:47" ht="14.4">
      <c r="A1547" s="3">
        <f>LOOKUP(D1547,'AMFI DATA_2023H2'!F:L,'AMFI DATA_2023H2'!L:L)</f>
        <v>1929</v>
      </c>
      <c r="B1547" s="4" t="s">
        <v>4640</v>
      </c>
      <c r="C1547" s="4" t="s">
        <v>4641</v>
      </c>
      <c r="D1547" s="5" t="s">
        <v>4642</v>
      </c>
      <c r="E1547" s="5">
        <v>227.09</v>
      </c>
      <c r="F1547" s="6">
        <f>LOOKUP(D1547,'AMFI DATA_2023H2'!F:J,'AMFI DATA_2023H2'!J:J)</f>
        <v>208.66220000000001</v>
      </c>
      <c r="G1547" s="7">
        <f t="shared" si="6"/>
        <v>-1</v>
      </c>
      <c r="H1547" s="9"/>
      <c r="I1547" s="9">
        <v>213</v>
      </c>
      <c r="J1547" s="9">
        <v>222</v>
      </c>
      <c r="K1547" s="9">
        <v>216</v>
      </c>
      <c r="L1547" s="9">
        <v>223</v>
      </c>
      <c r="M1547" s="9">
        <v>211</v>
      </c>
      <c r="N1547" s="9">
        <v>215</v>
      </c>
      <c r="O1547" s="9">
        <v>214</v>
      </c>
      <c r="P1547" s="9">
        <v>213</v>
      </c>
      <c r="Q1547" s="9">
        <v>205</v>
      </c>
      <c r="R1547" s="9">
        <v>206</v>
      </c>
      <c r="S1547" s="9">
        <v>207</v>
      </c>
      <c r="T1547" s="9">
        <v>210</v>
      </c>
      <c r="U1547" s="9">
        <v>208</v>
      </c>
      <c r="V1547" s="9">
        <v>211</v>
      </c>
      <c r="W1547" s="9">
        <v>215</v>
      </c>
      <c r="X1547" s="9">
        <v>209</v>
      </c>
      <c r="Y1547" s="9">
        <v>202</v>
      </c>
      <c r="Z1547" s="9">
        <v>194</v>
      </c>
      <c r="AA1547" s="9">
        <v>198</v>
      </c>
      <c r="AB1547" s="9">
        <v>193</v>
      </c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</row>
    <row r="1548" spans="1:47" ht="14.4">
      <c r="A1548" s="3">
        <f>LOOKUP(D1548,'AMFI DATA_2023H2'!F:L,'AMFI DATA_2023H2'!L:L)</f>
        <v>1930</v>
      </c>
      <c r="B1548" s="4" t="s">
        <v>4643</v>
      </c>
      <c r="C1548" s="4" t="s">
        <v>4644</v>
      </c>
      <c r="D1548" s="5" t="s">
        <v>4645</v>
      </c>
      <c r="E1548" s="5">
        <v>112.54</v>
      </c>
      <c r="F1548" s="6">
        <f>LOOKUP(D1548,'AMFI DATA_2023H2'!F:J,'AMFI DATA_2023H2'!J:J)</f>
        <v>208.20107234226191</v>
      </c>
      <c r="G1548" s="7">
        <f t="shared" si="6"/>
        <v>-1</v>
      </c>
      <c r="H1548" s="9"/>
      <c r="I1548" s="9">
        <v>270</v>
      </c>
      <c r="J1548" s="9">
        <v>270</v>
      </c>
      <c r="K1548" s="9">
        <v>276</v>
      </c>
      <c r="L1548" s="9">
        <v>281</v>
      </c>
      <c r="M1548" s="9">
        <v>287</v>
      </c>
      <c r="N1548" s="9">
        <v>288</v>
      </c>
      <c r="O1548" s="9">
        <v>285</v>
      </c>
      <c r="P1548" s="9">
        <v>288</v>
      </c>
      <c r="Q1548" s="9">
        <v>288</v>
      </c>
      <c r="R1548" s="9">
        <v>283</v>
      </c>
      <c r="S1548" s="9">
        <v>278</v>
      </c>
      <c r="T1548" s="9">
        <v>273</v>
      </c>
      <c r="U1548" s="9">
        <v>268</v>
      </c>
      <c r="V1548" s="9">
        <v>262</v>
      </c>
      <c r="W1548" s="9">
        <v>268</v>
      </c>
      <c r="X1548" s="9">
        <v>273</v>
      </c>
      <c r="Y1548" s="9">
        <v>279</v>
      </c>
      <c r="Z1548" s="9">
        <v>282</v>
      </c>
      <c r="AA1548" s="9">
        <v>285</v>
      </c>
      <c r="AB1548" s="9">
        <v>293</v>
      </c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</row>
    <row r="1549" spans="1:47" ht="14.4">
      <c r="A1549" s="3">
        <f>LOOKUP(D1549,'AMFI DATA_2023H2'!F:L,'AMFI DATA_2023H2'!L:L)</f>
        <v>1937</v>
      </c>
      <c r="B1549" s="4" t="s">
        <v>4646</v>
      </c>
      <c r="C1549" s="4" t="s">
        <v>4647</v>
      </c>
      <c r="D1549" s="5" t="s">
        <v>4648</v>
      </c>
      <c r="E1549" s="5">
        <v>143.94</v>
      </c>
      <c r="F1549" s="6">
        <f>LOOKUP(D1549,'AMFI DATA_2023H2'!F:J,'AMFI DATA_2023H2'!J:J)</f>
        <v>205.95835</v>
      </c>
      <c r="G1549" s="7">
        <f t="shared" si="6"/>
        <v>-1</v>
      </c>
      <c r="H1549" s="9"/>
      <c r="I1549" s="9">
        <v>354</v>
      </c>
      <c r="J1549" s="9">
        <v>373</v>
      </c>
      <c r="K1549" s="9">
        <v>355</v>
      </c>
      <c r="L1549" s="9">
        <v>338</v>
      </c>
      <c r="M1549" s="9">
        <v>322</v>
      </c>
      <c r="N1549" s="9">
        <v>307</v>
      </c>
      <c r="O1549" s="9">
        <v>309</v>
      </c>
      <c r="P1549" s="9">
        <v>318</v>
      </c>
      <c r="Q1549" s="9">
        <v>309</v>
      </c>
      <c r="R1549" s="9">
        <v>295</v>
      </c>
      <c r="S1549" s="9">
        <v>303</v>
      </c>
      <c r="T1549" s="9">
        <v>306</v>
      </c>
      <c r="U1549" s="9">
        <v>306</v>
      </c>
      <c r="V1549" s="9">
        <v>305</v>
      </c>
      <c r="W1549" s="9">
        <v>308</v>
      </c>
      <c r="X1549" s="9">
        <v>324</v>
      </c>
      <c r="Y1549" s="9">
        <v>341</v>
      </c>
      <c r="Z1549" s="9">
        <v>325</v>
      </c>
      <c r="AA1549" s="9">
        <v>312</v>
      </c>
      <c r="AB1549" s="9">
        <v>296</v>
      </c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</row>
    <row r="1550" spans="1:47" ht="14.4">
      <c r="A1550" s="3">
        <f>LOOKUP(D1550,'AMFI DATA_2023H2'!F:L,'AMFI DATA_2023H2'!L:L)</f>
        <v>1943</v>
      </c>
      <c r="B1550" s="4" t="s">
        <v>4649</v>
      </c>
      <c r="C1550" s="4" t="s">
        <v>4650</v>
      </c>
      <c r="D1550" s="5" t="s">
        <v>4651</v>
      </c>
      <c r="E1550" s="5">
        <v>148.79</v>
      </c>
      <c r="F1550" s="6">
        <f>LOOKUP(D1550,'AMFI DATA_2023H2'!F:J,'AMFI DATA_2023H2'!J:J)</f>
        <v>205.11955</v>
      </c>
      <c r="G1550" s="7">
        <f t="shared" si="6"/>
        <v>-1</v>
      </c>
      <c r="H1550" s="9"/>
      <c r="I1550" s="9">
        <v>282</v>
      </c>
      <c r="J1550" s="9">
        <v>278</v>
      </c>
      <c r="K1550" s="9">
        <v>284</v>
      </c>
      <c r="L1550" s="9">
        <v>291</v>
      </c>
      <c r="M1550" s="9">
        <v>264</v>
      </c>
      <c r="N1550" s="9">
        <v>247</v>
      </c>
      <c r="O1550" s="9">
        <v>244</v>
      </c>
      <c r="P1550" s="9">
        <v>0</v>
      </c>
      <c r="Q1550" s="9">
        <v>240</v>
      </c>
      <c r="R1550" s="9">
        <v>241</v>
      </c>
      <c r="S1550" s="9">
        <v>243</v>
      </c>
      <c r="T1550" s="9">
        <v>247</v>
      </c>
      <c r="U1550" s="9">
        <v>248</v>
      </c>
      <c r="V1550" s="9">
        <v>234</v>
      </c>
      <c r="W1550" s="9">
        <v>237</v>
      </c>
      <c r="X1550" s="9">
        <v>239</v>
      </c>
      <c r="Y1550" s="9">
        <v>237</v>
      </c>
      <c r="Z1550" s="9">
        <v>242</v>
      </c>
      <c r="AA1550" s="9">
        <v>244</v>
      </c>
      <c r="AB1550" s="9">
        <v>242</v>
      </c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</row>
    <row r="1551" spans="1:47" ht="14.4">
      <c r="A1551" s="3">
        <f>LOOKUP(D1551,'AMFI DATA_2023H2'!F:L,'AMFI DATA_2023H2'!L:L)</f>
        <v>1944</v>
      </c>
      <c r="B1551" s="4" t="s">
        <v>4652</v>
      </c>
      <c r="C1551" s="4" t="s">
        <v>4653</v>
      </c>
      <c r="D1551" s="5" t="s">
        <v>4654</v>
      </c>
      <c r="E1551" s="5">
        <v>164.84</v>
      </c>
      <c r="F1551" s="6">
        <f>LOOKUP(D1551,'AMFI DATA_2023H2'!F:J,'AMFI DATA_2023H2'!J:J)</f>
        <v>204.91895</v>
      </c>
      <c r="G1551" s="7">
        <f t="shared" si="6"/>
        <v>-1</v>
      </c>
      <c r="H1551" s="9"/>
      <c r="I1551" s="9">
        <v>460</v>
      </c>
      <c r="J1551" s="9">
        <v>469</v>
      </c>
      <c r="K1551" s="9">
        <v>478</v>
      </c>
      <c r="L1551" s="9">
        <v>488</v>
      </c>
      <c r="M1551" s="9">
        <v>498</v>
      </c>
      <c r="N1551" s="9">
        <v>473</v>
      </c>
      <c r="O1551" s="9">
        <v>452</v>
      </c>
      <c r="P1551" s="9">
        <v>429</v>
      </c>
      <c r="Q1551" s="9">
        <v>410</v>
      </c>
      <c r="R1551" s="9">
        <v>390</v>
      </c>
      <c r="S1551" s="9">
        <v>372</v>
      </c>
      <c r="T1551" s="9">
        <v>353</v>
      </c>
      <c r="U1551" s="9">
        <v>337</v>
      </c>
      <c r="V1551" s="9">
        <v>321</v>
      </c>
      <c r="W1551" s="9">
        <v>306</v>
      </c>
      <c r="X1551" s="9">
        <v>291</v>
      </c>
      <c r="Y1551" s="9">
        <v>278</v>
      </c>
      <c r="Z1551" s="9">
        <v>264</v>
      </c>
      <c r="AA1551" s="9">
        <v>250</v>
      </c>
      <c r="AB1551" s="9">
        <v>239</v>
      </c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</row>
    <row r="1552" spans="1:47" ht="14.4">
      <c r="A1552" s="3">
        <f>LOOKUP(D1552,'AMFI DATA_2023H2'!F:L,'AMFI DATA_2023H2'!L:L)</f>
        <v>1945</v>
      </c>
      <c r="B1552" s="4" t="s">
        <v>4655</v>
      </c>
      <c r="C1552" s="4" t="s">
        <v>4656</v>
      </c>
      <c r="D1552" s="5" t="s">
        <v>4657</v>
      </c>
      <c r="E1552" s="5">
        <v>153.91999999999999</v>
      </c>
      <c r="F1552" s="6">
        <f>LOOKUP(D1552,'AMFI DATA_2023H2'!F:J,'AMFI DATA_2023H2'!J:J)</f>
        <v>204.49725000000001</v>
      </c>
      <c r="G1552" s="7">
        <f t="shared" si="6"/>
        <v>-1</v>
      </c>
      <c r="H1552" s="9"/>
      <c r="I1552" s="9">
        <v>209</v>
      </c>
      <c r="J1552" s="9">
        <v>205</v>
      </c>
      <c r="K1552" s="9">
        <v>202</v>
      </c>
      <c r="L1552" s="9">
        <v>202</v>
      </c>
      <c r="M1552" s="9">
        <v>209</v>
      </c>
      <c r="N1552" s="9">
        <v>211</v>
      </c>
      <c r="O1552" s="9">
        <v>207</v>
      </c>
      <c r="P1552" s="9">
        <v>208</v>
      </c>
      <c r="Q1552" s="9">
        <v>210</v>
      </c>
      <c r="R1552" s="9">
        <v>207</v>
      </c>
      <c r="S1552" s="9">
        <v>207</v>
      </c>
      <c r="T1552" s="9">
        <v>211</v>
      </c>
      <c r="U1552" s="9">
        <v>205</v>
      </c>
      <c r="V1552" s="9">
        <v>210</v>
      </c>
      <c r="W1552" s="9">
        <v>215</v>
      </c>
      <c r="X1552" s="9">
        <v>215</v>
      </c>
      <c r="Y1552" s="9">
        <v>219</v>
      </c>
      <c r="Z1552" s="9">
        <v>211</v>
      </c>
      <c r="AA1552" s="9">
        <v>197</v>
      </c>
      <c r="AB1552" s="9">
        <v>197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</row>
    <row r="1553" spans="1:47" ht="14.4">
      <c r="A1553" s="3">
        <f>LOOKUP(D1553,'AMFI DATA_2023H2'!F:L,'AMFI DATA_2023H2'!L:L)</f>
        <v>1946</v>
      </c>
      <c r="B1553" s="4" t="s">
        <v>4658</v>
      </c>
      <c r="C1553" s="4" t="s">
        <v>4659</v>
      </c>
      <c r="D1553" s="5" t="s">
        <v>4660</v>
      </c>
      <c r="E1553" s="5">
        <v>210.5</v>
      </c>
      <c r="F1553" s="6">
        <f>LOOKUP(D1553,'AMFI DATA_2023H2'!F:J,'AMFI DATA_2023H2'!J:J)</f>
        <v>204.49299999999999</v>
      </c>
      <c r="G1553" s="7">
        <f t="shared" si="6"/>
        <v>-1</v>
      </c>
      <c r="H1553" s="9"/>
      <c r="I1553" s="9">
        <v>207</v>
      </c>
      <c r="J1553" s="9">
        <v>206</v>
      </c>
      <c r="K1553" s="9">
        <v>206</v>
      </c>
      <c r="L1553" s="9">
        <v>205</v>
      </c>
      <c r="M1553" s="9">
        <v>208</v>
      </c>
      <c r="N1553" s="9">
        <v>210</v>
      </c>
      <c r="O1553" s="9">
        <v>211</v>
      </c>
      <c r="P1553" s="9">
        <v>211</v>
      </c>
      <c r="Q1553" s="9">
        <v>205</v>
      </c>
      <c r="R1553" s="9">
        <v>204</v>
      </c>
      <c r="S1553" s="9">
        <v>205</v>
      </c>
      <c r="T1553" s="9">
        <v>206</v>
      </c>
      <c r="U1553" s="9">
        <v>206</v>
      </c>
      <c r="V1553" s="9">
        <v>204</v>
      </c>
      <c r="W1553" s="9">
        <v>206</v>
      </c>
      <c r="X1553" s="9">
        <v>197</v>
      </c>
      <c r="Y1553" s="9">
        <v>197</v>
      </c>
      <c r="Z1553" s="9">
        <v>195</v>
      </c>
      <c r="AA1553" s="9">
        <v>196</v>
      </c>
      <c r="AB1553" s="9">
        <v>201</v>
      </c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</row>
    <row r="1554" spans="1:47" ht="14.4">
      <c r="A1554" s="3">
        <f>LOOKUP(D1554,'AMFI DATA_2023H2'!F:L,'AMFI DATA_2023H2'!L:L)</f>
        <v>1949</v>
      </c>
      <c r="B1554" s="4" t="s">
        <v>4661</v>
      </c>
      <c r="C1554" s="4" t="s">
        <v>4662</v>
      </c>
      <c r="D1554" s="5" t="s">
        <v>4663</v>
      </c>
      <c r="E1554" s="5">
        <v>161.53</v>
      </c>
      <c r="F1554" s="6">
        <f>LOOKUP(D1554,'AMFI DATA_2023H2'!F:J,'AMFI DATA_2023H2'!J:J)</f>
        <v>203.71195</v>
      </c>
      <c r="G1554" s="7">
        <f t="shared" si="6"/>
        <v>-1</v>
      </c>
      <c r="H1554" s="9"/>
      <c r="I1554" s="9">
        <v>240</v>
      </c>
      <c r="J1554" s="9">
        <v>243</v>
      </c>
      <c r="K1554" s="9">
        <v>239</v>
      </c>
      <c r="L1554" s="9">
        <v>243</v>
      </c>
      <c r="M1554" s="9">
        <v>252</v>
      </c>
      <c r="N1554" s="9">
        <v>244</v>
      </c>
      <c r="O1554" s="9">
        <v>237</v>
      </c>
      <c r="P1554" s="9">
        <v>235</v>
      </c>
      <c r="Q1554" s="9">
        <v>238</v>
      </c>
      <c r="R1554" s="9">
        <v>226</v>
      </c>
      <c r="S1554" s="9">
        <v>227</v>
      </c>
      <c r="T1554" s="9">
        <v>237</v>
      </c>
      <c r="U1554" s="9">
        <v>216</v>
      </c>
      <c r="V1554" s="9">
        <v>214</v>
      </c>
      <c r="W1554" s="9">
        <v>216</v>
      </c>
      <c r="X1554" s="9">
        <v>214</v>
      </c>
      <c r="Y1554" s="9">
        <v>216</v>
      </c>
      <c r="Z1554" s="9">
        <v>217</v>
      </c>
      <c r="AA1554" s="9">
        <v>220</v>
      </c>
      <c r="AB1554" s="9">
        <v>219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</row>
    <row r="1555" spans="1:47" ht="14.4">
      <c r="A1555" s="3">
        <f>LOOKUP(D1555,'AMFI DATA_2023H2'!F:L,'AMFI DATA_2023H2'!L:L)</f>
        <v>1950</v>
      </c>
      <c r="B1555" s="4" t="s">
        <v>4664</v>
      </c>
      <c r="C1555" s="4" t="s">
        <v>4665</v>
      </c>
      <c r="D1555" s="5" t="s">
        <v>4666</v>
      </c>
      <c r="E1555" s="5">
        <v>145.35</v>
      </c>
      <c r="F1555" s="6">
        <f>LOOKUP(D1555,'AMFI DATA_2023H2'!F:J,'AMFI DATA_2023H2'!J:J)</f>
        <v>203.14415</v>
      </c>
      <c r="G1555" s="7">
        <f t="shared" si="6"/>
        <v>-1</v>
      </c>
      <c r="H1555" s="9"/>
      <c r="I1555" s="9">
        <v>346</v>
      </c>
      <c r="J1555" s="9">
        <v>314</v>
      </c>
      <c r="K1555" s="9">
        <v>295</v>
      </c>
      <c r="L1555" s="9">
        <v>301</v>
      </c>
      <c r="M1555" s="9">
        <v>303</v>
      </c>
      <c r="N1555" s="9">
        <v>309</v>
      </c>
      <c r="O1555" s="9">
        <v>311</v>
      </c>
      <c r="P1555" s="9">
        <v>307</v>
      </c>
      <c r="Q1555" s="9">
        <v>317</v>
      </c>
      <c r="R1555" s="9">
        <v>326</v>
      </c>
      <c r="S1555" s="9">
        <v>314</v>
      </c>
      <c r="T1555" s="9">
        <v>301</v>
      </c>
      <c r="U1555" s="9">
        <v>302</v>
      </c>
      <c r="V1555" s="9">
        <v>305</v>
      </c>
      <c r="W1555" s="9">
        <v>308</v>
      </c>
      <c r="X1555" s="9">
        <v>297</v>
      </c>
      <c r="Y1555" s="9">
        <v>301</v>
      </c>
      <c r="Z1555" s="9">
        <v>300</v>
      </c>
      <c r="AA1555" s="9">
        <v>297</v>
      </c>
      <c r="AB1555" s="9">
        <v>302</v>
      </c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</row>
    <row r="1556" spans="1:47" ht="14.4">
      <c r="A1556" s="3">
        <f>LOOKUP(D1556,'AMFI DATA_2023H2'!F:L,'AMFI DATA_2023H2'!L:L)</f>
        <v>1951</v>
      </c>
      <c r="B1556" s="4" t="s">
        <v>4667</v>
      </c>
      <c r="C1556" s="4" t="s">
        <v>4668</v>
      </c>
      <c r="D1556" s="5" t="s">
        <v>4669</v>
      </c>
      <c r="E1556" s="5">
        <v>162.91999999999999</v>
      </c>
      <c r="F1556" s="6">
        <f>LOOKUP(D1556,'AMFI DATA_2023H2'!F:J,'AMFI DATA_2023H2'!J:J)</f>
        <v>203.07074999999998</v>
      </c>
      <c r="G1556" s="7">
        <f t="shared" si="6"/>
        <v>-1</v>
      </c>
      <c r="H1556" s="9"/>
      <c r="I1556" s="9">
        <v>275</v>
      </c>
      <c r="J1556" s="9">
        <v>262</v>
      </c>
      <c r="K1556" s="9">
        <v>253</v>
      </c>
      <c r="L1556" s="9">
        <v>250</v>
      </c>
      <c r="M1556" s="9">
        <v>263</v>
      </c>
      <c r="N1556" s="9">
        <v>250</v>
      </c>
      <c r="O1556" s="9">
        <v>245</v>
      </c>
      <c r="P1556" s="9">
        <v>233</v>
      </c>
      <c r="Q1556" s="9">
        <v>222</v>
      </c>
      <c r="R1556" s="9">
        <v>212</v>
      </c>
      <c r="S1556" s="9">
        <v>218</v>
      </c>
      <c r="T1556" s="9">
        <v>213</v>
      </c>
      <c r="U1556" s="9">
        <v>217</v>
      </c>
      <c r="V1556" s="9">
        <v>225</v>
      </c>
      <c r="W1556" s="9">
        <v>216</v>
      </c>
      <c r="X1556" s="9">
        <v>216</v>
      </c>
      <c r="Y1556" s="9">
        <v>220</v>
      </c>
      <c r="Z1556" s="9">
        <v>225</v>
      </c>
      <c r="AA1556" s="9">
        <v>202</v>
      </c>
      <c r="AB1556" s="9">
        <v>220</v>
      </c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</row>
    <row r="1557" spans="1:47" ht="14.4">
      <c r="A1557" s="3">
        <f>LOOKUP(D1557,'AMFI DATA_2023H2'!F:L,'AMFI DATA_2023H2'!L:L)</f>
        <v>1954</v>
      </c>
      <c r="B1557" s="4" t="s">
        <v>4670</v>
      </c>
      <c r="C1557" s="4" t="s">
        <v>4671</v>
      </c>
      <c r="D1557" s="5" t="s">
        <v>4672</v>
      </c>
      <c r="E1557" s="5">
        <v>165.46</v>
      </c>
      <c r="F1557" s="6">
        <f>LOOKUP(D1557,'AMFI DATA_2023H2'!F:J,'AMFI DATA_2023H2'!J:J)</f>
        <v>201.67335</v>
      </c>
      <c r="G1557" s="7">
        <f t="shared" si="6"/>
        <v>-1</v>
      </c>
      <c r="H1557" s="9"/>
      <c r="I1557" s="9">
        <v>230</v>
      </c>
      <c r="J1557" s="9">
        <v>230</v>
      </c>
      <c r="K1557" s="9">
        <v>236</v>
      </c>
      <c r="L1557" s="9">
        <v>237</v>
      </c>
      <c r="M1557" s="9">
        <v>246</v>
      </c>
      <c r="N1557" s="9">
        <v>239</v>
      </c>
      <c r="O1557" s="9">
        <v>242</v>
      </c>
      <c r="P1557" s="9">
        <v>236</v>
      </c>
      <c r="Q1557" s="9">
        <v>234</v>
      </c>
      <c r="R1557" s="9">
        <v>219</v>
      </c>
      <c r="S1557" s="9">
        <v>219</v>
      </c>
      <c r="T1557" s="9">
        <v>221</v>
      </c>
      <c r="U1557" s="9">
        <v>223</v>
      </c>
      <c r="V1557" s="9">
        <v>223</v>
      </c>
      <c r="W1557" s="9">
        <v>219</v>
      </c>
      <c r="X1557" s="9">
        <v>216</v>
      </c>
      <c r="Y1557" s="9">
        <v>219</v>
      </c>
      <c r="Z1557" s="9">
        <v>222</v>
      </c>
      <c r="AA1557" s="9">
        <v>224</v>
      </c>
      <c r="AB1557" s="9">
        <v>227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</row>
    <row r="1558" spans="1:47" ht="14.4">
      <c r="A1558" s="3">
        <f>LOOKUP(D1558,'AMFI DATA_2023H2'!F:L,'AMFI DATA_2023H2'!L:L)</f>
        <v>1955</v>
      </c>
      <c r="B1558" s="4" t="s">
        <v>4673</v>
      </c>
      <c r="C1558" s="4" t="s">
        <v>4674</v>
      </c>
      <c r="D1558" s="5" t="s">
        <v>4675</v>
      </c>
      <c r="E1558" s="5">
        <v>123.77</v>
      </c>
      <c r="F1558" s="6">
        <f>LOOKUP(D1558,'AMFI DATA_2023H2'!F:J,'AMFI DATA_2023H2'!J:J)</f>
        <v>200.35095000000001</v>
      </c>
      <c r="G1558" s="7">
        <f t="shared" si="6"/>
        <v>-1</v>
      </c>
      <c r="H1558" s="9"/>
      <c r="I1558" s="9">
        <v>352</v>
      </c>
      <c r="J1558" s="9">
        <v>337</v>
      </c>
      <c r="K1558" s="9">
        <v>320</v>
      </c>
      <c r="L1558" s="9">
        <v>321</v>
      </c>
      <c r="M1558" s="9">
        <v>308</v>
      </c>
      <c r="N1558" s="9">
        <v>308</v>
      </c>
      <c r="O1558" s="9">
        <v>293</v>
      </c>
      <c r="P1558" s="9">
        <v>295</v>
      </c>
      <c r="Q1558" s="9">
        <v>306</v>
      </c>
      <c r="R1558" s="9">
        <v>303</v>
      </c>
      <c r="S1558" s="9">
        <v>280</v>
      </c>
      <c r="T1558" s="9">
        <v>278</v>
      </c>
      <c r="U1558" s="9">
        <v>285</v>
      </c>
      <c r="V1558" s="9">
        <v>259</v>
      </c>
      <c r="W1558" s="9">
        <v>237</v>
      </c>
      <c r="X1558" s="9">
        <v>227</v>
      </c>
      <c r="Y1558" s="9">
        <v>231</v>
      </c>
      <c r="Z1558" s="9">
        <v>229</v>
      </c>
      <c r="AA1558" s="9">
        <v>229</v>
      </c>
      <c r="AB1558" s="9">
        <v>232</v>
      </c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</row>
    <row r="1559" spans="1:47" ht="14.4">
      <c r="A1559" s="3">
        <f>LOOKUP(D1559,'AMFI DATA_2023H2'!F:L,'AMFI DATA_2023H2'!L:L)</f>
        <v>1958</v>
      </c>
      <c r="B1559" s="4" t="s">
        <v>4676</v>
      </c>
      <c r="C1559" s="4" t="s">
        <v>4677</v>
      </c>
      <c r="D1559" s="5" t="s">
        <v>4678</v>
      </c>
      <c r="E1559" s="5">
        <v>218.85</v>
      </c>
      <c r="F1559" s="6">
        <f>LOOKUP(D1559,'AMFI DATA_2023H2'!F:J,'AMFI DATA_2023H2'!J:J)</f>
        <v>200.03019999999998</v>
      </c>
      <c r="G1559" s="7">
        <f t="shared" si="6"/>
        <v>-1</v>
      </c>
      <c r="H1559" s="9"/>
      <c r="I1559" s="9">
        <v>230</v>
      </c>
      <c r="J1559" s="9">
        <v>219</v>
      </c>
      <c r="K1559" s="9">
        <v>220</v>
      </c>
      <c r="L1559" s="9">
        <v>223</v>
      </c>
      <c r="M1559" s="9">
        <v>224</v>
      </c>
      <c r="N1559" s="9">
        <v>217</v>
      </c>
      <c r="O1559" s="9">
        <v>216</v>
      </c>
      <c r="P1559" s="9">
        <v>208</v>
      </c>
      <c r="Q1559" s="9">
        <v>211</v>
      </c>
      <c r="R1559" s="9">
        <v>215</v>
      </c>
      <c r="S1559" s="9">
        <v>219</v>
      </c>
      <c r="T1559" s="9">
        <v>221</v>
      </c>
      <c r="U1559" s="9">
        <v>217</v>
      </c>
      <c r="V1559" s="9">
        <v>219</v>
      </c>
      <c r="W1559" s="9">
        <v>219</v>
      </c>
      <c r="X1559" s="9">
        <v>225</v>
      </c>
      <c r="Y1559" s="9">
        <v>222</v>
      </c>
      <c r="Z1559" s="9">
        <v>215</v>
      </c>
      <c r="AA1559" s="9">
        <v>210</v>
      </c>
      <c r="AB1559" s="9">
        <v>215</v>
      </c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</row>
    <row r="1560" spans="1:47" ht="14.4">
      <c r="A1560" s="3">
        <f>LOOKUP(D1560,'AMFI DATA_2023H2'!F:L,'AMFI DATA_2023H2'!L:L)</f>
        <v>1965</v>
      </c>
      <c r="B1560" s="4" t="s">
        <v>4679</v>
      </c>
      <c r="C1560" s="4" t="s">
        <v>4680</v>
      </c>
      <c r="D1560" s="5" t="s">
        <v>4681</v>
      </c>
      <c r="E1560" s="5">
        <v>193.71</v>
      </c>
      <c r="F1560" s="6">
        <f>LOOKUP(D1560,'AMFI DATA_2023H2'!F:J,'AMFI DATA_2023H2'!J:J)</f>
        <v>198.04230000000001</v>
      </c>
      <c r="G1560" s="7">
        <f t="shared" si="6"/>
        <v>-1</v>
      </c>
      <c r="H1560" s="9"/>
      <c r="I1560" s="9">
        <v>269</v>
      </c>
      <c r="J1560" s="9">
        <v>262</v>
      </c>
      <c r="K1560" s="9">
        <v>254</v>
      </c>
      <c r="L1560" s="9">
        <v>259</v>
      </c>
      <c r="M1560" s="9">
        <v>259</v>
      </c>
      <c r="N1560" s="9">
        <v>273</v>
      </c>
      <c r="O1560" s="9">
        <v>286</v>
      </c>
      <c r="P1560" s="9">
        <v>281</v>
      </c>
      <c r="Q1560" s="9">
        <v>277</v>
      </c>
      <c r="R1560" s="9">
        <v>290</v>
      </c>
      <c r="S1560" s="9">
        <v>277</v>
      </c>
      <c r="T1560" s="9">
        <v>265</v>
      </c>
      <c r="U1560" s="9">
        <v>255</v>
      </c>
      <c r="V1560" s="9">
        <v>261</v>
      </c>
      <c r="W1560" s="9">
        <v>257</v>
      </c>
      <c r="X1560" s="9">
        <v>245</v>
      </c>
      <c r="Y1560" s="9">
        <v>233</v>
      </c>
      <c r="Z1560" s="9">
        <v>222</v>
      </c>
      <c r="AA1560" s="9">
        <v>212</v>
      </c>
      <c r="AB1560" s="9">
        <v>203</v>
      </c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</row>
    <row r="1561" spans="1:47" ht="14.4">
      <c r="A1561" s="3">
        <f>LOOKUP(D1561,'AMFI DATA_2023H2'!F:L,'AMFI DATA_2023H2'!L:L)</f>
        <v>1971</v>
      </c>
      <c r="B1561" s="4" t="s">
        <v>4682</v>
      </c>
      <c r="C1561" s="4" t="s">
        <v>4683</v>
      </c>
      <c r="D1561" s="5" t="s">
        <v>4684</v>
      </c>
      <c r="E1561" s="5">
        <v>162</v>
      </c>
      <c r="F1561" s="6">
        <f>LOOKUP(D1561,'AMFI DATA_2023H2'!F:J,'AMFI DATA_2023H2'!J:J)</f>
        <v>197.13135</v>
      </c>
      <c r="G1561" s="7">
        <f t="shared" si="6"/>
        <v>-1</v>
      </c>
      <c r="H1561" s="9"/>
      <c r="I1561" s="9">
        <v>221</v>
      </c>
      <c r="J1561" s="9">
        <v>225</v>
      </c>
      <c r="K1561" s="9">
        <v>230</v>
      </c>
      <c r="L1561" s="9">
        <v>230</v>
      </c>
      <c r="M1561" s="9">
        <v>238</v>
      </c>
      <c r="N1561" s="9">
        <v>238</v>
      </c>
      <c r="O1561" s="9">
        <v>234</v>
      </c>
      <c r="P1561" s="9">
        <v>223</v>
      </c>
      <c r="Q1561" s="9">
        <v>225</v>
      </c>
      <c r="R1561" s="9">
        <v>225</v>
      </c>
      <c r="S1561" s="9">
        <v>221</v>
      </c>
      <c r="T1561" s="9">
        <v>226</v>
      </c>
      <c r="U1561" s="9">
        <v>218</v>
      </c>
      <c r="V1561" s="9">
        <v>213</v>
      </c>
      <c r="W1561" s="9">
        <v>212</v>
      </c>
      <c r="X1561" s="9">
        <v>210</v>
      </c>
      <c r="Y1561" s="9">
        <v>214</v>
      </c>
      <c r="Z1561" s="9">
        <v>208</v>
      </c>
      <c r="AA1561" s="9">
        <v>211</v>
      </c>
      <c r="AB1561" s="9">
        <v>210</v>
      </c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</row>
    <row r="1562" spans="1:47" ht="14.4">
      <c r="A1562" s="3">
        <f>LOOKUP(D1562,'AMFI DATA_2023H2'!F:L,'AMFI DATA_2023H2'!L:L)</f>
        <v>1975</v>
      </c>
      <c r="B1562" s="4" t="s">
        <v>4685</v>
      </c>
      <c r="C1562" s="4" t="s">
        <v>4686</v>
      </c>
      <c r="D1562" s="5" t="s">
        <v>4687</v>
      </c>
      <c r="E1562" s="5">
        <v>201.17</v>
      </c>
      <c r="F1562" s="6">
        <f>LOOKUP(D1562,'AMFI DATA_2023H2'!F:J,'AMFI DATA_2023H2'!J:J)</f>
        <v>195.96129999999999</v>
      </c>
      <c r="G1562" s="7">
        <f t="shared" si="6"/>
        <v>-1</v>
      </c>
      <c r="H1562" s="9"/>
      <c r="I1562" s="9">
        <v>228</v>
      </c>
      <c r="J1562" s="9">
        <v>229</v>
      </c>
      <c r="K1562" s="9">
        <v>226</v>
      </c>
      <c r="L1562" s="9">
        <v>230</v>
      </c>
      <c r="M1562" s="9">
        <v>232</v>
      </c>
      <c r="N1562" s="9">
        <v>238</v>
      </c>
      <c r="O1562" s="9">
        <v>240</v>
      </c>
      <c r="P1562" s="9">
        <v>243</v>
      </c>
      <c r="Q1562" s="9">
        <v>248</v>
      </c>
      <c r="R1562" s="9">
        <v>241</v>
      </c>
      <c r="S1562" s="9">
        <v>238</v>
      </c>
      <c r="T1562" s="9">
        <v>238</v>
      </c>
      <c r="U1562" s="9">
        <v>228</v>
      </c>
      <c r="V1562" s="9">
        <v>232</v>
      </c>
      <c r="W1562" s="9">
        <v>230</v>
      </c>
      <c r="X1562" s="9">
        <v>233</v>
      </c>
      <c r="Y1562" s="9">
        <v>246</v>
      </c>
      <c r="Z1562" s="9">
        <v>243</v>
      </c>
      <c r="AA1562" s="9">
        <v>203</v>
      </c>
      <c r="AB1562" s="9">
        <v>204</v>
      </c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</row>
    <row r="1563" spans="1:47" ht="14.4">
      <c r="A1563" s="3">
        <f>LOOKUP(D1563,'AMFI DATA_2023H2'!F:L,'AMFI DATA_2023H2'!L:L)</f>
        <v>1976</v>
      </c>
      <c r="B1563" s="4" t="s">
        <v>4688</v>
      </c>
      <c r="C1563" s="4" t="s">
        <v>4689</v>
      </c>
      <c r="D1563" s="5" t="s">
        <v>4690</v>
      </c>
      <c r="E1563" s="5">
        <v>163.92</v>
      </c>
      <c r="F1563" s="6">
        <f>LOOKUP(D1563,'AMFI DATA_2023H2'!F:J,'AMFI DATA_2023H2'!J:J)</f>
        <v>195.13229999999999</v>
      </c>
      <c r="G1563" s="7">
        <f t="shared" si="6"/>
        <v>-1</v>
      </c>
      <c r="H1563" s="9"/>
      <c r="I1563" s="9">
        <v>237</v>
      </c>
      <c r="J1563" s="9">
        <v>234</v>
      </c>
      <c r="K1563" s="9">
        <v>234</v>
      </c>
      <c r="L1563" s="9">
        <v>233</v>
      </c>
      <c r="M1563" s="9">
        <v>235</v>
      </c>
      <c r="N1563" s="9">
        <v>243</v>
      </c>
      <c r="O1563" s="9">
        <v>246</v>
      </c>
      <c r="P1563" s="9">
        <v>243</v>
      </c>
      <c r="Q1563" s="9">
        <v>222</v>
      </c>
      <c r="R1563" s="9">
        <v>224</v>
      </c>
      <c r="S1563" s="9">
        <v>223</v>
      </c>
      <c r="T1563" s="9">
        <v>227</v>
      </c>
      <c r="U1563" s="9">
        <v>226</v>
      </c>
      <c r="V1563" s="9">
        <v>231</v>
      </c>
      <c r="W1563" s="9">
        <v>235</v>
      </c>
      <c r="X1563" s="9">
        <v>215</v>
      </c>
      <c r="Y1563" s="9">
        <v>215</v>
      </c>
      <c r="Z1563" s="9">
        <v>216</v>
      </c>
      <c r="AA1563" s="9">
        <v>219</v>
      </c>
      <c r="AB1563" s="9">
        <v>221</v>
      </c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</row>
    <row r="1564" spans="1:47" ht="14.4">
      <c r="A1564" s="3">
        <f>LOOKUP(D1564,'AMFI DATA_2023H2'!F:L,'AMFI DATA_2023H2'!L:L)</f>
        <v>1978</v>
      </c>
      <c r="B1564" s="4" t="s">
        <v>4691</v>
      </c>
      <c r="C1564" s="4" t="s">
        <v>4692</v>
      </c>
      <c r="D1564" s="5" t="s">
        <v>4693</v>
      </c>
      <c r="E1564" s="5">
        <v>160</v>
      </c>
      <c r="F1564" s="6">
        <f>LOOKUP(D1564,'AMFI DATA_2023H2'!F:J,'AMFI DATA_2023H2'!J:J)</f>
        <v>194.16694999999999</v>
      </c>
      <c r="G1564" s="7">
        <f t="shared" si="6"/>
        <v>-1</v>
      </c>
      <c r="H1564" s="9"/>
      <c r="I1564" s="9">
        <v>285</v>
      </c>
      <c r="J1564" s="9">
        <v>279</v>
      </c>
      <c r="K1564" s="9">
        <v>284</v>
      </c>
      <c r="L1564" s="9">
        <v>289</v>
      </c>
      <c r="M1564" s="9">
        <v>279</v>
      </c>
      <c r="N1564" s="9">
        <v>280</v>
      </c>
      <c r="O1564" s="9">
        <v>271</v>
      </c>
      <c r="P1564" s="9">
        <v>265</v>
      </c>
      <c r="Q1564" s="9">
        <v>270</v>
      </c>
      <c r="R1564" s="9">
        <v>261</v>
      </c>
      <c r="S1564" s="9">
        <v>254</v>
      </c>
      <c r="T1564" s="9">
        <v>249</v>
      </c>
      <c r="U1564" s="9">
        <v>249</v>
      </c>
      <c r="V1564" s="9">
        <v>242</v>
      </c>
      <c r="W1564" s="9">
        <v>234</v>
      </c>
      <c r="X1564" s="9">
        <v>236</v>
      </c>
      <c r="Y1564" s="9">
        <v>231</v>
      </c>
      <c r="Z1564" s="9">
        <v>231</v>
      </c>
      <c r="AA1564" s="9">
        <v>222</v>
      </c>
      <c r="AB1564" s="9">
        <v>229</v>
      </c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</row>
    <row r="1565" spans="1:47" ht="14.4">
      <c r="A1565" s="3">
        <f>LOOKUP(D1565,'AMFI DATA_2023H2'!F:L,'AMFI DATA_2023H2'!L:L)</f>
        <v>1979</v>
      </c>
      <c r="B1565" s="4" t="s">
        <v>4694</v>
      </c>
      <c r="C1565" s="4" t="s">
        <v>4695</v>
      </c>
      <c r="D1565" s="5" t="s">
        <v>4696</v>
      </c>
      <c r="E1565" s="5">
        <v>210.99</v>
      </c>
      <c r="F1565" s="6">
        <f>LOOKUP(D1565,'AMFI DATA_2023H2'!F:J,'AMFI DATA_2023H2'!J:J)</f>
        <v>194.023</v>
      </c>
      <c r="G1565" s="7">
        <f t="shared" si="6"/>
        <v>-1</v>
      </c>
      <c r="H1565" s="9"/>
      <c r="I1565" s="9">
        <v>294</v>
      </c>
      <c r="J1565" s="9">
        <v>300</v>
      </c>
      <c r="K1565" s="9">
        <v>311</v>
      </c>
      <c r="L1565" s="9">
        <v>324</v>
      </c>
      <c r="M1565" s="9">
        <v>312</v>
      </c>
      <c r="N1565" s="9">
        <v>296</v>
      </c>
      <c r="O1565" s="9">
        <v>296</v>
      </c>
      <c r="P1565" s="9">
        <v>303</v>
      </c>
      <c r="Q1565" s="9">
        <v>313</v>
      </c>
      <c r="R1565" s="9">
        <v>320</v>
      </c>
      <c r="S1565" s="9">
        <v>305</v>
      </c>
      <c r="T1565" s="9">
        <v>287</v>
      </c>
      <c r="U1565" s="9">
        <v>277</v>
      </c>
      <c r="V1565" s="9">
        <v>264</v>
      </c>
      <c r="W1565" s="9">
        <v>251</v>
      </c>
      <c r="X1565" s="9">
        <v>239</v>
      </c>
      <c r="Y1565" s="9">
        <v>239</v>
      </c>
      <c r="Z1565" s="9">
        <v>243</v>
      </c>
      <c r="AA1565" s="9">
        <v>243</v>
      </c>
      <c r="AB1565" s="9">
        <v>233</v>
      </c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</row>
    <row r="1566" spans="1:47" ht="14.4">
      <c r="A1566" s="3">
        <f>LOOKUP(D1566,'AMFI DATA_2023H2'!F:L,'AMFI DATA_2023H2'!L:L)</f>
        <v>1981</v>
      </c>
      <c r="B1566" s="4" t="s">
        <v>4697</v>
      </c>
      <c r="C1566" s="4" t="s">
        <v>4698</v>
      </c>
      <c r="D1566" s="5" t="s">
        <v>4699</v>
      </c>
      <c r="E1566" s="5">
        <v>178.34</v>
      </c>
      <c r="F1566" s="6">
        <f>LOOKUP(D1566,'AMFI DATA_2023H2'!F:J,'AMFI DATA_2023H2'!J:J)</f>
        <v>192.78899999999999</v>
      </c>
      <c r="G1566" s="7">
        <f t="shared" si="6"/>
        <v>-1</v>
      </c>
      <c r="H1566" s="9"/>
      <c r="I1566" s="9">
        <v>207</v>
      </c>
      <c r="J1566" s="9">
        <v>211</v>
      </c>
      <c r="K1566" s="9">
        <v>215</v>
      </c>
      <c r="L1566" s="9">
        <v>210</v>
      </c>
      <c r="M1566" s="9">
        <v>214</v>
      </c>
      <c r="N1566" s="9">
        <v>215</v>
      </c>
      <c r="O1566" s="9">
        <v>216</v>
      </c>
      <c r="P1566" s="9">
        <v>218</v>
      </c>
      <c r="Q1566" s="9">
        <v>220</v>
      </c>
      <c r="R1566" s="9">
        <v>218</v>
      </c>
      <c r="S1566" s="9">
        <v>220</v>
      </c>
      <c r="T1566" s="9">
        <v>220</v>
      </c>
      <c r="U1566" s="9">
        <v>222</v>
      </c>
      <c r="V1566" s="9">
        <v>217</v>
      </c>
      <c r="W1566" s="9">
        <v>211</v>
      </c>
      <c r="X1566" s="9">
        <v>209</v>
      </c>
      <c r="Y1566" s="9">
        <v>209</v>
      </c>
      <c r="Z1566" s="9">
        <v>212</v>
      </c>
      <c r="AA1566" s="9">
        <v>220</v>
      </c>
      <c r="AB1566" s="9">
        <v>211</v>
      </c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</row>
    <row r="1567" spans="1:47" ht="14.4">
      <c r="A1567" s="3">
        <f>LOOKUP(D1567,'AMFI DATA_2023H2'!F:L,'AMFI DATA_2023H2'!L:L)</f>
        <v>1982</v>
      </c>
      <c r="B1567" s="4" t="s">
        <v>4700</v>
      </c>
      <c r="C1567" s="4" t="s">
        <v>4701</v>
      </c>
      <c r="D1567" s="5" t="s">
        <v>4702</v>
      </c>
      <c r="E1567" s="5">
        <v>171.16</v>
      </c>
      <c r="F1567" s="6">
        <f>LOOKUP(D1567,'AMFI DATA_2023H2'!F:J,'AMFI DATA_2023H2'!J:J)</f>
        <v>192.73445000000001</v>
      </c>
      <c r="G1567" s="7">
        <f t="shared" si="6"/>
        <v>-1</v>
      </c>
      <c r="H1567" s="9"/>
      <c r="I1567" s="9">
        <v>262</v>
      </c>
      <c r="J1567" s="9">
        <v>270</v>
      </c>
      <c r="K1567" s="9">
        <v>270</v>
      </c>
      <c r="L1567" s="9">
        <v>264</v>
      </c>
      <c r="M1567" s="9">
        <v>270</v>
      </c>
      <c r="N1567" s="9">
        <v>280</v>
      </c>
      <c r="O1567" s="9">
        <v>282</v>
      </c>
      <c r="P1567" s="9">
        <v>276</v>
      </c>
      <c r="Q1567" s="9">
        <v>272</v>
      </c>
      <c r="R1567" s="9">
        <v>260</v>
      </c>
      <c r="S1567" s="9">
        <v>261</v>
      </c>
      <c r="T1567" s="9">
        <v>257</v>
      </c>
      <c r="U1567" s="9">
        <v>257</v>
      </c>
      <c r="V1567" s="9">
        <v>227</v>
      </c>
      <c r="W1567" s="9">
        <v>225</v>
      </c>
      <c r="X1567" s="9">
        <v>214</v>
      </c>
      <c r="Y1567" s="9">
        <v>214</v>
      </c>
      <c r="Z1567" s="9">
        <v>215</v>
      </c>
      <c r="AA1567" s="9">
        <v>217</v>
      </c>
      <c r="AB1567" s="9">
        <v>215</v>
      </c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</row>
    <row r="1568" spans="1:47" ht="14.4">
      <c r="A1568" s="3">
        <f>LOOKUP(D1568,'AMFI DATA_2023H2'!F:L,'AMFI DATA_2023H2'!L:L)</f>
        <v>1983</v>
      </c>
      <c r="B1568" s="4" t="s">
        <v>4703</v>
      </c>
      <c r="C1568" s="4" t="s">
        <v>4704</v>
      </c>
      <c r="D1568" s="5" t="s">
        <v>4705</v>
      </c>
      <c r="E1568" s="5">
        <v>168.11</v>
      </c>
      <c r="F1568" s="6">
        <f>LOOKUP(D1568,'AMFI DATA_2023H2'!F:J,'AMFI DATA_2023H2'!J:J)</f>
        <v>192.61180000000002</v>
      </c>
      <c r="G1568" s="7">
        <f t="shared" si="6"/>
        <v>-1</v>
      </c>
      <c r="H1568" s="9"/>
      <c r="I1568" s="9">
        <v>277</v>
      </c>
      <c r="J1568" s="9">
        <v>264</v>
      </c>
      <c r="K1568" s="9">
        <v>271</v>
      </c>
      <c r="L1568" s="9">
        <v>274</v>
      </c>
      <c r="M1568" s="9">
        <v>284</v>
      </c>
      <c r="N1568" s="9">
        <v>293</v>
      </c>
      <c r="O1568" s="9">
        <v>271</v>
      </c>
      <c r="P1568" s="9">
        <v>268</v>
      </c>
      <c r="Q1568" s="9">
        <v>266</v>
      </c>
      <c r="R1568" s="9">
        <v>262</v>
      </c>
      <c r="S1568" s="9">
        <v>266</v>
      </c>
      <c r="T1568" s="9">
        <v>259</v>
      </c>
      <c r="U1568" s="9">
        <v>248</v>
      </c>
      <c r="V1568" s="9">
        <v>256</v>
      </c>
      <c r="W1568" s="9">
        <v>251</v>
      </c>
      <c r="X1568" s="9">
        <v>240</v>
      </c>
      <c r="Y1568" s="9">
        <v>247</v>
      </c>
      <c r="Z1568" s="9">
        <v>250</v>
      </c>
      <c r="AA1568" s="9">
        <v>243</v>
      </c>
      <c r="AB1568" s="9">
        <v>249</v>
      </c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</row>
    <row r="1569" spans="1:47" ht="14.4">
      <c r="A1569" s="3">
        <f>LOOKUP(D1569,'AMFI DATA_2023H2'!F:L,'AMFI DATA_2023H2'!L:L)</f>
        <v>1984</v>
      </c>
      <c r="B1569" s="4" t="s">
        <v>4706</v>
      </c>
      <c r="C1569" s="4" t="s">
        <v>4707</v>
      </c>
      <c r="D1569" s="5" t="s">
        <v>4708</v>
      </c>
      <c r="E1569" s="5">
        <v>189.39</v>
      </c>
      <c r="F1569" s="6">
        <f>LOOKUP(D1569,'AMFI DATA_2023H2'!F:J,'AMFI DATA_2023H2'!J:J)</f>
        <v>192.13045</v>
      </c>
      <c r="G1569" s="7">
        <f t="shared" si="6"/>
        <v>-1</v>
      </c>
      <c r="H1569" s="9"/>
      <c r="I1569" s="9">
        <v>215</v>
      </c>
      <c r="J1569" s="9">
        <v>212</v>
      </c>
      <c r="K1569" s="9">
        <v>214</v>
      </c>
      <c r="L1569" s="9">
        <v>220</v>
      </c>
      <c r="M1569" s="9">
        <v>218</v>
      </c>
      <c r="N1569" s="9">
        <v>222</v>
      </c>
      <c r="O1569" s="9">
        <v>215</v>
      </c>
      <c r="P1569" s="9">
        <v>217</v>
      </c>
      <c r="Q1569" s="9">
        <v>212</v>
      </c>
      <c r="R1569" s="9">
        <v>208</v>
      </c>
      <c r="S1569" s="9">
        <v>207</v>
      </c>
      <c r="T1569" s="9">
        <v>206</v>
      </c>
      <c r="U1569" s="9">
        <v>203</v>
      </c>
      <c r="V1569" s="9">
        <v>202</v>
      </c>
      <c r="W1569" s="9">
        <v>204</v>
      </c>
      <c r="X1569" s="9">
        <v>202</v>
      </c>
      <c r="Y1569" s="9">
        <v>200</v>
      </c>
      <c r="Z1569" s="9">
        <v>203</v>
      </c>
      <c r="AA1569" s="9">
        <v>207</v>
      </c>
      <c r="AB1569" s="9">
        <v>195</v>
      </c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</row>
    <row r="1570" spans="1:47" ht="14.4">
      <c r="A1570" s="3">
        <f>LOOKUP(D1570,'AMFI DATA_2023H2'!F:L,'AMFI DATA_2023H2'!L:L)</f>
        <v>1985</v>
      </c>
      <c r="B1570" s="4" t="s">
        <v>4709</v>
      </c>
      <c r="C1570" s="4" t="s">
        <v>4710</v>
      </c>
      <c r="D1570" s="5" t="s">
        <v>4711</v>
      </c>
      <c r="E1570" s="5">
        <v>178.05</v>
      </c>
      <c r="F1570" s="6">
        <f>LOOKUP(D1570,'AMFI DATA_2023H2'!F:J,'AMFI DATA_2023H2'!J:J)</f>
        <v>191.78819999999999</v>
      </c>
      <c r="G1570" s="7">
        <f t="shared" si="6"/>
        <v>-1</v>
      </c>
      <c r="H1570" s="9"/>
      <c r="I1570" s="9">
        <v>259</v>
      </c>
      <c r="J1570" s="9">
        <v>256</v>
      </c>
      <c r="K1570" s="9">
        <v>260</v>
      </c>
      <c r="L1570" s="9">
        <v>250</v>
      </c>
      <c r="M1570" s="9">
        <v>256</v>
      </c>
      <c r="N1570" s="9">
        <v>258</v>
      </c>
      <c r="O1570" s="9">
        <v>217</v>
      </c>
      <c r="P1570" s="9">
        <v>219</v>
      </c>
      <c r="Q1570" s="9">
        <v>219</v>
      </c>
      <c r="R1570" s="9">
        <v>223</v>
      </c>
      <c r="S1570" s="9">
        <v>228</v>
      </c>
      <c r="T1570" s="9">
        <v>227</v>
      </c>
      <c r="U1570" s="9">
        <v>226</v>
      </c>
      <c r="V1570" s="9">
        <v>231</v>
      </c>
      <c r="W1570" s="9">
        <v>228</v>
      </c>
      <c r="X1570" s="9">
        <v>230</v>
      </c>
      <c r="Y1570" s="9">
        <v>222</v>
      </c>
      <c r="Z1570" s="9">
        <v>224</v>
      </c>
      <c r="AA1570" s="9">
        <v>208</v>
      </c>
      <c r="AB1570" s="9">
        <v>217</v>
      </c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</row>
    <row r="1571" spans="1:47" ht="14.4">
      <c r="A1571" s="3">
        <f>LOOKUP(D1571,'AMFI DATA_2023H2'!F:L,'AMFI DATA_2023H2'!L:L)</f>
        <v>1989</v>
      </c>
      <c r="B1571" s="4" t="s">
        <v>4712</v>
      </c>
      <c r="C1571" s="4" t="s">
        <v>4713</v>
      </c>
      <c r="D1571" s="5" t="s">
        <v>4714</v>
      </c>
      <c r="E1571" s="5">
        <v>183.21</v>
      </c>
      <c r="F1571" s="6">
        <f>LOOKUP(D1571,'AMFI DATA_2023H2'!F:J,'AMFI DATA_2023H2'!J:J)</f>
        <v>191.25459999999998</v>
      </c>
      <c r="G1571" s="7">
        <f t="shared" si="6"/>
        <v>-1</v>
      </c>
      <c r="H1571" s="9"/>
      <c r="I1571" s="9">
        <v>213</v>
      </c>
      <c r="J1571" s="9">
        <v>217</v>
      </c>
      <c r="K1571" s="9">
        <v>222</v>
      </c>
      <c r="L1571" s="9">
        <v>216</v>
      </c>
      <c r="M1571" s="9">
        <v>226</v>
      </c>
      <c r="N1571" s="9">
        <v>216</v>
      </c>
      <c r="O1571" s="9">
        <v>226</v>
      </c>
      <c r="P1571" s="9">
        <v>238</v>
      </c>
      <c r="Q1571" s="9">
        <v>250</v>
      </c>
      <c r="R1571" s="9">
        <v>240</v>
      </c>
      <c r="S1571" s="9">
        <v>218</v>
      </c>
      <c r="T1571" s="9">
        <v>202</v>
      </c>
      <c r="U1571" s="9">
        <v>190</v>
      </c>
      <c r="V1571" s="9">
        <v>189</v>
      </c>
      <c r="W1571" s="9">
        <v>191</v>
      </c>
      <c r="X1571" s="9">
        <v>192</v>
      </c>
      <c r="Y1571" s="9">
        <v>192</v>
      </c>
      <c r="Z1571" s="9">
        <v>192</v>
      </c>
      <c r="AA1571" s="9">
        <v>192</v>
      </c>
      <c r="AB1571" s="9">
        <v>192</v>
      </c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</row>
    <row r="1572" spans="1:47" ht="14.4">
      <c r="A1572" s="3">
        <f>LOOKUP(D1572,'AMFI DATA_2023H2'!F:L,'AMFI DATA_2023H2'!L:L)</f>
        <v>1990</v>
      </c>
      <c r="B1572" s="4" t="s">
        <v>4715</v>
      </c>
      <c r="C1572" s="4" t="s">
        <v>4716</v>
      </c>
      <c r="D1572" s="5" t="s">
        <v>4717</v>
      </c>
      <c r="E1572" s="5">
        <v>148.65</v>
      </c>
      <c r="F1572" s="6">
        <f>LOOKUP(D1572,'AMFI DATA_2023H2'!F:J,'AMFI DATA_2023H2'!J:J)</f>
        <v>191.05629999999999</v>
      </c>
      <c r="G1572" s="7">
        <f t="shared" si="6"/>
        <v>-1</v>
      </c>
      <c r="H1572" s="9"/>
      <c r="I1572" s="9">
        <v>244</v>
      </c>
      <c r="J1572" s="9">
        <v>240</v>
      </c>
      <c r="K1572" s="9">
        <v>240</v>
      </c>
      <c r="L1572" s="9">
        <v>240</v>
      </c>
      <c r="M1572" s="9">
        <v>243</v>
      </c>
      <c r="N1572" s="9">
        <v>240</v>
      </c>
      <c r="O1572" s="9">
        <v>237</v>
      </c>
      <c r="P1572" s="9">
        <v>237</v>
      </c>
      <c r="Q1572" s="9">
        <v>229</v>
      </c>
      <c r="R1572" s="9">
        <v>232</v>
      </c>
      <c r="S1572" s="9">
        <v>240</v>
      </c>
      <c r="T1572" s="9">
        <v>243</v>
      </c>
      <c r="U1572" s="9">
        <v>240</v>
      </c>
      <c r="V1572" s="9">
        <v>240</v>
      </c>
      <c r="W1572" s="9">
        <v>240</v>
      </c>
      <c r="X1572" s="9">
        <v>238</v>
      </c>
      <c r="Y1572" s="9">
        <v>239</v>
      </c>
      <c r="Z1572" s="9">
        <v>243</v>
      </c>
      <c r="AA1572" s="9">
        <v>246</v>
      </c>
      <c r="AB1572" s="9">
        <v>234</v>
      </c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</row>
    <row r="1573" spans="1:47" ht="14.4">
      <c r="A1573" s="3">
        <f>LOOKUP(D1573,'AMFI DATA_2023H2'!F:L,'AMFI DATA_2023H2'!L:L)</f>
        <v>1992</v>
      </c>
      <c r="B1573" s="4" t="s">
        <v>4718</v>
      </c>
      <c r="C1573" s="4" t="s">
        <v>4719</v>
      </c>
      <c r="D1573" s="5" t="s">
        <v>4720</v>
      </c>
      <c r="E1573" s="5">
        <v>195.89</v>
      </c>
      <c r="F1573" s="6">
        <f>LOOKUP(D1573,'AMFI DATA_2023H2'!F:J,'AMFI DATA_2023H2'!J:J)</f>
        <v>190.82304999999999</v>
      </c>
      <c r="G1573" s="7">
        <f t="shared" si="6"/>
        <v>-1</v>
      </c>
      <c r="H1573" s="9"/>
      <c r="I1573" s="9">
        <v>252</v>
      </c>
      <c r="J1573" s="9">
        <v>231</v>
      </c>
      <c r="K1573" s="9">
        <v>210</v>
      </c>
      <c r="L1573" s="9">
        <v>196</v>
      </c>
      <c r="M1573" s="9">
        <v>200</v>
      </c>
      <c r="N1573" s="9">
        <v>204</v>
      </c>
      <c r="O1573" s="9">
        <v>189</v>
      </c>
      <c r="P1573" s="9">
        <v>0</v>
      </c>
      <c r="Q1573" s="9">
        <v>178</v>
      </c>
      <c r="R1573" s="9">
        <v>178</v>
      </c>
      <c r="S1573" s="9">
        <v>179</v>
      </c>
      <c r="T1573" s="9">
        <v>177</v>
      </c>
      <c r="U1573" s="9">
        <v>176</v>
      </c>
      <c r="V1573" s="9">
        <v>180</v>
      </c>
      <c r="W1573" s="9">
        <v>180</v>
      </c>
      <c r="X1573" s="9">
        <v>179</v>
      </c>
      <c r="Y1573" s="9">
        <v>175</v>
      </c>
      <c r="Z1573" s="9">
        <v>180</v>
      </c>
      <c r="AA1573" s="9">
        <v>175</v>
      </c>
      <c r="AB1573" s="9">
        <v>180</v>
      </c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</row>
    <row r="1574" spans="1:47" ht="14.4">
      <c r="A1574" s="3">
        <f>LOOKUP(D1574,'AMFI DATA_2023H2'!F:L,'AMFI DATA_2023H2'!L:L)</f>
        <v>1993</v>
      </c>
      <c r="B1574" s="4" t="s">
        <v>4721</v>
      </c>
      <c r="C1574" s="4" t="s">
        <v>4722</v>
      </c>
      <c r="D1574" s="5" t="s">
        <v>4723</v>
      </c>
      <c r="E1574" s="5">
        <v>7547.59</v>
      </c>
      <c r="F1574" s="6">
        <f>LOOKUP(D1574,'AMFI DATA_2023H2'!F:J,'AMFI DATA_2023H2'!J:J)</f>
        <v>190.39400000000001</v>
      </c>
      <c r="G1574" s="7">
        <f t="shared" si="6"/>
        <v>-1</v>
      </c>
      <c r="H1574" s="9"/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</row>
    <row r="1575" spans="1:47" ht="14.4">
      <c r="A1575" s="3">
        <f>LOOKUP(D1575,'AMFI DATA_2023H2'!F:L,'AMFI DATA_2023H2'!L:L)</f>
        <v>1993</v>
      </c>
      <c r="B1575" s="4" t="s">
        <v>4724</v>
      </c>
      <c r="C1575" s="4" t="s">
        <v>4725</v>
      </c>
      <c r="D1575" s="5" t="s">
        <v>4726</v>
      </c>
      <c r="E1575" s="5">
        <v>108.7</v>
      </c>
      <c r="F1575" s="6">
        <f>LOOKUP(D1575,'AMFI DATA_2023H2'!F:J,'AMFI DATA_2023H2'!J:J)</f>
        <v>190.39400000000001</v>
      </c>
      <c r="G1575" s="7">
        <f t="shared" si="6"/>
        <v>-1</v>
      </c>
      <c r="H1575" s="9"/>
      <c r="I1575" s="9">
        <v>243</v>
      </c>
      <c r="J1575" s="9">
        <v>249</v>
      </c>
      <c r="K1575" s="9">
        <v>238</v>
      </c>
      <c r="L1575" s="9">
        <v>230</v>
      </c>
      <c r="M1575" s="9">
        <v>230</v>
      </c>
      <c r="N1575" s="9">
        <v>235</v>
      </c>
      <c r="O1575" s="9">
        <v>236</v>
      </c>
      <c r="P1575" s="9">
        <v>239</v>
      </c>
      <c r="Q1575" s="9">
        <v>234</v>
      </c>
      <c r="R1575" s="9">
        <v>232</v>
      </c>
      <c r="S1575" s="9">
        <v>237</v>
      </c>
      <c r="T1575" s="9">
        <v>241</v>
      </c>
      <c r="U1575" s="9">
        <v>245</v>
      </c>
      <c r="V1575" s="9">
        <v>234</v>
      </c>
      <c r="W1575" s="9">
        <v>232</v>
      </c>
      <c r="X1575" s="9">
        <v>227</v>
      </c>
      <c r="Y1575" s="9">
        <v>222</v>
      </c>
      <c r="Z1575" s="9">
        <v>223</v>
      </c>
      <c r="AA1575" s="9">
        <v>229</v>
      </c>
      <c r="AB1575" s="9">
        <v>230</v>
      </c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</row>
    <row r="1576" spans="1:47" ht="14.4">
      <c r="A1576" s="3">
        <f>LOOKUP(D1576,'AMFI DATA_2023H2'!F:L,'AMFI DATA_2023H2'!L:L)</f>
        <v>1994</v>
      </c>
      <c r="B1576" s="4" t="s">
        <v>4727</v>
      </c>
      <c r="C1576" s="4" t="s">
        <v>4728</v>
      </c>
      <c r="D1576" s="5" t="s">
        <v>4729</v>
      </c>
      <c r="E1576" s="5">
        <v>171.11</v>
      </c>
      <c r="F1576" s="6">
        <f>LOOKUP(D1576,'AMFI DATA_2023H2'!F:J,'AMFI DATA_2023H2'!J:J)</f>
        <v>190.33369999999999</v>
      </c>
      <c r="G1576" s="7">
        <f t="shared" si="6"/>
        <v>-1</v>
      </c>
      <c r="H1576" s="9"/>
      <c r="I1576" s="9">
        <v>241</v>
      </c>
      <c r="J1576" s="9">
        <v>241</v>
      </c>
      <c r="K1576" s="9">
        <v>243</v>
      </c>
      <c r="L1576" s="9">
        <v>244</v>
      </c>
      <c r="M1576" s="9">
        <v>248</v>
      </c>
      <c r="N1576" s="9">
        <v>250</v>
      </c>
      <c r="O1576" s="9">
        <v>247</v>
      </c>
      <c r="P1576" s="9">
        <v>241</v>
      </c>
      <c r="Q1576" s="9">
        <v>201</v>
      </c>
      <c r="R1576" s="9">
        <v>203</v>
      </c>
      <c r="S1576" s="9">
        <v>196</v>
      </c>
      <c r="T1576" s="9">
        <v>193</v>
      </c>
      <c r="U1576" s="9">
        <v>192</v>
      </c>
      <c r="V1576" s="9">
        <v>192</v>
      </c>
      <c r="W1576" s="9">
        <v>195</v>
      </c>
      <c r="X1576" s="9">
        <v>194</v>
      </c>
      <c r="Y1576" s="9">
        <v>196</v>
      </c>
      <c r="Z1576" s="9">
        <v>196</v>
      </c>
      <c r="AA1576" s="9">
        <v>196</v>
      </c>
      <c r="AB1576" s="9">
        <v>199</v>
      </c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</row>
    <row r="1577" spans="1:47" ht="14.4">
      <c r="A1577" s="3">
        <f>LOOKUP(D1577,'AMFI DATA_2023H2'!F:L,'AMFI DATA_2023H2'!L:L)</f>
        <v>1995</v>
      </c>
      <c r="B1577" s="4" t="s">
        <v>4730</v>
      </c>
      <c r="C1577" s="4" t="s">
        <v>4731</v>
      </c>
      <c r="D1577" s="5" t="s">
        <v>4732</v>
      </c>
      <c r="E1577" s="5">
        <v>244.06</v>
      </c>
      <c r="F1577" s="6">
        <f>LOOKUP(D1577,'AMFI DATA_2023H2'!F:J,'AMFI DATA_2023H2'!J:J)</f>
        <v>190.2474</v>
      </c>
      <c r="G1577" s="7">
        <f t="shared" si="6"/>
        <v>-1</v>
      </c>
      <c r="H1577" s="9"/>
      <c r="I1577" s="9">
        <v>239</v>
      </c>
      <c r="J1577" s="9">
        <v>236</v>
      </c>
      <c r="K1577" s="9">
        <v>246</v>
      </c>
      <c r="L1577" s="9">
        <v>238</v>
      </c>
      <c r="M1577" s="9">
        <v>248</v>
      </c>
      <c r="N1577" s="9">
        <v>253</v>
      </c>
      <c r="O1577" s="9">
        <v>262</v>
      </c>
      <c r="P1577" s="9">
        <v>260</v>
      </c>
      <c r="Q1577" s="9">
        <v>249</v>
      </c>
      <c r="R1577" s="9">
        <v>260</v>
      </c>
      <c r="S1577" s="9">
        <v>242</v>
      </c>
      <c r="T1577" s="9">
        <v>234</v>
      </c>
      <c r="U1577" s="9">
        <v>232</v>
      </c>
      <c r="V1577" s="9">
        <v>233</v>
      </c>
      <c r="W1577" s="9">
        <v>231</v>
      </c>
      <c r="X1577" s="9">
        <v>232</v>
      </c>
      <c r="Y1577" s="9">
        <v>220</v>
      </c>
      <c r="Z1577" s="9">
        <v>226</v>
      </c>
      <c r="AA1577" s="9">
        <v>223</v>
      </c>
      <c r="AB1577" s="9">
        <v>222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</row>
    <row r="1578" spans="1:47" ht="14.4">
      <c r="A1578" s="3">
        <f>LOOKUP(D1578,'AMFI DATA_2023H2'!F:L,'AMFI DATA_2023H2'!L:L)</f>
        <v>1996</v>
      </c>
      <c r="B1578" s="4" t="s">
        <v>4733</v>
      </c>
      <c r="C1578" s="4" t="s">
        <v>4734</v>
      </c>
      <c r="D1578" s="5" t="s">
        <v>4735</v>
      </c>
      <c r="E1578" s="5">
        <v>147.25</v>
      </c>
      <c r="F1578" s="6">
        <f>LOOKUP(D1578,'AMFI DATA_2023H2'!F:J,'AMFI DATA_2023H2'!J:J)</f>
        <v>190.15445</v>
      </c>
      <c r="G1578" s="7">
        <f t="shared" si="6"/>
        <v>-1</v>
      </c>
      <c r="H1578" s="9"/>
      <c r="I1578" s="9">
        <v>252</v>
      </c>
      <c r="J1578" s="9">
        <v>251</v>
      </c>
      <c r="K1578" s="9">
        <v>251</v>
      </c>
      <c r="L1578" s="9">
        <v>258</v>
      </c>
      <c r="M1578" s="9">
        <v>263</v>
      </c>
      <c r="N1578" s="9">
        <v>254</v>
      </c>
      <c r="O1578" s="9">
        <v>248</v>
      </c>
      <c r="P1578" s="9">
        <v>247</v>
      </c>
      <c r="Q1578" s="9">
        <v>254</v>
      </c>
      <c r="R1578" s="9">
        <v>256</v>
      </c>
      <c r="S1578" s="9">
        <v>261</v>
      </c>
      <c r="T1578" s="9">
        <v>258</v>
      </c>
      <c r="U1578" s="9">
        <v>247</v>
      </c>
      <c r="V1578" s="9">
        <v>245</v>
      </c>
      <c r="W1578" s="9">
        <v>245</v>
      </c>
      <c r="X1578" s="9">
        <v>240</v>
      </c>
      <c r="Y1578" s="9">
        <v>241</v>
      </c>
      <c r="Z1578" s="9">
        <v>241</v>
      </c>
      <c r="AA1578" s="9">
        <v>245</v>
      </c>
      <c r="AB1578" s="9">
        <v>247</v>
      </c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</row>
    <row r="1579" spans="1:47" ht="14.4">
      <c r="A1579" s="3">
        <f>LOOKUP(D1579,'AMFI DATA_2023H2'!F:L,'AMFI DATA_2023H2'!L:L)</f>
        <v>1997</v>
      </c>
      <c r="B1579" s="4" t="s">
        <v>4736</v>
      </c>
      <c r="C1579" s="4" t="s">
        <v>4737</v>
      </c>
      <c r="D1579" s="5" t="s">
        <v>4738</v>
      </c>
      <c r="E1579" s="5">
        <v>143.11000000000001</v>
      </c>
      <c r="F1579" s="6">
        <f>LOOKUP(D1579,'AMFI DATA_2023H2'!F:J,'AMFI DATA_2023H2'!J:J)</f>
        <v>189.0873</v>
      </c>
      <c r="G1579" s="7">
        <f t="shared" si="6"/>
        <v>-1</v>
      </c>
      <c r="H1579" s="9"/>
      <c r="I1579" s="9">
        <v>301</v>
      </c>
      <c r="J1579" s="9">
        <v>294</v>
      </c>
      <c r="K1579" s="9">
        <v>285</v>
      </c>
      <c r="L1579" s="9">
        <v>292</v>
      </c>
      <c r="M1579" s="9">
        <v>293</v>
      </c>
      <c r="N1579" s="9">
        <v>287</v>
      </c>
      <c r="O1579" s="9">
        <v>277</v>
      </c>
      <c r="P1579" s="9">
        <v>266</v>
      </c>
      <c r="Q1579" s="9">
        <v>264</v>
      </c>
      <c r="R1579" s="9">
        <v>262</v>
      </c>
      <c r="S1579" s="9">
        <v>256</v>
      </c>
      <c r="T1579" s="9">
        <v>254</v>
      </c>
      <c r="U1579" s="9">
        <v>250</v>
      </c>
      <c r="V1579" s="9">
        <v>252</v>
      </c>
      <c r="W1579" s="9">
        <v>252</v>
      </c>
      <c r="X1579" s="9">
        <v>254</v>
      </c>
      <c r="Y1579" s="9">
        <v>251</v>
      </c>
      <c r="Z1579" s="9">
        <v>255</v>
      </c>
      <c r="AA1579" s="9">
        <v>250</v>
      </c>
      <c r="AB1579" s="9">
        <v>238</v>
      </c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</row>
    <row r="1580" spans="1:47" ht="14.4">
      <c r="A1580" s="3">
        <f>LOOKUP(D1580,'AMFI DATA_2023H2'!F:L,'AMFI DATA_2023H2'!L:L)</f>
        <v>1998</v>
      </c>
      <c r="B1580" s="4" t="s">
        <v>4739</v>
      </c>
      <c r="C1580" s="4" t="s">
        <v>4740</v>
      </c>
      <c r="D1580" s="5" t="s">
        <v>4741</v>
      </c>
      <c r="E1580" s="5">
        <v>214.53</v>
      </c>
      <c r="F1580" s="6">
        <f>LOOKUP(D1580,'AMFI DATA_2023H2'!F:J,'AMFI DATA_2023H2'!J:J)</f>
        <v>188.85305</v>
      </c>
      <c r="G1580" s="7">
        <f t="shared" si="6"/>
        <v>-1</v>
      </c>
      <c r="H1580" s="9"/>
      <c r="I1580" s="9">
        <v>272</v>
      </c>
      <c r="J1580" s="9">
        <v>273</v>
      </c>
      <c r="K1580" s="9">
        <v>268</v>
      </c>
      <c r="L1580" s="9">
        <v>252</v>
      </c>
      <c r="M1580" s="9">
        <v>248</v>
      </c>
      <c r="N1580" s="9">
        <v>264</v>
      </c>
      <c r="O1580" s="9">
        <v>255</v>
      </c>
      <c r="P1580" s="9">
        <v>252</v>
      </c>
      <c r="Q1580" s="9">
        <v>248</v>
      </c>
      <c r="R1580" s="9">
        <v>247</v>
      </c>
      <c r="S1580" s="9">
        <v>238</v>
      </c>
      <c r="T1580" s="9">
        <v>244</v>
      </c>
      <c r="U1580" s="9">
        <v>246</v>
      </c>
      <c r="V1580" s="9">
        <v>250</v>
      </c>
      <c r="W1580" s="9">
        <v>247</v>
      </c>
      <c r="X1580" s="9">
        <v>247</v>
      </c>
      <c r="Y1580" s="9">
        <v>245</v>
      </c>
      <c r="Z1580" s="9">
        <v>236</v>
      </c>
      <c r="AA1580" s="9">
        <v>241</v>
      </c>
      <c r="AB1580" s="9">
        <v>237</v>
      </c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</row>
    <row r="1581" spans="1:47" ht="14.4">
      <c r="A1581" s="3">
        <f>LOOKUP(D1581,'AMFI DATA_2023H2'!F:L,'AMFI DATA_2023H2'!L:L)</f>
        <v>2000</v>
      </c>
      <c r="B1581" s="4" t="s">
        <v>4742</v>
      </c>
      <c r="C1581" s="4" t="s">
        <v>4743</v>
      </c>
      <c r="D1581" s="5" t="s">
        <v>4744</v>
      </c>
      <c r="E1581" s="5">
        <v>146.6</v>
      </c>
      <c r="F1581" s="6">
        <f>LOOKUP(D1581,'AMFI DATA_2023H2'!F:J,'AMFI DATA_2023H2'!J:J)</f>
        <v>188.78129999999999</v>
      </c>
      <c r="G1581" s="7">
        <f t="shared" si="6"/>
        <v>-1</v>
      </c>
      <c r="H1581" s="9"/>
      <c r="I1581" s="9">
        <v>311</v>
      </c>
      <c r="J1581" s="9">
        <v>311</v>
      </c>
      <c r="K1581" s="9">
        <v>286</v>
      </c>
      <c r="L1581" s="9">
        <v>268</v>
      </c>
      <c r="M1581" s="9">
        <v>276</v>
      </c>
      <c r="N1581" s="9">
        <v>252</v>
      </c>
      <c r="O1581" s="9">
        <v>246</v>
      </c>
      <c r="P1581" s="9">
        <v>247</v>
      </c>
      <c r="Q1581" s="9">
        <v>251</v>
      </c>
      <c r="R1581" s="9">
        <v>246</v>
      </c>
      <c r="S1581" s="9">
        <v>236</v>
      </c>
      <c r="T1581" s="9">
        <v>237</v>
      </c>
      <c r="U1581" s="9">
        <v>236</v>
      </c>
      <c r="V1581" s="9">
        <v>237</v>
      </c>
      <c r="W1581" s="9">
        <v>244</v>
      </c>
      <c r="X1581" s="9">
        <v>237</v>
      </c>
      <c r="Y1581" s="9">
        <v>241</v>
      </c>
      <c r="Z1581" s="9">
        <v>240</v>
      </c>
      <c r="AA1581" s="9">
        <v>237</v>
      </c>
      <c r="AB1581" s="9">
        <v>245</v>
      </c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</row>
    <row r="1582" spans="1:47" ht="14.4">
      <c r="A1582" s="3">
        <f>LOOKUP(D1582,'AMFI DATA_2023H2'!F:L,'AMFI DATA_2023H2'!L:L)</f>
        <v>2003</v>
      </c>
      <c r="B1582" s="4" t="s">
        <v>4745</v>
      </c>
      <c r="C1582" s="4" t="s">
        <v>4746</v>
      </c>
      <c r="D1582" s="5" t="s">
        <v>4747</v>
      </c>
      <c r="E1582" s="5">
        <v>111.31</v>
      </c>
      <c r="F1582" s="6">
        <f>LOOKUP(D1582,'AMFI DATA_2023H2'!F:J,'AMFI DATA_2023H2'!J:J)</f>
        <v>187.416</v>
      </c>
      <c r="G1582" s="7">
        <f t="shared" si="6"/>
        <v>-1</v>
      </c>
      <c r="H1582" s="9"/>
      <c r="I1582" s="9">
        <v>302</v>
      </c>
      <c r="J1582" s="9">
        <v>308</v>
      </c>
      <c r="K1582" s="9">
        <v>313</v>
      </c>
      <c r="L1582" s="9">
        <v>318</v>
      </c>
      <c r="M1582" s="9">
        <v>325</v>
      </c>
      <c r="N1582" s="9">
        <v>332</v>
      </c>
      <c r="O1582" s="9">
        <v>338</v>
      </c>
      <c r="P1582" s="9">
        <v>337</v>
      </c>
      <c r="Q1582" s="9">
        <v>332</v>
      </c>
      <c r="R1582" s="9">
        <v>326</v>
      </c>
      <c r="S1582" s="9">
        <v>321</v>
      </c>
      <c r="T1582" s="9">
        <v>316</v>
      </c>
      <c r="U1582" s="9">
        <v>310</v>
      </c>
      <c r="V1582" s="9">
        <v>305</v>
      </c>
      <c r="W1582" s="9">
        <v>300</v>
      </c>
      <c r="X1582" s="9">
        <v>294</v>
      </c>
      <c r="Y1582" s="9">
        <v>289</v>
      </c>
      <c r="Z1582" s="9">
        <v>284</v>
      </c>
      <c r="AA1582" s="9">
        <v>284</v>
      </c>
      <c r="AB1582" s="9">
        <v>278</v>
      </c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</row>
    <row r="1583" spans="1:47" ht="14.4">
      <c r="A1583" s="3">
        <f>LOOKUP(D1583,'AMFI DATA_2023H2'!F:L,'AMFI DATA_2023H2'!L:L)</f>
        <v>2005</v>
      </c>
      <c r="B1583" s="4" t="s">
        <v>4748</v>
      </c>
      <c r="C1583" s="4" t="s">
        <v>4749</v>
      </c>
      <c r="D1583" s="5" t="s">
        <v>4750</v>
      </c>
      <c r="E1583" s="5">
        <v>187.46</v>
      </c>
      <c r="F1583" s="6">
        <f>LOOKUP(D1583,'AMFI DATA_2023H2'!F:J,'AMFI DATA_2023H2'!J:J)</f>
        <v>186.32089999999999</v>
      </c>
      <c r="G1583" s="7">
        <f t="shared" si="6"/>
        <v>-1</v>
      </c>
      <c r="H1583" s="9"/>
      <c r="I1583" s="9">
        <v>187</v>
      </c>
      <c r="J1583" s="9">
        <v>184</v>
      </c>
      <c r="K1583" s="9">
        <v>187</v>
      </c>
      <c r="L1583" s="9">
        <v>190</v>
      </c>
      <c r="M1583" s="9">
        <v>195</v>
      </c>
      <c r="N1583" s="9">
        <v>187</v>
      </c>
      <c r="O1583" s="9">
        <v>187</v>
      </c>
      <c r="P1583" s="9">
        <v>188</v>
      </c>
      <c r="Q1583" s="9">
        <v>187</v>
      </c>
      <c r="R1583" s="9">
        <v>189</v>
      </c>
      <c r="S1583" s="9">
        <v>193</v>
      </c>
      <c r="T1583" s="9">
        <v>193</v>
      </c>
      <c r="U1583" s="9">
        <v>193</v>
      </c>
      <c r="V1583" s="9">
        <v>183</v>
      </c>
      <c r="W1583" s="9">
        <v>178</v>
      </c>
      <c r="X1583" s="9">
        <v>178</v>
      </c>
      <c r="Y1583" s="9">
        <v>178</v>
      </c>
      <c r="Z1583" s="9">
        <v>179</v>
      </c>
      <c r="AA1583" s="9">
        <v>177</v>
      </c>
      <c r="AB1583" s="9">
        <v>177</v>
      </c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</row>
    <row r="1584" spans="1:47" ht="14.4">
      <c r="A1584" s="3">
        <f>LOOKUP(D1584,'AMFI DATA_2023H2'!F:L,'AMFI DATA_2023H2'!L:L)</f>
        <v>2008</v>
      </c>
      <c r="B1584" s="4" t="s">
        <v>4751</v>
      </c>
      <c r="C1584" s="4" t="s">
        <v>4752</v>
      </c>
      <c r="D1584" s="5" t="s">
        <v>4753</v>
      </c>
      <c r="E1584" s="5">
        <v>149.04</v>
      </c>
      <c r="F1584" s="6">
        <f>LOOKUP(D1584,'AMFI DATA_2023H2'!F:J,'AMFI DATA_2023H2'!J:J)</f>
        <v>185.75604999999999</v>
      </c>
      <c r="G1584" s="7">
        <f t="shared" si="6"/>
        <v>-1</v>
      </c>
      <c r="H1584" s="9"/>
      <c r="I1584" s="9">
        <v>248</v>
      </c>
      <c r="J1584" s="9">
        <v>246</v>
      </c>
      <c r="K1584" s="9">
        <v>245</v>
      </c>
      <c r="L1584" s="9">
        <v>257</v>
      </c>
      <c r="M1584" s="9">
        <v>258</v>
      </c>
      <c r="N1584" s="9">
        <v>262</v>
      </c>
      <c r="O1584" s="9">
        <v>263</v>
      </c>
      <c r="P1584" s="9">
        <v>269</v>
      </c>
      <c r="Q1584" s="9">
        <v>283</v>
      </c>
      <c r="R1584" s="9">
        <v>288</v>
      </c>
      <c r="S1584" s="9">
        <v>286</v>
      </c>
      <c r="T1584" s="9">
        <v>251</v>
      </c>
      <c r="U1584" s="9">
        <v>233</v>
      </c>
      <c r="V1584" s="9">
        <v>231</v>
      </c>
      <c r="W1584" s="9">
        <v>236</v>
      </c>
      <c r="X1584" s="9">
        <v>232</v>
      </c>
      <c r="Y1584" s="9">
        <v>234</v>
      </c>
      <c r="Z1584" s="9">
        <v>241</v>
      </c>
      <c r="AA1584" s="9">
        <v>230</v>
      </c>
      <c r="AB1584" s="9">
        <v>230</v>
      </c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</row>
    <row r="1585" spans="1:47" ht="14.4">
      <c r="A1585" s="3">
        <f>LOOKUP(D1585,'AMFI DATA_2023H2'!F:L,'AMFI DATA_2023H2'!L:L)</f>
        <v>2009</v>
      </c>
      <c r="B1585" s="4" t="s">
        <v>4754</v>
      </c>
      <c r="C1585" s="4" t="s">
        <v>4755</v>
      </c>
      <c r="D1585" s="5" t="s">
        <v>4756</v>
      </c>
      <c r="E1585" s="5">
        <v>186.31</v>
      </c>
      <c r="F1585" s="6">
        <f>LOOKUP(D1585,'AMFI DATA_2023H2'!F:J,'AMFI DATA_2023H2'!J:J)</f>
        <v>185.02545000000001</v>
      </c>
      <c r="G1585" s="7">
        <f t="shared" si="6"/>
        <v>-1</v>
      </c>
      <c r="H1585" s="9"/>
      <c r="I1585" s="9">
        <v>214</v>
      </c>
      <c r="J1585" s="9">
        <v>212</v>
      </c>
      <c r="K1585" s="9">
        <v>214</v>
      </c>
      <c r="L1585" s="9">
        <v>215</v>
      </c>
      <c r="M1585" s="9">
        <v>217</v>
      </c>
      <c r="N1585" s="9">
        <v>220</v>
      </c>
      <c r="O1585" s="9">
        <v>220</v>
      </c>
      <c r="P1585" s="9">
        <v>219</v>
      </c>
      <c r="Q1585" s="9">
        <v>218</v>
      </c>
      <c r="R1585" s="9">
        <v>216</v>
      </c>
      <c r="S1585" s="9">
        <v>216</v>
      </c>
      <c r="T1585" s="9">
        <v>217</v>
      </c>
      <c r="U1585" s="9">
        <v>214</v>
      </c>
      <c r="V1585" s="9">
        <v>215</v>
      </c>
      <c r="W1585" s="9">
        <v>217</v>
      </c>
      <c r="X1585" s="9">
        <v>217</v>
      </c>
      <c r="Y1585" s="9">
        <v>220</v>
      </c>
      <c r="Z1585" s="9">
        <v>223</v>
      </c>
      <c r="AA1585" s="9">
        <v>214</v>
      </c>
      <c r="AB1585" s="9">
        <v>212</v>
      </c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</row>
    <row r="1586" spans="1:47" ht="14.4">
      <c r="A1586" s="3">
        <f>LOOKUP(D1586,'AMFI DATA_2023H2'!F:L,'AMFI DATA_2023H2'!L:L)</f>
        <v>2010</v>
      </c>
      <c r="B1586" s="4" t="s">
        <v>4757</v>
      </c>
      <c r="C1586" s="4" t="s">
        <v>4758</v>
      </c>
      <c r="D1586" s="5" t="s">
        <v>4759</v>
      </c>
      <c r="E1586" s="5">
        <v>174.24</v>
      </c>
      <c r="F1586" s="6">
        <f>LOOKUP(D1586,'AMFI DATA_2023H2'!F:J,'AMFI DATA_2023H2'!J:J)</f>
        <v>184.20240000000001</v>
      </c>
      <c r="G1586" s="7">
        <f t="shared" si="6"/>
        <v>-1</v>
      </c>
      <c r="H1586" s="9"/>
      <c r="I1586" s="9">
        <v>258</v>
      </c>
      <c r="J1586" s="9">
        <v>256</v>
      </c>
      <c r="K1586" s="9">
        <v>250</v>
      </c>
      <c r="L1586" s="9">
        <v>258</v>
      </c>
      <c r="M1586" s="9">
        <v>269</v>
      </c>
      <c r="N1586" s="9">
        <v>269</v>
      </c>
      <c r="O1586" s="9">
        <v>271</v>
      </c>
      <c r="P1586" s="9">
        <v>0</v>
      </c>
      <c r="Q1586" s="9">
        <v>294</v>
      </c>
      <c r="R1586" s="9">
        <v>326</v>
      </c>
      <c r="S1586" s="9">
        <v>275</v>
      </c>
      <c r="T1586" s="9">
        <v>277</v>
      </c>
      <c r="U1586" s="9">
        <v>230</v>
      </c>
      <c r="V1586" s="9">
        <v>227</v>
      </c>
      <c r="W1586" s="9">
        <v>222</v>
      </c>
      <c r="X1586" s="9">
        <v>218</v>
      </c>
      <c r="Y1586" s="9">
        <v>219</v>
      </c>
      <c r="Z1586" s="9">
        <v>222</v>
      </c>
      <c r="AA1586" s="9">
        <v>226</v>
      </c>
      <c r="AB1586" s="9">
        <v>223</v>
      </c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</row>
    <row r="1587" spans="1:47" ht="14.4">
      <c r="A1587" s="3">
        <f>LOOKUP(D1587,'AMFI DATA_2023H2'!F:L,'AMFI DATA_2023H2'!L:L)</f>
        <v>2011</v>
      </c>
      <c r="B1587" s="4" t="s">
        <v>4760</v>
      </c>
      <c r="C1587" s="4" t="s">
        <v>4761</v>
      </c>
      <c r="D1587" s="5" t="s">
        <v>4762</v>
      </c>
      <c r="E1587" s="5">
        <v>169.87</v>
      </c>
      <c r="F1587" s="6">
        <f>LOOKUP(D1587,'AMFI DATA_2023H2'!F:J,'AMFI DATA_2023H2'!J:J)</f>
        <v>183.72620000000001</v>
      </c>
      <c r="G1587" s="7">
        <f t="shared" si="6"/>
        <v>-1</v>
      </c>
      <c r="H1587" s="9"/>
      <c r="I1587" s="9">
        <v>232</v>
      </c>
      <c r="J1587" s="9">
        <v>227</v>
      </c>
      <c r="K1587" s="9">
        <v>223</v>
      </c>
      <c r="L1587" s="9">
        <v>227</v>
      </c>
      <c r="M1587" s="9">
        <v>232</v>
      </c>
      <c r="N1587" s="9">
        <v>237</v>
      </c>
      <c r="O1587" s="9">
        <v>241</v>
      </c>
      <c r="P1587" s="9">
        <v>226</v>
      </c>
      <c r="Q1587" s="9">
        <v>219</v>
      </c>
      <c r="R1587" s="9">
        <v>209</v>
      </c>
      <c r="S1587" s="9">
        <v>199</v>
      </c>
      <c r="T1587" s="9">
        <v>197</v>
      </c>
      <c r="U1587" s="9">
        <v>196</v>
      </c>
      <c r="V1587" s="9">
        <v>200</v>
      </c>
      <c r="W1587" s="9">
        <v>191</v>
      </c>
      <c r="X1587" s="9">
        <v>182</v>
      </c>
      <c r="Y1587" s="9">
        <v>179</v>
      </c>
      <c r="Z1587" s="9">
        <v>189</v>
      </c>
      <c r="AA1587" s="9">
        <v>184</v>
      </c>
      <c r="AB1587" s="9">
        <v>181</v>
      </c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</row>
    <row r="1588" spans="1:47" ht="14.4">
      <c r="A1588" s="3">
        <f>LOOKUP(D1588,'AMFI DATA_2023H2'!F:L,'AMFI DATA_2023H2'!L:L)</f>
        <v>2013</v>
      </c>
      <c r="B1588" s="4" t="s">
        <v>4763</v>
      </c>
      <c r="C1588" s="4" t="s">
        <v>4764</v>
      </c>
      <c r="D1588" s="5" t="s">
        <v>4765</v>
      </c>
      <c r="E1588" s="5">
        <v>156.81</v>
      </c>
      <c r="F1588" s="6">
        <f>LOOKUP(D1588,'AMFI DATA_2023H2'!F:J,'AMFI DATA_2023H2'!J:J)</f>
        <v>183.59354999999999</v>
      </c>
      <c r="G1588" s="7">
        <f t="shared" si="6"/>
        <v>-1</v>
      </c>
      <c r="H1588" s="9"/>
      <c r="I1588" s="9">
        <v>226</v>
      </c>
      <c r="J1588" s="9">
        <v>217</v>
      </c>
      <c r="K1588" s="9">
        <v>218</v>
      </c>
      <c r="L1588" s="9">
        <v>217</v>
      </c>
      <c r="M1588" s="9">
        <v>224</v>
      </c>
      <c r="N1588" s="9">
        <v>210</v>
      </c>
      <c r="O1588" s="9">
        <v>216</v>
      </c>
      <c r="P1588" s="9">
        <v>219</v>
      </c>
      <c r="Q1588" s="9">
        <v>220</v>
      </c>
      <c r="R1588" s="9">
        <v>221</v>
      </c>
      <c r="S1588" s="9">
        <v>217</v>
      </c>
      <c r="T1588" s="9">
        <v>203</v>
      </c>
      <c r="U1588" s="9">
        <v>193</v>
      </c>
      <c r="V1588" s="9">
        <v>190</v>
      </c>
      <c r="W1588" s="9">
        <v>192</v>
      </c>
      <c r="X1588" s="9">
        <v>190</v>
      </c>
      <c r="Y1588" s="9">
        <v>189</v>
      </c>
      <c r="Z1588" s="9">
        <v>188</v>
      </c>
      <c r="AA1588" s="9">
        <v>189</v>
      </c>
      <c r="AB1588" s="9">
        <v>184</v>
      </c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</row>
    <row r="1589" spans="1:47" ht="14.4">
      <c r="A1589" s="3">
        <f>LOOKUP(D1589,'AMFI DATA_2023H2'!F:L,'AMFI DATA_2023H2'!L:L)</f>
        <v>2014</v>
      </c>
      <c r="B1589" s="4" t="s">
        <v>4766</v>
      </c>
      <c r="C1589" s="4" t="s">
        <v>4767</v>
      </c>
      <c r="D1589" s="5" t="s">
        <v>4768</v>
      </c>
      <c r="E1589" s="5">
        <v>156.94999999999999</v>
      </c>
      <c r="F1589" s="6">
        <f>LOOKUP(D1589,'AMFI DATA_2023H2'!F:J,'AMFI DATA_2023H2'!J:J)</f>
        <v>183.58035000000001</v>
      </c>
      <c r="G1589" s="7">
        <f t="shared" si="6"/>
        <v>-1</v>
      </c>
      <c r="H1589" s="9"/>
      <c r="I1589" s="9">
        <v>184</v>
      </c>
      <c r="J1589" s="9">
        <v>184</v>
      </c>
      <c r="K1589" s="9">
        <v>182</v>
      </c>
      <c r="L1589" s="9">
        <v>184</v>
      </c>
      <c r="M1589" s="9">
        <v>185</v>
      </c>
      <c r="N1589" s="9">
        <v>182</v>
      </c>
      <c r="O1589" s="9">
        <v>183</v>
      </c>
      <c r="P1589" s="9">
        <v>178</v>
      </c>
      <c r="Q1589" s="9">
        <v>179</v>
      </c>
      <c r="R1589" s="9">
        <v>178</v>
      </c>
      <c r="S1589" s="9">
        <v>183</v>
      </c>
      <c r="T1589" s="9">
        <v>182</v>
      </c>
      <c r="U1589" s="9">
        <v>183</v>
      </c>
      <c r="V1589" s="9">
        <v>183</v>
      </c>
      <c r="W1589" s="9">
        <v>185</v>
      </c>
      <c r="X1589" s="9">
        <v>181</v>
      </c>
      <c r="Y1589" s="9">
        <v>182</v>
      </c>
      <c r="Z1589" s="9">
        <v>180</v>
      </c>
      <c r="AA1589" s="9">
        <v>182</v>
      </c>
      <c r="AB1589" s="9">
        <v>179</v>
      </c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</row>
    <row r="1590" spans="1:47" ht="14.4">
      <c r="A1590" s="3">
        <f>LOOKUP(D1590,'AMFI DATA_2023H2'!F:L,'AMFI DATA_2023H2'!L:L)</f>
        <v>2017</v>
      </c>
      <c r="B1590" s="4" t="s">
        <v>4769</v>
      </c>
      <c r="C1590" s="4" t="s">
        <v>4770</v>
      </c>
      <c r="D1590" s="5" t="s">
        <v>4771</v>
      </c>
      <c r="E1590" s="5">
        <v>162.33000000000001</v>
      </c>
      <c r="F1590" s="6">
        <f>LOOKUP(D1590,'AMFI DATA_2023H2'!F:J,'AMFI DATA_2023H2'!J:J)</f>
        <v>183.23840000000001</v>
      </c>
      <c r="G1590" s="7">
        <f t="shared" si="6"/>
        <v>-1</v>
      </c>
      <c r="H1590" s="9"/>
      <c r="I1590" s="9">
        <v>275</v>
      </c>
      <c r="J1590" s="9">
        <v>280</v>
      </c>
      <c r="K1590" s="9">
        <v>286</v>
      </c>
      <c r="L1590" s="9">
        <v>292</v>
      </c>
      <c r="M1590" s="9">
        <v>298</v>
      </c>
      <c r="N1590" s="9">
        <v>292</v>
      </c>
      <c r="O1590" s="9">
        <v>286</v>
      </c>
      <c r="P1590" s="9">
        <v>292</v>
      </c>
      <c r="Q1590" s="9">
        <v>278</v>
      </c>
      <c r="R1590" s="9">
        <v>265</v>
      </c>
      <c r="S1590" s="9">
        <v>254</v>
      </c>
      <c r="T1590" s="9">
        <v>246</v>
      </c>
      <c r="U1590" s="9">
        <v>241</v>
      </c>
      <c r="V1590" s="9">
        <v>238</v>
      </c>
      <c r="W1590" s="9">
        <v>242</v>
      </c>
      <c r="X1590" s="9">
        <v>243</v>
      </c>
      <c r="Y1590" s="9">
        <v>253</v>
      </c>
      <c r="Z1590" s="9">
        <v>246</v>
      </c>
      <c r="AA1590" s="9">
        <v>235</v>
      </c>
      <c r="AB1590" s="9">
        <v>237</v>
      </c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</row>
    <row r="1591" spans="1:47" ht="14.4">
      <c r="A1591" s="3">
        <f>LOOKUP(D1591,'AMFI DATA_2023H2'!F:L,'AMFI DATA_2023H2'!L:L)</f>
        <v>2020</v>
      </c>
      <c r="B1591" s="4" t="s">
        <v>4772</v>
      </c>
      <c r="C1591" s="4" t="s">
        <v>4773</v>
      </c>
      <c r="D1591" s="5" t="s">
        <v>4774</v>
      </c>
      <c r="E1591" s="5">
        <v>125.92</v>
      </c>
      <c r="F1591" s="6">
        <f>LOOKUP(D1591,'AMFI DATA_2023H2'!F:J,'AMFI DATA_2023H2'!J:J)</f>
        <v>183.06990000000002</v>
      </c>
      <c r="G1591" s="7">
        <f t="shared" si="6"/>
        <v>-1</v>
      </c>
      <c r="H1591" s="9"/>
      <c r="I1591" s="9">
        <v>330</v>
      </c>
      <c r="J1591" s="9">
        <v>341</v>
      </c>
      <c r="K1591" s="9">
        <v>343</v>
      </c>
      <c r="L1591" s="9">
        <v>329</v>
      </c>
      <c r="M1591" s="9">
        <v>322</v>
      </c>
      <c r="N1591" s="9">
        <v>307</v>
      </c>
      <c r="O1591" s="9">
        <v>310</v>
      </c>
      <c r="P1591" s="9">
        <v>309</v>
      </c>
      <c r="Q1591" s="9">
        <v>309</v>
      </c>
      <c r="R1591" s="9">
        <v>315</v>
      </c>
      <c r="S1591" s="9">
        <v>317</v>
      </c>
      <c r="T1591" s="9">
        <v>320</v>
      </c>
      <c r="U1591" s="9">
        <v>337</v>
      </c>
      <c r="V1591" s="9">
        <v>344</v>
      </c>
      <c r="W1591" s="9">
        <v>328</v>
      </c>
      <c r="X1591" s="9">
        <v>345</v>
      </c>
      <c r="Y1591" s="9">
        <v>363</v>
      </c>
      <c r="Z1591" s="9">
        <v>382</v>
      </c>
      <c r="AA1591" s="9">
        <v>413</v>
      </c>
      <c r="AB1591" s="9">
        <v>341</v>
      </c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</row>
    <row r="1592" spans="1:47" ht="14.4">
      <c r="A1592" s="3">
        <f>LOOKUP(D1592,'AMFI DATA_2023H2'!F:L,'AMFI DATA_2023H2'!L:L)</f>
        <v>2023</v>
      </c>
      <c r="B1592" s="4" t="s">
        <v>4775</v>
      </c>
      <c r="C1592" s="4" t="s">
        <v>4776</v>
      </c>
      <c r="D1592" s="5" t="s">
        <v>4777</v>
      </c>
      <c r="E1592" s="5">
        <v>87.65</v>
      </c>
      <c r="F1592" s="6">
        <f>LOOKUP(D1592,'AMFI DATA_2023H2'!F:J,'AMFI DATA_2023H2'!J:J)</f>
        <v>182.80374999999998</v>
      </c>
      <c r="G1592" s="7">
        <f t="shared" si="6"/>
        <v>-1</v>
      </c>
      <c r="H1592" s="9"/>
      <c r="I1592" s="9">
        <v>410</v>
      </c>
      <c r="J1592" s="9">
        <v>403</v>
      </c>
      <c r="K1592" s="9">
        <v>395</v>
      </c>
      <c r="L1592" s="9">
        <v>387</v>
      </c>
      <c r="M1592" s="9">
        <v>379</v>
      </c>
      <c r="N1592" s="9">
        <v>372</v>
      </c>
      <c r="O1592" s="9">
        <v>365</v>
      </c>
      <c r="P1592" s="9">
        <v>358</v>
      </c>
      <c r="Q1592" s="9">
        <v>351</v>
      </c>
      <c r="R1592" s="9">
        <v>344</v>
      </c>
      <c r="S1592" s="9">
        <v>337</v>
      </c>
      <c r="T1592" s="9">
        <v>331</v>
      </c>
      <c r="U1592" s="9">
        <v>324</v>
      </c>
      <c r="V1592" s="9">
        <v>318</v>
      </c>
      <c r="W1592" s="9">
        <v>312</v>
      </c>
      <c r="X1592" s="9">
        <v>306</v>
      </c>
      <c r="Y1592" s="9">
        <v>300</v>
      </c>
      <c r="Z1592" s="9">
        <v>306</v>
      </c>
      <c r="AA1592" s="9">
        <v>313</v>
      </c>
      <c r="AB1592" s="9">
        <v>319</v>
      </c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</row>
    <row r="1593" spans="1:47" ht="14.4">
      <c r="A1593" s="3">
        <f>LOOKUP(D1593,'AMFI DATA_2023H2'!F:L,'AMFI DATA_2023H2'!L:L)</f>
        <v>2024</v>
      </c>
      <c r="B1593" s="4" t="s">
        <v>4778</v>
      </c>
      <c r="C1593" s="4" t="s">
        <v>4779</v>
      </c>
      <c r="D1593" s="5" t="s">
        <v>4780</v>
      </c>
      <c r="E1593" s="5">
        <v>146.84</v>
      </c>
      <c r="F1593" s="6">
        <f>LOOKUP(D1593,'AMFI DATA_2023H2'!F:J,'AMFI DATA_2023H2'!J:J)</f>
        <v>182.65370000000001</v>
      </c>
      <c r="G1593" s="7">
        <f t="shared" si="6"/>
        <v>-1</v>
      </c>
      <c r="H1593" s="9"/>
      <c r="I1593" s="9">
        <v>177</v>
      </c>
      <c r="J1593" s="9">
        <v>177</v>
      </c>
      <c r="K1593" s="9">
        <v>180</v>
      </c>
      <c r="L1593" s="9">
        <v>195</v>
      </c>
      <c r="M1593" s="9">
        <v>182</v>
      </c>
      <c r="N1593" s="9">
        <v>182</v>
      </c>
      <c r="O1593" s="9">
        <v>179</v>
      </c>
      <c r="P1593" s="9">
        <v>186</v>
      </c>
      <c r="Q1593" s="9">
        <v>187</v>
      </c>
      <c r="R1593" s="9">
        <v>181</v>
      </c>
      <c r="S1593" s="9">
        <v>180</v>
      </c>
      <c r="T1593" s="9">
        <v>189</v>
      </c>
      <c r="U1593" s="9">
        <v>188</v>
      </c>
      <c r="V1593" s="9">
        <v>174</v>
      </c>
      <c r="W1593" s="9">
        <v>174</v>
      </c>
      <c r="X1593" s="9">
        <v>174</v>
      </c>
      <c r="Y1593" s="9">
        <v>175</v>
      </c>
      <c r="Z1593" s="9">
        <v>175</v>
      </c>
      <c r="AA1593" s="9">
        <v>173</v>
      </c>
      <c r="AB1593" s="9">
        <v>173</v>
      </c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</row>
    <row r="1594" spans="1:47" ht="14.4">
      <c r="A1594" s="3">
        <f>LOOKUP(D1594,'AMFI DATA_2023H2'!F:L,'AMFI DATA_2023H2'!L:L)</f>
        <v>2028</v>
      </c>
      <c r="B1594" s="4" t="s">
        <v>4781</v>
      </c>
      <c r="C1594" s="4" t="s">
        <v>4782</v>
      </c>
      <c r="D1594" s="5" t="s">
        <v>4783</v>
      </c>
      <c r="E1594" s="5">
        <v>237.9</v>
      </c>
      <c r="F1594" s="6">
        <f>LOOKUP(D1594,'AMFI DATA_2023H2'!F:J,'AMFI DATA_2023H2'!J:J)</f>
        <v>181.36760000000001</v>
      </c>
      <c r="G1594" s="7">
        <f t="shared" si="6"/>
        <v>-1</v>
      </c>
      <c r="H1594" s="9"/>
      <c r="I1594" s="9">
        <v>176</v>
      </c>
      <c r="J1594" s="9">
        <v>176</v>
      </c>
      <c r="K1594" s="9">
        <v>178</v>
      </c>
      <c r="L1594" s="9">
        <v>177</v>
      </c>
      <c r="M1594" s="9">
        <v>185</v>
      </c>
      <c r="N1594" s="9">
        <v>191</v>
      </c>
      <c r="O1594" s="9">
        <v>182</v>
      </c>
      <c r="P1594" s="9">
        <v>174</v>
      </c>
      <c r="Q1594" s="9">
        <v>175</v>
      </c>
      <c r="R1594" s="9">
        <v>173</v>
      </c>
      <c r="S1594" s="9">
        <v>175</v>
      </c>
      <c r="T1594" s="9">
        <v>176</v>
      </c>
      <c r="U1594" s="9">
        <v>173</v>
      </c>
      <c r="V1594" s="9">
        <v>171</v>
      </c>
      <c r="W1594" s="9">
        <v>170</v>
      </c>
      <c r="X1594" s="9">
        <v>173</v>
      </c>
      <c r="Y1594" s="9">
        <v>172</v>
      </c>
      <c r="Z1594" s="9">
        <v>174</v>
      </c>
      <c r="AA1594" s="9">
        <v>172</v>
      </c>
      <c r="AB1594" s="9">
        <v>173</v>
      </c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</row>
    <row r="1595" spans="1:47" ht="14.4">
      <c r="A1595" s="3">
        <f>LOOKUP(D1595,'AMFI DATA_2023H2'!F:L,'AMFI DATA_2023H2'!L:L)</f>
        <v>2031</v>
      </c>
      <c r="B1595" s="4" t="s">
        <v>4784</v>
      </c>
      <c r="C1595" s="4" t="s">
        <v>4785</v>
      </c>
      <c r="D1595" s="5" t="s">
        <v>4786</v>
      </c>
      <c r="E1595" s="5">
        <v>157.85</v>
      </c>
      <c r="F1595" s="6">
        <f>LOOKUP(D1595,'AMFI DATA_2023H2'!F:J,'AMFI DATA_2023H2'!J:J)</f>
        <v>180.3734</v>
      </c>
      <c r="G1595" s="7">
        <f t="shared" si="6"/>
        <v>-1</v>
      </c>
      <c r="H1595" s="9"/>
      <c r="I1595" s="9">
        <v>187</v>
      </c>
      <c r="J1595" s="9">
        <v>180</v>
      </c>
      <c r="K1595" s="9">
        <v>182</v>
      </c>
      <c r="L1595" s="9">
        <v>182</v>
      </c>
      <c r="M1595" s="9">
        <v>191</v>
      </c>
      <c r="N1595" s="9">
        <v>194</v>
      </c>
      <c r="O1595" s="9">
        <v>197</v>
      </c>
      <c r="P1595" s="9">
        <v>200</v>
      </c>
      <c r="Q1595" s="9">
        <v>193</v>
      </c>
      <c r="R1595" s="9">
        <v>189</v>
      </c>
      <c r="S1595" s="9">
        <v>191</v>
      </c>
      <c r="T1595" s="9">
        <v>195</v>
      </c>
      <c r="U1595" s="9">
        <v>189</v>
      </c>
      <c r="V1595" s="9">
        <v>187</v>
      </c>
      <c r="W1595" s="9">
        <v>185</v>
      </c>
      <c r="X1595" s="9">
        <v>185</v>
      </c>
      <c r="Y1595" s="9">
        <v>187</v>
      </c>
      <c r="Z1595" s="9">
        <v>189</v>
      </c>
      <c r="AA1595" s="9">
        <v>185</v>
      </c>
      <c r="AB1595" s="9">
        <v>184</v>
      </c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</row>
    <row r="1596" spans="1:47" ht="14.4">
      <c r="A1596" s="3">
        <f>LOOKUP(D1596,'AMFI DATA_2023H2'!F:L,'AMFI DATA_2023H2'!L:L)</f>
        <v>2032</v>
      </c>
      <c r="B1596" s="4" t="s">
        <v>4787</v>
      </c>
      <c r="C1596" s="4" t="s">
        <v>4788</v>
      </c>
      <c r="D1596" s="5" t="s">
        <v>4789</v>
      </c>
      <c r="E1596" s="5">
        <v>160.22</v>
      </c>
      <c r="F1596" s="6">
        <f>LOOKUP(D1596,'AMFI DATA_2023H2'!F:J,'AMFI DATA_2023H2'!J:J)</f>
        <v>179.97649999999999</v>
      </c>
      <c r="G1596" s="7">
        <f t="shared" si="6"/>
        <v>-1</v>
      </c>
      <c r="H1596" s="9"/>
      <c r="I1596" s="9">
        <v>209</v>
      </c>
      <c r="J1596" s="9">
        <v>205</v>
      </c>
      <c r="K1596" s="9">
        <v>207</v>
      </c>
      <c r="L1596" s="9">
        <v>202</v>
      </c>
      <c r="M1596" s="9">
        <v>204</v>
      </c>
      <c r="N1596" s="9">
        <v>205</v>
      </c>
      <c r="O1596" s="9">
        <v>207</v>
      </c>
      <c r="P1596" s="9">
        <v>210</v>
      </c>
      <c r="Q1596" s="9">
        <v>209</v>
      </c>
      <c r="R1596" s="9">
        <v>213</v>
      </c>
      <c r="S1596" s="9">
        <v>211</v>
      </c>
      <c r="T1596" s="9">
        <v>210</v>
      </c>
      <c r="U1596" s="9">
        <v>208</v>
      </c>
      <c r="V1596" s="9">
        <v>208</v>
      </c>
      <c r="W1596" s="9">
        <v>206</v>
      </c>
      <c r="X1596" s="9">
        <v>199</v>
      </c>
      <c r="Y1596" s="9">
        <v>202</v>
      </c>
      <c r="Z1596" s="9">
        <v>202</v>
      </c>
      <c r="AA1596" s="9">
        <v>206</v>
      </c>
      <c r="AB1596" s="9">
        <v>208</v>
      </c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</row>
    <row r="1597" spans="1:47" ht="14.4">
      <c r="A1597" s="3">
        <f>LOOKUP(D1597,'AMFI DATA_2023H2'!F:L,'AMFI DATA_2023H2'!L:L)</f>
        <v>2038</v>
      </c>
      <c r="B1597" s="4" t="s">
        <v>4790</v>
      </c>
      <c r="C1597" s="4" t="s">
        <v>4791</v>
      </c>
      <c r="D1597" s="5" t="s">
        <v>4792</v>
      </c>
      <c r="E1597" s="5">
        <v>159.01</v>
      </c>
      <c r="F1597" s="6">
        <f>LOOKUP(D1597,'AMFI DATA_2023H2'!F:J,'AMFI DATA_2023H2'!J:J)</f>
        <v>177.14249999999998</v>
      </c>
      <c r="G1597" s="7">
        <f t="shared" si="6"/>
        <v>-1</v>
      </c>
      <c r="H1597" s="9"/>
      <c r="I1597" s="9">
        <v>199</v>
      </c>
      <c r="J1597" s="9">
        <v>199</v>
      </c>
      <c r="K1597" s="9">
        <v>195</v>
      </c>
      <c r="L1597" s="9">
        <v>193</v>
      </c>
      <c r="M1597" s="9">
        <v>201</v>
      </c>
      <c r="N1597" s="9">
        <v>206</v>
      </c>
      <c r="O1597" s="9">
        <v>199</v>
      </c>
      <c r="P1597" s="9">
        <v>203</v>
      </c>
      <c r="Q1597" s="9">
        <v>192</v>
      </c>
      <c r="R1597" s="9">
        <v>189</v>
      </c>
      <c r="S1597" s="9">
        <v>190</v>
      </c>
      <c r="T1597" s="9">
        <v>192</v>
      </c>
      <c r="U1597" s="9">
        <v>193</v>
      </c>
      <c r="V1597" s="9">
        <v>181</v>
      </c>
      <c r="W1597" s="9">
        <v>185</v>
      </c>
      <c r="X1597" s="9">
        <v>186</v>
      </c>
      <c r="Y1597" s="9">
        <v>178</v>
      </c>
      <c r="Z1597" s="9">
        <v>177</v>
      </c>
      <c r="AA1597" s="9">
        <v>177</v>
      </c>
      <c r="AB1597" s="9">
        <v>177</v>
      </c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</row>
    <row r="1598" spans="1:47" ht="14.4">
      <c r="A1598" s="3">
        <f>LOOKUP(D1598,'AMFI DATA_2023H2'!F:L,'AMFI DATA_2023H2'!L:L)</f>
        <v>2039</v>
      </c>
      <c r="B1598" s="4" t="s">
        <v>4793</v>
      </c>
      <c r="C1598" s="4" t="s">
        <v>4794</v>
      </c>
      <c r="D1598" s="5" t="s">
        <v>4795</v>
      </c>
      <c r="E1598" s="5">
        <v>167.22</v>
      </c>
      <c r="F1598" s="6">
        <f>LOOKUP(D1598,'AMFI DATA_2023H2'!F:J,'AMFI DATA_2023H2'!J:J)</f>
        <v>176.99270000000001</v>
      </c>
      <c r="G1598" s="7">
        <f t="shared" si="6"/>
        <v>-1</v>
      </c>
      <c r="H1598" s="9"/>
      <c r="I1598" s="9">
        <v>180</v>
      </c>
      <c r="J1598" s="9">
        <v>180</v>
      </c>
      <c r="K1598" s="9">
        <v>189</v>
      </c>
      <c r="L1598" s="9">
        <v>188</v>
      </c>
      <c r="M1598" s="9">
        <v>188</v>
      </c>
      <c r="N1598" s="9">
        <v>186</v>
      </c>
      <c r="O1598" s="9">
        <v>184</v>
      </c>
      <c r="P1598" s="9">
        <v>187</v>
      </c>
      <c r="Q1598" s="9">
        <v>183</v>
      </c>
      <c r="R1598" s="9">
        <v>183</v>
      </c>
      <c r="S1598" s="9">
        <v>186</v>
      </c>
      <c r="T1598" s="9">
        <v>185</v>
      </c>
      <c r="U1598" s="9">
        <v>179</v>
      </c>
      <c r="V1598" s="9">
        <v>179</v>
      </c>
      <c r="W1598" s="9">
        <v>183</v>
      </c>
      <c r="X1598" s="9">
        <v>183</v>
      </c>
      <c r="Y1598" s="9">
        <v>189</v>
      </c>
      <c r="Z1598" s="9">
        <v>189</v>
      </c>
      <c r="AA1598" s="9">
        <v>186</v>
      </c>
      <c r="AB1598" s="9">
        <v>194</v>
      </c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</row>
    <row r="1599" spans="1:47" ht="14.4">
      <c r="A1599" s="3">
        <f>LOOKUP(D1599,'AMFI DATA_2023H2'!F:L,'AMFI DATA_2023H2'!L:L)</f>
        <v>2047</v>
      </c>
      <c r="B1599" s="4" t="s">
        <v>4796</v>
      </c>
      <c r="C1599" s="4" t="s">
        <v>4797</v>
      </c>
      <c r="D1599" s="5" t="s">
        <v>4798</v>
      </c>
      <c r="E1599" s="5">
        <v>152.12</v>
      </c>
      <c r="F1599" s="6">
        <f>LOOKUP(D1599,'AMFI DATA_2023H2'!F:J,'AMFI DATA_2023H2'!J:J)</f>
        <v>175.2636</v>
      </c>
      <c r="G1599" s="7">
        <f t="shared" si="6"/>
        <v>-1</v>
      </c>
      <c r="H1599" s="9"/>
      <c r="I1599" s="9">
        <v>237</v>
      </c>
      <c r="J1599" s="9">
        <v>237</v>
      </c>
      <c r="K1599" s="9">
        <v>233</v>
      </c>
      <c r="L1599" s="9">
        <v>237</v>
      </c>
      <c r="M1599" s="9">
        <v>240</v>
      </c>
      <c r="N1599" s="9">
        <v>222</v>
      </c>
      <c r="O1599" s="9">
        <v>230</v>
      </c>
      <c r="P1599" s="9">
        <v>215</v>
      </c>
      <c r="Q1599" s="9">
        <v>198</v>
      </c>
      <c r="R1599" s="9">
        <v>201</v>
      </c>
      <c r="S1599" s="9">
        <v>200</v>
      </c>
      <c r="T1599" s="9">
        <v>201</v>
      </c>
      <c r="U1599" s="9">
        <v>197</v>
      </c>
      <c r="V1599" s="9">
        <v>195</v>
      </c>
      <c r="W1599" s="9">
        <v>194</v>
      </c>
      <c r="X1599" s="9">
        <v>188</v>
      </c>
      <c r="Y1599" s="9">
        <v>188</v>
      </c>
      <c r="Z1599" s="9">
        <v>188</v>
      </c>
      <c r="AA1599" s="9">
        <v>189</v>
      </c>
      <c r="AB1599" s="9">
        <v>183</v>
      </c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</row>
    <row r="1600" spans="1:47" ht="14.4">
      <c r="A1600" s="3">
        <f>LOOKUP(D1600,'AMFI DATA_2023H2'!F:L,'AMFI DATA_2023H2'!L:L)</f>
        <v>2051</v>
      </c>
      <c r="B1600" s="4" t="s">
        <v>4799</v>
      </c>
      <c r="C1600" s="4" t="s">
        <v>4800</v>
      </c>
      <c r="D1600" s="5" t="s">
        <v>4801</v>
      </c>
      <c r="E1600" s="5">
        <v>162.32</v>
      </c>
      <c r="F1600" s="6">
        <f>LOOKUP(D1600,'AMFI DATA_2023H2'!F:J,'AMFI DATA_2023H2'!J:J)</f>
        <v>173.26235</v>
      </c>
      <c r="G1600" s="7">
        <f t="shared" si="6"/>
        <v>-1</v>
      </c>
      <c r="H1600" s="9"/>
      <c r="I1600" s="9">
        <v>117</v>
      </c>
      <c r="J1600" s="9">
        <v>116</v>
      </c>
      <c r="K1600" s="9">
        <v>118</v>
      </c>
      <c r="L1600" s="9">
        <v>121</v>
      </c>
      <c r="M1600" s="9">
        <v>123</v>
      </c>
      <c r="N1600" s="9">
        <v>120</v>
      </c>
      <c r="O1600" s="9">
        <v>115</v>
      </c>
      <c r="P1600" s="9">
        <v>110</v>
      </c>
      <c r="Q1600" s="9">
        <v>114</v>
      </c>
      <c r="R1600" s="9">
        <v>119</v>
      </c>
      <c r="S1600" s="9">
        <v>114</v>
      </c>
      <c r="T1600" s="9">
        <v>110</v>
      </c>
      <c r="U1600" s="9">
        <v>104</v>
      </c>
      <c r="V1600" s="9">
        <v>98.8</v>
      </c>
      <c r="W1600" s="9">
        <v>104</v>
      </c>
      <c r="X1600" s="9">
        <v>109</v>
      </c>
      <c r="Y1600" s="9">
        <v>114</v>
      </c>
      <c r="Z1600" s="9">
        <v>120</v>
      </c>
      <c r="AA1600" s="9">
        <v>128</v>
      </c>
      <c r="AB1600" s="9">
        <v>141</v>
      </c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</row>
    <row r="1601" spans="1:47" ht="14.4">
      <c r="A1601" s="3">
        <f>LOOKUP(D1601,'AMFI DATA_2023H2'!F:L,'AMFI DATA_2023H2'!L:L)</f>
        <v>2052</v>
      </c>
      <c r="B1601" s="4" t="s">
        <v>4802</v>
      </c>
      <c r="C1601" s="4" t="s">
        <v>4803</v>
      </c>
      <c r="D1601" s="5" t="s">
        <v>4804</v>
      </c>
      <c r="E1601" s="5">
        <v>148.83000000000001</v>
      </c>
      <c r="F1601" s="6">
        <f>LOOKUP(D1601,'AMFI DATA_2023H2'!F:J,'AMFI DATA_2023H2'!J:J)</f>
        <v>172.97219999999999</v>
      </c>
      <c r="G1601" s="7">
        <f t="shared" si="6"/>
        <v>-1</v>
      </c>
      <c r="H1601" s="9"/>
      <c r="I1601" s="9">
        <v>183</v>
      </c>
      <c r="J1601" s="9">
        <v>180</v>
      </c>
      <c r="K1601" s="9">
        <v>184</v>
      </c>
      <c r="L1601" s="9">
        <v>196</v>
      </c>
      <c r="M1601" s="9">
        <v>179</v>
      </c>
      <c r="N1601" s="9">
        <v>177</v>
      </c>
      <c r="O1601" s="9">
        <v>177</v>
      </c>
      <c r="P1601" s="9">
        <v>177</v>
      </c>
      <c r="Q1601" s="9">
        <v>177</v>
      </c>
      <c r="R1601" s="9">
        <v>177</v>
      </c>
      <c r="S1601" s="9">
        <v>177</v>
      </c>
      <c r="T1601" s="9">
        <v>178</v>
      </c>
      <c r="U1601" s="9">
        <v>178</v>
      </c>
      <c r="V1601" s="9">
        <v>180</v>
      </c>
      <c r="W1601" s="9">
        <v>178</v>
      </c>
      <c r="X1601" s="9">
        <v>181</v>
      </c>
      <c r="Y1601" s="9">
        <v>177</v>
      </c>
      <c r="Z1601" s="9">
        <v>172</v>
      </c>
      <c r="AA1601" s="9">
        <v>169</v>
      </c>
      <c r="AB1601" s="9">
        <v>170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</row>
    <row r="1602" spans="1:47" ht="14.4">
      <c r="A1602" s="3">
        <f>LOOKUP(D1602,'AMFI DATA_2023H2'!F:L,'AMFI DATA_2023H2'!L:L)</f>
        <v>2054</v>
      </c>
      <c r="B1602" s="4" t="s">
        <v>4805</v>
      </c>
      <c r="C1602" s="4" t="s">
        <v>4806</v>
      </c>
      <c r="D1602" s="5" t="s">
        <v>4807</v>
      </c>
      <c r="E1602" s="5">
        <v>165.84</v>
      </c>
      <c r="F1602" s="6">
        <f>LOOKUP(D1602,'AMFI DATA_2023H2'!F:J,'AMFI DATA_2023H2'!J:J)</f>
        <v>172.43894999999998</v>
      </c>
      <c r="G1602" s="7">
        <f t="shared" si="6"/>
        <v>-1</v>
      </c>
      <c r="H1602" s="9"/>
      <c r="I1602" s="9">
        <v>187</v>
      </c>
      <c r="J1602" s="9">
        <v>187</v>
      </c>
      <c r="K1602" s="9">
        <v>187</v>
      </c>
      <c r="L1602" s="9">
        <v>187</v>
      </c>
      <c r="M1602" s="9">
        <v>179</v>
      </c>
      <c r="N1602" s="9">
        <v>195</v>
      </c>
      <c r="O1602" s="9">
        <v>195</v>
      </c>
      <c r="P1602" s="9">
        <v>195</v>
      </c>
      <c r="Q1602" s="9">
        <v>195</v>
      </c>
      <c r="R1602" s="9">
        <v>188</v>
      </c>
      <c r="S1602" s="9">
        <v>203</v>
      </c>
      <c r="T1602" s="9">
        <v>203</v>
      </c>
      <c r="U1602" s="9">
        <v>203</v>
      </c>
      <c r="V1602" s="9">
        <v>203</v>
      </c>
      <c r="W1602" s="9">
        <v>203</v>
      </c>
      <c r="X1602" s="9">
        <v>198</v>
      </c>
      <c r="Y1602" s="9">
        <v>200</v>
      </c>
      <c r="Z1602" s="9">
        <v>191</v>
      </c>
      <c r="AA1602" s="9">
        <v>176</v>
      </c>
      <c r="AB1602" s="9">
        <v>171</v>
      </c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</row>
    <row r="1603" spans="1:47" ht="14.4">
      <c r="A1603" s="3">
        <f>LOOKUP(D1603,'AMFI DATA_2023H2'!F:L,'AMFI DATA_2023H2'!L:L)</f>
        <v>2055</v>
      </c>
      <c r="B1603" s="4" t="s">
        <v>4808</v>
      </c>
      <c r="C1603" s="4" t="s">
        <v>4809</v>
      </c>
      <c r="D1603" s="5" t="s">
        <v>4810</v>
      </c>
      <c r="E1603" s="5">
        <v>156.49</v>
      </c>
      <c r="F1603" s="6">
        <f>LOOKUP(D1603,'AMFI DATA_2023H2'!F:J,'AMFI DATA_2023H2'!J:J)</f>
        <v>171.92384999999999</v>
      </c>
      <c r="G1603" s="7">
        <f t="shared" si="6"/>
        <v>-1</v>
      </c>
      <c r="H1603" s="9"/>
      <c r="I1603" s="9">
        <v>193</v>
      </c>
      <c r="J1603" s="9">
        <v>183</v>
      </c>
      <c r="K1603" s="9">
        <v>186</v>
      </c>
      <c r="L1603" s="9">
        <v>187</v>
      </c>
      <c r="M1603" s="9">
        <v>187</v>
      </c>
      <c r="N1603" s="9">
        <v>192</v>
      </c>
      <c r="O1603" s="9">
        <v>190</v>
      </c>
      <c r="P1603" s="9">
        <v>191</v>
      </c>
      <c r="Q1603" s="9">
        <v>194</v>
      </c>
      <c r="R1603" s="9">
        <v>194</v>
      </c>
      <c r="S1603" s="9">
        <v>201</v>
      </c>
      <c r="T1603" s="9">
        <v>202</v>
      </c>
      <c r="U1603" s="9">
        <v>202</v>
      </c>
      <c r="V1603" s="9">
        <v>199</v>
      </c>
      <c r="W1603" s="9">
        <v>194</v>
      </c>
      <c r="X1603" s="9">
        <v>191</v>
      </c>
      <c r="Y1603" s="9">
        <v>196</v>
      </c>
      <c r="Z1603" s="9">
        <v>194</v>
      </c>
      <c r="AA1603" s="9">
        <v>196</v>
      </c>
      <c r="AB1603" s="9">
        <v>200</v>
      </c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</row>
    <row r="1604" spans="1:47" ht="14.4">
      <c r="A1604" s="3">
        <f>LOOKUP(D1604,'AMFI DATA_2023H2'!F:L,'AMFI DATA_2023H2'!L:L)</f>
        <v>2056</v>
      </c>
      <c r="B1604" s="4" t="s">
        <v>4811</v>
      </c>
      <c r="C1604" s="4" t="s">
        <v>4812</v>
      </c>
      <c r="D1604" s="5" t="s">
        <v>4813</v>
      </c>
      <c r="E1604" s="5">
        <v>141.41</v>
      </c>
      <c r="F1604" s="6">
        <f>LOOKUP(D1604,'AMFI DATA_2023H2'!F:J,'AMFI DATA_2023H2'!J:J)</f>
        <v>171.86320000000001</v>
      </c>
      <c r="G1604" s="7">
        <f t="shared" si="6"/>
        <v>-1</v>
      </c>
      <c r="H1604" s="9"/>
      <c r="I1604" s="9">
        <v>226</v>
      </c>
      <c r="J1604" s="9">
        <v>222</v>
      </c>
      <c r="K1604" s="9">
        <v>229</v>
      </c>
      <c r="L1604" s="9">
        <v>225</v>
      </c>
      <c r="M1604" s="9">
        <v>231</v>
      </c>
      <c r="N1604" s="9">
        <v>237</v>
      </c>
      <c r="O1604" s="9">
        <v>233</v>
      </c>
      <c r="P1604" s="9">
        <v>231</v>
      </c>
      <c r="Q1604" s="9">
        <v>231</v>
      </c>
      <c r="R1604" s="9">
        <v>242</v>
      </c>
      <c r="S1604" s="9">
        <v>251</v>
      </c>
      <c r="T1604" s="9">
        <v>247</v>
      </c>
      <c r="U1604" s="9">
        <v>255</v>
      </c>
      <c r="V1604" s="9">
        <v>251</v>
      </c>
      <c r="W1604" s="9">
        <v>223</v>
      </c>
      <c r="X1604" s="9">
        <v>187</v>
      </c>
      <c r="Y1604" s="9">
        <v>182</v>
      </c>
      <c r="Z1604" s="9">
        <v>181</v>
      </c>
      <c r="AA1604" s="9">
        <v>178</v>
      </c>
      <c r="AB1604" s="9">
        <v>179</v>
      </c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</row>
    <row r="1605" spans="1:47" ht="14.4">
      <c r="A1605" s="3">
        <f>LOOKUP(D1605,'AMFI DATA_2023H2'!F:L,'AMFI DATA_2023H2'!L:L)</f>
        <v>2057</v>
      </c>
      <c r="B1605" s="4" t="s">
        <v>4814</v>
      </c>
      <c r="C1605" s="4" t="s">
        <v>4815</v>
      </c>
      <c r="D1605" s="5" t="s">
        <v>4816</v>
      </c>
      <c r="E1605" s="5">
        <v>149.97</v>
      </c>
      <c r="F1605" s="6">
        <f>LOOKUP(D1605,'AMFI DATA_2023H2'!F:J,'AMFI DATA_2023H2'!J:J)</f>
        <v>171.79255000000001</v>
      </c>
      <c r="G1605" s="7">
        <f t="shared" si="6"/>
        <v>-1</v>
      </c>
      <c r="H1605" s="9"/>
      <c r="I1605" s="9">
        <v>208</v>
      </c>
      <c r="J1605" s="9">
        <v>209</v>
      </c>
      <c r="K1605" s="9">
        <v>199</v>
      </c>
      <c r="L1605" s="9">
        <v>208</v>
      </c>
      <c r="M1605" s="9">
        <v>217</v>
      </c>
      <c r="N1605" s="9">
        <v>223</v>
      </c>
      <c r="O1605" s="9">
        <v>220</v>
      </c>
      <c r="P1605" s="9">
        <v>231</v>
      </c>
      <c r="Q1605" s="9">
        <v>233</v>
      </c>
      <c r="R1605" s="9">
        <v>234</v>
      </c>
      <c r="S1605" s="9">
        <v>234</v>
      </c>
      <c r="T1605" s="9">
        <v>239</v>
      </c>
      <c r="U1605" s="9">
        <v>224</v>
      </c>
      <c r="V1605" s="9">
        <v>199</v>
      </c>
      <c r="W1605" s="9">
        <v>203</v>
      </c>
      <c r="X1605" s="9">
        <v>197</v>
      </c>
      <c r="Y1605" s="9">
        <v>188</v>
      </c>
      <c r="Z1605" s="9">
        <v>181</v>
      </c>
      <c r="AA1605" s="9">
        <v>176</v>
      </c>
      <c r="AB1605" s="9">
        <v>168</v>
      </c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</row>
    <row r="1606" spans="1:47" ht="14.4">
      <c r="A1606" s="3">
        <f>LOOKUP(D1606,'AMFI DATA_2023H2'!F:L,'AMFI DATA_2023H2'!L:L)</f>
        <v>2058</v>
      </c>
      <c r="B1606" s="4" t="s">
        <v>4817</v>
      </c>
      <c r="C1606" s="4" t="s">
        <v>4818</v>
      </c>
      <c r="D1606" s="5" t="s">
        <v>4819</v>
      </c>
      <c r="E1606" s="5">
        <v>132.47999999999999</v>
      </c>
      <c r="F1606" s="6">
        <f>LOOKUP(D1606,'AMFI DATA_2023H2'!F:J,'AMFI DATA_2023H2'!J:J)</f>
        <v>171.72154999999998</v>
      </c>
      <c r="G1606" s="7">
        <f t="shared" si="6"/>
        <v>-1</v>
      </c>
      <c r="H1606" s="9"/>
      <c r="I1606" s="9">
        <v>259</v>
      </c>
      <c r="J1606" s="9">
        <v>268</v>
      </c>
      <c r="K1606" s="9">
        <v>285</v>
      </c>
      <c r="L1606" s="9">
        <v>282</v>
      </c>
      <c r="M1606" s="9">
        <v>287</v>
      </c>
      <c r="N1606" s="9">
        <v>252</v>
      </c>
      <c r="O1606" s="9">
        <v>246</v>
      </c>
      <c r="P1606" s="9">
        <v>247</v>
      </c>
      <c r="Q1606" s="9">
        <v>250</v>
      </c>
      <c r="R1606" s="9">
        <v>245</v>
      </c>
      <c r="S1606" s="9">
        <v>255</v>
      </c>
      <c r="T1606" s="9">
        <v>238</v>
      </c>
      <c r="U1606" s="9">
        <v>238</v>
      </c>
      <c r="V1606" s="9">
        <v>238</v>
      </c>
      <c r="W1606" s="9">
        <v>242</v>
      </c>
      <c r="X1606" s="9">
        <v>236</v>
      </c>
      <c r="Y1606" s="9">
        <v>240</v>
      </c>
      <c r="Z1606" s="9">
        <v>244</v>
      </c>
      <c r="AA1606" s="9">
        <v>255</v>
      </c>
      <c r="AB1606" s="9">
        <v>251</v>
      </c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</row>
    <row r="1607" spans="1:47" ht="14.4">
      <c r="A1607" s="3">
        <f>LOOKUP(D1607,'AMFI DATA_2023H2'!F:L,'AMFI DATA_2023H2'!L:L)</f>
        <v>2059</v>
      </c>
      <c r="B1607" s="4" t="s">
        <v>4820</v>
      </c>
      <c r="C1607" s="4" t="s">
        <v>4821</v>
      </c>
      <c r="D1607" s="5" t="s">
        <v>4822</v>
      </c>
      <c r="E1607" s="5">
        <v>160.22</v>
      </c>
      <c r="F1607" s="6">
        <f>LOOKUP(D1607,'AMFI DATA_2023H2'!F:J,'AMFI DATA_2023H2'!J:J)</f>
        <v>171.50029999999998</v>
      </c>
      <c r="G1607" s="7">
        <f t="shared" si="6"/>
        <v>-1</v>
      </c>
      <c r="H1607" s="9"/>
      <c r="I1607" s="9">
        <v>167</v>
      </c>
      <c r="J1607" s="9">
        <v>170</v>
      </c>
      <c r="K1607" s="9">
        <v>170</v>
      </c>
      <c r="L1607" s="9">
        <v>174</v>
      </c>
      <c r="M1607" s="9">
        <v>174</v>
      </c>
      <c r="N1607" s="9">
        <v>171</v>
      </c>
      <c r="O1607" s="9">
        <v>172</v>
      </c>
      <c r="P1607" s="9">
        <v>171</v>
      </c>
      <c r="Q1607" s="9">
        <v>171</v>
      </c>
      <c r="R1607" s="9">
        <v>174</v>
      </c>
      <c r="S1607" s="9">
        <v>185</v>
      </c>
      <c r="T1607" s="9">
        <v>185</v>
      </c>
      <c r="U1607" s="9">
        <v>186</v>
      </c>
      <c r="V1607" s="9">
        <v>182</v>
      </c>
      <c r="W1607" s="9">
        <v>185</v>
      </c>
      <c r="X1607" s="9">
        <v>185</v>
      </c>
      <c r="Y1607" s="9">
        <v>184</v>
      </c>
      <c r="Z1607" s="9">
        <v>184</v>
      </c>
      <c r="AA1607" s="9">
        <v>181</v>
      </c>
      <c r="AB1607" s="9">
        <v>182</v>
      </c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</row>
    <row r="1608" spans="1:47" ht="14.4">
      <c r="A1608" s="3">
        <f>LOOKUP(D1608,'AMFI DATA_2023H2'!F:L,'AMFI DATA_2023H2'!L:L)</f>
        <v>2062</v>
      </c>
      <c r="B1608" s="4" t="s">
        <v>4823</v>
      </c>
      <c r="C1608" s="4" t="s">
        <v>4824</v>
      </c>
      <c r="D1608" s="5" t="s">
        <v>4825</v>
      </c>
      <c r="E1608" s="5">
        <v>141.13</v>
      </c>
      <c r="F1608" s="6">
        <f>LOOKUP(D1608,'AMFI DATA_2023H2'!F:J,'AMFI DATA_2023H2'!J:J)</f>
        <v>170.88339999999999</v>
      </c>
      <c r="G1608" s="7">
        <f t="shared" si="6"/>
        <v>-1</v>
      </c>
      <c r="H1608" s="9"/>
      <c r="I1608" s="9">
        <v>256</v>
      </c>
      <c r="J1608" s="9">
        <v>261</v>
      </c>
      <c r="K1608" s="9">
        <v>259</v>
      </c>
      <c r="L1608" s="9">
        <v>264</v>
      </c>
      <c r="M1608" s="9">
        <v>270</v>
      </c>
      <c r="N1608" s="9">
        <v>275</v>
      </c>
      <c r="O1608" s="9">
        <v>280</v>
      </c>
      <c r="P1608" s="9">
        <v>286</v>
      </c>
      <c r="Q1608" s="9">
        <v>280</v>
      </c>
      <c r="R1608" s="9">
        <v>275</v>
      </c>
      <c r="S1608" s="9">
        <v>270</v>
      </c>
      <c r="T1608" s="9">
        <v>256</v>
      </c>
      <c r="U1608" s="9">
        <v>245</v>
      </c>
      <c r="V1608" s="9">
        <v>234</v>
      </c>
      <c r="W1608" s="9">
        <v>223</v>
      </c>
      <c r="X1608" s="9">
        <v>214</v>
      </c>
      <c r="Y1608" s="9">
        <v>204</v>
      </c>
      <c r="Z1608" s="9">
        <v>215</v>
      </c>
      <c r="AA1608" s="9">
        <v>219</v>
      </c>
      <c r="AB1608" s="9">
        <v>202</v>
      </c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</row>
    <row r="1609" spans="1:47" ht="14.4">
      <c r="A1609" s="3">
        <f>LOOKUP(D1609,'AMFI DATA_2023H2'!F:L,'AMFI DATA_2023H2'!L:L)</f>
        <v>2063</v>
      </c>
      <c r="B1609" s="4" t="s">
        <v>4826</v>
      </c>
      <c r="C1609" s="4" t="s">
        <v>4827</v>
      </c>
      <c r="D1609" s="5" t="s">
        <v>4828</v>
      </c>
      <c r="E1609" s="5">
        <v>113.84</v>
      </c>
      <c r="F1609" s="6">
        <f>LOOKUP(D1609,'AMFI DATA_2023H2'!F:J,'AMFI DATA_2023H2'!J:J)</f>
        <v>170.82259999999999</v>
      </c>
      <c r="G1609" s="7">
        <f t="shared" si="6"/>
        <v>-1</v>
      </c>
      <c r="H1609" s="9"/>
      <c r="I1609" s="9">
        <v>209</v>
      </c>
      <c r="J1609" s="9">
        <v>208</v>
      </c>
      <c r="K1609" s="9">
        <v>207</v>
      </c>
      <c r="L1609" s="9">
        <v>210</v>
      </c>
      <c r="M1609" s="9">
        <v>215</v>
      </c>
      <c r="N1609" s="9">
        <v>209</v>
      </c>
      <c r="O1609" s="9">
        <v>213</v>
      </c>
      <c r="P1609" s="9">
        <v>208</v>
      </c>
      <c r="Q1609" s="9">
        <v>213</v>
      </c>
      <c r="R1609" s="9">
        <v>214</v>
      </c>
      <c r="S1609" s="9">
        <v>209</v>
      </c>
      <c r="T1609" s="9">
        <v>219</v>
      </c>
      <c r="U1609" s="9">
        <v>214</v>
      </c>
      <c r="V1609" s="9">
        <v>201</v>
      </c>
      <c r="W1609" s="9">
        <v>196</v>
      </c>
      <c r="X1609" s="9">
        <v>196</v>
      </c>
      <c r="Y1609" s="9">
        <v>193</v>
      </c>
      <c r="Z1609" s="9">
        <v>194</v>
      </c>
      <c r="AA1609" s="9">
        <v>194</v>
      </c>
      <c r="AB1609" s="9">
        <v>189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</row>
    <row r="1610" spans="1:47" ht="14.4">
      <c r="A1610" s="3">
        <f>LOOKUP(D1610,'AMFI DATA_2023H2'!F:L,'AMFI DATA_2023H2'!L:L)</f>
        <v>2065</v>
      </c>
      <c r="B1610" s="4" t="s">
        <v>4829</v>
      </c>
      <c r="C1610" s="4" t="s">
        <v>4830</v>
      </c>
      <c r="D1610" s="5" t="s">
        <v>4831</v>
      </c>
      <c r="E1610" s="5">
        <v>130.47</v>
      </c>
      <c r="F1610" s="6">
        <f>LOOKUP(D1610,'AMFI DATA_2023H2'!F:J,'AMFI DATA_2023H2'!J:J)</f>
        <v>170.76175000000001</v>
      </c>
      <c r="G1610" s="7">
        <f t="shared" si="6"/>
        <v>-1</v>
      </c>
      <c r="H1610" s="9"/>
      <c r="I1610" s="9">
        <v>208</v>
      </c>
      <c r="J1610" s="9">
        <v>206</v>
      </c>
      <c r="K1610" s="9">
        <v>213</v>
      </c>
      <c r="L1610" s="9">
        <v>214</v>
      </c>
      <c r="M1610" s="9">
        <v>213</v>
      </c>
      <c r="N1610" s="9">
        <v>217</v>
      </c>
      <c r="O1610" s="9">
        <v>218</v>
      </c>
      <c r="P1610" s="9">
        <v>221</v>
      </c>
      <c r="Q1610" s="9">
        <v>219</v>
      </c>
      <c r="R1610" s="9">
        <v>208</v>
      </c>
      <c r="S1610" s="9">
        <v>217</v>
      </c>
      <c r="T1610" s="9">
        <v>221</v>
      </c>
      <c r="U1610" s="9">
        <v>223</v>
      </c>
      <c r="V1610" s="9">
        <v>230</v>
      </c>
      <c r="W1610" s="9">
        <v>222</v>
      </c>
      <c r="X1610" s="9">
        <v>226</v>
      </c>
      <c r="Y1610" s="9">
        <v>226</v>
      </c>
      <c r="Z1610" s="9">
        <v>224</v>
      </c>
      <c r="AA1610" s="9">
        <v>231</v>
      </c>
      <c r="AB1610" s="9">
        <v>229</v>
      </c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</row>
    <row r="1611" spans="1:47" ht="14.4">
      <c r="A1611" s="3">
        <f>LOOKUP(D1611,'AMFI DATA_2023H2'!F:L,'AMFI DATA_2023H2'!L:L)</f>
        <v>2067</v>
      </c>
      <c r="B1611" s="4" t="s">
        <v>4832</v>
      </c>
      <c r="C1611" s="4" t="s">
        <v>4833</v>
      </c>
      <c r="D1611" s="5" t="s">
        <v>4834</v>
      </c>
      <c r="E1611" s="5">
        <v>156.88999999999999</v>
      </c>
      <c r="F1611" s="6">
        <f>LOOKUP(D1611,'AMFI DATA_2023H2'!F:J,'AMFI DATA_2023H2'!J:J)</f>
        <v>170.48145</v>
      </c>
      <c r="G1611" s="7">
        <f t="shared" si="6"/>
        <v>-1</v>
      </c>
      <c r="H1611" s="9"/>
      <c r="I1611" s="9">
        <v>181</v>
      </c>
      <c r="J1611" s="9">
        <v>181</v>
      </c>
      <c r="K1611" s="9">
        <v>182</v>
      </c>
      <c r="L1611" s="9">
        <v>186</v>
      </c>
      <c r="M1611" s="9">
        <v>193</v>
      </c>
      <c r="N1611" s="9">
        <v>192</v>
      </c>
      <c r="O1611" s="9">
        <v>192</v>
      </c>
      <c r="P1611" s="9">
        <v>194</v>
      </c>
      <c r="Q1611" s="9">
        <v>189</v>
      </c>
      <c r="R1611" s="9">
        <v>190</v>
      </c>
      <c r="S1611" s="9">
        <v>184</v>
      </c>
      <c r="T1611" s="9">
        <v>185</v>
      </c>
      <c r="U1611" s="9">
        <v>187</v>
      </c>
      <c r="V1611" s="9">
        <v>187</v>
      </c>
      <c r="W1611" s="9">
        <v>188</v>
      </c>
      <c r="X1611" s="9">
        <v>182</v>
      </c>
      <c r="Y1611" s="9">
        <v>182</v>
      </c>
      <c r="Z1611" s="9">
        <v>182</v>
      </c>
      <c r="AA1611" s="9">
        <v>171</v>
      </c>
      <c r="AB1611" s="9">
        <v>174</v>
      </c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</row>
    <row r="1612" spans="1:47" ht="14.4">
      <c r="A1612" s="3">
        <f>LOOKUP(D1612,'AMFI DATA_2023H2'!F:L,'AMFI DATA_2023H2'!L:L)</f>
        <v>2068</v>
      </c>
      <c r="B1612" s="4" t="s">
        <v>4835</v>
      </c>
      <c r="C1612" s="4" t="s">
        <v>4836</v>
      </c>
      <c r="D1612" s="5" t="s">
        <v>4837</v>
      </c>
      <c r="E1612" s="5">
        <v>159.21</v>
      </c>
      <c r="F1612" s="6">
        <f>LOOKUP(D1612,'AMFI DATA_2023H2'!F:J,'AMFI DATA_2023H2'!J:J)</f>
        <v>170.2867</v>
      </c>
      <c r="G1612" s="7">
        <f t="shared" si="6"/>
        <v>-1</v>
      </c>
      <c r="H1612" s="9"/>
      <c r="I1612" s="9">
        <v>193</v>
      </c>
      <c r="J1612" s="9">
        <v>190</v>
      </c>
      <c r="K1612" s="9">
        <v>191</v>
      </c>
      <c r="L1612" s="9">
        <v>192</v>
      </c>
      <c r="M1612" s="9">
        <v>199</v>
      </c>
      <c r="N1612" s="9">
        <v>200</v>
      </c>
      <c r="O1612" s="9">
        <v>206</v>
      </c>
      <c r="P1612" s="9">
        <v>203</v>
      </c>
      <c r="Q1612" s="9">
        <v>202</v>
      </c>
      <c r="R1612" s="9">
        <v>200</v>
      </c>
      <c r="S1612" s="9">
        <v>186</v>
      </c>
      <c r="T1612" s="9">
        <v>181</v>
      </c>
      <c r="U1612" s="9">
        <v>173</v>
      </c>
      <c r="V1612" s="9">
        <v>176</v>
      </c>
      <c r="W1612" s="9">
        <v>177</v>
      </c>
      <c r="X1612" s="9">
        <v>172</v>
      </c>
      <c r="Y1612" s="9">
        <v>173</v>
      </c>
      <c r="Z1612" s="9">
        <v>176</v>
      </c>
      <c r="AA1612" s="9">
        <v>177</v>
      </c>
      <c r="AB1612" s="9">
        <v>175</v>
      </c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</row>
    <row r="1613" spans="1:47" ht="14.4">
      <c r="A1613" s="3">
        <f>LOOKUP(D1613,'AMFI DATA_2023H2'!F:L,'AMFI DATA_2023H2'!L:L)</f>
        <v>2069</v>
      </c>
      <c r="B1613" s="4" t="s">
        <v>4838</v>
      </c>
      <c r="C1613" s="4" t="s">
        <v>4839</v>
      </c>
      <c r="D1613" s="5" t="s">
        <v>4840</v>
      </c>
      <c r="E1613" s="5">
        <v>128.59</v>
      </c>
      <c r="F1613" s="6">
        <f>LOOKUP(D1613,'AMFI DATA_2023H2'!F:J,'AMFI DATA_2023H2'!J:J)</f>
        <v>170.13655</v>
      </c>
      <c r="G1613" s="7">
        <f t="shared" si="6"/>
        <v>-1</v>
      </c>
      <c r="H1613" s="9"/>
      <c r="I1613" s="9">
        <v>217</v>
      </c>
      <c r="J1613" s="9">
        <v>215</v>
      </c>
      <c r="K1613" s="9">
        <v>214</v>
      </c>
      <c r="L1613" s="9">
        <v>219</v>
      </c>
      <c r="M1613" s="9">
        <v>223</v>
      </c>
      <c r="N1613" s="9">
        <v>226</v>
      </c>
      <c r="O1613" s="9">
        <v>230</v>
      </c>
      <c r="P1613" s="9">
        <v>227</v>
      </c>
      <c r="Q1613" s="9">
        <v>225</v>
      </c>
      <c r="R1613" s="9">
        <v>228</v>
      </c>
      <c r="S1613" s="9">
        <v>234</v>
      </c>
      <c r="T1613" s="9">
        <v>228</v>
      </c>
      <c r="U1613" s="9">
        <v>233</v>
      </c>
      <c r="V1613" s="9">
        <v>235</v>
      </c>
      <c r="W1613" s="9">
        <v>219</v>
      </c>
      <c r="X1613" s="9">
        <v>217</v>
      </c>
      <c r="Y1613" s="9">
        <v>220</v>
      </c>
      <c r="Z1613" s="9">
        <v>221</v>
      </c>
      <c r="AA1613" s="9">
        <v>226</v>
      </c>
      <c r="AB1613" s="9">
        <v>212</v>
      </c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</row>
    <row r="1614" spans="1:47" ht="14.4">
      <c r="A1614" s="3">
        <f>LOOKUP(D1614,'AMFI DATA_2023H2'!F:L,'AMFI DATA_2023H2'!L:L)</f>
        <v>2072</v>
      </c>
      <c r="B1614" s="4" t="s">
        <v>4841</v>
      </c>
      <c r="C1614" s="4" t="s">
        <v>4842</v>
      </c>
      <c r="D1614" s="5" t="s">
        <v>4843</v>
      </c>
      <c r="E1614" s="5">
        <v>176.92</v>
      </c>
      <c r="F1614" s="6">
        <f>LOOKUP(D1614,'AMFI DATA_2023H2'!F:J,'AMFI DATA_2023H2'!J:J)</f>
        <v>169.25444999999999</v>
      </c>
      <c r="G1614" s="7">
        <f t="shared" si="6"/>
        <v>-1</v>
      </c>
      <c r="H1614" s="9"/>
      <c r="I1614" s="9">
        <v>264</v>
      </c>
      <c r="J1614" s="9">
        <v>283</v>
      </c>
      <c r="K1614" s="9">
        <v>276</v>
      </c>
      <c r="L1614" s="9">
        <v>276</v>
      </c>
      <c r="M1614" s="9">
        <v>264</v>
      </c>
      <c r="N1614" s="9">
        <v>321</v>
      </c>
      <c r="O1614" s="9">
        <v>242</v>
      </c>
      <c r="P1614" s="9">
        <v>283</v>
      </c>
      <c r="Q1614" s="9">
        <v>223</v>
      </c>
      <c r="R1614" s="9">
        <v>215</v>
      </c>
      <c r="S1614" s="9">
        <v>208</v>
      </c>
      <c r="T1614" s="9">
        <v>208</v>
      </c>
      <c r="U1614" s="9">
        <v>192</v>
      </c>
      <c r="V1614" s="9">
        <v>189</v>
      </c>
      <c r="W1614" s="9">
        <v>185</v>
      </c>
      <c r="X1614" s="9">
        <v>177</v>
      </c>
      <c r="Y1614" s="9">
        <v>174</v>
      </c>
      <c r="Z1614" s="9">
        <v>170</v>
      </c>
      <c r="AA1614" s="9">
        <v>185</v>
      </c>
      <c r="AB1614" s="9">
        <v>189</v>
      </c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</row>
    <row r="1615" spans="1:47" ht="14.4">
      <c r="A1615" s="3">
        <f>LOOKUP(D1615,'AMFI DATA_2023H2'!F:L,'AMFI DATA_2023H2'!L:L)</f>
        <v>2072</v>
      </c>
      <c r="B1615" s="4" t="s">
        <v>4844</v>
      </c>
      <c r="C1615" s="4" t="s">
        <v>4845</v>
      </c>
      <c r="D1615" s="5" t="s">
        <v>4846</v>
      </c>
      <c r="E1615" s="5">
        <v>176.92</v>
      </c>
      <c r="F1615" s="6">
        <f>LOOKUP(D1615,'AMFI DATA_2023H2'!F:J,'AMFI DATA_2023H2'!J:J)</f>
        <v>169.25444999999999</v>
      </c>
      <c r="G1615" s="7">
        <f t="shared" si="6"/>
        <v>-1</v>
      </c>
      <c r="H1615" s="9"/>
      <c r="I1615" s="9">
        <v>426</v>
      </c>
      <c r="J1615" s="9">
        <v>430</v>
      </c>
      <c r="K1615" s="9">
        <v>427</v>
      </c>
      <c r="L1615" s="9">
        <v>431</v>
      </c>
      <c r="M1615" s="9">
        <v>434</v>
      </c>
      <c r="N1615" s="9">
        <v>438</v>
      </c>
      <c r="O1615" s="9">
        <v>435</v>
      </c>
      <c r="P1615" s="9">
        <v>469</v>
      </c>
      <c r="Q1615" s="9">
        <v>472</v>
      </c>
      <c r="R1615" s="9">
        <v>480</v>
      </c>
      <c r="S1615" s="9">
        <v>467</v>
      </c>
      <c r="T1615" s="9">
        <v>446</v>
      </c>
      <c r="U1615" s="9">
        <v>438</v>
      </c>
      <c r="V1615" s="9">
        <v>443</v>
      </c>
      <c r="W1615" s="9">
        <v>428</v>
      </c>
      <c r="X1615" s="9">
        <v>438</v>
      </c>
      <c r="Y1615" s="9">
        <v>438</v>
      </c>
      <c r="Z1615" s="9">
        <v>447</v>
      </c>
      <c r="AA1615" s="9">
        <v>450</v>
      </c>
      <c r="AB1615" s="9">
        <v>442</v>
      </c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</row>
    <row r="1616" spans="1:47" ht="14.4">
      <c r="A1616" s="3">
        <f>LOOKUP(D1616,'AMFI DATA_2023H2'!F:L,'AMFI DATA_2023H2'!L:L)</f>
        <v>2074</v>
      </c>
      <c r="B1616" s="4" t="s">
        <v>4847</v>
      </c>
      <c r="C1616" s="4" t="s">
        <v>4848</v>
      </c>
      <c r="D1616" s="5" t="s">
        <v>4849</v>
      </c>
      <c r="E1616" s="5">
        <v>201.37</v>
      </c>
      <c r="F1616" s="6">
        <f>LOOKUP(D1616,'AMFI DATA_2023H2'!F:J,'AMFI DATA_2023H2'!J:J)</f>
        <v>169.24795</v>
      </c>
      <c r="G1616" s="7">
        <f t="shared" si="6"/>
        <v>-1</v>
      </c>
      <c r="H1616" s="9"/>
      <c r="I1616" s="9">
        <v>178</v>
      </c>
      <c r="J1616" s="9">
        <v>180</v>
      </c>
      <c r="K1616" s="9">
        <v>178</v>
      </c>
      <c r="L1616" s="9">
        <v>176</v>
      </c>
      <c r="M1616" s="9">
        <v>178</v>
      </c>
      <c r="N1616" s="9">
        <v>180</v>
      </c>
      <c r="O1616" s="9">
        <v>180</v>
      </c>
      <c r="P1616" s="9">
        <v>178</v>
      </c>
      <c r="Q1616" s="9">
        <v>180</v>
      </c>
      <c r="R1616" s="9">
        <v>178</v>
      </c>
      <c r="S1616" s="9">
        <v>176</v>
      </c>
      <c r="T1616" s="9">
        <v>178</v>
      </c>
      <c r="U1616" s="9">
        <v>176</v>
      </c>
      <c r="V1616" s="9">
        <v>174</v>
      </c>
      <c r="W1616" s="9">
        <v>174</v>
      </c>
      <c r="X1616" s="9">
        <v>174</v>
      </c>
      <c r="Y1616" s="9">
        <v>176</v>
      </c>
      <c r="Z1616" s="9">
        <v>178</v>
      </c>
      <c r="AA1616" s="9">
        <v>178</v>
      </c>
      <c r="AB1616" s="9">
        <v>180</v>
      </c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</row>
    <row r="1617" spans="1:47" ht="14.4">
      <c r="A1617" s="3">
        <f>LOOKUP(D1617,'AMFI DATA_2023H2'!F:L,'AMFI DATA_2023H2'!L:L)</f>
        <v>2084</v>
      </c>
      <c r="B1617" s="4" t="s">
        <v>4850</v>
      </c>
      <c r="C1617" s="4" t="s">
        <v>4851</v>
      </c>
      <c r="D1617" s="5" t="s">
        <v>4852</v>
      </c>
      <c r="E1617" s="5">
        <v>142.47</v>
      </c>
      <c r="F1617" s="6">
        <f>LOOKUP(D1617,'AMFI DATA_2023H2'!F:J,'AMFI DATA_2023H2'!J:J)</f>
        <v>165.62664999999998</v>
      </c>
      <c r="G1617" s="7">
        <f t="shared" si="6"/>
        <v>-1</v>
      </c>
      <c r="H1617" s="9"/>
      <c r="I1617" s="9">
        <v>207</v>
      </c>
      <c r="J1617" s="9">
        <v>189</v>
      </c>
      <c r="K1617" s="9">
        <v>189</v>
      </c>
      <c r="L1617" s="9">
        <v>196</v>
      </c>
      <c r="M1617" s="9">
        <v>200</v>
      </c>
      <c r="N1617" s="9">
        <v>197</v>
      </c>
      <c r="O1617" s="9">
        <v>211</v>
      </c>
      <c r="P1617" s="9">
        <v>176</v>
      </c>
      <c r="Q1617" s="9">
        <v>177</v>
      </c>
      <c r="R1617" s="9">
        <v>177</v>
      </c>
      <c r="S1617" s="9">
        <v>168</v>
      </c>
      <c r="T1617" s="9">
        <v>170</v>
      </c>
      <c r="U1617" s="9">
        <v>167</v>
      </c>
      <c r="V1617" s="9">
        <v>168</v>
      </c>
      <c r="W1617" s="9">
        <v>165</v>
      </c>
      <c r="X1617" s="9">
        <v>159</v>
      </c>
      <c r="Y1617" s="9">
        <v>161</v>
      </c>
      <c r="Z1617" s="9">
        <v>160</v>
      </c>
      <c r="AA1617" s="9">
        <v>161</v>
      </c>
      <c r="AB1617" s="9">
        <v>157</v>
      </c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</row>
    <row r="1618" spans="1:47" ht="14.4">
      <c r="A1618" s="3">
        <f>LOOKUP(D1618,'AMFI DATA_2023H2'!F:L,'AMFI DATA_2023H2'!L:L)</f>
        <v>2085</v>
      </c>
      <c r="B1618" s="4" t="s">
        <v>4853</v>
      </c>
      <c r="C1618" s="4" t="s">
        <v>4854</v>
      </c>
      <c r="D1618" s="5" t="s">
        <v>4855</v>
      </c>
      <c r="E1618" s="5">
        <v>140.47999999999999</v>
      </c>
      <c r="F1618" s="6">
        <f>LOOKUP(D1618,'AMFI DATA_2023H2'!F:J,'AMFI DATA_2023H2'!J:J)</f>
        <v>165.40195</v>
      </c>
      <c r="G1618" s="7">
        <f t="shared" si="6"/>
        <v>-1</v>
      </c>
      <c r="H1618" s="9"/>
      <c r="I1618" s="9">
        <v>255</v>
      </c>
      <c r="J1618" s="9">
        <v>260</v>
      </c>
      <c r="K1618" s="9">
        <v>265</v>
      </c>
      <c r="L1618" s="9">
        <v>270</v>
      </c>
      <c r="M1618" s="9">
        <v>270</v>
      </c>
      <c r="N1618" s="9">
        <v>266</v>
      </c>
      <c r="O1618" s="9">
        <v>263</v>
      </c>
      <c r="P1618" s="9">
        <v>258</v>
      </c>
      <c r="Q1618" s="9">
        <v>253</v>
      </c>
      <c r="R1618" s="9">
        <v>248</v>
      </c>
      <c r="S1618" s="9">
        <v>243</v>
      </c>
      <c r="T1618" s="9">
        <v>238</v>
      </c>
      <c r="U1618" s="9">
        <v>234</v>
      </c>
      <c r="V1618" s="9">
        <v>229</v>
      </c>
      <c r="W1618" s="9">
        <v>225</v>
      </c>
      <c r="X1618" s="9">
        <v>221</v>
      </c>
      <c r="Y1618" s="9">
        <v>217</v>
      </c>
      <c r="Z1618" s="9">
        <v>217</v>
      </c>
      <c r="AA1618" s="9">
        <v>222</v>
      </c>
      <c r="AB1618" s="9">
        <v>226</v>
      </c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</row>
    <row r="1619" spans="1:47" ht="14.4">
      <c r="A1619" s="3">
        <f>LOOKUP(D1619,'AMFI DATA_2023H2'!F:L,'AMFI DATA_2023H2'!L:L)</f>
        <v>2086</v>
      </c>
      <c r="B1619" s="4" t="s">
        <v>4856</v>
      </c>
      <c r="C1619" s="4" t="s">
        <v>4857</v>
      </c>
      <c r="D1619" s="5" t="s">
        <v>4858</v>
      </c>
      <c r="E1619" s="5">
        <v>162.32</v>
      </c>
      <c r="F1619" s="6">
        <f>LOOKUP(D1619,'AMFI DATA_2023H2'!F:J,'AMFI DATA_2023H2'!J:J)</f>
        <v>165.39274999999998</v>
      </c>
      <c r="G1619" s="7">
        <f t="shared" si="6"/>
        <v>-1</v>
      </c>
      <c r="H1619" s="9"/>
      <c r="I1619" s="9">
        <v>164</v>
      </c>
      <c r="J1619" s="9">
        <v>165</v>
      </c>
      <c r="K1619" s="9">
        <v>168</v>
      </c>
      <c r="L1619" s="9">
        <v>165</v>
      </c>
      <c r="M1619" s="9">
        <v>169</v>
      </c>
      <c r="N1619" s="9">
        <v>168</v>
      </c>
      <c r="O1619" s="9">
        <v>164</v>
      </c>
      <c r="P1619" s="9">
        <v>165</v>
      </c>
      <c r="Q1619" s="9">
        <v>165</v>
      </c>
      <c r="R1619" s="9">
        <v>166</v>
      </c>
      <c r="S1619" s="9">
        <v>172</v>
      </c>
      <c r="T1619" s="9">
        <v>170</v>
      </c>
      <c r="U1619" s="9">
        <v>168</v>
      </c>
      <c r="V1619" s="9">
        <v>168</v>
      </c>
      <c r="W1619" s="9">
        <v>166</v>
      </c>
      <c r="X1619" s="9">
        <v>171</v>
      </c>
      <c r="Y1619" s="9">
        <v>166</v>
      </c>
      <c r="Z1619" s="9">
        <v>165</v>
      </c>
      <c r="AA1619" s="9">
        <v>165</v>
      </c>
      <c r="AB1619" s="9">
        <v>164</v>
      </c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</row>
    <row r="1620" spans="1:47" ht="14.4">
      <c r="A1620" s="3">
        <f>LOOKUP(D1620,'AMFI DATA_2023H2'!F:L,'AMFI DATA_2023H2'!L:L)</f>
        <v>2088</v>
      </c>
      <c r="B1620" s="4" t="s">
        <v>4859</v>
      </c>
      <c r="C1620" s="4" t="s">
        <v>4860</v>
      </c>
      <c r="D1620" s="5" t="s">
        <v>4861</v>
      </c>
      <c r="E1620" s="5">
        <v>115.84</v>
      </c>
      <c r="F1620" s="6">
        <f>LOOKUP(D1620,'AMFI DATA_2023H2'!F:J,'AMFI DATA_2023H2'!J:J)</f>
        <v>164.97735</v>
      </c>
      <c r="G1620" s="7">
        <f t="shared" si="6"/>
        <v>-1</v>
      </c>
      <c r="H1620" s="9"/>
      <c r="I1620" s="9">
        <v>212</v>
      </c>
      <c r="J1620" s="9">
        <v>204</v>
      </c>
      <c r="K1620" s="9">
        <v>207</v>
      </c>
      <c r="L1620" s="9">
        <v>209</v>
      </c>
      <c r="M1620" s="9">
        <v>203</v>
      </c>
      <c r="N1620" s="9">
        <v>204</v>
      </c>
      <c r="O1620" s="9">
        <v>205</v>
      </c>
      <c r="P1620" s="9">
        <v>207</v>
      </c>
      <c r="Q1620" s="9">
        <v>210</v>
      </c>
      <c r="R1620" s="9">
        <v>212</v>
      </c>
      <c r="S1620" s="9">
        <v>212</v>
      </c>
      <c r="T1620" s="9">
        <v>217</v>
      </c>
      <c r="U1620" s="9">
        <v>206</v>
      </c>
      <c r="V1620" s="9">
        <v>196</v>
      </c>
      <c r="W1620" s="9">
        <v>200</v>
      </c>
      <c r="X1620" s="9">
        <v>191</v>
      </c>
      <c r="Y1620" s="9">
        <v>193</v>
      </c>
      <c r="Z1620" s="9">
        <v>194</v>
      </c>
      <c r="AA1620" s="9">
        <v>197</v>
      </c>
      <c r="AB1620" s="9">
        <v>189</v>
      </c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</row>
    <row r="1621" spans="1:47" ht="14.4">
      <c r="A1621" s="3">
        <f>LOOKUP(D1621,'AMFI DATA_2023H2'!F:L,'AMFI DATA_2023H2'!L:L)</f>
        <v>2089</v>
      </c>
      <c r="B1621" s="4" t="s">
        <v>4862</v>
      </c>
      <c r="C1621" s="4" t="s">
        <v>4863</v>
      </c>
      <c r="D1621" s="5" t="s">
        <v>4864</v>
      </c>
      <c r="E1621" s="5">
        <v>146.72</v>
      </c>
      <c r="F1621" s="6">
        <f>LOOKUP(D1621,'AMFI DATA_2023H2'!F:J,'AMFI DATA_2023H2'!J:J)</f>
        <v>164.91220000000001</v>
      </c>
      <c r="G1621" s="7">
        <f t="shared" si="6"/>
        <v>-1</v>
      </c>
      <c r="H1621" s="9"/>
      <c r="I1621" s="9">
        <v>206</v>
      </c>
      <c r="J1621" s="9">
        <v>201</v>
      </c>
      <c r="K1621" s="9">
        <v>203</v>
      </c>
      <c r="L1621" s="9">
        <v>190</v>
      </c>
      <c r="M1621" s="9">
        <v>195</v>
      </c>
      <c r="N1621" s="9">
        <v>197</v>
      </c>
      <c r="O1621" s="9">
        <v>204</v>
      </c>
      <c r="P1621" s="9">
        <v>193</v>
      </c>
      <c r="Q1621" s="9">
        <v>177</v>
      </c>
      <c r="R1621" s="9">
        <v>173</v>
      </c>
      <c r="S1621" s="9">
        <v>175</v>
      </c>
      <c r="T1621" s="9">
        <v>176</v>
      </c>
      <c r="U1621" s="9">
        <v>175</v>
      </c>
      <c r="V1621" s="9">
        <v>177</v>
      </c>
      <c r="W1621" s="9">
        <v>178</v>
      </c>
      <c r="X1621" s="9">
        <v>175</v>
      </c>
      <c r="Y1621" s="9">
        <v>176</v>
      </c>
      <c r="Z1621" s="9">
        <v>176</v>
      </c>
      <c r="AA1621" s="9">
        <v>180</v>
      </c>
      <c r="AB1621" s="9">
        <v>173</v>
      </c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1:47" ht="14.4">
      <c r="A1622" s="3">
        <f>LOOKUP(D1622,'AMFI DATA_2023H2'!F:L,'AMFI DATA_2023H2'!L:L)</f>
        <v>2092</v>
      </c>
      <c r="B1622" s="4" t="s">
        <v>4865</v>
      </c>
      <c r="C1622" s="4" t="s">
        <v>4866</v>
      </c>
      <c r="D1622" s="5" t="s">
        <v>4867</v>
      </c>
      <c r="E1622" s="5">
        <v>134.02000000000001</v>
      </c>
      <c r="F1622" s="6">
        <f>LOOKUP(D1622,'AMFI DATA_2023H2'!F:J,'AMFI DATA_2023H2'!J:J)</f>
        <v>164.32470000000001</v>
      </c>
      <c r="G1622" s="7">
        <f t="shared" si="6"/>
        <v>-1</v>
      </c>
      <c r="H1622" s="9"/>
      <c r="I1622" s="9">
        <v>238</v>
      </c>
      <c r="J1622" s="9">
        <v>234</v>
      </c>
      <c r="K1622" s="9">
        <v>239</v>
      </c>
      <c r="L1622" s="9">
        <v>243</v>
      </c>
      <c r="M1622" s="9">
        <v>248</v>
      </c>
      <c r="N1622" s="9">
        <v>251</v>
      </c>
      <c r="O1622" s="9">
        <v>256</v>
      </c>
      <c r="P1622" s="9">
        <v>261</v>
      </c>
      <c r="Q1622" s="9">
        <v>267</v>
      </c>
      <c r="R1622" s="9">
        <v>255</v>
      </c>
      <c r="S1622" s="9">
        <v>251</v>
      </c>
      <c r="T1622" s="9">
        <v>248</v>
      </c>
      <c r="U1622" s="9">
        <v>238</v>
      </c>
      <c r="V1622" s="9">
        <v>226</v>
      </c>
      <c r="W1622" s="9">
        <v>216</v>
      </c>
      <c r="X1622" s="9">
        <v>206</v>
      </c>
      <c r="Y1622" s="9">
        <v>202</v>
      </c>
      <c r="Z1622" s="9">
        <v>198</v>
      </c>
      <c r="AA1622" s="9">
        <v>197</v>
      </c>
      <c r="AB1622" s="9">
        <v>192</v>
      </c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</row>
    <row r="1623" spans="1:47" ht="14.4">
      <c r="A1623" s="3">
        <f>LOOKUP(D1623,'AMFI DATA_2023H2'!F:L,'AMFI DATA_2023H2'!L:L)</f>
        <v>2096</v>
      </c>
      <c r="B1623" s="4" t="s">
        <v>4868</v>
      </c>
      <c r="C1623" s="4" t="s">
        <v>4869</v>
      </c>
      <c r="D1623" s="5" t="s">
        <v>4870</v>
      </c>
      <c r="E1623" s="5">
        <v>132.77000000000001</v>
      </c>
      <c r="F1623" s="6">
        <f>LOOKUP(D1623,'AMFI DATA_2023H2'!F:J,'AMFI DATA_2023H2'!J:J)</f>
        <v>163.16784999999999</v>
      </c>
      <c r="G1623" s="7">
        <f t="shared" si="6"/>
        <v>-1</v>
      </c>
      <c r="H1623" s="9"/>
      <c r="I1623" s="9">
        <v>226</v>
      </c>
      <c r="J1623" s="9">
        <v>222</v>
      </c>
      <c r="K1623" s="9">
        <v>222</v>
      </c>
      <c r="L1623" s="9">
        <v>222</v>
      </c>
      <c r="M1623" s="9">
        <v>226</v>
      </c>
      <c r="N1623" s="9">
        <v>222</v>
      </c>
      <c r="O1623" s="9">
        <v>223</v>
      </c>
      <c r="P1623" s="9">
        <v>222</v>
      </c>
      <c r="Q1623" s="9">
        <v>226</v>
      </c>
      <c r="R1623" s="9">
        <v>231</v>
      </c>
      <c r="S1623" s="9">
        <v>236</v>
      </c>
      <c r="T1623" s="9">
        <v>239</v>
      </c>
      <c r="U1623" s="9">
        <v>228</v>
      </c>
      <c r="V1623" s="9">
        <v>217</v>
      </c>
      <c r="W1623" s="9">
        <v>207</v>
      </c>
      <c r="X1623" s="9">
        <v>197</v>
      </c>
      <c r="Y1623" s="9">
        <v>187</v>
      </c>
      <c r="Z1623" s="9">
        <v>198</v>
      </c>
      <c r="AA1623" s="9">
        <v>203</v>
      </c>
      <c r="AB1623" s="9">
        <v>194</v>
      </c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</row>
    <row r="1624" spans="1:47" ht="14.4">
      <c r="A1624" s="3">
        <f>LOOKUP(D1624,'AMFI DATA_2023H2'!F:L,'AMFI DATA_2023H2'!L:L)</f>
        <v>2097</v>
      </c>
      <c r="B1624" s="4" t="s">
        <v>4871</v>
      </c>
      <c r="C1624" s="4" t="s">
        <v>4872</v>
      </c>
      <c r="D1624" s="5" t="s">
        <v>4873</v>
      </c>
      <c r="E1624" s="5">
        <v>178.54</v>
      </c>
      <c r="F1624" s="6">
        <f>LOOKUP(D1624,'AMFI DATA_2023H2'!F:J,'AMFI DATA_2023H2'!J:J)</f>
        <v>163.02654999999999</v>
      </c>
      <c r="G1624" s="7">
        <f t="shared" si="6"/>
        <v>-1</v>
      </c>
      <c r="H1624" s="9"/>
      <c r="I1624" s="9">
        <v>161</v>
      </c>
      <c r="J1624" s="9">
        <v>161</v>
      </c>
      <c r="K1624" s="9">
        <v>160</v>
      </c>
      <c r="L1624" s="9">
        <v>163</v>
      </c>
      <c r="M1624" s="9">
        <v>168</v>
      </c>
      <c r="N1624" s="9">
        <v>168</v>
      </c>
      <c r="O1624" s="9">
        <v>169</v>
      </c>
      <c r="P1624" s="9">
        <v>168</v>
      </c>
      <c r="Q1624" s="9">
        <v>170</v>
      </c>
      <c r="R1624" s="9">
        <v>172</v>
      </c>
      <c r="S1624" s="9">
        <v>159</v>
      </c>
      <c r="T1624" s="9">
        <v>158</v>
      </c>
      <c r="U1624" s="9">
        <v>158</v>
      </c>
      <c r="V1624" s="9">
        <v>156</v>
      </c>
      <c r="W1624" s="9">
        <v>158</v>
      </c>
      <c r="X1624" s="9">
        <v>155</v>
      </c>
      <c r="Y1624" s="9">
        <v>155</v>
      </c>
      <c r="Z1624" s="9">
        <v>155</v>
      </c>
      <c r="AA1624" s="9">
        <v>156</v>
      </c>
      <c r="AB1624" s="9">
        <v>156</v>
      </c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</row>
    <row r="1625" spans="1:47" ht="14.4">
      <c r="A1625" s="3">
        <f>LOOKUP(D1625,'AMFI DATA_2023H2'!F:L,'AMFI DATA_2023H2'!L:L)</f>
        <v>2098</v>
      </c>
      <c r="B1625" s="4" t="s">
        <v>4874</v>
      </c>
      <c r="C1625" s="4" t="s">
        <v>4875</v>
      </c>
      <c r="D1625" s="5" t="s">
        <v>4876</v>
      </c>
      <c r="E1625" s="5">
        <v>145.41999999999999</v>
      </c>
      <c r="F1625" s="6">
        <f>LOOKUP(D1625,'AMFI DATA_2023H2'!F:J,'AMFI DATA_2023H2'!J:J)</f>
        <v>162.34995000000001</v>
      </c>
      <c r="G1625" s="7">
        <f t="shared" si="6"/>
        <v>-1</v>
      </c>
      <c r="H1625" s="9"/>
      <c r="I1625" s="9">
        <v>224</v>
      </c>
      <c r="J1625" s="9">
        <v>224</v>
      </c>
      <c r="K1625" s="9">
        <v>194</v>
      </c>
      <c r="L1625" s="9">
        <v>195</v>
      </c>
      <c r="M1625" s="9">
        <v>194</v>
      </c>
      <c r="N1625" s="9">
        <v>195</v>
      </c>
      <c r="O1625" s="9">
        <v>197</v>
      </c>
      <c r="P1625" s="9">
        <v>199</v>
      </c>
      <c r="Q1625" s="9">
        <v>202</v>
      </c>
      <c r="R1625" s="9">
        <v>200</v>
      </c>
      <c r="S1625" s="9">
        <v>206</v>
      </c>
      <c r="T1625" s="9">
        <v>208</v>
      </c>
      <c r="U1625" s="9">
        <v>200</v>
      </c>
      <c r="V1625" s="9">
        <v>203</v>
      </c>
      <c r="W1625" s="9">
        <v>194</v>
      </c>
      <c r="X1625" s="9">
        <v>198</v>
      </c>
      <c r="Y1625" s="9">
        <v>185</v>
      </c>
      <c r="Z1625" s="9">
        <v>183</v>
      </c>
      <c r="AA1625" s="9">
        <v>180</v>
      </c>
      <c r="AB1625" s="9">
        <v>181</v>
      </c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</row>
    <row r="1626" spans="1:47" ht="14.4">
      <c r="A1626" s="3">
        <f>LOOKUP(D1626,'AMFI DATA_2023H2'!F:L,'AMFI DATA_2023H2'!L:L)</f>
        <v>2100</v>
      </c>
      <c r="B1626" s="4" t="s">
        <v>4877</v>
      </c>
      <c r="C1626" s="4" t="s">
        <v>4878</v>
      </c>
      <c r="D1626" s="5" t="s">
        <v>4879</v>
      </c>
      <c r="E1626" s="5">
        <v>152.13999999999999</v>
      </c>
      <c r="F1626" s="6">
        <f>LOOKUP(D1626,'AMFI DATA_2023H2'!F:J,'AMFI DATA_2023H2'!J:J)</f>
        <v>160.85849999999999</v>
      </c>
      <c r="G1626" s="7">
        <f t="shared" si="6"/>
        <v>-1</v>
      </c>
      <c r="H1626" s="9"/>
      <c r="I1626" s="9">
        <v>288</v>
      </c>
      <c r="J1626" s="9">
        <v>283</v>
      </c>
      <c r="K1626" s="9">
        <v>277</v>
      </c>
      <c r="L1626" s="9">
        <v>272</v>
      </c>
      <c r="M1626" s="9">
        <v>267</v>
      </c>
      <c r="N1626" s="9">
        <v>261</v>
      </c>
      <c r="O1626" s="9">
        <v>256</v>
      </c>
      <c r="P1626" s="9">
        <v>251</v>
      </c>
      <c r="Q1626" s="9">
        <v>246</v>
      </c>
      <c r="R1626" s="9">
        <v>242</v>
      </c>
      <c r="S1626" s="9">
        <v>237</v>
      </c>
      <c r="T1626" s="9">
        <v>232</v>
      </c>
      <c r="U1626" s="9">
        <v>228</v>
      </c>
      <c r="V1626" s="9">
        <v>224</v>
      </c>
      <c r="W1626" s="9">
        <v>225</v>
      </c>
      <c r="X1626" s="9">
        <v>229</v>
      </c>
      <c r="Y1626" s="9">
        <v>233</v>
      </c>
      <c r="Z1626" s="9">
        <v>238</v>
      </c>
      <c r="AA1626" s="9">
        <v>239</v>
      </c>
      <c r="AB1626" s="9">
        <v>228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</row>
    <row r="1627" spans="1:47" ht="14.4">
      <c r="A1627" s="3">
        <f>LOOKUP(D1627,'AMFI DATA_2023H2'!F:L,'AMFI DATA_2023H2'!L:L)</f>
        <v>2102</v>
      </c>
      <c r="B1627" s="4" t="s">
        <v>4880</v>
      </c>
      <c r="C1627" s="4" t="s">
        <v>4881</v>
      </c>
      <c r="D1627" s="5" t="s">
        <v>4882</v>
      </c>
      <c r="E1627" s="5">
        <v>146.66999999999999</v>
      </c>
      <c r="F1627" s="6">
        <f>LOOKUP(D1627,'AMFI DATA_2023H2'!F:J,'AMFI DATA_2023H2'!J:J)</f>
        <v>160.31290000000001</v>
      </c>
      <c r="G1627" s="7">
        <f t="shared" si="6"/>
        <v>-1</v>
      </c>
      <c r="H1627" s="9"/>
      <c r="I1627" s="9">
        <v>184</v>
      </c>
      <c r="J1627" s="9">
        <v>184</v>
      </c>
      <c r="K1627" s="9">
        <v>186</v>
      </c>
      <c r="L1627" s="9">
        <v>190</v>
      </c>
      <c r="M1627" s="9">
        <v>196</v>
      </c>
      <c r="N1627" s="9">
        <v>181</v>
      </c>
      <c r="O1627" s="9">
        <v>179</v>
      </c>
      <c r="P1627" s="9">
        <v>179</v>
      </c>
      <c r="Q1627" s="9">
        <v>185</v>
      </c>
      <c r="R1627" s="9">
        <v>181</v>
      </c>
      <c r="S1627" s="9">
        <v>186</v>
      </c>
      <c r="T1627" s="9">
        <v>174</v>
      </c>
      <c r="U1627" s="9">
        <v>158</v>
      </c>
      <c r="V1627" s="9">
        <v>156</v>
      </c>
      <c r="W1627" s="9">
        <v>157</v>
      </c>
      <c r="X1627" s="9">
        <v>157</v>
      </c>
      <c r="Y1627" s="9">
        <v>152</v>
      </c>
      <c r="Z1627" s="9">
        <v>155</v>
      </c>
      <c r="AA1627" s="9">
        <v>154</v>
      </c>
      <c r="AB1627" s="9">
        <v>147</v>
      </c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</row>
    <row r="1628" spans="1:47" ht="14.4">
      <c r="A1628" s="3">
        <f>LOOKUP(D1628,'AMFI DATA_2023H2'!F:L,'AMFI DATA_2023H2'!L:L)</f>
        <v>2104</v>
      </c>
      <c r="B1628" s="4" t="s">
        <v>4883</v>
      </c>
      <c r="C1628" s="4" t="s">
        <v>4884</v>
      </c>
      <c r="D1628" s="5" t="s">
        <v>4885</v>
      </c>
      <c r="E1628" s="5">
        <v>118.88</v>
      </c>
      <c r="F1628" s="6">
        <f>LOOKUP(D1628,'AMFI DATA_2023H2'!F:J,'AMFI DATA_2023H2'!J:J)</f>
        <v>159.36955</v>
      </c>
      <c r="G1628" s="7">
        <f t="shared" si="6"/>
        <v>-1</v>
      </c>
      <c r="H1628" s="9"/>
      <c r="I1628" s="9">
        <v>182</v>
      </c>
      <c r="J1628" s="9">
        <v>185</v>
      </c>
      <c r="K1628" s="9">
        <v>184</v>
      </c>
      <c r="L1628" s="9">
        <v>185</v>
      </c>
      <c r="M1628" s="9">
        <v>187</v>
      </c>
      <c r="N1628" s="9">
        <v>190</v>
      </c>
      <c r="O1628" s="9">
        <v>186</v>
      </c>
      <c r="P1628" s="9">
        <v>185</v>
      </c>
      <c r="Q1628" s="9">
        <v>188</v>
      </c>
      <c r="R1628" s="9">
        <v>193</v>
      </c>
      <c r="S1628" s="9">
        <v>194</v>
      </c>
      <c r="T1628" s="9">
        <v>195</v>
      </c>
      <c r="U1628" s="9">
        <v>196</v>
      </c>
      <c r="V1628" s="9">
        <v>196</v>
      </c>
      <c r="W1628" s="9">
        <v>195</v>
      </c>
      <c r="X1628" s="9">
        <v>176</v>
      </c>
      <c r="Y1628" s="9">
        <v>179</v>
      </c>
      <c r="Z1628" s="9">
        <v>185</v>
      </c>
      <c r="AA1628" s="9">
        <v>183</v>
      </c>
      <c r="AB1628" s="9">
        <v>185</v>
      </c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</row>
    <row r="1629" spans="1:47" ht="14.4">
      <c r="A1629" s="3">
        <f>LOOKUP(D1629,'AMFI DATA_2023H2'!F:L,'AMFI DATA_2023H2'!L:L)</f>
        <v>2105</v>
      </c>
      <c r="B1629" s="4" t="s">
        <v>4886</v>
      </c>
      <c r="C1629" s="4" t="s">
        <v>4887</v>
      </c>
      <c r="D1629" s="5" t="s">
        <v>4888</v>
      </c>
      <c r="E1629" s="5">
        <v>2089.3200000000002</v>
      </c>
      <c r="F1629" s="6">
        <f>LOOKUP(D1629,'AMFI DATA_2023H2'!F:J,'AMFI DATA_2023H2'!J:J)</f>
        <v>158.8135</v>
      </c>
      <c r="G1629" s="7">
        <f t="shared" si="6"/>
        <v>-1</v>
      </c>
      <c r="H1629" s="9"/>
      <c r="I1629" s="9">
        <v>689</v>
      </c>
      <c r="J1629" s="9">
        <v>675</v>
      </c>
      <c r="K1629" s="9">
        <v>662</v>
      </c>
      <c r="L1629" s="9">
        <v>649</v>
      </c>
      <c r="M1629" s="9">
        <v>636</v>
      </c>
      <c r="N1629" s="9">
        <v>624</v>
      </c>
      <c r="O1629" s="9">
        <v>612</v>
      </c>
      <c r="P1629" s="9">
        <v>600</v>
      </c>
      <c r="Q1629" s="9">
        <v>588</v>
      </c>
      <c r="R1629" s="9">
        <v>576</v>
      </c>
      <c r="S1629" s="9">
        <v>565</v>
      </c>
      <c r="T1629" s="9">
        <v>554</v>
      </c>
      <c r="U1629" s="9">
        <v>543</v>
      </c>
      <c r="V1629" s="9">
        <v>532</v>
      </c>
      <c r="W1629" s="9">
        <v>522</v>
      </c>
      <c r="X1629" s="9">
        <v>513</v>
      </c>
      <c r="Y1629" s="9">
        <v>503</v>
      </c>
      <c r="Z1629" s="9">
        <v>493</v>
      </c>
      <c r="AA1629" s="9">
        <v>483</v>
      </c>
      <c r="AB1629" s="9">
        <v>474</v>
      </c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</row>
    <row r="1630" spans="1:47" ht="14.4">
      <c r="A1630" s="3">
        <f>LOOKUP(D1630,'AMFI DATA_2023H2'!F:L,'AMFI DATA_2023H2'!L:L)</f>
        <v>2107</v>
      </c>
      <c r="B1630" s="4" t="s">
        <v>4889</v>
      </c>
      <c r="C1630" s="4" t="s">
        <v>4890</v>
      </c>
      <c r="D1630" s="5" t="s">
        <v>4891</v>
      </c>
      <c r="E1630" s="5">
        <v>169.35</v>
      </c>
      <c r="F1630" s="6">
        <f>LOOKUP(D1630,'AMFI DATA_2023H2'!F:J,'AMFI DATA_2023H2'!J:J)</f>
        <v>157.82240000000002</v>
      </c>
      <c r="G1630" s="7">
        <f t="shared" si="6"/>
        <v>-1</v>
      </c>
      <c r="H1630" s="9"/>
      <c r="I1630" s="9">
        <v>162</v>
      </c>
      <c r="J1630" s="9">
        <v>162</v>
      </c>
      <c r="K1630" s="9">
        <v>162</v>
      </c>
      <c r="L1630" s="9">
        <v>164</v>
      </c>
      <c r="M1630" s="9">
        <v>173</v>
      </c>
      <c r="N1630" s="9">
        <v>175</v>
      </c>
      <c r="O1630" s="9">
        <v>170</v>
      </c>
      <c r="P1630" s="9">
        <v>169</v>
      </c>
      <c r="Q1630" s="9">
        <v>171</v>
      </c>
      <c r="R1630" s="9">
        <v>170</v>
      </c>
      <c r="S1630" s="9">
        <v>170</v>
      </c>
      <c r="T1630" s="9">
        <v>173</v>
      </c>
      <c r="U1630" s="9">
        <v>173</v>
      </c>
      <c r="V1630" s="9">
        <v>174</v>
      </c>
      <c r="W1630" s="9">
        <v>170</v>
      </c>
      <c r="X1630" s="9">
        <v>169</v>
      </c>
      <c r="Y1630" s="9">
        <v>168</v>
      </c>
      <c r="Z1630" s="9">
        <v>170</v>
      </c>
      <c r="AA1630" s="9">
        <v>174</v>
      </c>
      <c r="AB1630" s="9">
        <v>171</v>
      </c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</row>
    <row r="1631" spans="1:47" ht="14.4">
      <c r="A1631" s="3">
        <f>LOOKUP(D1631,'AMFI DATA_2023H2'!F:L,'AMFI DATA_2023H2'!L:L)</f>
        <v>2110</v>
      </c>
      <c r="B1631" s="4" t="s">
        <v>4892</v>
      </c>
      <c r="C1631" s="4" t="s">
        <v>4893</v>
      </c>
      <c r="D1631" s="5" t="s">
        <v>4894</v>
      </c>
      <c r="E1631" s="5">
        <v>170.05</v>
      </c>
      <c r="F1631" s="6">
        <f>LOOKUP(D1631,'AMFI DATA_2023H2'!F:J,'AMFI DATA_2023H2'!J:J)</f>
        <v>155.70920000000001</v>
      </c>
      <c r="G1631" s="7">
        <f t="shared" si="6"/>
        <v>-1</v>
      </c>
      <c r="H1631" s="9"/>
      <c r="I1631" s="9">
        <v>175</v>
      </c>
      <c r="J1631" s="9">
        <v>175</v>
      </c>
      <c r="K1631" s="9">
        <v>177</v>
      </c>
      <c r="L1631" s="9">
        <v>184</v>
      </c>
      <c r="M1631" s="9">
        <v>186</v>
      </c>
      <c r="N1631" s="9">
        <v>184</v>
      </c>
      <c r="O1631" s="9">
        <v>177</v>
      </c>
      <c r="P1631" s="9">
        <v>180</v>
      </c>
      <c r="Q1631" s="9">
        <v>184</v>
      </c>
      <c r="R1631" s="9">
        <v>183</v>
      </c>
      <c r="S1631" s="9">
        <v>191</v>
      </c>
      <c r="T1631" s="9">
        <v>204</v>
      </c>
      <c r="U1631" s="9">
        <v>167</v>
      </c>
      <c r="V1631" s="9">
        <v>161</v>
      </c>
      <c r="W1631" s="9">
        <v>160</v>
      </c>
      <c r="X1631" s="9">
        <v>161</v>
      </c>
      <c r="Y1631" s="9">
        <v>164</v>
      </c>
      <c r="Z1631" s="9">
        <v>158</v>
      </c>
      <c r="AA1631" s="9">
        <v>156</v>
      </c>
      <c r="AB1631" s="9">
        <v>155</v>
      </c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</row>
    <row r="1632" spans="1:47" ht="14.4">
      <c r="A1632" s="3">
        <f>LOOKUP(D1632,'AMFI DATA_2023H2'!F:L,'AMFI DATA_2023H2'!L:L)</f>
        <v>2111</v>
      </c>
      <c r="B1632" s="4" t="s">
        <v>4895</v>
      </c>
      <c r="C1632" s="4" t="s">
        <v>4896</v>
      </c>
      <c r="D1632" s="5" t="s">
        <v>4897</v>
      </c>
      <c r="E1632" s="5">
        <v>118.81</v>
      </c>
      <c r="F1632" s="6">
        <f>LOOKUP(D1632,'AMFI DATA_2023H2'!F:J,'AMFI DATA_2023H2'!J:J)</f>
        <v>155.5478</v>
      </c>
      <c r="G1632" s="7">
        <f t="shared" si="6"/>
        <v>-1</v>
      </c>
      <c r="H1632" s="9"/>
      <c r="I1632" s="9">
        <v>195</v>
      </c>
      <c r="J1632" s="9">
        <v>177</v>
      </c>
      <c r="K1632" s="9">
        <v>174</v>
      </c>
      <c r="L1632" s="9">
        <v>177</v>
      </c>
      <c r="M1632" s="9">
        <v>186</v>
      </c>
      <c r="N1632" s="9">
        <v>188</v>
      </c>
      <c r="O1632" s="9">
        <v>185</v>
      </c>
      <c r="P1632" s="9">
        <v>169</v>
      </c>
      <c r="Q1632" s="9">
        <v>169</v>
      </c>
      <c r="R1632" s="9">
        <v>169</v>
      </c>
      <c r="S1632" s="9">
        <v>170</v>
      </c>
      <c r="T1632" s="9">
        <v>171</v>
      </c>
      <c r="U1632" s="9">
        <v>169</v>
      </c>
      <c r="V1632" s="9">
        <v>169</v>
      </c>
      <c r="W1632" s="9">
        <v>163</v>
      </c>
      <c r="X1632" s="9">
        <v>166</v>
      </c>
      <c r="Y1632" s="9">
        <v>171</v>
      </c>
      <c r="Z1632" s="9">
        <v>164</v>
      </c>
      <c r="AA1632" s="9">
        <v>169</v>
      </c>
      <c r="AB1632" s="9">
        <v>167</v>
      </c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</row>
    <row r="1633" spans="1:47" ht="14.4">
      <c r="A1633" s="3">
        <f>LOOKUP(D1633,'AMFI DATA_2023H2'!F:L,'AMFI DATA_2023H2'!L:L)</f>
        <v>2112</v>
      </c>
      <c r="B1633" s="4" t="s">
        <v>4898</v>
      </c>
      <c r="C1633" s="4" t="s">
        <v>4899</v>
      </c>
      <c r="D1633" s="5" t="s">
        <v>4900</v>
      </c>
      <c r="E1633" s="5">
        <v>137.47999999999999</v>
      </c>
      <c r="F1633" s="6">
        <f>LOOKUP(D1633,'AMFI DATA_2023H2'!F:J,'AMFI DATA_2023H2'!J:J)</f>
        <v>155.25020000000001</v>
      </c>
      <c r="G1633" s="7">
        <f t="shared" si="6"/>
        <v>-1</v>
      </c>
      <c r="H1633" s="9"/>
      <c r="I1633" s="9">
        <v>167</v>
      </c>
      <c r="J1633" s="9">
        <v>168</v>
      </c>
      <c r="K1633" s="9">
        <v>168</v>
      </c>
      <c r="L1633" s="9">
        <v>170</v>
      </c>
      <c r="M1633" s="9">
        <v>171</v>
      </c>
      <c r="N1633" s="9">
        <v>176</v>
      </c>
      <c r="O1633" s="9">
        <v>176</v>
      </c>
      <c r="P1633" s="9">
        <v>171</v>
      </c>
      <c r="Q1633" s="9">
        <v>171</v>
      </c>
      <c r="R1633" s="9">
        <v>169</v>
      </c>
      <c r="S1633" s="9">
        <v>169</v>
      </c>
      <c r="T1633" s="9">
        <v>162</v>
      </c>
      <c r="U1633" s="9">
        <v>161</v>
      </c>
      <c r="V1633" s="9">
        <v>161</v>
      </c>
      <c r="W1633" s="9">
        <v>163</v>
      </c>
      <c r="X1633" s="9">
        <v>162</v>
      </c>
      <c r="Y1633" s="9">
        <v>161</v>
      </c>
      <c r="Z1633" s="9">
        <v>165</v>
      </c>
      <c r="AA1633" s="9">
        <v>164</v>
      </c>
      <c r="AB1633" s="9">
        <v>163</v>
      </c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</row>
    <row r="1634" spans="1:47" ht="14.4">
      <c r="A1634" s="3">
        <f>LOOKUP(D1634,'AMFI DATA_2023H2'!F:L,'AMFI DATA_2023H2'!L:L)</f>
        <v>2114</v>
      </c>
      <c r="B1634" s="4" t="s">
        <v>4901</v>
      </c>
      <c r="C1634" s="4" t="s">
        <v>4902</v>
      </c>
      <c r="D1634" s="5" t="s">
        <v>4903</v>
      </c>
      <c r="E1634" s="5">
        <v>118.56</v>
      </c>
      <c r="F1634" s="6">
        <f>LOOKUP(D1634,'AMFI DATA_2023H2'!F:J,'AMFI DATA_2023H2'!J:J)</f>
        <v>154.47435000000002</v>
      </c>
      <c r="G1634" s="7">
        <f t="shared" si="6"/>
        <v>-1</v>
      </c>
      <c r="H1634" s="9"/>
      <c r="I1634" s="9">
        <v>259</v>
      </c>
      <c r="J1634" s="9">
        <v>250</v>
      </c>
      <c r="K1634" s="9">
        <v>251</v>
      </c>
      <c r="L1634" s="9">
        <v>257</v>
      </c>
      <c r="M1634" s="9">
        <v>262</v>
      </c>
      <c r="N1634" s="9">
        <v>253</v>
      </c>
      <c r="O1634" s="9">
        <v>254</v>
      </c>
      <c r="P1634" s="9">
        <v>252</v>
      </c>
      <c r="Q1634" s="9">
        <v>257</v>
      </c>
      <c r="R1634" s="9">
        <v>258</v>
      </c>
      <c r="S1634" s="9">
        <v>261</v>
      </c>
      <c r="T1634" s="9">
        <v>256</v>
      </c>
      <c r="U1634" s="9">
        <v>234</v>
      </c>
      <c r="V1634" s="9">
        <v>234</v>
      </c>
      <c r="W1634" s="9">
        <v>234</v>
      </c>
      <c r="X1634" s="9">
        <v>225</v>
      </c>
      <c r="Y1634" s="9">
        <v>226</v>
      </c>
      <c r="Z1634" s="9">
        <v>224</v>
      </c>
      <c r="AA1634" s="9">
        <v>227</v>
      </c>
      <c r="AB1634" s="9">
        <v>228</v>
      </c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</row>
    <row r="1635" spans="1:47" ht="14.4">
      <c r="A1635" s="3">
        <f>LOOKUP(D1635,'AMFI DATA_2023H2'!F:L,'AMFI DATA_2023H2'!L:L)</f>
        <v>2115</v>
      </c>
      <c r="B1635" s="4" t="s">
        <v>4904</v>
      </c>
      <c r="C1635" s="4" t="s">
        <v>4905</v>
      </c>
      <c r="D1635" s="5" t="s">
        <v>4906</v>
      </c>
      <c r="E1635" s="5">
        <v>200.75</v>
      </c>
      <c r="F1635" s="6">
        <f>LOOKUP(D1635,'AMFI DATA_2023H2'!F:J,'AMFI DATA_2023H2'!J:J)</f>
        <v>154.39070000000001</v>
      </c>
      <c r="G1635" s="7">
        <f t="shared" si="6"/>
        <v>-1</v>
      </c>
      <c r="H1635" s="9"/>
      <c r="I1635" s="9">
        <v>146</v>
      </c>
      <c r="J1635" s="9">
        <v>147</v>
      </c>
      <c r="K1635" s="9">
        <v>149</v>
      </c>
      <c r="L1635" s="9">
        <v>151</v>
      </c>
      <c r="M1635" s="9">
        <v>152</v>
      </c>
      <c r="N1635" s="9">
        <v>155</v>
      </c>
      <c r="O1635" s="9">
        <v>155</v>
      </c>
      <c r="P1635" s="9">
        <v>154</v>
      </c>
      <c r="Q1635" s="9">
        <v>156</v>
      </c>
      <c r="R1635" s="9">
        <v>158</v>
      </c>
      <c r="S1635" s="9">
        <v>156</v>
      </c>
      <c r="T1635" s="9">
        <v>157</v>
      </c>
      <c r="U1635" s="9">
        <v>155</v>
      </c>
      <c r="V1635" s="9">
        <v>154</v>
      </c>
      <c r="W1635" s="9">
        <v>150</v>
      </c>
      <c r="X1635" s="9">
        <v>143</v>
      </c>
      <c r="Y1635" s="9">
        <v>148</v>
      </c>
      <c r="Z1635" s="9">
        <v>151</v>
      </c>
      <c r="AA1635" s="9">
        <v>148</v>
      </c>
      <c r="AB1635" s="9">
        <v>141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</row>
    <row r="1636" spans="1:47" ht="14.4">
      <c r="A1636" s="3">
        <f>LOOKUP(D1636,'AMFI DATA_2023H2'!F:L,'AMFI DATA_2023H2'!L:L)</f>
        <v>2117</v>
      </c>
      <c r="B1636" s="4" t="s">
        <v>4907</v>
      </c>
      <c r="C1636" s="4" t="s">
        <v>4908</v>
      </c>
      <c r="D1636" s="5" t="s">
        <v>4909</v>
      </c>
      <c r="E1636" s="5">
        <v>111.71</v>
      </c>
      <c r="F1636" s="6">
        <f>LOOKUP(D1636,'AMFI DATA_2023H2'!F:J,'AMFI DATA_2023H2'!J:J)</f>
        <v>154.03145000000001</v>
      </c>
      <c r="G1636" s="7">
        <f t="shared" si="6"/>
        <v>-1</v>
      </c>
      <c r="H1636" s="9"/>
      <c r="I1636" s="9">
        <v>207</v>
      </c>
      <c r="J1636" s="9">
        <v>203</v>
      </c>
      <c r="K1636" s="9">
        <v>206</v>
      </c>
      <c r="L1636" s="9">
        <v>209</v>
      </c>
      <c r="M1636" s="9">
        <v>205</v>
      </c>
      <c r="N1636" s="9">
        <v>201</v>
      </c>
      <c r="O1636" s="9">
        <v>197</v>
      </c>
      <c r="P1636" s="9">
        <v>200</v>
      </c>
      <c r="Q1636" s="9">
        <v>196</v>
      </c>
      <c r="R1636" s="9">
        <v>200</v>
      </c>
      <c r="S1636" s="9">
        <v>203</v>
      </c>
      <c r="T1636" s="9">
        <v>199</v>
      </c>
      <c r="U1636" s="9">
        <v>196</v>
      </c>
      <c r="V1636" s="9">
        <v>193</v>
      </c>
      <c r="W1636" s="9">
        <v>189</v>
      </c>
      <c r="X1636" s="9">
        <v>185</v>
      </c>
      <c r="Y1636" s="9">
        <v>189</v>
      </c>
      <c r="Z1636" s="9">
        <v>193</v>
      </c>
      <c r="AA1636" s="9">
        <v>187</v>
      </c>
      <c r="AB1636" s="9">
        <v>196</v>
      </c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</row>
    <row r="1637" spans="1:47" ht="14.4">
      <c r="A1637" s="3">
        <f>LOOKUP(D1637,'AMFI DATA_2023H2'!F:L,'AMFI DATA_2023H2'!L:L)</f>
        <v>2121</v>
      </c>
      <c r="B1637" s="4" t="s">
        <v>4910</v>
      </c>
      <c r="C1637" s="4" t="s">
        <v>4911</v>
      </c>
      <c r="D1637" s="5" t="s">
        <v>4912</v>
      </c>
      <c r="E1637" s="5">
        <v>131.41</v>
      </c>
      <c r="F1637" s="6">
        <f>LOOKUP(D1637,'AMFI DATA_2023H2'!F:J,'AMFI DATA_2023H2'!J:J)</f>
        <v>153.84219999999999</v>
      </c>
      <c r="G1637" s="7">
        <f t="shared" si="6"/>
        <v>-1</v>
      </c>
      <c r="H1637" s="9"/>
      <c r="I1637" s="9">
        <v>179</v>
      </c>
      <c r="J1637" s="9">
        <v>163</v>
      </c>
      <c r="K1637" s="9">
        <v>165</v>
      </c>
      <c r="L1637" s="9">
        <v>167</v>
      </c>
      <c r="M1637" s="9">
        <v>167</v>
      </c>
      <c r="N1637" s="9">
        <v>170</v>
      </c>
      <c r="O1637" s="9">
        <v>169</v>
      </c>
      <c r="P1637" s="9">
        <v>166</v>
      </c>
      <c r="Q1637" s="9">
        <v>168</v>
      </c>
      <c r="R1637" s="9">
        <v>170</v>
      </c>
      <c r="S1637" s="9">
        <v>168</v>
      </c>
      <c r="T1637" s="9">
        <v>169</v>
      </c>
      <c r="U1637" s="9">
        <v>173</v>
      </c>
      <c r="V1637" s="9">
        <v>180</v>
      </c>
      <c r="W1637" s="9">
        <v>169</v>
      </c>
      <c r="X1637" s="9">
        <v>168</v>
      </c>
      <c r="Y1637" s="9">
        <v>166</v>
      </c>
      <c r="Z1637" s="9">
        <v>167</v>
      </c>
      <c r="AA1637" s="9">
        <v>170</v>
      </c>
      <c r="AB1637" s="9">
        <v>164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</row>
    <row r="1638" spans="1:47" ht="14.4">
      <c r="A1638" s="3">
        <f>LOOKUP(D1638,'AMFI DATA_2023H2'!F:L,'AMFI DATA_2023H2'!L:L)</f>
        <v>2122</v>
      </c>
      <c r="B1638" s="4" t="s">
        <v>4913</v>
      </c>
      <c r="C1638" s="4" t="s">
        <v>4914</v>
      </c>
      <c r="D1638" s="5" t="s">
        <v>4915</v>
      </c>
      <c r="E1638" s="5">
        <v>9.7200000000000006</v>
      </c>
      <c r="F1638" s="6">
        <f>LOOKUP(D1638,'AMFI DATA_2023H2'!F:J,'AMFI DATA_2023H2'!J:J)</f>
        <v>153.65785</v>
      </c>
      <c r="G1638" s="7">
        <f t="shared" si="6"/>
        <v>-1</v>
      </c>
      <c r="H1638" s="8"/>
      <c r="I1638" s="8">
        <v>1810</v>
      </c>
      <c r="J1638" s="8">
        <v>1847</v>
      </c>
      <c r="K1638" s="8">
        <v>1884</v>
      </c>
      <c r="L1638" s="8">
        <v>1922</v>
      </c>
      <c r="M1638" s="8">
        <v>1961</v>
      </c>
      <c r="N1638" s="8">
        <v>1853</v>
      </c>
      <c r="O1638" s="8">
        <v>1779</v>
      </c>
      <c r="P1638" s="8">
        <v>1681</v>
      </c>
      <c r="Q1638" s="8">
        <v>1623</v>
      </c>
      <c r="R1638" s="8">
        <v>1533</v>
      </c>
      <c r="S1638" s="8">
        <v>1576</v>
      </c>
      <c r="T1638" s="8">
        <v>1581</v>
      </c>
      <c r="U1638" s="8">
        <v>1611</v>
      </c>
      <c r="V1638" s="8">
        <v>1599</v>
      </c>
      <c r="W1638" s="8">
        <v>1631</v>
      </c>
      <c r="X1638" s="8">
        <v>1639</v>
      </c>
      <c r="Y1638" s="8">
        <v>1584</v>
      </c>
      <c r="Z1638" s="8">
        <v>1509</v>
      </c>
      <c r="AA1638" s="8">
        <v>1484</v>
      </c>
      <c r="AB1638" s="8">
        <v>1480</v>
      </c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</row>
    <row r="1639" spans="1:47" ht="14.4">
      <c r="A1639" s="3">
        <f>LOOKUP(D1639,'AMFI DATA_2023H2'!F:L,'AMFI DATA_2023H2'!L:L)</f>
        <v>2123</v>
      </c>
      <c r="B1639" s="4" t="s">
        <v>4916</v>
      </c>
      <c r="C1639" s="4" t="s">
        <v>4917</v>
      </c>
      <c r="D1639" s="5" t="s">
        <v>4918</v>
      </c>
      <c r="E1639" s="5">
        <v>132.52000000000001</v>
      </c>
      <c r="F1639" s="6">
        <f>LOOKUP(D1639,'AMFI DATA_2023H2'!F:J,'AMFI DATA_2023H2'!J:J)</f>
        <v>153.36345</v>
      </c>
      <c r="G1639" s="7">
        <f t="shared" si="6"/>
        <v>-1</v>
      </c>
      <c r="H1639" s="9"/>
      <c r="I1639" s="9">
        <v>213</v>
      </c>
      <c r="J1639" s="9">
        <v>217</v>
      </c>
      <c r="K1639" s="9">
        <v>217</v>
      </c>
      <c r="L1639" s="9">
        <v>208</v>
      </c>
      <c r="M1639" s="9">
        <v>220</v>
      </c>
      <c r="N1639" s="9">
        <v>221</v>
      </c>
      <c r="O1639" s="9">
        <v>221</v>
      </c>
      <c r="P1639" s="9">
        <v>222</v>
      </c>
      <c r="Q1639" s="9">
        <v>221</v>
      </c>
      <c r="R1639" s="9">
        <v>225</v>
      </c>
      <c r="S1639" s="9">
        <v>217</v>
      </c>
      <c r="T1639" s="9">
        <v>217</v>
      </c>
      <c r="U1639" s="9">
        <v>216</v>
      </c>
      <c r="V1639" s="9">
        <v>217</v>
      </c>
      <c r="W1639" s="9">
        <v>215</v>
      </c>
      <c r="X1639" s="9">
        <v>208</v>
      </c>
      <c r="Y1639" s="9">
        <v>208</v>
      </c>
      <c r="Z1639" s="9">
        <v>208</v>
      </c>
      <c r="AA1639" s="9">
        <v>218</v>
      </c>
      <c r="AB1639" s="9">
        <v>219</v>
      </c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</row>
    <row r="1640" spans="1:47" ht="14.4">
      <c r="A1640" s="3">
        <f>LOOKUP(D1640,'AMFI DATA_2023H2'!F:L,'AMFI DATA_2023H2'!L:L)</f>
        <v>2125</v>
      </c>
      <c r="B1640" s="4" t="s">
        <v>4919</v>
      </c>
      <c r="C1640" s="4" t="s">
        <v>4920</v>
      </c>
      <c r="D1640" s="5" t="s">
        <v>4921</v>
      </c>
      <c r="E1640" s="5">
        <v>130.49</v>
      </c>
      <c r="F1640" s="6">
        <f>LOOKUP(D1640,'AMFI DATA_2023H2'!F:J,'AMFI DATA_2023H2'!J:J)</f>
        <v>152.5232</v>
      </c>
      <c r="G1640" s="7">
        <f t="shared" si="6"/>
        <v>-1</v>
      </c>
      <c r="H1640" s="9"/>
      <c r="I1640" s="9">
        <v>188</v>
      </c>
      <c r="J1640" s="9">
        <v>188</v>
      </c>
      <c r="K1640" s="9">
        <v>187</v>
      </c>
      <c r="L1640" s="9">
        <v>189</v>
      </c>
      <c r="M1640" s="9">
        <v>193</v>
      </c>
      <c r="N1640" s="9">
        <v>199</v>
      </c>
      <c r="O1640" s="9">
        <v>199</v>
      </c>
      <c r="P1640" s="9">
        <v>197</v>
      </c>
      <c r="Q1640" s="9">
        <v>192</v>
      </c>
      <c r="R1640" s="9">
        <v>190</v>
      </c>
      <c r="S1640" s="9">
        <v>193</v>
      </c>
      <c r="T1640" s="9">
        <v>198</v>
      </c>
      <c r="U1640" s="9">
        <v>191</v>
      </c>
      <c r="V1640" s="9">
        <v>201</v>
      </c>
      <c r="W1640" s="9">
        <v>203</v>
      </c>
      <c r="X1640" s="9">
        <v>194</v>
      </c>
      <c r="Y1640" s="9">
        <v>188</v>
      </c>
      <c r="Z1640" s="9">
        <v>180</v>
      </c>
      <c r="AA1640" s="9">
        <v>183</v>
      </c>
      <c r="AB1640" s="9">
        <v>185</v>
      </c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</row>
    <row r="1641" spans="1:47" ht="14.4">
      <c r="A1641" s="3">
        <f>LOOKUP(D1641,'AMFI DATA_2023H2'!F:L,'AMFI DATA_2023H2'!L:L)</f>
        <v>2127</v>
      </c>
      <c r="B1641" s="4" t="s">
        <v>4922</v>
      </c>
      <c r="C1641" s="4" t="s">
        <v>4923</v>
      </c>
      <c r="D1641" s="5" t="s">
        <v>4924</v>
      </c>
      <c r="E1641" s="5">
        <v>127.25</v>
      </c>
      <c r="F1641" s="6">
        <f>LOOKUP(D1641,'AMFI DATA_2023H2'!F:J,'AMFI DATA_2023H2'!J:J)</f>
        <v>152.0016</v>
      </c>
      <c r="G1641" s="7">
        <f t="shared" si="6"/>
        <v>-1</v>
      </c>
      <c r="H1641" s="9"/>
      <c r="I1641" s="9">
        <v>184</v>
      </c>
      <c r="J1641" s="9">
        <v>177</v>
      </c>
      <c r="K1641" s="9">
        <v>178</v>
      </c>
      <c r="L1641" s="9">
        <v>180</v>
      </c>
      <c r="M1641" s="9">
        <v>185</v>
      </c>
      <c r="N1641" s="9">
        <v>185</v>
      </c>
      <c r="O1641" s="9">
        <v>189</v>
      </c>
      <c r="P1641" s="9">
        <v>179</v>
      </c>
      <c r="Q1641" s="9">
        <v>178</v>
      </c>
      <c r="R1641" s="9">
        <v>183</v>
      </c>
      <c r="S1641" s="9">
        <v>163</v>
      </c>
      <c r="T1641" s="9">
        <v>166</v>
      </c>
      <c r="U1641" s="9">
        <v>166</v>
      </c>
      <c r="V1641" s="9">
        <v>164</v>
      </c>
      <c r="W1641" s="9">
        <v>159</v>
      </c>
      <c r="X1641" s="9">
        <v>158</v>
      </c>
      <c r="Y1641" s="9">
        <v>159</v>
      </c>
      <c r="Z1641" s="9">
        <v>160</v>
      </c>
      <c r="AA1641" s="9">
        <v>160</v>
      </c>
      <c r="AB1641" s="9">
        <v>161</v>
      </c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</row>
    <row r="1642" spans="1:47" ht="14.4">
      <c r="A1642" s="3">
        <f>LOOKUP(D1642,'AMFI DATA_2023H2'!F:L,'AMFI DATA_2023H2'!L:L)</f>
        <v>2130</v>
      </c>
      <c r="B1642" s="4" t="s">
        <v>4925</v>
      </c>
      <c r="C1642" s="4" t="s">
        <v>4926</v>
      </c>
      <c r="D1642" s="5" t="s">
        <v>4927</v>
      </c>
      <c r="E1642" s="5">
        <v>117.66</v>
      </c>
      <c r="F1642" s="6">
        <f>LOOKUP(D1642,'AMFI DATA_2023H2'!F:J,'AMFI DATA_2023H2'!J:J)</f>
        <v>151.03345000000002</v>
      </c>
      <c r="G1642" s="7">
        <f t="shared" si="6"/>
        <v>-1</v>
      </c>
      <c r="H1642" s="9"/>
      <c r="I1642" s="9">
        <v>189</v>
      </c>
      <c r="J1642" s="9">
        <v>186</v>
      </c>
      <c r="K1642" s="9">
        <v>190</v>
      </c>
      <c r="L1642" s="9">
        <v>187</v>
      </c>
      <c r="M1642" s="9">
        <v>193</v>
      </c>
      <c r="N1642" s="9">
        <v>196</v>
      </c>
      <c r="O1642" s="9">
        <v>205</v>
      </c>
      <c r="P1642" s="9">
        <v>182</v>
      </c>
      <c r="Q1642" s="9">
        <v>180</v>
      </c>
      <c r="R1642" s="9">
        <v>178</v>
      </c>
      <c r="S1642" s="9">
        <v>179</v>
      </c>
      <c r="T1642" s="9">
        <v>185</v>
      </c>
      <c r="U1642" s="9">
        <v>177</v>
      </c>
      <c r="V1642" s="9">
        <v>178</v>
      </c>
      <c r="W1642" s="9">
        <v>181</v>
      </c>
      <c r="X1642" s="9">
        <v>175</v>
      </c>
      <c r="Y1642" s="9">
        <v>176</v>
      </c>
      <c r="Z1642" s="9">
        <v>178</v>
      </c>
      <c r="AA1642" s="9">
        <v>180</v>
      </c>
      <c r="AB1642" s="9">
        <v>173</v>
      </c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</row>
    <row r="1643" spans="1:47" ht="14.4">
      <c r="A1643" s="3">
        <f>LOOKUP(D1643,'AMFI DATA_2023H2'!F:L,'AMFI DATA_2023H2'!L:L)</f>
        <v>2132</v>
      </c>
      <c r="B1643" s="4" t="s">
        <v>4928</v>
      </c>
      <c r="C1643" s="4" t="s">
        <v>4929</v>
      </c>
      <c r="D1643" s="5" t="s">
        <v>4930</v>
      </c>
      <c r="E1643" s="5">
        <v>149.55000000000001</v>
      </c>
      <c r="F1643" s="6">
        <f>LOOKUP(D1643,'AMFI DATA_2023H2'!F:J,'AMFI DATA_2023H2'!J:J)</f>
        <v>150.59300000000002</v>
      </c>
      <c r="G1643" s="7">
        <f t="shared" si="6"/>
        <v>-1</v>
      </c>
      <c r="H1643" s="9"/>
      <c r="I1643" s="9">
        <v>207</v>
      </c>
      <c r="J1643" s="9">
        <v>212</v>
      </c>
      <c r="K1643" s="9">
        <v>216</v>
      </c>
      <c r="L1643" s="9">
        <v>220</v>
      </c>
      <c r="M1643" s="9">
        <v>224</v>
      </c>
      <c r="N1643" s="9">
        <v>229</v>
      </c>
      <c r="O1643" s="9">
        <v>234</v>
      </c>
      <c r="P1643" s="9">
        <v>238</v>
      </c>
      <c r="Q1643" s="9">
        <v>233</v>
      </c>
      <c r="R1643" s="9">
        <v>222</v>
      </c>
      <c r="S1643" s="9">
        <v>212</v>
      </c>
      <c r="T1643" s="9">
        <v>195</v>
      </c>
      <c r="U1643" s="9">
        <v>192</v>
      </c>
      <c r="V1643" s="9">
        <v>183</v>
      </c>
      <c r="W1643" s="9">
        <v>175</v>
      </c>
      <c r="X1643" s="9">
        <v>167</v>
      </c>
      <c r="Y1643" s="9">
        <v>163</v>
      </c>
      <c r="Z1643" s="9">
        <v>160</v>
      </c>
      <c r="AA1643" s="9">
        <v>156</v>
      </c>
      <c r="AB1643" s="9">
        <v>157</v>
      </c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</row>
    <row r="1644" spans="1:47" ht="14.4">
      <c r="A1644" s="3">
        <f>LOOKUP(D1644,'AMFI DATA_2023H2'!F:L,'AMFI DATA_2023H2'!L:L)</f>
        <v>2134</v>
      </c>
      <c r="B1644" s="4" t="s">
        <v>4931</v>
      </c>
      <c r="C1644" s="4" t="s">
        <v>4932</v>
      </c>
      <c r="D1644" s="5" t="s">
        <v>4933</v>
      </c>
      <c r="E1644" s="5">
        <v>161.85</v>
      </c>
      <c r="F1644" s="6">
        <f>LOOKUP(D1644,'AMFI DATA_2023H2'!F:J,'AMFI DATA_2023H2'!J:J)</f>
        <v>150.3117</v>
      </c>
      <c r="G1644" s="7">
        <f t="shared" si="6"/>
        <v>-1</v>
      </c>
      <c r="H1644" s="9"/>
      <c r="I1644" s="9">
        <v>168</v>
      </c>
      <c r="J1644" s="9">
        <v>170</v>
      </c>
      <c r="K1644" s="9">
        <v>172</v>
      </c>
      <c r="L1644" s="9">
        <v>172</v>
      </c>
      <c r="M1644" s="9">
        <v>173</v>
      </c>
      <c r="N1644" s="9">
        <v>176</v>
      </c>
      <c r="O1644" s="9">
        <v>178</v>
      </c>
      <c r="P1644" s="9">
        <v>179</v>
      </c>
      <c r="Q1644" s="9">
        <v>167</v>
      </c>
      <c r="R1644" s="9">
        <v>170</v>
      </c>
      <c r="S1644" s="9">
        <v>169</v>
      </c>
      <c r="T1644" s="9">
        <v>167</v>
      </c>
      <c r="U1644" s="9">
        <v>164</v>
      </c>
      <c r="V1644" s="9">
        <v>166</v>
      </c>
      <c r="W1644" s="9">
        <v>164</v>
      </c>
      <c r="X1644" s="9">
        <v>163</v>
      </c>
      <c r="Y1644" s="9">
        <v>162</v>
      </c>
      <c r="Z1644" s="9">
        <v>162</v>
      </c>
      <c r="AA1644" s="9">
        <v>165</v>
      </c>
      <c r="AB1644" s="9">
        <v>169</v>
      </c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</row>
    <row r="1645" spans="1:47" ht="14.4">
      <c r="A1645" s="3">
        <f>LOOKUP(D1645,'AMFI DATA_2023H2'!F:L,'AMFI DATA_2023H2'!L:L)</f>
        <v>2139</v>
      </c>
      <c r="B1645" s="4" t="s">
        <v>4934</v>
      </c>
      <c r="C1645" s="4" t="s">
        <v>4935</v>
      </c>
      <c r="D1645" s="5" t="s">
        <v>4936</v>
      </c>
      <c r="E1645" s="5">
        <v>90.37</v>
      </c>
      <c r="F1645" s="6">
        <f>LOOKUP(D1645,'AMFI DATA_2023H2'!F:J,'AMFI DATA_2023H2'!J:J)</f>
        <v>148.05334999999999</v>
      </c>
      <c r="G1645" s="7">
        <f t="shared" si="6"/>
        <v>-1</v>
      </c>
      <c r="H1645" s="9"/>
      <c r="I1645" s="9">
        <v>177</v>
      </c>
      <c r="J1645" s="9">
        <v>176</v>
      </c>
      <c r="K1645" s="9">
        <v>178</v>
      </c>
      <c r="L1645" s="9">
        <v>183</v>
      </c>
      <c r="M1645" s="9">
        <v>185</v>
      </c>
      <c r="N1645" s="9">
        <v>187</v>
      </c>
      <c r="O1645" s="9">
        <v>183</v>
      </c>
      <c r="P1645" s="9">
        <v>175</v>
      </c>
      <c r="Q1645" s="9">
        <v>176</v>
      </c>
      <c r="R1645" s="9">
        <v>173</v>
      </c>
      <c r="S1645" s="9">
        <v>174</v>
      </c>
      <c r="T1645" s="9">
        <v>174</v>
      </c>
      <c r="U1645" s="9">
        <v>174</v>
      </c>
      <c r="V1645" s="9">
        <v>174</v>
      </c>
      <c r="W1645" s="9">
        <v>177</v>
      </c>
      <c r="X1645" s="9">
        <v>181</v>
      </c>
      <c r="Y1645" s="9">
        <v>181</v>
      </c>
      <c r="Z1645" s="9">
        <v>184</v>
      </c>
      <c r="AA1645" s="9">
        <v>179</v>
      </c>
      <c r="AB1645" s="9">
        <v>178</v>
      </c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</row>
    <row r="1646" spans="1:47" ht="14.4">
      <c r="A1646" s="3">
        <f>LOOKUP(D1646,'AMFI DATA_2023H2'!F:L,'AMFI DATA_2023H2'!L:L)</f>
        <v>2140</v>
      </c>
      <c r="B1646" s="4" t="s">
        <v>4937</v>
      </c>
      <c r="C1646" s="4" t="s">
        <v>4938</v>
      </c>
      <c r="D1646" s="5" t="s">
        <v>4939</v>
      </c>
      <c r="E1646" s="5">
        <v>116.95</v>
      </c>
      <c r="F1646" s="6">
        <f>LOOKUP(D1646,'AMFI DATA_2023H2'!F:J,'AMFI DATA_2023H2'!J:J)</f>
        <v>147.97469999999998</v>
      </c>
      <c r="G1646" s="7">
        <f t="shared" si="6"/>
        <v>-1</v>
      </c>
      <c r="H1646" s="9"/>
      <c r="I1646" s="9">
        <v>210</v>
      </c>
      <c r="J1646" s="9">
        <v>215</v>
      </c>
      <c r="K1646" s="9">
        <v>219</v>
      </c>
      <c r="L1646" s="9">
        <v>218</v>
      </c>
      <c r="M1646" s="9">
        <v>222</v>
      </c>
      <c r="N1646" s="9">
        <v>213</v>
      </c>
      <c r="O1646" s="9">
        <v>203</v>
      </c>
      <c r="P1646" s="9">
        <v>199</v>
      </c>
      <c r="Q1646" s="9">
        <v>193</v>
      </c>
      <c r="R1646" s="9">
        <v>185</v>
      </c>
      <c r="S1646" s="9">
        <v>182</v>
      </c>
      <c r="T1646" s="9">
        <v>182</v>
      </c>
      <c r="U1646" s="9">
        <v>182</v>
      </c>
      <c r="V1646" s="9">
        <v>180</v>
      </c>
      <c r="W1646" s="9">
        <v>177</v>
      </c>
      <c r="X1646" s="9">
        <v>173</v>
      </c>
      <c r="Y1646" s="9">
        <v>172</v>
      </c>
      <c r="Z1646" s="9">
        <v>174</v>
      </c>
      <c r="AA1646" s="9">
        <v>170</v>
      </c>
      <c r="AB1646" s="9">
        <v>171</v>
      </c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</row>
    <row r="1647" spans="1:47" ht="14.4">
      <c r="A1647" s="3">
        <f>LOOKUP(D1647,'AMFI DATA_2023H2'!F:L,'AMFI DATA_2023H2'!L:L)</f>
        <v>2141</v>
      </c>
      <c r="B1647" s="4" t="s">
        <v>4940</v>
      </c>
      <c r="C1647" s="4" t="s">
        <v>4941</v>
      </c>
      <c r="D1647" s="5" t="s">
        <v>4942</v>
      </c>
      <c r="E1647" s="5">
        <v>187.05</v>
      </c>
      <c r="F1647" s="6">
        <f>LOOKUP(D1647,'AMFI DATA_2023H2'!F:J,'AMFI DATA_2023H2'!J:J)</f>
        <v>147.8886</v>
      </c>
      <c r="G1647" s="7">
        <f t="shared" si="6"/>
        <v>-1</v>
      </c>
      <c r="H1647" s="9"/>
      <c r="I1647" s="9">
        <v>171</v>
      </c>
      <c r="J1647" s="9">
        <v>171</v>
      </c>
      <c r="K1647" s="9">
        <v>170</v>
      </c>
      <c r="L1647" s="9">
        <v>178</v>
      </c>
      <c r="M1647" s="9">
        <v>173</v>
      </c>
      <c r="N1647" s="9">
        <v>165</v>
      </c>
      <c r="O1647" s="9">
        <v>163</v>
      </c>
      <c r="P1647" s="9">
        <v>164</v>
      </c>
      <c r="Q1647" s="9">
        <v>166</v>
      </c>
      <c r="R1647" s="9">
        <v>167</v>
      </c>
      <c r="S1647" s="9">
        <v>163</v>
      </c>
      <c r="T1647" s="9">
        <v>160</v>
      </c>
      <c r="U1647" s="9">
        <v>157</v>
      </c>
      <c r="V1647" s="9">
        <v>159</v>
      </c>
      <c r="W1647" s="9">
        <v>158</v>
      </c>
      <c r="X1647" s="9">
        <v>156</v>
      </c>
      <c r="Y1647" s="9">
        <v>154</v>
      </c>
      <c r="Z1647" s="9">
        <v>154</v>
      </c>
      <c r="AA1647" s="9">
        <v>157</v>
      </c>
      <c r="AB1647" s="9">
        <v>154</v>
      </c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</row>
    <row r="1648" spans="1:47" ht="14.4">
      <c r="A1648" s="3">
        <f>LOOKUP(D1648,'AMFI DATA_2023H2'!F:L,'AMFI DATA_2023H2'!L:L)</f>
        <v>2144</v>
      </c>
      <c r="B1648" s="4" t="s">
        <v>4943</v>
      </c>
      <c r="C1648" s="4" t="s">
        <v>4944</v>
      </c>
      <c r="D1648" s="5" t="s">
        <v>4945</v>
      </c>
      <c r="E1648" s="5">
        <v>132.05000000000001</v>
      </c>
      <c r="F1648" s="6">
        <f>LOOKUP(D1648,'AMFI DATA_2023H2'!F:J,'AMFI DATA_2023H2'!J:J)</f>
        <v>147.15969999999999</v>
      </c>
      <c r="G1648" s="7">
        <f t="shared" si="6"/>
        <v>-1</v>
      </c>
      <c r="H1648" s="9"/>
      <c r="I1648" s="9">
        <v>158</v>
      </c>
      <c r="J1648" s="9">
        <v>148</v>
      </c>
      <c r="K1648" s="9">
        <v>150</v>
      </c>
      <c r="L1648" s="9">
        <v>151</v>
      </c>
      <c r="M1648" s="9">
        <v>153</v>
      </c>
      <c r="N1648" s="9">
        <v>155</v>
      </c>
      <c r="O1648" s="9">
        <v>155</v>
      </c>
      <c r="P1648" s="9">
        <v>157</v>
      </c>
      <c r="Q1648" s="9">
        <v>153</v>
      </c>
      <c r="R1648" s="9">
        <v>157</v>
      </c>
      <c r="S1648" s="9">
        <v>153</v>
      </c>
      <c r="T1648" s="9">
        <v>153</v>
      </c>
      <c r="U1648" s="9">
        <v>152</v>
      </c>
      <c r="V1648" s="9">
        <v>156</v>
      </c>
      <c r="W1648" s="9">
        <v>155</v>
      </c>
      <c r="X1648" s="9">
        <v>153</v>
      </c>
      <c r="Y1648" s="9">
        <v>155</v>
      </c>
      <c r="Z1648" s="9">
        <v>157</v>
      </c>
      <c r="AA1648" s="9">
        <v>160</v>
      </c>
      <c r="AB1648" s="9">
        <v>157</v>
      </c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</row>
    <row r="1649" spans="1:47" ht="14.4">
      <c r="A1649" s="3">
        <f>LOOKUP(D1649,'AMFI DATA_2023H2'!F:L,'AMFI DATA_2023H2'!L:L)</f>
        <v>2145</v>
      </c>
      <c r="B1649" s="4" t="s">
        <v>4946</v>
      </c>
      <c r="C1649" s="4" t="s">
        <v>4947</v>
      </c>
      <c r="D1649" s="5" t="s">
        <v>4948</v>
      </c>
      <c r="E1649" s="5">
        <v>144.12</v>
      </c>
      <c r="F1649" s="6">
        <f>LOOKUP(D1649,'AMFI DATA_2023H2'!F:J,'AMFI DATA_2023H2'!J:J)</f>
        <v>147.00290000000001</v>
      </c>
      <c r="G1649" s="7">
        <f t="shared" si="6"/>
        <v>-1</v>
      </c>
      <c r="H1649" s="9"/>
      <c r="I1649" s="9">
        <v>212</v>
      </c>
      <c r="J1649" s="9">
        <v>215</v>
      </c>
      <c r="K1649" s="9">
        <v>206</v>
      </c>
      <c r="L1649" s="9">
        <v>211</v>
      </c>
      <c r="M1649" s="9">
        <v>213</v>
      </c>
      <c r="N1649" s="9">
        <v>212</v>
      </c>
      <c r="O1649" s="9">
        <v>217</v>
      </c>
      <c r="P1649" s="9">
        <v>211</v>
      </c>
      <c r="Q1649" s="9">
        <v>214</v>
      </c>
      <c r="R1649" s="9">
        <v>217</v>
      </c>
      <c r="S1649" s="9">
        <v>216</v>
      </c>
      <c r="T1649" s="9">
        <v>206</v>
      </c>
      <c r="U1649" s="9">
        <v>206</v>
      </c>
      <c r="V1649" s="9">
        <v>206</v>
      </c>
      <c r="W1649" s="9">
        <v>209</v>
      </c>
      <c r="X1649" s="9">
        <v>205</v>
      </c>
      <c r="Y1649" s="9">
        <v>210</v>
      </c>
      <c r="Z1649" s="9">
        <v>200</v>
      </c>
      <c r="AA1649" s="9">
        <v>210</v>
      </c>
      <c r="AB1649" s="9">
        <v>220</v>
      </c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</row>
    <row r="1650" spans="1:47" ht="14.4">
      <c r="A1650" s="3">
        <f>LOOKUP(D1650,'AMFI DATA_2023H2'!F:L,'AMFI DATA_2023H2'!L:L)</f>
        <v>2146</v>
      </c>
      <c r="B1650" s="4" t="s">
        <v>4949</v>
      </c>
      <c r="C1650" s="4" t="s">
        <v>4950</v>
      </c>
      <c r="D1650" s="5" t="s">
        <v>4951</v>
      </c>
      <c r="E1650" s="5">
        <v>91.5</v>
      </c>
      <c r="F1650" s="6">
        <f>LOOKUP(D1650,'AMFI DATA_2023H2'!F:J,'AMFI DATA_2023H2'!J:J)</f>
        <v>146.77879999999999</v>
      </c>
      <c r="G1650" s="7">
        <f t="shared" si="6"/>
        <v>-1</v>
      </c>
      <c r="H1650" s="9"/>
      <c r="I1650" s="9">
        <v>292</v>
      </c>
      <c r="J1650" s="9">
        <v>278</v>
      </c>
      <c r="K1650" s="9">
        <v>280</v>
      </c>
      <c r="L1650" s="9">
        <v>286</v>
      </c>
      <c r="M1650" s="9">
        <v>293</v>
      </c>
      <c r="N1650" s="9">
        <v>283</v>
      </c>
      <c r="O1650" s="9">
        <v>288</v>
      </c>
      <c r="P1650" s="9">
        <v>287</v>
      </c>
      <c r="Q1650" s="9">
        <v>295</v>
      </c>
      <c r="R1650" s="9">
        <v>303</v>
      </c>
      <c r="S1650" s="9">
        <v>299</v>
      </c>
      <c r="T1650" s="9">
        <v>285</v>
      </c>
      <c r="U1650" s="9">
        <v>281</v>
      </c>
      <c r="V1650" s="9">
        <v>280</v>
      </c>
      <c r="W1650" s="9">
        <v>282</v>
      </c>
      <c r="X1650" s="9">
        <v>297</v>
      </c>
      <c r="Y1650" s="9">
        <v>283</v>
      </c>
      <c r="Z1650" s="9">
        <v>298</v>
      </c>
      <c r="AA1650" s="9">
        <v>314</v>
      </c>
      <c r="AB1650" s="9">
        <v>327</v>
      </c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</row>
    <row r="1651" spans="1:47" ht="14.4">
      <c r="A1651" s="3">
        <f>LOOKUP(D1651,'AMFI DATA_2023H2'!F:L,'AMFI DATA_2023H2'!L:L)</f>
        <v>2150</v>
      </c>
      <c r="B1651" s="4" t="s">
        <v>4952</v>
      </c>
      <c r="C1651" s="4" t="s">
        <v>4953</v>
      </c>
      <c r="D1651" s="5" t="s">
        <v>4954</v>
      </c>
      <c r="E1651" s="5">
        <v>76.959999999999994</v>
      </c>
      <c r="F1651" s="6">
        <f>LOOKUP(D1651,'AMFI DATA_2023H2'!F:J,'AMFI DATA_2023H2'!J:J)</f>
        <v>146.37529999999998</v>
      </c>
      <c r="G1651" s="7">
        <f t="shared" si="6"/>
        <v>-1</v>
      </c>
      <c r="H1651" s="9"/>
      <c r="I1651" s="9">
        <v>290</v>
      </c>
      <c r="J1651" s="9">
        <v>233</v>
      </c>
      <c r="K1651" s="9">
        <v>229</v>
      </c>
      <c r="L1651" s="9">
        <v>236</v>
      </c>
      <c r="M1651" s="9">
        <v>237</v>
      </c>
      <c r="N1651" s="9">
        <v>237</v>
      </c>
      <c r="O1651" s="9">
        <v>235</v>
      </c>
      <c r="P1651" s="9">
        <v>237</v>
      </c>
      <c r="Q1651" s="9">
        <v>232</v>
      </c>
      <c r="R1651" s="9">
        <v>239</v>
      </c>
      <c r="S1651" s="9">
        <v>235</v>
      </c>
      <c r="T1651" s="9">
        <v>230</v>
      </c>
      <c r="U1651" s="9">
        <v>226</v>
      </c>
      <c r="V1651" s="9">
        <v>221</v>
      </c>
      <c r="W1651" s="9">
        <v>217</v>
      </c>
      <c r="X1651" s="9">
        <v>213</v>
      </c>
      <c r="Y1651" s="9">
        <v>216</v>
      </c>
      <c r="Z1651" s="9">
        <v>220</v>
      </c>
      <c r="AA1651" s="9">
        <v>223</v>
      </c>
      <c r="AB1651" s="9">
        <v>228</v>
      </c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</row>
    <row r="1652" spans="1:47" ht="14.4">
      <c r="A1652" s="3">
        <f>LOOKUP(D1652,'AMFI DATA_2023H2'!F:L,'AMFI DATA_2023H2'!L:L)</f>
        <v>2153</v>
      </c>
      <c r="B1652" s="4" t="s">
        <v>4955</v>
      </c>
      <c r="C1652" s="4" t="s">
        <v>4956</v>
      </c>
      <c r="D1652" s="5" t="s">
        <v>4957</v>
      </c>
      <c r="E1652" s="5">
        <v>151.49</v>
      </c>
      <c r="F1652" s="6">
        <f>LOOKUP(D1652,'AMFI DATA_2023H2'!F:J,'AMFI DATA_2023H2'!J:J)</f>
        <v>145.43049999999999</v>
      </c>
      <c r="G1652" s="7">
        <f t="shared" si="6"/>
        <v>-1</v>
      </c>
      <c r="H1652" s="9"/>
      <c r="I1652" s="9">
        <v>199</v>
      </c>
      <c r="J1652" s="9">
        <v>197</v>
      </c>
      <c r="K1652" s="9">
        <v>201</v>
      </c>
      <c r="L1652" s="9">
        <v>210</v>
      </c>
      <c r="M1652" s="9">
        <v>187</v>
      </c>
      <c r="N1652" s="9">
        <v>191</v>
      </c>
      <c r="O1652" s="9">
        <v>190</v>
      </c>
      <c r="P1652" s="9">
        <v>190</v>
      </c>
      <c r="Q1652" s="9">
        <v>190</v>
      </c>
      <c r="R1652" s="9">
        <v>190</v>
      </c>
      <c r="S1652" s="9">
        <v>196</v>
      </c>
      <c r="T1652" s="9">
        <v>197</v>
      </c>
      <c r="U1652" s="9">
        <v>201</v>
      </c>
      <c r="V1652" s="9">
        <v>199</v>
      </c>
      <c r="W1652" s="9">
        <v>198</v>
      </c>
      <c r="X1652" s="9">
        <v>193</v>
      </c>
      <c r="Y1652" s="9">
        <v>190</v>
      </c>
      <c r="Z1652" s="9">
        <v>191</v>
      </c>
      <c r="AA1652" s="9">
        <v>190</v>
      </c>
      <c r="AB1652" s="9">
        <v>190</v>
      </c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</row>
    <row r="1653" spans="1:47" ht="14.4">
      <c r="A1653" s="3">
        <f>LOOKUP(D1653,'AMFI DATA_2023H2'!F:L,'AMFI DATA_2023H2'!L:L)</f>
        <v>2154</v>
      </c>
      <c r="B1653" s="4" t="s">
        <v>4958</v>
      </c>
      <c r="C1653" s="4" t="s">
        <v>4959</v>
      </c>
      <c r="D1653" s="5" t="s">
        <v>4960</v>
      </c>
      <c r="E1653" s="5">
        <v>130.32</v>
      </c>
      <c r="F1653" s="6">
        <f>LOOKUP(D1653,'AMFI DATA_2023H2'!F:J,'AMFI DATA_2023H2'!J:J)</f>
        <v>145.06479999999999</v>
      </c>
      <c r="G1653" s="7">
        <f t="shared" si="6"/>
        <v>-1</v>
      </c>
      <c r="H1653" s="9"/>
      <c r="I1653" s="9">
        <v>180</v>
      </c>
      <c r="J1653" s="9">
        <v>186</v>
      </c>
      <c r="K1653" s="9">
        <v>180</v>
      </c>
      <c r="L1653" s="9">
        <v>187</v>
      </c>
      <c r="M1653" s="9">
        <v>190</v>
      </c>
      <c r="N1653" s="9">
        <v>194</v>
      </c>
      <c r="O1653" s="9">
        <v>188</v>
      </c>
      <c r="P1653" s="9">
        <v>187</v>
      </c>
      <c r="Q1653" s="9">
        <v>191</v>
      </c>
      <c r="R1653" s="9">
        <v>193</v>
      </c>
      <c r="S1653" s="9">
        <v>194</v>
      </c>
      <c r="T1653" s="9">
        <v>200</v>
      </c>
      <c r="U1653" s="9">
        <v>197</v>
      </c>
      <c r="V1653" s="9">
        <v>202</v>
      </c>
      <c r="W1653" s="9">
        <v>201</v>
      </c>
      <c r="X1653" s="9">
        <v>172</v>
      </c>
      <c r="Y1653" s="9">
        <v>0</v>
      </c>
      <c r="Z1653" s="9">
        <v>159</v>
      </c>
      <c r="AA1653" s="9">
        <v>156</v>
      </c>
      <c r="AB1653" s="9">
        <v>148</v>
      </c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</row>
    <row r="1654" spans="1:47" ht="14.4">
      <c r="A1654" s="3">
        <f>LOOKUP(D1654,'AMFI DATA_2023H2'!F:L,'AMFI DATA_2023H2'!L:L)</f>
        <v>2156</v>
      </c>
      <c r="B1654" s="4" t="s">
        <v>4961</v>
      </c>
      <c r="C1654" s="4" t="s">
        <v>4962</v>
      </c>
      <c r="D1654" s="5" t="s">
        <v>4963</v>
      </c>
      <c r="E1654" s="5">
        <v>115.26</v>
      </c>
      <c r="F1654" s="6">
        <f>LOOKUP(D1654,'AMFI DATA_2023H2'!F:J,'AMFI DATA_2023H2'!J:J)</f>
        <v>144.4889</v>
      </c>
      <c r="G1654" s="7">
        <f t="shared" si="6"/>
        <v>-1</v>
      </c>
      <c r="H1654" s="9"/>
      <c r="I1654" s="9">
        <v>188</v>
      </c>
      <c r="J1654" s="9">
        <v>186</v>
      </c>
      <c r="K1654" s="9">
        <v>186</v>
      </c>
      <c r="L1654" s="9">
        <v>182</v>
      </c>
      <c r="M1654" s="9">
        <v>190</v>
      </c>
      <c r="N1654" s="9">
        <v>192</v>
      </c>
      <c r="O1654" s="9">
        <v>200</v>
      </c>
      <c r="P1654" s="9">
        <v>195</v>
      </c>
      <c r="Q1654" s="9">
        <v>195</v>
      </c>
      <c r="R1654" s="9">
        <v>172</v>
      </c>
      <c r="S1654" s="9">
        <v>175</v>
      </c>
      <c r="T1654" s="9">
        <v>176</v>
      </c>
      <c r="U1654" s="9">
        <v>168</v>
      </c>
      <c r="V1654" s="9">
        <v>169</v>
      </c>
      <c r="W1654" s="9">
        <v>174</v>
      </c>
      <c r="X1654" s="9">
        <v>170</v>
      </c>
      <c r="Y1654" s="9">
        <v>167</v>
      </c>
      <c r="Z1654" s="9">
        <v>166</v>
      </c>
      <c r="AA1654" s="9">
        <v>176</v>
      </c>
      <c r="AB1654" s="9">
        <v>178</v>
      </c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1:47" ht="14.4">
      <c r="A1655" s="3">
        <f>LOOKUP(D1655,'AMFI DATA_2023H2'!F:L,'AMFI DATA_2023H2'!L:L)</f>
        <v>2158</v>
      </c>
      <c r="B1655" s="4" t="s">
        <v>4964</v>
      </c>
      <c r="C1655" s="4" t="s">
        <v>4965</v>
      </c>
      <c r="D1655" s="5" t="s">
        <v>4966</v>
      </c>
      <c r="E1655" s="5">
        <v>102.05</v>
      </c>
      <c r="F1655" s="6">
        <f>LOOKUP(D1655,'AMFI DATA_2023H2'!F:J,'AMFI DATA_2023H2'!J:J)</f>
        <v>143.9649</v>
      </c>
      <c r="G1655" s="7">
        <f t="shared" si="6"/>
        <v>-1</v>
      </c>
      <c r="H1655" s="9"/>
      <c r="I1655" s="9">
        <v>239</v>
      </c>
      <c r="J1655" s="9">
        <v>236</v>
      </c>
      <c r="K1655" s="9">
        <v>222</v>
      </c>
      <c r="L1655" s="9">
        <v>216</v>
      </c>
      <c r="M1655" s="9">
        <v>206</v>
      </c>
      <c r="N1655" s="9">
        <v>195</v>
      </c>
      <c r="O1655" s="9">
        <v>187</v>
      </c>
      <c r="P1655" s="9">
        <v>190</v>
      </c>
      <c r="Q1655" s="9">
        <v>190</v>
      </c>
      <c r="R1655" s="9">
        <v>184</v>
      </c>
      <c r="S1655" s="9">
        <v>194</v>
      </c>
      <c r="T1655" s="9">
        <v>190</v>
      </c>
      <c r="U1655" s="9">
        <v>177</v>
      </c>
      <c r="V1655" s="9">
        <v>169</v>
      </c>
      <c r="W1655" s="9">
        <v>161</v>
      </c>
      <c r="X1655" s="9">
        <v>153</v>
      </c>
      <c r="Y1655" s="9">
        <v>150</v>
      </c>
      <c r="Z1655" s="9">
        <v>153</v>
      </c>
      <c r="AA1655" s="9">
        <v>146</v>
      </c>
      <c r="AB1655" s="9">
        <v>145</v>
      </c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</row>
    <row r="1656" spans="1:47" ht="14.4">
      <c r="A1656" s="3">
        <f>LOOKUP(D1656,'AMFI DATA_2023H2'!F:L,'AMFI DATA_2023H2'!L:L)</f>
        <v>2160</v>
      </c>
      <c r="B1656" s="4" t="s">
        <v>4967</v>
      </c>
      <c r="C1656" s="4" t="s">
        <v>4968</v>
      </c>
      <c r="D1656" s="5" t="s">
        <v>4969</v>
      </c>
      <c r="E1656" s="5">
        <v>134.62</v>
      </c>
      <c r="F1656" s="6">
        <f>LOOKUP(D1656,'AMFI DATA_2023H2'!F:J,'AMFI DATA_2023H2'!J:J)</f>
        <v>143.58244999999999</v>
      </c>
      <c r="G1656" s="7">
        <f t="shared" si="6"/>
        <v>-1</v>
      </c>
      <c r="H1656" s="9"/>
      <c r="I1656" s="9">
        <v>181</v>
      </c>
      <c r="J1656" s="9">
        <v>180</v>
      </c>
      <c r="K1656" s="9">
        <v>177</v>
      </c>
      <c r="L1656" s="9">
        <v>175</v>
      </c>
      <c r="M1656" s="9">
        <v>180</v>
      </c>
      <c r="N1656" s="9">
        <v>162</v>
      </c>
      <c r="O1656" s="9">
        <v>160</v>
      </c>
      <c r="P1656" s="9">
        <v>163</v>
      </c>
      <c r="Q1656" s="9">
        <v>159</v>
      </c>
      <c r="R1656" s="9">
        <v>161</v>
      </c>
      <c r="S1656" s="9">
        <v>164</v>
      </c>
      <c r="T1656" s="9">
        <v>167</v>
      </c>
      <c r="U1656" s="9">
        <v>169</v>
      </c>
      <c r="V1656" s="9">
        <v>168</v>
      </c>
      <c r="W1656" s="9">
        <v>161</v>
      </c>
      <c r="X1656" s="9">
        <v>161</v>
      </c>
      <c r="Y1656" s="9">
        <v>158</v>
      </c>
      <c r="Z1656" s="9">
        <v>157</v>
      </c>
      <c r="AA1656" s="9">
        <v>159</v>
      </c>
      <c r="AB1656" s="9">
        <v>162</v>
      </c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</row>
    <row r="1657" spans="1:47" ht="14.4">
      <c r="A1657" s="3">
        <f>LOOKUP(D1657,'AMFI DATA_2023H2'!F:L,'AMFI DATA_2023H2'!L:L)</f>
        <v>2162</v>
      </c>
      <c r="B1657" s="4" t="s">
        <v>4970</v>
      </c>
      <c r="C1657" s="4" t="s">
        <v>4971</v>
      </c>
      <c r="D1657" s="5" t="s">
        <v>4972</v>
      </c>
      <c r="E1657" s="5">
        <v>136.53</v>
      </c>
      <c r="F1657" s="6">
        <f>LOOKUP(D1657,'AMFI DATA_2023H2'!F:J,'AMFI DATA_2023H2'!J:J)</f>
        <v>142.78525000000002</v>
      </c>
      <c r="G1657" s="7">
        <f t="shared" si="6"/>
        <v>-1</v>
      </c>
      <c r="H1657" s="9"/>
      <c r="I1657" s="9">
        <v>159</v>
      </c>
      <c r="J1657" s="9">
        <v>158</v>
      </c>
      <c r="K1657" s="9">
        <v>154</v>
      </c>
      <c r="L1657" s="9">
        <v>156</v>
      </c>
      <c r="M1657" s="9">
        <v>159</v>
      </c>
      <c r="N1657" s="9">
        <v>162</v>
      </c>
      <c r="O1657" s="9">
        <v>167</v>
      </c>
      <c r="P1657" s="9">
        <v>169</v>
      </c>
      <c r="Q1657" s="9">
        <v>162</v>
      </c>
      <c r="R1657" s="9">
        <v>152</v>
      </c>
      <c r="S1657" s="9">
        <v>149</v>
      </c>
      <c r="T1657" s="9">
        <v>145</v>
      </c>
      <c r="U1657" s="9">
        <v>145</v>
      </c>
      <c r="V1657" s="9">
        <v>145</v>
      </c>
      <c r="W1657" s="9">
        <v>146</v>
      </c>
      <c r="X1657" s="9">
        <v>148</v>
      </c>
      <c r="Y1657" s="9">
        <v>146</v>
      </c>
      <c r="Z1657" s="9">
        <v>147</v>
      </c>
      <c r="AA1657" s="9">
        <v>149</v>
      </c>
      <c r="AB1657" s="9">
        <v>149</v>
      </c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</row>
    <row r="1658" spans="1:47" ht="14.4">
      <c r="A1658" s="3">
        <f>LOOKUP(D1658,'AMFI DATA_2023H2'!F:L,'AMFI DATA_2023H2'!L:L)</f>
        <v>2163</v>
      </c>
      <c r="B1658" s="4" t="s">
        <v>4973</v>
      </c>
      <c r="C1658" s="4" t="s">
        <v>4974</v>
      </c>
      <c r="D1658" s="5" t="s">
        <v>4975</v>
      </c>
      <c r="E1658" s="5">
        <v>172.79</v>
      </c>
      <c r="F1658" s="6">
        <f>LOOKUP(D1658,'AMFI DATA_2023H2'!F:J,'AMFI DATA_2023H2'!J:J)</f>
        <v>142.6669</v>
      </c>
      <c r="G1658" s="7">
        <f t="shared" si="6"/>
        <v>-1</v>
      </c>
      <c r="H1658" s="9"/>
      <c r="I1658" s="9">
        <v>171</v>
      </c>
      <c r="J1658" s="9">
        <v>170</v>
      </c>
      <c r="K1658" s="9">
        <v>170</v>
      </c>
      <c r="L1658" s="9">
        <v>173</v>
      </c>
      <c r="M1658" s="9">
        <v>175</v>
      </c>
      <c r="N1658" s="9">
        <v>177</v>
      </c>
      <c r="O1658" s="9">
        <v>180</v>
      </c>
      <c r="P1658" s="9">
        <v>182</v>
      </c>
      <c r="Q1658" s="9">
        <v>180</v>
      </c>
      <c r="R1658" s="9">
        <v>182</v>
      </c>
      <c r="S1658" s="9">
        <v>182</v>
      </c>
      <c r="T1658" s="9">
        <v>184</v>
      </c>
      <c r="U1658" s="9">
        <v>181</v>
      </c>
      <c r="V1658" s="9">
        <v>171</v>
      </c>
      <c r="W1658" s="9">
        <v>171</v>
      </c>
      <c r="X1658" s="9">
        <v>172</v>
      </c>
      <c r="Y1658" s="9">
        <v>173</v>
      </c>
      <c r="Z1658" s="9">
        <v>176</v>
      </c>
      <c r="AA1658" s="9">
        <v>172</v>
      </c>
      <c r="AB1658" s="9">
        <v>178</v>
      </c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</row>
    <row r="1659" spans="1:47" ht="14.4">
      <c r="A1659" s="3">
        <f>LOOKUP(D1659,'AMFI DATA_2023H2'!F:L,'AMFI DATA_2023H2'!L:L)</f>
        <v>2171</v>
      </c>
      <c r="B1659" s="4" t="s">
        <v>4976</v>
      </c>
      <c r="C1659" s="4" t="s">
        <v>4977</v>
      </c>
      <c r="D1659" s="5" t="s">
        <v>4978</v>
      </c>
      <c r="E1659" s="5">
        <v>88.57</v>
      </c>
      <c r="F1659" s="6">
        <f>LOOKUP(D1659,'AMFI DATA_2023H2'!F:J,'AMFI DATA_2023H2'!J:J)</f>
        <v>141.03809999999999</v>
      </c>
      <c r="G1659" s="7">
        <f t="shared" si="6"/>
        <v>-1</v>
      </c>
      <c r="H1659" s="9"/>
      <c r="I1659" s="9">
        <v>158</v>
      </c>
      <c r="J1659" s="9">
        <v>156</v>
      </c>
      <c r="K1659" s="9">
        <v>156</v>
      </c>
      <c r="L1659" s="9">
        <v>155</v>
      </c>
      <c r="M1659" s="9">
        <v>159</v>
      </c>
      <c r="N1659" s="9">
        <v>166</v>
      </c>
      <c r="O1659" s="9">
        <v>165</v>
      </c>
      <c r="P1659" s="9">
        <v>168</v>
      </c>
      <c r="Q1659" s="9">
        <v>177</v>
      </c>
      <c r="R1659" s="9">
        <v>168</v>
      </c>
      <c r="S1659" s="9">
        <v>161</v>
      </c>
      <c r="T1659" s="9">
        <v>157</v>
      </c>
      <c r="U1659" s="9">
        <v>156</v>
      </c>
      <c r="V1659" s="9">
        <v>153</v>
      </c>
      <c r="W1659" s="9">
        <v>155</v>
      </c>
      <c r="X1659" s="9">
        <v>148</v>
      </c>
      <c r="Y1659" s="9">
        <v>151</v>
      </c>
      <c r="Z1659" s="9">
        <v>156</v>
      </c>
      <c r="AA1659" s="9">
        <v>151</v>
      </c>
      <c r="AB1659" s="9">
        <v>146</v>
      </c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</row>
    <row r="1660" spans="1:47" ht="14.4">
      <c r="A1660" s="3">
        <f>LOOKUP(D1660,'AMFI DATA_2023H2'!F:L,'AMFI DATA_2023H2'!L:L)</f>
        <v>2172</v>
      </c>
      <c r="B1660" s="4" t="s">
        <v>4979</v>
      </c>
      <c r="C1660" s="4" t="s">
        <v>4980</v>
      </c>
      <c r="D1660" s="5" t="s">
        <v>4981</v>
      </c>
      <c r="E1660" s="5">
        <v>70.98</v>
      </c>
      <c r="F1660" s="6">
        <f>LOOKUP(D1660,'AMFI DATA_2023H2'!F:J,'AMFI DATA_2023H2'!J:J)</f>
        <v>140.12835000000001</v>
      </c>
      <c r="G1660" s="7">
        <f t="shared" si="6"/>
        <v>-1</v>
      </c>
      <c r="H1660" s="9"/>
      <c r="I1660" s="9">
        <v>174</v>
      </c>
      <c r="J1660" s="9">
        <v>166</v>
      </c>
      <c r="K1660" s="9">
        <v>163</v>
      </c>
      <c r="L1660" s="9">
        <v>158</v>
      </c>
      <c r="M1660" s="9">
        <v>160</v>
      </c>
      <c r="N1660" s="9">
        <v>161</v>
      </c>
      <c r="O1660" s="9">
        <v>163</v>
      </c>
      <c r="P1660" s="9">
        <v>161</v>
      </c>
      <c r="Q1660" s="9">
        <v>159</v>
      </c>
      <c r="R1660" s="9">
        <v>162</v>
      </c>
      <c r="S1660" s="9">
        <v>164</v>
      </c>
      <c r="T1660" s="9">
        <v>159</v>
      </c>
      <c r="U1660" s="9">
        <v>156</v>
      </c>
      <c r="V1660" s="9">
        <v>156</v>
      </c>
      <c r="W1660" s="9">
        <v>158</v>
      </c>
      <c r="X1660" s="9">
        <v>158</v>
      </c>
      <c r="Y1660" s="9">
        <v>155</v>
      </c>
      <c r="Z1660" s="9">
        <v>155</v>
      </c>
      <c r="AA1660" s="9">
        <v>152</v>
      </c>
      <c r="AB1660" s="9">
        <v>152</v>
      </c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</row>
    <row r="1661" spans="1:47" ht="14.4">
      <c r="A1661" s="3">
        <f>LOOKUP(D1661,'AMFI DATA_2023H2'!F:L,'AMFI DATA_2023H2'!L:L)</f>
        <v>2176</v>
      </c>
      <c r="B1661" s="4" t="s">
        <v>4982</v>
      </c>
      <c r="C1661" s="4" t="s">
        <v>4983</v>
      </c>
      <c r="D1661" s="5" t="s">
        <v>4984</v>
      </c>
      <c r="E1661" s="5">
        <v>124.1</v>
      </c>
      <c r="F1661" s="6">
        <f>LOOKUP(D1661,'AMFI DATA_2023H2'!F:J,'AMFI DATA_2023H2'!J:J)</f>
        <v>138.04845</v>
      </c>
      <c r="G1661" s="7">
        <f t="shared" si="6"/>
        <v>-1</v>
      </c>
      <c r="H1661" s="9"/>
      <c r="I1661" s="9">
        <v>177</v>
      </c>
      <c r="J1661" s="9">
        <v>168</v>
      </c>
      <c r="K1661" s="9">
        <v>168</v>
      </c>
      <c r="L1661" s="9">
        <v>174</v>
      </c>
      <c r="M1661" s="9">
        <v>177</v>
      </c>
      <c r="N1661" s="9">
        <v>170</v>
      </c>
      <c r="O1661" s="9">
        <v>167</v>
      </c>
      <c r="P1661" s="9">
        <v>158</v>
      </c>
      <c r="Q1661" s="9">
        <v>156</v>
      </c>
      <c r="R1661" s="9">
        <v>160</v>
      </c>
      <c r="S1661" s="9">
        <v>162</v>
      </c>
      <c r="T1661" s="9">
        <v>163</v>
      </c>
      <c r="U1661" s="9">
        <v>162</v>
      </c>
      <c r="V1661" s="9">
        <v>157</v>
      </c>
      <c r="W1661" s="9">
        <v>154</v>
      </c>
      <c r="X1661" s="9">
        <v>151</v>
      </c>
      <c r="Y1661" s="9">
        <v>144</v>
      </c>
      <c r="Z1661" s="9">
        <v>141</v>
      </c>
      <c r="AA1661" s="9">
        <v>141</v>
      </c>
      <c r="AB1661" s="9">
        <v>135</v>
      </c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</row>
    <row r="1662" spans="1:47" ht="14.4">
      <c r="A1662" s="3">
        <f>LOOKUP(D1662,'AMFI DATA_2023H2'!F:L,'AMFI DATA_2023H2'!L:L)</f>
        <v>2178</v>
      </c>
      <c r="B1662" s="4" t="s">
        <v>4985</v>
      </c>
      <c r="C1662" s="4" t="s">
        <v>4986</v>
      </c>
      <c r="D1662" s="5" t="s">
        <v>4987</v>
      </c>
      <c r="E1662" s="5">
        <v>116.36</v>
      </c>
      <c r="F1662" s="6">
        <f>LOOKUP(D1662,'AMFI DATA_2023H2'!F:J,'AMFI DATA_2023H2'!J:J)</f>
        <v>137.72</v>
      </c>
      <c r="G1662" s="7">
        <f t="shared" si="6"/>
        <v>-1</v>
      </c>
      <c r="H1662" s="9"/>
      <c r="I1662" s="9">
        <v>185</v>
      </c>
      <c r="J1662" s="9">
        <v>185</v>
      </c>
      <c r="K1662" s="9">
        <v>186</v>
      </c>
      <c r="L1662" s="9">
        <v>195</v>
      </c>
      <c r="M1662" s="9">
        <v>197</v>
      </c>
      <c r="N1662" s="9">
        <v>193</v>
      </c>
      <c r="O1662" s="9">
        <v>193</v>
      </c>
      <c r="P1662" s="9">
        <v>193</v>
      </c>
      <c r="Q1662" s="9">
        <v>193</v>
      </c>
      <c r="R1662" s="9">
        <v>199</v>
      </c>
      <c r="S1662" s="9">
        <v>197</v>
      </c>
      <c r="T1662" s="9">
        <v>189</v>
      </c>
      <c r="U1662" s="9">
        <v>183</v>
      </c>
      <c r="V1662" s="9">
        <v>183</v>
      </c>
      <c r="W1662" s="9">
        <v>183</v>
      </c>
      <c r="X1662" s="9">
        <v>189</v>
      </c>
      <c r="Y1662" s="9">
        <v>189</v>
      </c>
      <c r="Z1662" s="9">
        <v>195</v>
      </c>
      <c r="AA1662" s="9">
        <v>185</v>
      </c>
      <c r="AB1662" s="9">
        <v>179</v>
      </c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</row>
    <row r="1663" spans="1:47" ht="14.4">
      <c r="A1663" s="3">
        <f>LOOKUP(D1663,'AMFI DATA_2023H2'!F:L,'AMFI DATA_2023H2'!L:L)</f>
        <v>2179</v>
      </c>
      <c r="B1663" s="4" t="s">
        <v>4988</v>
      </c>
      <c r="C1663" s="4" t="s">
        <v>4989</v>
      </c>
      <c r="D1663" s="5" t="s">
        <v>4990</v>
      </c>
      <c r="E1663" s="5">
        <v>224.86</v>
      </c>
      <c r="F1663" s="6">
        <f>LOOKUP(D1663,'AMFI DATA_2023H2'!F:J,'AMFI DATA_2023H2'!J:J)</f>
        <v>137.69560000000001</v>
      </c>
      <c r="G1663" s="7">
        <f t="shared" si="6"/>
        <v>-1</v>
      </c>
      <c r="H1663" s="9"/>
      <c r="I1663" s="9">
        <v>213</v>
      </c>
      <c r="J1663" s="9">
        <v>203</v>
      </c>
      <c r="K1663" s="9">
        <v>194</v>
      </c>
      <c r="L1663" s="9">
        <v>185</v>
      </c>
      <c r="M1663" s="9">
        <v>194</v>
      </c>
      <c r="N1663" s="9">
        <v>194</v>
      </c>
      <c r="O1663" s="9">
        <v>192</v>
      </c>
      <c r="P1663" s="9">
        <v>190</v>
      </c>
      <c r="Q1663" s="9">
        <v>185</v>
      </c>
      <c r="R1663" s="9">
        <v>177</v>
      </c>
      <c r="S1663" s="9">
        <v>169</v>
      </c>
      <c r="T1663" s="9">
        <v>166</v>
      </c>
      <c r="U1663" s="9">
        <v>159</v>
      </c>
      <c r="V1663" s="9">
        <v>151</v>
      </c>
      <c r="W1663" s="9">
        <v>145</v>
      </c>
      <c r="X1663" s="9">
        <v>145</v>
      </c>
      <c r="Y1663" s="9">
        <v>143</v>
      </c>
      <c r="Z1663" s="9">
        <v>143</v>
      </c>
      <c r="AA1663" s="9">
        <v>143</v>
      </c>
      <c r="AB1663" s="9">
        <v>142</v>
      </c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</row>
    <row r="1664" spans="1:47" ht="14.4">
      <c r="A1664" s="3">
        <f>LOOKUP(D1664,'AMFI DATA_2023H2'!F:L,'AMFI DATA_2023H2'!L:L)</f>
        <v>2180</v>
      </c>
      <c r="B1664" s="4" t="s">
        <v>4991</v>
      </c>
      <c r="C1664" s="4" t="s">
        <v>4992</v>
      </c>
      <c r="D1664" s="5" t="s">
        <v>4993</v>
      </c>
      <c r="E1664" s="5">
        <v>169.99</v>
      </c>
      <c r="F1664" s="6">
        <f>LOOKUP(D1664,'AMFI DATA_2023H2'!F:J,'AMFI DATA_2023H2'!J:J)</f>
        <v>137.50355000000002</v>
      </c>
      <c r="G1664" s="7">
        <f t="shared" si="6"/>
        <v>-1</v>
      </c>
      <c r="H1664" s="9"/>
      <c r="I1664" s="9">
        <v>96.2</v>
      </c>
      <c r="J1664" s="9">
        <v>95.9</v>
      </c>
      <c r="K1664" s="9">
        <v>94.5</v>
      </c>
      <c r="L1664" s="9">
        <v>97.7</v>
      </c>
      <c r="M1664" s="9">
        <v>95.4</v>
      </c>
      <c r="N1664" s="9">
        <v>93.2</v>
      </c>
      <c r="O1664" s="9">
        <v>89.7</v>
      </c>
      <c r="P1664" s="9">
        <v>92.1</v>
      </c>
      <c r="Q1664" s="9">
        <v>95.1</v>
      </c>
      <c r="R1664" s="9">
        <v>99.5</v>
      </c>
      <c r="S1664" s="9">
        <v>96.2</v>
      </c>
      <c r="T1664" s="9">
        <v>91.8</v>
      </c>
      <c r="U1664" s="9">
        <v>91.8</v>
      </c>
      <c r="V1664" s="9">
        <v>92.5</v>
      </c>
      <c r="W1664" s="9">
        <v>90.3</v>
      </c>
      <c r="X1664" s="9">
        <v>90.1</v>
      </c>
      <c r="Y1664" s="9">
        <v>89.2</v>
      </c>
      <c r="Z1664" s="9">
        <v>89.8</v>
      </c>
      <c r="AA1664" s="9">
        <v>95.9</v>
      </c>
      <c r="AB1664" s="9">
        <v>94.4</v>
      </c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</row>
    <row r="1665" spans="1:47" ht="14.4">
      <c r="A1665" s="3">
        <f>LOOKUP(D1665,'AMFI DATA_2023H2'!F:L,'AMFI DATA_2023H2'!L:L)</f>
        <v>2181</v>
      </c>
      <c r="B1665" s="4" t="s">
        <v>4994</v>
      </c>
      <c r="C1665" s="4" t="s">
        <v>4995</v>
      </c>
      <c r="D1665" s="5" t="s">
        <v>4996</v>
      </c>
      <c r="E1665" s="5">
        <v>352.9</v>
      </c>
      <c r="F1665" s="6">
        <f>LOOKUP(D1665,'AMFI DATA_2023H2'!F:J,'AMFI DATA_2023H2'!J:J)</f>
        <v>137.3537</v>
      </c>
      <c r="G1665" s="7">
        <f t="shared" si="6"/>
        <v>-1</v>
      </c>
      <c r="H1665" s="9"/>
      <c r="I1665" s="9">
        <v>153</v>
      </c>
      <c r="J1665" s="9">
        <v>156</v>
      </c>
      <c r="K1665" s="9">
        <v>159</v>
      </c>
      <c r="L1665" s="9">
        <v>162</v>
      </c>
      <c r="M1665" s="9">
        <v>165</v>
      </c>
      <c r="N1665" s="9">
        <v>168</v>
      </c>
      <c r="O1665" s="9">
        <v>172</v>
      </c>
      <c r="P1665" s="9">
        <v>176</v>
      </c>
      <c r="Q1665" s="9">
        <v>167</v>
      </c>
      <c r="R1665" s="9">
        <v>159</v>
      </c>
      <c r="S1665" s="9">
        <v>152</v>
      </c>
      <c r="T1665" s="9">
        <v>147</v>
      </c>
      <c r="U1665" s="9">
        <v>142</v>
      </c>
      <c r="V1665" s="9">
        <v>142</v>
      </c>
      <c r="W1665" s="9">
        <v>142</v>
      </c>
      <c r="X1665" s="9">
        <v>143</v>
      </c>
      <c r="Y1665" s="9">
        <v>141</v>
      </c>
      <c r="Z1665" s="9">
        <v>143</v>
      </c>
      <c r="AA1665" s="9">
        <v>143</v>
      </c>
      <c r="AB1665" s="9">
        <v>141</v>
      </c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</row>
    <row r="1666" spans="1:47" ht="14.4">
      <c r="A1666" s="3">
        <f>LOOKUP(D1666,'AMFI DATA_2023H2'!F:L,'AMFI DATA_2023H2'!L:L)</f>
        <v>2184</v>
      </c>
      <c r="B1666" s="4" t="s">
        <v>4997</v>
      </c>
      <c r="C1666" s="4" t="s">
        <v>4998</v>
      </c>
      <c r="D1666" s="5" t="s">
        <v>4999</v>
      </c>
      <c r="E1666" s="5">
        <v>136.79</v>
      </c>
      <c r="F1666" s="6">
        <f>LOOKUP(D1666,'AMFI DATA_2023H2'!F:J,'AMFI DATA_2023H2'!J:J)</f>
        <v>136.59609999999998</v>
      </c>
      <c r="G1666" s="7">
        <f t="shared" si="6"/>
        <v>-1</v>
      </c>
      <c r="H1666" s="9"/>
      <c r="I1666" s="9">
        <v>207</v>
      </c>
      <c r="J1666" s="9">
        <v>198</v>
      </c>
      <c r="K1666" s="9">
        <v>189</v>
      </c>
      <c r="L1666" s="9">
        <v>181</v>
      </c>
      <c r="M1666" s="9">
        <v>172</v>
      </c>
      <c r="N1666" s="9">
        <v>177</v>
      </c>
      <c r="O1666" s="9">
        <v>172</v>
      </c>
      <c r="P1666" s="9">
        <v>175</v>
      </c>
      <c r="Q1666" s="9">
        <v>182</v>
      </c>
      <c r="R1666" s="9">
        <v>184</v>
      </c>
      <c r="S1666" s="9">
        <v>183</v>
      </c>
      <c r="T1666" s="9">
        <v>185</v>
      </c>
      <c r="U1666" s="9">
        <v>190</v>
      </c>
      <c r="V1666" s="9">
        <v>184</v>
      </c>
      <c r="W1666" s="9">
        <v>174</v>
      </c>
      <c r="X1666" s="9">
        <v>161</v>
      </c>
      <c r="Y1666" s="9">
        <v>149</v>
      </c>
      <c r="Z1666" s="9">
        <v>151</v>
      </c>
      <c r="AA1666" s="9">
        <v>151</v>
      </c>
      <c r="AB1666" s="9">
        <v>155</v>
      </c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</row>
    <row r="1667" spans="1:47" ht="14.4">
      <c r="A1667" s="3">
        <f>LOOKUP(D1667,'AMFI DATA_2023H2'!F:L,'AMFI DATA_2023H2'!L:L)</f>
        <v>2185</v>
      </c>
      <c r="B1667" s="4" t="s">
        <v>5000</v>
      </c>
      <c r="C1667" s="4" t="s">
        <v>5001</v>
      </c>
      <c r="D1667" s="5" t="s">
        <v>5002</v>
      </c>
      <c r="E1667" s="5">
        <v>119.33</v>
      </c>
      <c r="F1667" s="6">
        <f>LOOKUP(D1667,'AMFI DATA_2023H2'!F:J,'AMFI DATA_2023H2'!J:J)</f>
        <v>136.3347</v>
      </c>
      <c r="G1667" s="7">
        <f t="shared" si="6"/>
        <v>-1</v>
      </c>
      <c r="H1667" s="9"/>
      <c r="I1667" s="9">
        <v>171</v>
      </c>
      <c r="J1667" s="9">
        <v>171</v>
      </c>
      <c r="K1667" s="9">
        <v>177</v>
      </c>
      <c r="L1667" s="9">
        <v>177</v>
      </c>
      <c r="M1667" s="9">
        <v>176</v>
      </c>
      <c r="N1667" s="9">
        <v>182</v>
      </c>
      <c r="O1667" s="9">
        <v>181</v>
      </c>
      <c r="P1667" s="9">
        <v>181</v>
      </c>
      <c r="Q1667" s="9">
        <v>182</v>
      </c>
      <c r="R1667" s="9">
        <v>179</v>
      </c>
      <c r="S1667" s="9">
        <v>186</v>
      </c>
      <c r="T1667" s="9">
        <v>189</v>
      </c>
      <c r="U1667" s="9">
        <v>189</v>
      </c>
      <c r="V1667" s="9">
        <v>187</v>
      </c>
      <c r="W1667" s="9">
        <v>191</v>
      </c>
      <c r="X1667" s="9">
        <v>191</v>
      </c>
      <c r="Y1667" s="9">
        <v>198</v>
      </c>
      <c r="Z1667" s="9">
        <v>194</v>
      </c>
      <c r="AA1667" s="9">
        <v>201</v>
      </c>
      <c r="AB1667" s="9">
        <v>201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</row>
    <row r="1668" spans="1:47" ht="14.4">
      <c r="A1668" s="3">
        <f>LOOKUP(D1668,'AMFI DATA_2023H2'!F:L,'AMFI DATA_2023H2'!L:L)</f>
        <v>2186</v>
      </c>
      <c r="B1668" s="4" t="s">
        <v>5003</v>
      </c>
      <c r="C1668" s="4" t="s">
        <v>5004</v>
      </c>
      <c r="D1668" s="5" t="s">
        <v>5005</v>
      </c>
      <c r="E1668" s="5">
        <v>103.8</v>
      </c>
      <c r="F1668" s="6">
        <f>LOOKUP(D1668,'AMFI DATA_2023H2'!F:J,'AMFI DATA_2023H2'!J:J)</f>
        <v>136.1078</v>
      </c>
      <c r="G1668" s="7">
        <f t="shared" si="6"/>
        <v>-1</v>
      </c>
      <c r="H1668" s="9"/>
      <c r="I1668" s="9">
        <v>178</v>
      </c>
      <c r="J1668" s="9">
        <v>166</v>
      </c>
      <c r="K1668" s="9">
        <v>163</v>
      </c>
      <c r="L1668" s="9">
        <v>167</v>
      </c>
      <c r="M1668" s="9">
        <v>171</v>
      </c>
      <c r="N1668" s="9">
        <v>171</v>
      </c>
      <c r="O1668" s="9">
        <v>172</v>
      </c>
      <c r="P1668" s="9">
        <v>172</v>
      </c>
      <c r="Q1668" s="9">
        <v>169</v>
      </c>
      <c r="R1668" s="9">
        <v>173</v>
      </c>
      <c r="S1668" s="9">
        <v>169</v>
      </c>
      <c r="T1668" s="9">
        <v>173</v>
      </c>
      <c r="U1668" s="9">
        <v>163</v>
      </c>
      <c r="V1668" s="9">
        <v>163</v>
      </c>
      <c r="W1668" s="9">
        <v>168</v>
      </c>
      <c r="X1668" s="9">
        <v>167</v>
      </c>
      <c r="Y1668" s="9">
        <v>160</v>
      </c>
      <c r="Z1668" s="9">
        <v>156</v>
      </c>
      <c r="AA1668" s="9">
        <v>155</v>
      </c>
      <c r="AB1668" s="9">
        <v>158</v>
      </c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</row>
    <row r="1669" spans="1:47" ht="14.4">
      <c r="A1669" s="3">
        <f>LOOKUP(D1669,'AMFI DATA_2023H2'!F:L,'AMFI DATA_2023H2'!L:L)</f>
        <v>2194</v>
      </c>
      <c r="B1669" s="4" t="s">
        <v>5006</v>
      </c>
      <c r="C1669" s="4" t="s">
        <v>5007</v>
      </c>
      <c r="D1669" s="5" t="s">
        <v>5008</v>
      </c>
      <c r="E1669" s="5">
        <v>73.989999999999995</v>
      </c>
      <c r="F1669" s="6">
        <f>LOOKUP(D1669,'AMFI DATA_2023H2'!F:J,'AMFI DATA_2023H2'!J:J)</f>
        <v>134.21600000000001</v>
      </c>
      <c r="G1669" s="7">
        <f t="shared" si="6"/>
        <v>-1</v>
      </c>
      <c r="H1669" s="9"/>
      <c r="I1669" s="9">
        <v>167</v>
      </c>
      <c r="J1669" s="9">
        <v>163</v>
      </c>
      <c r="K1669" s="9">
        <v>160</v>
      </c>
      <c r="L1669" s="9">
        <v>161</v>
      </c>
      <c r="M1669" s="9">
        <v>166</v>
      </c>
      <c r="N1669" s="9">
        <v>165</v>
      </c>
      <c r="O1669" s="9">
        <v>162</v>
      </c>
      <c r="P1669" s="9">
        <v>158</v>
      </c>
      <c r="Q1669" s="9">
        <v>167</v>
      </c>
      <c r="R1669" s="9">
        <v>173</v>
      </c>
      <c r="S1669" s="9">
        <v>171</v>
      </c>
      <c r="T1669" s="9">
        <v>163</v>
      </c>
      <c r="U1669" s="9">
        <v>155</v>
      </c>
      <c r="V1669" s="9">
        <v>158</v>
      </c>
      <c r="W1669" s="9">
        <v>154</v>
      </c>
      <c r="X1669" s="9">
        <v>152</v>
      </c>
      <c r="Y1669" s="9">
        <v>153</v>
      </c>
      <c r="Z1669" s="9">
        <v>161</v>
      </c>
      <c r="AA1669" s="9">
        <v>160</v>
      </c>
      <c r="AB1669" s="9">
        <v>158</v>
      </c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</row>
    <row r="1670" spans="1:47" ht="14.4">
      <c r="A1670" s="3">
        <f>LOOKUP(D1670,'AMFI DATA_2023H2'!F:L,'AMFI DATA_2023H2'!L:L)</f>
        <v>2195</v>
      </c>
      <c r="B1670" s="4" t="s">
        <v>5009</v>
      </c>
      <c r="C1670" s="4" t="s">
        <v>5010</v>
      </c>
      <c r="D1670" s="5" t="s">
        <v>5011</v>
      </c>
      <c r="E1670" s="5">
        <v>98.91</v>
      </c>
      <c r="F1670" s="6">
        <f>LOOKUP(D1670,'AMFI DATA_2023H2'!F:J,'AMFI DATA_2023H2'!J:J)</f>
        <v>134.18969999999999</v>
      </c>
      <c r="G1670" s="7">
        <f t="shared" si="6"/>
        <v>-1</v>
      </c>
      <c r="H1670" s="9"/>
      <c r="I1670" s="9">
        <v>156</v>
      </c>
      <c r="J1670" s="9">
        <v>146</v>
      </c>
      <c r="K1670" s="9">
        <v>144</v>
      </c>
      <c r="L1670" s="9">
        <v>147</v>
      </c>
      <c r="M1670" s="9">
        <v>149</v>
      </c>
      <c r="N1670" s="9">
        <v>151</v>
      </c>
      <c r="O1670" s="9">
        <v>152</v>
      </c>
      <c r="P1670" s="9">
        <v>152</v>
      </c>
      <c r="Q1670" s="9">
        <v>151</v>
      </c>
      <c r="R1670" s="9">
        <v>153</v>
      </c>
      <c r="S1670" s="9">
        <v>151</v>
      </c>
      <c r="T1670" s="9">
        <v>149</v>
      </c>
      <c r="U1670" s="9">
        <v>150</v>
      </c>
      <c r="V1670" s="9">
        <v>148</v>
      </c>
      <c r="W1670" s="9">
        <v>146</v>
      </c>
      <c r="X1670" s="9">
        <v>146</v>
      </c>
      <c r="Y1670" s="9">
        <v>145</v>
      </c>
      <c r="Z1670" s="9">
        <v>147</v>
      </c>
      <c r="AA1670" s="9">
        <v>148</v>
      </c>
      <c r="AB1670" s="9">
        <v>146</v>
      </c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</row>
    <row r="1671" spans="1:47" ht="14.4">
      <c r="A1671" s="3">
        <f>LOOKUP(D1671,'AMFI DATA_2023H2'!F:L,'AMFI DATA_2023H2'!L:L)</f>
        <v>2197</v>
      </c>
      <c r="B1671" s="4" t="s">
        <v>5012</v>
      </c>
      <c r="C1671" s="4" t="s">
        <v>5013</v>
      </c>
      <c r="D1671" s="5" t="s">
        <v>5014</v>
      </c>
      <c r="E1671" s="5">
        <v>114.88</v>
      </c>
      <c r="F1671" s="6">
        <f>LOOKUP(D1671,'AMFI DATA_2023H2'!F:J,'AMFI DATA_2023H2'!J:J)</f>
        <v>133.06864999999999</v>
      </c>
      <c r="G1671" s="7">
        <f t="shared" si="6"/>
        <v>-1</v>
      </c>
      <c r="H1671" s="9"/>
      <c r="I1671" s="9">
        <v>166</v>
      </c>
      <c r="J1671" s="9">
        <v>164</v>
      </c>
      <c r="K1671" s="9">
        <v>167</v>
      </c>
      <c r="L1671" s="9">
        <v>171</v>
      </c>
      <c r="M1671" s="9">
        <v>176</v>
      </c>
      <c r="N1671" s="9">
        <v>175</v>
      </c>
      <c r="O1671" s="9">
        <v>184</v>
      </c>
      <c r="P1671" s="9">
        <v>193</v>
      </c>
      <c r="Q1671" s="9">
        <v>161</v>
      </c>
      <c r="R1671" s="9">
        <v>173</v>
      </c>
      <c r="S1671" s="9">
        <v>177</v>
      </c>
      <c r="T1671" s="9">
        <v>180</v>
      </c>
      <c r="U1671" s="9">
        <v>187</v>
      </c>
      <c r="V1671" s="9">
        <v>164</v>
      </c>
      <c r="W1671" s="9">
        <v>177</v>
      </c>
      <c r="X1671" s="9">
        <v>145</v>
      </c>
      <c r="Y1671" s="9">
        <v>139</v>
      </c>
      <c r="Z1671" s="9">
        <v>136</v>
      </c>
      <c r="AA1671" s="9">
        <v>132</v>
      </c>
      <c r="AB1671" s="9">
        <v>128</v>
      </c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</row>
    <row r="1672" spans="1:47" ht="14.4">
      <c r="A1672" s="3">
        <f>LOOKUP(D1672,'AMFI DATA_2023H2'!F:L,'AMFI DATA_2023H2'!L:L)</f>
        <v>2199</v>
      </c>
      <c r="B1672" s="4" t="s">
        <v>5015</v>
      </c>
      <c r="C1672" s="4" t="s">
        <v>5016</v>
      </c>
      <c r="D1672" s="5" t="s">
        <v>5017</v>
      </c>
      <c r="E1672" s="5">
        <v>96.72</v>
      </c>
      <c r="F1672" s="6">
        <f>LOOKUP(D1672,'AMFI DATA_2023H2'!F:J,'AMFI DATA_2023H2'!J:J)</f>
        <v>132.27465000000001</v>
      </c>
      <c r="G1672" s="7">
        <f t="shared" si="6"/>
        <v>-1</v>
      </c>
      <c r="H1672" s="9"/>
      <c r="I1672" s="9">
        <v>170</v>
      </c>
      <c r="J1672" s="9">
        <v>161</v>
      </c>
      <c r="K1672" s="9">
        <v>156</v>
      </c>
      <c r="L1672" s="9">
        <v>155</v>
      </c>
      <c r="M1672" s="9">
        <v>152</v>
      </c>
      <c r="N1672" s="9">
        <v>148</v>
      </c>
      <c r="O1672" s="9">
        <v>149</v>
      </c>
      <c r="P1672" s="9">
        <v>146</v>
      </c>
      <c r="Q1672" s="9">
        <v>148</v>
      </c>
      <c r="R1672" s="9">
        <v>151</v>
      </c>
      <c r="S1672" s="9">
        <v>149</v>
      </c>
      <c r="T1672" s="9">
        <v>149</v>
      </c>
      <c r="U1672" s="9">
        <v>149</v>
      </c>
      <c r="V1672" s="9">
        <v>144</v>
      </c>
      <c r="W1672" s="9">
        <v>137</v>
      </c>
      <c r="X1672" s="9">
        <v>132</v>
      </c>
      <c r="Y1672" s="9">
        <v>134</v>
      </c>
      <c r="Z1672" s="9">
        <v>135</v>
      </c>
      <c r="AA1672" s="9">
        <v>135</v>
      </c>
      <c r="AB1672" s="9">
        <v>132</v>
      </c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</row>
    <row r="1673" spans="1:47" ht="14.4">
      <c r="A1673" s="3">
        <f>LOOKUP(D1673,'AMFI DATA_2023H2'!F:L,'AMFI DATA_2023H2'!L:L)</f>
        <v>2201</v>
      </c>
      <c r="B1673" s="4" t="s">
        <v>5018</v>
      </c>
      <c r="C1673" s="4" t="s">
        <v>5019</v>
      </c>
      <c r="D1673" s="5" t="s">
        <v>5020</v>
      </c>
      <c r="E1673" s="5">
        <v>167.37</v>
      </c>
      <c r="F1673" s="6">
        <f>LOOKUP(D1673,'AMFI DATA_2023H2'!F:J,'AMFI DATA_2023H2'!J:J)</f>
        <v>131.74885</v>
      </c>
      <c r="G1673" s="7">
        <f t="shared" si="6"/>
        <v>-1</v>
      </c>
      <c r="H1673" s="9"/>
      <c r="I1673" s="9">
        <v>195</v>
      </c>
      <c r="J1673" s="9">
        <v>190</v>
      </c>
      <c r="K1673" s="9">
        <v>193</v>
      </c>
      <c r="L1673" s="9">
        <v>196</v>
      </c>
      <c r="M1673" s="9">
        <v>207</v>
      </c>
      <c r="N1673" s="9">
        <v>187</v>
      </c>
      <c r="O1673" s="9">
        <v>164</v>
      </c>
      <c r="P1673" s="9">
        <v>169</v>
      </c>
      <c r="Q1673" s="9">
        <v>169</v>
      </c>
      <c r="R1673" s="9">
        <v>171</v>
      </c>
      <c r="S1673" s="9">
        <v>176</v>
      </c>
      <c r="T1673" s="9">
        <v>172</v>
      </c>
      <c r="U1673" s="9">
        <v>171</v>
      </c>
      <c r="V1673" s="9">
        <v>171</v>
      </c>
      <c r="W1673" s="9">
        <v>161</v>
      </c>
      <c r="X1673" s="9">
        <v>169</v>
      </c>
      <c r="Y1673" s="9">
        <v>166</v>
      </c>
      <c r="Z1673" s="9">
        <v>175</v>
      </c>
      <c r="AA1673" s="9">
        <v>146</v>
      </c>
      <c r="AB1673" s="9">
        <v>147</v>
      </c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</row>
    <row r="1674" spans="1:47" ht="14.4">
      <c r="A1674" s="3">
        <f>LOOKUP(D1674,'AMFI DATA_2023H2'!F:L,'AMFI DATA_2023H2'!L:L)</f>
        <v>2203</v>
      </c>
      <c r="B1674" s="4" t="s">
        <v>5021</v>
      </c>
      <c r="C1674" s="4" t="s">
        <v>5022</v>
      </c>
      <c r="D1674" s="5" t="s">
        <v>5023</v>
      </c>
      <c r="E1674" s="5">
        <v>117.6</v>
      </c>
      <c r="F1674" s="6">
        <f>LOOKUP(D1674,'AMFI DATA_2023H2'!F:J,'AMFI DATA_2023H2'!J:J)</f>
        <v>131.10685000000001</v>
      </c>
      <c r="G1674" s="7">
        <f t="shared" si="6"/>
        <v>-1</v>
      </c>
      <c r="H1674" s="9"/>
      <c r="I1674" s="9">
        <v>178</v>
      </c>
      <c r="J1674" s="9">
        <v>182</v>
      </c>
      <c r="K1674" s="9">
        <v>185</v>
      </c>
      <c r="L1674" s="9">
        <v>189</v>
      </c>
      <c r="M1674" s="9">
        <v>192</v>
      </c>
      <c r="N1674" s="9">
        <v>196</v>
      </c>
      <c r="O1674" s="9">
        <v>200</v>
      </c>
      <c r="P1674" s="9">
        <v>204</v>
      </c>
      <c r="Q1674" s="9">
        <v>208</v>
      </c>
      <c r="R1674" s="9">
        <v>204</v>
      </c>
      <c r="S1674" s="9">
        <v>194</v>
      </c>
      <c r="T1674" s="9">
        <v>184</v>
      </c>
      <c r="U1674" s="9">
        <v>177</v>
      </c>
      <c r="V1674" s="9">
        <v>168</v>
      </c>
      <c r="W1674" s="9">
        <v>165</v>
      </c>
      <c r="X1674" s="9">
        <v>158</v>
      </c>
      <c r="Y1674" s="9">
        <v>166</v>
      </c>
      <c r="Z1674" s="9">
        <v>164</v>
      </c>
      <c r="AA1674" s="9">
        <v>164</v>
      </c>
      <c r="AB1674" s="9">
        <v>166</v>
      </c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</row>
    <row r="1675" spans="1:47" ht="14.4">
      <c r="A1675" s="3">
        <f>LOOKUP(D1675,'AMFI DATA_2023H2'!F:L,'AMFI DATA_2023H2'!L:L)</f>
        <v>2204</v>
      </c>
      <c r="B1675" s="4" t="s">
        <v>5024</v>
      </c>
      <c r="C1675" s="4" t="s">
        <v>5025</v>
      </c>
      <c r="D1675" s="5" t="s">
        <v>5026</v>
      </c>
      <c r="E1675" s="5">
        <v>115.72</v>
      </c>
      <c r="F1675" s="6">
        <f>LOOKUP(D1675,'AMFI DATA_2023H2'!F:J,'AMFI DATA_2023H2'!J:J)</f>
        <v>131.01535000000001</v>
      </c>
      <c r="G1675" s="7">
        <f t="shared" si="6"/>
        <v>-1</v>
      </c>
      <c r="H1675" s="9"/>
      <c r="I1675" s="9">
        <v>164</v>
      </c>
      <c r="J1675" s="9">
        <v>166</v>
      </c>
      <c r="K1675" s="9">
        <v>168</v>
      </c>
      <c r="L1675" s="9">
        <v>162</v>
      </c>
      <c r="M1675" s="9">
        <v>171</v>
      </c>
      <c r="N1675" s="9">
        <v>178</v>
      </c>
      <c r="O1675" s="9">
        <v>175</v>
      </c>
      <c r="P1675" s="9">
        <v>178</v>
      </c>
      <c r="Q1675" s="9">
        <v>187</v>
      </c>
      <c r="R1675" s="9">
        <v>197</v>
      </c>
      <c r="S1675" s="9">
        <v>179</v>
      </c>
      <c r="T1675" s="9">
        <v>165</v>
      </c>
      <c r="U1675" s="9">
        <v>156</v>
      </c>
      <c r="V1675" s="9">
        <v>157</v>
      </c>
      <c r="W1675" s="9">
        <v>143</v>
      </c>
      <c r="X1675" s="9">
        <v>150</v>
      </c>
      <c r="Y1675" s="9">
        <v>153</v>
      </c>
      <c r="Z1675" s="9">
        <v>165</v>
      </c>
      <c r="AA1675" s="9">
        <v>150</v>
      </c>
      <c r="AB1675" s="9">
        <v>139</v>
      </c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</row>
    <row r="1676" spans="1:47" ht="14.4">
      <c r="A1676" s="3">
        <f>LOOKUP(D1676,'AMFI DATA_2023H2'!F:L,'AMFI DATA_2023H2'!L:L)</f>
        <v>2206</v>
      </c>
      <c r="B1676" s="4" t="s">
        <v>5027</v>
      </c>
      <c r="C1676" s="4" t="s">
        <v>5028</v>
      </c>
      <c r="D1676" s="5" t="s">
        <v>5029</v>
      </c>
      <c r="E1676" s="5">
        <v>95.99</v>
      </c>
      <c r="F1676" s="6">
        <f>LOOKUP(D1676,'AMFI DATA_2023H2'!F:J,'AMFI DATA_2023H2'!J:J)</f>
        <v>130.63589999999999</v>
      </c>
      <c r="G1676" s="7">
        <f t="shared" si="6"/>
        <v>-1</v>
      </c>
      <c r="H1676" s="9"/>
      <c r="I1676" s="9">
        <v>140</v>
      </c>
      <c r="J1676" s="9">
        <v>135</v>
      </c>
      <c r="K1676" s="9">
        <v>135</v>
      </c>
      <c r="L1676" s="9">
        <v>140</v>
      </c>
      <c r="M1676" s="9">
        <v>143</v>
      </c>
      <c r="N1676" s="9">
        <v>136</v>
      </c>
      <c r="O1676" s="9">
        <v>139</v>
      </c>
      <c r="P1676" s="9">
        <v>142</v>
      </c>
      <c r="Q1676" s="9">
        <v>140</v>
      </c>
      <c r="R1676" s="9">
        <v>145</v>
      </c>
      <c r="S1676" s="9">
        <v>146</v>
      </c>
      <c r="T1676" s="9">
        <v>147</v>
      </c>
      <c r="U1676" s="9">
        <v>146</v>
      </c>
      <c r="V1676" s="9">
        <v>147</v>
      </c>
      <c r="W1676" s="9">
        <v>149</v>
      </c>
      <c r="X1676" s="9">
        <v>142</v>
      </c>
      <c r="Y1676" s="9">
        <v>148</v>
      </c>
      <c r="Z1676" s="9">
        <v>146</v>
      </c>
      <c r="AA1676" s="9">
        <v>150</v>
      </c>
      <c r="AB1676" s="9">
        <v>147</v>
      </c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</row>
    <row r="1677" spans="1:47" ht="14.4">
      <c r="A1677" s="3">
        <f>LOOKUP(D1677,'AMFI DATA_2023H2'!F:L,'AMFI DATA_2023H2'!L:L)</f>
        <v>2208</v>
      </c>
      <c r="B1677" s="4" t="s">
        <v>5030</v>
      </c>
      <c r="C1677" s="4" t="s">
        <v>5031</v>
      </c>
      <c r="D1677" s="5" t="s">
        <v>5032</v>
      </c>
      <c r="E1677" s="5">
        <v>115.78</v>
      </c>
      <c r="F1677" s="6">
        <f>LOOKUP(D1677,'AMFI DATA_2023H2'!F:J,'AMFI DATA_2023H2'!J:J)</f>
        <v>130.45095000000001</v>
      </c>
      <c r="G1677" s="7">
        <f t="shared" si="6"/>
        <v>-1</v>
      </c>
      <c r="H1677" s="9"/>
      <c r="I1677" s="9">
        <v>136</v>
      </c>
      <c r="J1677" s="9">
        <v>134</v>
      </c>
      <c r="K1677" s="9">
        <v>136</v>
      </c>
      <c r="L1677" s="9">
        <v>137</v>
      </c>
      <c r="M1677" s="9">
        <v>140</v>
      </c>
      <c r="N1677" s="9">
        <v>142</v>
      </c>
      <c r="O1677" s="9">
        <v>141</v>
      </c>
      <c r="P1677" s="9">
        <v>141</v>
      </c>
      <c r="Q1677" s="9">
        <v>139</v>
      </c>
      <c r="R1677" s="9">
        <v>139</v>
      </c>
      <c r="S1677" s="9">
        <v>138</v>
      </c>
      <c r="T1677" s="9">
        <v>140</v>
      </c>
      <c r="U1677" s="9">
        <v>137</v>
      </c>
      <c r="V1677" s="9">
        <v>135</v>
      </c>
      <c r="W1677" s="9">
        <v>137</v>
      </c>
      <c r="X1677" s="9">
        <v>140</v>
      </c>
      <c r="Y1677" s="9">
        <v>143</v>
      </c>
      <c r="Z1677" s="9">
        <v>145</v>
      </c>
      <c r="AA1677" s="9">
        <v>150</v>
      </c>
      <c r="AB1677" s="9">
        <v>152</v>
      </c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</row>
    <row r="1678" spans="1:47" ht="14.4">
      <c r="A1678" s="3">
        <f>LOOKUP(D1678,'AMFI DATA_2023H2'!F:L,'AMFI DATA_2023H2'!L:L)</f>
        <v>2209</v>
      </c>
      <c r="B1678" s="4" t="s">
        <v>5033</v>
      </c>
      <c r="C1678" s="4" t="s">
        <v>5034</v>
      </c>
      <c r="D1678" s="5" t="s">
        <v>5035</v>
      </c>
      <c r="E1678" s="5">
        <v>149.72</v>
      </c>
      <c r="F1678" s="6">
        <f>LOOKUP(D1678,'AMFI DATA_2023H2'!F:J,'AMFI DATA_2023H2'!J:J)</f>
        <v>130.15260000000001</v>
      </c>
      <c r="G1678" s="7">
        <f t="shared" si="6"/>
        <v>-1</v>
      </c>
      <c r="H1678" s="9"/>
      <c r="I1678" s="9">
        <v>184</v>
      </c>
      <c r="J1678" s="9">
        <v>182</v>
      </c>
      <c r="K1678" s="9">
        <v>191</v>
      </c>
      <c r="L1678" s="9">
        <v>200</v>
      </c>
      <c r="M1678" s="9">
        <v>211</v>
      </c>
      <c r="N1678" s="9">
        <v>202</v>
      </c>
      <c r="O1678" s="9">
        <v>192</v>
      </c>
      <c r="P1678" s="9">
        <v>183</v>
      </c>
      <c r="Q1678" s="9">
        <v>174</v>
      </c>
      <c r="R1678" s="9">
        <v>166</v>
      </c>
      <c r="S1678" s="9">
        <v>158</v>
      </c>
      <c r="T1678" s="9">
        <v>151</v>
      </c>
      <c r="U1678" s="9">
        <v>144</v>
      </c>
      <c r="V1678" s="9">
        <v>147</v>
      </c>
      <c r="W1678" s="9">
        <v>146</v>
      </c>
      <c r="X1678" s="9">
        <v>141</v>
      </c>
      <c r="Y1678" s="9">
        <v>143</v>
      </c>
      <c r="Z1678" s="9">
        <v>150</v>
      </c>
      <c r="AA1678" s="9">
        <v>153</v>
      </c>
      <c r="AB1678" s="9">
        <v>156</v>
      </c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</row>
    <row r="1679" spans="1:47" ht="14.4">
      <c r="A1679" s="3">
        <f>LOOKUP(D1679,'AMFI DATA_2023H2'!F:L,'AMFI DATA_2023H2'!L:L)</f>
        <v>2211</v>
      </c>
      <c r="B1679" s="4" t="s">
        <v>5036</v>
      </c>
      <c r="C1679" s="4" t="s">
        <v>5037</v>
      </c>
      <c r="D1679" s="5" t="s">
        <v>5038</v>
      </c>
      <c r="E1679" s="5">
        <v>108.9</v>
      </c>
      <c r="F1679" s="6">
        <f>LOOKUP(D1679,'AMFI DATA_2023H2'!F:J,'AMFI DATA_2023H2'!J:J)</f>
        <v>129.75495000000001</v>
      </c>
      <c r="G1679" s="7">
        <f t="shared" si="6"/>
        <v>-1</v>
      </c>
      <c r="H1679" s="9"/>
      <c r="I1679" s="9">
        <v>139</v>
      </c>
      <c r="J1679" s="9">
        <v>138</v>
      </c>
      <c r="K1679" s="9">
        <v>136</v>
      </c>
      <c r="L1679" s="9">
        <v>138</v>
      </c>
      <c r="M1679" s="9">
        <v>140</v>
      </c>
      <c r="N1679" s="9">
        <v>139</v>
      </c>
      <c r="O1679" s="9">
        <v>141</v>
      </c>
      <c r="P1679" s="9">
        <v>144</v>
      </c>
      <c r="Q1679" s="9">
        <v>146</v>
      </c>
      <c r="R1679" s="9">
        <v>148</v>
      </c>
      <c r="S1679" s="9">
        <v>147</v>
      </c>
      <c r="T1679" s="9">
        <v>150</v>
      </c>
      <c r="U1679" s="9">
        <v>149</v>
      </c>
      <c r="V1679" s="9">
        <v>151</v>
      </c>
      <c r="W1679" s="9">
        <v>153</v>
      </c>
      <c r="X1679" s="9">
        <v>153</v>
      </c>
      <c r="Y1679" s="9">
        <v>150</v>
      </c>
      <c r="Z1679" s="9">
        <v>154</v>
      </c>
      <c r="AA1679" s="9">
        <v>155</v>
      </c>
      <c r="AB1679" s="9">
        <v>155</v>
      </c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</row>
    <row r="1680" spans="1:47" ht="14.4">
      <c r="A1680" s="3">
        <f>LOOKUP(D1680,'AMFI DATA_2023H2'!F:L,'AMFI DATA_2023H2'!L:L)</f>
        <v>2213</v>
      </c>
      <c r="B1680" s="4" t="s">
        <v>5039</v>
      </c>
      <c r="C1680" s="4" t="s">
        <v>5040</v>
      </c>
      <c r="D1680" s="5" t="s">
        <v>5041</v>
      </c>
      <c r="E1680" s="5">
        <v>140.36000000000001</v>
      </c>
      <c r="F1680" s="6">
        <f>LOOKUP(D1680,'AMFI DATA_2023H2'!F:J,'AMFI DATA_2023H2'!J:J)</f>
        <v>129.51229999999998</v>
      </c>
      <c r="G1680" s="7">
        <f t="shared" si="6"/>
        <v>-1</v>
      </c>
      <c r="H1680" s="9"/>
      <c r="I1680" s="9">
        <v>195</v>
      </c>
      <c r="J1680" s="9">
        <v>191</v>
      </c>
      <c r="K1680" s="9">
        <v>189</v>
      </c>
      <c r="L1680" s="9">
        <v>190</v>
      </c>
      <c r="M1680" s="9">
        <v>194</v>
      </c>
      <c r="N1680" s="9">
        <v>198</v>
      </c>
      <c r="O1680" s="9">
        <v>202</v>
      </c>
      <c r="P1680" s="9">
        <v>206</v>
      </c>
      <c r="Q1680" s="9">
        <v>209</v>
      </c>
      <c r="R1680" s="9">
        <v>204</v>
      </c>
      <c r="S1680" s="9">
        <v>209</v>
      </c>
      <c r="T1680" s="9">
        <v>213</v>
      </c>
      <c r="U1680" s="9">
        <v>217</v>
      </c>
      <c r="V1680" s="9">
        <v>207</v>
      </c>
      <c r="W1680" s="9">
        <v>199</v>
      </c>
      <c r="X1680" s="9">
        <v>190</v>
      </c>
      <c r="Y1680" s="9">
        <v>179</v>
      </c>
      <c r="Z1680" s="9">
        <v>172</v>
      </c>
      <c r="AA1680" s="9">
        <v>160</v>
      </c>
      <c r="AB1680" s="9">
        <v>155</v>
      </c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</row>
    <row r="1681" spans="1:47" ht="14.4">
      <c r="A1681" s="3">
        <f>LOOKUP(D1681,'AMFI DATA_2023H2'!F:L,'AMFI DATA_2023H2'!L:L)</f>
        <v>2216</v>
      </c>
      <c r="B1681" s="4" t="s">
        <v>5042</v>
      </c>
      <c r="C1681" s="4" t="s">
        <v>5043</v>
      </c>
      <c r="D1681" s="5" t="s">
        <v>5044</v>
      </c>
      <c r="E1681" s="5">
        <v>119.92</v>
      </c>
      <c r="F1681" s="6">
        <f>LOOKUP(D1681,'AMFI DATA_2023H2'!F:J,'AMFI DATA_2023H2'!J:J)</f>
        <v>128.10905</v>
      </c>
      <c r="G1681" s="7">
        <f t="shared" si="6"/>
        <v>-1</v>
      </c>
      <c r="H1681" s="9"/>
      <c r="I1681" s="9">
        <v>166</v>
      </c>
      <c r="J1681" s="9">
        <v>166</v>
      </c>
      <c r="K1681" s="9">
        <v>166</v>
      </c>
      <c r="L1681" s="9">
        <v>166</v>
      </c>
      <c r="M1681" s="9">
        <v>166</v>
      </c>
      <c r="N1681" s="9">
        <v>174</v>
      </c>
      <c r="O1681" s="9">
        <v>174</v>
      </c>
      <c r="P1681" s="9">
        <v>174</v>
      </c>
      <c r="Q1681" s="9">
        <v>174</v>
      </c>
      <c r="R1681" s="9">
        <v>175</v>
      </c>
      <c r="S1681" s="9">
        <v>183</v>
      </c>
      <c r="T1681" s="9">
        <v>183</v>
      </c>
      <c r="U1681" s="9">
        <v>183</v>
      </c>
      <c r="V1681" s="9">
        <v>183</v>
      </c>
      <c r="W1681" s="9">
        <v>184</v>
      </c>
      <c r="X1681" s="9">
        <v>192</v>
      </c>
      <c r="Y1681" s="9">
        <v>192</v>
      </c>
      <c r="Z1681" s="9">
        <v>192</v>
      </c>
      <c r="AA1681" s="9">
        <v>191</v>
      </c>
      <c r="AB1681" s="9">
        <v>183</v>
      </c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</row>
    <row r="1682" spans="1:47" ht="14.4">
      <c r="A1682" s="3">
        <f>LOOKUP(D1682,'AMFI DATA_2023H2'!F:L,'AMFI DATA_2023H2'!L:L)</f>
        <v>2222</v>
      </c>
      <c r="B1682" s="4" t="s">
        <v>5045</v>
      </c>
      <c r="C1682" s="4" t="s">
        <v>5046</v>
      </c>
      <c r="D1682" s="5" t="s">
        <v>5047</v>
      </c>
      <c r="E1682" s="5">
        <v>112.2</v>
      </c>
      <c r="F1682" s="6">
        <f>LOOKUP(D1682,'AMFI DATA_2023H2'!F:J,'AMFI DATA_2023H2'!J:J)</f>
        <v>126.66679999999999</v>
      </c>
      <c r="G1682" s="7">
        <f t="shared" si="6"/>
        <v>-1</v>
      </c>
      <c r="H1682" s="9"/>
      <c r="I1682" s="9">
        <v>156</v>
      </c>
      <c r="J1682" s="9">
        <v>156</v>
      </c>
      <c r="K1682" s="9">
        <v>156</v>
      </c>
      <c r="L1682" s="9">
        <v>151</v>
      </c>
      <c r="M1682" s="9">
        <v>158</v>
      </c>
      <c r="N1682" s="9">
        <v>161</v>
      </c>
      <c r="O1682" s="9">
        <v>151</v>
      </c>
      <c r="P1682" s="9">
        <v>153</v>
      </c>
      <c r="Q1682" s="9">
        <v>153</v>
      </c>
      <c r="R1682" s="9">
        <v>157</v>
      </c>
      <c r="S1682" s="9">
        <v>147</v>
      </c>
      <c r="T1682" s="9">
        <v>147</v>
      </c>
      <c r="U1682" s="9">
        <v>148</v>
      </c>
      <c r="V1682" s="9">
        <v>147</v>
      </c>
      <c r="W1682" s="9">
        <v>148</v>
      </c>
      <c r="X1682" s="9">
        <v>147</v>
      </c>
      <c r="Y1682" s="9">
        <v>148</v>
      </c>
      <c r="Z1682" s="9">
        <v>150</v>
      </c>
      <c r="AA1682" s="9">
        <v>150</v>
      </c>
      <c r="AB1682" s="9">
        <v>152</v>
      </c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</row>
    <row r="1683" spans="1:47" ht="14.4">
      <c r="A1683" s="3">
        <f>LOOKUP(D1683,'AMFI DATA_2023H2'!F:L,'AMFI DATA_2023H2'!L:L)</f>
        <v>2224</v>
      </c>
      <c r="B1683" s="4" t="s">
        <v>5048</v>
      </c>
      <c r="C1683" s="4" t="s">
        <v>5049</v>
      </c>
      <c r="D1683" s="5" t="s">
        <v>5050</v>
      </c>
      <c r="E1683" s="5">
        <v>98.84</v>
      </c>
      <c r="F1683" s="6">
        <f>LOOKUP(D1683,'AMFI DATA_2023H2'!F:J,'AMFI DATA_2023H2'!J:J)</f>
        <v>126.39994999999999</v>
      </c>
      <c r="G1683" s="7">
        <f t="shared" si="6"/>
        <v>-1</v>
      </c>
      <c r="H1683" s="9"/>
      <c r="I1683" s="9">
        <v>187</v>
      </c>
      <c r="J1683" s="9">
        <v>178</v>
      </c>
      <c r="K1683" s="9">
        <v>170</v>
      </c>
      <c r="L1683" s="9">
        <v>172</v>
      </c>
      <c r="M1683" s="9">
        <v>181</v>
      </c>
      <c r="N1683" s="9">
        <v>182</v>
      </c>
      <c r="O1683" s="9">
        <v>184</v>
      </c>
      <c r="P1683" s="9">
        <v>181</v>
      </c>
      <c r="Q1683" s="9">
        <v>177</v>
      </c>
      <c r="R1683" s="9">
        <v>175</v>
      </c>
      <c r="S1683" s="9">
        <v>168</v>
      </c>
      <c r="T1683" s="9">
        <v>164</v>
      </c>
      <c r="U1683" s="9">
        <v>168</v>
      </c>
      <c r="V1683" s="9">
        <v>169</v>
      </c>
      <c r="W1683" s="9">
        <v>163</v>
      </c>
      <c r="X1683" s="9">
        <v>165</v>
      </c>
      <c r="Y1683" s="9">
        <v>160</v>
      </c>
      <c r="Z1683" s="9">
        <v>161</v>
      </c>
      <c r="AA1683" s="9">
        <v>162</v>
      </c>
      <c r="AB1683" s="9">
        <v>160</v>
      </c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</row>
    <row r="1684" spans="1:47" ht="14.4">
      <c r="A1684" s="3">
        <f>LOOKUP(D1684,'AMFI DATA_2023H2'!F:L,'AMFI DATA_2023H2'!L:L)</f>
        <v>2230</v>
      </c>
      <c r="B1684" s="4" t="s">
        <v>5051</v>
      </c>
      <c r="C1684" s="4" t="s">
        <v>5052</v>
      </c>
      <c r="D1684" s="5" t="s">
        <v>5053</v>
      </c>
      <c r="E1684" s="5">
        <v>94.6</v>
      </c>
      <c r="F1684" s="6">
        <f>LOOKUP(D1684,'AMFI DATA_2023H2'!F:J,'AMFI DATA_2023H2'!J:J)</f>
        <v>124.7367</v>
      </c>
      <c r="G1684" s="7">
        <f t="shared" si="6"/>
        <v>-1</v>
      </c>
      <c r="H1684" s="9"/>
      <c r="I1684" s="9">
        <v>164</v>
      </c>
      <c r="J1684" s="9">
        <v>159</v>
      </c>
      <c r="K1684" s="9">
        <v>161</v>
      </c>
      <c r="L1684" s="9">
        <v>162</v>
      </c>
      <c r="M1684" s="9">
        <v>161</v>
      </c>
      <c r="N1684" s="9">
        <v>161</v>
      </c>
      <c r="O1684" s="9">
        <v>164</v>
      </c>
      <c r="P1684" s="9">
        <v>165</v>
      </c>
      <c r="Q1684" s="9">
        <v>164</v>
      </c>
      <c r="R1684" s="9">
        <v>163</v>
      </c>
      <c r="S1684" s="9">
        <v>155</v>
      </c>
      <c r="T1684" s="9">
        <v>156</v>
      </c>
      <c r="U1684" s="9">
        <v>158</v>
      </c>
      <c r="V1684" s="9">
        <v>152</v>
      </c>
      <c r="W1684" s="9">
        <v>153</v>
      </c>
      <c r="X1684" s="9">
        <v>156</v>
      </c>
      <c r="Y1684" s="9">
        <v>170</v>
      </c>
      <c r="Z1684" s="9">
        <v>143</v>
      </c>
      <c r="AA1684" s="9">
        <v>145</v>
      </c>
      <c r="AB1684" s="9">
        <v>147</v>
      </c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</row>
    <row r="1685" spans="1:47" ht="14.4">
      <c r="A1685" s="3">
        <f>LOOKUP(D1685,'AMFI DATA_2023H2'!F:L,'AMFI DATA_2023H2'!L:L)</f>
        <v>2234</v>
      </c>
      <c r="B1685" s="4" t="s">
        <v>5054</v>
      </c>
      <c r="C1685" s="4" t="s">
        <v>5055</v>
      </c>
      <c r="D1685" s="5" t="s">
        <v>5056</v>
      </c>
      <c r="E1685" s="5">
        <v>167.29</v>
      </c>
      <c r="F1685" s="6">
        <f>LOOKUP(D1685,'AMFI DATA_2023H2'!F:J,'AMFI DATA_2023H2'!J:J)</f>
        <v>124.2028</v>
      </c>
      <c r="G1685" s="7">
        <f t="shared" si="6"/>
        <v>-1</v>
      </c>
      <c r="H1685" s="9"/>
      <c r="I1685" s="9">
        <v>180</v>
      </c>
      <c r="J1685" s="9">
        <v>184</v>
      </c>
      <c r="K1685" s="9">
        <v>187</v>
      </c>
      <c r="L1685" s="9">
        <v>191</v>
      </c>
      <c r="M1685" s="9">
        <v>195</v>
      </c>
      <c r="N1685" s="9">
        <v>199</v>
      </c>
      <c r="O1685" s="9">
        <v>203</v>
      </c>
      <c r="P1685" s="9">
        <v>207</v>
      </c>
      <c r="Q1685" s="9">
        <v>211</v>
      </c>
      <c r="R1685" s="9">
        <v>211</v>
      </c>
      <c r="S1685" s="9">
        <v>212</v>
      </c>
      <c r="T1685" s="9">
        <v>216</v>
      </c>
      <c r="U1685" s="9">
        <v>220</v>
      </c>
      <c r="V1685" s="9">
        <v>216</v>
      </c>
      <c r="W1685" s="9">
        <v>220</v>
      </c>
      <c r="X1685" s="9">
        <v>224</v>
      </c>
      <c r="Y1685" s="9">
        <v>229</v>
      </c>
      <c r="Z1685" s="9">
        <v>233</v>
      </c>
      <c r="AA1685" s="9">
        <v>212</v>
      </c>
      <c r="AB1685" s="9">
        <v>211</v>
      </c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</row>
    <row r="1686" spans="1:47" ht="14.4">
      <c r="A1686" s="3">
        <f>LOOKUP(D1686,'AMFI DATA_2023H2'!F:L,'AMFI DATA_2023H2'!L:L)</f>
        <v>2239</v>
      </c>
      <c r="B1686" s="4" t="s">
        <v>5057</v>
      </c>
      <c r="C1686" s="4" t="s">
        <v>5058</v>
      </c>
      <c r="D1686" s="5" t="s">
        <v>5059</v>
      </c>
      <c r="E1686" s="5">
        <v>94.06</v>
      </c>
      <c r="F1686" s="6">
        <f>LOOKUP(D1686,'AMFI DATA_2023H2'!F:J,'AMFI DATA_2023H2'!J:J)</f>
        <v>123.42375</v>
      </c>
      <c r="G1686" s="7">
        <f t="shared" si="6"/>
        <v>-1</v>
      </c>
      <c r="H1686" s="9"/>
      <c r="I1686" s="9">
        <v>225</v>
      </c>
      <c r="J1686" s="9">
        <v>229</v>
      </c>
      <c r="K1686" s="9">
        <v>220</v>
      </c>
      <c r="L1686" s="9">
        <v>231</v>
      </c>
      <c r="M1686" s="9">
        <v>244</v>
      </c>
      <c r="N1686" s="9">
        <v>256</v>
      </c>
      <c r="O1686" s="9">
        <v>267</v>
      </c>
      <c r="P1686" s="9">
        <v>281</v>
      </c>
      <c r="Q1686" s="9">
        <v>295</v>
      </c>
      <c r="R1686" s="9">
        <v>281</v>
      </c>
      <c r="S1686" s="9">
        <v>268</v>
      </c>
      <c r="T1686" s="9">
        <v>242</v>
      </c>
      <c r="U1686" s="9">
        <v>222</v>
      </c>
      <c r="V1686" s="9">
        <v>202</v>
      </c>
      <c r="W1686" s="9">
        <v>168</v>
      </c>
      <c r="X1686" s="9">
        <v>141</v>
      </c>
      <c r="Y1686" s="9">
        <v>139</v>
      </c>
      <c r="Z1686" s="9">
        <v>142</v>
      </c>
      <c r="AA1686" s="9">
        <v>139</v>
      </c>
      <c r="AB1686" s="9">
        <v>132</v>
      </c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</row>
    <row r="1687" spans="1:47" ht="14.4">
      <c r="A1687" s="3">
        <f>LOOKUP(D1687,'AMFI DATA_2023H2'!F:L,'AMFI DATA_2023H2'!L:L)</f>
        <v>2241</v>
      </c>
      <c r="B1687" s="4" t="s">
        <v>5060</v>
      </c>
      <c r="C1687" s="4" t="s">
        <v>5061</v>
      </c>
      <c r="D1687" s="5" t="s">
        <v>5062</v>
      </c>
      <c r="E1687" s="5">
        <v>110.55</v>
      </c>
      <c r="F1687" s="6">
        <f>LOOKUP(D1687,'AMFI DATA_2023H2'!F:J,'AMFI DATA_2023H2'!J:J)</f>
        <v>123.35675000000001</v>
      </c>
      <c r="G1687" s="7">
        <f t="shared" si="6"/>
        <v>-1</v>
      </c>
      <c r="H1687" s="9"/>
      <c r="I1687" s="9">
        <v>163</v>
      </c>
      <c r="J1687" s="9">
        <v>159</v>
      </c>
      <c r="K1687" s="9">
        <v>155</v>
      </c>
      <c r="L1687" s="9">
        <v>155</v>
      </c>
      <c r="M1687" s="9">
        <v>162</v>
      </c>
      <c r="N1687" s="9">
        <v>165</v>
      </c>
      <c r="O1687" s="9">
        <v>166</v>
      </c>
      <c r="P1687" s="9">
        <v>160</v>
      </c>
      <c r="Q1687" s="9">
        <v>165</v>
      </c>
      <c r="R1687" s="9">
        <v>168</v>
      </c>
      <c r="S1687" s="9">
        <v>165</v>
      </c>
      <c r="T1687" s="9">
        <v>164</v>
      </c>
      <c r="U1687" s="9">
        <v>157</v>
      </c>
      <c r="V1687" s="9">
        <v>148</v>
      </c>
      <c r="W1687" s="9">
        <v>143</v>
      </c>
      <c r="X1687" s="9">
        <v>139</v>
      </c>
      <c r="Y1687" s="9">
        <v>140</v>
      </c>
      <c r="Z1687" s="9">
        <v>142</v>
      </c>
      <c r="AA1687" s="9">
        <v>138</v>
      </c>
      <c r="AB1687" s="9">
        <v>138</v>
      </c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</row>
    <row r="1688" spans="1:47" ht="14.4">
      <c r="A1688" s="3">
        <f>LOOKUP(D1688,'AMFI DATA_2023H2'!F:L,'AMFI DATA_2023H2'!L:L)</f>
        <v>2243</v>
      </c>
      <c r="B1688" s="4" t="s">
        <v>5063</v>
      </c>
      <c r="C1688" s="4" t="s">
        <v>5064</v>
      </c>
      <c r="D1688" s="5" t="s">
        <v>5065</v>
      </c>
      <c r="E1688" s="5">
        <v>106.06</v>
      </c>
      <c r="F1688" s="6">
        <f>LOOKUP(D1688,'AMFI DATA_2023H2'!F:J,'AMFI DATA_2023H2'!J:J)</f>
        <v>122.75635</v>
      </c>
      <c r="G1688" s="7">
        <f t="shared" si="6"/>
        <v>-1</v>
      </c>
      <c r="H1688" s="9"/>
      <c r="I1688" s="9">
        <v>177</v>
      </c>
      <c r="J1688" s="9">
        <v>176</v>
      </c>
      <c r="K1688" s="9">
        <v>179</v>
      </c>
      <c r="L1688" s="9">
        <v>183</v>
      </c>
      <c r="M1688" s="9">
        <v>185</v>
      </c>
      <c r="N1688" s="9">
        <v>178</v>
      </c>
      <c r="O1688" s="9">
        <v>179</v>
      </c>
      <c r="P1688" s="9">
        <v>180</v>
      </c>
      <c r="Q1688" s="9">
        <v>180</v>
      </c>
      <c r="R1688" s="9">
        <v>176</v>
      </c>
      <c r="S1688" s="9">
        <v>182</v>
      </c>
      <c r="T1688" s="9">
        <v>189</v>
      </c>
      <c r="U1688" s="9">
        <v>174</v>
      </c>
      <c r="V1688" s="9">
        <v>146</v>
      </c>
      <c r="W1688" s="9">
        <v>138</v>
      </c>
      <c r="X1688" s="9">
        <v>138</v>
      </c>
      <c r="Y1688" s="9">
        <v>137</v>
      </c>
      <c r="Z1688" s="9">
        <v>138</v>
      </c>
      <c r="AA1688" s="9">
        <v>136</v>
      </c>
      <c r="AB1688" s="9">
        <v>137</v>
      </c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</row>
    <row r="1689" spans="1:47" ht="14.4">
      <c r="A1689" s="3">
        <f>LOOKUP(D1689,'AMFI DATA_2023H2'!F:L,'AMFI DATA_2023H2'!L:L)</f>
        <v>2244</v>
      </c>
      <c r="B1689" s="4" t="s">
        <v>5066</v>
      </c>
      <c r="C1689" s="4" t="s">
        <v>5067</v>
      </c>
      <c r="D1689" s="5" t="s">
        <v>5068</v>
      </c>
      <c r="E1689" s="5">
        <v>107.41</v>
      </c>
      <c r="F1689" s="6">
        <f>LOOKUP(D1689,'AMFI DATA_2023H2'!F:J,'AMFI DATA_2023H2'!J:J)</f>
        <v>122.61845</v>
      </c>
      <c r="G1689" s="7">
        <f t="shared" si="6"/>
        <v>-1</v>
      </c>
      <c r="H1689" s="9"/>
      <c r="I1689" s="9">
        <v>139</v>
      </c>
      <c r="J1689" s="9">
        <v>136</v>
      </c>
      <c r="K1689" s="9">
        <v>137</v>
      </c>
      <c r="L1689" s="9">
        <v>140</v>
      </c>
      <c r="M1689" s="9">
        <v>139</v>
      </c>
      <c r="N1689" s="9">
        <v>134</v>
      </c>
      <c r="O1689" s="9">
        <v>137</v>
      </c>
      <c r="P1689" s="9">
        <v>136</v>
      </c>
      <c r="Q1689" s="9">
        <v>137</v>
      </c>
      <c r="R1689" s="9">
        <v>137</v>
      </c>
      <c r="S1689" s="9">
        <v>140</v>
      </c>
      <c r="T1689" s="9">
        <v>142</v>
      </c>
      <c r="U1689" s="9">
        <v>139</v>
      </c>
      <c r="V1689" s="9">
        <v>138</v>
      </c>
      <c r="W1689" s="9">
        <v>140</v>
      </c>
      <c r="X1689" s="9">
        <v>137</v>
      </c>
      <c r="Y1689" s="9">
        <v>140</v>
      </c>
      <c r="Z1689" s="9">
        <v>137</v>
      </c>
      <c r="AA1689" s="9">
        <v>140</v>
      </c>
      <c r="AB1689" s="9">
        <v>134</v>
      </c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</row>
    <row r="1690" spans="1:47" ht="14.4">
      <c r="A1690" s="3">
        <f>LOOKUP(D1690,'AMFI DATA_2023H2'!F:L,'AMFI DATA_2023H2'!L:L)</f>
        <v>2248</v>
      </c>
      <c r="B1690" s="4" t="s">
        <v>5069</v>
      </c>
      <c r="C1690" s="4" t="s">
        <v>5070</v>
      </c>
      <c r="D1690" s="5" t="s">
        <v>5071</v>
      </c>
      <c r="E1690" s="5">
        <v>80.23</v>
      </c>
      <c r="F1690" s="6">
        <f>LOOKUP(D1690,'AMFI DATA_2023H2'!F:J,'AMFI DATA_2023H2'!J:J)</f>
        <v>122.08414999999999</v>
      </c>
      <c r="G1690" s="7">
        <f t="shared" si="6"/>
        <v>-1</v>
      </c>
      <c r="H1690" s="9"/>
      <c r="I1690" s="9">
        <v>181</v>
      </c>
      <c r="J1690" s="9">
        <v>172</v>
      </c>
      <c r="K1690" s="9">
        <v>175</v>
      </c>
      <c r="L1690" s="9">
        <v>178</v>
      </c>
      <c r="M1690" s="9">
        <v>182</v>
      </c>
      <c r="N1690" s="9">
        <v>185</v>
      </c>
      <c r="O1690" s="9">
        <v>190</v>
      </c>
      <c r="P1690" s="9">
        <v>193</v>
      </c>
      <c r="Q1690" s="9">
        <v>195</v>
      </c>
      <c r="R1690" s="9">
        <v>201</v>
      </c>
      <c r="S1690" s="9">
        <v>200</v>
      </c>
      <c r="T1690" s="9">
        <v>186</v>
      </c>
      <c r="U1690" s="9">
        <v>183</v>
      </c>
      <c r="V1690" s="9">
        <v>181</v>
      </c>
      <c r="W1690" s="9">
        <v>181</v>
      </c>
      <c r="X1690" s="9">
        <v>183</v>
      </c>
      <c r="Y1690" s="9">
        <v>175</v>
      </c>
      <c r="Z1690" s="9">
        <v>186</v>
      </c>
      <c r="AA1690" s="9">
        <v>157</v>
      </c>
      <c r="AB1690" s="9">
        <v>150</v>
      </c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</row>
    <row r="1691" spans="1:47" ht="14.4">
      <c r="A1691" s="3">
        <f>LOOKUP(D1691,'AMFI DATA_2023H2'!F:L,'AMFI DATA_2023H2'!L:L)</f>
        <v>2249</v>
      </c>
      <c r="B1691" s="4" t="s">
        <v>5072</v>
      </c>
      <c r="C1691" s="4" t="s">
        <v>5073</v>
      </c>
      <c r="D1691" s="5" t="s">
        <v>5074</v>
      </c>
      <c r="E1691" s="5">
        <v>106.53</v>
      </c>
      <c r="F1691" s="6">
        <f>LOOKUP(D1691,'AMFI DATA_2023H2'!F:J,'AMFI DATA_2023H2'!J:J)</f>
        <v>121.96940000000001</v>
      </c>
      <c r="G1691" s="7">
        <f t="shared" si="6"/>
        <v>-1</v>
      </c>
      <c r="H1691" s="9"/>
      <c r="I1691" s="9">
        <v>140</v>
      </c>
      <c r="J1691" s="9">
        <v>140</v>
      </c>
      <c r="K1691" s="9">
        <v>140</v>
      </c>
      <c r="L1691" s="9">
        <v>144</v>
      </c>
      <c r="M1691" s="9">
        <v>150</v>
      </c>
      <c r="N1691" s="9">
        <v>142</v>
      </c>
      <c r="O1691" s="9">
        <v>147</v>
      </c>
      <c r="P1691" s="9">
        <v>148</v>
      </c>
      <c r="Q1691" s="9">
        <v>126</v>
      </c>
      <c r="R1691" s="9">
        <v>143</v>
      </c>
      <c r="S1691" s="9">
        <v>139</v>
      </c>
      <c r="T1691" s="9">
        <v>139</v>
      </c>
      <c r="U1691" s="9">
        <v>141</v>
      </c>
      <c r="V1691" s="9">
        <v>139</v>
      </c>
      <c r="W1691" s="9">
        <v>140</v>
      </c>
      <c r="X1691" s="9">
        <v>143</v>
      </c>
      <c r="Y1691" s="9">
        <v>146</v>
      </c>
      <c r="Z1691" s="9">
        <v>150</v>
      </c>
      <c r="AA1691" s="9">
        <v>148</v>
      </c>
      <c r="AB1691" s="9">
        <v>137</v>
      </c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</row>
    <row r="1692" spans="1:47" ht="14.4">
      <c r="A1692" s="3">
        <f>LOOKUP(D1692,'AMFI DATA_2023H2'!F:L,'AMFI DATA_2023H2'!L:L)</f>
        <v>2256</v>
      </c>
      <c r="B1692" s="4" t="s">
        <v>5075</v>
      </c>
      <c r="C1692" s="4" t="s">
        <v>5076</v>
      </c>
      <c r="D1692" s="5" t="s">
        <v>5077</v>
      </c>
      <c r="E1692" s="5">
        <v>116.22</v>
      </c>
      <c r="F1692" s="6">
        <f>LOOKUP(D1692,'AMFI DATA_2023H2'!F:J,'AMFI DATA_2023H2'!J:J)</f>
        <v>120.88290000000001</v>
      </c>
      <c r="G1692" s="7">
        <f t="shared" si="6"/>
        <v>-1</v>
      </c>
      <c r="H1692" s="9"/>
      <c r="I1692" s="9">
        <v>139</v>
      </c>
      <c r="J1692" s="9">
        <v>140</v>
      </c>
      <c r="K1692" s="9">
        <v>139</v>
      </c>
      <c r="L1692" s="9">
        <v>138</v>
      </c>
      <c r="M1692" s="9">
        <v>141</v>
      </c>
      <c r="N1692" s="9">
        <v>142</v>
      </c>
      <c r="O1692" s="9">
        <v>141</v>
      </c>
      <c r="P1692" s="9">
        <v>141</v>
      </c>
      <c r="Q1692" s="9">
        <v>142</v>
      </c>
      <c r="R1692" s="9">
        <v>143</v>
      </c>
      <c r="S1692" s="9">
        <v>146</v>
      </c>
      <c r="T1692" s="9">
        <v>147</v>
      </c>
      <c r="U1692" s="9">
        <v>140</v>
      </c>
      <c r="V1692" s="9">
        <v>140</v>
      </c>
      <c r="W1692" s="9">
        <v>140</v>
      </c>
      <c r="X1692" s="9">
        <v>139</v>
      </c>
      <c r="Y1692" s="9">
        <v>141</v>
      </c>
      <c r="Z1692" s="9">
        <v>144</v>
      </c>
      <c r="AA1692" s="9">
        <v>144</v>
      </c>
      <c r="AB1692" s="9">
        <v>145</v>
      </c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</row>
    <row r="1693" spans="1:47" ht="14.4">
      <c r="A1693" s="3">
        <f>LOOKUP(D1693,'AMFI DATA_2023H2'!F:L,'AMFI DATA_2023H2'!L:L)</f>
        <v>2257</v>
      </c>
      <c r="B1693" s="4" t="s">
        <v>5078</v>
      </c>
      <c r="C1693" s="4" t="s">
        <v>5079</v>
      </c>
      <c r="D1693" s="5" t="s">
        <v>5080</v>
      </c>
      <c r="E1693" s="5">
        <v>109.65</v>
      </c>
      <c r="F1693" s="6">
        <f>LOOKUP(D1693,'AMFI DATA_2023H2'!F:J,'AMFI DATA_2023H2'!J:J)</f>
        <v>120.35585</v>
      </c>
      <c r="G1693" s="7">
        <f t="shared" si="6"/>
        <v>-1</v>
      </c>
      <c r="H1693" s="9"/>
      <c r="I1693" s="9">
        <v>131</v>
      </c>
      <c r="J1693" s="9">
        <v>126</v>
      </c>
      <c r="K1693" s="9">
        <v>124</v>
      </c>
      <c r="L1693" s="9">
        <v>123</v>
      </c>
      <c r="M1693" s="9">
        <v>125</v>
      </c>
      <c r="N1693" s="9">
        <v>125</v>
      </c>
      <c r="O1693" s="9">
        <v>125</v>
      </c>
      <c r="P1693" s="9">
        <v>127</v>
      </c>
      <c r="Q1693" s="9">
        <v>126</v>
      </c>
      <c r="R1693" s="9">
        <v>128</v>
      </c>
      <c r="S1693" s="9">
        <v>127</v>
      </c>
      <c r="T1693" s="9">
        <v>127</v>
      </c>
      <c r="U1693" s="9">
        <v>123</v>
      </c>
      <c r="V1693" s="9">
        <v>124</v>
      </c>
      <c r="W1693" s="9">
        <v>124</v>
      </c>
      <c r="X1693" s="9">
        <v>124</v>
      </c>
      <c r="Y1693" s="9">
        <v>126</v>
      </c>
      <c r="Z1693" s="9">
        <v>124</v>
      </c>
      <c r="AA1693" s="9">
        <v>126</v>
      </c>
      <c r="AB1693" s="9">
        <v>127</v>
      </c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</row>
    <row r="1694" spans="1:47" ht="14.4">
      <c r="A1694" s="3">
        <f>LOOKUP(D1694,'AMFI DATA_2023H2'!F:L,'AMFI DATA_2023H2'!L:L)</f>
        <v>2258</v>
      </c>
      <c r="B1694" s="4" t="s">
        <v>5081</v>
      </c>
      <c r="C1694" s="4" t="s">
        <v>5082</v>
      </c>
      <c r="D1694" s="5" t="s">
        <v>5083</v>
      </c>
      <c r="E1694" s="5">
        <v>95.56</v>
      </c>
      <c r="F1694" s="6">
        <f>LOOKUP(D1694,'AMFI DATA_2023H2'!F:J,'AMFI DATA_2023H2'!J:J)</f>
        <v>120.08</v>
      </c>
      <c r="G1694" s="7">
        <f t="shared" si="6"/>
        <v>-1</v>
      </c>
      <c r="H1694" s="9"/>
      <c r="I1694" s="9">
        <v>136</v>
      </c>
      <c r="J1694" s="9">
        <v>136</v>
      </c>
      <c r="K1694" s="9">
        <v>141</v>
      </c>
      <c r="L1694" s="9">
        <v>145</v>
      </c>
      <c r="M1694" s="9">
        <v>141</v>
      </c>
      <c r="N1694" s="9">
        <v>134</v>
      </c>
      <c r="O1694" s="9">
        <v>131</v>
      </c>
      <c r="P1694" s="9">
        <v>129</v>
      </c>
      <c r="Q1694" s="9">
        <v>126</v>
      </c>
      <c r="R1694" s="9">
        <v>124</v>
      </c>
      <c r="S1694" s="9">
        <v>121</v>
      </c>
      <c r="T1694" s="9">
        <v>117</v>
      </c>
      <c r="U1694" s="9">
        <v>119</v>
      </c>
      <c r="V1694" s="9">
        <v>121</v>
      </c>
      <c r="W1694" s="9">
        <v>124</v>
      </c>
      <c r="X1694" s="9">
        <v>126</v>
      </c>
      <c r="Y1694" s="9">
        <v>117</v>
      </c>
      <c r="Z1694" s="9">
        <v>124</v>
      </c>
      <c r="AA1694" s="9">
        <v>119</v>
      </c>
      <c r="AB1694" s="9">
        <v>119</v>
      </c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</row>
    <row r="1695" spans="1:47" ht="14.4">
      <c r="A1695" s="3">
        <f>LOOKUP(D1695,'AMFI DATA_2023H2'!F:L,'AMFI DATA_2023H2'!L:L)</f>
        <v>2259</v>
      </c>
      <c r="B1695" s="4" t="s">
        <v>5084</v>
      </c>
      <c r="C1695" s="4" t="s">
        <v>5085</v>
      </c>
      <c r="D1695" s="5" t="s">
        <v>5086</v>
      </c>
      <c r="E1695" s="5">
        <v>76.75</v>
      </c>
      <c r="F1695" s="6">
        <f>LOOKUP(D1695,'AMFI DATA_2023H2'!F:J,'AMFI DATA_2023H2'!J:J)</f>
        <v>119.6095</v>
      </c>
      <c r="G1695" s="7">
        <f t="shared" si="6"/>
        <v>-1</v>
      </c>
      <c r="H1695" s="9"/>
      <c r="I1695" s="9">
        <v>237</v>
      </c>
      <c r="J1695" s="9">
        <v>225</v>
      </c>
      <c r="K1695" s="9">
        <v>215</v>
      </c>
      <c r="L1695" s="9">
        <v>196</v>
      </c>
      <c r="M1695" s="9">
        <v>204</v>
      </c>
      <c r="N1695" s="9">
        <v>196</v>
      </c>
      <c r="O1695" s="9">
        <v>178</v>
      </c>
      <c r="P1695" s="9">
        <v>162</v>
      </c>
      <c r="Q1695" s="9">
        <v>165</v>
      </c>
      <c r="R1695" s="9">
        <v>167</v>
      </c>
      <c r="S1695" s="9">
        <v>168</v>
      </c>
      <c r="T1695" s="9">
        <v>166</v>
      </c>
      <c r="U1695" s="9">
        <v>166</v>
      </c>
      <c r="V1695" s="9">
        <v>156</v>
      </c>
      <c r="W1695" s="9">
        <v>154</v>
      </c>
      <c r="X1695" s="9">
        <v>151</v>
      </c>
      <c r="Y1695" s="9">
        <v>152</v>
      </c>
      <c r="Z1695" s="9">
        <v>155</v>
      </c>
      <c r="AA1695" s="9">
        <v>159</v>
      </c>
      <c r="AB1695" s="9">
        <v>149</v>
      </c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</row>
    <row r="1696" spans="1:47" ht="14.4">
      <c r="A1696" s="3">
        <f>LOOKUP(D1696,'AMFI DATA_2023H2'!F:L,'AMFI DATA_2023H2'!L:L)</f>
        <v>2262</v>
      </c>
      <c r="B1696" s="4" t="s">
        <v>5087</v>
      </c>
      <c r="C1696" s="4" t="s">
        <v>5088</v>
      </c>
      <c r="D1696" s="5" t="s">
        <v>5089</v>
      </c>
      <c r="E1696" s="5">
        <v>135.33000000000001</v>
      </c>
      <c r="F1696" s="6">
        <f>LOOKUP(D1696,'AMFI DATA_2023H2'!F:J,'AMFI DATA_2023H2'!J:J)</f>
        <v>119.1254</v>
      </c>
      <c r="G1696" s="7">
        <f t="shared" si="6"/>
        <v>-1</v>
      </c>
      <c r="H1696" s="9"/>
      <c r="I1696" s="9">
        <v>102</v>
      </c>
      <c r="J1696" s="9">
        <v>102</v>
      </c>
      <c r="K1696" s="9">
        <v>102</v>
      </c>
      <c r="L1696" s="9">
        <v>102</v>
      </c>
      <c r="M1696" s="9">
        <v>106</v>
      </c>
      <c r="N1696" s="9">
        <v>110</v>
      </c>
      <c r="O1696" s="9">
        <v>105</v>
      </c>
      <c r="P1696" s="9">
        <v>105</v>
      </c>
      <c r="Q1696" s="9">
        <v>110</v>
      </c>
      <c r="R1696" s="9">
        <v>116</v>
      </c>
      <c r="S1696" s="9">
        <v>122</v>
      </c>
      <c r="T1696" s="9">
        <v>119</v>
      </c>
      <c r="U1696" s="9">
        <v>125</v>
      </c>
      <c r="V1696" s="9">
        <v>124</v>
      </c>
      <c r="W1696" s="9">
        <v>123</v>
      </c>
      <c r="X1696" s="9">
        <v>118</v>
      </c>
      <c r="Y1696" s="9">
        <v>117</v>
      </c>
      <c r="Z1696" s="9">
        <v>119</v>
      </c>
      <c r="AA1696" s="9">
        <v>119</v>
      </c>
      <c r="AB1696" s="9">
        <v>118</v>
      </c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</row>
    <row r="1697" spans="1:47" ht="14.4">
      <c r="A1697" s="3">
        <f>LOOKUP(D1697,'AMFI DATA_2023H2'!F:L,'AMFI DATA_2023H2'!L:L)</f>
        <v>2264</v>
      </c>
      <c r="B1697" s="4" t="s">
        <v>5090</v>
      </c>
      <c r="C1697" s="4" t="s">
        <v>5091</v>
      </c>
      <c r="D1697" s="5" t="s">
        <v>5092</v>
      </c>
      <c r="E1697" s="5">
        <v>102.65</v>
      </c>
      <c r="F1697" s="6">
        <f>LOOKUP(D1697,'AMFI DATA_2023H2'!F:J,'AMFI DATA_2023H2'!J:J)</f>
        <v>118.5951</v>
      </c>
      <c r="G1697" s="7">
        <f t="shared" si="6"/>
        <v>-1</v>
      </c>
      <c r="H1697" s="9"/>
      <c r="I1697" s="9">
        <v>133</v>
      </c>
      <c r="J1697" s="9">
        <v>131</v>
      </c>
      <c r="K1697" s="9">
        <v>125</v>
      </c>
      <c r="L1697" s="9">
        <v>119</v>
      </c>
      <c r="M1697" s="9">
        <v>116</v>
      </c>
      <c r="N1697" s="9">
        <v>116</v>
      </c>
      <c r="O1697" s="9">
        <v>115</v>
      </c>
      <c r="P1697" s="9">
        <v>117</v>
      </c>
      <c r="Q1697" s="9">
        <v>118</v>
      </c>
      <c r="R1697" s="9">
        <v>117</v>
      </c>
      <c r="S1697" s="9">
        <v>117</v>
      </c>
      <c r="T1697" s="9">
        <v>118</v>
      </c>
      <c r="U1697" s="9">
        <v>117</v>
      </c>
      <c r="V1697" s="9">
        <v>117</v>
      </c>
      <c r="W1697" s="9">
        <v>120</v>
      </c>
      <c r="X1697" s="9">
        <v>117</v>
      </c>
      <c r="Y1697" s="9">
        <v>117</v>
      </c>
      <c r="Z1697" s="9">
        <v>116</v>
      </c>
      <c r="AA1697" s="9">
        <v>117</v>
      </c>
      <c r="AB1697" s="9">
        <v>117</v>
      </c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</row>
    <row r="1698" spans="1:47" ht="14.4">
      <c r="A1698" s="3">
        <f>LOOKUP(D1698,'AMFI DATA_2023H2'!F:L,'AMFI DATA_2023H2'!L:L)</f>
        <v>2271</v>
      </c>
      <c r="B1698" s="4" t="s">
        <v>5093</v>
      </c>
      <c r="C1698" s="4" t="s">
        <v>5094</v>
      </c>
      <c r="D1698" s="5" t="s">
        <v>5095</v>
      </c>
      <c r="E1698" s="5">
        <v>147.81</v>
      </c>
      <c r="F1698" s="6">
        <f>LOOKUP(D1698,'AMFI DATA_2023H2'!F:J,'AMFI DATA_2023H2'!J:J)</f>
        <v>117.33414999999999</v>
      </c>
      <c r="G1698" s="7">
        <f t="shared" si="6"/>
        <v>-1</v>
      </c>
      <c r="H1698" s="9"/>
      <c r="I1698" s="9">
        <v>259</v>
      </c>
      <c r="J1698" s="9">
        <v>263</v>
      </c>
      <c r="K1698" s="9">
        <v>269</v>
      </c>
      <c r="L1698" s="9">
        <v>274</v>
      </c>
      <c r="M1698" s="9">
        <v>279</v>
      </c>
      <c r="N1698" s="9">
        <v>285</v>
      </c>
      <c r="O1698" s="9">
        <v>290</v>
      </c>
      <c r="P1698" s="9">
        <v>296</v>
      </c>
      <c r="Q1698" s="9">
        <v>281</v>
      </c>
      <c r="R1698" s="9">
        <v>288</v>
      </c>
      <c r="S1698" s="9">
        <v>274</v>
      </c>
      <c r="T1698" s="9">
        <v>245</v>
      </c>
      <c r="U1698" s="9">
        <v>249</v>
      </c>
      <c r="V1698" s="9">
        <v>238</v>
      </c>
      <c r="W1698" s="9">
        <v>227</v>
      </c>
      <c r="X1698" s="9">
        <v>216</v>
      </c>
      <c r="Y1698" s="9">
        <v>206</v>
      </c>
      <c r="Z1698" s="9">
        <v>189</v>
      </c>
      <c r="AA1698" s="9">
        <v>178</v>
      </c>
      <c r="AB1698" s="9">
        <v>175</v>
      </c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</row>
    <row r="1699" spans="1:47" ht="14.4">
      <c r="A1699" s="3">
        <f>LOOKUP(D1699,'AMFI DATA_2023H2'!F:L,'AMFI DATA_2023H2'!L:L)</f>
        <v>2274</v>
      </c>
      <c r="B1699" s="4" t="s">
        <v>5096</v>
      </c>
      <c r="C1699" s="4" t="s">
        <v>5097</v>
      </c>
      <c r="D1699" s="5" t="s">
        <v>5098</v>
      </c>
      <c r="E1699" s="5">
        <v>86.98</v>
      </c>
      <c r="F1699" s="6">
        <f>LOOKUP(D1699,'AMFI DATA_2023H2'!F:J,'AMFI DATA_2023H2'!J:J)</f>
        <v>116.08975</v>
      </c>
      <c r="G1699" s="7">
        <f t="shared" si="6"/>
        <v>-1</v>
      </c>
      <c r="H1699" s="9"/>
      <c r="I1699" s="9">
        <v>259</v>
      </c>
      <c r="J1699" s="9">
        <v>259</v>
      </c>
      <c r="K1699" s="9">
        <v>253</v>
      </c>
      <c r="L1699" s="9">
        <v>262</v>
      </c>
      <c r="M1699" s="9">
        <v>267</v>
      </c>
      <c r="N1699" s="9">
        <v>259</v>
      </c>
      <c r="O1699" s="9">
        <v>254</v>
      </c>
      <c r="P1699" s="9">
        <v>264</v>
      </c>
      <c r="Q1699" s="9">
        <v>278</v>
      </c>
      <c r="R1699" s="9">
        <v>290</v>
      </c>
      <c r="S1699" s="9">
        <v>284</v>
      </c>
      <c r="T1699" s="9">
        <v>287</v>
      </c>
      <c r="U1699" s="9">
        <v>261</v>
      </c>
      <c r="V1699" s="9">
        <v>218</v>
      </c>
      <c r="W1699" s="9">
        <v>182</v>
      </c>
      <c r="X1699" s="9">
        <v>175</v>
      </c>
      <c r="Y1699" s="9">
        <v>178</v>
      </c>
      <c r="Z1699" s="9">
        <v>179</v>
      </c>
      <c r="AA1699" s="9">
        <v>187</v>
      </c>
      <c r="AB1699" s="9">
        <v>186</v>
      </c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</row>
    <row r="1700" spans="1:47" ht="14.4">
      <c r="A1700" s="3">
        <f>LOOKUP(D1700,'AMFI DATA_2023H2'!F:L,'AMFI DATA_2023H2'!L:L)</f>
        <v>2277</v>
      </c>
      <c r="B1700" s="4" t="s">
        <v>5099</v>
      </c>
      <c r="C1700" s="4" t="s">
        <v>5100</v>
      </c>
      <c r="D1700" s="5" t="s">
        <v>5101</v>
      </c>
      <c r="E1700" s="5">
        <v>40.85</v>
      </c>
      <c r="F1700" s="6">
        <f>LOOKUP(D1700,'AMFI DATA_2023H2'!F:J,'AMFI DATA_2023H2'!J:J)</f>
        <v>115.53800000000001</v>
      </c>
      <c r="G1700" s="7">
        <f t="shared" si="6"/>
        <v>-1</v>
      </c>
      <c r="H1700" s="9"/>
      <c r="I1700" s="9">
        <v>184</v>
      </c>
      <c r="J1700" s="9">
        <v>184</v>
      </c>
      <c r="K1700" s="9">
        <v>187</v>
      </c>
      <c r="L1700" s="9">
        <v>191</v>
      </c>
      <c r="M1700" s="9">
        <v>195</v>
      </c>
      <c r="N1700" s="9">
        <v>199</v>
      </c>
      <c r="O1700" s="9">
        <v>202</v>
      </c>
      <c r="P1700" s="9">
        <v>206</v>
      </c>
      <c r="Q1700" s="9">
        <v>210</v>
      </c>
      <c r="R1700" s="9">
        <v>215</v>
      </c>
      <c r="S1700" s="9">
        <v>210</v>
      </c>
      <c r="T1700" s="9">
        <v>199</v>
      </c>
      <c r="U1700" s="9">
        <v>191</v>
      </c>
      <c r="V1700" s="9">
        <v>182</v>
      </c>
      <c r="W1700" s="9">
        <v>174</v>
      </c>
      <c r="X1700" s="9">
        <v>180</v>
      </c>
      <c r="Y1700" s="9">
        <v>189</v>
      </c>
      <c r="Z1700" s="9">
        <v>199</v>
      </c>
      <c r="AA1700" s="9">
        <v>220</v>
      </c>
      <c r="AB1700" s="9">
        <v>193</v>
      </c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</row>
    <row r="1701" spans="1:47" ht="14.4">
      <c r="A1701" s="3">
        <f>LOOKUP(D1701,'AMFI DATA_2023H2'!F:L,'AMFI DATA_2023H2'!L:L)</f>
        <v>2279</v>
      </c>
      <c r="B1701" s="4" t="s">
        <v>5102</v>
      </c>
      <c r="C1701" s="4" t="s">
        <v>5103</v>
      </c>
      <c r="D1701" s="5" t="s">
        <v>5104</v>
      </c>
      <c r="E1701" s="5">
        <v>97.34</v>
      </c>
      <c r="F1701" s="6">
        <f>LOOKUP(D1701,'AMFI DATA_2023H2'!F:J,'AMFI DATA_2023H2'!J:J)</f>
        <v>115.4166</v>
      </c>
      <c r="G1701" s="7">
        <f t="shared" si="6"/>
        <v>-1</v>
      </c>
      <c r="H1701" s="9"/>
      <c r="I1701" s="9">
        <v>117</v>
      </c>
      <c r="J1701" s="9">
        <v>115</v>
      </c>
      <c r="K1701" s="9">
        <v>116</v>
      </c>
      <c r="L1701" s="9">
        <v>117</v>
      </c>
      <c r="M1701" s="9">
        <v>117</v>
      </c>
      <c r="N1701" s="9">
        <v>118</v>
      </c>
      <c r="O1701" s="9">
        <v>119</v>
      </c>
      <c r="P1701" s="9">
        <v>118</v>
      </c>
      <c r="Q1701" s="9">
        <v>119</v>
      </c>
      <c r="R1701" s="9">
        <v>119</v>
      </c>
      <c r="S1701" s="9">
        <v>122</v>
      </c>
      <c r="T1701" s="9">
        <v>122</v>
      </c>
      <c r="U1701" s="9">
        <v>121</v>
      </c>
      <c r="V1701" s="9">
        <v>123</v>
      </c>
      <c r="W1701" s="9">
        <v>122</v>
      </c>
      <c r="X1701" s="9">
        <v>122</v>
      </c>
      <c r="Y1701" s="9">
        <v>122</v>
      </c>
      <c r="Z1701" s="9">
        <v>124</v>
      </c>
      <c r="AA1701" s="9">
        <v>138</v>
      </c>
      <c r="AB1701" s="9">
        <v>116</v>
      </c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</row>
    <row r="1702" spans="1:47" ht="14.4">
      <c r="A1702" s="3">
        <f>LOOKUP(D1702,'AMFI DATA_2023H2'!F:L,'AMFI DATA_2023H2'!L:L)</f>
        <v>2280</v>
      </c>
      <c r="B1702" s="4" t="s">
        <v>5105</v>
      </c>
      <c r="C1702" s="4" t="s">
        <v>5106</v>
      </c>
      <c r="D1702" s="5" t="s">
        <v>5107</v>
      </c>
      <c r="E1702" s="5">
        <v>133.41999999999999</v>
      </c>
      <c r="F1702" s="6">
        <f>LOOKUP(D1702,'AMFI DATA_2023H2'!F:J,'AMFI DATA_2023H2'!J:J)</f>
        <v>115.357</v>
      </c>
      <c r="G1702" s="7">
        <f t="shared" si="6"/>
        <v>-1</v>
      </c>
      <c r="H1702" s="9"/>
      <c r="I1702" s="9">
        <v>142</v>
      </c>
      <c r="J1702" s="9">
        <v>138</v>
      </c>
      <c r="K1702" s="9">
        <v>139</v>
      </c>
      <c r="L1702" s="9">
        <v>131</v>
      </c>
      <c r="M1702" s="9">
        <v>133</v>
      </c>
      <c r="N1702" s="9">
        <v>138</v>
      </c>
      <c r="O1702" s="9">
        <v>141</v>
      </c>
      <c r="P1702" s="9">
        <v>131</v>
      </c>
      <c r="Q1702" s="9">
        <v>130</v>
      </c>
      <c r="R1702" s="9">
        <v>126</v>
      </c>
      <c r="S1702" s="9">
        <v>129</v>
      </c>
      <c r="T1702" s="9">
        <v>130</v>
      </c>
      <c r="U1702" s="9">
        <v>128</v>
      </c>
      <c r="V1702" s="9">
        <v>132</v>
      </c>
      <c r="W1702" s="9">
        <v>130</v>
      </c>
      <c r="X1702" s="9">
        <v>123</v>
      </c>
      <c r="Y1702" s="9">
        <v>125</v>
      </c>
      <c r="Z1702" s="9">
        <v>127</v>
      </c>
      <c r="AA1702" s="9">
        <v>128</v>
      </c>
      <c r="AB1702" s="9">
        <v>129</v>
      </c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</row>
    <row r="1703" spans="1:47" ht="14.4">
      <c r="A1703" s="3">
        <f>LOOKUP(D1703,'AMFI DATA_2023H2'!F:L,'AMFI DATA_2023H2'!L:L)</f>
        <v>2283</v>
      </c>
      <c r="B1703" s="4" t="s">
        <v>5108</v>
      </c>
      <c r="C1703" s="4" t="s">
        <v>5109</v>
      </c>
      <c r="D1703" s="5" t="s">
        <v>5110</v>
      </c>
      <c r="E1703" s="5">
        <v>76.849999999999994</v>
      </c>
      <c r="F1703" s="6">
        <f>LOOKUP(D1703,'AMFI DATA_2023H2'!F:J,'AMFI DATA_2023H2'!J:J)</f>
        <v>114.845</v>
      </c>
      <c r="G1703" s="7">
        <f t="shared" si="6"/>
        <v>-1</v>
      </c>
      <c r="H1703" s="9"/>
      <c r="I1703" s="9">
        <v>153</v>
      </c>
      <c r="J1703" s="9">
        <v>153</v>
      </c>
      <c r="K1703" s="9">
        <v>153</v>
      </c>
      <c r="L1703" s="9">
        <v>159</v>
      </c>
      <c r="M1703" s="9">
        <v>157</v>
      </c>
      <c r="N1703" s="9">
        <v>157</v>
      </c>
      <c r="O1703" s="9">
        <v>157</v>
      </c>
      <c r="P1703" s="9">
        <v>154</v>
      </c>
      <c r="Q1703" s="9">
        <v>155</v>
      </c>
      <c r="R1703" s="9">
        <v>153</v>
      </c>
      <c r="S1703" s="9">
        <v>153</v>
      </c>
      <c r="T1703" s="9">
        <v>151</v>
      </c>
      <c r="U1703" s="9">
        <v>151</v>
      </c>
      <c r="V1703" s="9">
        <v>147</v>
      </c>
      <c r="W1703" s="9">
        <v>141</v>
      </c>
      <c r="X1703" s="9">
        <v>137</v>
      </c>
      <c r="Y1703" s="9">
        <v>137</v>
      </c>
      <c r="Z1703" s="9">
        <v>137</v>
      </c>
      <c r="AA1703" s="9">
        <v>136</v>
      </c>
      <c r="AB1703" s="9">
        <v>139</v>
      </c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</row>
    <row r="1704" spans="1:47" ht="14.4">
      <c r="A1704" s="3">
        <f>LOOKUP(D1704,'AMFI DATA_2023H2'!F:L,'AMFI DATA_2023H2'!L:L)</f>
        <v>2285</v>
      </c>
      <c r="B1704" s="4" t="s">
        <v>5111</v>
      </c>
      <c r="C1704" s="4" t="s">
        <v>5112</v>
      </c>
      <c r="D1704" s="5" t="s">
        <v>5113</v>
      </c>
      <c r="E1704" s="5">
        <v>94.18</v>
      </c>
      <c r="F1704" s="6">
        <f>LOOKUP(D1704,'AMFI DATA_2023H2'!F:J,'AMFI DATA_2023H2'!J:J)</f>
        <v>114.73580000000001</v>
      </c>
      <c r="G1704" s="7">
        <f t="shared" si="6"/>
        <v>-1</v>
      </c>
      <c r="H1704" s="9"/>
      <c r="I1704" s="9">
        <v>135</v>
      </c>
      <c r="J1704" s="9">
        <v>134</v>
      </c>
      <c r="K1704" s="9">
        <v>138</v>
      </c>
      <c r="L1704" s="9">
        <v>139</v>
      </c>
      <c r="M1704" s="9">
        <v>142</v>
      </c>
      <c r="N1704" s="9">
        <v>141</v>
      </c>
      <c r="O1704" s="9">
        <v>139</v>
      </c>
      <c r="P1704" s="9">
        <v>142</v>
      </c>
      <c r="Q1704" s="9">
        <v>141</v>
      </c>
      <c r="R1704" s="9">
        <v>138</v>
      </c>
      <c r="S1704" s="9">
        <v>141</v>
      </c>
      <c r="T1704" s="9">
        <v>143</v>
      </c>
      <c r="U1704" s="9">
        <v>143</v>
      </c>
      <c r="V1704" s="9">
        <v>144</v>
      </c>
      <c r="W1704" s="9">
        <v>141</v>
      </c>
      <c r="X1704" s="9">
        <v>137</v>
      </c>
      <c r="Y1704" s="9">
        <v>134</v>
      </c>
      <c r="Z1704" s="9">
        <v>132</v>
      </c>
      <c r="AA1704" s="9">
        <v>131</v>
      </c>
      <c r="AB1704" s="9">
        <v>132</v>
      </c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</row>
    <row r="1705" spans="1:47" ht="14.4">
      <c r="A1705" s="3">
        <f>LOOKUP(D1705,'AMFI DATA_2023H2'!F:L,'AMFI DATA_2023H2'!L:L)</f>
        <v>2288</v>
      </c>
      <c r="B1705" s="4" t="s">
        <v>5114</v>
      </c>
      <c r="C1705" s="4" t="s">
        <v>5115</v>
      </c>
      <c r="D1705" s="5" t="s">
        <v>5116</v>
      </c>
      <c r="E1705" s="5">
        <v>106.78</v>
      </c>
      <c r="F1705" s="6">
        <f>LOOKUP(D1705,'AMFI DATA_2023H2'!F:J,'AMFI DATA_2023H2'!J:J)</f>
        <v>113.91305</v>
      </c>
      <c r="G1705" s="7">
        <f t="shared" si="6"/>
        <v>-1</v>
      </c>
      <c r="H1705" s="9"/>
      <c r="I1705" s="9">
        <v>142</v>
      </c>
      <c r="J1705" s="9">
        <v>132</v>
      </c>
      <c r="K1705" s="9">
        <v>130</v>
      </c>
      <c r="L1705" s="9">
        <v>128</v>
      </c>
      <c r="M1705" s="9">
        <v>136</v>
      </c>
      <c r="N1705" s="9">
        <v>137</v>
      </c>
      <c r="O1705" s="9">
        <v>140</v>
      </c>
      <c r="P1705" s="9">
        <v>142</v>
      </c>
      <c r="Q1705" s="9">
        <v>142</v>
      </c>
      <c r="R1705" s="9">
        <v>150</v>
      </c>
      <c r="S1705" s="9">
        <v>134</v>
      </c>
      <c r="T1705" s="9">
        <v>118</v>
      </c>
      <c r="U1705" s="9">
        <v>119</v>
      </c>
      <c r="V1705" s="9">
        <v>119</v>
      </c>
      <c r="W1705" s="9">
        <v>116</v>
      </c>
      <c r="X1705" s="9">
        <v>116</v>
      </c>
      <c r="Y1705" s="9">
        <v>118</v>
      </c>
      <c r="Z1705" s="9">
        <v>114</v>
      </c>
      <c r="AA1705" s="9">
        <v>114</v>
      </c>
      <c r="AB1705" s="9">
        <v>115</v>
      </c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</row>
    <row r="1706" spans="1:47" ht="14.4">
      <c r="A1706" s="3">
        <f>LOOKUP(D1706,'AMFI DATA_2023H2'!F:L,'AMFI DATA_2023H2'!L:L)</f>
        <v>2292</v>
      </c>
      <c r="B1706" s="4" t="s">
        <v>5117</v>
      </c>
      <c r="C1706" s="4" t="s">
        <v>5118</v>
      </c>
      <c r="D1706" s="5" t="s">
        <v>5119</v>
      </c>
      <c r="E1706" s="5">
        <v>132.18</v>
      </c>
      <c r="F1706" s="6">
        <f>LOOKUP(D1706,'AMFI DATA_2023H2'!F:J,'AMFI DATA_2023H2'!J:J)</f>
        <v>112.73554999999999</v>
      </c>
      <c r="G1706" s="7">
        <f t="shared" si="6"/>
        <v>-1</v>
      </c>
      <c r="H1706" s="9"/>
      <c r="I1706" s="9">
        <v>126</v>
      </c>
      <c r="J1706" s="9">
        <v>125</v>
      </c>
      <c r="K1706" s="9">
        <v>127</v>
      </c>
      <c r="L1706" s="9">
        <v>126</v>
      </c>
      <c r="M1706" s="9">
        <v>129</v>
      </c>
      <c r="N1706" s="9">
        <v>133</v>
      </c>
      <c r="O1706" s="9">
        <v>131</v>
      </c>
      <c r="P1706" s="9">
        <v>130</v>
      </c>
      <c r="Q1706" s="9">
        <v>122</v>
      </c>
      <c r="R1706" s="9">
        <v>120</v>
      </c>
      <c r="S1706" s="9">
        <v>117</v>
      </c>
      <c r="T1706" s="9">
        <v>122</v>
      </c>
      <c r="U1706" s="9">
        <v>121</v>
      </c>
      <c r="V1706" s="9">
        <v>120</v>
      </c>
      <c r="W1706" s="9">
        <v>113</v>
      </c>
      <c r="X1706" s="9">
        <v>112</v>
      </c>
      <c r="Y1706" s="9">
        <v>114</v>
      </c>
      <c r="Z1706" s="9">
        <v>114</v>
      </c>
      <c r="AA1706" s="9">
        <v>111</v>
      </c>
      <c r="AB1706" s="9">
        <v>112</v>
      </c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</row>
    <row r="1707" spans="1:47" ht="14.4">
      <c r="A1707" s="3">
        <f>LOOKUP(D1707,'AMFI DATA_2023H2'!F:L,'AMFI DATA_2023H2'!L:L)</f>
        <v>2293</v>
      </c>
      <c r="B1707" s="4" t="s">
        <v>5120</v>
      </c>
      <c r="C1707" s="4" t="s">
        <v>5121</v>
      </c>
      <c r="D1707" s="5" t="s">
        <v>5122</v>
      </c>
      <c r="E1707" s="5">
        <v>231.38</v>
      </c>
      <c r="F1707" s="6">
        <f>LOOKUP(D1707,'AMFI DATA_2023H2'!F:J,'AMFI DATA_2023H2'!J:J)</f>
        <v>112.5348</v>
      </c>
      <c r="G1707" s="7">
        <f t="shared" si="6"/>
        <v>-1</v>
      </c>
      <c r="H1707" s="9"/>
      <c r="I1707" s="9">
        <v>113</v>
      </c>
      <c r="J1707" s="9">
        <v>114</v>
      </c>
      <c r="K1707" s="9">
        <v>114</v>
      </c>
      <c r="L1707" s="9">
        <v>116</v>
      </c>
      <c r="M1707" s="9">
        <v>113</v>
      </c>
      <c r="N1707" s="9">
        <v>116</v>
      </c>
      <c r="O1707" s="9">
        <v>115</v>
      </c>
      <c r="P1707" s="9">
        <v>115</v>
      </c>
      <c r="Q1707" s="9">
        <v>117</v>
      </c>
      <c r="R1707" s="9">
        <v>116</v>
      </c>
      <c r="S1707" s="9">
        <v>118</v>
      </c>
      <c r="T1707" s="9">
        <v>120</v>
      </c>
      <c r="U1707" s="9">
        <v>123</v>
      </c>
      <c r="V1707" s="9">
        <v>125</v>
      </c>
      <c r="W1707" s="9">
        <v>123</v>
      </c>
      <c r="X1707" s="9">
        <v>125</v>
      </c>
      <c r="Y1707" s="9">
        <v>128</v>
      </c>
      <c r="Z1707" s="9">
        <v>130</v>
      </c>
      <c r="AA1707" s="9">
        <v>134</v>
      </c>
      <c r="AB1707" s="9">
        <v>129</v>
      </c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</row>
    <row r="1708" spans="1:47" ht="14.4">
      <c r="A1708" s="3">
        <f>LOOKUP(D1708,'AMFI DATA_2023H2'!F:L,'AMFI DATA_2023H2'!L:L)</f>
        <v>2295</v>
      </c>
      <c r="B1708" s="4" t="s">
        <v>5123</v>
      </c>
      <c r="C1708" s="4" t="s">
        <v>5124</v>
      </c>
      <c r="D1708" s="5" t="s">
        <v>5125</v>
      </c>
      <c r="E1708" s="5">
        <v>111.04</v>
      </c>
      <c r="F1708" s="6">
        <f>LOOKUP(D1708,'AMFI DATA_2023H2'!F:J,'AMFI DATA_2023H2'!J:J)</f>
        <v>112.527</v>
      </c>
      <c r="G1708" s="7">
        <f t="shared" si="6"/>
        <v>-1</v>
      </c>
      <c r="H1708" s="9"/>
      <c r="I1708" s="9">
        <v>119</v>
      </c>
      <c r="J1708" s="9">
        <v>118</v>
      </c>
      <c r="K1708" s="9">
        <v>117</v>
      </c>
      <c r="L1708" s="9">
        <v>119</v>
      </c>
      <c r="M1708" s="9">
        <v>122</v>
      </c>
      <c r="N1708" s="9">
        <v>121</v>
      </c>
      <c r="O1708" s="9">
        <v>118</v>
      </c>
      <c r="P1708" s="9">
        <v>120</v>
      </c>
      <c r="Q1708" s="9">
        <v>121</v>
      </c>
      <c r="R1708" s="9">
        <v>121</v>
      </c>
      <c r="S1708" s="9">
        <v>119</v>
      </c>
      <c r="T1708" s="9">
        <v>120</v>
      </c>
      <c r="U1708" s="9">
        <v>120</v>
      </c>
      <c r="V1708" s="9">
        <v>118</v>
      </c>
      <c r="W1708" s="9">
        <v>119</v>
      </c>
      <c r="X1708" s="9">
        <v>118</v>
      </c>
      <c r="Y1708" s="9">
        <v>119</v>
      </c>
      <c r="Z1708" s="9">
        <v>118</v>
      </c>
      <c r="AA1708" s="9">
        <v>118</v>
      </c>
      <c r="AB1708" s="9">
        <v>119</v>
      </c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</row>
    <row r="1709" spans="1:47" ht="14.4">
      <c r="A1709" s="3">
        <f>LOOKUP(D1709,'AMFI DATA_2023H2'!F:L,'AMFI DATA_2023H2'!L:L)</f>
        <v>2296</v>
      </c>
      <c r="B1709" s="4" t="s">
        <v>5126</v>
      </c>
      <c r="C1709" s="4" t="s">
        <v>5127</v>
      </c>
      <c r="D1709" s="5" t="s">
        <v>5128</v>
      </c>
      <c r="E1709" s="5">
        <v>123.86</v>
      </c>
      <c r="F1709" s="6">
        <f>LOOKUP(D1709,'AMFI DATA_2023H2'!F:J,'AMFI DATA_2023H2'!J:J)</f>
        <v>112.36754999999999</v>
      </c>
      <c r="G1709" s="7">
        <f t="shared" si="6"/>
        <v>-1</v>
      </c>
      <c r="H1709" s="9"/>
      <c r="I1709" s="9">
        <v>142</v>
      </c>
      <c r="J1709" s="9">
        <v>118</v>
      </c>
      <c r="K1709" s="9">
        <v>118</v>
      </c>
      <c r="L1709" s="9">
        <v>116</v>
      </c>
      <c r="M1709" s="9">
        <v>119</v>
      </c>
      <c r="N1709" s="9">
        <v>121</v>
      </c>
      <c r="O1709" s="9">
        <v>121</v>
      </c>
      <c r="P1709" s="9">
        <v>119</v>
      </c>
      <c r="Q1709" s="9">
        <v>120</v>
      </c>
      <c r="R1709" s="9">
        <v>121</v>
      </c>
      <c r="S1709" s="9">
        <v>121</v>
      </c>
      <c r="T1709" s="9">
        <v>121</v>
      </c>
      <c r="U1709" s="9">
        <v>119</v>
      </c>
      <c r="V1709" s="9">
        <v>118</v>
      </c>
      <c r="W1709" s="9">
        <v>119</v>
      </c>
      <c r="X1709" s="9">
        <v>117</v>
      </c>
      <c r="Y1709" s="9">
        <v>118</v>
      </c>
      <c r="Z1709" s="9">
        <v>120</v>
      </c>
      <c r="AA1709" s="9">
        <v>120</v>
      </c>
      <c r="AB1709" s="9">
        <v>124</v>
      </c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</row>
    <row r="1710" spans="1:47" ht="14.4">
      <c r="A1710" s="3">
        <f>LOOKUP(D1710,'AMFI DATA_2023H2'!F:L,'AMFI DATA_2023H2'!L:L)</f>
        <v>2297</v>
      </c>
      <c r="B1710" s="4" t="s">
        <v>5129</v>
      </c>
      <c r="C1710" s="4" t="s">
        <v>5130</v>
      </c>
      <c r="D1710" s="5" t="s">
        <v>5131</v>
      </c>
      <c r="E1710" s="5">
        <v>77.62</v>
      </c>
      <c r="F1710" s="6">
        <f>LOOKUP(D1710,'AMFI DATA_2023H2'!F:J,'AMFI DATA_2023H2'!J:J)</f>
        <v>112.34765</v>
      </c>
      <c r="G1710" s="7">
        <f t="shared" si="6"/>
        <v>-1</v>
      </c>
      <c r="H1710" s="9"/>
      <c r="I1710" s="9">
        <v>141</v>
      </c>
      <c r="J1710" s="9">
        <v>139</v>
      </c>
      <c r="K1710" s="9">
        <v>140</v>
      </c>
      <c r="L1710" s="9">
        <v>141</v>
      </c>
      <c r="M1710" s="9">
        <v>144</v>
      </c>
      <c r="N1710" s="9">
        <v>145</v>
      </c>
      <c r="O1710" s="9">
        <v>150</v>
      </c>
      <c r="P1710" s="9">
        <v>154</v>
      </c>
      <c r="Q1710" s="9">
        <v>156</v>
      </c>
      <c r="R1710" s="9">
        <v>160</v>
      </c>
      <c r="S1710" s="9">
        <v>162</v>
      </c>
      <c r="T1710" s="9">
        <v>160</v>
      </c>
      <c r="U1710" s="9">
        <v>169</v>
      </c>
      <c r="V1710" s="9">
        <v>145</v>
      </c>
      <c r="W1710" s="9">
        <v>154</v>
      </c>
      <c r="X1710" s="9">
        <v>126</v>
      </c>
      <c r="Y1710" s="9">
        <v>127</v>
      </c>
      <c r="Z1710" s="9">
        <v>124</v>
      </c>
      <c r="AA1710" s="9">
        <v>124</v>
      </c>
      <c r="AB1710" s="9">
        <v>116</v>
      </c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</row>
    <row r="1711" spans="1:47" ht="14.4">
      <c r="A1711" s="3">
        <f>LOOKUP(D1711,'AMFI DATA_2023H2'!F:L,'AMFI DATA_2023H2'!L:L)</f>
        <v>2298</v>
      </c>
      <c r="B1711" s="4" t="s">
        <v>5132</v>
      </c>
      <c r="C1711" s="4" t="s">
        <v>5133</v>
      </c>
      <c r="D1711" s="5" t="s">
        <v>5134</v>
      </c>
      <c r="E1711" s="5">
        <v>76.900000000000006</v>
      </c>
      <c r="F1711" s="6">
        <f>LOOKUP(D1711,'AMFI DATA_2023H2'!F:J,'AMFI DATA_2023H2'!J:J)</f>
        <v>112.13639999999999</v>
      </c>
      <c r="G1711" s="7">
        <f t="shared" si="6"/>
        <v>-1</v>
      </c>
      <c r="H1711" s="9"/>
      <c r="I1711" s="9">
        <v>130</v>
      </c>
      <c r="J1711" s="9">
        <v>125</v>
      </c>
      <c r="K1711" s="9">
        <v>128</v>
      </c>
      <c r="L1711" s="9">
        <v>130</v>
      </c>
      <c r="M1711" s="9">
        <v>131</v>
      </c>
      <c r="N1711" s="9">
        <v>126</v>
      </c>
      <c r="O1711" s="9">
        <v>132</v>
      </c>
      <c r="P1711" s="9">
        <v>133</v>
      </c>
      <c r="Q1711" s="9">
        <v>135</v>
      </c>
      <c r="R1711" s="9">
        <v>129</v>
      </c>
      <c r="S1711" s="9">
        <v>131</v>
      </c>
      <c r="T1711" s="9">
        <v>130</v>
      </c>
      <c r="U1711" s="9">
        <v>126</v>
      </c>
      <c r="V1711" s="9">
        <v>125</v>
      </c>
      <c r="W1711" s="9">
        <v>121</v>
      </c>
      <c r="X1711" s="9">
        <v>122</v>
      </c>
      <c r="Y1711" s="9">
        <v>118</v>
      </c>
      <c r="Z1711" s="9">
        <v>117</v>
      </c>
      <c r="AA1711" s="9">
        <v>112</v>
      </c>
      <c r="AB1711" s="9">
        <v>115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</row>
    <row r="1712" spans="1:47" ht="14.4">
      <c r="A1712" s="3">
        <f>LOOKUP(D1712,'AMFI DATA_2023H2'!F:L,'AMFI DATA_2023H2'!L:L)</f>
        <v>2302</v>
      </c>
      <c r="B1712" s="4" t="s">
        <v>5135</v>
      </c>
      <c r="C1712" s="4" t="s">
        <v>5136</v>
      </c>
      <c r="D1712" s="5" t="s">
        <v>5137</v>
      </c>
      <c r="E1712" s="5">
        <v>93.26</v>
      </c>
      <c r="F1712" s="6">
        <f>LOOKUP(D1712,'AMFI DATA_2023H2'!F:J,'AMFI DATA_2023H2'!J:J)</f>
        <v>111.48220000000001</v>
      </c>
      <c r="G1712" s="7">
        <f t="shared" si="6"/>
        <v>-1</v>
      </c>
      <c r="H1712" s="9"/>
      <c r="I1712" s="9">
        <v>179</v>
      </c>
      <c r="J1712" s="9">
        <v>150</v>
      </c>
      <c r="K1712" s="9">
        <v>145</v>
      </c>
      <c r="L1712" s="9">
        <v>146</v>
      </c>
      <c r="M1712" s="9">
        <v>156</v>
      </c>
      <c r="N1712" s="9">
        <v>142</v>
      </c>
      <c r="O1712" s="9">
        <v>122</v>
      </c>
      <c r="P1712" s="9">
        <v>123</v>
      </c>
      <c r="Q1712" s="9">
        <v>124</v>
      </c>
      <c r="R1712" s="9">
        <v>125</v>
      </c>
      <c r="S1712" s="9">
        <v>125</v>
      </c>
      <c r="T1712" s="9">
        <v>126</v>
      </c>
      <c r="U1712" s="9">
        <v>126</v>
      </c>
      <c r="V1712" s="9">
        <v>126</v>
      </c>
      <c r="W1712" s="9">
        <v>123</v>
      </c>
      <c r="X1712" s="9">
        <v>124</v>
      </c>
      <c r="Y1712" s="9">
        <v>122</v>
      </c>
      <c r="Z1712" s="9">
        <v>122</v>
      </c>
      <c r="AA1712" s="9">
        <v>123</v>
      </c>
      <c r="AB1712" s="9">
        <v>124</v>
      </c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</row>
    <row r="1713" spans="1:47" ht="14.4">
      <c r="A1713" s="3">
        <f>LOOKUP(D1713,'AMFI DATA_2023H2'!F:L,'AMFI DATA_2023H2'!L:L)</f>
        <v>2306</v>
      </c>
      <c r="B1713" s="4" t="s">
        <v>5138</v>
      </c>
      <c r="C1713" s="4" t="s">
        <v>5139</v>
      </c>
      <c r="D1713" s="5" t="s">
        <v>5140</v>
      </c>
      <c r="E1713" s="5">
        <v>133.1</v>
      </c>
      <c r="F1713" s="6">
        <f>LOOKUP(D1713,'AMFI DATA_2023H2'!F:J,'AMFI DATA_2023H2'!J:J)</f>
        <v>110.55295</v>
      </c>
      <c r="G1713" s="7">
        <f t="shared" si="6"/>
        <v>-1</v>
      </c>
      <c r="H1713" s="9"/>
      <c r="I1713" s="9">
        <v>127</v>
      </c>
      <c r="J1713" s="9">
        <v>135</v>
      </c>
      <c r="K1713" s="9">
        <v>141</v>
      </c>
      <c r="L1713" s="9">
        <v>148</v>
      </c>
      <c r="M1713" s="9">
        <v>156</v>
      </c>
      <c r="N1713" s="9">
        <v>153</v>
      </c>
      <c r="O1713" s="9">
        <v>146</v>
      </c>
      <c r="P1713" s="9">
        <v>139</v>
      </c>
      <c r="Q1713" s="9">
        <v>134</v>
      </c>
      <c r="R1713" s="9">
        <v>142</v>
      </c>
      <c r="S1713" s="9">
        <v>129</v>
      </c>
      <c r="T1713" s="9">
        <v>117</v>
      </c>
      <c r="U1713" s="9">
        <v>113</v>
      </c>
      <c r="V1713" s="9">
        <v>113</v>
      </c>
      <c r="W1713" s="9">
        <v>111</v>
      </c>
      <c r="X1713" s="9">
        <v>106</v>
      </c>
      <c r="Y1713" s="9">
        <v>107</v>
      </c>
      <c r="Z1713" s="9">
        <v>109</v>
      </c>
      <c r="AA1713" s="9">
        <v>109</v>
      </c>
      <c r="AB1713" s="9">
        <v>112</v>
      </c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</row>
    <row r="1714" spans="1:47" ht="14.4">
      <c r="A1714" s="3">
        <f>LOOKUP(D1714,'AMFI DATA_2023H2'!F:L,'AMFI DATA_2023H2'!L:L)</f>
        <v>2309</v>
      </c>
      <c r="B1714" s="4" t="s">
        <v>5141</v>
      </c>
      <c r="C1714" s="4" t="s">
        <v>5142</v>
      </c>
      <c r="D1714" s="5" t="s">
        <v>5143</v>
      </c>
      <c r="E1714" s="5">
        <v>107.89</v>
      </c>
      <c r="F1714" s="6">
        <f>LOOKUP(D1714,'AMFI DATA_2023H2'!F:J,'AMFI DATA_2023H2'!J:J)</f>
        <v>110.39870000000001</v>
      </c>
      <c r="G1714" s="7">
        <f t="shared" si="6"/>
        <v>-1</v>
      </c>
      <c r="H1714" s="9"/>
      <c r="I1714" s="9">
        <v>123</v>
      </c>
      <c r="J1714" s="9">
        <v>122</v>
      </c>
      <c r="K1714" s="9">
        <v>117</v>
      </c>
      <c r="L1714" s="9">
        <v>120</v>
      </c>
      <c r="M1714" s="9">
        <v>123</v>
      </c>
      <c r="N1714" s="9">
        <v>127</v>
      </c>
      <c r="O1714" s="9">
        <v>125</v>
      </c>
      <c r="P1714" s="9">
        <v>124</v>
      </c>
      <c r="Q1714" s="9">
        <v>128</v>
      </c>
      <c r="R1714" s="9">
        <v>119</v>
      </c>
      <c r="S1714" s="9">
        <v>117</v>
      </c>
      <c r="T1714" s="9">
        <v>111</v>
      </c>
      <c r="U1714" s="9">
        <v>113</v>
      </c>
      <c r="V1714" s="9">
        <v>113</v>
      </c>
      <c r="W1714" s="9">
        <v>109</v>
      </c>
      <c r="X1714" s="9">
        <v>106</v>
      </c>
      <c r="Y1714" s="9">
        <v>108</v>
      </c>
      <c r="Z1714" s="9">
        <v>108</v>
      </c>
      <c r="AA1714" s="9">
        <v>109</v>
      </c>
      <c r="AB1714" s="9">
        <v>109</v>
      </c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</row>
    <row r="1715" spans="1:47" ht="14.4">
      <c r="A1715" s="3">
        <f>LOOKUP(D1715,'AMFI DATA_2023H2'!F:L,'AMFI DATA_2023H2'!L:L)</f>
        <v>2310</v>
      </c>
      <c r="B1715" s="4" t="s">
        <v>5144</v>
      </c>
      <c r="C1715" s="4" t="s">
        <v>5145</v>
      </c>
      <c r="D1715" s="5" t="s">
        <v>5146</v>
      </c>
      <c r="E1715" s="5">
        <v>86.32</v>
      </c>
      <c r="F1715" s="6">
        <f>LOOKUP(D1715,'AMFI DATA_2023H2'!F:J,'AMFI DATA_2023H2'!J:J)</f>
        <v>109.80305</v>
      </c>
      <c r="G1715" s="7">
        <f t="shared" si="6"/>
        <v>-1</v>
      </c>
      <c r="H1715" s="9"/>
      <c r="I1715" s="9">
        <v>144</v>
      </c>
      <c r="J1715" s="9">
        <v>137</v>
      </c>
      <c r="K1715" s="9">
        <v>138</v>
      </c>
      <c r="L1715" s="9">
        <v>133</v>
      </c>
      <c r="M1715" s="9">
        <v>135</v>
      </c>
      <c r="N1715" s="9">
        <v>134</v>
      </c>
      <c r="O1715" s="9">
        <v>132</v>
      </c>
      <c r="P1715" s="9">
        <v>131</v>
      </c>
      <c r="Q1715" s="9">
        <v>129</v>
      </c>
      <c r="R1715" s="9">
        <v>124</v>
      </c>
      <c r="S1715" s="9">
        <v>124</v>
      </c>
      <c r="T1715" s="9">
        <v>128</v>
      </c>
      <c r="U1715" s="9">
        <v>122</v>
      </c>
      <c r="V1715" s="9">
        <v>120</v>
      </c>
      <c r="W1715" s="9">
        <v>119</v>
      </c>
      <c r="X1715" s="9">
        <v>122</v>
      </c>
      <c r="Y1715" s="9">
        <v>122</v>
      </c>
      <c r="Z1715" s="9">
        <v>121</v>
      </c>
      <c r="AA1715" s="9">
        <v>124</v>
      </c>
      <c r="AB1715" s="9">
        <v>124</v>
      </c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</row>
    <row r="1716" spans="1:47" ht="14.4">
      <c r="A1716" s="3">
        <f>LOOKUP(D1716,'AMFI DATA_2023H2'!F:L,'AMFI DATA_2023H2'!L:L)</f>
        <v>2314</v>
      </c>
      <c r="B1716" s="4" t="s">
        <v>5147</v>
      </c>
      <c r="C1716" s="4" t="s">
        <v>5148</v>
      </c>
      <c r="D1716" s="5" t="s">
        <v>5149</v>
      </c>
      <c r="E1716" s="5">
        <v>93.35</v>
      </c>
      <c r="F1716" s="6">
        <f>LOOKUP(D1716,'AMFI DATA_2023H2'!F:J,'AMFI DATA_2023H2'!J:J)</f>
        <v>109.5483</v>
      </c>
      <c r="G1716" s="7">
        <f t="shared" si="6"/>
        <v>-1</v>
      </c>
      <c r="H1716" s="9"/>
      <c r="I1716" s="9">
        <v>113</v>
      </c>
      <c r="J1716" s="9">
        <v>114</v>
      </c>
      <c r="K1716" s="9">
        <v>116</v>
      </c>
      <c r="L1716" s="9">
        <v>116</v>
      </c>
      <c r="M1716" s="9">
        <v>115</v>
      </c>
      <c r="N1716" s="9">
        <v>120</v>
      </c>
      <c r="O1716" s="9">
        <v>120</v>
      </c>
      <c r="P1716" s="9">
        <v>117</v>
      </c>
      <c r="Q1716" s="9">
        <v>117</v>
      </c>
      <c r="R1716" s="9">
        <v>115</v>
      </c>
      <c r="S1716" s="9">
        <v>113</v>
      </c>
      <c r="T1716" s="9">
        <v>112</v>
      </c>
      <c r="U1716" s="9">
        <v>113</v>
      </c>
      <c r="V1716" s="9">
        <v>111</v>
      </c>
      <c r="W1716" s="9">
        <v>109</v>
      </c>
      <c r="X1716" s="9">
        <v>107</v>
      </c>
      <c r="Y1716" s="9">
        <v>109</v>
      </c>
      <c r="Z1716" s="9">
        <v>108</v>
      </c>
      <c r="AA1716" s="9">
        <v>109</v>
      </c>
      <c r="AB1716" s="9">
        <v>111</v>
      </c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</row>
    <row r="1717" spans="1:47" ht="14.4">
      <c r="A1717" s="3">
        <f>LOOKUP(D1717,'AMFI DATA_2023H2'!F:L,'AMFI DATA_2023H2'!L:L)</f>
        <v>2319</v>
      </c>
      <c r="B1717" s="4" t="s">
        <v>5150</v>
      </c>
      <c r="C1717" s="4" t="s">
        <v>5151</v>
      </c>
      <c r="D1717" s="5" t="s">
        <v>5152</v>
      </c>
      <c r="E1717" s="5">
        <v>104.41</v>
      </c>
      <c r="F1717" s="6">
        <f>LOOKUP(D1717,'AMFI DATA_2023H2'!F:J,'AMFI DATA_2023H2'!J:J)</f>
        <v>108.83920000000001</v>
      </c>
      <c r="G1717" s="7">
        <f t="shared" si="6"/>
        <v>-1</v>
      </c>
      <c r="H1717" s="9"/>
      <c r="I1717" s="9">
        <v>175</v>
      </c>
      <c r="J1717" s="9">
        <v>169</v>
      </c>
      <c r="K1717" s="9">
        <v>159</v>
      </c>
      <c r="L1717" s="9">
        <v>164</v>
      </c>
      <c r="M1717" s="9">
        <v>173</v>
      </c>
      <c r="N1717" s="9">
        <v>170</v>
      </c>
      <c r="O1717" s="9">
        <v>179</v>
      </c>
      <c r="P1717" s="9">
        <v>171</v>
      </c>
      <c r="Q1717" s="9">
        <v>155</v>
      </c>
      <c r="R1717" s="9">
        <v>142</v>
      </c>
      <c r="S1717" s="9">
        <v>129</v>
      </c>
      <c r="T1717" s="9">
        <v>126</v>
      </c>
      <c r="U1717" s="9">
        <v>126</v>
      </c>
      <c r="V1717" s="9">
        <v>125</v>
      </c>
      <c r="W1717" s="9">
        <v>129</v>
      </c>
      <c r="X1717" s="9">
        <v>124</v>
      </c>
      <c r="Y1717" s="9">
        <v>127</v>
      </c>
      <c r="Z1717" s="9">
        <v>130</v>
      </c>
      <c r="AA1717" s="9">
        <v>138</v>
      </c>
      <c r="AB1717" s="9">
        <v>132</v>
      </c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</row>
    <row r="1718" spans="1:47" ht="14.4">
      <c r="A1718" s="3">
        <f>LOOKUP(D1718,'AMFI DATA_2023H2'!F:L,'AMFI DATA_2023H2'!L:L)</f>
        <v>2322</v>
      </c>
      <c r="B1718" s="4" t="s">
        <v>5153</v>
      </c>
      <c r="C1718" s="4" t="s">
        <v>5154</v>
      </c>
      <c r="D1718" s="5" t="s">
        <v>5155</v>
      </c>
      <c r="E1718" s="5">
        <v>71.430000000000007</v>
      </c>
      <c r="F1718" s="6">
        <f>LOOKUP(D1718,'AMFI DATA_2023H2'!F:J,'AMFI DATA_2023H2'!J:J)</f>
        <v>108.6754</v>
      </c>
      <c r="G1718" s="7">
        <f t="shared" si="6"/>
        <v>-1</v>
      </c>
      <c r="H1718" s="9"/>
      <c r="I1718" s="9">
        <v>108</v>
      </c>
      <c r="J1718" s="9">
        <v>103</v>
      </c>
      <c r="K1718" s="9">
        <v>107</v>
      </c>
      <c r="L1718" s="9">
        <v>109</v>
      </c>
      <c r="M1718" s="9">
        <v>117</v>
      </c>
      <c r="N1718" s="9">
        <v>115</v>
      </c>
      <c r="O1718" s="9">
        <v>108</v>
      </c>
      <c r="P1718" s="9">
        <v>111</v>
      </c>
      <c r="Q1718" s="9">
        <v>110</v>
      </c>
      <c r="R1718" s="9">
        <v>111</v>
      </c>
      <c r="S1718" s="9">
        <v>115</v>
      </c>
      <c r="T1718" s="9">
        <v>115</v>
      </c>
      <c r="U1718" s="9">
        <v>116</v>
      </c>
      <c r="V1718" s="9">
        <v>118</v>
      </c>
      <c r="W1718" s="9">
        <v>119</v>
      </c>
      <c r="X1718" s="9">
        <v>109</v>
      </c>
      <c r="Y1718" s="9">
        <v>114</v>
      </c>
      <c r="Z1718" s="9">
        <v>116</v>
      </c>
      <c r="AA1718" s="9">
        <v>117</v>
      </c>
      <c r="AB1718" s="9">
        <v>118</v>
      </c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</row>
    <row r="1719" spans="1:47" ht="14.4">
      <c r="A1719" s="3">
        <f>LOOKUP(D1719,'AMFI DATA_2023H2'!F:L,'AMFI DATA_2023H2'!L:L)</f>
        <v>2325</v>
      </c>
      <c r="B1719" s="4" t="s">
        <v>5156</v>
      </c>
      <c r="C1719" s="4" t="s">
        <v>5157</v>
      </c>
      <c r="D1719" s="5" t="s">
        <v>5158</v>
      </c>
      <c r="E1719" s="5">
        <v>89.42</v>
      </c>
      <c r="F1719" s="6">
        <f>LOOKUP(D1719,'AMFI DATA_2023H2'!F:J,'AMFI DATA_2023H2'!J:J)</f>
        <v>108.20515</v>
      </c>
      <c r="G1719" s="7">
        <f t="shared" si="6"/>
        <v>-1</v>
      </c>
      <c r="H1719" s="9"/>
      <c r="I1719" s="9">
        <v>164</v>
      </c>
      <c r="J1719" s="9">
        <v>167</v>
      </c>
      <c r="K1719" s="9">
        <v>170</v>
      </c>
      <c r="L1719" s="9">
        <v>174</v>
      </c>
      <c r="M1719" s="9">
        <v>177</v>
      </c>
      <c r="N1719" s="9">
        <v>181</v>
      </c>
      <c r="O1719" s="9">
        <v>185</v>
      </c>
      <c r="P1719" s="9">
        <v>181</v>
      </c>
      <c r="Q1719" s="9">
        <v>178</v>
      </c>
      <c r="R1719" s="9">
        <v>174</v>
      </c>
      <c r="S1719" s="9">
        <v>171</v>
      </c>
      <c r="T1719" s="9">
        <v>168</v>
      </c>
      <c r="U1719" s="9">
        <v>164</v>
      </c>
      <c r="V1719" s="9">
        <v>161</v>
      </c>
      <c r="W1719" s="9">
        <v>154</v>
      </c>
      <c r="X1719" s="9">
        <v>146</v>
      </c>
      <c r="Y1719" s="9">
        <v>140</v>
      </c>
      <c r="Z1719" s="9">
        <v>141</v>
      </c>
      <c r="AA1719" s="9">
        <v>137</v>
      </c>
      <c r="AB1719" s="9">
        <v>131</v>
      </c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</row>
    <row r="1720" spans="1:47" ht="14.4">
      <c r="A1720" s="3">
        <f>LOOKUP(D1720,'AMFI DATA_2023H2'!F:L,'AMFI DATA_2023H2'!L:L)</f>
        <v>2331</v>
      </c>
      <c r="B1720" s="4" t="s">
        <v>5159</v>
      </c>
      <c r="C1720" s="4" t="s">
        <v>5160</v>
      </c>
      <c r="D1720" s="5" t="s">
        <v>5161</v>
      </c>
      <c r="E1720" s="5">
        <v>74.48</v>
      </c>
      <c r="F1720" s="6">
        <f>LOOKUP(D1720,'AMFI DATA_2023H2'!F:J,'AMFI DATA_2023H2'!J:J)</f>
        <v>107.32015</v>
      </c>
      <c r="G1720" s="7">
        <f t="shared" si="6"/>
        <v>-1</v>
      </c>
      <c r="H1720" s="9"/>
      <c r="I1720" s="9">
        <v>139</v>
      </c>
      <c r="J1720" s="9">
        <v>135</v>
      </c>
      <c r="K1720" s="9">
        <v>132</v>
      </c>
      <c r="L1720" s="9">
        <v>132</v>
      </c>
      <c r="M1720" s="9">
        <v>136</v>
      </c>
      <c r="N1720" s="9">
        <v>135</v>
      </c>
      <c r="O1720" s="9">
        <v>137</v>
      </c>
      <c r="P1720" s="9">
        <v>137</v>
      </c>
      <c r="Q1720" s="9">
        <v>137</v>
      </c>
      <c r="R1720" s="9">
        <v>140</v>
      </c>
      <c r="S1720" s="9">
        <v>141</v>
      </c>
      <c r="T1720" s="9">
        <v>139</v>
      </c>
      <c r="U1720" s="9">
        <v>147</v>
      </c>
      <c r="V1720" s="9">
        <v>135</v>
      </c>
      <c r="W1720" s="9">
        <v>138</v>
      </c>
      <c r="X1720" s="9">
        <v>139</v>
      </c>
      <c r="Y1720" s="9">
        <v>140</v>
      </c>
      <c r="Z1720" s="9">
        <v>140</v>
      </c>
      <c r="AA1720" s="9">
        <v>143</v>
      </c>
      <c r="AB1720" s="9">
        <v>143</v>
      </c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1:47" ht="14.4">
      <c r="A1721" s="3">
        <f>LOOKUP(D1721,'AMFI DATA_2023H2'!F:L,'AMFI DATA_2023H2'!L:L)</f>
        <v>2333</v>
      </c>
      <c r="B1721" s="4" t="s">
        <v>5162</v>
      </c>
      <c r="C1721" s="4" t="s">
        <v>5163</v>
      </c>
      <c r="D1721" s="5" t="s">
        <v>5164</v>
      </c>
      <c r="E1721" s="5">
        <v>136.68</v>
      </c>
      <c r="F1721" s="6">
        <f>LOOKUP(D1721,'AMFI DATA_2023H2'!F:J,'AMFI DATA_2023H2'!J:J)</f>
        <v>107.0925</v>
      </c>
      <c r="G1721" s="7">
        <f t="shared" si="6"/>
        <v>-1</v>
      </c>
      <c r="H1721" s="9"/>
      <c r="I1721" s="9">
        <v>150</v>
      </c>
      <c r="J1721" s="9">
        <v>148</v>
      </c>
      <c r="K1721" s="9">
        <v>150</v>
      </c>
      <c r="L1721" s="9">
        <v>153</v>
      </c>
      <c r="M1721" s="9">
        <v>158</v>
      </c>
      <c r="N1721" s="9">
        <v>159</v>
      </c>
      <c r="O1721" s="9">
        <v>154</v>
      </c>
      <c r="P1721" s="9">
        <v>147</v>
      </c>
      <c r="Q1721" s="9">
        <v>150</v>
      </c>
      <c r="R1721" s="9">
        <v>154</v>
      </c>
      <c r="S1721" s="9">
        <v>158</v>
      </c>
      <c r="T1721" s="9">
        <v>160</v>
      </c>
      <c r="U1721" s="9">
        <v>157</v>
      </c>
      <c r="V1721" s="9">
        <v>162</v>
      </c>
      <c r="W1721" s="9">
        <v>164</v>
      </c>
      <c r="X1721" s="9">
        <v>171</v>
      </c>
      <c r="Y1721" s="9">
        <v>163</v>
      </c>
      <c r="Z1721" s="9">
        <v>172</v>
      </c>
      <c r="AA1721" s="9">
        <v>191</v>
      </c>
      <c r="AB1721" s="9">
        <v>170</v>
      </c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</row>
    <row r="1722" spans="1:47" ht="14.4">
      <c r="A1722" s="3">
        <f>LOOKUP(D1722,'AMFI DATA_2023H2'!F:L,'AMFI DATA_2023H2'!L:L)</f>
        <v>2343</v>
      </c>
      <c r="B1722" s="4" t="s">
        <v>5165</v>
      </c>
      <c r="C1722" s="4" t="s">
        <v>5166</v>
      </c>
      <c r="D1722" s="5" t="s">
        <v>5167</v>
      </c>
      <c r="E1722" s="5">
        <v>103.73</v>
      </c>
      <c r="F1722" s="6">
        <f>LOOKUP(D1722,'AMFI DATA_2023H2'!F:J,'AMFI DATA_2023H2'!J:J)</f>
        <v>105.6634</v>
      </c>
      <c r="G1722" s="7">
        <f t="shared" si="6"/>
        <v>-1</v>
      </c>
      <c r="H1722" s="9"/>
      <c r="I1722" s="9">
        <v>178</v>
      </c>
      <c r="J1722" s="9">
        <v>182</v>
      </c>
      <c r="K1722" s="9">
        <v>186</v>
      </c>
      <c r="L1722" s="9">
        <v>189</v>
      </c>
      <c r="M1722" s="9">
        <v>193</v>
      </c>
      <c r="N1722" s="9">
        <v>197</v>
      </c>
      <c r="O1722" s="9">
        <v>201</v>
      </c>
      <c r="P1722" s="9">
        <v>201</v>
      </c>
      <c r="Q1722" s="9">
        <v>192</v>
      </c>
      <c r="R1722" s="9">
        <v>183</v>
      </c>
      <c r="S1722" s="9">
        <v>177</v>
      </c>
      <c r="T1722" s="9">
        <v>169</v>
      </c>
      <c r="U1722" s="9">
        <v>161</v>
      </c>
      <c r="V1722" s="9">
        <v>157</v>
      </c>
      <c r="W1722" s="9">
        <v>160</v>
      </c>
      <c r="X1722" s="9">
        <v>159</v>
      </c>
      <c r="Y1722" s="9">
        <v>162</v>
      </c>
      <c r="Z1722" s="9">
        <v>166</v>
      </c>
      <c r="AA1722" s="9">
        <v>162</v>
      </c>
      <c r="AB1722" s="9">
        <v>154</v>
      </c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</row>
    <row r="1723" spans="1:47" ht="14.4">
      <c r="A1723" s="3">
        <f>LOOKUP(D1723,'AMFI DATA_2023H2'!F:L,'AMFI DATA_2023H2'!L:L)</f>
        <v>2349</v>
      </c>
      <c r="B1723" s="4" t="s">
        <v>5168</v>
      </c>
      <c r="C1723" s="4" t="s">
        <v>5169</v>
      </c>
      <c r="D1723" s="5" t="s">
        <v>5170</v>
      </c>
      <c r="E1723" s="5">
        <v>84.32</v>
      </c>
      <c r="F1723" s="6">
        <f>LOOKUP(D1723,'AMFI DATA_2023H2'!F:J,'AMFI DATA_2023H2'!J:J)</f>
        <v>104.7303</v>
      </c>
      <c r="G1723" s="7">
        <f t="shared" si="6"/>
        <v>-1</v>
      </c>
      <c r="H1723" s="9"/>
      <c r="I1723" s="9">
        <v>134</v>
      </c>
      <c r="J1723" s="9">
        <v>133</v>
      </c>
      <c r="K1723" s="9">
        <v>127</v>
      </c>
      <c r="L1723" s="9">
        <v>132</v>
      </c>
      <c r="M1723" s="9">
        <v>131</v>
      </c>
      <c r="N1723" s="9">
        <v>133</v>
      </c>
      <c r="O1723" s="9">
        <v>135</v>
      </c>
      <c r="P1723" s="9">
        <v>135</v>
      </c>
      <c r="Q1723" s="9">
        <v>137</v>
      </c>
      <c r="R1723" s="9">
        <v>137</v>
      </c>
      <c r="S1723" s="9">
        <v>139</v>
      </c>
      <c r="T1723" s="9">
        <v>141</v>
      </c>
      <c r="U1723" s="9">
        <v>136</v>
      </c>
      <c r="V1723" s="9">
        <v>137</v>
      </c>
      <c r="W1723" s="9">
        <v>135</v>
      </c>
      <c r="X1723" s="9">
        <v>125</v>
      </c>
      <c r="Y1723" s="9">
        <v>124</v>
      </c>
      <c r="Z1723" s="9">
        <v>127</v>
      </c>
      <c r="AA1723" s="9">
        <v>129</v>
      </c>
      <c r="AB1723" s="9">
        <v>129</v>
      </c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</row>
    <row r="1724" spans="1:47" ht="14.4">
      <c r="A1724" s="3">
        <f>LOOKUP(D1724,'AMFI DATA_2023H2'!F:L,'AMFI DATA_2023H2'!L:L)</f>
        <v>2351</v>
      </c>
      <c r="B1724" s="4" t="s">
        <v>5171</v>
      </c>
      <c r="C1724" s="4" t="s">
        <v>5172</v>
      </c>
      <c r="D1724" s="5" t="s">
        <v>5173</v>
      </c>
      <c r="E1724" s="5">
        <v>59.91</v>
      </c>
      <c r="F1724" s="6">
        <f>LOOKUP(D1724,'AMFI DATA_2023H2'!F:J,'AMFI DATA_2023H2'!J:J)</f>
        <v>104.13255000000001</v>
      </c>
      <c r="G1724" s="7">
        <f t="shared" si="6"/>
        <v>-1</v>
      </c>
      <c r="H1724" s="9"/>
      <c r="I1724" s="9">
        <v>131</v>
      </c>
      <c r="J1724" s="9">
        <v>133</v>
      </c>
      <c r="K1724" s="9">
        <v>135</v>
      </c>
      <c r="L1724" s="9">
        <v>143</v>
      </c>
      <c r="M1724" s="9">
        <v>120</v>
      </c>
      <c r="N1724" s="9">
        <v>119</v>
      </c>
      <c r="O1724" s="9">
        <v>121</v>
      </c>
      <c r="P1724" s="9">
        <v>119</v>
      </c>
      <c r="Q1724" s="9">
        <v>119</v>
      </c>
      <c r="R1724" s="9">
        <v>121</v>
      </c>
      <c r="S1724" s="9">
        <v>117</v>
      </c>
      <c r="T1724" s="9">
        <v>119</v>
      </c>
      <c r="U1724" s="9">
        <v>114</v>
      </c>
      <c r="V1724" s="9">
        <v>114</v>
      </c>
      <c r="W1724" s="9">
        <v>118</v>
      </c>
      <c r="X1724" s="9">
        <v>115</v>
      </c>
      <c r="Y1724" s="9">
        <v>0</v>
      </c>
      <c r="Z1724" s="9">
        <v>117</v>
      </c>
      <c r="AA1724" s="9">
        <v>118</v>
      </c>
      <c r="AB1724" s="9">
        <v>117</v>
      </c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</row>
    <row r="1725" spans="1:47" ht="14.4">
      <c r="A1725" s="3">
        <f>LOOKUP(D1725,'AMFI DATA_2023H2'!F:L,'AMFI DATA_2023H2'!L:L)</f>
        <v>2354</v>
      </c>
      <c r="B1725" s="4" t="s">
        <v>5174</v>
      </c>
      <c r="C1725" s="4" t="s">
        <v>5175</v>
      </c>
      <c r="D1725" s="5" t="s">
        <v>5176</v>
      </c>
      <c r="E1725" s="5">
        <v>86.87</v>
      </c>
      <c r="F1725" s="6">
        <f>LOOKUP(D1725,'AMFI DATA_2023H2'!F:J,'AMFI DATA_2023H2'!J:J)</f>
        <v>103.86879999999999</v>
      </c>
      <c r="G1725" s="7">
        <f t="shared" si="6"/>
        <v>-1</v>
      </c>
      <c r="H1725" s="9"/>
      <c r="I1725" s="9">
        <v>163</v>
      </c>
      <c r="J1725" s="9">
        <v>166</v>
      </c>
      <c r="K1725" s="9">
        <v>169</v>
      </c>
      <c r="L1725" s="9">
        <v>173</v>
      </c>
      <c r="M1725" s="9">
        <v>176</v>
      </c>
      <c r="N1725" s="9">
        <v>180</v>
      </c>
      <c r="O1725" s="9">
        <v>183</v>
      </c>
      <c r="P1725" s="9">
        <v>187</v>
      </c>
      <c r="Q1725" s="9">
        <v>191</v>
      </c>
      <c r="R1725" s="9">
        <v>195</v>
      </c>
      <c r="S1725" s="9">
        <v>199</v>
      </c>
      <c r="T1725" s="9">
        <v>202</v>
      </c>
      <c r="U1725" s="9">
        <v>206</v>
      </c>
      <c r="V1725" s="9">
        <v>211</v>
      </c>
      <c r="W1725" s="9">
        <v>215</v>
      </c>
      <c r="X1725" s="9">
        <v>219</v>
      </c>
      <c r="Y1725" s="9">
        <v>209</v>
      </c>
      <c r="Z1725" s="9">
        <v>199</v>
      </c>
      <c r="AA1725" s="9">
        <v>188</v>
      </c>
      <c r="AB1725" s="9">
        <v>180</v>
      </c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</row>
    <row r="1726" spans="1:47" ht="14.4">
      <c r="A1726" s="3">
        <f>LOOKUP(D1726,'AMFI DATA_2023H2'!F:L,'AMFI DATA_2023H2'!L:L)</f>
        <v>2356</v>
      </c>
      <c r="B1726" s="4" t="s">
        <v>5177</v>
      </c>
      <c r="C1726" s="4" t="s">
        <v>5178</v>
      </c>
      <c r="D1726" s="5" t="s">
        <v>5179</v>
      </c>
      <c r="E1726" s="5">
        <v>92.43</v>
      </c>
      <c r="F1726" s="6">
        <f>LOOKUP(D1726,'AMFI DATA_2023H2'!F:J,'AMFI DATA_2023H2'!J:J)</f>
        <v>103.47450000000001</v>
      </c>
      <c r="G1726" s="7">
        <f t="shared" si="6"/>
        <v>-1</v>
      </c>
      <c r="H1726" s="9"/>
      <c r="I1726" s="9">
        <v>116</v>
      </c>
      <c r="J1726" s="9">
        <v>114</v>
      </c>
      <c r="K1726" s="9">
        <v>113</v>
      </c>
      <c r="L1726" s="9">
        <v>113</v>
      </c>
      <c r="M1726" s="9">
        <v>113</v>
      </c>
      <c r="N1726" s="9">
        <v>115</v>
      </c>
      <c r="O1726" s="9">
        <v>116</v>
      </c>
      <c r="P1726" s="9">
        <v>114</v>
      </c>
      <c r="Q1726" s="9">
        <v>116</v>
      </c>
      <c r="R1726" s="9">
        <v>117</v>
      </c>
      <c r="S1726" s="9">
        <v>119</v>
      </c>
      <c r="T1726" s="9">
        <v>109</v>
      </c>
      <c r="U1726" s="9">
        <v>108</v>
      </c>
      <c r="V1726" s="9">
        <v>106</v>
      </c>
      <c r="W1726" s="9">
        <v>107</v>
      </c>
      <c r="X1726" s="9">
        <v>106</v>
      </c>
      <c r="Y1726" s="9">
        <v>108</v>
      </c>
      <c r="Z1726" s="9">
        <v>110</v>
      </c>
      <c r="AA1726" s="9">
        <v>109</v>
      </c>
      <c r="AB1726" s="9">
        <v>109</v>
      </c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</row>
    <row r="1727" spans="1:47" ht="14.4">
      <c r="A1727" s="3">
        <f>LOOKUP(D1727,'AMFI DATA_2023H2'!F:L,'AMFI DATA_2023H2'!L:L)</f>
        <v>2360</v>
      </c>
      <c r="B1727" s="4" t="s">
        <v>5180</v>
      </c>
      <c r="C1727" s="4" t="s">
        <v>5181</v>
      </c>
      <c r="D1727" s="5" t="s">
        <v>5182</v>
      </c>
      <c r="E1727" s="5">
        <v>114.57</v>
      </c>
      <c r="F1727" s="6">
        <f>LOOKUP(D1727,'AMFI DATA_2023H2'!F:J,'AMFI DATA_2023H2'!J:J)</f>
        <v>102.6725</v>
      </c>
      <c r="G1727" s="7">
        <f t="shared" si="6"/>
        <v>-1</v>
      </c>
      <c r="H1727" s="9"/>
      <c r="I1727" s="9">
        <v>145</v>
      </c>
      <c r="J1727" s="9">
        <v>144</v>
      </c>
      <c r="K1727" s="9">
        <v>148</v>
      </c>
      <c r="L1727" s="9">
        <v>148</v>
      </c>
      <c r="M1727" s="9">
        <v>149</v>
      </c>
      <c r="N1727" s="9">
        <v>149</v>
      </c>
      <c r="O1727" s="9">
        <v>146</v>
      </c>
      <c r="P1727" s="9">
        <v>145</v>
      </c>
      <c r="Q1727" s="9">
        <v>149</v>
      </c>
      <c r="R1727" s="9">
        <v>143</v>
      </c>
      <c r="S1727" s="9">
        <v>143</v>
      </c>
      <c r="T1727" s="9">
        <v>142</v>
      </c>
      <c r="U1727" s="9">
        <v>145</v>
      </c>
      <c r="V1727" s="9">
        <v>143</v>
      </c>
      <c r="W1727" s="9">
        <v>144</v>
      </c>
      <c r="X1727" s="9">
        <v>142</v>
      </c>
      <c r="Y1727" s="9">
        <v>138</v>
      </c>
      <c r="Z1727" s="9">
        <v>142</v>
      </c>
      <c r="AA1727" s="9">
        <v>144</v>
      </c>
      <c r="AB1727" s="9">
        <v>144</v>
      </c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</row>
    <row r="1728" spans="1:47" ht="14.4">
      <c r="A1728" s="3">
        <f>LOOKUP(D1728,'AMFI DATA_2023H2'!F:L,'AMFI DATA_2023H2'!L:L)</f>
        <v>2362</v>
      </c>
      <c r="B1728" s="4" t="s">
        <v>5183</v>
      </c>
      <c r="C1728" s="4" t="s">
        <v>5184</v>
      </c>
      <c r="D1728" s="5" t="s">
        <v>5185</v>
      </c>
      <c r="E1728" s="5">
        <v>93.35</v>
      </c>
      <c r="F1728" s="6">
        <f>LOOKUP(D1728,'AMFI DATA_2023H2'!F:J,'AMFI DATA_2023H2'!J:J)</f>
        <v>102.4815</v>
      </c>
      <c r="G1728" s="7">
        <f t="shared" si="6"/>
        <v>-1</v>
      </c>
      <c r="H1728" s="9"/>
      <c r="I1728" s="9">
        <v>140</v>
      </c>
      <c r="J1728" s="9">
        <v>142</v>
      </c>
      <c r="K1728" s="9">
        <v>142</v>
      </c>
      <c r="L1728" s="9">
        <v>142</v>
      </c>
      <c r="M1728" s="9">
        <v>147</v>
      </c>
      <c r="N1728" s="9">
        <v>144</v>
      </c>
      <c r="O1728" s="9">
        <v>150</v>
      </c>
      <c r="P1728" s="9">
        <v>143</v>
      </c>
      <c r="Q1728" s="9">
        <v>136</v>
      </c>
      <c r="R1728" s="9">
        <v>137</v>
      </c>
      <c r="S1728" s="9">
        <v>138</v>
      </c>
      <c r="T1728" s="9">
        <v>137</v>
      </c>
      <c r="U1728" s="9">
        <v>142</v>
      </c>
      <c r="V1728" s="9">
        <v>135</v>
      </c>
      <c r="W1728" s="9">
        <v>137</v>
      </c>
      <c r="X1728" s="9">
        <v>137</v>
      </c>
      <c r="Y1728" s="9">
        <v>138</v>
      </c>
      <c r="Z1728" s="9">
        <v>137</v>
      </c>
      <c r="AA1728" s="9">
        <v>139</v>
      </c>
      <c r="AB1728" s="9">
        <v>137</v>
      </c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</row>
    <row r="1729" spans="1:47" ht="14.4">
      <c r="A1729" s="3">
        <f>LOOKUP(D1729,'AMFI DATA_2023H2'!F:L,'AMFI DATA_2023H2'!L:L)</f>
        <v>2369</v>
      </c>
      <c r="B1729" s="4" t="s">
        <v>5186</v>
      </c>
      <c r="C1729" s="4" t="s">
        <v>5187</v>
      </c>
      <c r="D1729" s="5" t="s">
        <v>5188</v>
      </c>
      <c r="E1729" s="5">
        <v>118.87</v>
      </c>
      <c r="F1729" s="6">
        <f>LOOKUP(D1729,'AMFI DATA_2023H2'!F:J,'AMFI DATA_2023H2'!J:J)</f>
        <v>101.6948</v>
      </c>
      <c r="G1729" s="7">
        <f t="shared" si="6"/>
        <v>-1</v>
      </c>
      <c r="H1729" s="9"/>
      <c r="I1729" s="9">
        <v>165</v>
      </c>
      <c r="J1729" s="9">
        <v>162</v>
      </c>
      <c r="K1729" s="9">
        <v>159</v>
      </c>
      <c r="L1729" s="9">
        <v>156</v>
      </c>
      <c r="M1729" s="9">
        <v>156</v>
      </c>
      <c r="N1729" s="9">
        <v>159</v>
      </c>
      <c r="O1729" s="9">
        <v>162</v>
      </c>
      <c r="P1729" s="9">
        <v>165</v>
      </c>
      <c r="Q1729" s="9">
        <v>168</v>
      </c>
      <c r="R1729" s="9">
        <v>172</v>
      </c>
      <c r="S1729" s="9">
        <v>175</v>
      </c>
      <c r="T1729" s="9">
        <v>178</v>
      </c>
      <c r="U1729" s="9">
        <v>178</v>
      </c>
      <c r="V1729" s="9">
        <v>170</v>
      </c>
      <c r="W1729" s="9">
        <v>162</v>
      </c>
      <c r="X1729" s="9">
        <v>155</v>
      </c>
      <c r="Y1729" s="9">
        <v>147</v>
      </c>
      <c r="Z1729" s="9">
        <v>141</v>
      </c>
      <c r="AA1729" s="9">
        <v>134</v>
      </c>
      <c r="AB1729" s="9">
        <v>128</v>
      </c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</row>
    <row r="1730" spans="1:47" ht="14.4">
      <c r="A1730" s="3">
        <f>LOOKUP(D1730,'AMFI DATA_2023H2'!F:L,'AMFI DATA_2023H2'!L:L)</f>
        <v>2375</v>
      </c>
      <c r="B1730" s="4" t="s">
        <v>5189</v>
      </c>
      <c r="C1730" s="4" t="s">
        <v>5190</v>
      </c>
      <c r="D1730" s="5" t="s">
        <v>5191</v>
      </c>
      <c r="E1730" s="5">
        <v>78.489999999999995</v>
      </c>
      <c r="F1730" s="6">
        <f>LOOKUP(D1730,'AMFI DATA_2023H2'!F:J,'AMFI DATA_2023H2'!J:J)</f>
        <v>100.71995</v>
      </c>
      <c r="G1730" s="7">
        <f t="shared" si="6"/>
        <v>-1</v>
      </c>
      <c r="H1730" s="9"/>
      <c r="I1730" s="9">
        <v>236</v>
      </c>
      <c r="J1730" s="9">
        <v>240</v>
      </c>
      <c r="K1730" s="9">
        <v>245</v>
      </c>
      <c r="L1730" s="9">
        <v>250</v>
      </c>
      <c r="M1730" s="9">
        <v>263</v>
      </c>
      <c r="N1730" s="9">
        <v>270</v>
      </c>
      <c r="O1730" s="9">
        <v>264</v>
      </c>
      <c r="P1730" s="9">
        <v>252</v>
      </c>
      <c r="Q1730" s="9">
        <v>240</v>
      </c>
      <c r="R1730" s="9">
        <v>228</v>
      </c>
      <c r="S1730" s="9">
        <v>218</v>
      </c>
      <c r="T1730" s="9">
        <v>204</v>
      </c>
      <c r="U1730" s="9">
        <v>197</v>
      </c>
      <c r="V1730" s="9">
        <v>188</v>
      </c>
      <c r="W1730" s="9">
        <v>179</v>
      </c>
      <c r="X1730" s="9">
        <v>172</v>
      </c>
      <c r="Y1730" s="9">
        <v>180</v>
      </c>
      <c r="Z1730" s="9">
        <v>172</v>
      </c>
      <c r="AA1730" s="9">
        <v>161</v>
      </c>
      <c r="AB1730" s="9">
        <v>155</v>
      </c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</row>
    <row r="1731" spans="1:47" ht="14.4">
      <c r="A1731" s="3">
        <f>LOOKUP(D1731,'AMFI DATA_2023H2'!F:L,'AMFI DATA_2023H2'!L:L)</f>
        <v>2382</v>
      </c>
      <c r="B1731" s="4" t="s">
        <v>5192</v>
      </c>
      <c r="C1731" s="4" t="s">
        <v>5193</v>
      </c>
      <c r="D1731" s="5" t="s">
        <v>5194</v>
      </c>
      <c r="E1731" s="5">
        <v>74.099999999999994</v>
      </c>
      <c r="F1731" s="6">
        <f>LOOKUP(D1731,'AMFI DATA_2023H2'!F:J,'AMFI DATA_2023H2'!J:J)</f>
        <v>100.03360000000001</v>
      </c>
      <c r="G1731" s="7">
        <f t="shared" si="6"/>
        <v>-1</v>
      </c>
      <c r="H1731" s="9"/>
      <c r="I1731" s="9">
        <v>257</v>
      </c>
      <c r="J1731" s="9">
        <v>260</v>
      </c>
      <c r="K1731" s="9">
        <v>250</v>
      </c>
      <c r="L1731" s="9">
        <v>238</v>
      </c>
      <c r="M1731" s="9">
        <v>228</v>
      </c>
      <c r="N1731" s="9">
        <v>214</v>
      </c>
      <c r="O1731" s="9">
        <v>207</v>
      </c>
      <c r="P1731" s="9">
        <v>197</v>
      </c>
      <c r="Q1731" s="9">
        <v>188</v>
      </c>
      <c r="R1731" s="9">
        <v>179</v>
      </c>
      <c r="S1731" s="9">
        <v>170</v>
      </c>
      <c r="T1731" s="9">
        <v>161</v>
      </c>
      <c r="U1731" s="9">
        <v>154</v>
      </c>
      <c r="V1731" s="9">
        <v>147</v>
      </c>
      <c r="W1731" s="9">
        <v>140</v>
      </c>
      <c r="X1731" s="9">
        <v>133</v>
      </c>
      <c r="Y1731" s="9">
        <v>127</v>
      </c>
      <c r="Z1731" s="9">
        <v>125</v>
      </c>
      <c r="AA1731" s="9">
        <v>124</v>
      </c>
      <c r="AB1731" s="9">
        <v>119</v>
      </c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</row>
    <row r="1732" spans="1:47" ht="14.4">
      <c r="A1732" s="3">
        <f>LOOKUP(D1732,'AMFI DATA_2023H2'!F:L,'AMFI DATA_2023H2'!L:L)</f>
        <v>2383</v>
      </c>
      <c r="B1732" s="4" t="s">
        <v>5195</v>
      </c>
      <c r="C1732" s="4" t="s">
        <v>5196</v>
      </c>
      <c r="D1732" s="5" t="s">
        <v>5197</v>
      </c>
      <c r="E1732" s="5">
        <v>90.45</v>
      </c>
      <c r="F1732" s="6">
        <f>LOOKUP(D1732,'AMFI DATA_2023H2'!F:J,'AMFI DATA_2023H2'!J:J)</f>
        <v>99.961099999999988</v>
      </c>
      <c r="G1732" s="7">
        <f t="shared" si="6"/>
        <v>-1</v>
      </c>
      <c r="H1732" s="9"/>
      <c r="I1732" s="9">
        <v>107</v>
      </c>
      <c r="J1732" s="9">
        <v>105</v>
      </c>
      <c r="K1732" s="9">
        <v>111</v>
      </c>
      <c r="L1732" s="9">
        <v>110</v>
      </c>
      <c r="M1732" s="9">
        <v>110</v>
      </c>
      <c r="N1732" s="9">
        <v>113</v>
      </c>
      <c r="O1732" s="9">
        <v>113</v>
      </c>
      <c r="P1732" s="9">
        <v>114</v>
      </c>
      <c r="Q1732" s="9">
        <v>116</v>
      </c>
      <c r="R1732" s="9">
        <v>110</v>
      </c>
      <c r="S1732" s="9">
        <v>110</v>
      </c>
      <c r="T1732" s="9">
        <v>111</v>
      </c>
      <c r="U1732" s="9">
        <v>110</v>
      </c>
      <c r="V1732" s="9">
        <v>110</v>
      </c>
      <c r="W1732" s="9">
        <v>111</v>
      </c>
      <c r="X1732" s="9">
        <v>111</v>
      </c>
      <c r="Y1732" s="9">
        <v>114</v>
      </c>
      <c r="Z1732" s="9">
        <v>115</v>
      </c>
      <c r="AA1732" s="9">
        <v>105</v>
      </c>
      <c r="AB1732" s="9">
        <v>107</v>
      </c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</row>
    <row r="1733" spans="1:47" ht="14.4">
      <c r="A1733" s="3">
        <f>LOOKUP(D1733,'AMFI DATA_2023H2'!F:L,'AMFI DATA_2023H2'!L:L)</f>
        <v>2384</v>
      </c>
      <c r="B1733" s="4" t="s">
        <v>5198</v>
      </c>
      <c r="C1733" s="4" t="s">
        <v>5199</v>
      </c>
      <c r="D1733" s="5" t="s">
        <v>5200</v>
      </c>
      <c r="E1733" s="5">
        <v>132.55000000000001</v>
      </c>
      <c r="F1733" s="6">
        <f>LOOKUP(D1733,'AMFI DATA_2023H2'!F:J,'AMFI DATA_2023H2'!J:J)</f>
        <v>99.798050000000003</v>
      </c>
      <c r="G1733" s="7">
        <f t="shared" si="6"/>
        <v>-1</v>
      </c>
      <c r="H1733" s="9"/>
      <c r="I1733" s="9">
        <v>78.900000000000006</v>
      </c>
      <c r="J1733" s="9">
        <v>78.900000000000006</v>
      </c>
      <c r="K1733" s="9">
        <v>78.900000000000006</v>
      </c>
      <c r="L1733" s="9">
        <v>82.6</v>
      </c>
      <c r="M1733" s="9">
        <v>86.9</v>
      </c>
      <c r="N1733" s="9">
        <v>83.2</v>
      </c>
      <c r="O1733" s="9">
        <v>80.599999999999994</v>
      </c>
      <c r="P1733" s="9">
        <v>78.5</v>
      </c>
      <c r="Q1733" s="9">
        <v>80.599999999999994</v>
      </c>
      <c r="R1733" s="9">
        <v>80.2</v>
      </c>
      <c r="S1733" s="9">
        <v>79.8</v>
      </c>
      <c r="T1733" s="9">
        <v>77.599999999999994</v>
      </c>
      <c r="U1733" s="9">
        <v>76.3</v>
      </c>
      <c r="V1733" s="9">
        <v>76.5</v>
      </c>
      <c r="W1733" s="9">
        <v>75.900000000000006</v>
      </c>
      <c r="X1733" s="9">
        <v>76.2</v>
      </c>
      <c r="Y1733" s="9">
        <v>73.8</v>
      </c>
      <c r="Z1733" s="9">
        <v>76.8</v>
      </c>
      <c r="AA1733" s="9">
        <v>78.099999999999994</v>
      </c>
      <c r="AB1733" s="9">
        <v>78.5</v>
      </c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</row>
    <row r="1734" spans="1:47" ht="14.4">
      <c r="A1734" s="3">
        <f>LOOKUP(D1734,'AMFI DATA_2023H2'!F:L,'AMFI DATA_2023H2'!L:L)</f>
        <v>2388</v>
      </c>
      <c r="B1734" s="4" t="s">
        <v>5201</v>
      </c>
      <c r="C1734" s="4" t="s">
        <v>5202</v>
      </c>
      <c r="D1734" s="5" t="s">
        <v>5203</v>
      </c>
      <c r="E1734" s="5">
        <v>93.85</v>
      </c>
      <c r="F1734" s="6">
        <f>LOOKUP(D1734,'AMFI DATA_2023H2'!F:J,'AMFI DATA_2023H2'!J:J)</f>
        <v>98.663300000000007</v>
      </c>
      <c r="G1734" s="7">
        <f t="shared" si="6"/>
        <v>-1</v>
      </c>
      <c r="H1734" s="9"/>
      <c r="I1734" s="9">
        <v>117</v>
      </c>
      <c r="J1734" s="9">
        <v>113</v>
      </c>
      <c r="K1734" s="9">
        <v>114</v>
      </c>
      <c r="L1734" s="9">
        <v>115</v>
      </c>
      <c r="M1734" s="9">
        <v>119</v>
      </c>
      <c r="N1734" s="9">
        <v>122</v>
      </c>
      <c r="O1734" s="9">
        <v>124</v>
      </c>
      <c r="P1734" s="9">
        <v>125</v>
      </c>
      <c r="Q1734" s="9">
        <v>124</v>
      </c>
      <c r="R1734" s="9">
        <v>115</v>
      </c>
      <c r="S1734" s="9">
        <v>116</v>
      </c>
      <c r="T1734" s="9">
        <v>110</v>
      </c>
      <c r="U1734" s="9">
        <v>110</v>
      </c>
      <c r="V1734" s="9">
        <v>110</v>
      </c>
      <c r="W1734" s="9">
        <v>112</v>
      </c>
      <c r="X1734" s="9">
        <v>111</v>
      </c>
      <c r="Y1734" s="9">
        <v>112</v>
      </c>
      <c r="Z1734" s="9">
        <v>116</v>
      </c>
      <c r="AA1734" s="9">
        <v>105</v>
      </c>
      <c r="AB1734" s="9">
        <v>106</v>
      </c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</row>
    <row r="1735" spans="1:47" ht="14.4">
      <c r="A1735" s="3">
        <f>LOOKUP(D1735,'AMFI DATA_2023H2'!F:L,'AMFI DATA_2023H2'!L:L)</f>
        <v>2395</v>
      </c>
      <c r="B1735" s="4" t="s">
        <v>5204</v>
      </c>
      <c r="C1735" s="4" t="s">
        <v>5205</v>
      </c>
      <c r="D1735" s="5" t="s">
        <v>5206</v>
      </c>
      <c r="E1735" s="5">
        <v>87.03</v>
      </c>
      <c r="F1735" s="6">
        <f>LOOKUP(D1735,'AMFI DATA_2023H2'!F:J,'AMFI DATA_2023H2'!J:J)</f>
        <v>97.543750000000003</v>
      </c>
      <c r="G1735" s="7">
        <f t="shared" si="6"/>
        <v>-1</v>
      </c>
      <c r="H1735" s="9"/>
      <c r="I1735" s="9">
        <v>120</v>
      </c>
      <c r="J1735" s="9">
        <v>116</v>
      </c>
      <c r="K1735" s="9">
        <v>116</v>
      </c>
      <c r="L1735" s="9">
        <v>111</v>
      </c>
      <c r="M1735" s="9">
        <v>111</v>
      </c>
      <c r="N1735" s="9">
        <v>107</v>
      </c>
      <c r="O1735" s="9">
        <v>104</v>
      </c>
      <c r="P1735" s="9">
        <v>103</v>
      </c>
      <c r="Q1735" s="9">
        <v>103</v>
      </c>
      <c r="R1735" s="9">
        <v>101</v>
      </c>
      <c r="S1735" s="9">
        <v>99.4</v>
      </c>
      <c r="T1735" s="9">
        <v>95.3</v>
      </c>
      <c r="U1735" s="9">
        <v>94</v>
      </c>
      <c r="V1735" s="9">
        <v>94.1</v>
      </c>
      <c r="W1735" s="9">
        <v>92.6</v>
      </c>
      <c r="X1735" s="9">
        <v>91</v>
      </c>
      <c r="Y1735" s="9">
        <v>91.8</v>
      </c>
      <c r="Z1735" s="9">
        <v>92.3</v>
      </c>
      <c r="AA1735" s="9">
        <v>92.7</v>
      </c>
      <c r="AB1735" s="9">
        <v>94</v>
      </c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</row>
    <row r="1736" spans="1:47" ht="14.4">
      <c r="A1736" s="3">
        <f>LOOKUP(D1736,'AMFI DATA_2023H2'!F:L,'AMFI DATA_2023H2'!L:L)</f>
        <v>2403</v>
      </c>
      <c r="B1736" s="4" t="s">
        <v>5207</v>
      </c>
      <c r="C1736" s="4" t="s">
        <v>5208</v>
      </c>
      <c r="D1736" s="5" t="s">
        <v>5209</v>
      </c>
      <c r="E1736" s="5">
        <v>77.349999999999994</v>
      </c>
      <c r="F1736" s="6">
        <f>LOOKUP(D1736,'AMFI DATA_2023H2'!F:J,'AMFI DATA_2023H2'!J:J)</f>
        <v>96.402799999999999</v>
      </c>
      <c r="G1736" s="7">
        <f t="shared" si="6"/>
        <v>-1</v>
      </c>
      <c r="H1736" s="9"/>
      <c r="I1736" s="9">
        <v>106</v>
      </c>
      <c r="J1736" s="9">
        <v>102</v>
      </c>
      <c r="K1736" s="9">
        <v>102</v>
      </c>
      <c r="L1736" s="9">
        <v>105</v>
      </c>
      <c r="M1736" s="9">
        <v>105</v>
      </c>
      <c r="N1736" s="9">
        <v>106</v>
      </c>
      <c r="O1736" s="9">
        <v>106</v>
      </c>
      <c r="P1736" s="9">
        <v>104</v>
      </c>
      <c r="Q1736" s="9">
        <v>106</v>
      </c>
      <c r="R1736" s="9">
        <v>105</v>
      </c>
      <c r="S1736" s="9">
        <v>106</v>
      </c>
      <c r="T1736" s="9">
        <v>107</v>
      </c>
      <c r="U1736" s="9">
        <v>108</v>
      </c>
      <c r="V1736" s="9">
        <v>106</v>
      </c>
      <c r="W1736" s="9">
        <v>107</v>
      </c>
      <c r="X1736" s="9">
        <v>111</v>
      </c>
      <c r="Y1736" s="9">
        <v>111</v>
      </c>
      <c r="Z1736" s="9">
        <v>107</v>
      </c>
      <c r="AA1736" s="9">
        <v>108</v>
      </c>
      <c r="AB1736" s="9">
        <v>108</v>
      </c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</row>
    <row r="1737" spans="1:47" ht="14.4">
      <c r="A1737" s="3">
        <f>LOOKUP(D1737,'AMFI DATA_2023H2'!F:L,'AMFI DATA_2023H2'!L:L)</f>
        <v>2406</v>
      </c>
      <c r="B1737" s="4" t="s">
        <v>5210</v>
      </c>
      <c r="C1737" s="4" t="s">
        <v>5211</v>
      </c>
      <c r="D1737" s="5" t="s">
        <v>5212</v>
      </c>
      <c r="E1737" s="5">
        <v>167.22</v>
      </c>
      <c r="F1737" s="6">
        <f>LOOKUP(D1737,'AMFI DATA_2023H2'!F:J,'AMFI DATA_2023H2'!J:J)</f>
        <v>95.769199999999998</v>
      </c>
      <c r="G1737" s="7">
        <f t="shared" si="6"/>
        <v>-1</v>
      </c>
      <c r="H1737" s="9"/>
      <c r="I1737" s="9">
        <v>102</v>
      </c>
      <c r="J1737" s="9">
        <v>102</v>
      </c>
      <c r="K1737" s="9">
        <v>103</v>
      </c>
      <c r="L1737" s="9">
        <v>102</v>
      </c>
      <c r="M1737" s="9">
        <v>101</v>
      </c>
      <c r="N1737" s="9">
        <v>101</v>
      </c>
      <c r="O1737" s="9">
        <v>99</v>
      </c>
      <c r="P1737" s="9">
        <v>101</v>
      </c>
      <c r="Q1737" s="9">
        <v>102</v>
      </c>
      <c r="R1737" s="9">
        <v>103</v>
      </c>
      <c r="S1737" s="9">
        <v>105</v>
      </c>
      <c r="T1737" s="9">
        <v>107</v>
      </c>
      <c r="U1737" s="9">
        <v>109</v>
      </c>
      <c r="V1737" s="9">
        <v>103</v>
      </c>
      <c r="W1737" s="9">
        <v>99</v>
      </c>
      <c r="X1737" s="9">
        <v>94.7</v>
      </c>
      <c r="Y1737" s="9">
        <v>90.4</v>
      </c>
      <c r="Z1737" s="9">
        <v>86.1</v>
      </c>
      <c r="AA1737" s="9">
        <v>90.4</v>
      </c>
      <c r="AB1737" s="9">
        <v>90.4</v>
      </c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</row>
    <row r="1738" spans="1:47" ht="14.4">
      <c r="A1738" s="3">
        <f>LOOKUP(D1738,'AMFI DATA_2023H2'!F:L,'AMFI DATA_2023H2'!L:L)</f>
        <v>2407</v>
      </c>
      <c r="B1738" s="4" t="s">
        <v>5213</v>
      </c>
      <c r="C1738" s="4" t="s">
        <v>5214</v>
      </c>
      <c r="D1738" s="5" t="s">
        <v>5215</v>
      </c>
      <c r="E1738" s="5">
        <v>79.86</v>
      </c>
      <c r="F1738" s="6">
        <f>LOOKUP(D1738,'AMFI DATA_2023H2'!F:J,'AMFI DATA_2023H2'!J:J)</f>
        <v>95.620200000000011</v>
      </c>
      <c r="G1738" s="7">
        <f t="shared" si="6"/>
        <v>-1</v>
      </c>
      <c r="H1738" s="9"/>
      <c r="I1738" s="9">
        <v>107</v>
      </c>
      <c r="J1738" s="9">
        <v>106</v>
      </c>
      <c r="K1738" s="9">
        <v>106</v>
      </c>
      <c r="L1738" s="9">
        <v>107</v>
      </c>
      <c r="M1738" s="9">
        <v>107</v>
      </c>
      <c r="N1738" s="9">
        <v>110</v>
      </c>
      <c r="O1738" s="9">
        <v>108</v>
      </c>
      <c r="P1738" s="9">
        <v>108</v>
      </c>
      <c r="Q1738" s="9">
        <v>109</v>
      </c>
      <c r="R1738" s="9">
        <v>107</v>
      </c>
      <c r="S1738" s="9">
        <v>111</v>
      </c>
      <c r="T1738" s="9">
        <v>114</v>
      </c>
      <c r="U1738" s="9">
        <v>117</v>
      </c>
      <c r="V1738" s="9">
        <v>123</v>
      </c>
      <c r="W1738" s="9">
        <v>106</v>
      </c>
      <c r="X1738" s="9">
        <v>103</v>
      </c>
      <c r="Y1738" s="9">
        <v>106</v>
      </c>
      <c r="Z1738" s="9">
        <v>108</v>
      </c>
      <c r="AA1738" s="9">
        <v>110</v>
      </c>
      <c r="AB1738" s="9">
        <v>105</v>
      </c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</row>
    <row r="1739" spans="1:47" ht="14.4">
      <c r="A1739" s="3">
        <f>LOOKUP(D1739,'AMFI DATA_2023H2'!F:L,'AMFI DATA_2023H2'!L:L)</f>
        <v>2417</v>
      </c>
      <c r="B1739" s="4" t="s">
        <v>5216</v>
      </c>
      <c r="C1739" s="4" t="s">
        <v>5217</v>
      </c>
      <c r="D1739" s="5" t="s">
        <v>5218</v>
      </c>
      <c r="E1739" s="5">
        <v>107.79</v>
      </c>
      <c r="F1739" s="6">
        <f>LOOKUP(D1739,'AMFI DATA_2023H2'!F:J,'AMFI DATA_2023H2'!J:J)</f>
        <v>94.887650000000008</v>
      </c>
      <c r="G1739" s="7">
        <f t="shared" si="6"/>
        <v>-1</v>
      </c>
      <c r="H1739" s="9"/>
      <c r="I1739" s="9">
        <v>117</v>
      </c>
      <c r="J1739" s="9">
        <v>112</v>
      </c>
      <c r="K1739" s="9">
        <v>105</v>
      </c>
      <c r="L1739" s="9">
        <v>110</v>
      </c>
      <c r="M1739" s="9">
        <v>105</v>
      </c>
      <c r="N1739" s="9">
        <v>100</v>
      </c>
      <c r="O1739" s="9">
        <v>101</v>
      </c>
      <c r="P1739" s="9">
        <v>99</v>
      </c>
      <c r="Q1739" s="9">
        <v>98.6</v>
      </c>
      <c r="R1739" s="9">
        <v>96.7</v>
      </c>
      <c r="S1739" s="9">
        <v>94.8</v>
      </c>
      <c r="T1739" s="9">
        <v>94.3</v>
      </c>
      <c r="U1739" s="9">
        <v>93.5</v>
      </c>
      <c r="V1739" s="9">
        <v>93.5</v>
      </c>
      <c r="W1739" s="9">
        <v>91.8</v>
      </c>
      <c r="X1739" s="9">
        <v>93.6</v>
      </c>
      <c r="Y1739" s="9">
        <v>95</v>
      </c>
      <c r="Z1739" s="9">
        <v>94.7</v>
      </c>
      <c r="AA1739" s="9">
        <v>91.3</v>
      </c>
      <c r="AB1739" s="9">
        <v>93.6</v>
      </c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</row>
    <row r="1740" spans="1:47" ht="14.4">
      <c r="A1740" s="3">
        <f>LOOKUP(D1740,'AMFI DATA_2023H2'!F:L,'AMFI DATA_2023H2'!L:L)</f>
        <v>2420</v>
      </c>
      <c r="B1740" s="4" t="s">
        <v>5219</v>
      </c>
      <c r="C1740" s="4" t="s">
        <v>5220</v>
      </c>
      <c r="D1740" s="5" t="s">
        <v>5221</v>
      </c>
      <c r="E1740" s="5">
        <v>85.92</v>
      </c>
      <c r="F1740" s="6">
        <f>LOOKUP(D1740,'AMFI DATA_2023H2'!F:J,'AMFI DATA_2023H2'!J:J)</f>
        <v>94.366299999999995</v>
      </c>
      <c r="G1740" s="7">
        <f t="shared" si="6"/>
        <v>-1</v>
      </c>
      <c r="H1740" s="9"/>
      <c r="I1740" s="9">
        <v>119</v>
      </c>
      <c r="J1740" s="9">
        <v>113</v>
      </c>
      <c r="K1740" s="9">
        <v>110</v>
      </c>
      <c r="L1740" s="9">
        <v>112</v>
      </c>
      <c r="M1740" s="9">
        <v>117</v>
      </c>
      <c r="N1740" s="9">
        <v>120</v>
      </c>
      <c r="O1740" s="9">
        <v>117</v>
      </c>
      <c r="P1740" s="9">
        <v>111</v>
      </c>
      <c r="Q1740" s="9">
        <v>107</v>
      </c>
      <c r="R1740" s="9">
        <v>106</v>
      </c>
      <c r="S1740" s="9">
        <v>105</v>
      </c>
      <c r="T1740" s="9">
        <v>105</v>
      </c>
      <c r="U1740" s="9">
        <v>102</v>
      </c>
      <c r="V1740" s="9">
        <v>106</v>
      </c>
      <c r="W1740" s="9">
        <v>104</v>
      </c>
      <c r="X1740" s="9">
        <v>99.2</v>
      </c>
      <c r="Y1740" s="9">
        <v>101</v>
      </c>
      <c r="Z1740" s="9">
        <v>98.6</v>
      </c>
      <c r="AA1740" s="9">
        <v>99.8</v>
      </c>
      <c r="AB1740" s="9">
        <v>99.3</v>
      </c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</row>
    <row r="1741" spans="1:47" ht="14.4">
      <c r="A1741" s="3">
        <f>LOOKUP(D1741,'AMFI DATA_2023H2'!F:L,'AMFI DATA_2023H2'!L:L)</f>
        <v>2424</v>
      </c>
      <c r="B1741" s="4" t="s">
        <v>5222</v>
      </c>
      <c r="C1741" s="4" t="s">
        <v>5223</v>
      </c>
      <c r="D1741" s="5" t="s">
        <v>5224</v>
      </c>
      <c r="E1741" s="5">
        <v>6092.58</v>
      </c>
      <c r="F1741" s="6">
        <f>LOOKUP(D1741,'AMFI DATA_2023H2'!F:J,'AMFI DATA_2023H2'!J:J)</f>
        <v>94.002749999999992</v>
      </c>
      <c r="G1741" s="7">
        <f t="shared" si="6"/>
        <v>-1</v>
      </c>
      <c r="H1741" s="9"/>
      <c r="I1741" s="9">
        <v>308</v>
      </c>
      <c r="J1741" s="9">
        <v>327</v>
      </c>
      <c r="K1741" s="9">
        <v>340</v>
      </c>
      <c r="L1741" s="9">
        <v>268</v>
      </c>
      <c r="M1741" s="9">
        <v>334</v>
      </c>
      <c r="N1741" s="9">
        <v>351</v>
      </c>
      <c r="O1741" s="9">
        <v>357</v>
      </c>
      <c r="P1741" s="9">
        <v>355</v>
      </c>
      <c r="Q1741" s="9">
        <v>357</v>
      </c>
      <c r="R1741" s="9">
        <v>370</v>
      </c>
      <c r="S1741" s="9">
        <v>371</v>
      </c>
      <c r="T1741" s="9">
        <v>290</v>
      </c>
      <c r="U1741" s="9">
        <v>337</v>
      </c>
      <c r="V1741" s="9">
        <v>348</v>
      </c>
      <c r="W1741" s="9">
        <v>358</v>
      </c>
      <c r="X1741" s="9">
        <v>66</v>
      </c>
      <c r="Y1741" s="9">
        <v>63</v>
      </c>
      <c r="Z1741" s="9">
        <v>60.2</v>
      </c>
      <c r="AA1741" s="9">
        <v>49.1</v>
      </c>
      <c r="AB1741" s="9">
        <v>51</v>
      </c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</row>
    <row r="1742" spans="1:47" ht="14.4">
      <c r="A1742" s="3">
        <f>LOOKUP(D1742,'AMFI DATA_2023H2'!F:L,'AMFI DATA_2023H2'!L:L)</f>
        <v>2424</v>
      </c>
      <c r="B1742" s="4" t="s">
        <v>5222</v>
      </c>
      <c r="C1742" s="4" t="s">
        <v>5225</v>
      </c>
      <c r="D1742" s="5" t="s">
        <v>5226</v>
      </c>
      <c r="E1742" s="5">
        <v>6092.58</v>
      </c>
      <c r="F1742" s="6">
        <f>LOOKUP(D1742,'AMFI DATA_2023H2'!F:J,'AMFI DATA_2023H2'!J:J)</f>
        <v>94.002749999999992</v>
      </c>
      <c r="G1742" s="7">
        <f t="shared" si="6"/>
        <v>-1</v>
      </c>
      <c r="H1742" s="9"/>
      <c r="I1742" s="9">
        <v>42.8</v>
      </c>
      <c r="J1742" s="9">
        <v>44.7</v>
      </c>
      <c r="K1742" s="9">
        <v>45.5</v>
      </c>
      <c r="L1742" s="9">
        <v>45.5</v>
      </c>
      <c r="M1742" s="9">
        <v>45.8</v>
      </c>
      <c r="N1742" s="9">
        <v>45.2</v>
      </c>
      <c r="O1742" s="9">
        <v>47.2</v>
      </c>
      <c r="P1742" s="9">
        <v>48.1</v>
      </c>
      <c r="Q1742" s="9">
        <v>47.4</v>
      </c>
      <c r="R1742" s="9">
        <v>48.8</v>
      </c>
      <c r="S1742" s="9">
        <v>48.9</v>
      </c>
      <c r="T1742" s="9">
        <v>50.7</v>
      </c>
      <c r="U1742" s="9">
        <v>50.2</v>
      </c>
      <c r="V1742" s="9">
        <v>48.3</v>
      </c>
      <c r="W1742" s="9">
        <v>51</v>
      </c>
      <c r="X1742" s="9">
        <v>51.8</v>
      </c>
      <c r="Y1742" s="9">
        <v>53.6</v>
      </c>
      <c r="Z1742" s="9">
        <v>52.8</v>
      </c>
      <c r="AA1742" s="9">
        <v>49.6</v>
      </c>
      <c r="AB1742" s="9">
        <v>47.9</v>
      </c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</row>
    <row r="1743" spans="1:47" ht="14.4">
      <c r="A1743" s="3">
        <f>LOOKUP(D1743,'AMFI DATA_2023H2'!F:L,'AMFI DATA_2023H2'!L:L)</f>
        <v>2425</v>
      </c>
      <c r="B1743" s="4" t="s">
        <v>5227</v>
      </c>
      <c r="C1743" s="4" t="s">
        <v>5228</v>
      </c>
      <c r="D1743" s="5" t="s">
        <v>5229</v>
      </c>
      <c r="E1743" s="5">
        <v>101.36</v>
      </c>
      <c r="F1743" s="6">
        <f>LOOKUP(D1743,'AMFI DATA_2023H2'!F:J,'AMFI DATA_2023H2'!J:J)</f>
        <v>93.914199999999994</v>
      </c>
      <c r="G1743" s="7">
        <f t="shared" si="6"/>
        <v>-1</v>
      </c>
      <c r="H1743" s="9"/>
      <c r="I1743" s="9">
        <v>88.1</v>
      </c>
      <c r="J1743" s="9">
        <v>90.2</v>
      </c>
      <c r="K1743" s="9">
        <v>85.8</v>
      </c>
      <c r="L1743" s="9">
        <v>76.3</v>
      </c>
      <c r="M1743" s="9">
        <v>77.599999999999994</v>
      </c>
      <c r="N1743" s="9">
        <v>78</v>
      </c>
      <c r="O1743" s="9">
        <v>81.400000000000006</v>
      </c>
      <c r="P1743" s="9">
        <v>79.400000000000006</v>
      </c>
      <c r="Q1743" s="9">
        <v>79.599999999999994</v>
      </c>
      <c r="R1743" s="9">
        <v>80.5</v>
      </c>
      <c r="S1743" s="9">
        <v>82.6</v>
      </c>
      <c r="T1743" s="9">
        <v>85.5</v>
      </c>
      <c r="U1743" s="9">
        <v>81.7</v>
      </c>
      <c r="V1743" s="9">
        <v>81.099999999999994</v>
      </c>
      <c r="W1743" s="9">
        <v>82</v>
      </c>
      <c r="X1743" s="9">
        <v>77</v>
      </c>
      <c r="Y1743" s="9">
        <v>76.599999999999994</v>
      </c>
      <c r="Z1743" s="9">
        <v>75.599999999999994</v>
      </c>
      <c r="AA1743" s="9">
        <v>76</v>
      </c>
      <c r="AB1743" s="9">
        <v>75.5</v>
      </c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</row>
    <row r="1744" spans="1:47" ht="14.4">
      <c r="A1744" s="3">
        <f>LOOKUP(D1744,'AMFI DATA_2023H2'!F:L,'AMFI DATA_2023H2'!L:L)</f>
        <v>2427</v>
      </c>
      <c r="B1744" s="4" t="s">
        <v>5230</v>
      </c>
      <c r="C1744" s="4" t="s">
        <v>5231</v>
      </c>
      <c r="D1744" s="5" t="s">
        <v>5232</v>
      </c>
      <c r="E1744" s="5">
        <v>78.459999999999994</v>
      </c>
      <c r="F1744" s="6">
        <f>LOOKUP(D1744,'AMFI DATA_2023H2'!F:J,'AMFI DATA_2023H2'!J:J)</f>
        <v>93.153899999999993</v>
      </c>
      <c r="G1744" s="7">
        <f t="shared" si="6"/>
        <v>-1</v>
      </c>
      <c r="H1744" s="9"/>
      <c r="I1744" s="9">
        <v>91.2</v>
      </c>
      <c r="J1744" s="9">
        <v>87.5</v>
      </c>
      <c r="K1744" s="9">
        <v>89.6</v>
      </c>
      <c r="L1744" s="9">
        <v>91.3</v>
      </c>
      <c r="M1744" s="9">
        <v>95.4</v>
      </c>
      <c r="N1744" s="9">
        <v>91</v>
      </c>
      <c r="O1744" s="9">
        <v>90.9</v>
      </c>
      <c r="P1744" s="9">
        <v>91.7</v>
      </c>
      <c r="Q1744" s="9">
        <v>92.7</v>
      </c>
      <c r="R1744" s="9">
        <v>93.2</v>
      </c>
      <c r="S1744" s="9">
        <v>94.8</v>
      </c>
      <c r="T1744" s="9">
        <v>92.9</v>
      </c>
      <c r="U1744" s="9">
        <v>93</v>
      </c>
      <c r="V1744" s="9">
        <v>95.4</v>
      </c>
      <c r="W1744" s="9">
        <v>97.6</v>
      </c>
      <c r="X1744" s="9">
        <v>96.8</v>
      </c>
      <c r="Y1744" s="9">
        <v>93.8</v>
      </c>
      <c r="Z1744" s="9">
        <v>97</v>
      </c>
      <c r="AA1744" s="9">
        <v>93.6</v>
      </c>
      <c r="AB1744" s="9">
        <v>94.3</v>
      </c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</row>
    <row r="1745" spans="1:47" ht="14.4">
      <c r="A1745" s="3">
        <f>LOOKUP(D1745,'AMFI DATA_2023H2'!F:L,'AMFI DATA_2023H2'!L:L)</f>
        <v>2428</v>
      </c>
      <c r="B1745" s="4" t="s">
        <v>5233</v>
      </c>
      <c r="C1745" s="4" t="s">
        <v>5234</v>
      </c>
      <c r="D1745" s="5" t="s">
        <v>5235</v>
      </c>
      <c r="E1745" s="5">
        <v>84.89</v>
      </c>
      <c r="F1745" s="6">
        <f>LOOKUP(D1745,'AMFI DATA_2023H2'!F:J,'AMFI DATA_2023H2'!J:J)</f>
        <v>93.120399999999989</v>
      </c>
      <c r="G1745" s="7">
        <f t="shared" si="6"/>
        <v>-1</v>
      </c>
      <c r="H1745" s="9"/>
      <c r="I1745" s="9">
        <v>119</v>
      </c>
      <c r="J1745" s="9">
        <v>120</v>
      </c>
      <c r="K1745" s="9">
        <v>121</v>
      </c>
      <c r="L1745" s="9">
        <v>125</v>
      </c>
      <c r="M1745" s="9">
        <v>127</v>
      </c>
      <c r="N1745" s="9">
        <v>128</v>
      </c>
      <c r="O1745" s="9">
        <v>128</v>
      </c>
      <c r="P1745" s="9">
        <v>129</v>
      </c>
      <c r="Q1745" s="9">
        <v>129</v>
      </c>
      <c r="R1745" s="9">
        <v>124</v>
      </c>
      <c r="S1745" s="9">
        <v>128</v>
      </c>
      <c r="T1745" s="9">
        <v>125</v>
      </c>
      <c r="U1745" s="9">
        <v>127</v>
      </c>
      <c r="V1745" s="9">
        <v>128</v>
      </c>
      <c r="W1745" s="9">
        <v>128</v>
      </c>
      <c r="X1745" s="9">
        <v>128</v>
      </c>
      <c r="Y1745" s="9">
        <v>130</v>
      </c>
      <c r="Z1745" s="9">
        <v>123</v>
      </c>
      <c r="AA1745" s="9">
        <v>117</v>
      </c>
      <c r="AB1745" s="9">
        <v>124</v>
      </c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</row>
    <row r="1746" spans="1:47" ht="14.4">
      <c r="A1746" s="3">
        <f>LOOKUP(D1746,'AMFI DATA_2023H2'!F:L,'AMFI DATA_2023H2'!L:L)</f>
        <v>2430</v>
      </c>
      <c r="B1746" s="4" t="s">
        <v>5236</v>
      </c>
      <c r="C1746" s="4" t="s">
        <v>5237</v>
      </c>
      <c r="D1746" s="5" t="s">
        <v>5238</v>
      </c>
      <c r="E1746" s="5">
        <v>105.37</v>
      </c>
      <c r="F1746" s="6">
        <f>LOOKUP(D1746,'AMFI DATA_2023H2'!F:J,'AMFI DATA_2023H2'!J:J)</f>
        <v>92.596350000000001</v>
      </c>
      <c r="G1746" s="7">
        <f t="shared" si="6"/>
        <v>-1</v>
      </c>
      <c r="H1746" s="9"/>
      <c r="I1746" s="9">
        <v>165</v>
      </c>
      <c r="J1746" s="9">
        <v>168</v>
      </c>
      <c r="K1746" s="9">
        <v>172</v>
      </c>
      <c r="L1746" s="9">
        <v>171</v>
      </c>
      <c r="M1746" s="9">
        <v>173</v>
      </c>
      <c r="N1746" s="9">
        <v>168</v>
      </c>
      <c r="O1746" s="9">
        <v>170</v>
      </c>
      <c r="P1746" s="9">
        <v>170</v>
      </c>
      <c r="Q1746" s="9">
        <v>166</v>
      </c>
      <c r="R1746" s="9">
        <v>164</v>
      </c>
      <c r="S1746" s="9">
        <v>167</v>
      </c>
      <c r="T1746" s="9">
        <v>169</v>
      </c>
      <c r="U1746" s="9">
        <v>166</v>
      </c>
      <c r="V1746" s="9">
        <v>166</v>
      </c>
      <c r="W1746" s="9">
        <v>164</v>
      </c>
      <c r="X1746" s="9">
        <v>165</v>
      </c>
      <c r="Y1746" s="9">
        <v>168</v>
      </c>
      <c r="Z1746" s="9">
        <v>166</v>
      </c>
      <c r="AA1746" s="9">
        <v>167</v>
      </c>
      <c r="AB1746" s="9">
        <v>168</v>
      </c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</row>
    <row r="1747" spans="1:47" ht="14.4">
      <c r="A1747" s="3">
        <f>LOOKUP(D1747,'AMFI DATA_2023H2'!F:L,'AMFI DATA_2023H2'!L:L)</f>
        <v>2433</v>
      </c>
      <c r="B1747" s="4" t="s">
        <v>5239</v>
      </c>
      <c r="C1747" s="4" t="s">
        <v>5240</v>
      </c>
      <c r="D1747" s="5" t="s">
        <v>5241</v>
      </c>
      <c r="E1747" s="5">
        <v>72.180000000000007</v>
      </c>
      <c r="F1747" s="6">
        <f>LOOKUP(D1747,'AMFI DATA_2023H2'!F:J,'AMFI DATA_2023H2'!J:J)</f>
        <v>92.508700000000005</v>
      </c>
      <c r="G1747" s="7">
        <f t="shared" si="6"/>
        <v>-1</v>
      </c>
      <c r="H1747" s="9"/>
      <c r="I1747" s="9">
        <v>144</v>
      </c>
      <c r="J1747" s="9">
        <v>144</v>
      </c>
      <c r="K1747" s="9">
        <v>145</v>
      </c>
      <c r="L1747" s="9">
        <v>138</v>
      </c>
      <c r="M1747" s="9">
        <v>150</v>
      </c>
      <c r="N1747" s="9">
        <v>134</v>
      </c>
      <c r="O1747" s="9">
        <v>128</v>
      </c>
      <c r="P1747" s="9">
        <v>123</v>
      </c>
      <c r="Q1747" s="9">
        <v>117</v>
      </c>
      <c r="R1747" s="9">
        <v>117</v>
      </c>
      <c r="S1747" s="9">
        <v>115</v>
      </c>
      <c r="T1747" s="9">
        <v>114</v>
      </c>
      <c r="U1747" s="9">
        <v>109</v>
      </c>
      <c r="V1747" s="9">
        <v>105</v>
      </c>
      <c r="W1747" s="9">
        <v>104</v>
      </c>
      <c r="X1747" s="9">
        <v>98.7</v>
      </c>
      <c r="Y1747" s="9">
        <v>100</v>
      </c>
      <c r="Z1747" s="9">
        <v>102</v>
      </c>
      <c r="AA1747" s="9">
        <v>99.4</v>
      </c>
      <c r="AB1747" s="9">
        <v>98.1</v>
      </c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</row>
    <row r="1748" spans="1:47" ht="14.4">
      <c r="A1748" s="3">
        <f>LOOKUP(D1748,'AMFI DATA_2023H2'!F:L,'AMFI DATA_2023H2'!L:L)</f>
        <v>2434</v>
      </c>
      <c r="B1748" s="4" t="s">
        <v>5242</v>
      </c>
      <c r="C1748" s="4" t="s">
        <v>5243</v>
      </c>
      <c r="D1748" s="5" t="s">
        <v>5244</v>
      </c>
      <c r="E1748" s="5">
        <v>68.64</v>
      </c>
      <c r="F1748" s="6">
        <f>LOOKUP(D1748,'AMFI DATA_2023H2'!F:J,'AMFI DATA_2023H2'!J:J)</f>
        <v>92.060450000000003</v>
      </c>
      <c r="G1748" s="7">
        <f t="shared" si="6"/>
        <v>-1</v>
      </c>
      <c r="H1748" s="9"/>
      <c r="I1748" s="9">
        <v>103</v>
      </c>
      <c r="J1748" s="9">
        <v>103</v>
      </c>
      <c r="K1748" s="9">
        <v>106</v>
      </c>
      <c r="L1748" s="9">
        <v>103</v>
      </c>
      <c r="M1748" s="9">
        <v>103</v>
      </c>
      <c r="N1748" s="9">
        <v>98.8</v>
      </c>
      <c r="O1748" s="9">
        <v>97.9</v>
      </c>
      <c r="P1748" s="9">
        <v>97.9</v>
      </c>
      <c r="Q1748" s="9">
        <v>101</v>
      </c>
      <c r="R1748" s="9">
        <v>103</v>
      </c>
      <c r="S1748" s="9">
        <v>103</v>
      </c>
      <c r="T1748" s="9">
        <v>103</v>
      </c>
      <c r="U1748" s="9">
        <v>100</v>
      </c>
      <c r="V1748" s="9">
        <v>103</v>
      </c>
      <c r="W1748" s="9">
        <v>102</v>
      </c>
      <c r="X1748" s="9">
        <v>97.1</v>
      </c>
      <c r="Y1748" s="9">
        <v>95</v>
      </c>
      <c r="Z1748" s="9">
        <v>97.7</v>
      </c>
      <c r="AA1748" s="9">
        <v>98.5</v>
      </c>
      <c r="AB1748" s="9">
        <v>98.5</v>
      </c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</row>
    <row r="1749" spans="1:47" ht="14.4">
      <c r="A1749" s="3">
        <f>LOOKUP(D1749,'AMFI DATA_2023H2'!F:L,'AMFI DATA_2023H2'!L:L)</f>
        <v>2438</v>
      </c>
      <c r="B1749" s="4" t="s">
        <v>5245</v>
      </c>
      <c r="C1749" s="4" t="s">
        <v>5246</v>
      </c>
      <c r="D1749" s="5" t="s">
        <v>5247</v>
      </c>
      <c r="E1749" s="5">
        <v>1783.63</v>
      </c>
      <c r="F1749" s="6">
        <f>LOOKUP(D1749,'AMFI DATA_2023H2'!F:J,'AMFI DATA_2023H2'!J:J)</f>
        <v>91.712400000000002</v>
      </c>
      <c r="G1749" s="7">
        <f t="shared" si="6"/>
        <v>-1</v>
      </c>
      <c r="H1749" s="9"/>
      <c r="I1749" s="9">
        <v>109</v>
      </c>
      <c r="J1749" s="9">
        <v>112</v>
      </c>
      <c r="K1749" s="9">
        <v>114</v>
      </c>
      <c r="L1749" s="9">
        <v>119</v>
      </c>
      <c r="M1749" s="9">
        <v>119</v>
      </c>
      <c r="N1749" s="9">
        <v>118</v>
      </c>
      <c r="O1749" s="9">
        <v>114</v>
      </c>
      <c r="P1749" s="9">
        <v>110</v>
      </c>
      <c r="Q1749" s="9">
        <v>105</v>
      </c>
      <c r="R1749" s="9">
        <v>110</v>
      </c>
      <c r="S1749" s="9">
        <v>113</v>
      </c>
      <c r="T1749" s="9">
        <v>117</v>
      </c>
      <c r="U1749" s="9">
        <v>122</v>
      </c>
      <c r="V1749" s="9">
        <v>123</v>
      </c>
      <c r="W1749" s="9">
        <v>130</v>
      </c>
      <c r="X1749" s="9">
        <v>131</v>
      </c>
      <c r="Y1749" s="9">
        <v>137</v>
      </c>
      <c r="Z1749" s="9">
        <v>114</v>
      </c>
      <c r="AA1749" s="9">
        <v>94.9</v>
      </c>
      <c r="AB1749" s="9">
        <v>97</v>
      </c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</row>
    <row r="1750" spans="1:47" ht="14.4">
      <c r="A1750" s="3">
        <f>LOOKUP(D1750,'AMFI DATA_2023H2'!F:L,'AMFI DATA_2023H2'!L:L)</f>
        <v>2443</v>
      </c>
      <c r="B1750" s="4" t="s">
        <v>5248</v>
      </c>
      <c r="C1750" s="4" t="s">
        <v>5249</v>
      </c>
      <c r="D1750" s="5" t="s">
        <v>5250</v>
      </c>
      <c r="E1750" s="5">
        <v>77.19</v>
      </c>
      <c r="F1750" s="6">
        <f>LOOKUP(D1750,'AMFI DATA_2023H2'!F:J,'AMFI DATA_2023H2'!J:J)</f>
        <v>91.128500000000003</v>
      </c>
      <c r="G1750" s="7">
        <f t="shared" si="6"/>
        <v>-1</v>
      </c>
      <c r="H1750" s="9"/>
      <c r="I1750" s="9">
        <v>97</v>
      </c>
      <c r="J1750" s="9">
        <v>97</v>
      </c>
      <c r="K1750" s="9">
        <v>97</v>
      </c>
      <c r="L1750" s="9">
        <v>99.2</v>
      </c>
      <c r="M1750" s="9">
        <v>99.4</v>
      </c>
      <c r="N1750" s="9">
        <v>98.1</v>
      </c>
      <c r="O1750" s="9">
        <v>96.5</v>
      </c>
      <c r="P1750" s="9">
        <v>98.4</v>
      </c>
      <c r="Q1750" s="9">
        <v>98.9</v>
      </c>
      <c r="R1750" s="9">
        <v>98.1</v>
      </c>
      <c r="S1750" s="9">
        <v>98.9</v>
      </c>
      <c r="T1750" s="9">
        <v>98.1</v>
      </c>
      <c r="U1750" s="9">
        <v>96.2</v>
      </c>
      <c r="V1750" s="9">
        <v>94.8</v>
      </c>
      <c r="W1750" s="9">
        <v>93.8</v>
      </c>
      <c r="X1750" s="9">
        <v>92.4</v>
      </c>
      <c r="Y1750" s="9">
        <v>93.5</v>
      </c>
      <c r="Z1750" s="9">
        <v>95.1</v>
      </c>
      <c r="AA1750" s="9">
        <v>92.9</v>
      </c>
      <c r="AB1750" s="9">
        <v>92.4</v>
      </c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</row>
    <row r="1751" spans="1:47" ht="14.4">
      <c r="A1751" s="3">
        <f>LOOKUP(D1751,'AMFI DATA_2023H2'!F:L,'AMFI DATA_2023H2'!L:L)</f>
        <v>2445</v>
      </c>
      <c r="B1751" s="4" t="s">
        <v>5251</v>
      </c>
      <c r="C1751" s="4" t="s">
        <v>5252</v>
      </c>
      <c r="D1751" s="5" t="s">
        <v>5253</v>
      </c>
      <c r="E1751" s="5">
        <v>99.02</v>
      </c>
      <c r="F1751" s="6">
        <f>LOOKUP(D1751,'AMFI DATA_2023H2'!F:J,'AMFI DATA_2023H2'!J:J)</f>
        <v>91.067000000000007</v>
      </c>
      <c r="G1751" s="7">
        <f t="shared" si="6"/>
        <v>-1</v>
      </c>
      <c r="H1751" s="9"/>
      <c r="I1751" s="9">
        <v>106</v>
      </c>
      <c r="J1751" s="9">
        <v>102</v>
      </c>
      <c r="K1751" s="9">
        <v>105</v>
      </c>
      <c r="L1751" s="9">
        <v>104</v>
      </c>
      <c r="M1751" s="9">
        <v>110</v>
      </c>
      <c r="N1751" s="9">
        <v>110</v>
      </c>
      <c r="O1751" s="9">
        <v>110</v>
      </c>
      <c r="P1751" s="9">
        <v>113</v>
      </c>
      <c r="Q1751" s="9">
        <v>104</v>
      </c>
      <c r="R1751" s="9">
        <v>102</v>
      </c>
      <c r="S1751" s="9">
        <v>103</v>
      </c>
      <c r="T1751" s="9">
        <v>104</v>
      </c>
      <c r="U1751" s="9">
        <v>102</v>
      </c>
      <c r="V1751" s="9">
        <v>99.4</v>
      </c>
      <c r="W1751" s="9">
        <v>98.2</v>
      </c>
      <c r="X1751" s="9">
        <v>96.4</v>
      </c>
      <c r="Y1751" s="9">
        <v>96.3</v>
      </c>
      <c r="Z1751" s="9">
        <v>97.9</v>
      </c>
      <c r="AA1751" s="9">
        <v>96.6</v>
      </c>
      <c r="AB1751" s="9">
        <v>98.5</v>
      </c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</row>
    <row r="1752" spans="1:47" ht="14.4">
      <c r="A1752" s="3">
        <f>LOOKUP(D1752,'AMFI DATA_2023H2'!F:L,'AMFI DATA_2023H2'!L:L)</f>
        <v>2450</v>
      </c>
      <c r="B1752" s="4" t="s">
        <v>5254</v>
      </c>
      <c r="C1752" s="4" t="s">
        <v>5255</v>
      </c>
      <c r="D1752" s="5" t="s">
        <v>5256</v>
      </c>
      <c r="E1752" s="5">
        <v>66.53</v>
      </c>
      <c r="F1752" s="6">
        <f>LOOKUP(D1752,'AMFI DATA_2023H2'!F:J,'AMFI DATA_2023H2'!J:J)</f>
        <v>90.219149999999999</v>
      </c>
      <c r="G1752" s="7">
        <f t="shared" si="6"/>
        <v>-1</v>
      </c>
      <c r="H1752" s="9"/>
      <c r="I1752" s="9">
        <v>117</v>
      </c>
      <c r="J1752" s="9">
        <v>116</v>
      </c>
      <c r="K1752" s="9">
        <v>117</v>
      </c>
      <c r="L1752" s="9">
        <v>118</v>
      </c>
      <c r="M1752" s="9">
        <v>121</v>
      </c>
      <c r="N1752" s="9">
        <v>123</v>
      </c>
      <c r="O1752" s="9">
        <v>124</v>
      </c>
      <c r="P1752" s="9">
        <v>123</v>
      </c>
      <c r="Q1752" s="9">
        <v>124</v>
      </c>
      <c r="R1752" s="9">
        <v>122</v>
      </c>
      <c r="S1752" s="9">
        <v>121</v>
      </c>
      <c r="T1752" s="9">
        <v>122</v>
      </c>
      <c r="U1752" s="9">
        <v>120</v>
      </c>
      <c r="V1752" s="9">
        <v>118</v>
      </c>
      <c r="W1752" s="9">
        <v>116</v>
      </c>
      <c r="X1752" s="9">
        <v>114</v>
      </c>
      <c r="Y1752" s="9">
        <v>116</v>
      </c>
      <c r="Z1752" s="9">
        <v>119</v>
      </c>
      <c r="AA1752" s="9">
        <v>113</v>
      </c>
      <c r="AB1752" s="9">
        <v>108</v>
      </c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</row>
    <row r="1753" spans="1:47" ht="14.4">
      <c r="A1753" s="3">
        <f>LOOKUP(D1753,'AMFI DATA_2023H2'!F:L,'AMFI DATA_2023H2'!L:L)</f>
        <v>2451</v>
      </c>
      <c r="B1753" s="4" t="s">
        <v>5257</v>
      </c>
      <c r="C1753" s="4" t="s">
        <v>5258</v>
      </c>
      <c r="D1753" s="5" t="s">
        <v>5259</v>
      </c>
      <c r="E1753" s="5">
        <v>64.680000000000007</v>
      </c>
      <c r="F1753" s="6">
        <f>LOOKUP(D1753,'AMFI DATA_2023H2'!F:J,'AMFI DATA_2023H2'!J:J)</f>
        <v>90.217449999999999</v>
      </c>
      <c r="G1753" s="7">
        <f t="shared" si="6"/>
        <v>-1</v>
      </c>
      <c r="H1753" s="9"/>
      <c r="I1753" s="9">
        <v>122</v>
      </c>
      <c r="J1753" s="9">
        <v>116</v>
      </c>
      <c r="K1753" s="9">
        <v>116</v>
      </c>
      <c r="L1753" s="9">
        <v>119</v>
      </c>
      <c r="M1753" s="9">
        <v>121</v>
      </c>
      <c r="N1753" s="9">
        <v>121</v>
      </c>
      <c r="O1753" s="9">
        <v>119</v>
      </c>
      <c r="P1753" s="9">
        <v>118</v>
      </c>
      <c r="Q1753" s="9">
        <v>113</v>
      </c>
      <c r="R1753" s="9">
        <v>107</v>
      </c>
      <c r="S1753" s="9">
        <v>102</v>
      </c>
      <c r="T1753" s="9">
        <v>100</v>
      </c>
      <c r="U1753" s="9">
        <v>98.2</v>
      </c>
      <c r="V1753" s="9">
        <v>96.2</v>
      </c>
      <c r="W1753" s="9">
        <v>94.5</v>
      </c>
      <c r="X1753" s="9">
        <v>94.3</v>
      </c>
      <c r="Y1753" s="9">
        <v>95.7</v>
      </c>
      <c r="Z1753" s="9">
        <v>97.7</v>
      </c>
      <c r="AA1753" s="9">
        <v>102</v>
      </c>
      <c r="AB1753" s="9">
        <v>102</v>
      </c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1:47" ht="14.4">
      <c r="A1754" s="3">
        <f>LOOKUP(D1754,'AMFI DATA_2023H2'!F:L,'AMFI DATA_2023H2'!L:L)</f>
        <v>2454</v>
      </c>
      <c r="B1754" s="4" t="s">
        <v>5260</v>
      </c>
      <c r="C1754" s="4" t="s">
        <v>5261</v>
      </c>
      <c r="D1754" s="5" t="s">
        <v>5262</v>
      </c>
      <c r="E1754" s="5">
        <v>49.8</v>
      </c>
      <c r="F1754" s="6">
        <f>LOOKUP(D1754,'AMFI DATA_2023H2'!F:J,'AMFI DATA_2023H2'!J:J)</f>
        <v>89.699100000000001</v>
      </c>
      <c r="G1754" s="7">
        <f t="shared" si="6"/>
        <v>-1</v>
      </c>
      <c r="H1754" s="9"/>
      <c r="I1754" s="9">
        <v>97.8</v>
      </c>
      <c r="J1754" s="9">
        <v>97.8</v>
      </c>
      <c r="K1754" s="9">
        <v>98.2</v>
      </c>
      <c r="L1754" s="9">
        <v>102</v>
      </c>
      <c r="M1754" s="9">
        <v>102</v>
      </c>
      <c r="N1754" s="9">
        <v>102</v>
      </c>
      <c r="O1754" s="9">
        <v>100</v>
      </c>
      <c r="P1754" s="9">
        <v>99.9</v>
      </c>
      <c r="Q1754" s="9">
        <v>97.5</v>
      </c>
      <c r="R1754" s="9">
        <v>101</v>
      </c>
      <c r="S1754" s="9">
        <v>106</v>
      </c>
      <c r="T1754" s="9">
        <v>103</v>
      </c>
      <c r="U1754" s="9">
        <v>97</v>
      </c>
      <c r="V1754" s="9">
        <v>98.9</v>
      </c>
      <c r="W1754" s="9">
        <v>97.5</v>
      </c>
      <c r="X1754" s="9">
        <v>96.9</v>
      </c>
      <c r="Y1754" s="9">
        <v>102</v>
      </c>
      <c r="Z1754" s="9">
        <v>97.1</v>
      </c>
      <c r="AA1754" s="9">
        <v>90.8</v>
      </c>
      <c r="AB1754" s="9">
        <v>87.8</v>
      </c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</row>
    <row r="1755" spans="1:47" ht="14.4">
      <c r="A1755" s="3">
        <f>LOOKUP(D1755,'AMFI DATA_2023H2'!F:L,'AMFI DATA_2023H2'!L:L)</f>
        <v>2457</v>
      </c>
      <c r="B1755" s="4" t="s">
        <v>5263</v>
      </c>
      <c r="C1755" s="4" t="s">
        <v>5264</v>
      </c>
      <c r="D1755" s="5" t="s">
        <v>5265</v>
      </c>
      <c r="E1755" s="5">
        <v>73.06</v>
      </c>
      <c r="F1755" s="6">
        <f>LOOKUP(D1755,'AMFI DATA_2023H2'!F:J,'AMFI DATA_2023H2'!J:J)</f>
        <v>88.628150000000005</v>
      </c>
      <c r="G1755" s="7">
        <f t="shared" si="6"/>
        <v>-1</v>
      </c>
      <c r="H1755" s="9"/>
      <c r="I1755" s="9">
        <v>110</v>
      </c>
      <c r="J1755" s="9">
        <v>110</v>
      </c>
      <c r="K1755" s="9">
        <v>109</v>
      </c>
      <c r="L1755" s="9">
        <v>110</v>
      </c>
      <c r="M1755" s="9">
        <v>111</v>
      </c>
      <c r="N1755" s="9">
        <v>102</v>
      </c>
      <c r="O1755" s="9">
        <v>99.5</v>
      </c>
      <c r="P1755" s="9">
        <v>101</v>
      </c>
      <c r="Q1755" s="9">
        <v>102</v>
      </c>
      <c r="R1755" s="9">
        <v>101</v>
      </c>
      <c r="S1755" s="9">
        <v>95.2</v>
      </c>
      <c r="T1755" s="9">
        <v>92.9</v>
      </c>
      <c r="U1755" s="9">
        <v>97.5</v>
      </c>
      <c r="V1755" s="9">
        <v>99.5</v>
      </c>
      <c r="W1755" s="9">
        <v>98.3</v>
      </c>
      <c r="X1755" s="9">
        <v>96.6</v>
      </c>
      <c r="Y1755" s="9">
        <v>98.2</v>
      </c>
      <c r="Z1755" s="9">
        <v>100</v>
      </c>
      <c r="AA1755" s="9">
        <v>102</v>
      </c>
      <c r="AB1755" s="9">
        <v>98.1</v>
      </c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</row>
    <row r="1756" spans="1:47" ht="14.4">
      <c r="A1756" s="3">
        <f>LOOKUP(D1756,'AMFI DATA_2023H2'!F:L,'AMFI DATA_2023H2'!L:L)</f>
        <v>2465</v>
      </c>
      <c r="B1756" s="4" t="s">
        <v>5266</v>
      </c>
      <c r="C1756" s="4" t="s">
        <v>5267</v>
      </c>
      <c r="D1756" s="5" t="s">
        <v>5268</v>
      </c>
      <c r="E1756" s="5">
        <v>93.05</v>
      </c>
      <c r="F1756" s="6">
        <f>LOOKUP(D1756,'AMFI DATA_2023H2'!F:J,'AMFI DATA_2023H2'!J:J)</f>
        <v>87.750900000000001</v>
      </c>
      <c r="G1756" s="7">
        <f t="shared" si="6"/>
        <v>-1</v>
      </c>
      <c r="H1756" s="9"/>
      <c r="I1756" s="9">
        <v>94.8</v>
      </c>
      <c r="J1756" s="9">
        <v>93.2</v>
      </c>
      <c r="K1756" s="9">
        <v>91.5</v>
      </c>
      <c r="L1756" s="9">
        <v>95.5</v>
      </c>
      <c r="M1756" s="9">
        <v>103</v>
      </c>
      <c r="N1756" s="9">
        <v>102</v>
      </c>
      <c r="O1756" s="9">
        <v>97.5</v>
      </c>
      <c r="P1756" s="9">
        <v>92.7</v>
      </c>
      <c r="Q1756" s="9">
        <v>88.9</v>
      </c>
      <c r="R1756" s="9">
        <v>89</v>
      </c>
      <c r="S1756" s="9">
        <v>87.2</v>
      </c>
      <c r="T1756" s="9">
        <v>89.5</v>
      </c>
      <c r="U1756" s="9">
        <v>88</v>
      </c>
      <c r="V1756" s="9">
        <v>89.4</v>
      </c>
      <c r="W1756" s="9">
        <v>89</v>
      </c>
      <c r="X1756" s="9">
        <v>87.6</v>
      </c>
      <c r="Y1756" s="9">
        <v>88.9</v>
      </c>
      <c r="Z1756" s="9">
        <v>88.3</v>
      </c>
      <c r="AA1756" s="9">
        <v>89.9</v>
      </c>
      <c r="AB1756" s="9">
        <v>88</v>
      </c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</row>
    <row r="1757" spans="1:47" ht="14.4">
      <c r="A1757" s="3">
        <f>LOOKUP(D1757,'AMFI DATA_2023H2'!F:L,'AMFI DATA_2023H2'!L:L)</f>
        <v>2466</v>
      </c>
      <c r="B1757" s="4" t="s">
        <v>5269</v>
      </c>
      <c r="C1757" s="4" t="s">
        <v>5270</v>
      </c>
      <c r="D1757" s="5" t="s">
        <v>5271</v>
      </c>
      <c r="E1757" s="5">
        <v>80.760000000000005</v>
      </c>
      <c r="F1757" s="6">
        <f>LOOKUP(D1757,'AMFI DATA_2023H2'!F:J,'AMFI DATA_2023H2'!J:J)</f>
        <v>87.552999999999997</v>
      </c>
      <c r="G1757" s="7">
        <f t="shared" si="6"/>
        <v>-1</v>
      </c>
      <c r="H1757" s="9"/>
      <c r="I1757" s="9">
        <v>96.2</v>
      </c>
      <c r="J1757" s="9">
        <v>97.8</v>
      </c>
      <c r="K1757" s="9">
        <v>100</v>
      </c>
      <c r="L1757" s="9">
        <v>99.1</v>
      </c>
      <c r="M1757" s="9">
        <v>96.8</v>
      </c>
      <c r="N1757" s="9">
        <v>92.9</v>
      </c>
      <c r="O1757" s="9">
        <v>92.3</v>
      </c>
      <c r="P1757" s="9">
        <v>93.3</v>
      </c>
      <c r="Q1757" s="9">
        <v>93.2</v>
      </c>
      <c r="R1757" s="9">
        <v>96</v>
      </c>
      <c r="S1757" s="9">
        <v>94.6</v>
      </c>
      <c r="T1757" s="9">
        <v>97.5</v>
      </c>
      <c r="U1757" s="9">
        <v>96</v>
      </c>
      <c r="V1757" s="9">
        <v>94.7</v>
      </c>
      <c r="W1757" s="9">
        <v>95</v>
      </c>
      <c r="X1757" s="9">
        <v>99.3</v>
      </c>
      <c r="Y1757" s="9">
        <v>96</v>
      </c>
      <c r="Z1757" s="9">
        <v>98.3</v>
      </c>
      <c r="AA1757" s="9">
        <v>94.3</v>
      </c>
      <c r="AB1757" s="9">
        <v>94.1</v>
      </c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</row>
    <row r="1758" spans="1:47" ht="14.4">
      <c r="A1758" s="3">
        <f>LOOKUP(D1758,'AMFI DATA_2023H2'!F:L,'AMFI DATA_2023H2'!L:L)</f>
        <v>2471</v>
      </c>
      <c r="B1758" s="4" t="s">
        <v>5272</v>
      </c>
      <c r="C1758" s="4" t="s">
        <v>5273</v>
      </c>
      <c r="D1758" s="5" t="s">
        <v>5274</v>
      </c>
      <c r="E1758" s="5">
        <v>361.63</v>
      </c>
      <c r="F1758" s="6">
        <f>LOOKUP(D1758,'AMFI DATA_2023H2'!F:J,'AMFI DATA_2023H2'!J:J)</f>
        <v>86.814800000000005</v>
      </c>
      <c r="G1758" s="7">
        <f t="shared" si="6"/>
        <v>-1</v>
      </c>
      <c r="H1758" s="9"/>
      <c r="I1758" s="9">
        <v>93.7</v>
      </c>
      <c r="J1758" s="9">
        <v>89.3</v>
      </c>
      <c r="K1758" s="9">
        <v>94</v>
      </c>
      <c r="L1758" s="9">
        <v>95.7</v>
      </c>
      <c r="M1758" s="9">
        <v>91.2</v>
      </c>
      <c r="N1758" s="9">
        <v>96</v>
      </c>
      <c r="O1758" s="9">
        <v>99.3</v>
      </c>
      <c r="P1758" s="9">
        <v>104</v>
      </c>
      <c r="Q1758" s="9">
        <v>104</v>
      </c>
      <c r="R1758" s="9">
        <v>105</v>
      </c>
      <c r="S1758" s="9">
        <v>108</v>
      </c>
      <c r="T1758" s="9">
        <v>103</v>
      </c>
      <c r="U1758" s="9">
        <v>106</v>
      </c>
      <c r="V1758" s="9">
        <v>112</v>
      </c>
      <c r="W1758" s="9">
        <v>118</v>
      </c>
      <c r="X1758" s="9">
        <v>124</v>
      </c>
      <c r="Y1758" s="9">
        <v>130</v>
      </c>
      <c r="Z1758" s="9">
        <v>137</v>
      </c>
      <c r="AA1758" s="9">
        <v>114</v>
      </c>
      <c r="AB1758" s="9">
        <v>95.3</v>
      </c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</row>
    <row r="1759" spans="1:47" ht="14.4">
      <c r="A1759" s="3">
        <f>LOOKUP(D1759,'AMFI DATA_2023H2'!F:L,'AMFI DATA_2023H2'!L:L)</f>
        <v>2472</v>
      </c>
      <c r="B1759" s="4" t="s">
        <v>5275</v>
      </c>
      <c r="C1759" s="4" t="s">
        <v>5276</v>
      </c>
      <c r="D1759" s="5" t="s">
        <v>5277</v>
      </c>
      <c r="E1759" s="5">
        <v>51.71</v>
      </c>
      <c r="F1759" s="6">
        <f>LOOKUP(D1759,'AMFI DATA_2023H2'!F:J,'AMFI DATA_2023H2'!J:J)</f>
        <v>86.392499999999998</v>
      </c>
      <c r="G1759" s="7">
        <f t="shared" si="6"/>
        <v>-1</v>
      </c>
      <c r="H1759" s="9"/>
      <c r="I1759" s="9">
        <v>116</v>
      </c>
      <c r="J1759" s="9">
        <v>115</v>
      </c>
      <c r="K1759" s="9">
        <v>115</v>
      </c>
      <c r="L1759" s="9">
        <v>113</v>
      </c>
      <c r="M1759" s="9">
        <v>114</v>
      </c>
      <c r="N1759" s="9">
        <v>116</v>
      </c>
      <c r="O1759" s="9">
        <v>116</v>
      </c>
      <c r="P1759" s="9">
        <v>116</v>
      </c>
      <c r="Q1759" s="9">
        <v>114</v>
      </c>
      <c r="R1759" s="9">
        <v>116</v>
      </c>
      <c r="S1759" s="9">
        <v>118</v>
      </c>
      <c r="T1759" s="9">
        <v>117</v>
      </c>
      <c r="U1759" s="9">
        <v>118</v>
      </c>
      <c r="V1759" s="9">
        <v>113</v>
      </c>
      <c r="W1759" s="9">
        <v>107</v>
      </c>
      <c r="X1759" s="9">
        <v>109</v>
      </c>
      <c r="Y1759" s="9">
        <v>105</v>
      </c>
      <c r="Z1759" s="9">
        <v>104</v>
      </c>
      <c r="AA1759" s="9">
        <v>101</v>
      </c>
      <c r="AB1759" s="9">
        <v>102</v>
      </c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</row>
    <row r="1760" spans="1:47" ht="14.4">
      <c r="A1760" s="3">
        <f>LOOKUP(D1760,'AMFI DATA_2023H2'!F:L,'AMFI DATA_2023H2'!L:L)</f>
        <v>2475</v>
      </c>
      <c r="B1760" s="4" t="s">
        <v>5278</v>
      </c>
      <c r="C1760" s="4" t="s">
        <v>5279</v>
      </c>
      <c r="D1760" s="5" t="s">
        <v>5280</v>
      </c>
      <c r="E1760" s="5">
        <v>80.39</v>
      </c>
      <c r="F1760" s="6">
        <f>LOOKUP(D1760,'AMFI DATA_2023H2'!F:J,'AMFI DATA_2023H2'!J:J)</f>
        <v>85.440699999999993</v>
      </c>
      <c r="G1760" s="7">
        <f t="shared" si="6"/>
        <v>-1</v>
      </c>
      <c r="H1760" s="9"/>
      <c r="I1760" s="9">
        <v>96.6</v>
      </c>
      <c r="J1760" s="9">
        <v>94.9</v>
      </c>
      <c r="K1760" s="9">
        <v>93.8</v>
      </c>
      <c r="L1760" s="9">
        <v>93.4</v>
      </c>
      <c r="M1760" s="9">
        <v>95.6</v>
      </c>
      <c r="N1760" s="9">
        <v>97.9</v>
      </c>
      <c r="O1760" s="9">
        <v>97.8</v>
      </c>
      <c r="P1760" s="9">
        <v>91.2</v>
      </c>
      <c r="Q1760" s="9">
        <v>90.6</v>
      </c>
      <c r="R1760" s="9">
        <v>90</v>
      </c>
      <c r="S1760" s="9">
        <v>91.3</v>
      </c>
      <c r="T1760" s="9">
        <v>93.4</v>
      </c>
      <c r="U1760" s="9">
        <v>90.6</v>
      </c>
      <c r="V1760" s="9">
        <v>90.8</v>
      </c>
      <c r="W1760" s="9">
        <v>88.7</v>
      </c>
      <c r="X1760" s="9">
        <v>89.9</v>
      </c>
      <c r="Y1760" s="9">
        <v>90.7</v>
      </c>
      <c r="Z1760" s="9">
        <v>89.3</v>
      </c>
      <c r="AA1760" s="9">
        <v>87.7</v>
      </c>
      <c r="AB1760" s="9">
        <v>87.9</v>
      </c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</row>
    <row r="1761" spans="1:47" ht="14.4">
      <c r="A1761" s="3">
        <f>LOOKUP(D1761,'AMFI DATA_2023H2'!F:L,'AMFI DATA_2023H2'!L:L)</f>
        <v>2483</v>
      </c>
      <c r="B1761" s="4" t="s">
        <v>5281</v>
      </c>
      <c r="C1761" s="4" t="s">
        <v>5282</v>
      </c>
      <c r="D1761" s="5" t="s">
        <v>5283</v>
      </c>
      <c r="E1761" s="5">
        <v>25.04</v>
      </c>
      <c r="F1761" s="6">
        <f>LOOKUP(D1761,'AMFI DATA_2023H2'!F:J,'AMFI DATA_2023H2'!J:J)</f>
        <v>84.833400000000012</v>
      </c>
      <c r="G1761" s="7">
        <f t="shared" si="6"/>
        <v>-1</v>
      </c>
      <c r="H1761" s="9"/>
      <c r="I1761" s="9">
        <v>205</v>
      </c>
      <c r="J1761" s="9">
        <v>201</v>
      </c>
      <c r="K1761" s="9">
        <v>197</v>
      </c>
      <c r="L1761" s="9">
        <v>201</v>
      </c>
      <c r="M1761" s="9">
        <v>197</v>
      </c>
      <c r="N1761" s="9">
        <v>193</v>
      </c>
      <c r="O1761" s="9">
        <v>189</v>
      </c>
      <c r="P1761" s="9">
        <v>186</v>
      </c>
      <c r="Q1761" s="9">
        <v>182</v>
      </c>
      <c r="R1761" s="9">
        <v>178</v>
      </c>
      <c r="S1761" s="9">
        <v>175</v>
      </c>
      <c r="T1761" s="9">
        <v>171</v>
      </c>
      <c r="U1761" s="9">
        <v>168</v>
      </c>
      <c r="V1761" s="9">
        <v>165</v>
      </c>
      <c r="W1761" s="9">
        <v>162</v>
      </c>
      <c r="X1761" s="9">
        <v>159</v>
      </c>
      <c r="Y1761" s="9">
        <v>155</v>
      </c>
      <c r="Z1761" s="9">
        <v>154</v>
      </c>
      <c r="AA1761" s="9">
        <v>153</v>
      </c>
      <c r="AB1761" s="9">
        <v>158</v>
      </c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</row>
    <row r="1762" spans="1:47" ht="14.4">
      <c r="A1762" s="3">
        <f>LOOKUP(D1762,'AMFI DATA_2023H2'!F:L,'AMFI DATA_2023H2'!L:L)</f>
        <v>2488</v>
      </c>
      <c r="B1762" s="4" t="s">
        <v>5284</v>
      </c>
      <c r="C1762" s="4" t="s">
        <v>5285</v>
      </c>
      <c r="D1762" s="5" t="s">
        <v>5286</v>
      </c>
      <c r="E1762" s="5">
        <v>97.85</v>
      </c>
      <c r="F1762" s="6">
        <f>LOOKUP(D1762,'AMFI DATA_2023H2'!F:J,'AMFI DATA_2023H2'!J:J)</f>
        <v>83.472499999999997</v>
      </c>
      <c r="G1762" s="7">
        <f t="shared" si="6"/>
        <v>-1</v>
      </c>
      <c r="H1762" s="9"/>
      <c r="I1762" s="9">
        <v>74.7</v>
      </c>
      <c r="J1762" s="9">
        <v>75.2</v>
      </c>
      <c r="K1762" s="9">
        <v>75.2</v>
      </c>
      <c r="L1762" s="9">
        <v>75.3</v>
      </c>
      <c r="M1762" s="9">
        <v>76.400000000000006</v>
      </c>
      <c r="N1762" s="9">
        <v>78</v>
      </c>
      <c r="O1762" s="9">
        <v>78</v>
      </c>
      <c r="P1762" s="9">
        <v>79.099999999999994</v>
      </c>
      <c r="Q1762" s="9">
        <v>78</v>
      </c>
      <c r="R1762" s="9">
        <v>78</v>
      </c>
      <c r="S1762" s="9">
        <v>78.2</v>
      </c>
      <c r="T1762" s="9">
        <v>77</v>
      </c>
      <c r="U1762" s="9">
        <v>79</v>
      </c>
      <c r="V1762" s="9">
        <v>77.2</v>
      </c>
      <c r="W1762" s="9">
        <v>78.900000000000006</v>
      </c>
      <c r="X1762" s="9">
        <v>79.3</v>
      </c>
      <c r="Y1762" s="9">
        <v>77.8</v>
      </c>
      <c r="Z1762" s="9">
        <v>77.7</v>
      </c>
      <c r="AA1762" s="9">
        <v>77.099999999999994</v>
      </c>
      <c r="AB1762" s="9">
        <v>80.2</v>
      </c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</row>
    <row r="1763" spans="1:47" ht="14.4">
      <c r="A1763" s="3">
        <f>LOOKUP(D1763,'AMFI DATA_2023H2'!F:L,'AMFI DATA_2023H2'!L:L)</f>
        <v>2493</v>
      </c>
      <c r="B1763" s="4" t="s">
        <v>5287</v>
      </c>
      <c r="C1763" s="4" t="s">
        <v>5288</v>
      </c>
      <c r="D1763" s="5" t="s">
        <v>5289</v>
      </c>
      <c r="E1763" s="5">
        <v>77.41</v>
      </c>
      <c r="F1763" s="6">
        <f>LOOKUP(D1763,'AMFI DATA_2023H2'!F:J,'AMFI DATA_2023H2'!J:J)</f>
        <v>82.912499999999994</v>
      </c>
      <c r="G1763" s="7">
        <f t="shared" si="6"/>
        <v>-1</v>
      </c>
      <c r="H1763" s="9"/>
      <c r="I1763" s="9">
        <v>109</v>
      </c>
      <c r="J1763" s="9">
        <v>109</v>
      </c>
      <c r="K1763" s="9">
        <v>110</v>
      </c>
      <c r="L1763" s="9">
        <v>114</v>
      </c>
      <c r="M1763" s="9">
        <v>118</v>
      </c>
      <c r="N1763" s="9">
        <v>121</v>
      </c>
      <c r="O1763" s="9">
        <v>116</v>
      </c>
      <c r="P1763" s="9">
        <v>122</v>
      </c>
      <c r="Q1763" s="9">
        <v>129</v>
      </c>
      <c r="R1763" s="9">
        <v>136</v>
      </c>
      <c r="S1763" s="9">
        <v>124</v>
      </c>
      <c r="T1763" s="9">
        <v>112</v>
      </c>
      <c r="U1763" s="9">
        <v>102</v>
      </c>
      <c r="V1763" s="9">
        <v>103</v>
      </c>
      <c r="W1763" s="9">
        <v>103</v>
      </c>
      <c r="X1763" s="9">
        <v>106</v>
      </c>
      <c r="Y1763" s="9">
        <v>102</v>
      </c>
      <c r="Z1763" s="9">
        <v>95.7</v>
      </c>
      <c r="AA1763" s="9">
        <v>94.7</v>
      </c>
      <c r="AB1763" s="9">
        <v>90.7</v>
      </c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</row>
    <row r="1764" spans="1:47" ht="14.4">
      <c r="A1764" s="3">
        <f>LOOKUP(D1764,'AMFI DATA_2023H2'!F:L,'AMFI DATA_2023H2'!L:L)</f>
        <v>2496</v>
      </c>
      <c r="B1764" s="4" t="s">
        <v>5290</v>
      </c>
      <c r="C1764" s="4" t="s">
        <v>5291</v>
      </c>
      <c r="D1764" s="5" t="s">
        <v>5292</v>
      </c>
      <c r="E1764" s="5">
        <v>202.83</v>
      </c>
      <c r="F1764" s="6">
        <f>LOOKUP(D1764,'AMFI DATA_2023H2'!F:J,'AMFI DATA_2023H2'!J:J)</f>
        <v>82.307999999999993</v>
      </c>
      <c r="G1764" s="7">
        <f t="shared" si="6"/>
        <v>-1</v>
      </c>
      <c r="H1764" s="9"/>
      <c r="I1764" s="9">
        <v>92.1</v>
      </c>
      <c r="J1764" s="9">
        <v>92.6</v>
      </c>
      <c r="K1764" s="9">
        <v>94.4</v>
      </c>
      <c r="L1764" s="9">
        <v>93.3</v>
      </c>
      <c r="M1764" s="9">
        <v>95.1</v>
      </c>
      <c r="N1764" s="9">
        <v>97</v>
      </c>
      <c r="O1764" s="9">
        <v>98.9</v>
      </c>
      <c r="P1764" s="9">
        <v>101</v>
      </c>
      <c r="Q1764" s="9">
        <v>103</v>
      </c>
      <c r="R1764" s="9">
        <v>105</v>
      </c>
      <c r="S1764" s="9">
        <v>102</v>
      </c>
      <c r="T1764" s="9">
        <v>100</v>
      </c>
      <c r="U1764" s="9">
        <v>95.8</v>
      </c>
      <c r="V1764" s="9">
        <v>91.9</v>
      </c>
      <c r="W1764" s="9">
        <v>90.2</v>
      </c>
      <c r="X1764" s="9">
        <v>88.4</v>
      </c>
      <c r="Y1764" s="9">
        <v>88.9</v>
      </c>
      <c r="Z1764" s="9">
        <v>90.5</v>
      </c>
      <c r="AA1764" s="9">
        <v>91.4</v>
      </c>
      <c r="AB1764" s="9">
        <v>89.6</v>
      </c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</row>
    <row r="1765" spans="1:47" ht="14.4">
      <c r="A1765" s="3">
        <f>LOOKUP(D1765,'AMFI DATA_2023H2'!F:L,'AMFI DATA_2023H2'!L:L)</f>
        <v>2498</v>
      </c>
      <c r="B1765" s="4" t="s">
        <v>5293</v>
      </c>
      <c r="C1765" s="4" t="s">
        <v>5294</v>
      </c>
      <c r="D1765" s="5" t="s">
        <v>5295</v>
      </c>
      <c r="E1765" s="5">
        <v>73.459999999999994</v>
      </c>
      <c r="F1765" s="6">
        <f>LOOKUP(D1765,'AMFI DATA_2023H2'!F:J,'AMFI DATA_2023H2'!J:J)</f>
        <v>81.835700000000003</v>
      </c>
      <c r="G1765" s="7">
        <f t="shared" si="6"/>
        <v>-1</v>
      </c>
      <c r="H1765" s="9"/>
      <c r="I1765" s="9">
        <v>126</v>
      </c>
      <c r="J1765" s="9">
        <v>124</v>
      </c>
      <c r="K1765" s="9">
        <v>125</v>
      </c>
      <c r="L1765" s="9">
        <v>122</v>
      </c>
      <c r="M1765" s="9">
        <v>127</v>
      </c>
      <c r="N1765" s="9">
        <v>131</v>
      </c>
      <c r="O1765" s="9">
        <v>133</v>
      </c>
      <c r="P1765" s="9">
        <v>133</v>
      </c>
      <c r="Q1765" s="9">
        <v>122</v>
      </c>
      <c r="R1765" s="9">
        <v>124</v>
      </c>
      <c r="S1765" s="9">
        <v>118</v>
      </c>
      <c r="T1765" s="9">
        <v>118</v>
      </c>
      <c r="U1765" s="9">
        <v>118</v>
      </c>
      <c r="V1765" s="9">
        <v>117</v>
      </c>
      <c r="W1765" s="9">
        <v>112</v>
      </c>
      <c r="X1765" s="9">
        <v>107</v>
      </c>
      <c r="Y1765" s="9">
        <v>107</v>
      </c>
      <c r="Z1765" s="9">
        <v>108</v>
      </c>
      <c r="AA1765" s="9">
        <v>108</v>
      </c>
      <c r="AB1765" s="9">
        <v>110</v>
      </c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</row>
    <row r="1766" spans="1:47" ht="14.4">
      <c r="A1766" s="3">
        <f>LOOKUP(D1766,'AMFI DATA_2023H2'!F:L,'AMFI DATA_2023H2'!L:L)</f>
        <v>2511</v>
      </c>
      <c r="B1766" s="4" t="s">
        <v>5296</v>
      </c>
      <c r="C1766" s="4" t="s">
        <v>5297</v>
      </c>
      <c r="D1766" s="5" t="s">
        <v>5298</v>
      </c>
      <c r="E1766" s="5">
        <v>75.349999999999994</v>
      </c>
      <c r="F1766" s="6">
        <f>LOOKUP(D1766,'AMFI DATA_2023H2'!F:J,'AMFI DATA_2023H2'!J:J)</f>
        <v>79.674800000000005</v>
      </c>
      <c r="G1766" s="7">
        <f t="shared" si="6"/>
        <v>-1</v>
      </c>
      <c r="H1766" s="9"/>
      <c r="I1766" s="9">
        <v>91.6</v>
      </c>
      <c r="J1766" s="9">
        <v>89.2</v>
      </c>
      <c r="K1766" s="9">
        <v>90.3</v>
      </c>
      <c r="L1766" s="9">
        <v>92.7</v>
      </c>
      <c r="M1766" s="9">
        <v>93.2</v>
      </c>
      <c r="N1766" s="9">
        <v>94.9</v>
      </c>
      <c r="O1766" s="9">
        <v>96</v>
      </c>
      <c r="P1766" s="9">
        <v>95.4</v>
      </c>
      <c r="Q1766" s="9">
        <v>94.5</v>
      </c>
      <c r="R1766" s="9">
        <v>94.2</v>
      </c>
      <c r="S1766" s="9">
        <v>95.7</v>
      </c>
      <c r="T1766" s="9">
        <v>97.3</v>
      </c>
      <c r="U1766" s="9">
        <v>93.9</v>
      </c>
      <c r="V1766" s="9">
        <v>94.4</v>
      </c>
      <c r="W1766" s="9">
        <v>88.3</v>
      </c>
      <c r="X1766" s="9">
        <v>87.2</v>
      </c>
      <c r="Y1766" s="9">
        <v>88.1</v>
      </c>
      <c r="Z1766" s="9">
        <v>88.5</v>
      </c>
      <c r="AA1766" s="9">
        <v>92.4</v>
      </c>
      <c r="AB1766" s="9">
        <v>90.1</v>
      </c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</row>
    <row r="1767" spans="1:47" ht="14.4">
      <c r="A1767" s="3">
        <f>LOOKUP(D1767,'AMFI DATA_2023H2'!F:L,'AMFI DATA_2023H2'!L:L)</f>
        <v>2513</v>
      </c>
      <c r="B1767" s="4" t="s">
        <v>5299</v>
      </c>
      <c r="C1767" s="4" t="s">
        <v>5300</v>
      </c>
      <c r="D1767" s="5" t="s">
        <v>5301</v>
      </c>
      <c r="E1767" s="5">
        <v>122.7</v>
      </c>
      <c r="F1767" s="6">
        <f>LOOKUP(D1767,'AMFI DATA_2023H2'!F:J,'AMFI DATA_2023H2'!J:J)</f>
        <v>79.295749999999998</v>
      </c>
      <c r="G1767" s="7">
        <f t="shared" si="6"/>
        <v>-1</v>
      </c>
      <c r="H1767" s="9"/>
      <c r="I1767" s="9">
        <v>53.3</v>
      </c>
      <c r="J1767" s="9">
        <v>54.5</v>
      </c>
      <c r="K1767" s="9">
        <v>54.7</v>
      </c>
      <c r="L1767" s="9">
        <v>56.5</v>
      </c>
      <c r="M1767" s="9">
        <v>56.9</v>
      </c>
      <c r="N1767" s="9">
        <v>56.5</v>
      </c>
      <c r="O1767" s="9">
        <v>57.3</v>
      </c>
      <c r="P1767" s="9">
        <v>57.5</v>
      </c>
      <c r="Q1767" s="9">
        <v>57.5</v>
      </c>
      <c r="R1767" s="9">
        <v>57.5</v>
      </c>
      <c r="S1767" s="9">
        <v>56.5</v>
      </c>
      <c r="T1767" s="9">
        <v>56.5</v>
      </c>
      <c r="U1767" s="9">
        <v>58.5</v>
      </c>
      <c r="V1767" s="9">
        <v>59.9</v>
      </c>
      <c r="W1767" s="9">
        <v>60.1</v>
      </c>
      <c r="X1767" s="9">
        <v>59.7</v>
      </c>
      <c r="Y1767" s="9">
        <v>58.5</v>
      </c>
      <c r="Z1767" s="9">
        <v>58.5</v>
      </c>
      <c r="AA1767" s="9">
        <v>56.9</v>
      </c>
      <c r="AB1767" s="9">
        <v>55.5</v>
      </c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</row>
    <row r="1768" spans="1:47" ht="14.4">
      <c r="A1768" s="3">
        <f>LOOKUP(D1768,'AMFI DATA_2023H2'!F:L,'AMFI DATA_2023H2'!L:L)</f>
        <v>2519</v>
      </c>
      <c r="B1768" s="4" t="s">
        <v>5302</v>
      </c>
      <c r="C1768" s="4" t="s">
        <v>5303</v>
      </c>
      <c r="D1768" s="5" t="s">
        <v>5304</v>
      </c>
      <c r="E1768" s="5">
        <v>67.64</v>
      </c>
      <c r="F1768" s="6">
        <f>LOOKUP(D1768,'AMFI DATA_2023H2'!F:J,'AMFI DATA_2023H2'!J:J)</f>
        <v>78.983599999999996</v>
      </c>
      <c r="G1768" s="7">
        <f t="shared" si="6"/>
        <v>-1</v>
      </c>
      <c r="H1768" s="9"/>
      <c r="I1768" s="9">
        <v>95.5</v>
      </c>
      <c r="J1768" s="9">
        <v>92</v>
      </c>
      <c r="K1768" s="9">
        <v>93.1</v>
      </c>
      <c r="L1768" s="9">
        <v>93</v>
      </c>
      <c r="M1768" s="9">
        <v>93.4</v>
      </c>
      <c r="N1768" s="9">
        <v>93.6</v>
      </c>
      <c r="O1768" s="9">
        <v>90.5</v>
      </c>
      <c r="P1768" s="9">
        <v>86.3</v>
      </c>
      <c r="Q1768" s="9">
        <v>86.2</v>
      </c>
      <c r="R1768" s="9">
        <v>89.1</v>
      </c>
      <c r="S1768" s="9">
        <v>87</v>
      </c>
      <c r="T1768" s="9">
        <v>87.1</v>
      </c>
      <c r="U1768" s="9">
        <v>88.1</v>
      </c>
      <c r="V1768" s="9">
        <v>87.7</v>
      </c>
      <c r="W1768" s="9">
        <v>86</v>
      </c>
      <c r="X1768" s="9">
        <v>86.6</v>
      </c>
      <c r="Y1768" s="9">
        <v>82.1</v>
      </c>
      <c r="Z1768" s="9">
        <v>84.2</v>
      </c>
      <c r="AA1768" s="9">
        <v>83.2</v>
      </c>
      <c r="AB1768" s="9">
        <v>82.9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</row>
    <row r="1769" spans="1:47" ht="14.4">
      <c r="A1769" s="3">
        <f>LOOKUP(D1769,'AMFI DATA_2023H2'!F:L,'AMFI DATA_2023H2'!L:L)</f>
        <v>2520</v>
      </c>
      <c r="B1769" s="4" t="s">
        <v>5305</v>
      </c>
      <c r="C1769" s="4" t="s">
        <v>5306</v>
      </c>
      <c r="D1769" s="5" t="s">
        <v>5307</v>
      </c>
      <c r="E1769" s="5">
        <v>105.09</v>
      </c>
      <c r="F1769" s="6">
        <f>LOOKUP(D1769,'AMFI DATA_2023H2'!F:J,'AMFI DATA_2023H2'!J:J)</f>
        <v>78.49475000000001</v>
      </c>
      <c r="G1769" s="7">
        <f t="shared" si="6"/>
        <v>-1</v>
      </c>
      <c r="H1769" s="9"/>
      <c r="I1769" s="9">
        <v>93.1</v>
      </c>
      <c r="J1769" s="9">
        <v>98.6</v>
      </c>
      <c r="K1769" s="9">
        <v>97.8</v>
      </c>
      <c r="L1769" s="9">
        <v>97.7</v>
      </c>
      <c r="M1769" s="9">
        <v>103</v>
      </c>
      <c r="N1769" s="9">
        <v>86.1</v>
      </c>
      <c r="O1769" s="9">
        <v>86.5</v>
      </c>
      <c r="P1769" s="9">
        <v>87.5</v>
      </c>
      <c r="Q1769" s="9">
        <v>84.5</v>
      </c>
      <c r="R1769" s="9">
        <v>85.9</v>
      </c>
      <c r="S1769" s="9">
        <v>89.5</v>
      </c>
      <c r="T1769" s="9">
        <v>86.8</v>
      </c>
      <c r="U1769" s="9">
        <v>92.2</v>
      </c>
      <c r="V1769" s="9">
        <v>95.7</v>
      </c>
      <c r="W1769" s="9">
        <v>79.900000000000006</v>
      </c>
      <c r="X1769" s="9">
        <v>80</v>
      </c>
      <c r="Y1769" s="9">
        <v>80</v>
      </c>
      <c r="Z1769" s="9">
        <v>81.7</v>
      </c>
      <c r="AA1769" s="9">
        <v>79.8</v>
      </c>
      <c r="AB1769" s="9">
        <v>78.599999999999994</v>
      </c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</row>
    <row r="1770" spans="1:47" ht="14.4">
      <c r="A1770" s="3">
        <f>LOOKUP(D1770,'AMFI DATA_2023H2'!F:L,'AMFI DATA_2023H2'!L:L)</f>
        <v>2521</v>
      </c>
      <c r="B1770" s="4" t="s">
        <v>5308</v>
      </c>
      <c r="C1770" s="4" t="s">
        <v>5309</v>
      </c>
      <c r="D1770" s="5" t="s">
        <v>5310</v>
      </c>
      <c r="E1770" s="5">
        <v>71.34</v>
      </c>
      <c r="F1770" s="6">
        <f>LOOKUP(D1770,'AMFI DATA_2023H2'!F:J,'AMFI DATA_2023H2'!J:J)</f>
        <v>78.355549999999994</v>
      </c>
      <c r="G1770" s="7">
        <f t="shared" si="6"/>
        <v>-1</v>
      </c>
      <c r="H1770" s="9"/>
      <c r="I1770" s="9">
        <v>110</v>
      </c>
      <c r="J1770" s="9">
        <v>91.9</v>
      </c>
      <c r="K1770" s="9">
        <v>92.3</v>
      </c>
      <c r="L1770" s="9">
        <v>95.5</v>
      </c>
      <c r="M1770" s="9">
        <v>103</v>
      </c>
      <c r="N1770" s="9">
        <v>105</v>
      </c>
      <c r="O1770" s="9">
        <v>105</v>
      </c>
      <c r="P1770" s="9">
        <v>105</v>
      </c>
      <c r="Q1770" s="9">
        <v>106</v>
      </c>
      <c r="R1770" s="9">
        <v>103</v>
      </c>
      <c r="S1770" s="9">
        <v>85.8</v>
      </c>
      <c r="T1770" s="9">
        <v>86.5</v>
      </c>
      <c r="U1770" s="9">
        <v>84.4</v>
      </c>
      <c r="V1770" s="9">
        <v>83.7</v>
      </c>
      <c r="W1770" s="9">
        <v>85.1</v>
      </c>
      <c r="X1770" s="9">
        <v>83.8</v>
      </c>
      <c r="Y1770" s="9">
        <v>83.5</v>
      </c>
      <c r="Z1770" s="9">
        <v>84.7</v>
      </c>
      <c r="AA1770" s="9">
        <v>83</v>
      </c>
      <c r="AB1770" s="9">
        <v>82.5</v>
      </c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</row>
    <row r="1771" spans="1:47" ht="14.4">
      <c r="A1771" s="3">
        <f>LOOKUP(D1771,'AMFI DATA_2023H2'!F:L,'AMFI DATA_2023H2'!L:L)</f>
        <v>2526</v>
      </c>
      <c r="B1771" s="4" t="s">
        <v>5311</v>
      </c>
      <c r="C1771" s="4" t="s">
        <v>5312</v>
      </c>
      <c r="D1771" s="5" t="s">
        <v>5313</v>
      </c>
      <c r="E1771" s="5">
        <v>129.02000000000001</v>
      </c>
      <c r="F1771" s="6">
        <f>LOOKUP(D1771,'AMFI DATA_2023H2'!F:J,'AMFI DATA_2023H2'!J:J)</f>
        <v>77.573899999999995</v>
      </c>
      <c r="G1771" s="7">
        <f t="shared" si="6"/>
        <v>-1</v>
      </c>
      <c r="H1771" s="9"/>
      <c r="I1771" s="9">
        <v>77.099999999999994</v>
      </c>
      <c r="J1771" s="9">
        <v>77.3</v>
      </c>
      <c r="K1771" s="9">
        <v>78.7</v>
      </c>
      <c r="L1771" s="9">
        <v>82.4</v>
      </c>
      <c r="M1771" s="9">
        <v>83.5</v>
      </c>
      <c r="N1771" s="9">
        <v>83</v>
      </c>
      <c r="O1771" s="9">
        <v>83.7</v>
      </c>
      <c r="P1771" s="9">
        <v>87.7</v>
      </c>
      <c r="Q1771" s="9">
        <v>86</v>
      </c>
      <c r="R1771" s="9">
        <v>87.7</v>
      </c>
      <c r="S1771" s="9">
        <v>87.6</v>
      </c>
      <c r="T1771" s="9">
        <v>86.6</v>
      </c>
      <c r="U1771" s="9">
        <v>84.8</v>
      </c>
      <c r="V1771" s="9">
        <v>88.4</v>
      </c>
      <c r="W1771" s="9">
        <v>90.4</v>
      </c>
      <c r="X1771" s="9">
        <v>89.9</v>
      </c>
      <c r="Y1771" s="9">
        <v>94.6</v>
      </c>
      <c r="Z1771" s="9">
        <v>99.3</v>
      </c>
      <c r="AA1771" s="9">
        <v>104</v>
      </c>
      <c r="AB1771" s="9">
        <v>104</v>
      </c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</row>
    <row r="1772" spans="1:47" ht="14.4">
      <c r="A1772" s="3">
        <f>LOOKUP(D1772,'AMFI DATA_2023H2'!F:L,'AMFI DATA_2023H2'!L:L)</f>
        <v>2528</v>
      </c>
      <c r="B1772" s="4" t="s">
        <v>5314</v>
      </c>
      <c r="C1772" s="4" t="s">
        <v>5315</v>
      </c>
      <c r="D1772" s="5" t="s">
        <v>5316</v>
      </c>
      <c r="E1772" s="5">
        <v>69.08</v>
      </c>
      <c r="F1772" s="6">
        <f>LOOKUP(D1772,'AMFI DATA_2023H2'!F:J,'AMFI DATA_2023H2'!J:J)</f>
        <v>77.262699999999995</v>
      </c>
      <c r="G1772" s="7">
        <f t="shared" si="6"/>
        <v>-1</v>
      </c>
      <c r="H1772" s="9"/>
      <c r="I1772" s="9">
        <v>99.5</v>
      </c>
      <c r="J1772" s="9">
        <v>100</v>
      </c>
      <c r="K1772" s="9">
        <v>97.2</v>
      </c>
      <c r="L1772" s="9">
        <v>93.9</v>
      </c>
      <c r="M1772" s="9">
        <v>97.3</v>
      </c>
      <c r="N1772" s="9">
        <v>103</v>
      </c>
      <c r="O1772" s="9">
        <v>108</v>
      </c>
      <c r="P1772" s="9">
        <v>111</v>
      </c>
      <c r="Q1772" s="9">
        <v>110</v>
      </c>
      <c r="R1772" s="9">
        <v>107</v>
      </c>
      <c r="S1772" s="9">
        <v>102</v>
      </c>
      <c r="T1772" s="9">
        <v>98</v>
      </c>
      <c r="U1772" s="9">
        <v>93.9</v>
      </c>
      <c r="V1772" s="9">
        <v>90</v>
      </c>
      <c r="W1772" s="9">
        <v>89.6</v>
      </c>
      <c r="X1772" s="9">
        <v>90.3</v>
      </c>
      <c r="Y1772" s="9">
        <v>87.6</v>
      </c>
      <c r="Z1772" s="9">
        <v>86.7</v>
      </c>
      <c r="AA1772" s="9">
        <v>90.2</v>
      </c>
      <c r="AB1772" s="9">
        <v>87</v>
      </c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</row>
    <row r="1773" spans="1:47" ht="14.4">
      <c r="A1773" s="3">
        <f>LOOKUP(D1773,'AMFI DATA_2023H2'!F:L,'AMFI DATA_2023H2'!L:L)</f>
        <v>2530</v>
      </c>
      <c r="B1773" s="4" t="s">
        <v>5317</v>
      </c>
      <c r="C1773" s="4" t="s">
        <v>5318</v>
      </c>
      <c r="D1773" s="5" t="s">
        <v>5319</v>
      </c>
      <c r="E1773" s="5">
        <v>82.15</v>
      </c>
      <c r="F1773" s="6">
        <f>LOOKUP(D1773,'AMFI DATA_2023H2'!F:J,'AMFI DATA_2023H2'!J:J)</f>
        <v>77.0488</v>
      </c>
      <c r="G1773" s="7">
        <f t="shared" si="6"/>
        <v>-1</v>
      </c>
      <c r="H1773" s="9"/>
      <c r="I1773" s="9">
        <v>150</v>
      </c>
      <c r="J1773" s="9">
        <v>145</v>
      </c>
      <c r="K1773" s="9">
        <v>139</v>
      </c>
      <c r="L1773" s="9">
        <v>135</v>
      </c>
      <c r="M1773" s="9">
        <v>142</v>
      </c>
      <c r="N1773" s="9">
        <v>144</v>
      </c>
      <c r="O1773" s="9">
        <v>140</v>
      </c>
      <c r="P1773" s="9">
        <v>134</v>
      </c>
      <c r="Q1773" s="9">
        <v>140</v>
      </c>
      <c r="R1773" s="9">
        <v>142</v>
      </c>
      <c r="S1773" s="9">
        <v>140</v>
      </c>
      <c r="T1773" s="9">
        <v>148</v>
      </c>
      <c r="U1773" s="9">
        <v>151</v>
      </c>
      <c r="V1773" s="9">
        <v>138</v>
      </c>
      <c r="W1773" s="9">
        <v>125</v>
      </c>
      <c r="X1773" s="9">
        <v>114</v>
      </c>
      <c r="Y1773" s="9">
        <v>95.1</v>
      </c>
      <c r="Z1773" s="9">
        <v>79.2</v>
      </c>
      <c r="AA1773" s="9">
        <v>75.7</v>
      </c>
      <c r="AB1773" s="9">
        <v>76.099999999999994</v>
      </c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</row>
    <row r="1774" spans="1:47" ht="14.4">
      <c r="A1774" s="3">
        <f>LOOKUP(D1774,'AMFI DATA_2023H2'!F:L,'AMFI DATA_2023H2'!L:L)</f>
        <v>2531</v>
      </c>
      <c r="B1774" s="4" t="s">
        <v>5320</v>
      </c>
      <c r="C1774" s="4" t="s">
        <v>5321</v>
      </c>
      <c r="D1774" s="5" t="s">
        <v>5322</v>
      </c>
      <c r="E1774" s="5">
        <v>65.47</v>
      </c>
      <c r="F1774" s="6">
        <f>LOOKUP(D1774,'AMFI DATA_2023H2'!F:J,'AMFI DATA_2023H2'!J:J)</f>
        <v>76.926099999999991</v>
      </c>
      <c r="G1774" s="7">
        <f t="shared" si="6"/>
        <v>-1</v>
      </c>
      <c r="H1774" s="9"/>
      <c r="I1774" s="9">
        <v>89.9</v>
      </c>
      <c r="J1774" s="9">
        <v>92.3</v>
      </c>
      <c r="K1774" s="9">
        <v>92.4</v>
      </c>
      <c r="L1774" s="9">
        <v>91.8</v>
      </c>
      <c r="M1774" s="9">
        <v>99.5</v>
      </c>
      <c r="N1774" s="9">
        <v>95.3</v>
      </c>
      <c r="O1774" s="9">
        <v>91.7</v>
      </c>
      <c r="P1774" s="9">
        <v>88.9</v>
      </c>
      <c r="Q1774" s="9">
        <v>88.6</v>
      </c>
      <c r="R1774" s="9">
        <v>85.3</v>
      </c>
      <c r="S1774" s="9">
        <v>83.6</v>
      </c>
      <c r="T1774" s="9">
        <v>84.3</v>
      </c>
      <c r="U1774" s="9">
        <v>84.2</v>
      </c>
      <c r="V1774" s="9">
        <v>81.3</v>
      </c>
      <c r="W1774" s="9">
        <v>78.3</v>
      </c>
      <c r="X1774" s="9">
        <v>74.599999999999994</v>
      </c>
      <c r="Y1774" s="9">
        <v>75</v>
      </c>
      <c r="Z1774" s="9">
        <v>75.599999999999994</v>
      </c>
      <c r="AA1774" s="9">
        <v>74.3</v>
      </c>
      <c r="AB1774" s="9">
        <v>74.7</v>
      </c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</row>
    <row r="1775" spans="1:47" ht="14.4">
      <c r="A1775" s="3">
        <f>LOOKUP(D1775,'AMFI DATA_2023H2'!F:L,'AMFI DATA_2023H2'!L:L)</f>
        <v>2533</v>
      </c>
      <c r="B1775" s="4" t="s">
        <v>5323</v>
      </c>
      <c r="C1775" s="4" t="s">
        <v>5324</v>
      </c>
      <c r="D1775" s="5" t="s">
        <v>5325</v>
      </c>
      <c r="E1775" s="5">
        <v>77.27</v>
      </c>
      <c r="F1775" s="6">
        <f>LOOKUP(D1775,'AMFI DATA_2023H2'!F:J,'AMFI DATA_2023H2'!J:J)</f>
        <v>76.343350000000001</v>
      </c>
      <c r="G1775" s="7">
        <f t="shared" si="6"/>
        <v>-1</v>
      </c>
      <c r="H1775" s="9"/>
      <c r="I1775" s="9">
        <v>82.7</v>
      </c>
      <c r="J1775" s="9">
        <v>82.1</v>
      </c>
      <c r="K1775" s="9">
        <v>82</v>
      </c>
      <c r="L1775" s="9">
        <v>86.3</v>
      </c>
      <c r="M1775" s="9">
        <v>82.6</v>
      </c>
      <c r="N1775" s="9">
        <v>78.599999999999994</v>
      </c>
      <c r="O1775" s="9">
        <v>82.5</v>
      </c>
      <c r="P1775" s="9">
        <v>83.1</v>
      </c>
      <c r="Q1775" s="9">
        <v>84</v>
      </c>
      <c r="R1775" s="9">
        <v>88.2</v>
      </c>
      <c r="S1775" s="9">
        <v>84.6</v>
      </c>
      <c r="T1775" s="9">
        <v>81.099999999999994</v>
      </c>
      <c r="U1775" s="9">
        <v>78.400000000000006</v>
      </c>
      <c r="V1775" s="9">
        <v>79.099999999999994</v>
      </c>
      <c r="W1775" s="9">
        <v>76.7</v>
      </c>
      <c r="X1775" s="9">
        <v>74.2</v>
      </c>
      <c r="Y1775" s="9">
        <v>71.400000000000006</v>
      </c>
      <c r="Z1775" s="9">
        <v>75.2</v>
      </c>
      <c r="AA1775" s="9">
        <v>75.2</v>
      </c>
      <c r="AB1775" s="9">
        <v>74.2</v>
      </c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</row>
    <row r="1776" spans="1:47" ht="14.4">
      <c r="A1776" s="3">
        <f>LOOKUP(D1776,'AMFI DATA_2023H2'!F:L,'AMFI DATA_2023H2'!L:L)</f>
        <v>2535</v>
      </c>
      <c r="B1776" s="4" t="s">
        <v>5326</v>
      </c>
      <c r="C1776" s="4" t="s">
        <v>5327</v>
      </c>
      <c r="D1776" s="5" t="s">
        <v>5328</v>
      </c>
      <c r="E1776" s="5">
        <v>56.46</v>
      </c>
      <c r="F1776" s="6">
        <f>LOOKUP(D1776,'AMFI DATA_2023H2'!F:J,'AMFI DATA_2023H2'!J:J)</f>
        <v>75.708299999999994</v>
      </c>
      <c r="G1776" s="7">
        <f t="shared" si="6"/>
        <v>-1</v>
      </c>
      <c r="H1776" s="9"/>
      <c r="I1776" s="9">
        <v>79.900000000000006</v>
      </c>
      <c r="J1776" s="9">
        <v>80.3</v>
      </c>
      <c r="K1776" s="9">
        <v>79.2</v>
      </c>
      <c r="L1776" s="9">
        <v>80.5</v>
      </c>
      <c r="M1776" s="9">
        <v>82.6</v>
      </c>
      <c r="N1776" s="9">
        <v>78.3</v>
      </c>
      <c r="O1776" s="9">
        <v>78.3</v>
      </c>
      <c r="P1776" s="9">
        <v>77.5</v>
      </c>
      <c r="Q1776" s="9">
        <v>77.5</v>
      </c>
      <c r="R1776" s="9">
        <v>79.2</v>
      </c>
      <c r="S1776" s="9">
        <v>77.8</v>
      </c>
      <c r="T1776" s="9">
        <v>76.5</v>
      </c>
      <c r="U1776" s="9">
        <v>75.099999999999994</v>
      </c>
      <c r="V1776" s="9">
        <v>75.7</v>
      </c>
      <c r="W1776" s="9">
        <v>75.099999999999994</v>
      </c>
      <c r="X1776" s="9">
        <v>75.099999999999994</v>
      </c>
      <c r="Y1776" s="9">
        <v>75.900000000000006</v>
      </c>
      <c r="Z1776" s="9">
        <v>77</v>
      </c>
      <c r="AA1776" s="9">
        <v>77</v>
      </c>
      <c r="AB1776" s="9">
        <v>77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</row>
    <row r="1777" spans="1:47" ht="14.4">
      <c r="A1777" s="3">
        <f>LOOKUP(D1777,'AMFI DATA_2023H2'!F:L,'AMFI DATA_2023H2'!L:L)</f>
        <v>2536</v>
      </c>
      <c r="B1777" s="4" t="s">
        <v>5329</v>
      </c>
      <c r="C1777" s="4" t="s">
        <v>5330</v>
      </c>
      <c r="D1777" s="5" t="s">
        <v>5331</v>
      </c>
      <c r="E1777" s="5">
        <v>43.29</v>
      </c>
      <c r="F1777" s="6">
        <f>LOOKUP(D1777,'AMFI DATA_2023H2'!F:J,'AMFI DATA_2023H2'!J:J)</f>
        <v>75.677750000000003</v>
      </c>
      <c r="G1777" s="7">
        <f t="shared" si="6"/>
        <v>-1</v>
      </c>
      <c r="H1777" s="9"/>
      <c r="I1777" s="9">
        <v>71.400000000000006</v>
      </c>
      <c r="J1777" s="9">
        <v>72.099999999999994</v>
      </c>
      <c r="K1777" s="9">
        <v>72.7</v>
      </c>
      <c r="L1777" s="9">
        <v>73.900000000000006</v>
      </c>
      <c r="M1777" s="9">
        <v>72.5</v>
      </c>
      <c r="N1777" s="9">
        <v>74</v>
      </c>
      <c r="O1777" s="9">
        <v>75.400000000000006</v>
      </c>
      <c r="P1777" s="9">
        <v>77</v>
      </c>
      <c r="Q1777" s="9">
        <v>78.599999999999994</v>
      </c>
      <c r="R1777" s="9">
        <v>80.2</v>
      </c>
      <c r="S1777" s="9">
        <v>81.8</v>
      </c>
      <c r="T1777" s="9">
        <v>83.4</v>
      </c>
      <c r="U1777" s="9">
        <v>85.1</v>
      </c>
      <c r="V1777" s="9">
        <v>86.9</v>
      </c>
      <c r="W1777" s="9">
        <v>88.6</v>
      </c>
      <c r="X1777" s="9">
        <v>90.4</v>
      </c>
      <c r="Y1777" s="9">
        <v>92.3</v>
      </c>
      <c r="Z1777" s="9">
        <v>94</v>
      </c>
      <c r="AA1777" s="9">
        <v>89.8</v>
      </c>
      <c r="AB1777" s="9">
        <v>86</v>
      </c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</row>
    <row r="1778" spans="1:47" ht="14.4">
      <c r="A1778" s="3">
        <f>LOOKUP(D1778,'AMFI DATA_2023H2'!F:L,'AMFI DATA_2023H2'!L:L)</f>
        <v>2541</v>
      </c>
      <c r="B1778" s="4" t="s">
        <v>5332</v>
      </c>
      <c r="C1778" s="4" t="s">
        <v>5333</v>
      </c>
      <c r="D1778" s="5" t="s">
        <v>5334</v>
      </c>
      <c r="E1778" s="5">
        <v>74.55</v>
      </c>
      <c r="F1778" s="6">
        <f>LOOKUP(D1778,'AMFI DATA_2023H2'!F:J,'AMFI DATA_2023H2'!J:J)</f>
        <v>75.069800000000001</v>
      </c>
      <c r="G1778" s="7">
        <f t="shared" si="6"/>
        <v>-1</v>
      </c>
      <c r="H1778" s="9"/>
      <c r="I1778" s="9">
        <v>97.5</v>
      </c>
      <c r="J1778" s="9">
        <v>89.3</v>
      </c>
      <c r="K1778" s="9">
        <v>89.4</v>
      </c>
      <c r="L1778" s="9">
        <v>89.8</v>
      </c>
      <c r="M1778" s="9">
        <v>93.2</v>
      </c>
      <c r="N1778" s="9">
        <v>94.4</v>
      </c>
      <c r="O1778" s="9">
        <v>95.7</v>
      </c>
      <c r="P1778" s="9">
        <v>95.9</v>
      </c>
      <c r="Q1778" s="9">
        <v>96.2</v>
      </c>
      <c r="R1778" s="9">
        <v>93.2</v>
      </c>
      <c r="S1778" s="9">
        <v>96</v>
      </c>
      <c r="T1778" s="9">
        <v>99</v>
      </c>
      <c r="U1778" s="9">
        <v>95.6</v>
      </c>
      <c r="V1778" s="9">
        <v>98.3</v>
      </c>
      <c r="W1778" s="9">
        <v>101</v>
      </c>
      <c r="X1778" s="9">
        <v>91.6</v>
      </c>
      <c r="Y1778" s="9">
        <v>82</v>
      </c>
      <c r="Z1778" s="9">
        <v>80</v>
      </c>
      <c r="AA1778" s="9">
        <v>80.099999999999994</v>
      </c>
      <c r="AB1778" s="9">
        <v>79.599999999999994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</row>
    <row r="1779" spans="1:47" ht="14.4">
      <c r="A1779" s="3">
        <f>LOOKUP(D1779,'AMFI DATA_2023H2'!F:L,'AMFI DATA_2023H2'!L:L)</f>
        <v>2548</v>
      </c>
      <c r="B1779" s="4" t="s">
        <v>5335</v>
      </c>
      <c r="C1779" s="4" t="s">
        <v>5336</v>
      </c>
      <c r="D1779" s="5" t="s">
        <v>5337</v>
      </c>
      <c r="E1779" s="5">
        <v>59.8</v>
      </c>
      <c r="F1779" s="6">
        <f>LOOKUP(D1779,'AMFI DATA_2023H2'!F:J,'AMFI DATA_2023H2'!J:J)</f>
        <v>74.520499999999998</v>
      </c>
      <c r="G1779" s="7">
        <f t="shared" si="6"/>
        <v>-1</v>
      </c>
      <c r="H1779" s="9"/>
      <c r="I1779" s="9">
        <v>152</v>
      </c>
      <c r="J1779" s="9">
        <v>155</v>
      </c>
      <c r="K1779" s="9">
        <v>158</v>
      </c>
      <c r="L1779" s="9">
        <v>161</v>
      </c>
      <c r="M1779" s="9">
        <v>164</v>
      </c>
      <c r="N1779" s="9">
        <v>162</v>
      </c>
      <c r="O1779" s="9">
        <v>159</v>
      </c>
      <c r="P1779" s="9">
        <v>156</v>
      </c>
      <c r="Q1779" s="9">
        <v>153</v>
      </c>
      <c r="R1779" s="9">
        <v>150</v>
      </c>
      <c r="S1779" s="9">
        <v>147</v>
      </c>
      <c r="T1779" s="9">
        <v>144</v>
      </c>
      <c r="U1779" s="9">
        <v>141</v>
      </c>
      <c r="V1779" s="9">
        <v>139</v>
      </c>
      <c r="W1779" s="9">
        <v>136</v>
      </c>
      <c r="X1779" s="9">
        <v>133</v>
      </c>
      <c r="Y1779" s="9">
        <v>131</v>
      </c>
      <c r="Z1779" s="9">
        <v>128</v>
      </c>
      <c r="AA1779" s="9">
        <v>131</v>
      </c>
      <c r="AB1779" s="9">
        <v>126</v>
      </c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</row>
    <row r="1780" spans="1:47" ht="14.4">
      <c r="A1780" s="3">
        <f>LOOKUP(D1780,'AMFI DATA_2023H2'!F:L,'AMFI DATA_2023H2'!L:L)</f>
        <v>2552</v>
      </c>
      <c r="B1780" s="4" t="s">
        <v>5338</v>
      </c>
      <c r="C1780" s="4" t="s">
        <v>5339</v>
      </c>
      <c r="D1780" s="5" t="s">
        <v>5340</v>
      </c>
      <c r="E1780" s="5">
        <v>105.96</v>
      </c>
      <c r="F1780" s="6">
        <f>LOOKUP(D1780,'AMFI DATA_2023H2'!F:J,'AMFI DATA_2023H2'!J:J)</f>
        <v>74.271799999999999</v>
      </c>
      <c r="G1780" s="7">
        <f t="shared" si="6"/>
        <v>-1</v>
      </c>
      <c r="H1780" s="9"/>
      <c r="I1780" s="9">
        <v>106</v>
      </c>
      <c r="J1780" s="9">
        <v>100</v>
      </c>
      <c r="K1780" s="9">
        <v>96.5</v>
      </c>
      <c r="L1780" s="9">
        <v>92</v>
      </c>
      <c r="M1780" s="9">
        <v>87.3</v>
      </c>
      <c r="N1780" s="9">
        <v>89</v>
      </c>
      <c r="O1780" s="9">
        <v>88.6</v>
      </c>
      <c r="P1780" s="9">
        <v>87.8</v>
      </c>
      <c r="Q1780" s="9">
        <v>87.9</v>
      </c>
      <c r="R1780" s="9">
        <v>89.2</v>
      </c>
      <c r="S1780" s="9">
        <v>89</v>
      </c>
      <c r="T1780" s="9">
        <v>87.8</v>
      </c>
      <c r="U1780" s="9">
        <v>87.9</v>
      </c>
      <c r="V1780" s="9">
        <v>89.3</v>
      </c>
      <c r="W1780" s="9">
        <v>89</v>
      </c>
      <c r="X1780" s="9">
        <v>89.2</v>
      </c>
      <c r="Y1780" s="9">
        <v>92.2</v>
      </c>
      <c r="Z1780" s="9">
        <v>89.4</v>
      </c>
      <c r="AA1780" s="9">
        <v>86.1</v>
      </c>
      <c r="AB1780" s="9">
        <v>81.8</v>
      </c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</row>
    <row r="1781" spans="1:47" ht="14.4">
      <c r="A1781" s="3">
        <f>LOOKUP(D1781,'AMFI DATA_2023H2'!F:L,'AMFI DATA_2023H2'!L:L)</f>
        <v>2554</v>
      </c>
      <c r="B1781" s="4" t="s">
        <v>5341</v>
      </c>
      <c r="C1781" s="4" t="s">
        <v>5342</v>
      </c>
      <c r="D1781" s="5" t="s">
        <v>5343</v>
      </c>
      <c r="E1781" s="5">
        <v>65.31</v>
      </c>
      <c r="F1781" s="6">
        <f>LOOKUP(D1781,'AMFI DATA_2023H2'!F:J,'AMFI DATA_2023H2'!J:J)</f>
        <v>74.243849999999995</v>
      </c>
      <c r="G1781" s="7">
        <f t="shared" si="6"/>
        <v>-1</v>
      </c>
      <c r="H1781" s="9"/>
      <c r="I1781" s="9">
        <v>93.8</v>
      </c>
      <c r="J1781" s="9">
        <v>93</v>
      </c>
      <c r="K1781" s="9">
        <v>92.4</v>
      </c>
      <c r="L1781" s="9">
        <v>92.3</v>
      </c>
      <c r="M1781" s="9">
        <v>97.6</v>
      </c>
      <c r="N1781" s="9">
        <v>97.6</v>
      </c>
      <c r="O1781" s="9">
        <v>99.7</v>
      </c>
      <c r="P1781" s="9">
        <v>95.4</v>
      </c>
      <c r="Q1781" s="9">
        <v>99.4</v>
      </c>
      <c r="R1781" s="9">
        <v>98.4</v>
      </c>
      <c r="S1781" s="9">
        <v>93.8</v>
      </c>
      <c r="T1781" s="9">
        <v>95.1</v>
      </c>
      <c r="U1781" s="9">
        <v>89</v>
      </c>
      <c r="V1781" s="9">
        <v>90.9</v>
      </c>
      <c r="W1781" s="9">
        <v>91.5</v>
      </c>
      <c r="X1781" s="9">
        <v>86.1</v>
      </c>
      <c r="Y1781" s="9">
        <v>82</v>
      </c>
      <c r="Z1781" s="9">
        <v>80</v>
      </c>
      <c r="AA1781" s="9">
        <v>78.3</v>
      </c>
      <c r="AB1781" s="9">
        <v>75.400000000000006</v>
      </c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</row>
    <row r="1782" spans="1:47" ht="14.4">
      <c r="A1782" s="3">
        <f>LOOKUP(D1782,'AMFI DATA_2023H2'!F:L,'AMFI DATA_2023H2'!L:L)</f>
        <v>2555</v>
      </c>
      <c r="B1782" s="4" t="s">
        <v>5344</v>
      </c>
      <c r="C1782" s="4" t="s">
        <v>5345</v>
      </c>
      <c r="D1782" s="5" t="s">
        <v>5346</v>
      </c>
      <c r="E1782" s="5">
        <v>60.82</v>
      </c>
      <c r="F1782" s="6">
        <f>LOOKUP(D1782,'AMFI DATA_2023H2'!F:J,'AMFI DATA_2023H2'!J:J)</f>
        <v>74.212350000000001</v>
      </c>
      <c r="G1782" s="7">
        <f t="shared" si="6"/>
        <v>-1</v>
      </c>
      <c r="H1782" s="9"/>
      <c r="I1782" s="9">
        <v>98.2</v>
      </c>
      <c r="J1782" s="9">
        <v>88.7</v>
      </c>
      <c r="K1782" s="9">
        <v>81.2</v>
      </c>
      <c r="L1782" s="9">
        <v>82.7</v>
      </c>
      <c r="M1782" s="9">
        <v>87.5</v>
      </c>
      <c r="N1782" s="9">
        <v>86.6</v>
      </c>
      <c r="O1782" s="9">
        <v>86.7</v>
      </c>
      <c r="P1782" s="9">
        <v>83.7</v>
      </c>
      <c r="Q1782" s="9">
        <v>82.5</v>
      </c>
      <c r="R1782" s="9">
        <v>81.900000000000006</v>
      </c>
      <c r="S1782" s="9">
        <v>84.4</v>
      </c>
      <c r="T1782" s="9">
        <v>84.8</v>
      </c>
      <c r="U1782" s="9">
        <v>84.9</v>
      </c>
      <c r="V1782" s="9">
        <v>85.6</v>
      </c>
      <c r="W1782" s="9">
        <v>83</v>
      </c>
      <c r="X1782" s="9">
        <v>83.9</v>
      </c>
      <c r="Y1782" s="9">
        <v>82.1</v>
      </c>
      <c r="Z1782" s="9">
        <v>86.2</v>
      </c>
      <c r="AA1782" s="9">
        <v>84.5</v>
      </c>
      <c r="AB1782" s="9">
        <v>78.599999999999994</v>
      </c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</row>
    <row r="1783" spans="1:47" ht="14.4">
      <c r="A1783" s="3">
        <f>LOOKUP(D1783,'AMFI DATA_2023H2'!F:L,'AMFI DATA_2023H2'!L:L)</f>
        <v>2564</v>
      </c>
      <c r="B1783" s="4" t="s">
        <v>5347</v>
      </c>
      <c r="C1783" s="4" t="s">
        <v>5348</v>
      </c>
      <c r="D1783" s="5" t="s">
        <v>5349</v>
      </c>
      <c r="E1783" s="5">
        <v>58.98</v>
      </c>
      <c r="F1783" s="6">
        <f>LOOKUP(D1783,'AMFI DATA_2023H2'!F:J,'AMFI DATA_2023H2'!J:J)</f>
        <v>73.118049999999997</v>
      </c>
      <c r="G1783" s="7">
        <f t="shared" si="6"/>
        <v>-1</v>
      </c>
      <c r="H1783" s="9"/>
      <c r="I1783" s="9">
        <v>95.6</v>
      </c>
      <c r="J1783" s="9">
        <v>96.7</v>
      </c>
      <c r="K1783" s="9">
        <v>101</v>
      </c>
      <c r="L1783" s="9">
        <v>97.5</v>
      </c>
      <c r="M1783" s="9">
        <v>101</v>
      </c>
      <c r="N1783" s="9">
        <v>101</v>
      </c>
      <c r="O1783" s="9">
        <v>97.3</v>
      </c>
      <c r="P1783" s="9">
        <v>102</v>
      </c>
      <c r="Q1783" s="9">
        <v>108</v>
      </c>
      <c r="R1783" s="9">
        <v>103</v>
      </c>
      <c r="S1783" s="9">
        <v>108</v>
      </c>
      <c r="T1783" s="9">
        <v>112</v>
      </c>
      <c r="U1783" s="9">
        <v>120</v>
      </c>
      <c r="V1783" s="9">
        <v>112</v>
      </c>
      <c r="W1783" s="9">
        <v>109</v>
      </c>
      <c r="X1783" s="9">
        <v>103</v>
      </c>
      <c r="Y1783" s="9">
        <v>98.5</v>
      </c>
      <c r="Z1783" s="9">
        <v>92.8</v>
      </c>
      <c r="AA1783" s="9">
        <v>87.8</v>
      </c>
      <c r="AB1783" s="9">
        <v>84.5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</row>
    <row r="1784" spans="1:47" ht="14.4">
      <c r="A1784" s="3">
        <f>LOOKUP(D1784,'AMFI DATA_2023H2'!F:L,'AMFI DATA_2023H2'!L:L)</f>
        <v>2570</v>
      </c>
      <c r="B1784" s="4" t="s">
        <v>5350</v>
      </c>
      <c r="C1784" s="4" t="s">
        <v>5351</v>
      </c>
      <c r="D1784" s="5" t="s">
        <v>5352</v>
      </c>
      <c r="E1784" s="5">
        <v>46.6</v>
      </c>
      <c r="F1784" s="6">
        <f>LOOKUP(D1784,'AMFI DATA_2023H2'!F:J,'AMFI DATA_2023H2'!J:J)</f>
        <v>72.582949999999997</v>
      </c>
      <c r="G1784" s="7">
        <f t="shared" si="6"/>
        <v>-1</v>
      </c>
      <c r="H1784" s="9"/>
      <c r="I1784" s="9">
        <v>96</v>
      </c>
      <c r="J1784" s="9">
        <v>96.8</v>
      </c>
      <c r="K1784" s="9">
        <v>96.2</v>
      </c>
      <c r="L1784" s="9">
        <v>101</v>
      </c>
      <c r="M1784" s="9">
        <v>99.6</v>
      </c>
      <c r="N1784" s="9">
        <v>102</v>
      </c>
      <c r="O1784" s="9">
        <v>101</v>
      </c>
      <c r="P1784" s="9">
        <v>99.6</v>
      </c>
      <c r="Q1784" s="9">
        <v>102</v>
      </c>
      <c r="R1784" s="9">
        <v>104</v>
      </c>
      <c r="S1784" s="9">
        <v>108</v>
      </c>
      <c r="T1784" s="9">
        <v>108</v>
      </c>
      <c r="U1784" s="9">
        <v>112</v>
      </c>
      <c r="V1784" s="9">
        <v>114</v>
      </c>
      <c r="W1784" s="9">
        <v>112</v>
      </c>
      <c r="X1784" s="9">
        <v>109</v>
      </c>
      <c r="Y1784" s="9">
        <v>104</v>
      </c>
      <c r="Z1784" s="9">
        <v>105</v>
      </c>
      <c r="AA1784" s="9">
        <v>109</v>
      </c>
      <c r="AB1784" s="9">
        <v>113</v>
      </c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</row>
    <row r="1785" spans="1:47" ht="14.4">
      <c r="A1785" s="3">
        <f>LOOKUP(D1785,'AMFI DATA_2023H2'!F:L,'AMFI DATA_2023H2'!L:L)</f>
        <v>2572</v>
      </c>
      <c r="B1785" s="4" t="s">
        <v>5353</v>
      </c>
      <c r="C1785" s="4" t="s">
        <v>5354</v>
      </c>
      <c r="D1785" s="5" t="s">
        <v>5355</v>
      </c>
      <c r="E1785" s="5">
        <v>44.8</v>
      </c>
      <c r="F1785" s="6">
        <f>LOOKUP(D1785,'AMFI DATA_2023H2'!F:J,'AMFI DATA_2023H2'!J:J)</f>
        <v>72.513000000000005</v>
      </c>
      <c r="G1785" s="7">
        <f t="shared" si="6"/>
        <v>-1</v>
      </c>
      <c r="H1785" s="9"/>
      <c r="I1785" s="9">
        <v>125</v>
      </c>
      <c r="J1785" s="9">
        <v>119</v>
      </c>
      <c r="K1785" s="9">
        <v>114</v>
      </c>
      <c r="L1785" s="9">
        <v>109</v>
      </c>
      <c r="M1785" s="9">
        <v>104</v>
      </c>
      <c r="N1785" s="9">
        <v>99.3</v>
      </c>
      <c r="O1785" s="9">
        <v>94.9</v>
      </c>
      <c r="P1785" s="9">
        <v>90.4</v>
      </c>
      <c r="Q1785" s="9">
        <v>86.6</v>
      </c>
      <c r="R1785" s="9">
        <v>82.7</v>
      </c>
      <c r="S1785" s="9">
        <v>78.8</v>
      </c>
      <c r="T1785" s="9">
        <v>75.400000000000006</v>
      </c>
      <c r="U1785" s="9">
        <v>72.099999999999994</v>
      </c>
      <c r="V1785" s="9">
        <v>73.2</v>
      </c>
      <c r="W1785" s="9">
        <v>71</v>
      </c>
      <c r="X1785" s="9">
        <v>70.5</v>
      </c>
      <c r="Y1785" s="9">
        <v>70.5</v>
      </c>
      <c r="Z1785" s="9">
        <v>72.099999999999994</v>
      </c>
      <c r="AA1785" s="9">
        <v>68.8</v>
      </c>
      <c r="AB1785" s="9">
        <v>68.2</v>
      </c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</row>
    <row r="1786" spans="1:47" ht="14.4">
      <c r="A1786" s="3">
        <f>LOOKUP(D1786,'AMFI DATA_2023H2'!F:L,'AMFI DATA_2023H2'!L:L)</f>
        <v>2576</v>
      </c>
      <c r="B1786" s="4" t="s">
        <v>5356</v>
      </c>
      <c r="C1786" s="4" t="s">
        <v>5357</v>
      </c>
      <c r="D1786" s="5" t="s">
        <v>5358</v>
      </c>
      <c r="E1786" s="5">
        <v>80.349999999999994</v>
      </c>
      <c r="F1786" s="6">
        <f>LOOKUP(D1786,'AMFI DATA_2023H2'!F:J,'AMFI DATA_2023H2'!J:J)</f>
        <v>71.927199999999999</v>
      </c>
      <c r="G1786" s="7">
        <f t="shared" si="6"/>
        <v>-1</v>
      </c>
      <c r="H1786" s="9"/>
      <c r="I1786" s="9">
        <v>72.099999999999994</v>
      </c>
      <c r="J1786" s="9">
        <v>70.7</v>
      </c>
      <c r="K1786" s="9">
        <v>69.400000000000006</v>
      </c>
      <c r="L1786" s="9">
        <v>70.8</v>
      </c>
      <c r="M1786" s="9">
        <v>70.7</v>
      </c>
      <c r="N1786" s="9">
        <v>72.099999999999994</v>
      </c>
      <c r="O1786" s="9">
        <v>73.599999999999994</v>
      </c>
      <c r="P1786" s="9">
        <v>75</v>
      </c>
      <c r="Q1786" s="9">
        <v>76.400000000000006</v>
      </c>
      <c r="R1786" s="9">
        <v>76.5</v>
      </c>
      <c r="S1786" s="9">
        <v>78.099999999999994</v>
      </c>
      <c r="T1786" s="9">
        <v>79.599999999999994</v>
      </c>
      <c r="U1786" s="9">
        <v>81.2</v>
      </c>
      <c r="V1786" s="9">
        <v>82.9</v>
      </c>
      <c r="W1786" s="9">
        <v>84.6</v>
      </c>
      <c r="X1786" s="9">
        <v>83.3</v>
      </c>
      <c r="Y1786" s="9">
        <v>86.2</v>
      </c>
      <c r="Z1786" s="9">
        <v>83.8</v>
      </c>
      <c r="AA1786" s="9">
        <v>77.099999999999994</v>
      </c>
      <c r="AB1786" s="9">
        <v>76</v>
      </c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</row>
    <row r="1787" spans="1:47" ht="14.4">
      <c r="A1787" s="3">
        <f>LOOKUP(D1787,'AMFI DATA_2023H2'!F:L,'AMFI DATA_2023H2'!L:L)</f>
        <v>2580</v>
      </c>
      <c r="B1787" s="4" t="s">
        <v>5359</v>
      </c>
      <c r="C1787" s="4" t="s">
        <v>5360</v>
      </c>
      <c r="D1787" s="5" t="s">
        <v>5361</v>
      </c>
      <c r="E1787" s="5">
        <v>63.53</v>
      </c>
      <c r="F1787" s="6">
        <f>LOOKUP(D1787,'AMFI DATA_2023H2'!F:J,'AMFI DATA_2023H2'!J:J)</f>
        <v>71.4161</v>
      </c>
      <c r="G1787" s="7">
        <f t="shared" ref="G1787:G1928" si="7">H1787/F1787-1</f>
        <v>-1</v>
      </c>
      <c r="H1787" s="9"/>
      <c r="I1787" s="9">
        <v>97.3</v>
      </c>
      <c r="J1787" s="9">
        <v>95.9</v>
      </c>
      <c r="K1787" s="9">
        <v>97.7</v>
      </c>
      <c r="L1787" s="9">
        <v>99.6</v>
      </c>
      <c r="M1787" s="9">
        <v>98.6</v>
      </c>
      <c r="N1787" s="9">
        <v>96.8</v>
      </c>
      <c r="O1787" s="9">
        <v>94.9</v>
      </c>
      <c r="P1787" s="9">
        <v>96.8</v>
      </c>
      <c r="Q1787" s="9">
        <v>98.6</v>
      </c>
      <c r="R1787" s="9">
        <v>101</v>
      </c>
      <c r="S1787" s="9">
        <v>103</v>
      </c>
      <c r="T1787" s="9">
        <v>105</v>
      </c>
      <c r="U1787" s="9">
        <v>107</v>
      </c>
      <c r="V1787" s="9">
        <v>109</v>
      </c>
      <c r="W1787" s="9">
        <v>111</v>
      </c>
      <c r="X1787" s="9">
        <v>113</v>
      </c>
      <c r="Y1787" s="9">
        <v>108</v>
      </c>
      <c r="Z1787" s="9">
        <v>103</v>
      </c>
      <c r="AA1787" s="9">
        <v>97.3</v>
      </c>
      <c r="AB1787" s="9">
        <v>93.2</v>
      </c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</row>
    <row r="1788" spans="1:47" ht="14.4">
      <c r="A1788" s="3">
        <f>LOOKUP(D1788,'AMFI DATA_2023H2'!F:L,'AMFI DATA_2023H2'!L:L)</f>
        <v>2581</v>
      </c>
      <c r="B1788" s="4" t="s">
        <v>5362</v>
      </c>
      <c r="C1788" s="4" t="s">
        <v>5363</v>
      </c>
      <c r="D1788" s="5" t="s">
        <v>5364</v>
      </c>
      <c r="E1788" s="5">
        <v>73.98</v>
      </c>
      <c r="F1788" s="6">
        <f>LOOKUP(D1788,'AMFI DATA_2023H2'!F:J,'AMFI DATA_2023H2'!J:J)</f>
        <v>71.356049999999996</v>
      </c>
      <c r="G1788" s="7">
        <f t="shared" si="7"/>
        <v>-1</v>
      </c>
      <c r="H1788" s="9"/>
      <c r="I1788" s="9">
        <v>69.400000000000006</v>
      </c>
      <c r="J1788" s="9">
        <v>70.8</v>
      </c>
      <c r="K1788" s="9">
        <v>72.2</v>
      </c>
      <c r="L1788" s="9">
        <v>73.7</v>
      </c>
      <c r="M1788" s="9">
        <v>75.2</v>
      </c>
      <c r="N1788" s="9">
        <v>73.8</v>
      </c>
      <c r="O1788" s="9">
        <v>72.5</v>
      </c>
      <c r="P1788" s="9">
        <v>71.099999999999994</v>
      </c>
      <c r="Q1788" s="9">
        <v>69.7</v>
      </c>
      <c r="R1788" s="9">
        <v>70</v>
      </c>
      <c r="S1788" s="9">
        <v>71.400000000000006</v>
      </c>
      <c r="T1788" s="9">
        <v>70.099999999999994</v>
      </c>
      <c r="U1788" s="9">
        <v>71.5</v>
      </c>
      <c r="V1788" s="9">
        <v>72.900000000000006</v>
      </c>
      <c r="W1788" s="9">
        <v>74.400000000000006</v>
      </c>
      <c r="X1788" s="9">
        <v>73</v>
      </c>
      <c r="Y1788" s="9">
        <v>77.2</v>
      </c>
      <c r="Z1788" s="9">
        <v>73.7</v>
      </c>
      <c r="AA1788" s="9">
        <v>66.400000000000006</v>
      </c>
      <c r="AB1788" s="9">
        <v>65.099999999999994</v>
      </c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</row>
    <row r="1789" spans="1:47" ht="14.4">
      <c r="A1789" s="3">
        <f>LOOKUP(D1789,'AMFI DATA_2023H2'!F:L,'AMFI DATA_2023H2'!L:L)</f>
        <v>2584</v>
      </c>
      <c r="B1789" s="4" t="s">
        <v>5365</v>
      </c>
      <c r="C1789" s="4" t="s">
        <v>5366</v>
      </c>
      <c r="D1789" s="5" t="s">
        <v>5367</v>
      </c>
      <c r="E1789" s="5">
        <v>106.06</v>
      </c>
      <c r="F1789" s="6">
        <f>LOOKUP(D1789,'AMFI DATA_2023H2'!F:J,'AMFI DATA_2023H2'!J:J)</f>
        <v>70.901899999999998</v>
      </c>
      <c r="G1789" s="7">
        <f t="shared" si="7"/>
        <v>-1</v>
      </c>
      <c r="H1789" s="9"/>
      <c r="I1789" s="9">
        <v>64.3</v>
      </c>
      <c r="J1789" s="9">
        <v>62.1</v>
      </c>
      <c r="K1789" s="9">
        <v>60</v>
      </c>
      <c r="L1789" s="9">
        <v>60</v>
      </c>
      <c r="M1789" s="9">
        <v>57.8</v>
      </c>
      <c r="N1789" s="9">
        <v>55.7</v>
      </c>
      <c r="O1789" s="9">
        <v>53.6</v>
      </c>
      <c r="P1789" s="9">
        <v>51.4</v>
      </c>
      <c r="Q1789" s="9">
        <v>49.3</v>
      </c>
      <c r="R1789" s="9">
        <v>47.1</v>
      </c>
      <c r="S1789" s="9">
        <v>45</v>
      </c>
      <c r="T1789" s="9">
        <v>45</v>
      </c>
      <c r="U1789" s="9">
        <v>47.1</v>
      </c>
      <c r="V1789" s="9">
        <v>47.1</v>
      </c>
      <c r="W1789" s="9">
        <v>47.1</v>
      </c>
      <c r="X1789" s="9">
        <v>45</v>
      </c>
      <c r="Y1789" s="9">
        <v>42.8</v>
      </c>
      <c r="Z1789" s="9">
        <v>45</v>
      </c>
      <c r="AA1789" s="9">
        <v>45</v>
      </c>
      <c r="AB1789" s="9">
        <v>45</v>
      </c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</row>
    <row r="1790" spans="1:47" ht="14.4">
      <c r="A1790" s="3">
        <f>LOOKUP(D1790,'AMFI DATA_2023H2'!F:L,'AMFI DATA_2023H2'!L:L)</f>
        <v>2587</v>
      </c>
      <c r="B1790" s="4" t="s">
        <v>5368</v>
      </c>
      <c r="C1790" s="4" t="s">
        <v>5369</v>
      </c>
      <c r="D1790" s="5" t="s">
        <v>5370</v>
      </c>
      <c r="E1790" s="5">
        <v>101.64</v>
      </c>
      <c r="F1790" s="6">
        <f>LOOKUP(D1790,'AMFI DATA_2023H2'!F:J,'AMFI DATA_2023H2'!J:J)</f>
        <v>70.594549999999998</v>
      </c>
      <c r="G1790" s="7">
        <f t="shared" si="7"/>
        <v>-1</v>
      </c>
      <c r="H1790" s="9"/>
      <c r="I1790" s="9">
        <v>100</v>
      </c>
      <c r="J1790" s="9">
        <v>100</v>
      </c>
      <c r="K1790" s="9">
        <v>100</v>
      </c>
      <c r="L1790" s="9">
        <v>100</v>
      </c>
      <c r="M1790" s="9">
        <v>100</v>
      </c>
      <c r="N1790" s="9">
        <v>75.900000000000006</v>
      </c>
      <c r="O1790" s="9">
        <v>75</v>
      </c>
      <c r="P1790" s="9">
        <v>74.099999999999994</v>
      </c>
      <c r="Q1790" s="9">
        <v>73.3</v>
      </c>
      <c r="R1790" s="9">
        <v>72.400000000000006</v>
      </c>
      <c r="S1790" s="9">
        <v>71.5</v>
      </c>
      <c r="T1790" s="9">
        <v>70.599999999999994</v>
      </c>
      <c r="U1790" s="9">
        <v>69.8</v>
      </c>
      <c r="V1790" s="9">
        <v>68.900000000000006</v>
      </c>
      <c r="W1790" s="9">
        <v>69.8</v>
      </c>
      <c r="X1790" s="9">
        <v>69.8</v>
      </c>
      <c r="Y1790" s="9">
        <v>70.599999999999994</v>
      </c>
      <c r="Z1790" s="9">
        <v>71.5</v>
      </c>
      <c r="AA1790" s="9">
        <v>75</v>
      </c>
      <c r="AB1790" s="9">
        <v>74.099999999999994</v>
      </c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</row>
    <row r="1791" spans="1:47" ht="14.4">
      <c r="A1791" s="3">
        <f>LOOKUP(D1791,'AMFI DATA_2023H2'!F:L,'AMFI DATA_2023H2'!L:L)</f>
        <v>2588</v>
      </c>
      <c r="B1791" s="4" t="s">
        <v>5371</v>
      </c>
      <c r="C1791" s="4" t="s">
        <v>5372</v>
      </c>
      <c r="D1791" s="5" t="s">
        <v>5373</v>
      </c>
      <c r="E1791" s="5">
        <v>66.489999999999995</v>
      </c>
      <c r="F1791" s="6">
        <f>LOOKUP(D1791,'AMFI DATA_2023H2'!F:J,'AMFI DATA_2023H2'!J:J)</f>
        <v>70.585099999999997</v>
      </c>
      <c r="G1791" s="7">
        <f t="shared" si="7"/>
        <v>-1</v>
      </c>
      <c r="H1791" s="9"/>
      <c r="I1791" s="9">
        <v>100</v>
      </c>
      <c r="J1791" s="9">
        <v>101</v>
      </c>
      <c r="K1791" s="9">
        <v>100</v>
      </c>
      <c r="L1791" s="9">
        <v>101</v>
      </c>
      <c r="M1791" s="9">
        <v>103</v>
      </c>
      <c r="N1791" s="9">
        <v>105</v>
      </c>
      <c r="O1791" s="9">
        <v>107</v>
      </c>
      <c r="P1791" s="9">
        <v>109</v>
      </c>
      <c r="Q1791" s="9">
        <v>111</v>
      </c>
      <c r="R1791" s="9">
        <v>113</v>
      </c>
      <c r="S1791" s="9">
        <v>115</v>
      </c>
      <c r="T1791" s="9">
        <v>117</v>
      </c>
      <c r="U1791" s="9">
        <v>119</v>
      </c>
      <c r="V1791" s="9">
        <v>122</v>
      </c>
      <c r="W1791" s="9">
        <v>122</v>
      </c>
      <c r="X1791" s="9">
        <v>116</v>
      </c>
      <c r="Y1791" s="9">
        <v>117</v>
      </c>
      <c r="Z1791" s="9">
        <v>111</v>
      </c>
      <c r="AA1791" s="9">
        <v>106</v>
      </c>
      <c r="AB1791" s="9">
        <v>101</v>
      </c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</row>
    <row r="1792" spans="1:47" ht="14.4">
      <c r="A1792" s="3">
        <f>LOOKUP(D1792,'AMFI DATA_2023H2'!F:L,'AMFI DATA_2023H2'!L:L)</f>
        <v>2590</v>
      </c>
      <c r="B1792" s="4" t="s">
        <v>5374</v>
      </c>
      <c r="C1792" s="4" t="s">
        <v>5375</v>
      </c>
      <c r="D1792" s="5" t="s">
        <v>5376</v>
      </c>
      <c r="E1792" s="5">
        <v>50.1</v>
      </c>
      <c r="F1792" s="6">
        <f>LOOKUP(D1792,'AMFI DATA_2023H2'!F:J,'AMFI DATA_2023H2'!J:J)</f>
        <v>70.360500000000002</v>
      </c>
      <c r="G1792" s="7">
        <f t="shared" si="7"/>
        <v>-1</v>
      </c>
      <c r="H1792" s="9"/>
      <c r="I1792" s="9">
        <v>99.8</v>
      </c>
      <c r="J1792" s="9">
        <v>98</v>
      </c>
      <c r="K1792" s="9">
        <v>96</v>
      </c>
      <c r="L1792" s="9">
        <v>98</v>
      </c>
      <c r="M1792" s="9">
        <v>100</v>
      </c>
      <c r="N1792" s="9">
        <v>101</v>
      </c>
      <c r="O1792" s="9">
        <v>96</v>
      </c>
      <c r="P1792" s="9">
        <v>91.5</v>
      </c>
      <c r="Q1792" s="9">
        <v>87.9</v>
      </c>
      <c r="R1792" s="9">
        <v>86.6</v>
      </c>
      <c r="S1792" s="9">
        <v>87.3</v>
      </c>
      <c r="T1792" s="9">
        <v>89.8</v>
      </c>
      <c r="U1792" s="9">
        <v>88.8</v>
      </c>
      <c r="V1792" s="9">
        <v>90.6</v>
      </c>
      <c r="W1792" s="9">
        <v>93.1</v>
      </c>
      <c r="X1792" s="9">
        <v>91.7</v>
      </c>
      <c r="Y1792" s="9">
        <v>88.9</v>
      </c>
      <c r="Z1792" s="9">
        <v>87.6</v>
      </c>
      <c r="AA1792" s="9">
        <v>89.4</v>
      </c>
      <c r="AB1792" s="9">
        <v>90.1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</row>
    <row r="1793" spans="1:47" ht="14.4">
      <c r="A1793" s="3">
        <f>LOOKUP(D1793,'AMFI DATA_2023H2'!F:L,'AMFI DATA_2023H2'!L:L)</f>
        <v>2595</v>
      </c>
      <c r="B1793" s="4" t="s">
        <v>5377</v>
      </c>
      <c r="C1793" s="4" t="s">
        <v>5378</v>
      </c>
      <c r="D1793" s="5" t="s">
        <v>5379</v>
      </c>
      <c r="E1793" s="5">
        <v>56.35</v>
      </c>
      <c r="F1793" s="6">
        <f>LOOKUP(D1793,'AMFI DATA_2023H2'!F:J,'AMFI DATA_2023H2'!J:J)</f>
        <v>69.562649999999991</v>
      </c>
      <c r="G1793" s="7">
        <f t="shared" si="7"/>
        <v>-1</v>
      </c>
      <c r="H1793" s="9"/>
      <c r="I1793" s="9">
        <v>94.8</v>
      </c>
      <c r="J1793" s="9">
        <v>96.6</v>
      </c>
      <c r="K1793" s="9">
        <v>97.6</v>
      </c>
      <c r="L1793" s="9">
        <v>98.3</v>
      </c>
      <c r="M1793" s="9">
        <v>97.6</v>
      </c>
      <c r="N1793" s="9">
        <v>97.7</v>
      </c>
      <c r="O1793" s="9">
        <v>97.9</v>
      </c>
      <c r="P1793" s="9">
        <v>97.4</v>
      </c>
      <c r="Q1793" s="9">
        <v>97.9</v>
      </c>
      <c r="R1793" s="9">
        <v>98.7</v>
      </c>
      <c r="S1793" s="9">
        <v>102</v>
      </c>
      <c r="T1793" s="9">
        <v>104</v>
      </c>
      <c r="U1793" s="9">
        <v>102</v>
      </c>
      <c r="V1793" s="9">
        <v>100</v>
      </c>
      <c r="W1793" s="9">
        <v>95.6</v>
      </c>
      <c r="X1793" s="9">
        <v>90.8</v>
      </c>
      <c r="Y1793" s="9">
        <v>94.3</v>
      </c>
      <c r="Z1793" s="9">
        <v>99.2</v>
      </c>
      <c r="AA1793" s="9">
        <v>99.4</v>
      </c>
      <c r="AB1793" s="9">
        <v>99.2</v>
      </c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</row>
    <row r="1794" spans="1:47" ht="14.4">
      <c r="A1794" s="3">
        <f>LOOKUP(D1794,'AMFI DATA_2023H2'!F:L,'AMFI DATA_2023H2'!L:L)</f>
        <v>2598</v>
      </c>
      <c r="B1794" s="4" t="s">
        <v>5380</v>
      </c>
      <c r="C1794" s="4" t="s">
        <v>5381</v>
      </c>
      <c r="D1794" s="5" t="s">
        <v>5382</v>
      </c>
      <c r="E1794" s="5">
        <v>151.94999999999999</v>
      </c>
      <c r="F1794" s="6">
        <f>LOOKUP(D1794,'AMFI DATA_2023H2'!F:J,'AMFI DATA_2023H2'!J:J)</f>
        <v>69.250699999999995</v>
      </c>
      <c r="G1794" s="7">
        <f t="shared" si="7"/>
        <v>-1</v>
      </c>
      <c r="H1794" s="9"/>
      <c r="I1794" s="9">
        <v>37.9</v>
      </c>
      <c r="J1794" s="9">
        <v>38.6</v>
      </c>
      <c r="K1794" s="9">
        <v>39.299999999999997</v>
      </c>
      <c r="L1794" s="9">
        <v>39.200000000000003</v>
      </c>
      <c r="M1794" s="9">
        <v>40</v>
      </c>
      <c r="N1794" s="9">
        <v>40.799999999999997</v>
      </c>
      <c r="O1794" s="9">
        <v>41.6</v>
      </c>
      <c r="P1794" s="9">
        <v>42.5</v>
      </c>
      <c r="Q1794" s="9">
        <v>43.3</v>
      </c>
      <c r="R1794" s="9">
        <v>44.2</v>
      </c>
      <c r="S1794" s="9">
        <v>43.5</v>
      </c>
      <c r="T1794" s="9">
        <v>42.7</v>
      </c>
      <c r="U1794" s="9">
        <v>42.1</v>
      </c>
      <c r="V1794" s="9">
        <v>42.1</v>
      </c>
      <c r="W1794" s="9">
        <v>40.1</v>
      </c>
      <c r="X1794" s="9">
        <v>38.200000000000003</v>
      </c>
      <c r="Y1794" s="9">
        <v>36.5</v>
      </c>
      <c r="Z1794" s="9">
        <v>34.700000000000003</v>
      </c>
      <c r="AA1794" s="9">
        <v>33.1</v>
      </c>
      <c r="AB1794" s="9">
        <v>32.4</v>
      </c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</row>
    <row r="1795" spans="1:47" ht="14.4">
      <c r="A1795" s="3">
        <f>LOOKUP(D1795,'AMFI DATA_2023H2'!F:L,'AMFI DATA_2023H2'!L:L)</f>
        <v>2610</v>
      </c>
      <c r="B1795" s="4" t="s">
        <v>5383</v>
      </c>
      <c r="C1795" s="4" t="s">
        <v>5384</v>
      </c>
      <c r="D1795" s="5" t="s">
        <v>5385</v>
      </c>
      <c r="E1795" s="5">
        <v>38.340000000000003</v>
      </c>
      <c r="F1795" s="6">
        <f>LOOKUP(D1795,'AMFI DATA_2023H2'!F:J,'AMFI DATA_2023H2'!J:J)</f>
        <v>67.518900000000002</v>
      </c>
      <c r="G1795" s="7">
        <f t="shared" si="7"/>
        <v>-1</v>
      </c>
      <c r="H1795" s="9"/>
      <c r="I1795" s="9">
        <v>126</v>
      </c>
      <c r="J1795" s="9">
        <v>124</v>
      </c>
      <c r="K1795" s="9">
        <v>126</v>
      </c>
      <c r="L1795" s="9">
        <v>129</v>
      </c>
      <c r="M1795" s="9">
        <v>129</v>
      </c>
      <c r="N1795" s="9">
        <v>130</v>
      </c>
      <c r="O1795" s="9">
        <v>129</v>
      </c>
      <c r="P1795" s="9">
        <v>131</v>
      </c>
      <c r="Q1795" s="9">
        <v>134</v>
      </c>
      <c r="R1795" s="9">
        <v>131</v>
      </c>
      <c r="S1795" s="9">
        <v>129</v>
      </c>
      <c r="T1795" s="9">
        <v>126</v>
      </c>
      <c r="U1795" s="9">
        <v>124</v>
      </c>
      <c r="V1795" s="9">
        <v>122</v>
      </c>
      <c r="W1795" s="9">
        <v>119</v>
      </c>
      <c r="X1795" s="9">
        <v>117</v>
      </c>
      <c r="Y1795" s="9">
        <v>115</v>
      </c>
      <c r="Z1795" s="9">
        <v>113</v>
      </c>
      <c r="AA1795" s="9">
        <v>113</v>
      </c>
      <c r="AB1795" s="9">
        <v>110</v>
      </c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</row>
    <row r="1796" spans="1:47" ht="14.4">
      <c r="A1796" s="3">
        <f>LOOKUP(D1796,'AMFI DATA_2023H2'!F:L,'AMFI DATA_2023H2'!L:L)</f>
        <v>2614</v>
      </c>
      <c r="B1796" s="4" t="s">
        <v>5386</v>
      </c>
      <c r="C1796" s="4" t="s">
        <v>5387</v>
      </c>
      <c r="D1796" s="5" t="s">
        <v>5388</v>
      </c>
      <c r="E1796" s="5">
        <v>72.09</v>
      </c>
      <c r="F1796" s="6">
        <f>LOOKUP(D1796,'AMFI DATA_2023H2'!F:J,'AMFI DATA_2023H2'!J:J)</f>
        <v>67.157800000000009</v>
      </c>
      <c r="G1796" s="7">
        <f t="shared" si="7"/>
        <v>-1</v>
      </c>
      <c r="H1796" s="9"/>
      <c r="I1796" s="9">
        <v>83.4</v>
      </c>
      <c r="J1796" s="9">
        <v>82.4</v>
      </c>
      <c r="K1796" s="9">
        <v>80</v>
      </c>
      <c r="L1796" s="9">
        <v>84.3</v>
      </c>
      <c r="M1796" s="9">
        <v>85.6</v>
      </c>
      <c r="N1796" s="9">
        <v>87.4</v>
      </c>
      <c r="O1796" s="9">
        <v>88.8</v>
      </c>
      <c r="P1796" s="9">
        <v>86.4</v>
      </c>
      <c r="Q1796" s="9">
        <v>85.9</v>
      </c>
      <c r="R1796" s="9">
        <v>87.8</v>
      </c>
      <c r="S1796" s="9">
        <v>86.1</v>
      </c>
      <c r="T1796" s="9">
        <v>82.6</v>
      </c>
      <c r="U1796" s="9">
        <v>82.4</v>
      </c>
      <c r="V1796" s="9">
        <v>84.6</v>
      </c>
      <c r="W1796" s="9">
        <v>80.8</v>
      </c>
      <c r="X1796" s="9">
        <v>83.7</v>
      </c>
      <c r="Y1796" s="9">
        <v>84.7</v>
      </c>
      <c r="Z1796" s="9">
        <v>86</v>
      </c>
      <c r="AA1796" s="9">
        <v>78.7</v>
      </c>
      <c r="AB1796" s="9">
        <v>79</v>
      </c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</row>
    <row r="1797" spans="1:47" ht="14.4">
      <c r="A1797" s="3">
        <f>LOOKUP(D1797,'AMFI DATA_2023H2'!F:L,'AMFI DATA_2023H2'!L:L)</f>
        <v>2618</v>
      </c>
      <c r="B1797" s="4" t="s">
        <v>5389</v>
      </c>
      <c r="C1797" s="4" t="s">
        <v>5390</v>
      </c>
      <c r="D1797" s="5" t="s">
        <v>5391</v>
      </c>
      <c r="E1797" s="5">
        <v>55.69</v>
      </c>
      <c r="F1797" s="6">
        <f>LOOKUP(D1797,'AMFI DATA_2023H2'!F:J,'AMFI DATA_2023H2'!J:J)</f>
        <v>66.544199999999989</v>
      </c>
      <c r="G1797" s="7">
        <f t="shared" si="7"/>
        <v>-1</v>
      </c>
      <c r="H1797" s="9"/>
      <c r="I1797" s="9">
        <v>83.9</v>
      </c>
      <c r="J1797" s="9">
        <v>85.6</v>
      </c>
      <c r="K1797" s="9">
        <v>87.3</v>
      </c>
      <c r="L1797" s="9">
        <v>89.1</v>
      </c>
      <c r="M1797" s="9">
        <v>86.5</v>
      </c>
      <c r="N1797" s="9">
        <v>82.4</v>
      </c>
      <c r="O1797" s="9">
        <v>79.7</v>
      </c>
      <c r="P1797" s="9">
        <v>77.400000000000006</v>
      </c>
      <c r="Q1797" s="9">
        <v>78.8</v>
      </c>
      <c r="R1797" s="9">
        <v>75.2</v>
      </c>
      <c r="S1797" s="9">
        <v>71.900000000000006</v>
      </c>
      <c r="T1797" s="9">
        <v>70.5</v>
      </c>
      <c r="U1797" s="9">
        <v>70.8</v>
      </c>
      <c r="V1797" s="9">
        <v>69.900000000000006</v>
      </c>
      <c r="W1797" s="9">
        <v>68.599999999999994</v>
      </c>
      <c r="X1797" s="9">
        <v>65.3</v>
      </c>
      <c r="Y1797" s="9">
        <v>63.9</v>
      </c>
      <c r="Z1797" s="9">
        <v>64.900000000000006</v>
      </c>
      <c r="AA1797" s="9">
        <v>65.3</v>
      </c>
      <c r="AB1797" s="9">
        <v>64.3</v>
      </c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</row>
    <row r="1798" spans="1:47" ht="14.4">
      <c r="A1798" s="3">
        <f>LOOKUP(D1798,'AMFI DATA_2023H2'!F:L,'AMFI DATA_2023H2'!L:L)</f>
        <v>2621</v>
      </c>
      <c r="B1798" s="4" t="s">
        <v>5392</v>
      </c>
      <c r="C1798" s="4" t="s">
        <v>5393</v>
      </c>
      <c r="D1798" s="5" t="s">
        <v>5394</v>
      </c>
      <c r="E1798" s="5">
        <v>52.09</v>
      </c>
      <c r="F1798" s="6">
        <f>LOOKUP(D1798,'AMFI DATA_2023H2'!F:J,'AMFI DATA_2023H2'!J:J)</f>
        <v>66.362799999999993</v>
      </c>
      <c r="G1798" s="7">
        <f t="shared" si="7"/>
        <v>-1</v>
      </c>
      <c r="H1798" s="9"/>
      <c r="I1798" s="9">
        <v>72.2</v>
      </c>
      <c r="J1798" s="9">
        <v>69.5</v>
      </c>
      <c r="K1798" s="9">
        <v>70.400000000000006</v>
      </c>
      <c r="L1798" s="9">
        <v>73.5</v>
      </c>
      <c r="M1798" s="9">
        <v>77.400000000000006</v>
      </c>
      <c r="N1798" s="9">
        <v>74.3</v>
      </c>
      <c r="O1798" s="9">
        <v>72.900000000000006</v>
      </c>
      <c r="P1798" s="9">
        <v>71.5</v>
      </c>
      <c r="Q1798" s="9">
        <v>71.599999999999994</v>
      </c>
      <c r="R1798" s="9">
        <v>73</v>
      </c>
      <c r="S1798" s="9">
        <v>74.400000000000006</v>
      </c>
      <c r="T1798" s="9">
        <v>73</v>
      </c>
      <c r="U1798" s="9">
        <v>71.8</v>
      </c>
      <c r="V1798" s="9">
        <v>70.5</v>
      </c>
      <c r="W1798" s="9">
        <v>71.5</v>
      </c>
      <c r="X1798" s="9">
        <v>72.2</v>
      </c>
      <c r="Y1798" s="9">
        <v>72.2</v>
      </c>
      <c r="Z1798" s="9">
        <v>70.8</v>
      </c>
      <c r="AA1798" s="9">
        <v>70.900000000000006</v>
      </c>
      <c r="AB1798" s="9">
        <v>72.400000000000006</v>
      </c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</row>
    <row r="1799" spans="1:47" ht="14.4">
      <c r="A1799" s="3">
        <f>LOOKUP(D1799,'AMFI DATA_2023H2'!F:L,'AMFI DATA_2023H2'!L:L)</f>
        <v>2632</v>
      </c>
      <c r="B1799" s="4" t="s">
        <v>5395</v>
      </c>
      <c r="C1799" s="4" t="s">
        <v>5396</v>
      </c>
      <c r="D1799" s="5" t="s">
        <v>5397</v>
      </c>
      <c r="E1799" s="5">
        <v>50.67</v>
      </c>
      <c r="F1799" s="6">
        <f>LOOKUP(D1799,'AMFI DATA_2023H2'!F:J,'AMFI DATA_2023H2'!J:J)</f>
        <v>64.682899999999989</v>
      </c>
      <c r="G1799" s="7">
        <f t="shared" si="7"/>
        <v>-1</v>
      </c>
      <c r="H1799" s="9"/>
      <c r="I1799" s="9">
        <v>84.1</v>
      </c>
      <c r="J1799" s="9">
        <v>82.4</v>
      </c>
      <c r="K1799" s="9">
        <v>84.4</v>
      </c>
      <c r="L1799" s="9">
        <v>80.8</v>
      </c>
      <c r="M1799" s="9">
        <v>80.5</v>
      </c>
      <c r="N1799" s="9">
        <v>82.5</v>
      </c>
      <c r="O1799" s="9">
        <v>83</v>
      </c>
      <c r="P1799" s="9">
        <v>81</v>
      </c>
      <c r="Q1799" s="9">
        <v>81.599999999999994</v>
      </c>
      <c r="R1799" s="9">
        <v>83.5</v>
      </c>
      <c r="S1799" s="9">
        <v>87.9</v>
      </c>
      <c r="T1799" s="9">
        <v>85.8</v>
      </c>
      <c r="U1799" s="9">
        <v>85.1</v>
      </c>
      <c r="V1799" s="9">
        <v>85.1</v>
      </c>
      <c r="W1799" s="9">
        <v>87.1</v>
      </c>
      <c r="X1799" s="9">
        <v>86.4</v>
      </c>
      <c r="Y1799" s="9">
        <v>89.4</v>
      </c>
      <c r="Z1799" s="9">
        <v>89.2</v>
      </c>
      <c r="AA1799" s="9">
        <v>84.7</v>
      </c>
      <c r="AB1799" s="9">
        <v>85.2</v>
      </c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</row>
    <row r="1800" spans="1:47" ht="14.4">
      <c r="A1800" s="3">
        <f>LOOKUP(D1800,'AMFI DATA_2023H2'!F:L,'AMFI DATA_2023H2'!L:L)</f>
        <v>2633</v>
      </c>
      <c r="B1800" s="4" t="s">
        <v>5398</v>
      </c>
      <c r="C1800" s="4" t="s">
        <v>5399</v>
      </c>
      <c r="D1800" s="5" t="s">
        <v>5400</v>
      </c>
      <c r="E1800" s="5">
        <v>47.59</v>
      </c>
      <c r="F1800" s="6">
        <f>LOOKUP(D1800,'AMFI DATA_2023H2'!F:J,'AMFI DATA_2023H2'!J:J)</f>
        <v>64.534150000000011</v>
      </c>
      <c r="G1800" s="7">
        <f t="shared" si="7"/>
        <v>-1</v>
      </c>
      <c r="H1800" s="9"/>
      <c r="I1800" s="9">
        <v>93.7</v>
      </c>
      <c r="J1800" s="9">
        <v>89.1</v>
      </c>
      <c r="K1800" s="9">
        <v>85</v>
      </c>
      <c r="L1800" s="9">
        <v>83.1</v>
      </c>
      <c r="M1800" s="9">
        <v>84.3</v>
      </c>
      <c r="N1800" s="9">
        <v>80.599999999999994</v>
      </c>
      <c r="O1800" s="9">
        <v>78.8</v>
      </c>
      <c r="P1800" s="9">
        <v>78.8</v>
      </c>
      <c r="Q1800" s="9">
        <v>80</v>
      </c>
      <c r="R1800" s="9">
        <v>80</v>
      </c>
      <c r="S1800" s="9">
        <v>80.599999999999994</v>
      </c>
      <c r="T1800" s="9">
        <v>81</v>
      </c>
      <c r="U1800" s="9">
        <v>81.2</v>
      </c>
      <c r="V1800" s="9">
        <v>80.599999999999994</v>
      </c>
      <c r="W1800" s="9">
        <v>82</v>
      </c>
      <c r="X1800" s="9">
        <v>79.7</v>
      </c>
      <c r="Y1800" s="9">
        <v>80.8</v>
      </c>
      <c r="Z1800" s="9">
        <v>82.4</v>
      </c>
      <c r="AA1800" s="9">
        <v>85.9</v>
      </c>
      <c r="AB1800" s="9">
        <v>82.4</v>
      </c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</row>
    <row r="1801" spans="1:47" ht="14.4">
      <c r="A1801" s="3">
        <f>LOOKUP(D1801,'AMFI DATA_2023H2'!F:L,'AMFI DATA_2023H2'!L:L)</f>
        <v>2634</v>
      </c>
      <c r="B1801" s="4" t="s">
        <v>5401</v>
      </c>
      <c r="C1801" s="4" t="s">
        <v>5402</v>
      </c>
      <c r="D1801" s="5" t="s">
        <v>5403</v>
      </c>
      <c r="E1801" s="5">
        <v>58.98</v>
      </c>
      <c r="F1801" s="6">
        <f>LOOKUP(D1801,'AMFI DATA_2023H2'!F:J,'AMFI DATA_2023H2'!J:J)</f>
        <v>64.51755</v>
      </c>
      <c r="G1801" s="7">
        <f t="shared" si="7"/>
        <v>-1</v>
      </c>
      <c r="H1801" s="9"/>
      <c r="I1801" s="9">
        <v>85.8</v>
      </c>
      <c r="J1801" s="9">
        <v>81.2</v>
      </c>
      <c r="K1801" s="9">
        <v>83.1</v>
      </c>
      <c r="L1801" s="9">
        <v>82.2</v>
      </c>
      <c r="M1801" s="9">
        <v>84.3</v>
      </c>
      <c r="N1801" s="9">
        <v>85</v>
      </c>
      <c r="O1801" s="9">
        <v>85.6</v>
      </c>
      <c r="P1801" s="9">
        <v>88.3</v>
      </c>
      <c r="Q1801" s="9">
        <v>84.3</v>
      </c>
      <c r="R1801" s="9">
        <v>80.3</v>
      </c>
      <c r="S1801" s="9">
        <v>76.400000000000006</v>
      </c>
      <c r="T1801" s="9">
        <v>75.5</v>
      </c>
      <c r="U1801" s="9">
        <v>76.099999999999994</v>
      </c>
      <c r="V1801" s="9">
        <v>74.7</v>
      </c>
      <c r="W1801" s="9">
        <v>74.5</v>
      </c>
      <c r="X1801" s="9">
        <v>75.5</v>
      </c>
      <c r="Y1801" s="9">
        <v>74.2</v>
      </c>
      <c r="Z1801" s="9">
        <v>76.400000000000006</v>
      </c>
      <c r="AA1801" s="9">
        <v>75.3</v>
      </c>
      <c r="AB1801" s="9">
        <v>75.5</v>
      </c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</row>
    <row r="1802" spans="1:47" ht="14.4">
      <c r="A1802" s="3">
        <f>LOOKUP(D1802,'AMFI DATA_2023H2'!F:L,'AMFI DATA_2023H2'!L:L)</f>
        <v>2639</v>
      </c>
      <c r="B1802" s="4" t="s">
        <v>5404</v>
      </c>
      <c r="C1802" s="4" t="s">
        <v>5405</v>
      </c>
      <c r="D1802" s="5" t="s">
        <v>5406</v>
      </c>
      <c r="E1802" s="5">
        <v>47.57</v>
      </c>
      <c r="F1802" s="6">
        <f>LOOKUP(D1802,'AMFI DATA_2023H2'!F:J,'AMFI DATA_2023H2'!J:J)</f>
        <v>63.55565</v>
      </c>
      <c r="G1802" s="7">
        <f t="shared" si="7"/>
        <v>-1</v>
      </c>
      <c r="H1802" s="9"/>
      <c r="I1802" s="9">
        <v>110</v>
      </c>
      <c r="J1802" s="9">
        <v>112</v>
      </c>
      <c r="K1802" s="9">
        <v>113</v>
      </c>
      <c r="L1802" s="9">
        <v>111</v>
      </c>
      <c r="M1802" s="9">
        <v>117</v>
      </c>
      <c r="N1802" s="9">
        <v>122</v>
      </c>
      <c r="O1802" s="9">
        <v>127</v>
      </c>
      <c r="P1802" s="9">
        <v>124</v>
      </c>
      <c r="Q1802" s="9">
        <v>128</v>
      </c>
      <c r="R1802" s="9">
        <v>128</v>
      </c>
      <c r="S1802" s="9">
        <v>121</v>
      </c>
      <c r="T1802" s="9">
        <v>119</v>
      </c>
      <c r="U1802" s="9">
        <v>125</v>
      </c>
      <c r="V1802" s="9">
        <v>122</v>
      </c>
      <c r="W1802" s="9">
        <v>128</v>
      </c>
      <c r="X1802" s="9">
        <v>122</v>
      </c>
      <c r="Y1802" s="9">
        <v>129</v>
      </c>
      <c r="Z1802" s="9">
        <v>134</v>
      </c>
      <c r="AA1802" s="9">
        <v>140</v>
      </c>
      <c r="AB1802" s="9">
        <v>135</v>
      </c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</row>
    <row r="1803" spans="1:47" ht="14.4">
      <c r="A1803" s="3">
        <f>LOOKUP(D1803,'AMFI DATA_2023H2'!F:L,'AMFI DATA_2023H2'!L:L)</f>
        <v>2641</v>
      </c>
      <c r="B1803" s="4" t="s">
        <v>5407</v>
      </c>
      <c r="C1803" s="4" t="s">
        <v>5408</v>
      </c>
      <c r="D1803" s="5" t="s">
        <v>5409</v>
      </c>
      <c r="E1803" s="5">
        <v>55.57</v>
      </c>
      <c r="F1803" s="6">
        <f>LOOKUP(D1803,'AMFI DATA_2023H2'!F:J,'AMFI DATA_2023H2'!J:J)</f>
        <v>63.299199999999999</v>
      </c>
      <c r="G1803" s="7">
        <f t="shared" si="7"/>
        <v>-1</v>
      </c>
      <c r="H1803" s="9"/>
      <c r="I1803" s="9">
        <v>83.4</v>
      </c>
      <c r="J1803" s="9">
        <v>81</v>
      </c>
      <c r="K1803" s="9">
        <v>83.6</v>
      </c>
      <c r="L1803" s="9">
        <v>87</v>
      </c>
      <c r="M1803" s="9">
        <v>85.7</v>
      </c>
      <c r="N1803" s="9">
        <v>85.1</v>
      </c>
      <c r="O1803" s="9">
        <v>83.9</v>
      </c>
      <c r="P1803" s="9">
        <v>86.6</v>
      </c>
      <c r="Q1803" s="9">
        <v>82.9</v>
      </c>
      <c r="R1803" s="9">
        <v>78</v>
      </c>
      <c r="S1803" s="9">
        <v>77.8</v>
      </c>
      <c r="T1803" s="9">
        <v>77.5</v>
      </c>
      <c r="U1803" s="9">
        <v>79.400000000000006</v>
      </c>
      <c r="V1803" s="9">
        <v>79.099999999999994</v>
      </c>
      <c r="W1803" s="9">
        <v>74.099999999999994</v>
      </c>
      <c r="X1803" s="9">
        <v>67.900000000000006</v>
      </c>
      <c r="Y1803" s="9">
        <v>67.8</v>
      </c>
      <c r="Z1803" s="9">
        <v>68.8</v>
      </c>
      <c r="AA1803" s="9">
        <v>68.400000000000006</v>
      </c>
      <c r="AB1803" s="9">
        <v>67</v>
      </c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</row>
    <row r="1804" spans="1:47" ht="14.4">
      <c r="A1804" s="3">
        <f>LOOKUP(D1804,'AMFI DATA_2023H2'!F:L,'AMFI DATA_2023H2'!L:L)</f>
        <v>2644</v>
      </c>
      <c r="B1804" s="4" t="s">
        <v>5410</v>
      </c>
      <c r="C1804" s="4" t="s">
        <v>5411</v>
      </c>
      <c r="D1804" s="5" t="s">
        <v>5412</v>
      </c>
      <c r="E1804" s="5">
        <v>73.040000000000006</v>
      </c>
      <c r="F1804" s="6">
        <f>LOOKUP(D1804,'AMFI DATA_2023H2'!F:J,'AMFI DATA_2023H2'!J:J)</f>
        <v>63.1248</v>
      </c>
      <c r="G1804" s="7">
        <f t="shared" si="7"/>
        <v>-1</v>
      </c>
      <c r="H1804" s="9"/>
      <c r="I1804" s="9">
        <v>73.400000000000006</v>
      </c>
      <c r="J1804" s="9">
        <v>73.400000000000006</v>
      </c>
      <c r="K1804" s="9">
        <v>76.5</v>
      </c>
      <c r="L1804" s="9">
        <v>79.599999999999994</v>
      </c>
      <c r="M1804" s="9">
        <v>82.6</v>
      </c>
      <c r="N1804" s="9">
        <v>85.7</v>
      </c>
      <c r="O1804" s="9">
        <v>88.7</v>
      </c>
      <c r="P1804" s="9">
        <v>91.8</v>
      </c>
      <c r="Q1804" s="9">
        <v>91.8</v>
      </c>
      <c r="R1804" s="9">
        <v>88.7</v>
      </c>
      <c r="S1804" s="9">
        <v>85.7</v>
      </c>
      <c r="T1804" s="9">
        <v>82.6</v>
      </c>
      <c r="U1804" s="9">
        <v>79.599999999999994</v>
      </c>
      <c r="V1804" s="9">
        <v>76.5</v>
      </c>
      <c r="W1804" s="9">
        <v>73.400000000000006</v>
      </c>
      <c r="X1804" s="9">
        <v>76.5</v>
      </c>
      <c r="Y1804" s="9">
        <v>76.5</v>
      </c>
      <c r="Z1804" s="9">
        <v>76.5</v>
      </c>
      <c r="AA1804" s="9">
        <v>79.599999999999994</v>
      </c>
      <c r="AB1804" s="9">
        <v>79.599999999999994</v>
      </c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</row>
    <row r="1805" spans="1:47" ht="14.4">
      <c r="A1805" s="3">
        <f>LOOKUP(D1805,'AMFI DATA_2023H2'!F:L,'AMFI DATA_2023H2'!L:L)</f>
        <v>2646</v>
      </c>
      <c r="B1805" s="4" t="s">
        <v>5413</v>
      </c>
      <c r="C1805" s="4" t="s">
        <v>5414</v>
      </c>
      <c r="D1805" s="5" t="s">
        <v>5415</v>
      </c>
      <c r="E1805" s="5">
        <v>67.53</v>
      </c>
      <c r="F1805" s="6">
        <f>LOOKUP(D1805,'AMFI DATA_2023H2'!F:J,'AMFI DATA_2023H2'!J:J)</f>
        <v>63.054299999999998</v>
      </c>
      <c r="G1805" s="7">
        <f t="shared" si="7"/>
        <v>-1</v>
      </c>
      <c r="H1805" s="9"/>
      <c r="I1805" s="9">
        <v>71.7</v>
      </c>
      <c r="J1805" s="9">
        <v>69.3</v>
      </c>
      <c r="K1805" s="9">
        <v>69.8</v>
      </c>
      <c r="L1805" s="9">
        <v>68.8</v>
      </c>
      <c r="M1805" s="9">
        <v>66.5</v>
      </c>
      <c r="N1805" s="9">
        <v>63.4</v>
      </c>
      <c r="O1805" s="9">
        <v>62.1</v>
      </c>
      <c r="P1805" s="9">
        <v>60.9</v>
      </c>
      <c r="Q1805" s="9">
        <v>59.8</v>
      </c>
      <c r="R1805" s="9">
        <v>58.8</v>
      </c>
      <c r="S1805" s="9">
        <v>58.1</v>
      </c>
      <c r="T1805" s="9">
        <v>57</v>
      </c>
      <c r="U1805" s="9">
        <v>55.9</v>
      </c>
      <c r="V1805" s="9">
        <v>54.8</v>
      </c>
      <c r="W1805" s="9">
        <v>55.8</v>
      </c>
      <c r="X1805" s="9">
        <v>55.8</v>
      </c>
      <c r="Y1805" s="9">
        <v>56.9</v>
      </c>
      <c r="Z1805" s="9">
        <v>58</v>
      </c>
      <c r="AA1805" s="9">
        <v>54.1</v>
      </c>
      <c r="AB1805" s="9">
        <v>55.3</v>
      </c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</row>
    <row r="1806" spans="1:47" ht="14.4">
      <c r="A1806" s="3">
        <f>LOOKUP(D1806,'AMFI DATA_2023H2'!F:L,'AMFI DATA_2023H2'!L:L)</f>
        <v>2650</v>
      </c>
      <c r="B1806" s="4" t="s">
        <v>5416</v>
      </c>
      <c r="C1806" s="4" t="s">
        <v>5417</v>
      </c>
      <c r="D1806" s="5" t="s">
        <v>5418</v>
      </c>
      <c r="E1806" s="5">
        <v>84.81</v>
      </c>
      <c r="F1806" s="6">
        <f>LOOKUP(D1806,'AMFI DATA_2023H2'!F:J,'AMFI DATA_2023H2'!J:J)</f>
        <v>62.888850000000005</v>
      </c>
      <c r="G1806" s="7">
        <f t="shared" si="7"/>
        <v>-1</v>
      </c>
      <c r="H1806" s="9"/>
      <c r="I1806" s="9">
        <v>69.599999999999994</v>
      </c>
      <c r="J1806" s="9">
        <v>70.599999999999994</v>
      </c>
      <c r="K1806" s="9">
        <v>69.900000000000006</v>
      </c>
      <c r="L1806" s="9">
        <v>69.3</v>
      </c>
      <c r="M1806" s="9">
        <v>74.3</v>
      </c>
      <c r="N1806" s="9">
        <v>76.3</v>
      </c>
      <c r="O1806" s="9">
        <v>68.599999999999994</v>
      </c>
      <c r="P1806" s="9">
        <v>68.8</v>
      </c>
      <c r="Q1806" s="9">
        <v>67.2</v>
      </c>
      <c r="R1806" s="9">
        <v>63.6</v>
      </c>
      <c r="S1806" s="9">
        <v>61.2</v>
      </c>
      <c r="T1806" s="9">
        <v>63.1</v>
      </c>
      <c r="U1806" s="9">
        <v>58.8</v>
      </c>
      <c r="V1806" s="9">
        <v>60.5</v>
      </c>
      <c r="W1806" s="9">
        <v>60.5</v>
      </c>
      <c r="X1806" s="9">
        <v>62.3</v>
      </c>
      <c r="Y1806" s="9">
        <v>66.099999999999994</v>
      </c>
      <c r="Z1806" s="9">
        <v>57.5</v>
      </c>
      <c r="AA1806" s="9">
        <v>58.6</v>
      </c>
      <c r="AB1806" s="9">
        <v>55</v>
      </c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</row>
    <row r="1807" spans="1:47" ht="14.4">
      <c r="A1807" s="3">
        <f>LOOKUP(D1807,'AMFI DATA_2023H2'!F:L,'AMFI DATA_2023H2'!L:L)</f>
        <v>2656</v>
      </c>
      <c r="B1807" s="4" t="s">
        <v>5419</v>
      </c>
      <c r="C1807" s="4" t="s">
        <v>5420</v>
      </c>
      <c r="D1807" s="5" t="s">
        <v>5421</v>
      </c>
      <c r="E1807" s="5">
        <v>19.059999999999999</v>
      </c>
      <c r="F1807" s="6">
        <f>LOOKUP(D1807,'AMFI DATA_2023H2'!F:J,'AMFI DATA_2023H2'!J:J)</f>
        <v>62.137749999999997</v>
      </c>
      <c r="G1807" s="7">
        <f t="shared" si="7"/>
        <v>-1</v>
      </c>
      <c r="H1807" s="9"/>
      <c r="I1807" s="9">
        <v>106</v>
      </c>
      <c r="J1807" s="9">
        <v>106</v>
      </c>
      <c r="K1807" s="9">
        <v>104</v>
      </c>
      <c r="L1807" s="9">
        <v>107</v>
      </c>
      <c r="M1807" s="9">
        <v>109</v>
      </c>
      <c r="N1807" s="9">
        <v>107</v>
      </c>
      <c r="O1807" s="9">
        <v>109</v>
      </c>
      <c r="P1807" s="9">
        <v>107</v>
      </c>
      <c r="Q1807" s="9">
        <v>107</v>
      </c>
      <c r="R1807" s="9">
        <v>109</v>
      </c>
      <c r="S1807" s="9">
        <v>107</v>
      </c>
      <c r="T1807" s="9">
        <v>109</v>
      </c>
      <c r="U1807" s="9">
        <v>107</v>
      </c>
      <c r="V1807" s="9">
        <v>105</v>
      </c>
      <c r="W1807" s="9">
        <v>107</v>
      </c>
      <c r="X1807" s="9">
        <v>109</v>
      </c>
      <c r="Y1807" s="9">
        <v>111</v>
      </c>
      <c r="Z1807" s="9">
        <v>114</v>
      </c>
      <c r="AA1807" s="9">
        <v>116</v>
      </c>
      <c r="AB1807" s="9">
        <v>107</v>
      </c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</row>
    <row r="1808" spans="1:47" ht="14.4">
      <c r="A1808" s="3">
        <f>LOOKUP(D1808,'AMFI DATA_2023H2'!F:L,'AMFI DATA_2023H2'!L:L)</f>
        <v>2661</v>
      </c>
      <c r="B1808" s="4" t="s">
        <v>5422</v>
      </c>
      <c r="C1808" s="4" t="s">
        <v>5423</v>
      </c>
      <c r="D1808" s="5" t="s">
        <v>5424</v>
      </c>
      <c r="E1808" s="5">
        <v>37.729999999999997</v>
      </c>
      <c r="F1808" s="6">
        <f>LOOKUP(D1808,'AMFI DATA_2023H2'!F:J,'AMFI DATA_2023H2'!J:J)</f>
        <v>61.874300000000005</v>
      </c>
      <c r="G1808" s="7">
        <f t="shared" si="7"/>
        <v>-1</v>
      </c>
      <c r="H1808" s="9"/>
      <c r="I1808" s="9">
        <v>98.4</v>
      </c>
      <c r="J1808" s="9">
        <v>102</v>
      </c>
      <c r="K1808" s="9">
        <v>108</v>
      </c>
      <c r="L1808" s="9">
        <v>103</v>
      </c>
      <c r="M1808" s="9">
        <v>97.9</v>
      </c>
      <c r="N1808" s="9">
        <v>93.3</v>
      </c>
      <c r="O1808" s="9">
        <v>91.4</v>
      </c>
      <c r="P1808" s="9">
        <v>89.6</v>
      </c>
      <c r="Q1808" s="9">
        <v>87.9</v>
      </c>
      <c r="R1808" s="9">
        <v>86.2</v>
      </c>
      <c r="S1808" s="9">
        <v>84.5</v>
      </c>
      <c r="T1808" s="9">
        <v>82.8</v>
      </c>
      <c r="U1808" s="9">
        <v>81.2</v>
      </c>
      <c r="V1808" s="9">
        <v>82.9</v>
      </c>
      <c r="W1808" s="9">
        <v>84.6</v>
      </c>
      <c r="X1808" s="9">
        <v>86.3</v>
      </c>
      <c r="Y1808" s="9">
        <v>88</v>
      </c>
      <c r="Z1808" s="9">
        <v>89.8</v>
      </c>
      <c r="AA1808" s="9">
        <v>101</v>
      </c>
      <c r="AB1808" s="9">
        <v>98.3</v>
      </c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</row>
    <row r="1809" spans="1:47" ht="14.4">
      <c r="A1809" s="3">
        <f>LOOKUP(D1809,'AMFI DATA_2023H2'!F:L,'AMFI DATA_2023H2'!L:L)</f>
        <v>2695</v>
      </c>
      <c r="B1809" s="4" t="s">
        <v>5425</v>
      </c>
      <c r="C1809" s="4" t="s">
        <v>5426</v>
      </c>
      <c r="D1809" s="5" t="s">
        <v>5427</v>
      </c>
      <c r="E1809" s="5">
        <v>54.02</v>
      </c>
      <c r="F1809" s="6">
        <f>LOOKUP(D1809,'AMFI DATA_2023H2'!F:J,'AMFI DATA_2023H2'!J:J)</f>
        <v>59.521299999999997</v>
      </c>
      <c r="G1809" s="7">
        <f t="shared" si="7"/>
        <v>-1</v>
      </c>
      <c r="H1809" s="9"/>
      <c r="I1809" s="9">
        <v>67.599999999999994</v>
      </c>
      <c r="J1809" s="9">
        <v>66.8</v>
      </c>
      <c r="K1809" s="9">
        <v>65.3</v>
      </c>
      <c r="L1809" s="9">
        <v>65.400000000000006</v>
      </c>
      <c r="M1809" s="9">
        <v>66.2</v>
      </c>
      <c r="N1809" s="9">
        <v>67.2</v>
      </c>
      <c r="O1809" s="9">
        <v>68.400000000000006</v>
      </c>
      <c r="P1809" s="9">
        <v>68.8</v>
      </c>
      <c r="Q1809" s="9">
        <v>71</v>
      </c>
      <c r="R1809" s="9">
        <v>62.4</v>
      </c>
      <c r="S1809" s="9">
        <v>62.9</v>
      </c>
      <c r="T1809" s="9">
        <v>63.8</v>
      </c>
      <c r="U1809" s="9">
        <v>62.8</v>
      </c>
      <c r="V1809" s="9">
        <v>63.1</v>
      </c>
      <c r="W1809" s="9">
        <v>63.1</v>
      </c>
      <c r="X1809" s="9">
        <v>63.4</v>
      </c>
      <c r="Y1809" s="9">
        <v>64.2</v>
      </c>
      <c r="Z1809" s="9">
        <v>62.1</v>
      </c>
      <c r="AA1809" s="9">
        <v>63.2</v>
      </c>
      <c r="AB1809" s="9">
        <v>62.3</v>
      </c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</row>
    <row r="1810" spans="1:47" ht="14.4">
      <c r="A1810" s="3">
        <f>LOOKUP(D1810,'AMFI DATA_2023H2'!F:L,'AMFI DATA_2023H2'!L:L)</f>
        <v>2696</v>
      </c>
      <c r="B1810" s="4" t="s">
        <v>5428</v>
      </c>
      <c r="C1810" s="4" t="s">
        <v>5429</v>
      </c>
      <c r="D1810" s="5" t="s">
        <v>5430</v>
      </c>
      <c r="E1810" s="5">
        <v>43.21</v>
      </c>
      <c r="F1810" s="6">
        <f>LOOKUP(D1810,'AMFI DATA_2023H2'!F:J,'AMFI DATA_2023H2'!J:J)</f>
        <v>59.4529</v>
      </c>
      <c r="G1810" s="7">
        <f t="shared" si="7"/>
        <v>-1</v>
      </c>
      <c r="H1810" s="9"/>
      <c r="I1810" s="9">
        <v>53.6</v>
      </c>
      <c r="J1810" s="9">
        <v>52.8</v>
      </c>
      <c r="K1810" s="9">
        <v>53.6</v>
      </c>
      <c r="L1810" s="9">
        <v>53.6</v>
      </c>
      <c r="M1810" s="9">
        <v>53.2</v>
      </c>
      <c r="N1810" s="9">
        <v>52.4</v>
      </c>
      <c r="O1810" s="9">
        <v>51.4</v>
      </c>
      <c r="P1810" s="9">
        <v>51.9</v>
      </c>
      <c r="Q1810" s="9">
        <v>52</v>
      </c>
      <c r="R1810" s="9">
        <v>52.2</v>
      </c>
      <c r="S1810" s="9">
        <v>51.5</v>
      </c>
      <c r="T1810" s="9">
        <v>51.4</v>
      </c>
      <c r="U1810" s="9">
        <v>49.9</v>
      </c>
      <c r="V1810" s="9">
        <v>51</v>
      </c>
      <c r="W1810" s="9">
        <v>51.6</v>
      </c>
      <c r="X1810" s="9">
        <v>51.4</v>
      </c>
      <c r="Y1810" s="9">
        <v>50.8</v>
      </c>
      <c r="Z1810" s="9">
        <v>53.2</v>
      </c>
      <c r="AA1810" s="9">
        <v>56.2</v>
      </c>
      <c r="AB1810" s="9">
        <v>54.6</v>
      </c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</row>
    <row r="1811" spans="1:47" ht="14.4">
      <c r="A1811" s="3">
        <f>LOOKUP(D1811,'AMFI DATA_2023H2'!F:L,'AMFI DATA_2023H2'!L:L)</f>
        <v>2709</v>
      </c>
      <c r="B1811" s="4" t="s">
        <v>5431</v>
      </c>
      <c r="C1811" s="4" t="s">
        <v>5432</v>
      </c>
      <c r="D1811" s="5" t="s">
        <v>5433</v>
      </c>
      <c r="E1811" s="5">
        <v>53.13</v>
      </c>
      <c r="F1811" s="6">
        <f>LOOKUP(D1811,'AMFI DATA_2023H2'!F:J,'AMFI DATA_2023H2'!J:J)</f>
        <v>58.220749999999995</v>
      </c>
      <c r="G1811" s="7">
        <f t="shared" si="7"/>
        <v>-1</v>
      </c>
      <c r="H1811" s="9"/>
      <c r="I1811" s="9">
        <v>76.3</v>
      </c>
      <c r="J1811" s="9">
        <v>77.099999999999994</v>
      </c>
      <c r="K1811" s="9">
        <v>78.099999999999994</v>
      </c>
      <c r="L1811" s="9">
        <v>77.7</v>
      </c>
      <c r="M1811" s="9">
        <v>77.599999999999994</v>
      </c>
      <c r="N1811" s="9">
        <v>76</v>
      </c>
      <c r="O1811" s="9">
        <v>78.599999999999994</v>
      </c>
      <c r="P1811" s="9">
        <v>79</v>
      </c>
      <c r="Q1811" s="9">
        <v>74.3</v>
      </c>
      <c r="R1811" s="9">
        <v>75.2</v>
      </c>
      <c r="S1811" s="9">
        <v>75.7</v>
      </c>
      <c r="T1811" s="9">
        <v>76.7</v>
      </c>
      <c r="U1811" s="9">
        <v>75.5</v>
      </c>
      <c r="V1811" s="9">
        <v>71.900000000000006</v>
      </c>
      <c r="W1811" s="9">
        <v>72.3</v>
      </c>
      <c r="X1811" s="9">
        <v>71</v>
      </c>
      <c r="Y1811" s="9">
        <v>71.8</v>
      </c>
      <c r="Z1811" s="9">
        <v>71.7</v>
      </c>
      <c r="AA1811" s="9">
        <v>76.8</v>
      </c>
      <c r="AB1811" s="9">
        <v>75.2</v>
      </c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</row>
    <row r="1812" spans="1:47" ht="14.4">
      <c r="A1812" s="3">
        <f>LOOKUP(D1812,'AMFI DATA_2023H2'!F:L,'AMFI DATA_2023H2'!L:L)</f>
        <v>2716</v>
      </c>
      <c r="B1812" s="4" t="s">
        <v>5434</v>
      </c>
      <c r="C1812" s="4" t="s">
        <v>5435</v>
      </c>
      <c r="D1812" s="5" t="s">
        <v>5436</v>
      </c>
      <c r="E1812" s="5">
        <v>50.7</v>
      </c>
      <c r="F1812" s="6">
        <f>LOOKUP(D1812,'AMFI DATA_2023H2'!F:J,'AMFI DATA_2023H2'!J:J)</f>
        <v>57.732500000000002</v>
      </c>
      <c r="G1812" s="7">
        <f t="shared" si="7"/>
        <v>-1</v>
      </c>
      <c r="H1812" s="9"/>
      <c r="I1812" s="9">
        <v>91.4</v>
      </c>
      <c r="J1812" s="9">
        <v>92.5</v>
      </c>
      <c r="K1812" s="9">
        <v>91.4</v>
      </c>
      <c r="L1812" s="9">
        <v>96.7</v>
      </c>
      <c r="M1812" s="9">
        <v>94.1</v>
      </c>
      <c r="N1812" s="9">
        <v>78.5</v>
      </c>
      <c r="O1812" s="9">
        <v>77.599999999999994</v>
      </c>
      <c r="P1812" s="9">
        <v>77.3</v>
      </c>
      <c r="Q1812" s="9">
        <v>79</v>
      </c>
      <c r="R1812" s="9">
        <v>79.900000000000006</v>
      </c>
      <c r="S1812" s="9">
        <v>76.599999999999994</v>
      </c>
      <c r="T1812" s="9">
        <v>77.099999999999994</v>
      </c>
      <c r="U1812" s="9">
        <v>76.8</v>
      </c>
      <c r="V1812" s="9">
        <v>77.3</v>
      </c>
      <c r="W1812" s="9">
        <v>77.7</v>
      </c>
      <c r="X1812" s="9">
        <v>79.2</v>
      </c>
      <c r="Y1812" s="9">
        <v>76.2</v>
      </c>
      <c r="Z1812" s="9">
        <v>77.8</v>
      </c>
      <c r="AA1812" s="9">
        <v>80</v>
      </c>
      <c r="AB1812" s="9">
        <v>79.2</v>
      </c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</row>
    <row r="1813" spans="1:47" ht="14.4">
      <c r="A1813" s="3">
        <f>LOOKUP(D1813,'AMFI DATA_2023H2'!F:L,'AMFI DATA_2023H2'!L:L)</f>
        <v>2732</v>
      </c>
      <c r="B1813" s="4" t="s">
        <v>5437</v>
      </c>
      <c r="C1813" s="4" t="s">
        <v>5438</v>
      </c>
      <c r="D1813" s="5" t="s">
        <v>5439</v>
      </c>
      <c r="E1813" s="5">
        <v>51.78</v>
      </c>
      <c r="F1813" s="6">
        <f>LOOKUP(D1813,'AMFI DATA_2023H2'!F:J,'AMFI DATA_2023H2'!J:J)</f>
        <v>56.331150000000001</v>
      </c>
      <c r="G1813" s="7">
        <f t="shared" si="7"/>
        <v>-1</v>
      </c>
      <c r="H1813" s="9"/>
      <c r="I1813" s="9">
        <v>68</v>
      </c>
      <c r="J1813" s="9">
        <v>67.8</v>
      </c>
      <c r="K1813" s="9">
        <v>68.3</v>
      </c>
      <c r="L1813" s="9">
        <v>68.5</v>
      </c>
      <c r="M1813" s="9">
        <v>74</v>
      </c>
      <c r="N1813" s="9">
        <v>74.2</v>
      </c>
      <c r="O1813" s="9">
        <v>72.599999999999994</v>
      </c>
      <c r="P1813" s="9">
        <v>75.8</v>
      </c>
      <c r="Q1813" s="9">
        <v>73.400000000000006</v>
      </c>
      <c r="R1813" s="9">
        <v>69.599999999999994</v>
      </c>
      <c r="S1813" s="9">
        <v>72</v>
      </c>
      <c r="T1813" s="9">
        <v>71.8</v>
      </c>
      <c r="U1813" s="9">
        <v>72.599999999999994</v>
      </c>
      <c r="V1813" s="9">
        <v>69.7</v>
      </c>
      <c r="W1813" s="9">
        <v>69.8</v>
      </c>
      <c r="X1813" s="9">
        <v>66.2</v>
      </c>
      <c r="Y1813" s="9">
        <v>68.5</v>
      </c>
      <c r="Z1813" s="9">
        <v>70.599999999999994</v>
      </c>
      <c r="AA1813" s="9">
        <v>64.599999999999994</v>
      </c>
      <c r="AB1813" s="9">
        <v>62.8</v>
      </c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</row>
    <row r="1814" spans="1:47" ht="14.4">
      <c r="A1814" s="3">
        <f>LOOKUP(D1814,'AMFI DATA_2023H2'!F:L,'AMFI DATA_2023H2'!L:L)</f>
        <v>2736</v>
      </c>
      <c r="B1814" s="4" t="s">
        <v>5440</v>
      </c>
      <c r="C1814" s="4" t="s">
        <v>5441</v>
      </c>
      <c r="D1814" s="5" t="s">
        <v>5442</v>
      </c>
      <c r="E1814" s="5">
        <v>47.68</v>
      </c>
      <c r="F1814" s="6">
        <f>LOOKUP(D1814,'AMFI DATA_2023H2'!F:J,'AMFI DATA_2023H2'!J:J)</f>
        <v>55.905099999999997</v>
      </c>
      <c r="G1814" s="7">
        <f t="shared" si="7"/>
        <v>-1</v>
      </c>
      <c r="H1814" s="9"/>
      <c r="I1814" s="9">
        <v>40</v>
      </c>
      <c r="J1814" s="9">
        <v>43.3</v>
      </c>
      <c r="K1814" s="9">
        <v>43.3</v>
      </c>
      <c r="L1814" s="9">
        <v>43.3</v>
      </c>
      <c r="M1814" s="9">
        <v>43.3</v>
      </c>
      <c r="N1814" s="9">
        <v>43.3</v>
      </c>
      <c r="O1814" s="9">
        <v>43.3</v>
      </c>
      <c r="P1814" s="9">
        <v>43.3</v>
      </c>
      <c r="Q1814" s="9">
        <v>40</v>
      </c>
      <c r="R1814" s="9">
        <v>43.3</v>
      </c>
      <c r="S1814" s="9">
        <v>43.3</v>
      </c>
      <c r="T1814" s="9">
        <v>46.6</v>
      </c>
      <c r="U1814" s="9">
        <v>46.6</v>
      </c>
      <c r="V1814" s="9">
        <v>46.6</v>
      </c>
      <c r="W1814" s="9">
        <v>43.3</v>
      </c>
      <c r="X1814" s="9">
        <v>43.3</v>
      </c>
      <c r="Y1814" s="9">
        <v>46.6</v>
      </c>
      <c r="Z1814" s="9">
        <v>43.3</v>
      </c>
      <c r="AA1814" s="9">
        <v>40</v>
      </c>
      <c r="AB1814" s="9">
        <v>36.6</v>
      </c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</row>
    <row r="1815" spans="1:47" ht="14.4">
      <c r="A1815" s="3">
        <f>LOOKUP(D1815,'AMFI DATA_2023H2'!F:L,'AMFI DATA_2023H2'!L:L)</f>
        <v>2739</v>
      </c>
      <c r="B1815" s="4" t="s">
        <v>5443</v>
      </c>
      <c r="C1815" s="4" t="s">
        <v>5444</v>
      </c>
      <c r="D1815" s="5" t="s">
        <v>5445</v>
      </c>
      <c r="E1815" s="5">
        <v>49.94</v>
      </c>
      <c r="F1815" s="6">
        <f>LOOKUP(D1815,'AMFI DATA_2023H2'!F:J,'AMFI DATA_2023H2'!J:J)</f>
        <v>55.7761</v>
      </c>
      <c r="G1815" s="7">
        <f t="shared" si="7"/>
        <v>-1</v>
      </c>
      <c r="H1815" s="9"/>
      <c r="I1815" s="9">
        <v>65</v>
      </c>
      <c r="J1815" s="9">
        <v>65.8</v>
      </c>
      <c r="K1815" s="9">
        <v>66.5</v>
      </c>
      <c r="L1815" s="9">
        <v>67.3</v>
      </c>
      <c r="M1815" s="9">
        <v>68.8</v>
      </c>
      <c r="N1815" s="9">
        <v>70.3</v>
      </c>
      <c r="O1815" s="9">
        <v>71.8</v>
      </c>
      <c r="P1815" s="9">
        <v>73.3</v>
      </c>
      <c r="Q1815" s="9">
        <v>73.3</v>
      </c>
      <c r="R1815" s="9">
        <v>70.3</v>
      </c>
      <c r="S1815" s="9">
        <v>67.3</v>
      </c>
      <c r="T1815" s="9">
        <v>64.2</v>
      </c>
      <c r="U1815" s="9">
        <v>61.2</v>
      </c>
      <c r="V1815" s="9">
        <v>58.9</v>
      </c>
      <c r="W1815" s="9">
        <v>59.7</v>
      </c>
      <c r="X1815" s="9">
        <v>59.7</v>
      </c>
      <c r="Y1815" s="9">
        <v>59</v>
      </c>
      <c r="Z1815" s="9">
        <v>59.7</v>
      </c>
      <c r="AA1815" s="9">
        <v>59.7</v>
      </c>
      <c r="AB1815" s="9">
        <v>58.2</v>
      </c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</row>
    <row r="1816" spans="1:47" ht="14.4">
      <c r="A1816" s="3">
        <f>LOOKUP(D1816,'AMFI DATA_2023H2'!F:L,'AMFI DATA_2023H2'!L:L)</f>
        <v>2749</v>
      </c>
      <c r="B1816" s="4" t="s">
        <v>5446</v>
      </c>
      <c r="C1816" s="4" t="s">
        <v>5447</v>
      </c>
      <c r="D1816" s="5" t="s">
        <v>5448</v>
      </c>
      <c r="E1816" s="5">
        <v>63.53</v>
      </c>
      <c r="F1816" s="6">
        <f>LOOKUP(D1816,'AMFI DATA_2023H2'!F:J,'AMFI DATA_2023H2'!J:J)</f>
        <v>55.259749999999997</v>
      </c>
      <c r="G1816" s="7">
        <f t="shared" si="7"/>
        <v>-1</v>
      </c>
      <c r="H1816" s="9"/>
      <c r="I1816" s="9">
        <v>68.400000000000006</v>
      </c>
      <c r="J1816" s="9">
        <v>67.599999999999994</v>
      </c>
      <c r="K1816" s="9">
        <v>68.900000000000006</v>
      </c>
      <c r="L1816" s="9">
        <v>70.099999999999994</v>
      </c>
      <c r="M1816" s="9">
        <v>71.599999999999994</v>
      </c>
      <c r="N1816" s="9">
        <v>73</v>
      </c>
      <c r="O1816" s="9">
        <v>74.400000000000006</v>
      </c>
      <c r="P1816" s="9">
        <v>75.8</v>
      </c>
      <c r="Q1816" s="9">
        <v>76.2</v>
      </c>
      <c r="R1816" s="9">
        <v>76.2</v>
      </c>
      <c r="S1816" s="9">
        <v>72.7</v>
      </c>
      <c r="T1816" s="9">
        <v>69.8</v>
      </c>
      <c r="U1816" s="9">
        <v>67</v>
      </c>
      <c r="V1816" s="9">
        <v>66.3</v>
      </c>
      <c r="W1816" s="9">
        <v>67.900000000000006</v>
      </c>
      <c r="X1816" s="9">
        <v>71.400000000000006</v>
      </c>
      <c r="Y1816" s="9">
        <v>72</v>
      </c>
      <c r="Z1816" s="9">
        <v>69.099999999999994</v>
      </c>
      <c r="AA1816" s="9">
        <v>63.4</v>
      </c>
      <c r="AB1816" s="9">
        <v>63.5</v>
      </c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</row>
    <row r="1817" spans="1:47" ht="14.4">
      <c r="A1817" s="3">
        <f>LOOKUP(D1817,'AMFI DATA_2023H2'!F:L,'AMFI DATA_2023H2'!L:L)</f>
        <v>2752</v>
      </c>
      <c r="B1817" s="4" t="s">
        <v>5449</v>
      </c>
      <c r="C1817" s="4" t="s">
        <v>5450</v>
      </c>
      <c r="D1817" s="5" t="s">
        <v>5451</v>
      </c>
      <c r="E1817" s="5">
        <v>30.62</v>
      </c>
      <c r="F1817" s="6">
        <f>LOOKUP(D1817,'AMFI DATA_2023H2'!F:J,'AMFI DATA_2023H2'!J:J)</f>
        <v>54.934250000000006</v>
      </c>
      <c r="G1817" s="7">
        <f t="shared" si="7"/>
        <v>-1</v>
      </c>
      <c r="H1817" s="9"/>
      <c r="I1817" s="9">
        <v>97.6</v>
      </c>
      <c r="J1817" s="9">
        <v>99.3</v>
      </c>
      <c r="K1817" s="9">
        <v>101</v>
      </c>
      <c r="L1817" s="9">
        <v>103</v>
      </c>
      <c r="M1817" s="9">
        <v>99.3</v>
      </c>
      <c r="N1817" s="9">
        <v>91.9</v>
      </c>
      <c r="O1817" s="9">
        <v>90.2</v>
      </c>
      <c r="P1817" s="9">
        <v>86.2</v>
      </c>
      <c r="Q1817" s="9">
        <v>82.2</v>
      </c>
      <c r="R1817" s="9">
        <v>78.5</v>
      </c>
      <c r="S1817" s="9">
        <v>74.900000000000006</v>
      </c>
      <c r="T1817" s="9">
        <v>74.2</v>
      </c>
      <c r="U1817" s="9">
        <v>72.900000000000006</v>
      </c>
      <c r="V1817" s="9">
        <v>71.5</v>
      </c>
      <c r="W1817" s="9">
        <v>72.2</v>
      </c>
      <c r="X1817" s="9">
        <v>72.900000000000006</v>
      </c>
      <c r="Y1817" s="9">
        <v>74.2</v>
      </c>
      <c r="Z1817" s="9">
        <v>75.2</v>
      </c>
      <c r="AA1817" s="9">
        <v>73.2</v>
      </c>
      <c r="AB1817" s="9">
        <v>75.2</v>
      </c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</row>
    <row r="1818" spans="1:47" ht="14.4">
      <c r="A1818" s="3">
        <f>LOOKUP(D1818,'AMFI DATA_2023H2'!F:L,'AMFI DATA_2023H2'!L:L)</f>
        <v>2760</v>
      </c>
      <c r="B1818" s="4" t="s">
        <v>5452</v>
      </c>
      <c r="C1818" s="4" t="s">
        <v>5453</v>
      </c>
      <c r="D1818" s="5" t="s">
        <v>5454</v>
      </c>
      <c r="E1818" s="5">
        <v>32.64</v>
      </c>
      <c r="F1818" s="6">
        <f>LOOKUP(D1818,'AMFI DATA_2023H2'!F:J,'AMFI DATA_2023H2'!J:J)</f>
        <v>54.158612479999995</v>
      </c>
      <c r="G1818" s="7">
        <f t="shared" si="7"/>
        <v>-1</v>
      </c>
      <c r="H1818" s="9"/>
      <c r="I1818" s="9">
        <v>57.1</v>
      </c>
      <c r="J1818" s="9">
        <v>54.4</v>
      </c>
      <c r="K1818" s="9">
        <v>55.5</v>
      </c>
      <c r="L1818" s="9">
        <v>57.1</v>
      </c>
      <c r="M1818" s="9">
        <v>56.8</v>
      </c>
      <c r="N1818" s="9">
        <v>58.6</v>
      </c>
      <c r="O1818" s="9">
        <v>59.3</v>
      </c>
      <c r="P1818" s="9">
        <v>59.5</v>
      </c>
      <c r="Q1818" s="9">
        <v>59.8</v>
      </c>
      <c r="R1818" s="9">
        <v>60.7</v>
      </c>
      <c r="S1818" s="9">
        <v>60</v>
      </c>
      <c r="T1818" s="9">
        <v>60</v>
      </c>
      <c r="U1818" s="9">
        <v>61.5</v>
      </c>
      <c r="V1818" s="9">
        <v>59.8</v>
      </c>
      <c r="W1818" s="9">
        <v>60.1</v>
      </c>
      <c r="X1818" s="9">
        <v>61.4</v>
      </c>
      <c r="Y1818" s="9">
        <v>59.8</v>
      </c>
      <c r="Z1818" s="9">
        <v>59.5</v>
      </c>
      <c r="AA1818" s="9">
        <v>58.1</v>
      </c>
      <c r="AB1818" s="9">
        <v>60.5</v>
      </c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</row>
    <row r="1819" spans="1:47" ht="14.4">
      <c r="A1819" s="3">
        <f>LOOKUP(D1819,'AMFI DATA_2023H2'!F:L,'AMFI DATA_2023H2'!L:L)</f>
        <v>2776</v>
      </c>
      <c r="B1819" s="4" t="s">
        <v>5455</v>
      </c>
      <c r="C1819" s="4" t="s">
        <v>5456</v>
      </c>
      <c r="D1819" s="5" t="s">
        <v>5457</v>
      </c>
      <c r="E1819" s="5">
        <v>60.18</v>
      </c>
      <c r="F1819" s="6">
        <f>LOOKUP(D1819,'AMFI DATA_2023H2'!F:J,'AMFI DATA_2023H2'!J:J)</f>
        <v>53.035799999999995</v>
      </c>
      <c r="G1819" s="7">
        <f t="shared" si="7"/>
        <v>-1</v>
      </c>
      <c r="H1819" s="9"/>
      <c r="I1819" s="9">
        <v>70.5</v>
      </c>
      <c r="J1819" s="9">
        <v>69.099999999999994</v>
      </c>
      <c r="K1819" s="9">
        <v>70.5</v>
      </c>
      <c r="L1819" s="9">
        <v>72</v>
      </c>
      <c r="M1819" s="9">
        <v>70.5</v>
      </c>
      <c r="N1819" s="9">
        <v>69.099999999999994</v>
      </c>
      <c r="O1819" s="9">
        <v>67.7</v>
      </c>
      <c r="P1819" s="9">
        <v>66.3</v>
      </c>
      <c r="Q1819" s="9">
        <v>66.3</v>
      </c>
      <c r="R1819" s="9">
        <v>64.900000000000006</v>
      </c>
      <c r="S1819" s="9">
        <v>63.5</v>
      </c>
      <c r="T1819" s="9">
        <v>62.1</v>
      </c>
      <c r="U1819" s="9">
        <v>60.7</v>
      </c>
      <c r="V1819" s="9">
        <v>59.2</v>
      </c>
      <c r="W1819" s="9">
        <v>59.2</v>
      </c>
      <c r="X1819" s="9">
        <v>59.2</v>
      </c>
      <c r="Y1819" s="9">
        <v>59.2</v>
      </c>
      <c r="Z1819" s="9">
        <v>59.2</v>
      </c>
      <c r="AA1819" s="9">
        <v>53.7</v>
      </c>
      <c r="AB1819" s="9">
        <v>56.4</v>
      </c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</row>
    <row r="1820" spans="1:47" ht="14.4">
      <c r="A1820" s="3">
        <f>LOOKUP(D1820,'AMFI DATA_2023H2'!F:L,'AMFI DATA_2023H2'!L:L)</f>
        <v>2788</v>
      </c>
      <c r="B1820" s="4" t="s">
        <v>5458</v>
      </c>
      <c r="C1820" s="4" t="s">
        <v>5459</v>
      </c>
      <c r="D1820" s="5" t="s">
        <v>5460</v>
      </c>
      <c r="E1820" s="5">
        <v>46.52</v>
      </c>
      <c r="F1820" s="6">
        <f>LOOKUP(D1820,'AMFI DATA_2023H2'!F:J,'AMFI DATA_2023H2'!J:J)</f>
        <v>52.222999999999999</v>
      </c>
      <c r="G1820" s="7">
        <f t="shared" si="7"/>
        <v>-1</v>
      </c>
      <c r="H1820" s="9"/>
      <c r="I1820" s="9">
        <v>69.7</v>
      </c>
      <c r="J1820" s="9">
        <v>68.2</v>
      </c>
      <c r="K1820" s="9">
        <v>71.2</v>
      </c>
      <c r="L1820" s="9">
        <v>71.7</v>
      </c>
      <c r="M1820" s="9">
        <v>70.3</v>
      </c>
      <c r="N1820" s="9">
        <v>69.599999999999994</v>
      </c>
      <c r="O1820" s="9">
        <v>68.900000000000006</v>
      </c>
      <c r="P1820" s="9">
        <v>69.599999999999994</v>
      </c>
      <c r="Q1820" s="9">
        <v>67.5</v>
      </c>
      <c r="R1820" s="9">
        <v>66.599999999999994</v>
      </c>
      <c r="S1820" s="9">
        <v>69.2</v>
      </c>
      <c r="T1820" s="9">
        <v>71.099999999999994</v>
      </c>
      <c r="U1820" s="9">
        <v>71.900000000000006</v>
      </c>
      <c r="V1820" s="9">
        <v>75.7</v>
      </c>
      <c r="W1820" s="9">
        <v>75.2</v>
      </c>
      <c r="X1820" s="9">
        <v>75</v>
      </c>
      <c r="Y1820" s="9">
        <v>67.400000000000006</v>
      </c>
      <c r="Z1820" s="9">
        <v>64.2</v>
      </c>
      <c r="AA1820" s="9">
        <v>64.8</v>
      </c>
      <c r="AB1820" s="9">
        <v>62</v>
      </c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</row>
    <row r="1821" spans="1:47" ht="14.4">
      <c r="A1821" s="3">
        <f>LOOKUP(D1821,'AMFI DATA_2023H2'!F:L,'AMFI DATA_2023H2'!L:L)</f>
        <v>2798</v>
      </c>
      <c r="B1821" s="4" t="s">
        <v>5461</v>
      </c>
      <c r="C1821" s="4" t="s">
        <v>5462</v>
      </c>
      <c r="D1821" s="5" t="s">
        <v>5463</v>
      </c>
      <c r="E1821" s="5">
        <v>82.19</v>
      </c>
      <c r="F1821" s="6">
        <f>LOOKUP(D1821,'AMFI DATA_2023H2'!F:J,'AMFI DATA_2023H2'!J:J)</f>
        <v>51.800800000000002</v>
      </c>
      <c r="G1821" s="7">
        <f t="shared" si="7"/>
        <v>-1</v>
      </c>
      <c r="H1821" s="9"/>
      <c r="I1821" s="9">
        <v>85.1</v>
      </c>
      <c r="J1821" s="9">
        <v>81.099999999999994</v>
      </c>
      <c r="K1821" s="9">
        <v>81.900000000000006</v>
      </c>
      <c r="L1821" s="9">
        <v>82</v>
      </c>
      <c r="M1821" s="9">
        <v>80.5</v>
      </c>
      <c r="N1821" s="9">
        <v>80.5</v>
      </c>
      <c r="O1821" s="9">
        <v>79.099999999999994</v>
      </c>
      <c r="P1821" s="9">
        <v>81.900000000000006</v>
      </c>
      <c r="Q1821" s="9">
        <v>84.1</v>
      </c>
      <c r="R1821" s="9">
        <v>80.2</v>
      </c>
      <c r="S1821" s="9">
        <v>76.400000000000006</v>
      </c>
      <c r="T1821" s="9">
        <v>72.8</v>
      </c>
      <c r="U1821" s="9">
        <v>69.2</v>
      </c>
      <c r="V1821" s="9">
        <v>69.2</v>
      </c>
      <c r="W1821" s="9">
        <v>69.2</v>
      </c>
      <c r="X1821" s="9">
        <v>65.900000000000006</v>
      </c>
      <c r="Y1821" s="9">
        <v>63.1</v>
      </c>
      <c r="Z1821" s="9">
        <v>61.5</v>
      </c>
      <c r="AA1821" s="9">
        <v>60.9</v>
      </c>
      <c r="AB1821" s="9">
        <v>61.2</v>
      </c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</row>
    <row r="1822" spans="1:47" ht="14.4">
      <c r="A1822" s="3">
        <f>LOOKUP(D1822,'AMFI DATA_2023H2'!F:L,'AMFI DATA_2023H2'!L:L)</f>
        <v>2799</v>
      </c>
      <c r="B1822" s="4" t="s">
        <v>5464</v>
      </c>
      <c r="C1822" s="4" t="s">
        <v>5465</v>
      </c>
      <c r="D1822" s="5" t="s">
        <v>5466</v>
      </c>
      <c r="E1822" s="5">
        <v>42.11</v>
      </c>
      <c r="F1822" s="6">
        <f>LOOKUP(D1822,'AMFI DATA_2023H2'!F:J,'AMFI DATA_2023H2'!J:J)</f>
        <v>51.612000000000002</v>
      </c>
      <c r="G1822" s="7">
        <f t="shared" si="7"/>
        <v>-1</v>
      </c>
      <c r="H1822" s="9"/>
      <c r="I1822" s="9">
        <v>66</v>
      </c>
      <c r="J1822" s="9">
        <v>63.4</v>
      </c>
      <c r="K1822" s="9">
        <v>62</v>
      </c>
      <c r="L1822" s="9">
        <v>64.5</v>
      </c>
      <c r="M1822" s="9">
        <v>65.5</v>
      </c>
      <c r="N1822" s="9">
        <v>67.599999999999994</v>
      </c>
      <c r="O1822" s="9">
        <v>71.8</v>
      </c>
      <c r="P1822" s="9">
        <v>73.599999999999994</v>
      </c>
      <c r="Q1822" s="9">
        <v>77.400000000000006</v>
      </c>
      <c r="R1822" s="9">
        <v>77.599999999999994</v>
      </c>
      <c r="S1822" s="9">
        <v>77.599999999999994</v>
      </c>
      <c r="T1822" s="9">
        <v>79.900000000000006</v>
      </c>
      <c r="U1822" s="9">
        <v>82.3</v>
      </c>
      <c r="V1822" s="9">
        <v>79.8</v>
      </c>
      <c r="W1822" s="9">
        <v>81.400000000000006</v>
      </c>
      <c r="X1822" s="9">
        <v>86.4</v>
      </c>
      <c r="Y1822" s="9">
        <v>72</v>
      </c>
      <c r="Z1822" s="9">
        <v>69.400000000000006</v>
      </c>
      <c r="AA1822" s="9">
        <v>64.099999999999994</v>
      </c>
      <c r="AB1822" s="9">
        <v>62.9</v>
      </c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</row>
    <row r="1823" spans="1:47" ht="14.4">
      <c r="A1823" s="3">
        <f>LOOKUP(D1823,'AMFI DATA_2023H2'!F:L,'AMFI DATA_2023H2'!L:L)</f>
        <v>2808</v>
      </c>
      <c r="B1823" s="4" t="s">
        <v>5467</v>
      </c>
      <c r="C1823" s="4" t="s">
        <v>5468</v>
      </c>
      <c r="D1823" s="5" t="s">
        <v>5469</v>
      </c>
      <c r="E1823" s="5">
        <v>60.67</v>
      </c>
      <c r="F1823" s="6">
        <f>LOOKUP(D1823,'AMFI DATA_2023H2'!F:J,'AMFI DATA_2023H2'!J:J)</f>
        <v>50.922250000000005</v>
      </c>
      <c r="G1823" s="7">
        <f t="shared" si="7"/>
        <v>-1</v>
      </c>
      <c r="H1823" s="9"/>
      <c r="I1823" s="9">
        <v>66.8</v>
      </c>
      <c r="J1823" s="9">
        <v>63.1</v>
      </c>
      <c r="K1823" s="9">
        <v>64.3</v>
      </c>
      <c r="L1823" s="9">
        <v>67.7</v>
      </c>
      <c r="M1823" s="9">
        <v>68.8</v>
      </c>
      <c r="N1823" s="9">
        <v>68.2</v>
      </c>
      <c r="O1823" s="9">
        <v>70.7</v>
      </c>
      <c r="P1823" s="9">
        <v>69.400000000000006</v>
      </c>
      <c r="Q1823" s="9">
        <v>72</v>
      </c>
      <c r="R1823" s="9">
        <v>69.099999999999994</v>
      </c>
      <c r="S1823" s="9">
        <v>63.9</v>
      </c>
      <c r="T1823" s="9">
        <v>64.7</v>
      </c>
      <c r="U1823" s="9">
        <v>59.5</v>
      </c>
      <c r="V1823" s="9">
        <v>59.1</v>
      </c>
      <c r="W1823" s="9">
        <v>59.2</v>
      </c>
      <c r="X1823" s="9">
        <v>59.2</v>
      </c>
      <c r="Y1823" s="9">
        <v>59.4</v>
      </c>
      <c r="Z1823" s="9">
        <v>61</v>
      </c>
      <c r="AA1823" s="9">
        <v>60.2</v>
      </c>
      <c r="AB1823" s="9">
        <v>62.4</v>
      </c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</row>
    <row r="1824" spans="1:47" ht="14.4">
      <c r="A1824" s="3">
        <f>LOOKUP(D1824,'AMFI DATA_2023H2'!F:L,'AMFI DATA_2023H2'!L:L)</f>
        <v>2815</v>
      </c>
      <c r="B1824" s="4" t="s">
        <v>5470</v>
      </c>
      <c r="C1824" s="4" t="s">
        <v>5471</v>
      </c>
      <c r="D1824" s="5" t="s">
        <v>5472</v>
      </c>
      <c r="E1824" s="5">
        <v>35.81</v>
      </c>
      <c r="F1824" s="6">
        <f>LOOKUP(D1824,'AMFI DATA_2023H2'!F:J,'AMFI DATA_2023H2'!J:J)</f>
        <v>50.002400000000002</v>
      </c>
      <c r="G1824" s="7">
        <f t="shared" si="7"/>
        <v>-1</v>
      </c>
      <c r="H1824" s="9"/>
      <c r="I1824" s="9">
        <v>90.9</v>
      </c>
      <c r="J1824" s="9">
        <v>90.9</v>
      </c>
      <c r="K1824" s="9">
        <v>86.6</v>
      </c>
      <c r="L1824" s="9">
        <v>82.5</v>
      </c>
      <c r="M1824" s="9">
        <v>78.599999999999994</v>
      </c>
      <c r="N1824" s="9">
        <v>74.900000000000006</v>
      </c>
      <c r="O1824" s="9">
        <v>71.3</v>
      </c>
      <c r="P1824" s="9">
        <v>75.099999999999994</v>
      </c>
      <c r="Q1824" s="9">
        <v>78.8</v>
      </c>
      <c r="R1824" s="9">
        <v>82.9</v>
      </c>
      <c r="S1824" s="9">
        <v>79</v>
      </c>
      <c r="T1824" s="9">
        <v>83.1</v>
      </c>
      <c r="U1824" s="9">
        <v>87.5</v>
      </c>
      <c r="V1824" s="9">
        <v>92.1</v>
      </c>
      <c r="W1824" s="9">
        <v>87.7</v>
      </c>
      <c r="X1824" s="9">
        <v>92.3</v>
      </c>
      <c r="Y1824" s="9">
        <v>97.1</v>
      </c>
      <c r="Z1824" s="9">
        <v>102</v>
      </c>
      <c r="AA1824" s="9">
        <v>97.4</v>
      </c>
      <c r="AB1824" s="9">
        <v>92.8</v>
      </c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</row>
    <row r="1825" spans="1:47" ht="14.4">
      <c r="A1825" s="3">
        <f>LOOKUP(D1825,'AMFI DATA_2023H2'!F:L,'AMFI DATA_2023H2'!L:L)</f>
        <v>2822</v>
      </c>
      <c r="B1825" s="4" t="s">
        <v>5473</v>
      </c>
      <c r="C1825" s="4" t="s">
        <v>5474</v>
      </c>
      <c r="D1825" s="5" t="s">
        <v>5475</v>
      </c>
      <c r="E1825" s="5">
        <v>46.81</v>
      </c>
      <c r="F1825" s="6">
        <f>LOOKUP(D1825,'AMFI DATA_2023H2'!F:J,'AMFI DATA_2023H2'!J:J)</f>
        <v>49.686</v>
      </c>
      <c r="G1825" s="7">
        <f t="shared" si="7"/>
        <v>-1</v>
      </c>
      <c r="H1825" s="9"/>
      <c r="I1825" s="9">
        <v>68.2</v>
      </c>
      <c r="J1825" s="9">
        <v>66.5</v>
      </c>
      <c r="K1825" s="9">
        <v>67.5</v>
      </c>
      <c r="L1825" s="9">
        <v>68.7</v>
      </c>
      <c r="M1825" s="9">
        <v>71</v>
      </c>
      <c r="N1825" s="9">
        <v>70.599999999999994</v>
      </c>
      <c r="O1825" s="9">
        <v>72.3</v>
      </c>
      <c r="P1825" s="9">
        <v>73.7</v>
      </c>
      <c r="Q1825" s="9">
        <v>72.8</v>
      </c>
      <c r="R1825" s="9">
        <v>69.3</v>
      </c>
      <c r="S1825" s="9">
        <v>72.900000000000006</v>
      </c>
      <c r="T1825" s="9">
        <v>76.7</v>
      </c>
      <c r="U1825" s="9">
        <v>76.8</v>
      </c>
      <c r="V1825" s="9">
        <v>85.2</v>
      </c>
      <c r="W1825" s="9">
        <v>71.2</v>
      </c>
      <c r="X1825" s="9">
        <v>62.1</v>
      </c>
      <c r="Y1825" s="9">
        <v>59.5</v>
      </c>
      <c r="Z1825" s="9">
        <v>60.6</v>
      </c>
      <c r="AA1825" s="9">
        <v>61</v>
      </c>
      <c r="AB1825" s="9">
        <v>60.7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</row>
    <row r="1826" spans="1:47" ht="14.4">
      <c r="A1826" s="3">
        <f>LOOKUP(D1826,'AMFI DATA_2023H2'!F:L,'AMFI DATA_2023H2'!L:L)</f>
        <v>2823</v>
      </c>
      <c r="B1826" s="4" t="s">
        <v>5476</v>
      </c>
      <c r="C1826" s="4" t="s">
        <v>5477</v>
      </c>
      <c r="D1826" s="5" t="s">
        <v>5478</v>
      </c>
      <c r="E1826" s="5">
        <v>113.2</v>
      </c>
      <c r="F1826" s="6">
        <f>LOOKUP(D1826,'AMFI DATA_2023H2'!F:J,'AMFI DATA_2023H2'!J:J)</f>
        <v>49.668300000000002</v>
      </c>
      <c r="G1826" s="7">
        <f t="shared" si="7"/>
        <v>-1</v>
      </c>
      <c r="H1826" s="9"/>
      <c r="I1826" s="9">
        <v>53.7</v>
      </c>
      <c r="J1826" s="9">
        <v>54.6</v>
      </c>
      <c r="K1826" s="9">
        <v>55.5</v>
      </c>
      <c r="L1826" s="9">
        <v>56.5</v>
      </c>
      <c r="M1826" s="9">
        <v>55.5</v>
      </c>
      <c r="N1826" s="9">
        <v>54.6</v>
      </c>
      <c r="O1826" s="9">
        <v>53.7</v>
      </c>
      <c r="P1826" s="9">
        <v>52.7</v>
      </c>
      <c r="Q1826" s="9">
        <v>51.8</v>
      </c>
      <c r="R1826" s="9">
        <v>50.8</v>
      </c>
      <c r="S1826" s="9">
        <v>49.9</v>
      </c>
      <c r="T1826" s="9">
        <v>49</v>
      </c>
      <c r="U1826" s="9">
        <v>48.6</v>
      </c>
      <c r="V1826" s="9">
        <v>49.6</v>
      </c>
      <c r="W1826" s="9">
        <v>49.9</v>
      </c>
      <c r="X1826" s="9">
        <v>50.2</v>
      </c>
      <c r="Y1826" s="9">
        <v>50.2</v>
      </c>
      <c r="Z1826" s="9">
        <v>49.6</v>
      </c>
      <c r="AA1826" s="9">
        <v>49.6</v>
      </c>
      <c r="AB1826" s="9">
        <v>50.5</v>
      </c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</row>
    <row r="1827" spans="1:47" ht="14.4">
      <c r="A1827" s="3">
        <f>LOOKUP(D1827,'AMFI DATA_2023H2'!F:L,'AMFI DATA_2023H2'!L:L)</f>
        <v>2826</v>
      </c>
      <c r="B1827" s="4" t="s">
        <v>5479</v>
      </c>
      <c r="C1827" s="4" t="s">
        <v>5480</v>
      </c>
      <c r="D1827" s="5" t="s">
        <v>5481</v>
      </c>
      <c r="E1827" s="5">
        <v>60.61</v>
      </c>
      <c r="F1827" s="6">
        <f>LOOKUP(D1827,'AMFI DATA_2023H2'!F:J,'AMFI DATA_2023H2'!J:J)</f>
        <v>49.42915</v>
      </c>
      <c r="G1827" s="7">
        <f t="shared" si="7"/>
        <v>-1</v>
      </c>
      <c r="H1827" s="9"/>
      <c r="I1827" s="9">
        <v>59.9</v>
      </c>
      <c r="J1827" s="9">
        <v>61.1</v>
      </c>
      <c r="K1827" s="9">
        <v>62.3</v>
      </c>
      <c r="L1827" s="9">
        <v>63.6</v>
      </c>
      <c r="M1827" s="9">
        <v>64.599999999999994</v>
      </c>
      <c r="N1827" s="9">
        <v>65</v>
      </c>
      <c r="O1827" s="9">
        <v>63.8</v>
      </c>
      <c r="P1827" s="9">
        <v>62.5</v>
      </c>
      <c r="Q1827" s="9">
        <v>61.3</v>
      </c>
      <c r="R1827" s="9">
        <v>58.3</v>
      </c>
      <c r="S1827" s="9">
        <v>55.6</v>
      </c>
      <c r="T1827" s="9">
        <v>53.2</v>
      </c>
      <c r="U1827" s="9">
        <v>51</v>
      </c>
      <c r="V1827" s="9">
        <v>50.2</v>
      </c>
      <c r="W1827" s="9">
        <v>50</v>
      </c>
      <c r="X1827" s="9">
        <v>51.1</v>
      </c>
      <c r="Y1827" s="9">
        <v>51.4</v>
      </c>
      <c r="Z1827" s="9">
        <v>50.4</v>
      </c>
      <c r="AA1827" s="9">
        <v>47.7</v>
      </c>
      <c r="AB1827" s="9">
        <v>46</v>
      </c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</row>
    <row r="1828" spans="1:47" ht="14.4">
      <c r="A1828" s="3">
        <f>LOOKUP(D1828,'AMFI DATA_2023H2'!F:L,'AMFI DATA_2023H2'!L:L)</f>
        <v>2847</v>
      </c>
      <c r="B1828" s="4" t="s">
        <v>5482</v>
      </c>
      <c r="C1828" s="4" t="s">
        <v>5483</v>
      </c>
      <c r="D1828" s="5" t="s">
        <v>5484</v>
      </c>
      <c r="E1828" s="5">
        <v>41.5</v>
      </c>
      <c r="F1828" s="6">
        <f>LOOKUP(D1828,'AMFI DATA_2023H2'!F:J,'AMFI DATA_2023H2'!J:J)</f>
        <v>47.901399999999995</v>
      </c>
      <c r="G1828" s="7">
        <f t="shared" si="7"/>
        <v>-1</v>
      </c>
      <c r="H1828" s="9"/>
      <c r="I1828" s="9">
        <v>62.4</v>
      </c>
      <c r="J1828" s="9">
        <v>63.3</v>
      </c>
      <c r="K1828" s="9">
        <v>67</v>
      </c>
      <c r="L1828" s="9">
        <v>63.8</v>
      </c>
      <c r="M1828" s="9">
        <v>60.8</v>
      </c>
      <c r="N1828" s="9">
        <v>58</v>
      </c>
      <c r="O1828" s="9">
        <v>56.8</v>
      </c>
      <c r="P1828" s="9">
        <v>56.8</v>
      </c>
      <c r="Q1828" s="9">
        <v>56.6</v>
      </c>
      <c r="R1828" s="9">
        <v>55.6</v>
      </c>
      <c r="S1828" s="9">
        <v>55.7</v>
      </c>
      <c r="T1828" s="9">
        <v>56.8</v>
      </c>
      <c r="U1828" s="9">
        <v>55.8</v>
      </c>
      <c r="V1828" s="9">
        <v>54.8</v>
      </c>
      <c r="W1828" s="9">
        <v>53.7</v>
      </c>
      <c r="X1828" s="9">
        <v>52.7</v>
      </c>
      <c r="Y1828" s="9">
        <v>53.7</v>
      </c>
      <c r="Z1828" s="9">
        <v>54.8</v>
      </c>
      <c r="AA1828" s="9">
        <v>57.6</v>
      </c>
      <c r="AB1828" s="9">
        <v>57.7</v>
      </c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</row>
    <row r="1829" spans="1:47" ht="14.4">
      <c r="A1829" s="3">
        <f>LOOKUP(D1829,'AMFI DATA_2023H2'!F:L,'AMFI DATA_2023H2'!L:L)</f>
        <v>2861</v>
      </c>
      <c r="B1829" s="4" t="s">
        <v>5485</v>
      </c>
      <c r="C1829" s="4" t="s">
        <v>5486</v>
      </c>
      <c r="D1829" s="5" t="s">
        <v>5487</v>
      </c>
      <c r="E1829" s="5">
        <v>71.05</v>
      </c>
      <c r="F1829" s="6">
        <f>LOOKUP(D1829,'AMFI DATA_2023H2'!F:J,'AMFI DATA_2023H2'!J:J)</f>
        <v>46.754099999999994</v>
      </c>
      <c r="G1829" s="7">
        <f t="shared" si="7"/>
        <v>-1</v>
      </c>
      <c r="H1829" s="9"/>
      <c r="I1829" s="9">
        <v>47.4</v>
      </c>
      <c r="J1829" s="9">
        <v>45.8</v>
      </c>
      <c r="K1829" s="9">
        <v>43.9</v>
      </c>
      <c r="L1829" s="9">
        <v>46.2</v>
      </c>
      <c r="M1829" s="9">
        <v>48.6</v>
      </c>
      <c r="N1829" s="9">
        <v>51.1</v>
      </c>
      <c r="O1829" s="9">
        <v>53.8</v>
      </c>
      <c r="P1829" s="9">
        <v>56.6</v>
      </c>
      <c r="Q1829" s="9">
        <v>59.5</v>
      </c>
      <c r="R1829" s="9">
        <v>60.3</v>
      </c>
      <c r="S1829" s="9">
        <v>57.5</v>
      </c>
      <c r="T1829" s="9">
        <v>53.5</v>
      </c>
      <c r="U1829" s="9">
        <v>52.7</v>
      </c>
      <c r="V1829" s="9">
        <v>50.4</v>
      </c>
      <c r="W1829" s="9">
        <v>49.1</v>
      </c>
      <c r="X1829" s="9">
        <v>50</v>
      </c>
      <c r="Y1829" s="9">
        <v>49.2</v>
      </c>
      <c r="Z1829" s="9">
        <v>49.7</v>
      </c>
      <c r="AA1829" s="9">
        <v>46.3</v>
      </c>
      <c r="AB1829" s="9">
        <v>46.1</v>
      </c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</row>
    <row r="1830" spans="1:47" ht="14.4">
      <c r="A1830" s="3">
        <f>LOOKUP(D1830,'AMFI DATA_2023H2'!F:L,'AMFI DATA_2023H2'!L:L)</f>
        <v>2878</v>
      </c>
      <c r="B1830" s="4" t="s">
        <v>5488</v>
      </c>
      <c r="C1830" s="4" t="s">
        <v>5489</v>
      </c>
      <c r="D1830" s="5" t="s">
        <v>5490</v>
      </c>
      <c r="E1830" s="5">
        <v>33.56</v>
      </c>
      <c r="F1830" s="6">
        <f>LOOKUP(D1830,'AMFI DATA_2023H2'!F:J,'AMFI DATA_2023H2'!J:J)</f>
        <v>45.478899999999996</v>
      </c>
      <c r="G1830" s="7">
        <f t="shared" si="7"/>
        <v>-1</v>
      </c>
      <c r="H1830" s="9"/>
      <c r="I1830" s="9">
        <v>55.9</v>
      </c>
      <c r="J1830" s="9">
        <v>56.5</v>
      </c>
      <c r="K1830" s="9">
        <v>57.6</v>
      </c>
      <c r="L1830" s="9">
        <v>58.6</v>
      </c>
      <c r="M1830" s="9">
        <v>58.3</v>
      </c>
      <c r="N1830" s="9">
        <v>57.3</v>
      </c>
      <c r="O1830" s="9">
        <v>58.3</v>
      </c>
      <c r="P1830" s="9">
        <v>58.9</v>
      </c>
      <c r="Q1830" s="9">
        <v>58.3</v>
      </c>
      <c r="R1830" s="9">
        <v>57.2</v>
      </c>
      <c r="S1830" s="9">
        <v>57.7</v>
      </c>
      <c r="T1830" s="9">
        <v>58.8</v>
      </c>
      <c r="U1830" s="9">
        <v>58.8</v>
      </c>
      <c r="V1830" s="9">
        <v>58.8</v>
      </c>
      <c r="W1830" s="9">
        <v>58.8</v>
      </c>
      <c r="X1830" s="9">
        <v>60</v>
      </c>
      <c r="Y1830" s="9">
        <v>60</v>
      </c>
      <c r="Z1830" s="9">
        <v>60.4</v>
      </c>
      <c r="AA1830" s="9">
        <v>59.7</v>
      </c>
      <c r="AB1830" s="9">
        <v>58.8</v>
      </c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</row>
    <row r="1831" spans="1:47" ht="14.4">
      <c r="A1831" s="3">
        <f>LOOKUP(D1831,'AMFI DATA_2023H2'!F:L,'AMFI DATA_2023H2'!L:L)</f>
        <v>2884</v>
      </c>
      <c r="B1831" s="4" t="s">
        <v>5491</v>
      </c>
      <c r="C1831" s="4" t="s">
        <v>5492</v>
      </c>
      <c r="D1831" s="5" t="s">
        <v>5493</v>
      </c>
      <c r="E1831" s="5">
        <v>35.020000000000003</v>
      </c>
      <c r="F1831" s="6">
        <f>LOOKUP(D1831,'AMFI DATA_2023H2'!F:J,'AMFI DATA_2023H2'!J:J)</f>
        <v>45.255549999999999</v>
      </c>
      <c r="G1831" s="7">
        <f t="shared" si="7"/>
        <v>-1</v>
      </c>
      <c r="H1831" s="9"/>
      <c r="I1831" s="9">
        <v>66.599999999999994</v>
      </c>
      <c r="J1831" s="9">
        <v>69</v>
      </c>
      <c r="K1831" s="9">
        <v>71.099999999999994</v>
      </c>
      <c r="L1831" s="9">
        <v>67.8</v>
      </c>
      <c r="M1831" s="9">
        <v>64.599999999999994</v>
      </c>
      <c r="N1831" s="9">
        <v>61.6</v>
      </c>
      <c r="O1831" s="9">
        <v>60.4</v>
      </c>
      <c r="P1831" s="9">
        <v>59.3</v>
      </c>
      <c r="Q1831" s="9">
        <v>58.2</v>
      </c>
      <c r="R1831" s="9">
        <v>57</v>
      </c>
      <c r="S1831" s="9">
        <v>55.9</v>
      </c>
      <c r="T1831" s="9">
        <v>54.9</v>
      </c>
      <c r="U1831" s="9">
        <v>53.9</v>
      </c>
      <c r="V1831" s="9">
        <v>52.8</v>
      </c>
      <c r="W1831" s="9">
        <v>51.8</v>
      </c>
      <c r="X1831" s="9">
        <v>51.4</v>
      </c>
      <c r="Y1831" s="9">
        <v>52.4</v>
      </c>
      <c r="Z1831" s="9">
        <v>53.2</v>
      </c>
      <c r="AA1831" s="9">
        <v>55.7</v>
      </c>
      <c r="AB1831" s="9">
        <v>56.1</v>
      </c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</row>
    <row r="1832" spans="1:47" ht="14.4">
      <c r="A1832" s="3">
        <f>LOOKUP(D1832,'AMFI DATA_2023H2'!F:L,'AMFI DATA_2023H2'!L:L)</f>
        <v>2887</v>
      </c>
      <c r="B1832" s="4" t="s">
        <v>5494</v>
      </c>
      <c r="C1832" s="4" t="s">
        <v>5495</v>
      </c>
      <c r="D1832" s="5" t="s">
        <v>5496</v>
      </c>
      <c r="E1832" s="5">
        <v>38.1</v>
      </c>
      <c r="F1832" s="6">
        <f>LOOKUP(D1832,'AMFI DATA_2023H2'!F:J,'AMFI DATA_2023H2'!J:J)</f>
        <v>45.235500000000002</v>
      </c>
      <c r="G1832" s="7">
        <f t="shared" si="7"/>
        <v>-1</v>
      </c>
      <c r="H1832" s="9"/>
      <c r="I1832" s="9">
        <v>63.6</v>
      </c>
      <c r="J1832" s="9">
        <v>62.4</v>
      </c>
      <c r="K1832" s="9">
        <v>63.3</v>
      </c>
      <c r="L1832" s="9">
        <v>62.4</v>
      </c>
      <c r="M1832" s="9">
        <v>61.6</v>
      </c>
      <c r="N1832" s="9">
        <v>60.4</v>
      </c>
      <c r="O1832" s="9">
        <v>59.2</v>
      </c>
      <c r="P1832" s="9">
        <v>58</v>
      </c>
      <c r="Q1832" s="9">
        <v>56.9</v>
      </c>
      <c r="R1832" s="9">
        <v>55.8</v>
      </c>
      <c r="S1832" s="9">
        <v>54.7</v>
      </c>
      <c r="T1832" s="9">
        <v>53.7</v>
      </c>
      <c r="U1832" s="9">
        <v>52.7</v>
      </c>
      <c r="V1832" s="9">
        <v>51.6</v>
      </c>
      <c r="W1832" s="9">
        <v>50.6</v>
      </c>
      <c r="X1832" s="9">
        <v>51.2</v>
      </c>
      <c r="Y1832" s="9">
        <v>51.6</v>
      </c>
      <c r="Z1832" s="9">
        <v>51.6</v>
      </c>
      <c r="AA1832" s="9">
        <v>49.4</v>
      </c>
      <c r="AB1832" s="9">
        <v>50.2</v>
      </c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</row>
    <row r="1833" spans="1:47" ht="14.4">
      <c r="A1833" s="3">
        <f>LOOKUP(D1833,'AMFI DATA_2023H2'!F:L,'AMFI DATA_2023H2'!L:L)</f>
        <v>2889</v>
      </c>
      <c r="B1833" s="4" t="s">
        <v>5497</v>
      </c>
      <c r="C1833" s="4" t="s">
        <v>5498</v>
      </c>
      <c r="D1833" s="5" t="s">
        <v>5499</v>
      </c>
      <c r="E1833" s="5">
        <v>36.6</v>
      </c>
      <c r="F1833" s="6">
        <f>LOOKUP(D1833,'AMFI DATA_2023H2'!F:J,'AMFI DATA_2023H2'!J:J)</f>
        <v>45.096499999999999</v>
      </c>
      <c r="G1833" s="7">
        <f t="shared" si="7"/>
        <v>-1</v>
      </c>
      <c r="H1833" s="9"/>
      <c r="I1833" s="9">
        <v>51.4</v>
      </c>
      <c r="J1833" s="9">
        <v>50.6</v>
      </c>
      <c r="K1833" s="9">
        <v>49.6</v>
      </c>
      <c r="L1833" s="9">
        <v>51.7</v>
      </c>
      <c r="M1833" s="9">
        <v>52</v>
      </c>
      <c r="N1833" s="9">
        <v>51.7</v>
      </c>
      <c r="O1833" s="9">
        <v>52.1</v>
      </c>
      <c r="P1833" s="9">
        <v>51.1</v>
      </c>
      <c r="Q1833" s="9">
        <v>51</v>
      </c>
      <c r="R1833" s="9">
        <v>52.8</v>
      </c>
      <c r="S1833" s="9">
        <v>53</v>
      </c>
      <c r="T1833" s="9">
        <v>51.7</v>
      </c>
      <c r="U1833" s="9">
        <v>51.2</v>
      </c>
      <c r="V1833" s="9">
        <v>51</v>
      </c>
      <c r="W1833" s="9">
        <v>51.1</v>
      </c>
      <c r="X1833" s="9">
        <v>51.3</v>
      </c>
      <c r="Y1833" s="9">
        <v>52.5</v>
      </c>
      <c r="Z1833" s="9">
        <v>50.5</v>
      </c>
      <c r="AA1833" s="9">
        <v>54.9</v>
      </c>
      <c r="AB1833" s="9">
        <v>51.4</v>
      </c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</row>
    <row r="1834" spans="1:47" ht="14.4">
      <c r="A1834" s="3">
        <f>LOOKUP(D1834,'AMFI DATA_2023H2'!F:L,'AMFI DATA_2023H2'!L:L)</f>
        <v>2890</v>
      </c>
      <c r="B1834" s="4" t="s">
        <v>5500</v>
      </c>
      <c r="C1834" s="4" t="s">
        <v>5501</v>
      </c>
      <c r="D1834" s="5" t="s">
        <v>5502</v>
      </c>
      <c r="E1834" s="5">
        <v>41.28</v>
      </c>
      <c r="F1834" s="6">
        <f>LOOKUP(D1834,'AMFI DATA_2023H2'!F:J,'AMFI DATA_2023H2'!J:J)</f>
        <v>44.862499999999997</v>
      </c>
      <c r="G1834" s="7">
        <f t="shared" si="7"/>
        <v>-1</v>
      </c>
      <c r="H1834" s="9"/>
      <c r="I1834" s="9">
        <v>46.4</v>
      </c>
      <c r="J1834" s="9">
        <v>46.1</v>
      </c>
      <c r="K1834" s="9">
        <v>45.3</v>
      </c>
      <c r="L1834" s="9">
        <v>46.2</v>
      </c>
      <c r="M1834" s="9">
        <v>47.1</v>
      </c>
      <c r="N1834" s="9">
        <v>48.1</v>
      </c>
      <c r="O1834" s="9">
        <v>47.3</v>
      </c>
      <c r="P1834" s="9">
        <v>48.2</v>
      </c>
      <c r="Q1834" s="9">
        <v>49.1</v>
      </c>
      <c r="R1834" s="9">
        <v>50.1</v>
      </c>
      <c r="S1834" s="9">
        <v>51.1</v>
      </c>
      <c r="T1834" s="9">
        <v>52</v>
      </c>
      <c r="U1834" s="9">
        <v>52.2</v>
      </c>
      <c r="V1834" s="9">
        <v>50.6</v>
      </c>
      <c r="W1834" s="9">
        <v>48.2</v>
      </c>
      <c r="X1834" s="9">
        <v>46</v>
      </c>
      <c r="Y1834" s="9">
        <v>45.1</v>
      </c>
      <c r="Z1834" s="9">
        <v>45.1</v>
      </c>
      <c r="AA1834" s="9">
        <v>45.2</v>
      </c>
      <c r="AB1834" s="9">
        <v>45.4</v>
      </c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</row>
    <row r="1835" spans="1:47" ht="14.4">
      <c r="A1835" s="3">
        <f>LOOKUP(D1835,'AMFI DATA_2023H2'!F:L,'AMFI DATA_2023H2'!L:L)</f>
        <v>2893</v>
      </c>
      <c r="B1835" s="4" t="s">
        <v>5503</v>
      </c>
      <c r="C1835" s="4" t="s">
        <v>5504</v>
      </c>
      <c r="D1835" s="5" t="s">
        <v>5505</v>
      </c>
      <c r="E1835" s="5">
        <v>38.39</v>
      </c>
      <c r="F1835" s="6">
        <f>LOOKUP(D1835,'AMFI DATA_2023H2'!F:J,'AMFI DATA_2023H2'!J:J)</f>
        <v>44.8489</v>
      </c>
      <c r="G1835" s="7">
        <f t="shared" si="7"/>
        <v>-1</v>
      </c>
      <c r="H1835" s="9"/>
      <c r="I1835" s="9">
        <v>53.3</v>
      </c>
      <c r="J1835" s="9">
        <v>54.6</v>
      </c>
      <c r="K1835" s="9">
        <v>50.9</v>
      </c>
      <c r="L1835" s="9">
        <v>51.3</v>
      </c>
      <c r="M1835" s="9">
        <v>52</v>
      </c>
      <c r="N1835" s="9">
        <v>52.4</v>
      </c>
      <c r="O1835" s="9">
        <v>52.9</v>
      </c>
      <c r="P1835" s="9">
        <v>52.6</v>
      </c>
      <c r="Q1835" s="9">
        <v>53.9</v>
      </c>
      <c r="R1835" s="9">
        <v>53.9</v>
      </c>
      <c r="S1835" s="9">
        <v>53</v>
      </c>
      <c r="T1835" s="9">
        <v>53.7</v>
      </c>
      <c r="U1835" s="9">
        <v>54</v>
      </c>
      <c r="V1835" s="9">
        <v>52.7</v>
      </c>
      <c r="W1835" s="9">
        <v>53.2</v>
      </c>
      <c r="X1835" s="9">
        <v>53.1</v>
      </c>
      <c r="Y1835" s="9">
        <v>53.3</v>
      </c>
      <c r="Z1835" s="9">
        <v>55.5</v>
      </c>
      <c r="AA1835" s="9">
        <v>51.6</v>
      </c>
      <c r="AB1835" s="9">
        <v>51</v>
      </c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</row>
    <row r="1836" spans="1:47" ht="14.4">
      <c r="A1836" s="3">
        <f>LOOKUP(D1836,'AMFI DATA_2023H2'!F:L,'AMFI DATA_2023H2'!L:L)</f>
        <v>2907</v>
      </c>
      <c r="B1836" s="4" t="s">
        <v>5506</v>
      </c>
      <c r="C1836" s="4" t="s">
        <v>5507</v>
      </c>
      <c r="D1836" s="5" t="s">
        <v>5508</v>
      </c>
      <c r="E1836" s="5">
        <v>37.24</v>
      </c>
      <c r="F1836" s="6">
        <f>LOOKUP(D1836,'AMFI DATA_2023H2'!F:J,'AMFI DATA_2023H2'!J:J)</f>
        <v>43.730899999999998</v>
      </c>
      <c r="G1836" s="7">
        <f t="shared" si="7"/>
        <v>-1</v>
      </c>
      <c r="H1836" s="9"/>
      <c r="I1836" s="9">
        <v>63.8</v>
      </c>
      <c r="J1836" s="9">
        <v>61.2</v>
      </c>
      <c r="K1836" s="9">
        <v>59.5</v>
      </c>
      <c r="L1836" s="9">
        <v>62.7</v>
      </c>
      <c r="M1836" s="9">
        <v>64.099999999999994</v>
      </c>
      <c r="N1836" s="9">
        <v>67.5</v>
      </c>
      <c r="O1836" s="9">
        <v>71.099999999999994</v>
      </c>
      <c r="P1836" s="9">
        <v>74.3</v>
      </c>
      <c r="Q1836" s="9">
        <v>78.2</v>
      </c>
      <c r="R1836" s="9">
        <v>73.599999999999994</v>
      </c>
      <c r="S1836" s="9">
        <v>64.099999999999994</v>
      </c>
      <c r="T1836" s="9">
        <v>53.5</v>
      </c>
      <c r="U1836" s="9">
        <v>54.2</v>
      </c>
      <c r="V1836" s="9">
        <v>54.3</v>
      </c>
      <c r="W1836" s="9">
        <v>53.7</v>
      </c>
      <c r="X1836" s="9">
        <v>55.5</v>
      </c>
      <c r="Y1836" s="9">
        <v>54.8</v>
      </c>
      <c r="Z1836" s="9">
        <v>55.6</v>
      </c>
      <c r="AA1836" s="9">
        <v>53</v>
      </c>
      <c r="AB1836" s="9">
        <v>47.6</v>
      </c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</row>
    <row r="1837" spans="1:47" ht="14.4">
      <c r="A1837" s="3">
        <f>LOOKUP(D1837,'AMFI DATA_2023H2'!F:L,'AMFI DATA_2023H2'!L:L)</f>
        <v>2908</v>
      </c>
      <c r="B1837" s="4" t="s">
        <v>5509</v>
      </c>
      <c r="C1837" s="4" t="s">
        <v>5510</v>
      </c>
      <c r="D1837" s="5" t="s">
        <v>5511</v>
      </c>
      <c r="E1837" s="5">
        <v>35.79</v>
      </c>
      <c r="F1837" s="6">
        <f>LOOKUP(D1837,'AMFI DATA_2023H2'!F:J,'AMFI DATA_2023H2'!J:J)</f>
        <v>43.722099999999998</v>
      </c>
      <c r="G1837" s="7">
        <f t="shared" si="7"/>
        <v>-1</v>
      </c>
      <c r="H1837" s="9"/>
      <c r="I1837" s="9">
        <v>53.6</v>
      </c>
      <c r="J1837" s="9">
        <v>51.4</v>
      </c>
      <c r="K1837" s="9">
        <v>52.6</v>
      </c>
      <c r="L1837" s="9">
        <v>53.4</v>
      </c>
      <c r="M1837" s="9">
        <v>54.6</v>
      </c>
      <c r="N1837" s="9">
        <v>54.7</v>
      </c>
      <c r="O1837" s="9">
        <v>54.3</v>
      </c>
      <c r="P1837" s="9">
        <v>54.2</v>
      </c>
      <c r="Q1837" s="9">
        <v>54.3</v>
      </c>
      <c r="R1837" s="9">
        <v>54.1</v>
      </c>
      <c r="S1837" s="9">
        <v>54.4</v>
      </c>
      <c r="T1837" s="9">
        <v>54.6</v>
      </c>
      <c r="U1837" s="9">
        <v>53.7</v>
      </c>
      <c r="V1837" s="9">
        <v>55.2</v>
      </c>
      <c r="W1837" s="9">
        <v>53.2</v>
      </c>
      <c r="X1837" s="9">
        <v>54.7</v>
      </c>
      <c r="Y1837" s="9">
        <v>54.9</v>
      </c>
      <c r="Z1837" s="9">
        <v>55.8</v>
      </c>
      <c r="AA1837" s="9">
        <v>58</v>
      </c>
      <c r="AB1837" s="9">
        <v>60.9</v>
      </c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</row>
    <row r="1838" spans="1:47" ht="14.4">
      <c r="A1838" s="3">
        <f>LOOKUP(D1838,'AMFI DATA_2023H2'!F:L,'AMFI DATA_2023H2'!L:L)</f>
        <v>2918</v>
      </c>
      <c r="B1838" s="4" t="s">
        <v>5512</v>
      </c>
      <c r="C1838" s="4" t="s">
        <v>5513</v>
      </c>
      <c r="D1838" s="5" t="s">
        <v>5514</v>
      </c>
      <c r="E1838" s="5">
        <v>40.590000000000003</v>
      </c>
      <c r="F1838" s="6">
        <f>LOOKUP(D1838,'AMFI DATA_2023H2'!F:J,'AMFI DATA_2023H2'!J:J)</f>
        <v>43.090249999999997</v>
      </c>
      <c r="G1838" s="7">
        <f t="shared" si="7"/>
        <v>-1</v>
      </c>
      <c r="H1838" s="9"/>
      <c r="I1838" s="9">
        <v>64.5</v>
      </c>
      <c r="J1838" s="9">
        <v>61.8</v>
      </c>
      <c r="K1838" s="9">
        <v>62.3</v>
      </c>
      <c r="L1838" s="9">
        <v>65.2</v>
      </c>
      <c r="M1838" s="9">
        <v>65.599999999999994</v>
      </c>
      <c r="N1838" s="9">
        <v>60.9</v>
      </c>
      <c r="O1838" s="9">
        <v>61.4</v>
      </c>
      <c r="P1838" s="9">
        <v>56.4</v>
      </c>
      <c r="Q1838" s="9">
        <v>54.8</v>
      </c>
      <c r="R1838" s="9">
        <v>51.1</v>
      </c>
      <c r="S1838" s="9">
        <v>50.2</v>
      </c>
      <c r="T1838" s="9">
        <v>50</v>
      </c>
      <c r="U1838" s="9">
        <v>50.4</v>
      </c>
      <c r="V1838" s="9">
        <v>48.7</v>
      </c>
      <c r="W1838" s="9">
        <v>48.8</v>
      </c>
      <c r="X1838" s="9">
        <v>48.6</v>
      </c>
      <c r="Y1838" s="9">
        <v>48.2</v>
      </c>
      <c r="Z1838" s="9">
        <v>48.5</v>
      </c>
      <c r="AA1838" s="9">
        <v>48.1</v>
      </c>
      <c r="AB1838" s="9">
        <v>47.4</v>
      </c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</row>
    <row r="1839" spans="1:47" ht="14.4">
      <c r="A1839" s="3">
        <f>LOOKUP(D1839,'AMFI DATA_2023H2'!F:L,'AMFI DATA_2023H2'!L:L)</f>
        <v>2920</v>
      </c>
      <c r="B1839" s="4" t="s">
        <v>5515</v>
      </c>
      <c r="C1839" s="4" t="s">
        <v>5516</v>
      </c>
      <c r="D1839" s="5" t="s">
        <v>5517</v>
      </c>
      <c r="E1839" s="5">
        <v>34.9</v>
      </c>
      <c r="F1839" s="6">
        <f>LOOKUP(D1839,'AMFI DATA_2023H2'!F:J,'AMFI DATA_2023H2'!J:J)</f>
        <v>42.901600000000002</v>
      </c>
      <c r="G1839" s="7">
        <f t="shared" si="7"/>
        <v>-1</v>
      </c>
      <c r="H1839" s="9"/>
      <c r="I1839" s="9">
        <v>56.4</v>
      </c>
      <c r="J1839" s="9">
        <v>58.2</v>
      </c>
      <c r="K1839" s="9">
        <v>57.8</v>
      </c>
      <c r="L1839" s="9">
        <v>58.9</v>
      </c>
      <c r="M1839" s="9">
        <v>56.4</v>
      </c>
      <c r="N1839" s="9">
        <v>54.9</v>
      </c>
      <c r="O1839" s="9">
        <v>55</v>
      </c>
      <c r="P1839" s="9">
        <v>54.9</v>
      </c>
      <c r="Q1839" s="9">
        <v>53.5</v>
      </c>
      <c r="R1839" s="9">
        <v>54.4</v>
      </c>
      <c r="S1839" s="9">
        <v>55</v>
      </c>
      <c r="T1839" s="9">
        <v>53.2</v>
      </c>
      <c r="U1839" s="9">
        <v>53.5</v>
      </c>
      <c r="V1839" s="9">
        <v>52.1</v>
      </c>
      <c r="W1839" s="9">
        <v>52.2</v>
      </c>
      <c r="X1839" s="9">
        <v>52.3</v>
      </c>
      <c r="Y1839" s="9">
        <v>50</v>
      </c>
      <c r="Z1839" s="9">
        <v>50.6</v>
      </c>
      <c r="AA1839" s="9">
        <v>50.5</v>
      </c>
      <c r="AB1839" s="9">
        <v>50.2</v>
      </c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</row>
    <row r="1840" spans="1:47" ht="14.4">
      <c r="A1840" s="3">
        <f>LOOKUP(D1840,'AMFI DATA_2023H2'!F:L,'AMFI DATA_2023H2'!L:L)</f>
        <v>2925</v>
      </c>
      <c r="B1840" s="4" t="s">
        <v>5518</v>
      </c>
      <c r="C1840" s="4" t="s">
        <v>5519</v>
      </c>
      <c r="D1840" s="5" t="s">
        <v>5520</v>
      </c>
      <c r="E1840" s="5">
        <v>4.32</v>
      </c>
      <c r="F1840" s="6">
        <f>LOOKUP(D1840,'AMFI DATA_2023H2'!F:J,'AMFI DATA_2023H2'!J:J)</f>
        <v>42.671999999999997</v>
      </c>
      <c r="G1840" s="7">
        <f t="shared" si="7"/>
        <v>-1</v>
      </c>
      <c r="H1840" s="9"/>
      <c r="I1840" s="9">
        <v>57.2</v>
      </c>
      <c r="J1840" s="9">
        <v>58.3</v>
      </c>
      <c r="K1840" s="9">
        <v>59.5</v>
      </c>
      <c r="L1840" s="9">
        <v>60.7</v>
      </c>
      <c r="M1840" s="9">
        <v>61.9</v>
      </c>
      <c r="N1840" s="9">
        <v>60.8</v>
      </c>
      <c r="O1840" s="9">
        <v>61</v>
      </c>
      <c r="P1840" s="9">
        <v>59.8</v>
      </c>
      <c r="Q1840" s="9">
        <v>58.6</v>
      </c>
      <c r="R1840" s="9">
        <v>55.8</v>
      </c>
      <c r="S1840" s="9">
        <v>53.2</v>
      </c>
      <c r="T1840" s="9">
        <v>51.6</v>
      </c>
      <c r="U1840" s="9">
        <v>50.5</v>
      </c>
      <c r="V1840" s="9">
        <v>49</v>
      </c>
      <c r="W1840" s="9">
        <v>48.9</v>
      </c>
      <c r="X1840" s="9">
        <v>49.2</v>
      </c>
      <c r="Y1840" s="9">
        <v>51.7</v>
      </c>
      <c r="Z1840" s="9">
        <v>49.3</v>
      </c>
      <c r="AA1840" s="9">
        <v>46.7</v>
      </c>
      <c r="AB1840" s="9">
        <v>44.6</v>
      </c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</row>
    <row r="1841" spans="1:47" ht="14.4">
      <c r="A1841" s="3">
        <f>LOOKUP(D1841,'AMFI DATA_2023H2'!F:L,'AMFI DATA_2023H2'!L:L)</f>
        <v>2929</v>
      </c>
      <c r="B1841" s="4" t="s">
        <v>5521</v>
      </c>
      <c r="C1841" s="4" t="s">
        <v>5522</v>
      </c>
      <c r="D1841" s="5" t="s">
        <v>5523</v>
      </c>
      <c r="E1841" s="5">
        <v>39.93</v>
      </c>
      <c r="F1841" s="6">
        <f>LOOKUP(D1841,'AMFI DATA_2023H2'!F:J,'AMFI DATA_2023H2'!J:J)</f>
        <v>42.528199999999998</v>
      </c>
      <c r="G1841" s="7">
        <f t="shared" si="7"/>
        <v>-1</v>
      </c>
      <c r="H1841" s="9"/>
      <c r="I1841" s="9">
        <v>63.7</v>
      </c>
      <c r="J1841" s="9">
        <v>65.900000000000006</v>
      </c>
      <c r="K1841" s="9">
        <v>64.8</v>
      </c>
      <c r="L1841" s="9">
        <v>61.8</v>
      </c>
      <c r="M1841" s="9">
        <v>59.5</v>
      </c>
      <c r="N1841" s="9">
        <v>59.4</v>
      </c>
      <c r="O1841" s="9">
        <v>56.7</v>
      </c>
      <c r="P1841" s="9">
        <v>54</v>
      </c>
      <c r="Q1841" s="9">
        <v>52.6</v>
      </c>
      <c r="R1841" s="9">
        <v>51.8</v>
      </c>
      <c r="S1841" s="9">
        <v>52.5</v>
      </c>
      <c r="T1841" s="9">
        <v>52.4</v>
      </c>
      <c r="U1841" s="9">
        <v>49.8</v>
      </c>
      <c r="V1841" s="9">
        <v>49.9</v>
      </c>
      <c r="W1841" s="9">
        <v>49.8</v>
      </c>
      <c r="X1841" s="9">
        <v>47</v>
      </c>
      <c r="Y1841" s="9">
        <v>43.6</v>
      </c>
      <c r="Z1841" s="9">
        <v>43.9</v>
      </c>
      <c r="AA1841" s="9">
        <v>44.7</v>
      </c>
      <c r="AB1841" s="9">
        <v>44.6</v>
      </c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</row>
    <row r="1842" spans="1:47" ht="14.4">
      <c r="A1842" s="3">
        <f>LOOKUP(D1842,'AMFI DATA_2023H2'!F:L,'AMFI DATA_2023H2'!L:L)</f>
        <v>2943</v>
      </c>
      <c r="B1842" s="4" t="s">
        <v>5524</v>
      </c>
      <c r="C1842" s="4" t="s">
        <v>5525</v>
      </c>
      <c r="D1842" s="5" t="s">
        <v>5526</v>
      </c>
      <c r="E1842" s="5">
        <v>40.229999999999997</v>
      </c>
      <c r="F1842" s="6">
        <f>LOOKUP(D1842,'AMFI DATA_2023H2'!F:J,'AMFI DATA_2023H2'!J:J)</f>
        <v>41.524500000000003</v>
      </c>
      <c r="G1842" s="7">
        <f t="shared" si="7"/>
        <v>-1</v>
      </c>
      <c r="H1842" s="9"/>
      <c r="I1842" s="9">
        <v>54.1</v>
      </c>
      <c r="J1842" s="9">
        <v>55.8</v>
      </c>
      <c r="K1842" s="9">
        <v>55</v>
      </c>
      <c r="L1842" s="9">
        <v>55.6</v>
      </c>
      <c r="M1842" s="9">
        <v>57</v>
      </c>
      <c r="N1842" s="9">
        <v>55.7</v>
      </c>
      <c r="O1842" s="9">
        <v>57</v>
      </c>
      <c r="P1842" s="9">
        <v>58.6</v>
      </c>
      <c r="Q1842" s="9">
        <v>56.6</v>
      </c>
      <c r="R1842" s="9">
        <v>56</v>
      </c>
      <c r="S1842" s="9">
        <v>58.8</v>
      </c>
      <c r="T1842" s="9">
        <v>60.7</v>
      </c>
      <c r="U1842" s="9">
        <v>62.8</v>
      </c>
      <c r="V1842" s="9">
        <v>52.6</v>
      </c>
      <c r="W1842" s="9">
        <v>49.8</v>
      </c>
      <c r="X1842" s="9">
        <v>46.1</v>
      </c>
      <c r="Y1842" s="9">
        <v>46.5</v>
      </c>
      <c r="Z1842" s="9">
        <v>44.4</v>
      </c>
      <c r="AA1842" s="9">
        <v>43.6</v>
      </c>
      <c r="AB1842" s="9">
        <v>43.8</v>
      </c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</row>
    <row r="1843" spans="1:47" ht="14.4">
      <c r="A1843" s="3">
        <f>LOOKUP(D1843,'AMFI DATA_2023H2'!F:L,'AMFI DATA_2023H2'!L:L)</f>
        <v>2946</v>
      </c>
      <c r="B1843" s="4" t="s">
        <v>5527</v>
      </c>
      <c r="C1843" s="4" t="s">
        <v>5528</v>
      </c>
      <c r="D1843" s="5" t="s">
        <v>5529</v>
      </c>
      <c r="E1843" s="5">
        <v>50.19</v>
      </c>
      <c r="F1843" s="6">
        <f>LOOKUP(D1843,'AMFI DATA_2023H2'!F:J,'AMFI DATA_2023H2'!J:J)</f>
        <v>41.395200000000003</v>
      </c>
      <c r="G1843" s="7">
        <f t="shared" si="7"/>
        <v>-1</v>
      </c>
      <c r="H1843" s="9"/>
      <c r="I1843" s="9">
        <v>50.8</v>
      </c>
      <c r="J1843" s="9">
        <v>50.5</v>
      </c>
      <c r="K1843" s="9">
        <v>51.7</v>
      </c>
      <c r="L1843" s="9">
        <v>51.8</v>
      </c>
      <c r="M1843" s="9">
        <v>52.5</v>
      </c>
      <c r="N1843" s="9">
        <v>52.7</v>
      </c>
      <c r="O1843" s="9">
        <v>54.8</v>
      </c>
      <c r="P1843" s="9">
        <v>54</v>
      </c>
      <c r="Q1843" s="9">
        <v>51.7</v>
      </c>
      <c r="R1843" s="9">
        <v>53.6</v>
      </c>
      <c r="S1843" s="9">
        <v>52.7</v>
      </c>
      <c r="T1843" s="9">
        <v>50.2</v>
      </c>
      <c r="U1843" s="9">
        <v>48.9</v>
      </c>
      <c r="V1843" s="9">
        <v>46.7</v>
      </c>
      <c r="W1843" s="9">
        <v>49.1</v>
      </c>
      <c r="X1843" s="9">
        <v>51.6</v>
      </c>
      <c r="Y1843" s="9">
        <v>53.2</v>
      </c>
      <c r="Z1843" s="9">
        <v>54.5</v>
      </c>
      <c r="AA1843" s="9">
        <v>51.9</v>
      </c>
      <c r="AB1843" s="9">
        <v>49.4</v>
      </c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</row>
    <row r="1844" spans="1:47" ht="14.4">
      <c r="A1844" s="3">
        <f>LOOKUP(D1844,'AMFI DATA_2023H2'!F:L,'AMFI DATA_2023H2'!L:L)</f>
        <v>2947</v>
      </c>
      <c r="B1844" s="4" t="s">
        <v>5530</v>
      </c>
      <c r="C1844" s="4" t="s">
        <v>5531</v>
      </c>
      <c r="D1844" s="5" t="s">
        <v>5532</v>
      </c>
      <c r="E1844" s="5">
        <v>45.92</v>
      </c>
      <c r="F1844" s="6">
        <f>LOOKUP(D1844,'AMFI DATA_2023H2'!F:J,'AMFI DATA_2023H2'!J:J)</f>
        <v>41.344499999999996</v>
      </c>
      <c r="G1844" s="7">
        <f t="shared" si="7"/>
        <v>-1</v>
      </c>
      <c r="H1844" s="9"/>
      <c r="I1844" s="9">
        <v>59.2</v>
      </c>
      <c r="J1844" s="9">
        <v>58.7</v>
      </c>
      <c r="K1844" s="9">
        <v>59.6</v>
      </c>
      <c r="L1844" s="9">
        <v>60</v>
      </c>
      <c r="M1844" s="9">
        <v>60</v>
      </c>
      <c r="N1844" s="9">
        <v>61.3</v>
      </c>
      <c r="O1844" s="9">
        <v>61.3</v>
      </c>
      <c r="P1844" s="9">
        <v>60.4</v>
      </c>
      <c r="Q1844" s="9">
        <v>60</v>
      </c>
      <c r="R1844" s="9">
        <v>61.8</v>
      </c>
      <c r="S1844" s="9">
        <v>60.9</v>
      </c>
      <c r="T1844" s="9">
        <v>59.1</v>
      </c>
      <c r="U1844" s="9">
        <v>57.8</v>
      </c>
      <c r="V1844" s="9">
        <v>59.2</v>
      </c>
      <c r="W1844" s="9">
        <v>57.8</v>
      </c>
      <c r="X1844" s="9">
        <v>56.1</v>
      </c>
      <c r="Y1844" s="9">
        <v>56.5</v>
      </c>
      <c r="Z1844" s="9">
        <v>59.1</v>
      </c>
      <c r="AA1844" s="9">
        <v>56.5</v>
      </c>
      <c r="AB1844" s="9">
        <v>53.9</v>
      </c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</row>
    <row r="1845" spans="1:47" ht="14.4">
      <c r="A1845" s="3">
        <f>LOOKUP(D1845,'AMFI DATA_2023H2'!F:L,'AMFI DATA_2023H2'!L:L)</f>
        <v>2960</v>
      </c>
      <c r="B1845" s="4" t="s">
        <v>5533</v>
      </c>
      <c r="C1845" s="4" t="s">
        <v>5534</v>
      </c>
      <c r="D1845" s="5" t="s">
        <v>5535</v>
      </c>
      <c r="E1845" s="5">
        <v>40.85</v>
      </c>
      <c r="F1845" s="6">
        <f>LOOKUP(D1845,'AMFI DATA_2023H2'!F:J,'AMFI DATA_2023H2'!J:J)</f>
        <v>40.495350000000002</v>
      </c>
      <c r="G1845" s="7">
        <f t="shared" si="7"/>
        <v>-1</v>
      </c>
      <c r="H1845" s="9"/>
      <c r="I1845" s="9">
        <v>48</v>
      </c>
      <c r="J1845" s="9">
        <v>47.1</v>
      </c>
      <c r="K1845" s="9">
        <v>47.8</v>
      </c>
      <c r="L1845" s="9">
        <v>47.8</v>
      </c>
      <c r="M1845" s="9">
        <v>49</v>
      </c>
      <c r="N1845" s="9">
        <v>50.9</v>
      </c>
      <c r="O1845" s="9">
        <v>51.7</v>
      </c>
      <c r="P1845" s="9">
        <v>53.1</v>
      </c>
      <c r="Q1845" s="9">
        <v>52.3</v>
      </c>
      <c r="R1845" s="9">
        <v>54.2</v>
      </c>
      <c r="S1845" s="9">
        <v>49.9</v>
      </c>
      <c r="T1845" s="9">
        <v>45.2</v>
      </c>
      <c r="U1845" s="9">
        <v>43.9</v>
      </c>
      <c r="V1845" s="9">
        <v>43.4</v>
      </c>
      <c r="W1845" s="9">
        <v>44.9</v>
      </c>
      <c r="X1845" s="9">
        <v>43.2</v>
      </c>
      <c r="Y1845" s="9">
        <v>43.4</v>
      </c>
      <c r="Z1845" s="9">
        <v>43.9</v>
      </c>
      <c r="AA1845" s="9">
        <v>42.5</v>
      </c>
      <c r="AB1845" s="9">
        <v>41.3</v>
      </c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</row>
    <row r="1846" spans="1:47" ht="14.4">
      <c r="A1846" s="3">
        <f>LOOKUP(D1846,'AMFI DATA_2023H2'!F:L,'AMFI DATA_2023H2'!L:L)</f>
        <v>2961</v>
      </c>
      <c r="B1846" s="4" t="s">
        <v>5536</v>
      </c>
      <c r="C1846" s="4" t="s">
        <v>5537</v>
      </c>
      <c r="D1846" s="5" t="s">
        <v>5538</v>
      </c>
      <c r="E1846" s="5">
        <v>35.950000000000003</v>
      </c>
      <c r="F1846" s="6">
        <f>LOOKUP(D1846,'AMFI DATA_2023H2'!F:J,'AMFI DATA_2023H2'!J:J)</f>
        <v>40.488749999999996</v>
      </c>
      <c r="G1846" s="7">
        <f t="shared" si="7"/>
        <v>-1</v>
      </c>
      <c r="H1846" s="9"/>
      <c r="I1846" s="9">
        <v>50.5</v>
      </c>
      <c r="J1846" s="9">
        <v>50.5</v>
      </c>
      <c r="K1846" s="9">
        <v>51.5</v>
      </c>
      <c r="L1846" s="9">
        <v>51.5</v>
      </c>
      <c r="M1846" s="9">
        <v>52.5</v>
      </c>
      <c r="N1846" s="9">
        <v>54.5</v>
      </c>
      <c r="O1846" s="9">
        <v>53.8</v>
      </c>
      <c r="P1846" s="9">
        <v>51.4</v>
      </c>
      <c r="Q1846" s="9">
        <v>48.5</v>
      </c>
      <c r="R1846" s="9">
        <v>49</v>
      </c>
      <c r="S1846" s="9">
        <v>46.8</v>
      </c>
      <c r="T1846" s="9">
        <v>46.2</v>
      </c>
      <c r="U1846" s="9">
        <v>45.8</v>
      </c>
      <c r="V1846" s="9">
        <v>45.4</v>
      </c>
      <c r="W1846" s="9">
        <v>43.4</v>
      </c>
      <c r="X1846" s="9">
        <v>42.3</v>
      </c>
      <c r="Y1846" s="9">
        <v>43.8</v>
      </c>
      <c r="Z1846" s="9">
        <v>42.3</v>
      </c>
      <c r="AA1846" s="9">
        <v>43.8</v>
      </c>
      <c r="AB1846" s="9">
        <v>43.8</v>
      </c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</row>
    <row r="1847" spans="1:47" ht="14.4">
      <c r="A1847" s="3">
        <f>LOOKUP(D1847,'AMFI DATA_2023H2'!F:L,'AMFI DATA_2023H2'!L:L)</f>
        <v>2969</v>
      </c>
      <c r="B1847" s="4" t="s">
        <v>5539</v>
      </c>
      <c r="C1847" s="4" t="s">
        <v>5540</v>
      </c>
      <c r="D1847" s="5" t="s">
        <v>5541</v>
      </c>
      <c r="E1847" s="5">
        <v>33.200000000000003</v>
      </c>
      <c r="F1847" s="6">
        <f>LOOKUP(D1847,'AMFI DATA_2023H2'!F:J,'AMFI DATA_2023H2'!J:J)</f>
        <v>39.950450000000004</v>
      </c>
      <c r="G1847" s="7">
        <f t="shared" si="7"/>
        <v>-1</v>
      </c>
      <c r="H1847" s="9"/>
      <c r="I1847" s="9">
        <v>56.3</v>
      </c>
      <c r="J1847" s="9">
        <v>55.3</v>
      </c>
      <c r="K1847" s="9">
        <v>56.4</v>
      </c>
      <c r="L1847" s="9">
        <v>57.6</v>
      </c>
      <c r="M1847" s="9">
        <v>58.8</v>
      </c>
      <c r="N1847" s="9">
        <v>60</v>
      </c>
      <c r="O1847" s="9">
        <v>61.2</v>
      </c>
      <c r="P1847" s="9">
        <v>62.4</v>
      </c>
      <c r="Q1847" s="9">
        <v>63.7</v>
      </c>
      <c r="R1847" s="9">
        <v>65</v>
      </c>
      <c r="S1847" s="9">
        <v>66.3</v>
      </c>
      <c r="T1847" s="9">
        <v>67.599999999999994</v>
      </c>
      <c r="U1847" s="9">
        <v>69</v>
      </c>
      <c r="V1847" s="9">
        <v>70.400000000000006</v>
      </c>
      <c r="W1847" s="9">
        <v>71.8</v>
      </c>
      <c r="X1847" s="9">
        <v>73.3</v>
      </c>
      <c r="Y1847" s="9">
        <v>74.8</v>
      </c>
      <c r="Z1847" s="9">
        <v>76.3</v>
      </c>
      <c r="AA1847" s="9">
        <v>75.099999999999994</v>
      </c>
      <c r="AB1847" s="9">
        <v>78</v>
      </c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</row>
    <row r="1848" spans="1:47" ht="14.4">
      <c r="A1848" s="3">
        <f>LOOKUP(D1848,'AMFI DATA_2023H2'!F:L,'AMFI DATA_2023H2'!L:L)</f>
        <v>2981</v>
      </c>
      <c r="B1848" s="4" t="s">
        <v>5542</v>
      </c>
      <c r="C1848" s="4" t="s">
        <v>5543</v>
      </c>
      <c r="D1848" s="5" t="s">
        <v>5544</v>
      </c>
      <c r="E1848" s="5">
        <v>47.41</v>
      </c>
      <c r="F1848" s="6">
        <f>LOOKUP(D1848,'AMFI DATA_2023H2'!F:J,'AMFI DATA_2023H2'!J:J)</f>
        <v>39.201899999999995</v>
      </c>
      <c r="G1848" s="7">
        <f t="shared" si="7"/>
        <v>-1</v>
      </c>
      <c r="H1848" s="9"/>
      <c r="I1848" s="9">
        <v>44.6</v>
      </c>
      <c r="J1848" s="9">
        <v>44.7</v>
      </c>
      <c r="K1848" s="9">
        <v>46.8</v>
      </c>
      <c r="L1848" s="9">
        <v>45.7</v>
      </c>
      <c r="M1848" s="9">
        <v>45.6</v>
      </c>
      <c r="N1848" s="9">
        <v>46.4</v>
      </c>
      <c r="O1848" s="9">
        <v>46.4</v>
      </c>
      <c r="P1848" s="9">
        <v>47.7</v>
      </c>
      <c r="Q1848" s="9">
        <v>44.5</v>
      </c>
      <c r="R1848" s="9">
        <v>45.1</v>
      </c>
      <c r="S1848" s="9">
        <v>42.4</v>
      </c>
      <c r="T1848" s="9">
        <v>42.8</v>
      </c>
      <c r="U1848" s="9">
        <v>39</v>
      </c>
      <c r="V1848" s="9">
        <v>39.700000000000003</v>
      </c>
      <c r="W1848" s="9">
        <v>39.1</v>
      </c>
      <c r="X1848" s="9">
        <v>39.1</v>
      </c>
      <c r="Y1848" s="9">
        <v>38.6</v>
      </c>
      <c r="Z1848" s="9">
        <v>40.6</v>
      </c>
      <c r="AA1848" s="9">
        <v>42</v>
      </c>
      <c r="AB1848" s="9">
        <v>38.700000000000003</v>
      </c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</row>
    <row r="1849" spans="1:47" ht="14.4">
      <c r="A1849" s="3">
        <f>LOOKUP(D1849,'AMFI DATA_2023H2'!F:L,'AMFI DATA_2023H2'!L:L)</f>
        <v>2985</v>
      </c>
      <c r="B1849" s="4" t="s">
        <v>5545</v>
      </c>
      <c r="C1849" s="4" t="s">
        <v>5546</v>
      </c>
      <c r="D1849" s="5" t="s">
        <v>5547</v>
      </c>
      <c r="E1849" s="5">
        <v>34.159999999999997</v>
      </c>
      <c r="F1849" s="6">
        <f>LOOKUP(D1849,'AMFI DATA_2023H2'!F:J,'AMFI DATA_2023H2'!J:J)</f>
        <v>39.020800000000001</v>
      </c>
      <c r="G1849" s="7">
        <f t="shared" si="7"/>
        <v>-1</v>
      </c>
      <c r="H1849" s="9"/>
      <c r="I1849" s="9">
        <v>54.4</v>
      </c>
      <c r="J1849" s="9">
        <v>54.1</v>
      </c>
      <c r="K1849" s="9">
        <v>54</v>
      </c>
      <c r="L1849" s="9">
        <v>54</v>
      </c>
      <c r="M1849" s="9">
        <v>55.2</v>
      </c>
      <c r="N1849" s="9">
        <v>56.7</v>
      </c>
      <c r="O1849" s="9">
        <v>58.5</v>
      </c>
      <c r="P1849" s="9">
        <v>59.2</v>
      </c>
      <c r="Q1849" s="9">
        <v>56.5</v>
      </c>
      <c r="R1849" s="9">
        <v>59.4</v>
      </c>
      <c r="S1849" s="9">
        <v>62.5</v>
      </c>
      <c r="T1849" s="9">
        <v>65.8</v>
      </c>
      <c r="U1849" s="9">
        <v>63.8</v>
      </c>
      <c r="V1849" s="9">
        <v>70.2</v>
      </c>
      <c r="W1849" s="9">
        <v>58.5</v>
      </c>
      <c r="X1849" s="9">
        <v>48.8</v>
      </c>
      <c r="Y1849" s="9">
        <v>42.6</v>
      </c>
      <c r="Z1849" s="9">
        <v>42.9</v>
      </c>
      <c r="AA1849" s="9">
        <v>44.4</v>
      </c>
      <c r="AB1849" s="9">
        <v>42</v>
      </c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</row>
    <row r="1850" spans="1:47" ht="14.4">
      <c r="A1850" s="3">
        <f>LOOKUP(D1850,'AMFI DATA_2023H2'!F:L,'AMFI DATA_2023H2'!L:L)</f>
        <v>3002</v>
      </c>
      <c r="B1850" s="4" t="s">
        <v>5548</v>
      </c>
      <c r="C1850" s="4" t="s">
        <v>5549</v>
      </c>
      <c r="D1850" s="5" t="s">
        <v>5550</v>
      </c>
      <c r="E1850" s="5">
        <v>36.74</v>
      </c>
      <c r="F1850" s="6">
        <f>LOOKUP(D1850,'AMFI DATA_2023H2'!F:J,'AMFI DATA_2023H2'!J:J)</f>
        <v>38.158200000000001</v>
      </c>
      <c r="G1850" s="7">
        <f t="shared" si="7"/>
        <v>-1</v>
      </c>
      <c r="H1850" s="9"/>
      <c r="I1850" s="9">
        <v>50.1</v>
      </c>
      <c r="J1850" s="9">
        <v>49.5</v>
      </c>
      <c r="K1850" s="9">
        <v>47.7</v>
      </c>
      <c r="L1850" s="9">
        <v>48.6</v>
      </c>
      <c r="M1850" s="9">
        <v>50.3</v>
      </c>
      <c r="N1850" s="9">
        <v>51.7</v>
      </c>
      <c r="O1850" s="9">
        <v>52.9</v>
      </c>
      <c r="P1850" s="9">
        <v>52.8</v>
      </c>
      <c r="Q1850" s="9">
        <v>51.5</v>
      </c>
      <c r="R1850" s="9">
        <v>52</v>
      </c>
      <c r="S1850" s="9">
        <v>50.5</v>
      </c>
      <c r="T1850" s="9">
        <v>49.5</v>
      </c>
      <c r="U1850" s="9">
        <v>49.9</v>
      </c>
      <c r="V1850" s="9">
        <v>50.6</v>
      </c>
      <c r="W1850" s="9">
        <v>50.1</v>
      </c>
      <c r="X1850" s="9">
        <v>47.4</v>
      </c>
      <c r="Y1850" s="9">
        <v>47</v>
      </c>
      <c r="Z1850" s="9">
        <v>47.8</v>
      </c>
      <c r="AA1850" s="9">
        <v>48.7</v>
      </c>
      <c r="AB1850" s="9">
        <v>46.9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</row>
    <row r="1851" spans="1:47" ht="14.4">
      <c r="A1851" s="3">
        <f>LOOKUP(D1851,'AMFI DATA_2023H2'!F:L,'AMFI DATA_2023H2'!L:L)</f>
        <v>3015</v>
      </c>
      <c r="B1851" s="4" t="s">
        <v>5551</v>
      </c>
      <c r="C1851" s="4" t="s">
        <v>5552</v>
      </c>
      <c r="D1851" s="5" t="s">
        <v>5553</v>
      </c>
      <c r="E1851" s="5">
        <v>35.65</v>
      </c>
      <c r="F1851" s="6">
        <f>LOOKUP(D1851,'AMFI DATA_2023H2'!F:J,'AMFI DATA_2023H2'!J:J)</f>
        <v>37.4559</v>
      </c>
      <c r="G1851" s="7">
        <f t="shared" si="7"/>
        <v>-1</v>
      </c>
      <c r="H1851" s="9"/>
      <c r="I1851" s="9">
        <v>52.5</v>
      </c>
      <c r="J1851" s="9">
        <v>53.4</v>
      </c>
      <c r="K1851" s="9">
        <v>55.1</v>
      </c>
      <c r="L1851" s="9">
        <v>54.8</v>
      </c>
      <c r="M1851" s="9">
        <v>54.4</v>
      </c>
      <c r="N1851" s="9">
        <v>46.5</v>
      </c>
      <c r="O1851" s="9">
        <v>48.3</v>
      </c>
      <c r="P1851" s="9">
        <v>49.9</v>
      </c>
      <c r="Q1851" s="9">
        <v>49.1</v>
      </c>
      <c r="R1851" s="9">
        <v>43.6</v>
      </c>
      <c r="S1851" s="9">
        <v>44.9</v>
      </c>
      <c r="T1851" s="9">
        <v>45</v>
      </c>
      <c r="U1851" s="9">
        <v>43.6</v>
      </c>
      <c r="V1851" s="9">
        <v>44.4</v>
      </c>
      <c r="W1851" s="9">
        <v>43</v>
      </c>
      <c r="X1851" s="9">
        <v>43.1</v>
      </c>
      <c r="Y1851" s="9">
        <v>43.1</v>
      </c>
      <c r="Z1851" s="9">
        <v>44.7</v>
      </c>
      <c r="AA1851" s="9">
        <v>48.2</v>
      </c>
      <c r="AB1851" s="9">
        <v>41.8</v>
      </c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</row>
    <row r="1852" spans="1:47" ht="14.4">
      <c r="A1852" s="3">
        <f>LOOKUP(D1852,'AMFI DATA_2023H2'!F:L,'AMFI DATA_2023H2'!L:L)</f>
        <v>3023</v>
      </c>
      <c r="B1852" s="4" t="s">
        <v>5554</v>
      </c>
      <c r="C1852" s="4" t="s">
        <v>5555</v>
      </c>
      <c r="D1852" s="5" t="s">
        <v>5556</v>
      </c>
      <c r="E1852" s="5">
        <v>47.2</v>
      </c>
      <c r="F1852" s="6">
        <f>LOOKUP(D1852,'AMFI DATA_2023H2'!F:J,'AMFI DATA_2023H2'!J:J)</f>
        <v>36.882899999999999</v>
      </c>
      <c r="G1852" s="7">
        <f t="shared" si="7"/>
        <v>-1</v>
      </c>
      <c r="H1852" s="9"/>
      <c r="I1852" s="9">
        <v>40.299999999999997</v>
      </c>
      <c r="J1852" s="9">
        <v>40.9</v>
      </c>
      <c r="K1852" s="9">
        <v>42</v>
      </c>
      <c r="L1852" s="9">
        <v>42.9</v>
      </c>
      <c r="M1852" s="9">
        <v>42.3</v>
      </c>
      <c r="N1852" s="9">
        <v>42.9</v>
      </c>
      <c r="O1852" s="9">
        <v>43.1</v>
      </c>
      <c r="P1852" s="9">
        <v>43.3</v>
      </c>
      <c r="Q1852" s="9">
        <v>43.3</v>
      </c>
      <c r="R1852" s="9">
        <v>43.9</v>
      </c>
      <c r="S1852" s="9">
        <v>42.8</v>
      </c>
      <c r="T1852" s="9">
        <v>42.2</v>
      </c>
      <c r="U1852" s="9">
        <v>41.2</v>
      </c>
      <c r="V1852" s="9">
        <v>41.4</v>
      </c>
      <c r="W1852" s="9">
        <v>41.5</v>
      </c>
      <c r="X1852" s="9">
        <v>41.3</v>
      </c>
      <c r="Y1852" s="9">
        <v>40.799999999999997</v>
      </c>
      <c r="Z1852" s="9">
        <v>41.4</v>
      </c>
      <c r="AA1852" s="9">
        <v>41.9</v>
      </c>
      <c r="AB1852" s="9">
        <v>42.1</v>
      </c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</row>
    <row r="1853" spans="1:47" ht="14.4">
      <c r="A1853" s="3">
        <f>LOOKUP(D1853,'AMFI DATA_2023H2'!F:L,'AMFI DATA_2023H2'!L:L)</f>
        <v>3037</v>
      </c>
      <c r="B1853" s="4" t="s">
        <v>5557</v>
      </c>
      <c r="C1853" s="4" t="s">
        <v>5558</v>
      </c>
      <c r="D1853" s="5" t="s">
        <v>5559</v>
      </c>
      <c r="E1853" s="5">
        <v>50.1</v>
      </c>
      <c r="F1853" s="6">
        <f>LOOKUP(D1853,'AMFI DATA_2023H2'!F:J,'AMFI DATA_2023H2'!J:J)</f>
        <v>36.006950000000003</v>
      </c>
      <c r="G1853" s="7">
        <f t="shared" si="7"/>
        <v>-1</v>
      </c>
      <c r="H1853" s="9"/>
      <c r="I1853" s="9">
        <v>38.4</v>
      </c>
      <c r="J1853" s="9">
        <v>39.200000000000003</v>
      </c>
      <c r="K1853" s="9">
        <v>39.200000000000003</v>
      </c>
      <c r="L1853" s="9">
        <v>38.9</v>
      </c>
      <c r="M1853" s="9">
        <v>39.4</v>
      </c>
      <c r="N1853" s="9">
        <v>39.799999999999997</v>
      </c>
      <c r="O1853" s="9">
        <v>39.200000000000003</v>
      </c>
      <c r="P1853" s="9">
        <v>39.200000000000003</v>
      </c>
      <c r="Q1853" s="9">
        <v>39.200000000000003</v>
      </c>
      <c r="R1853" s="9">
        <v>39.200000000000003</v>
      </c>
      <c r="S1853" s="9">
        <v>39.200000000000003</v>
      </c>
      <c r="T1853" s="9">
        <v>39.200000000000003</v>
      </c>
      <c r="U1853" s="9">
        <v>39.200000000000003</v>
      </c>
      <c r="V1853" s="9">
        <v>40</v>
      </c>
      <c r="W1853" s="9">
        <v>39.299999999999997</v>
      </c>
      <c r="X1853" s="9">
        <v>40.1</v>
      </c>
      <c r="Y1853" s="9">
        <v>40.9</v>
      </c>
      <c r="Z1853" s="9">
        <v>41.7</v>
      </c>
      <c r="AA1853" s="9">
        <v>37.6</v>
      </c>
      <c r="AB1853" s="9">
        <v>35.9</v>
      </c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</row>
    <row r="1854" spans="1:47" ht="14.4">
      <c r="A1854" s="3">
        <f>LOOKUP(D1854,'AMFI DATA_2023H2'!F:L,'AMFI DATA_2023H2'!L:L)</f>
        <v>3044</v>
      </c>
      <c r="B1854" s="4" t="s">
        <v>5560</v>
      </c>
      <c r="C1854" s="4" t="s">
        <v>5561</v>
      </c>
      <c r="D1854" s="5" t="s">
        <v>5562</v>
      </c>
      <c r="E1854" s="5">
        <v>297.63</v>
      </c>
      <c r="F1854" s="6">
        <f>LOOKUP(D1854,'AMFI DATA_2023H2'!F:J,'AMFI DATA_2023H2'!J:J)</f>
        <v>35.420850000000002</v>
      </c>
      <c r="G1854" s="7">
        <f t="shared" si="7"/>
        <v>-1</v>
      </c>
      <c r="H1854" s="9"/>
      <c r="I1854" s="9">
        <v>27.5</v>
      </c>
      <c r="J1854" s="9">
        <v>27.4</v>
      </c>
      <c r="K1854" s="9">
        <v>27.4</v>
      </c>
      <c r="L1854" s="9">
        <v>27.9</v>
      </c>
      <c r="M1854" s="9">
        <v>28.4</v>
      </c>
      <c r="N1854" s="9">
        <v>27.2</v>
      </c>
      <c r="O1854" s="9">
        <v>27.4</v>
      </c>
      <c r="P1854" s="9">
        <v>26.5</v>
      </c>
      <c r="Q1854" s="9">
        <v>26.4</v>
      </c>
      <c r="R1854" s="9">
        <v>26</v>
      </c>
      <c r="S1854" s="9">
        <v>25.1</v>
      </c>
      <c r="T1854" s="9">
        <v>25.1</v>
      </c>
      <c r="U1854" s="9">
        <v>24.6</v>
      </c>
      <c r="V1854" s="9">
        <v>24.8</v>
      </c>
      <c r="W1854" s="9">
        <v>24.5</v>
      </c>
      <c r="X1854" s="9">
        <v>24</v>
      </c>
      <c r="Y1854" s="9">
        <v>24.5</v>
      </c>
      <c r="Z1854" s="9">
        <v>25</v>
      </c>
      <c r="AA1854" s="9">
        <v>24.6</v>
      </c>
      <c r="AB1854" s="9">
        <v>25.5</v>
      </c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</row>
    <row r="1855" spans="1:47" ht="14.4">
      <c r="A1855" s="3">
        <f>LOOKUP(D1855,'AMFI DATA_2023H2'!F:L,'AMFI DATA_2023H2'!L:L)</f>
        <v>3046</v>
      </c>
      <c r="B1855" s="4" t="s">
        <v>5563</v>
      </c>
      <c r="C1855" s="4" t="s">
        <v>5564</v>
      </c>
      <c r="D1855" s="5" t="s">
        <v>5565</v>
      </c>
      <c r="E1855" s="5">
        <v>31.98</v>
      </c>
      <c r="F1855" s="6">
        <f>LOOKUP(D1855,'AMFI DATA_2023H2'!F:J,'AMFI DATA_2023H2'!J:J)</f>
        <v>35.238</v>
      </c>
      <c r="G1855" s="7">
        <f t="shared" si="7"/>
        <v>-1</v>
      </c>
      <c r="H1855" s="9"/>
      <c r="I1855" s="9">
        <v>40.700000000000003</v>
      </c>
      <c r="J1855" s="9">
        <v>40.700000000000003</v>
      </c>
      <c r="K1855" s="9">
        <v>40.9</v>
      </c>
      <c r="L1855" s="9">
        <v>41.7</v>
      </c>
      <c r="M1855" s="9">
        <v>42.4</v>
      </c>
      <c r="N1855" s="9">
        <v>43.3</v>
      </c>
      <c r="O1855" s="9">
        <v>44.2</v>
      </c>
      <c r="P1855" s="9">
        <v>44.6</v>
      </c>
      <c r="Q1855" s="9">
        <v>47</v>
      </c>
      <c r="R1855" s="9">
        <v>44.6</v>
      </c>
      <c r="S1855" s="9">
        <v>46.5</v>
      </c>
      <c r="T1855" s="9">
        <v>44.6</v>
      </c>
      <c r="U1855" s="9">
        <v>42.6</v>
      </c>
      <c r="V1855" s="9">
        <v>40.6</v>
      </c>
      <c r="W1855" s="9">
        <v>41.1</v>
      </c>
      <c r="X1855" s="9">
        <v>41.7</v>
      </c>
      <c r="Y1855" s="9">
        <v>42.3</v>
      </c>
      <c r="Z1855" s="9">
        <v>42.3</v>
      </c>
      <c r="AA1855" s="9">
        <v>41.2</v>
      </c>
      <c r="AB1855" s="9">
        <v>39.6</v>
      </c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</row>
    <row r="1856" spans="1:47" ht="14.4">
      <c r="A1856" s="3">
        <f>LOOKUP(D1856,'AMFI DATA_2023H2'!F:L,'AMFI DATA_2023H2'!L:L)</f>
        <v>3049</v>
      </c>
      <c r="B1856" s="4" t="s">
        <v>5566</v>
      </c>
      <c r="C1856" s="4" t="s">
        <v>5567</v>
      </c>
      <c r="D1856" s="5" t="s">
        <v>5568</v>
      </c>
      <c r="E1856" s="5">
        <v>25.33</v>
      </c>
      <c r="F1856" s="6">
        <f>LOOKUP(D1856,'AMFI DATA_2023H2'!F:J,'AMFI DATA_2023H2'!J:J)</f>
        <v>35.024550000000005</v>
      </c>
      <c r="G1856" s="7">
        <f t="shared" si="7"/>
        <v>-1</v>
      </c>
      <c r="H1856" s="9"/>
      <c r="I1856" s="9">
        <v>48.6</v>
      </c>
      <c r="J1856" s="9">
        <v>46.4</v>
      </c>
      <c r="K1856" s="9">
        <v>46.6</v>
      </c>
      <c r="L1856" s="9">
        <v>48.2</v>
      </c>
      <c r="M1856" s="9">
        <v>49.3</v>
      </c>
      <c r="N1856" s="9">
        <v>51.6</v>
      </c>
      <c r="O1856" s="9">
        <v>54.6</v>
      </c>
      <c r="P1856" s="9">
        <v>51.8</v>
      </c>
      <c r="Q1856" s="9">
        <v>49.6</v>
      </c>
      <c r="R1856" s="9">
        <v>47.3</v>
      </c>
      <c r="S1856" s="9">
        <v>45.6</v>
      </c>
      <c r="T1856" s="9">
        <v>44.3</v>
      </c>
      <c r="U1856" s="9">
        <v>44.8</v>
      </c>
      <c r="V1856" s="9">
        <v>43.2</v>
      </c>
      <c r="W1856" s="9">
        <v>43.3</v>
      </c>
      <c r="X1856" s="9">
        <v>41.2</v>
      </c>
      <c r="Y1856" s="9">
        <v>39.5</v>
      </c>
      <c r="Z1856" s="9">
        <v>40.6</v>
      </c>
      <c r="AA1856" s="9">
        <v>41.5</v>
      </c>
      <c r="AB1856" s="9">
        <v>42.5</v>
      </c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</row>
    <row r="1857" spans="1:47" ht="14.4">
      <c r="A1857" s="3">
        <f>LOOKUP(D1857,'AMFI DATA_2023H2'!F:L,'AMFI DATA_2023H2'!L:L)</f>
        <v>3051</v>
      </c>
      <c r="B1857" s="4" t="s">
        <v>5569</v>
      </c>
      <c r="C1857" s="4" t="s">
        <v>5570</v>
      </c>
      <c r="D1857" s="5" t="s">
        <v>5571</v>
      </c>
      <c r="E1857" s="5">
        <v>29.79</v>
      </c>
      <c r="F1857" s="6">
        <f>LOOKUP(D1857,'AMFI DATA_2023H2'!F:J,'AMFI DATA_2023H2'!J:J)</f>
        <v>34.992350000000002</v>
      </c>
      <c r="G1857" s="7">
        <f t="shared" si="7"/>
        <v>-1</v>
      </c>
      <c r="H1857" s="9"/>
      <c r="I1857" s="9">
        <v>47.8</v>
      </c>
      <c r="J1857" s="9">
        <v>47.3</v>
      </c>
      <c r="K1857" s="9">
        <v>47.9</v>
      </c>
      <c r="L1857" s="9">
        <v>50.4</v>
      </c>
      <c r="M1857" s="9">
        <v>48.6</v>
      </c>
      <c r="N1857" s="9">
        <v>46.3</v>
      </c>
      <c r="O1857" s="9">
        <v>45.4</v>
      </c>
      <c r="P1857" s="9">
        <v>44.5</v>
      </c>
      <c r="Q1857" s="9">
        <v>43.7</v>
      </c>
      <c r="R1857" s="9">
        <v>42.8</v>
      </c>
      <c r="S1857" s="9">
        <v>42</v>
      </c>
      <c r="T1857" s="9">
        <v>41.2</v>
      </c>
      <c r="U1857" s="9">
        <v>41.9</v>
      </c>
      <c r="V1857" s="9">
        <v>42.8</v>
      </c>
      <c r="W1857" s="9">
        <v>43.6</v>
      </c>
      <c r="X1857" s="9">
        <v>44.5</v>
      </c>
      <c r="Y1857" s="9">
        <v>45.4</v>
      </c>
      <c r="Z1857" s="9">
        <v>46.3</v>
      </c>
      <c r="AA1857" s="9">
        <v>47</v>
      </c>
      <c r="AB1857" s="9">
        <v>48</v>
      </c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</row>
    <row r="1858" spans="1:47" ht="14.4">
      <c r="A1858" s="3">
        <f>LOOKUP(D1858,'AMFI DATA_2023H2'!F:L,'AMFI DATA_2023H2'!L:L)</f>
        <v>3059</v>
      </c>
      <c r="B1858" s="4" t="s">
        <v>5572</v>
      </c>
      <c r="C1858" s="4" t="s">
        <v>5573</v>
      </c>
      <c r="D1858" s="5" t="s">
        <v>5574</v>
      </c>
      <c r="E1858" s="5">
        <v>31.03</v>
      </c>
      <c r="F1858" s="6">
        <f>LOOKUP(D1858,'AMFI DATA_2023H2'!F:J,'AMFI DATA_2023H2'!J:J)</f>
        <v>34.687750000000001</v>
      </c>
      <c r="G1858" s="7">
        <f t="shared" si="7"/>
        <v>-1</v>
      </c>
      <c r="H1858" s="9"/>
      <c r="I1858" s="9">
        <v>55.5</v>
      </c>
      <c r="J1858" s="9">
        <v>52.6</v>
      </c>
      <c r="K1858" s="9">
        <v>50.4</v>
      </c>
      <c r="L1858" s="9">
        <v>48.1</v>
      </c>
      <c r="M1858" s="9">
        <v>45.8</v>
      </c>
      <c r="N1858" s="9">
        <v>43.7</v>
      </c>
      <c r="O1858" s="9">
        <v>42.9</v>
      </c>
      <c r="P1858" s="9">
        <v>43.8</v>
      </c>
      <c r="Q1858" s="9">
        <v>44.7</v>
      </c>
      <c r="R1858" s="9">
        <v>45</v>
      </c>
      <c r="S1858" s="9">
        <v>45.9</v>
      </c>
      <c r="T1858" s="9">
        <v>46.8</v>
      </c>
      <c r="U1858" s="9">
        <v>47.6</v>
      </c>
      <c r="V1858" s="9">
        <v>48.6</v>
      </c>
      <c r="W1858" s="9">
        <v>49.6</v>
      </c>
      <c r="X1858" s="9">
        <v>50.5</v>
      </c>
      <c r="Y1858" s="9">
        <v>51.5</v>
      </c>
      <c r="Z1858" s="9">
        <v>52.6</v>
      </c>
      <c r="AA1858" s="9">
        <v>53.1</v>
      </c>
      <c r="AB1858" s="9">
        <v>54.3</v>
      </c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</row>
    <row r="1859" spans="1:47" ht="14.4">
      <c r="A1859" s="3">
        <f>LOOKUP(D1859,'AMFI DATA_2023H2'!F:L,'AMFI DATA_2023H2'!L:L)</f>
        <v>3075</v>
      </c>
      <c r="B1859" s="4" t="s">
        <v>5575</v>
      </c>
      <c r="C1859" s="4" t="s">
        <v>5576</v>
      </c>
      <c r="D1859" s="5" t="s">
        <v>5577</v>
      </c>
      <c r="E1859" s="5">
        <v>28.58</v>
      </c>
      <c r="F1859" s="6">
        <f>LOOKUP(D1859,'AMFI DATA_2023H2'!F:J,'AMFI DATA_2023H2'!J:J)</f>
        <v>34.019100000000002</v>
      </c>
      <c r="G1859" s="7">
        <f t="shared" si="7"/>
        <v>-1</v>
      </c>
      <c r="H1859" s="9"/>
      <c r="I1859" s="9">
        <v>25.7</v>
      </c>
      <c r="J1859" s="9">
        <v>26.6</v>
      </c>
      <c r="K1859" s="9">
        <v>26.6</v>
      </c>
      <c r="L1859" s="9">
        <v>26.6</v>
      </c>
      <c r="M1859" s="9">
        <v>26.6</v>
      </c>
      <c r="N1859" s="9">
        <v>27.6</v>
      </c>
      <c r="O1859" s="9">
        <v>27.6</v>
      </c>
      <c r="P1859" s="9">
        <v>27.6</v>
      </c>
      <c r="Q1859" s="9">
        <v>28.5</v>
      </c>
      <c r="R1859" s="9">
        <v>28.5</v>
      </c>
      <c r="S1859" s="9">
        <v>28.5</v>
      </c>
      <c r="T1859" s="9">
        <v>29.4</v>
      </c>
      <c r="U1859" s="9">
        <v>26.6</v>
      </c>
      <c r="V1859" s="9">
        <v>26.6</v>
      </c>
      <c r="W1859" s="9">
        <v>26.6</v>
      </c>
      <c r="X1859" s="9">
        <v>26.6</v>
      </c>
      <c r="Y1859" s="9">
        <v>25.7</v>
      </c>
      <c r="Z1859" s="9">
        <v>26.6</v>
      </c>
      <c r="AA1859" s="9">
        <v>26.6</v>
      </c>
      <c r="AB1859" s="9">
        <v>26.6</v>
      </c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</row>
    <row r="1860" spans="1:47" ht="14.4">
      <c r="A1860" s="3">
        <f>LOOKUP(D1860,'AMFI DATA_2023H2'!F:L,'AMFI DATA_2023H2'!L:L)</f>
        <v>3096</v>
      </c>
      <c r="B1860" s="4" t="s">
        <v>5578</v>
      </c>
      <c r="C1860" s="4" t="s">
        <v>5579</v>
      </c>
      <c r="D1860" s="5" t="s">
        <v>5580</v>
      </c>
      <c r="E1860" s="5">
        <v>32.06</v>
      </c>
      <c r="F1860" s="6">
        <f>LOOKUP(D1860,'AMFI DATA_2023H2'!F:J,'AMFI DATA_2023H2'!J:J)</f>
        <v>32.914400000000001</v>
      </c>
      <c r="G1860" s="7">
        <f t="shared" si="7"/>
        <v>-1</v>
      </c>
      <c r="H1860" s="9"/>
      <c r="I1860" s="9">
        <v>43.5</v>
      </c>
      <c r="J1860" s="9">
        <v>43.5</v>
      </c>
      <c r="K1860" s="9">
        <v>43.5</v>
      </c>
      <c r="L1860" s="9">
        <v>43.5</v>
      </c>
      <c r="M1860" s="9">
        <v>43.2</v>
      </c>
      <c r="N1860" s="9">
        <v>45.6</v>
      </c>
      <c r="O1860" s="9">
        <v>45.6</v>
      </c>
      <c r="P1860" s="9">
        <v>45.6</v>
      </c>
      <c r="Q1860" s="9">
        <v>45.6</v>
      </c>
      <c r="R1860" s="9">
        <v>45.4</v>
      </c>
      <c r="S1860" s="9">
        <v>47.7</v>
      </c>
      <c r="T1860" s="9">
        <v>47.7</v>
      </c>
      <c r="U1860" s="9">
        <v>47.7</v>
      </c>
      <c r="V1860" s="9">
        <v>47.7</v>
      </c>
      <c r="W1860" s="9">
        <v>47.8</v>
      </c>
      <c r="X1860" s="9">
        <v>50.3</v>
      </c>
      <c r="Y1860" s="9">
        <v>50.3</v>
      </c>
      <c r="Z1860" s="9">
        <v>50.3</v>
      </c>
      <c r="AA1860" s="9">
        <v>50.3</v>
      </c>
      <c r="AB1860" s="9">
        <v>52.9</v>
      </c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</row>
    <row r="1861" spans="1:47" ht="14.4">
      <c r="A1861" s="3">
        <f>LOOKUP(D1861,'AMFI DATA_2023H2'!F:L,'AMFI DATA_2023H2'!L:L)</f>
        <v>3103</v>
      </c>
      <c r="B1861" s="4" t="s">
        <v>5581</v>
      </c>
      <c r="C1861" s="4" t="s">
        <v>5582</v>
      </c>
      <c r="D1861" s="5" t="s">
        <v>5583</v>
      </c>
      <c r="E1861" s="5">
        <v>28.48</v>
      </c>
      <c r="F1861" s="6">
        <f>LOOKUP(D1861,'AMFI DATA_2023H2'!F:J,'AMFI DATA_2023H2'!J:J)</f>
        <v>32.641999999999996</v>
      </c>
      <c r="G1861" s="7">
        <f t="shared" si="7"/>
        <v>-1</v>
      </c>
      <c r="H1861" s="9"/>
      <c r="I1861" s="9">
        <v>62.2</v>
      </c>
      <c r="J1861" s="9">
        <v>59</v>
      </c>
      <c r="K1861" s="9">
        <v>57.5</v>
      </c>
      <c r="L1861" s="9">
        <v>54.8</v>
      </c>
      <c r="M1861" s="9">
        <v>52.2</v>
      </c>
      <c r="N1861" s="9">
        <v>49.2</v>
      </c>
      <c r="O1861" s="9">
        <v>47.4</v>
      </c>
      <c r="P1861" s="9">
        <v>42.9</v>
      </c>
      <c r="Q1861" s="9">
        <v>39.299999999999997</v>
      </c>
      <c r="R1861" s="9">
        <v>37.5</v>
      </c>
      <c r="S1861" s="9">
        <v>36</v>
      </c>
      <c r="T1861" s="9">
        <v>35.1</v>
      </c>
      <c r="U1861" s="9">
        <v>35</v>
      </c>
      <c r="V1861" s="9">
        <v>34.700000000000003</v>
      </c>
      <c r="W1861" s="9">
        <v>34.4</v>
      </c>
      <c r="X1861" s="9">
        <v>35.4</v>
      </c>
      <c r="Y1861" s="9">
        <v>34.799999999999997</v>
      </c>
      <c r="Z1861" s="9">
        <v>35</v>
      </c>
      <c r="AA1861" s="9">
        <v>34.200000000000003</v>
      </c>
      <c r="AB1861" s="9">
        <v>34.5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</row>
    <row r="1862" spans="1:47" ht="14.4">
      <c r="A1862" s="3">
        <f>LOOKUP(D1862,'AMFI DATA_2023H2'!F:L,'AMFI DATA_2023H2'!L:L)</f>
        <v>3112</v>
      </c>
      <c r="B1862" s="4" t="s">
        <v>5584</v>
      </c>
      <c r="C1862" s="4" t="s">
        <v>5585</v>
      </c>
      <c r="D1862" s="5" t="s">
        <v>5586</v>
      </c>
      <c r="E1862" s="5">
        <v>105.13</v>
      </c>
      <c r="F1862" s="6">
        <f>LOOKUP(D1862,'AMFI DATA_2023H2'!F:J,'AMFI DATA_2023H2'!J:J)</f>
        <v>32.344000000000001</v>
      </c>
      <c r="G1862" s="7">
        <f t="shared" si="7"/>
        <v>-1</v>
      </c>
      <c r="H1862" s="9"/>
      <c r="I1862" s="9">
        <v>34.5</v>
      </c>
      <c r="J1862" s="9">
        <v>33.9</v>
      </c>
      <c r="K1862" s="9">
        <v>34.200000000000003</v>
      </c>
      <c r="L1862" s="9">
        <v>34.5</v>
      </c>
      <c r="M1862" s="9">
        <v>35.200000000000003</v>
      </c>
      <c r="N1862" s="9">
        <v>35.700000000000003</v>
      </c>
      <c r="O1862" s="9">
        <v>36.200000000000003</v>
      </c>
      <c r="P1862" s="9">
        <v>36.700000000000003</v>
      </c>
      <c r="Q1862" s="9">
        <v>36</v>
      </c>
      <c r="R1862" s="9">
        <v>34.4</v>
      </c>
      <c r="S1862" s="9">
        <v>34.700000000000003</v>
      </c>
      <c r="T1862" s="9">
        <v>34.4</v>
      </c>
      <c r="U1862" s="9">
        <v>34.700000000000003</v>
      </c>
      <c r="V1862" s="9">
        <v>34.5</v>
      </c>
      <c r="W1862" s="9">
        <v>33.9</v>
      </c>
      <c r="X1862" s="9">
        <v>34.200000000000003</v>
      </c>
      <c r="Y1862" s="9">
        <v>34.200000000000003</v>
      </c>
      <c r="Z1862" s="9">
        <v>33.4</v>
      </c>
      <c r="AA1862" s="9">
        <v>31.9</v>
      </c>
      <c r="AB1862" s="9">
        <v>32.9</v>
      </c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</row>
    <row r="1863" spans="1:47" ht="14.4">
      <c r="A1863" s="3">
        <f>LOOKUP(D1863,'AMFI DATA_2023H2'!F:L,'AMFI DATA_2023H2'!L:L)</f>
        <v>3122</v>
      </c>
      <c r="B1863" s="4" t="s">
        <v>5587</v>
      </c>
      <c r="C1863" s="4" t="s">
        <v>5588</v>
      </c>
      <c r="D1863" s="5" t="s">
        <v>5589</v>
      </c>
      <c r="E1863" s="5">
        <v>33.58</v>
      </c>
      <c r="F1863" s="6">
        <f>LOOKUP(D1863,'AMFI DATA_2023H2'!F:J,'AMFI DATA_2023H2'!J:J)</f>
        <v>31.770699999999998</v>
      </c>
      <c r="G1863" s="7">
        <f t="shared" si="7"/>
        <v>-1</v>
      </c>
      <c r="H1863" s="9"/>
      <c r="I1863" s="9">
        <v>44.7</v>
      </c>
      <c r="J1863" s="9">
        <v>43.6</v>
      </c>
      <c r="K1863" s="9">
        <v>43.4</v>
      </c>
      <c r="L1863" s="9">
        <v>43.8</v>
      </c>
      <c r="M1863" s="9">
        <v>46.4</v>
      </c>
      <c r="N1863" s="9">
        <v>43</v>
      </c>
      <c r="O1863" s="9">
        <v>43.8</v>
      </c>
      <c r="P1863" s="9">
        <v>46.5</v>
      </c>
      <c r="Q1863" s="9">
        <v>38.799999999999997</v>
      </c>
      <c r="R1863" s="9">
        <v>38.799999999999997</v>
      </c>
      <c r="S1863" s="9">
        <v>40.200000000000003</v>
      </c>
      <c r="T1863" s="9">
        <v>39</v>
      </c>
      <c r="U1863" s="9">
        <v>38.6</v>
      </c>
      <c r="V1863" s="9">
        <v>39.6</v>
      </c>
      <c r="W1863" s="9">
        <v>39.200000000000003</v>
      </c>
      <c r="X1863" s="9">
        <v>40</v>
      </c>
      <c r="Y1863" s="9">
        <v>37.700000000000003</v>
      </c>
      <c r="Z1863" s="9">
        <v>37.700000000000003</v>
      </c>
      <c r="AA1863" s="9">
        <v>38.9</v>
      </c>
      <c r="AB1863" s="9">
        <v>38.1</v>
      </c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</row>
    <row r="1864" spans="1:47" ht="14.4">
      <c r="A1864" s="3">
        <f>LOOKUP(D1864,'AMFI DATA_2023H2'!F:L,'AMFI DATA_2023H2'!L:L)</f>
        <v>3140</v>
      </c>
      <c r="B1864" s="4" t="s">
        <v>5590</v>
      </c>
      <c r="C1864" s="4" t="s">
        <v>5591</v>
      </c>
      <c r="D1864" s="5" t="s">
        <v>5592</v>
      </c>
      <c r="E1864" s="5">
        <v>23.94</v>
      </c>
      <c r="F1864" s="6">
        <f>LOOKUP(D1864,'AMFI DATA_2023H2'!F:J,'AMFI DATA_2023H2'!J:J)</f>
        <v>30.674099999999999</v>
      </c>
      <c r="G1864" s="7">
        <f t="shared" si="7"/>
        <v>-1</v>
      </c>
      <c r="H1864" s="9"/>
      <c r="I1864" s="9">
        <v>35.6</v>
      </c>
      <c r="J1864" s="9">
        <v>34.9</v>
      </c>
      <c r="K1864" s="9">
        <v>35</v>
      </c>
      <c r="L1864" s="9">
        <v>35</v>
      </c>
      <c r="M1864" s="9">
        <v>35.700000000000003</v>
      </c>
      <c r="N1864" s="9">
        <v>35.1</v>
      </c>
      <c r="O1864" s="9">
        <v>34.5</v>
      </c>
      <c r="P1864" s="9">
        <v>35.200000000000003</v>
      </c>
      <c r="Q1864" s="9">
        <v>35.9</v>
      </c>
      <c r="R1864" s="9">
        <v>35.200000000000003</v>
      </c>
      <c r="S1864" s="9">
        <v>35.9</v>
      </c>
      <c r="T1864" s="9">
        <v>34</v>
      </c>
      <c r="U1864" s="9">
        <v>34.700000000000003</v>
      </c>
      <c r="V1864" s="9">
        <v>34.799999999999997</v>
      </c>
      <c r="W1864" s="9">
        <v>35.9</v>
      </c>
      <c r="X1864" s="9">
        <v>33.799999999999997</v>
      </c>
      <c r="Y1864" s="9">
        <v>36.6</v>
      </c>
      <c r="Z1864" s="9">
        <v>37.299999999999997</v>
      </c>
      <c r="AA1864" s="9">
        <v>32.799999999999997</v>
      </c>
      <c r="AB1864" s="9">
        <v>35.5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</row>
    <row r="1865" spans="1:47" ht="14.4">
      <c r="A1865" s="3">
        <f>LOOKUP(D1865,'AMFI DATA_2023H2'!F:L,'AMFI DATA_2023H2'!L:L)</f>
        <v>3149</v>
      </c>
      <c r="B1865" s="4" t="s">
        <v>5593</v>
      </c>
      <c r="C1865" s="4" t="s">
        <v>5594</v>
      </c>
      <c r="D1865" s="5" t="s">
        <v>5595</v>
      </c>
      <c r="E1865" s="5">
        <v>22.98</v>
      </c>
      <c r="F1865" s="6">
        <f>LOOKUP(D1865,'AMFI DATA_2023H2'!F:J,'AMFI DATA_2023H2'!J:J)</f>
        <v>30.349249999999998</v>
      </c>
      <c r="G1865" s="7">
        <f t="shared" si="7"/>
        <v>-1</v>
      </c>
      <c r="H1865" s="9"/>
      <c r="I1865" s="9">
        <v>52.8</v>
      </c>
      <c r="J1865" s="9">
        <v>49</v>
      </c>
      <c r="K1865" s="9">
        <v>48</v>
      </c>
      <c r="L1865" s="9">
        <v>45.8</v>
      </c>
      <c r="M1865" s="9">
        <v>43.7</v>
      </c>
      <c r="N1865" s="9">
        <v>41.6</v>
      </c>
      <c r="O1865" s="9">
        <v>42</v>
      </c>
      <c r="P1865" s="9">
        <v>42.9</v>
      </c>
      <c r="Q1865" s="9">
        <v>43.2</v>
      </c>
      <c r="R1865" s="9">
        <v>42.5</v>
      </c>
      <c r="S1865" s="9">
        <v>41.8</v>
      </c>
      <c r="T1865" s="9">
        <v>41</v>
      </c>
      <c r="U1865" s="9">
        <v>41.3</v>
      </c>
      <c r="V1865" s="9">
        <v>42</v>
      </c>
      <c r="W1865" s="9">
        <v>42.9</v>
      </c>
      <c r="X1865" s="9">
        <v>43.7</v>
      </c>
      <c r="Y1865" s="9">
        <v>44.6</v>
      </c>
      <c r="Z1865" s="9">
        <v>45.4</v>
      </c>
      <c r="AA1865" s="9">
        <v>47.8</v>
      </c>
      <c r="AB1865" s="9">
        <v>47.8</v>
      </c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</row>
    <row r="1866" spans="1:47" ht="14.4">
      <c r="A1866" s="3">
        <f>LOOKUP(D1866,'AMFI DATA_2023H2'!F:L,'AMFI DATA_2023H2'!L:L)</f>
        <v>3161</v>
      </c>
      <c r="B1866" s="4" t="s">
        <v>5596</v>
      </c>
      <c r="C1866" s="4" t="s">
        <v>5597</v>
      </c>
      <c r="D1866" s="5" t="s">
        <v>5598</v>
      </c>
      <c r="E1866" s="5">
        <v>35.71</v>
      </c>
      <c r="F1866" s="6">
        <f>LOOKUP(D1866,'AMFI DATA_2023H2'!F:J,'AMFI DATA_2023H2'!J:J)</f>
        <v>30.017299999999999</v>
      </c>
      <c r="G1866" s="7">
        <f t="shared" si="7"/>
        <v>-1</v>
      </c>
      <c r="H1866" s="9"/>
      <c r="I1866" s="9">
        <v>32.4</v>
      </c>
      <c r="J1866" s="9">
        <v>31.4</v>
      </c>
      <c r="K1866" s="9">
        <v>31.9</v>
      </c>
      <c r="L1866" s="9">
        <v>33.6</v>
      </c>
      <c r="M1866" s="9">
        <v>32</v>
      </c>
      <c r="N1866" s="9">
        <v>30.3</v>
      </c>
      <c r="O1866" s="9">
        <v>28.9</v>
      </c>
      <c r="P1866" s="9">
        <v>28.9</v>
      </c>
      <c r="Q1866" s="9">
        <v>28.8</v>
      </c>
      <c r="R1866" s="9">
        <v>29.2</v>
      </c>
      <c r="S1866" s="9">
        <v>28.7</v>
      </c>
      <c r="T1866" s="9">
        <v>28.9</v>
      </c>
      <c r="U1866" s="9">
        <v>28.5</v>
      </c>
      <c r="V1866" s="9">
        <v>28.2</v>
      </c>
      <c r="W1866" s="9">
        <v>28.5</v>
      </c>
      <c r="X1866" s="9">
        <v>28.9</v>
      </c>
      <c r="Y1866" s="9">
        <v>28.2</v>
      </c>
      <c r="Z1866" s="9">
        <v>27.8</v>
      </c>
      <c r="AA1866" s="9">
        <v>28.5</v>
      </c>
      <c r="AB1866" s="9">
        <v>28.2</v>
      </c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</row>
    <row r="1867" spans="1:47" ht="14.4">
      <c r="A1867" s="3">
        <f>LOOKUP(D1867,'AMFI DATA_2023H2'!F:L,'AMFI DATA_2023H2'!L:L)</f>
        <v>3165</v>
      </c>
      <c r="B1867" s="4" t="s">
        <v>5599</v>
      </c>
      <c r="C1867" s="4" t="s">
        <v>5600</v>
      </c>
      <c r="D1867" s="5" t="s">
        <v>5601</v>
      </c>
      <c r="E1867" s="5">
        <v>28.84</v>
      </c>
      <c r="F1867" s="6">
        <f>LOOKUP(D1867,'AMFI DATA_2023H2'!F:J,'AMFI DATA_2023H2'!J:J)</f>
        <v>29.905850000000001</v>
      </c>
      <c r="G1867" s="7">
        <f t="shared" si="7"/>
        <v>-1</v>
      </c>
      <c r="H1867" s="9"/>
      <c r="I1867" s="9">
        <v>41.8</v>
      </c>
      <c r="J1867" s="9">
        <v>42.5</v>
      </c>
      <c r="K1867" s="9">
        <v>43.3</v>
      </c>
      <c r="L1867" s="9">
        <v>44</v>
      </c>
      <c r="M1867" s="9">
        <v>45.8</v>
      </c>
      <c r="N1867" s="9">
        <v>43.8</v>
      </c>
      <c r="O1867" s="9">
        <v>43.3</v>
      </c>
      <c r="P1867" s="9">
        <v>41.3</v>
      </c>
      <c r="Q1867" s="9">
        <v>39.5</v>
      </c>
      <c r="R1867" s="9">
        <v>37.799999999999997</v>
      </c>
      <c r="S1867" s="9">
        <v>36</v>
      </c>
      <c r="T1867" s="9">
        <v>35.5</v>
      </c>
      <c r="U1867" s="9">
        <v>35</v>
      </c>
      <c r="V1867" s="9">
        <v>34.5</v>
      </c>
      <c r="W1867" s="9">
        <v>34</v>
      </c>
      <c r="X1867" s="9">
        <v>33.5</v>
      </c>
      <c r="Y1867" s="9">
        <v>33</v>
      </c>
      <c r="Z1867" s="9">
        <v>32.5</v>
      </c>
      <c r="AA1867" s="9">
        <v>33.299999999999997</v>
      </c>
      <c r="AB1867" s="9">
        <v>32.5</v>
      </c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</row>
    <row r="1868" spans="1:47" ht="14.4">
      <c r="A1868" s="3">
        <f>LOOKUP(D1868,'AMFI DATA_2023H2'!F:L,'AMFI DATA_2023H2'!L:L)</f>
        <v>3169</v>
      </c>
      <c r="B1868" s="4" t="s">
        <v>5602</v>
      </c>
      <c r="C1868" s="4" t="s">
        <v>5603</v>
      </c>
      <c r="D1868" s="5" t="s">
        <v>5604</v>
      </c>
      <c r="E1868" s="5">
        <v>27.05</v>
      </c>
      <c r="F1868" s="6">
        <f>LOOKUP(D1868,'AMFI DATA_2023H2'!F:J,'AMFI DATA_2023H2'!J:J)</f>
        <v>29.582799999999999</v>
      </c>
      <c r="G1868" s="7">
        <f t="shared" si="7"/>
        <v>-1</v>
      </c>
      <c r="H1868" s="9"/>
      <c r="I1868" s="9">
        <v>52.9</v>
      </c>
      <c r="J1868" s="9">
        <v>48</v>
      </c>
      <c r="K1868" s="9">
        <v>50.4</v>
      </c>
      <c r="L1868" s="9">
        <v>49.7</v>
      </c>
      <c r="M1868" s="9">
        <v>49.9</v>
      </c>
      <c r="N1868" s="9">
        <v>48.6</v>
      </c>
      <c r="O1868" s="9">
        <v>49.1</v>
      </c>
      <c r="P1868" s="9">
        <v>49</v>
      </c>
      <c r="Q1868" s="9">
        <v>48.6</v>
      </c>
      <c r="R1868" s="9">
        <v>48.5</v>
      </c>
      <c r="S1868" s="9">
        <v>48.4</v>
      </c>
      <c r="T1868" s="9">
        <v>48.6</v>
      </c>
      <c r="U1868" s="9">
        <v>48.7</v>
      </c>
      <c r="V1868" s="9">
        <v>48.7</v>
      </c>
      <c r="W1868" s="9">
        <v>48.2</v>
      </c>
      <c r="X1868" s="9">
        <v>49.2</v>
      </c>
      <c r="Y1868" s="9">
        <v>49.8</v>
      </c>
      <c r="Z1868" s="9">
        <v>51.3</v>
      </c>
      <c r="AA1868" s="9">
        <v>50.7</v>
      </c>
      <c r="AB1868" s="9">
        <v>51.3</v>
      </c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</row>
    <row r="1869" spans="1:47" ht="14.4">
      <c r="A1869" s="3">
        <f>LOOKUP(D1869,'AMFI DATA_2023H2'!F:L,'AMFI DATA_2023H2'!L:L)</f>
        <v>3180</v>
      </c>
      <c r="B1869" s="4" t="s">
        <v>5605</v>
      </c>
      <c r="C1869" s="4" t="s">
        <v>5606</v>
      </c>
      <c r="D1869" s="5" t="s">
        <v>5607</v>
      </c>
      <c r="E1869" s="5">
        <v>29.33</v>
      </c>
      <c r="F1869" s="6">
        <f>LOOKUP(D1869,'AMFI DATA_2023H2'!F:J,'AMFI DATA_2023H2'!J:J)</f>
        <v>29.131149999999998</v>
      </c>
      <c r="G1869" s="7">
        <f t="shared" si="7"/>
        <v>-1</v>
      </c>
      <c r="H1869" s="9"/>
      <c r="I1869" s="9">
        <v>92.5</v>
      </c>
      <c r="J1869" s="9">
        <v>89.5</v>
      </c>
      <c r="K1869" s="9">
        <v>88.6</v>
      </c>
      <c r="L1869" s="9">
        <v>92.5</v>
      </c>
      <c r="M1869" s="9">
        <v>97.7</v>
      </c>
      <c r="N1869" s="9">
        <v>92.5</v>
      </c>
      <c r="O1869" s="9">
        <v>91</v>
      </c>
      <c r="P1869" s="9">
        <v>92.5</v>
      </c>
      <c r="Q1869" s="9">
        <v>96.8</v>
      </c>
      <c r="R1869" s="9">
        <v>101</v>
      </c>
      <c r="S1869" s="9">
        <v>105</v>
      </c>
      <c r="T1869" s="9">
        <v>106</v>
      </c>
      <c r="U1869" s="9">
        <v>104</v>
      </c>
      <c r="V1869" s="9">
        <v>100</v>
      </c>
      <c r="W1869" s="9">
        <v>96.2</v>
      </c>
      <c r="X1869" s="9">
        <v>91.6</v>
      </c>
      <c r="Y1869" s="9">
        <v>87.7</v>
      </c>
      <c r="Z1869" s="9">
        <v>83.7</v>
      </c>
      <c r="AA1869" s="9">
        <v>81.7</v>
      </c>
      <c r="AB1869" s="9">
        <v>77.400000000000006</v>
      </c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</row>
    <row r="1870" spans="1:47" ht="14.4">
      <c r="A1870" s="3">
        <f>LOOKUP(D1870,'AMFI DATA_2023H2'!F:L,'AMFI DATA_2023H2'!L:L)</f>
        <v>3182</v>
      </c>
      <c r="B1870" s="4" t="s">
        <v>5608</v>
      </c>
      <c r="C1870" s="4" t="s">
        <v>5609</v>
      </c>
      <c r="D1870" s="5" t="s">
        <v>5610</v>
      </c>
      <c r="E1870" s="5">
        <v>398.89</v>
      </c>
      <c r="F1870" s="6">
        <f>LOOKUP(D1870,'AMFI DATA_2023H2'!F:J,'AMFI DATA_2023H2'!J:J)</f>
        <v>28.903200000000002</v>
      </c>
      <c r="G1870" s="7">
        <f t="shared" si="7"/>
        <v>-1</v>
      </c>
      <c r="H1870" s="9"/>
      <c r="I1870" s="9">
        <v>1091</v>
      </c>
      <c r="J1870" s="9">
        <v>1070</v>
      </c>
      <c r="K1870" s="9">
        <v>1049</v>
      </c>
      <c r="L1870" s="9">
        <v>1028</v>
      </c>
      <c r="M1870" s="9">
        <v>1008</v>
      </c>
      <c r="N1870" s="9">
        <v>989</v>
      </c>
      <c r="O1870" s="9">
        <v>969</v>
      </c>
      <c r="P1870" s="9">
        <v>950</v>
      </c>
      <c r="Q1870" s="9">
        <v>932</v>
      </c>
      <c r="R1870" s="9">
        <v>914</v>
      </c>
      <c r="S1870" s="9">
        <v>896</v>
      </c>
      <c r="T1870" s="9">
        <v>878</v>
      </c>
      <c r="U1870" s="9">
        <v>861</v>
      </c>
      <c r="V1870" s="9">
        <v>844</v>
      </c>
      <c r="W1870" s="9">
        <v>828</v>
      </c>
      <c r="X1870" s="9">
        <v>812</v>
      </c>
      <c r="Y1870" s="9">
        <v>796</v>
      </c>
      <c r="Z1870" s="9">
        <v>781</v>
      </c>
      <c r="AA1870" s="9">
        <v>827</v>
      </c>
      <c r="AB1870" s="9">
        <v>780</v>
      </c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</row>
    <row r="1871" spans="1:47" ht="14.4">
      <c r="A1871" s="3">
        <f>LOOKUP(D1871,'AMFI DATA_2023H2'!F:L,'AMFI DATA_2023H2'!L:L)</f>
        <v>3187</v>
      </c>
      <c r="B1871" s="4" t="s">
        <v>5611</v>
      </c>
      <c r="C1871" s="4" t="s">
        <v>5612</v>
      </c>
      <c r="D1871" s="5" t="s">
        <v>5613</v>
      </c>
      <c r="E1871" s="5">
        <v>22.64</v>
      </c>
      <c r="F1871" s="6">
        <f>LOOKUP(D1871,'AMFI DATA_2023H2'!F:J,'AMFI DATA_2023H2'!J:J)</f>
        <v>28.723050000000001</v>
      </c>
      <c r="G1871" s="7">
        <f t="shared" si="7"/>
        <v>-1</v>
      </c>
      <c r="H1871" s="9"/>
      <c r="I1871" s="9">
        <v>39.1</v>
      </c>
      <c r="J1871" s="9">
        <v>38.6</v>
      </c>
      <c r="K1871" s="9">
        <v>39.4</v>
      </c>
      <c r="L1871" s="9">
        <v>39.4</v>
      </c>
      <c r="M1871" s="9">
        <v>39.299999999999997</v>
      </c>
      <c r="N1871" s="9">
        <v>40</v>
      </c>
      <c r="O1871" s="9">
        <v>39.299999999999997</v>
      </c>
      <c r="P1871" s="9">
        <v>39.4</v>
      </c>
      <c r="Q1871" s="9">
        <v>39.6</v>
      </c>
      <c r="R1871" s="9">
        <v>39.4</v>
      </c>
      <c r="S1871" s="9">
        <v>40.5</v>
      </c>
      <c r="T1871" s="9">
        <v>40.299999999999997</v>
      </c>
      <c r="U1871" s="9">
        <v>40.200000000000003</v>
      </c>
      <c r="V1871" s="9">
        <v>40.799999999999997</v>
      </c>
      <c r="W1871" s="9">
        <v>39.5</v>
      </c>
      <c r="X1871" s="9">
        <v>38.6</v>
      </c>
      <c r="Y1871" s="9">
        <v>38.799999999999997</v>
      </c>
      <c r="Z1871" s="9">
        <v>40.200000000000003</v>
      </c>
      <c r="AA1871" s="9">
        <v>39.4</v>
      </c>
      <c r="AB1871" s="9">
        <v>38.4</v>
      </c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</row>
    <row r="1872" spans="1:47" ht="14.4">
      <c r="A1872" s="3">
        <f>LOOKUP(D1872,'AMFI DATA_2023H2'!F:L,'AMFI DATA_2023H2'!L:L)</f>
        <v>3199</v>
      </c>
      <c r="B1872" s="4" t="s">
        <v>5614</v>
      </c>
      <c r="C1872" s="4" t="s">
        <v>5615</v>
      </c>
      <c r="D1872" s="5" t="s">
        <v>5616</v>
      </c>
      <c r="E1872" s="5">
        <v>23.06</v>
      </c>
      <c r="F1872" s="6">
        <f>LOOKUP(D1872,'AMFI DATA_2023H2'!F:J,'AMFI DATA_2023H2'!J:J)</f>
        <v>27.911200000000001</v>
      </c>
      <c r="G1872" s="7">
        <f t="shared" si="7"/>
        <v>-1</v>
      </c>
      <c r="H1872" s="9"/>
      <c r="I1872" s="9">
        <v>33.4</v>
      </c>
      <c r="J1872" s="9">
        <v>33</v>
      </c>
      <c r="K1872" s="9">
        <v>32</v>
      </c>
      <c r="L1872" s="9">
        <v>33</v>
      </c>
      <c r="M1872" s="9">
        <v>34.6</v>
      </c>
      <c r="N1872" s="9">
        <v>34.9</v>
      </c>
      <c r="O1872" s="9">
        <v>36.700000000000003</v>
      </c>
      <c r="P1872" s="9">
        <v>35.4</v>
      </c>
      <c r="Q1872" s="9">
        <v>33.799999999999997</v>
      </c>
      <c r="R1872" s="9">
        <v>32.200000000000003</v>
      </c>
      <c r="S1872" s="9">
        <v>30.9</v>
      </c>
      <c r="T1872" s="9">
        <v>30.3</v>
      </c>
      <c r="U1872" s="9">
        <v>29.7</v>
      </c>
      <c r="V1872" s="9">
        <v>29.2</v>
      </c>
      <c r="W1872" s="9">
        <v>28.7</v>
      </c>
      <c r="X1872" s="9">
        <v>29</v>
      </c>
      <c r="Y1872" s="9">
        <v>29.6</v>
      </c>
      <c r="Z1872" s="9">
        <v>30.2</v>
      </c>
      <c r="AA1872" s="9">
        <v>30.2</v>
      </c>
      <c r="AB1872" s="9">
        <v>30.3</v>
      </c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</row>
    <row r="1873" spans="1:47" ht="14.4">
      <c r="A1873" s="3">
        <f>LOOKUP(D1873,'AMFI DATA_2023H2'!F:L,'AMFI DATA_2023H2'!L:L)</f>
        <v>3204</v>
      </c>
      <c r="B1873" s="4" t="s">
        <v>5617</v>
      </c>
      <c r="C1873" s="4" t="s">
        <v>5618</v>
      </c>
      <c r="D1873" s="5" t="s">
        <v>5619</v>
      </c>
      <c r="E1873" s="5">
        <v>28.23</v>
      </c>
      <c r="F1873" s="6">
        <f>LOOKUP(D1873,'AMFI DATA_2023H2'!F:J,'AMFI DATA_2023H2'!J:J)</f>
        <v>27.751950000000001</v>
      </c>
      <c r="G1873" s="7">
        <f t="shared" si="7"/>
        <v>-1</v>
      </c>
      <c r="H1873" s="9"/>
      <c r="I1873" s="9">
        <v>42.7</v>
      </c>
      <c r="J1873" s="9">
        <v>45.4</v>
      </c>
      <c r="K1873" s="9">
        <v>45.4</v>
      </c>
      <c r="L1873" s="9">
        <v>47.7</v>
      </c>
      <c r="M1873" s="9">
        <v>49.5</v>
      </c>
      <c r="N1873" s="9">
        <v>51.2</v>
      </c>
      <c r="O1873" s="9">
        <v>56.5</v>
      </c>
      <c r="P1873" s="9">
        <v>52.7</v>
      </c>
      <c r="Q1873" s="9">
        <v>43.9</v>
      </c>
      <c r="R1873" s="9">
        <v>36.299999999999997</v>
      </c>
      <c r="S1873" s="9">
        <v>36.6</v>
      </c>
      <c r="T1873" s="9">
        <v>35.1</v>
      </c>
      <c r="U1873" s="9">
        <v>32.5</v>
      </c>
      <c r="V1873" s="9">
        <v>32.5</v>
      </c>
      <c r="W1873" s="9">
        <v>32.5</v>
      </c>
      <c r="X1873" s="9">
        <v>32.5</v>
      </c>
      <c r="Y1873" s="9">
        <v>31.6</v>
      </c>
      <c r="Z1873" s="9">
        <v>32.200000000000003</v>
      </c>
      <c r="AA1873" s="9">
        <v>33.1</v>
      </c>
      <c r="AB1873" s="9">
        <v>32.200000000000003</v>
      </c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</row>
    <row r="1874" spans="1:47" ht="14.4">
      <c r="A1874" s="3">
        <f>LOOKUP(D1874,'AMFI DATA_2023H2'!F:L,'AMFI DATA_2023H2'!L:L)</f>
        <v>3206</v>
      </c>
      <c r="B1874" s="4" t="s">
        <v>5620</v>
      </c>
      <c r="C1874" s="4" t="s">
        <v>5621</v>
      </c>
      <c r="D1874" s="5" t="s">
        <v>5622</v>
      </c>
      <c r="E1874" s="5">
        <v>29.88</v>
      </c>
      <c r="F1874" s="6">
        <f>LOOKUP(D1874,'AMFI DATA_2023H2'!F:J,'AMFI DATA_2023H2'!J:J)</f>
        <v>27.5749</v>
      </c>
      <c r="G1874" s="7">
        <f t="shared" si="7"/>
        <v>-1</v>
      </c>
      <c r="H1874" s="9"/>
      <c r="I1874" s="9">
        <v>36.5</v>
      </c>
      <c r="J1874" s="9">
        <v>36.5</v>
      </c>
      <c r="K1874" s="9">
        <v>37.200000000000003</v>
      </c>
      <c r="L1874" s="9">
        <v>38.1</v>
      </c>
      <c r="M1874" s="9">
        <v>38.5</v>
      </c>
      <c r="N1874" s="9">
        <v>37.5</v>
      </c>
      <c r="O1874" s="9">
        <v>37.5</v>
      </c>
      <c r="P1874" s="9">
        <v>38.1</v>
      </c>
      <c r="Q1874" s="9">
        <v>37.299999999999997</v>
      </c>
      <c r="R1874" s="9">
        <v>39.4</v>
      </c>
      <c r="S1874" s="9">
        <v>36.6</v>
      </c>
      <c r="T1874" s="9">
        <v>36.9</v>
      </c>
      <c r="U1874" s="9">
        <v>35.1</v>
      </c>
      <c r="V1874" s="9">
        <v>32.9</v>
      </c>
      <c r="W1874" s="9">
        <v>34</v>
      </c>
      <c r="X1874" s="9">
        <v>34.1</v>
      </c>
      <c r="Y1874" s="9">
        <v>35.1</v>
      </c>
      <c r="Z1874" s="9">
        <v>34.700000000000003</v>
      </c>
      <c r="AA1874" s="9">
        <v>33.200000000000003</v>
      </c>
      <c r="AB1874" s="9">
        <v>33.200000000000003</v>
      </c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</row>
    <row r="1875" spans="1:47" ht="14.4">
      <c r="A1875" s="3">
        <f>LOOKUP(D1875,'AMFI DATA_2023H2'!F:L,'AMFI DATA_2023H2'!L:L)</f>
        <v>3209</v>
      </c>
      <c r="B1875" s="4" t="s">
        <v>5623</v>
      </c>
      <c r="C1875" s="4" t="s">
        <v>5624</v>
      </c>
      <c r="D1875" s="5" t="s">
        <v>5625</v>
      </c>
      <c r="E1875" s="5">
        <v>27.71</v>
      </c>
      <c r="F1875" s="6">
        <f>LOOKUP(D1875,'AMFI DATA_2023H2'!F:J,'AMFI DATA_2023H2'!J:J)</f>
        <v>27.500149999999998</v>
      </c>
      <c r="G1875" s="7">
        <f t="shared" si="7"/>
        <v>-1</v>
      </c>
      <c r="H1875" s="9"/>
      <c r="I1875" s="9">
        <v>54.6</v>
      </c>
      <c r="J1875" s="9">
        <v>55.4</v>
      </c>
      <c r="K1875" s="9">
        <v>54.7</v>
      </c>
      <c r="L1875" s="9">
        <v>52.1</v>
      </c>
      <c r="M1875" s="9">
        <v>49.7</v>
      </c>
      <c r="N1875" s="9">
        <v>46.2</v>
      </c>
      <c r="O1875" s="9">
        <v>45.2</v>
      </c>
      <c r="P1875" s="9">
        <v>42.2</v>
      </c>
      <c r="Q1875" s="9">
        <v>41.8</v>
      </c>
      <c r="R1875" s="9">
        <v>40.299999999999997</v>
      </c>
      <c r="S1875" s="9">
        <v>38.5</v>
      </c>
      <c r="T1875" s="9">
        <v>35.200000000000003</v>
      </c>
      <c r="U1875" s="9">
        <v>35.1</v>
      </c>
      <c r="V1875" s="9">
        <v>33.4</v>
      </c>
      <c r="W1875" s="9">
        <v>31.8</v>
      </c>
      <c r="X1875" s="9">
        <v>30.3</v>
      </c>
      <c r="Y1875" s="9">
        <v>31.6</v>
      </c>
      <c r="Z1875" s="9">
        <v>32.1</v>
      </c>
      <c r="AA1875" s="9">
        <v>31.7</v>
      </c>
      <c r="AB1875" s="9">
        <v>30.3</v>
      </c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</row>
    <row r="1876" spans="1:47" ht="14.4">
      <c r="A1876" s="3">
        <f>LOOKUP(D1876,'AMFI DATA_2023H2'!F:L,'AMFI DATA_2023H2'!L:L)</f>
        <v>3222</v>
      </c>
      <c r="B1876" s="4" t="s">
        <v>5626</v>
      </c>
      <c r="C1876" s="4" t="s">
        <v>5627</v>
      </c>
      <c r="D1876" s="5" t="s">
        <v>5628</v>
      </c>
      <c r="E1876" s="5">
        <v>29.36</v>
      </c>
      <c r="F1876" s="6">
        <f>LOOKUP(D1876,'AMFI DATA_2023H2'!F:J,'AMFI DATA_2023H2'!J:J)</f>
        <v>27.036549999999998</v>
      </c>
      <c r="G1876" s="7">
        <f t="shared" si="7"/>
        <v>-1</v>
      </c>
      <c r="H1876" s="9"/>
      <c r="I1876" s="9">
        <v>31.4</v>
      </c>
      <c r="J1876" s="9">
        <v>30.5</v>
      </c>
      <c r="K1876" s="9">
        <v>30</v>
      </c>
      <c r="L1876" s="9">
        <v>31.2</v>
      </c>
      <c r="M1876" s="9">
        <v>30.5</v>
      </c>
      <c r="N1876" s="9">
        <v>31.4</v>
      </c>
      <c r="O1876" s="9">
        <v>31.3</v>
      </c>
      <c r="P1876" s="9">
        <v>30.2</v>
      </c>
      <c r="Q1876" s="9">
        <v>31</v>
      </c>
      <c r="R1876" s="9">
        <v>31.1</v>
      </c>
      <c r="S1876" s="9">
        <v>31.1</v>
      </c>
      <c r="T1876" s="9">
        <v>30.9</v>
      </c>
      <c r="U1876" s="9">
        <v>30.9</v>
      </c>
      <c r="V1876" s="9">
        <v>30.6</v>
      </c>
      <c r="W1876" s="9">
        <v>29.6</v>
      </c>
      <c r="X1876" s="9">
        <v>30.3</v>
      </c>
      <c r="Y1876" s="9">
        <v>27.8</v>
      </c>
      <c r="Z1876" s="9">
        <v>29.2</v>
      </c>
      <c r="AA1876" s="9">
        <v>28.5</v>
      </c>
      <c r="AB1876" s="9">
        <v>29.6</v>
      </c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</row>
    <row r="1877" spans="1:47" ht="14.4">
      <c r="A1877" s="3">
        <f>LOOKUP(D1877,'AMFI DATA_2023H2'!F:L,'AMFI DATA_2023H2'!L:L)</f>
        <v>3230</v>
      </c>
      <c r="B1877" s="4" t="s">
        <v>5629</v>
      </c>
      <c r="C1877" s="4" t="s">
        <v>5630</v>
      </c>
      <c r="D1877" s="5" t="s">
        <v>5631</v>
      </c>
      <c r="E1877" s="5">
        <v>22.04</v>
      </c>
      <c r="F1877" s="6">
        <f>LOOKUP(D1877,'AMFI DATA_2023H2'!F:J,'AMFI DATA_2023H2'!J:J)</f>
        <v>26.681799999999999</v>
      </c>
      <c r="G1877" s="7">
        <f t="shared" si="7"/>
        <v>-1</v>
      </c>
      <c r="H1877" s="9"/>
      <c r="I1877" s="9">
        <v>31.9</v>
      </c>
      <c r="J1877" s="9">
        <v>30.3</v>
      </c>
      <c r="K1877" s="9">
        <v>28.6</v>
      </c>
      <c r="L1877" s="9">
        <v>29.8</v>
      </c>
      <c r="M1877" s="9">
        <v>29.2</v>
      </c>
      <c r="N1877" s="9">
        <v>27.3</v>
      </c>
      <c r="O1877" s="9">
        <v>27.3</v>
      </c>
      <c r="P1877" s="9">
        <v>27.7</v>
      </c>
      <c r="Q1877" s="9">
        <v>27.4</v>
      </c>
      <c r="R1877" s="9">
        <v>26.9</v>
      </c>
      <c r="S1877" s="9">
        <v>27.6</v>
      </c>
      <c r="T1877" s="9">
        <v>27.6</v>
      </c>
      <c r="U1877" s="9">
        <v>27.4</v>
      </c>
      <c r="V1877" s="9">
        <v>28</v>
      </c>
      <c r="W1877" s="9">
        <v>28.6</v>
      </c>
      <c r="X1877" s="9">
        <v>28.5</v>
      </c>
      <c r="Y1877" s="9">
        <v>27.6</v>
      </c>
      <c r="Z1877" s="9">
        <v>29.2</v>
      </c>
      <c r="AA1877" s="9">
        <v>29.2</v>
      </c>
      <c r="AB1877" s="9">
        <v>27.2</v>
      </c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</row>
    <row r="1878" spans="1:47" ht="14.4">
      <c r="A1878" s="3">
        <f>LOOKUP(D1878,'AMFI DATA_2023H2'!F:L,'AMFI DATA_2023H2'!L:L)</f>
        <v>3232</v>
      </c>
      <c r="B1878" s="4" t="s">
        <v>5632</v>
      </c>
      <c r="C1878" s="4" t="s">
        <v>5633</v>
      </c>
      <c r="D1878" s="5" t="s">
        <v>5634</v>
      </c>
      <c r="E1878" s="5">
        <v>24.31</v>
      </c>
      <c r="F1878" s="6">
        <f>LOOKUP(D1878,'AMFI DATA_2023H2'!F:J,'AMFI DATA_2023H2'!J:J)</f>
        <v>26.661650000000002</v>
      </c>
      <c r="G1878" s="7">
        <f t="shared" si="7"/>
        <v>-1</v>
      </c>
      <c r="H1878" s="9"/>
      <c r="I1878" s="9">
        <v>34.200000000000003</v>
      </c>
      <c r="J1878" s="9">
        <v>33.1</v>
      </c>
      <c r="K1878" s="9">
        <v>35.799999999999997</v>
      </c>
      <c r="L1878" s="9">
        <v>35.9</v>
      </c>
      <c r="M1878" s="9">
        <v>39.700000000000003</v>
      </c>
      <c r="N1878" s="9">
        <v>37.1</v>
      </c>
      <c r="O1878" s="9">
        <v>36.799999999999997</v>
      </c>
      <c r="P1878" s="9">
        <v>33.9</v>
      </c>
      <c r="Q1878" s="9">
        <v>33.4</v>
      </c>
      <c r="R1878" s="9">
        <v>31.9</v>
      </c>
      <c r="S1878" s="9">
        <v>30.4</v>
      </c>
      <c r="T1878" s="9">
        <v>28.4</v>
      </c>
      <c r="U1878" s="9">
        <v>30.1</v>
      </c>
      <c r="V1878" s="9">
        <v>29.6</v>
      </c>
      <c r="W1878" s="9">
        <v>31.1</v>
      </c>
      <c r="X1878" s="9">
        <v>30.1</v>
      </c>
      <c r="Y1878" s="9">
        <v>31.4</v>
      </c>
      <c r="Z1878" s="9">
        <v>30.9</v>
      </c>
      <c r="AA1878" s="9">
        <v>27.5</v>
      </c>
      <c r="AB1878" s="9">
        <v>28.9</v>
      </c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</row>
    <row r="1879" spans="1:47" ht="14.4">
      <c r="A1879" s="3">
        <f>LOOKUP(D1879,'AMFI DATA_2023H2'!F:L,'AMFI DATA_2023H2'!L:L)</f>
        <v>3267</v>
      </c>
      <c r="B1879" s="4" t="s">
        <v>5635</v>
      </c>
      <c r="C1879" s="4" t="s">
        <v>5636</v>
      </c>
      <c r="D1879" s="5" t="s">
        <v>5637</v>
      </c>
      <c r="E1879" s="5">
        <v>21.32</v>
      </c>
      <c r="F1879" s="6">
        <f>LOOKUP(D1879,'AMFI DATA_2023H2'!F:J,'AMFI DATA_2023H2'!J:J)</f>
        <v>25.265899999999998</v>
      </c>
      <c r="G1879" s="7">
        <f t="shared" si="7"/>
        <v>-1</v>
      </c>
      <c r="H1879" s="9"/>
      <c r="I1879" s="9">
        <v>31.2</v>
      </c>
      <c r="J1879" s="9">
        <v>32.700000000000003</v>
      </c>
      <c r="K1879" s="9">
        <v>33.5</v>
      </c>
      <c r="L1879" s="9">
        <v>33.9</v>
      </c>
      <c r="M1879" s="9">
        <v>35.700000000000003</v>
      </c>
      <c r="N1879" s="9">
        <v>37.299999999999997</v>
      </c>
      <c r="O1879" s="9">
        <v>41.9</v>
      </c>
      <c r="P1879" s="9">
        <v>37.700000000000003</v>
      </c>
      <c r="Q1879" s="9">
        <v>31.4</v>
      </c>
      <c r="R1879" s="9">
        <v>32.200000000000003</v>
      </c>
      <c r="S1879" s="9">
        <v>33.200000000000003</v>
      </c>
      <c r="T1879" s="9">
        <v>31.2</v>
      </c>
      <c r="U1879" s="9">
        <v>28.8</v>
      </c>
      <c r="V1879" s="9">
        <v>28.4</v>
      </c>
      <c r="W1879" s="9">
        <v>28.3</v>
      </c>
      <c r="X1879" s="9">
        <v>28</v>
      </c>
      <c r="Y1879" s="9">
        <v>28.4</v>
      </c>
      <c r="Z1879" s="9">
        <v>29.5</v>
      </c>
      <c r="AA1879" s="9">
        <v>29.1</v>
      </c>
      <c r="AB1879" s="9">
        <v>28.8</v>
      </c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</row>
    <row r="1880" spans="1:47" ht="14.4">
      <c r="A1880" s="3">
        <f>LOOKUP(D1880,'AMFI DATA_2023H2'!F:L,'AMFI DATA_2023H2'!L:L)</f>
        <v>3271</v>
      </c>
      <c r="B1880" s="4" t="s">
        <v>5638</v>
      </c>
      <c r="C1880" s="4" t="s">
        <v>5639</v>
      </c>
      <c r="D1880" s="5" t="s">
        <v>5640</v>
      </c>
      <c r="E1880" s="5">
        <v>18.149999999999999</v>
      </c>
      <c r="F1880" s="6">
        <f>LOOKUP(D1880,'AMFI DATA_2023H2'!F:J,'AMFI DATA_2023H2'!J:J)</f>
        <v>25.026</v>
      </c>
      <c r="G1880" s="7">
        <f t="shared" si="7"/>
        <v>-1</v>
      </c>
      <c r="H1880" s="9"/>
      <c r="I1880" s="9">
        <v>65.099999999999994</v>
      </c>
      <c r="J1880" s="9">
        <v>66.599999999999994</v>
      </c>
      <c r="K1880" s="9">
        <v>66.599999999999994</v>
      </c>
      <c r="L1880" s="9">
        <v>68.099999999999994</v>
      </c>
      <c r="M1880" s="9">
        <v>69.5</v>
      </c>
      <c r="N1880" s="9">
        <v>69.5</v>
      </c>
      <c r="O1880" s="9">
        <v>69.5</v>
      </c>
      <c r="P1880" s="9">
        <v>69.5</v>
      </c>
      <c r="Q1880" s="9">
        <v>68.099999999999994</v>
      </c>
      <c r="R1880" s="9">
        <v>68.099999999999994</v>
      </c>
      <c r="S1880" s="9">
        <v>68.099999999999994</v>
      </c>
      <c r="T1880" s="9">
        <v>66.599999999999994</v>
      </c>
      <c r="U1880" s="9">
        <v>65.099999999999994</v>
      </c>
      <c r="V1880" s="9">
        <v>65.099999999999994</v>
      </c>
      <c r="W1880" s="9">
        <v>62.2</v>
      </c>
      <c r="X1880" s="9">
        <v>60.7</v>
      </c>
      <c r="Y1880" s="9">
        <v>59.2</v>
      </c>
      <c r="Z1880" s="9">
        <v>60.7</v>
      </c>
      <c r="AA1880" s="9">
        <v>60.7</v>
      </c>
      <c r="AB1880" s="9">
        <v>59.2</v>
      </c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</row>
    <row r="1881" spans="1:47" ht="14.4">
      <c r="A1881" s="3">
        <f>LOOKUP(D1881,'AMFI DATA_2023H2'!F:L,'AMFI DATA_2023H2'!L:L)</f>
        <v>3307</v>
      </c>
      <c r="B1881" s="4" t="s">
        <v>5641</v>
      </c>
      <c r="C1881" s="4" t="s">
        <v>5642</v>
      </c>
      <c r="D1881" s="5" t="s">
        <v>5643</v>
      </c>
      <c r="E1881" s="5">
        <v>32.18</v>
      </c>
      <c r="F1881" s="6">
        <f>LOOKUP(D1881,'AMFI DATA_2023H2'!F:J,'AMFI DATA_2023H2'!J:J)</f>
        <v>24.082999999999998</v>
      </c>
      <c r="G1881" s="7">
        <f t="shared" si="7"/>
        <v>-1</v>
      </c>
      <c r="H1881" s="9"/>
      <c r="I1881" s="9">
        <v>29</v>
      </c>
      <c r="J1881" s="9">
        <v>29</v>
      </c>
      <c r="K1881" s="9">
        <v>29</v>
      </c>
      <c r="L1881" s="9">
        <v>28.9</v>
      </c>
      <c r="M1881" s="9">
        <v>29.5</v>
      </c>
      <c r="N1881" s="9">
        <v>29.5</v>
      </c>
      <c r="O1881" s="9">
        <v>29.5</v>
      </c>
      <c r="P1881" s="9">
        <v>29.5</v>
      </c>
      <c r="Q1881" s="9">
        <v>30.1</v>
      </c>
      <c r="R1881" s="9">
        <v>30.7</v>
      </c>
      <c r="S1881" s="9">
        <v>31.3</v>
      </c>
      <c r="T1881" s="9">
        <v>31.9</v>
      </c>
      <c r="U1881" s="9">
        <v>31.3</v>
      </c>
      <c r="V1881" s="9">
        <v>29.8</v>
      </c>
      <c r="W1881" s="9">
        <v>28.4</v>
      </c>
      <c r="X1881" s="9">
        <v>27.1</v>
      </c>
      <c r="Y1881" s="9">
        <v>25.8</v>
      </c>
      <c r="Z1881" s="9">
        <v>24.7</v>
      </c>
      <c r="AA1881" s="9">
        <v>24.1</v>
      </c>
      <c r="AB1881" s="9">
        <v>24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</row>
    <row r="1882" spans="1:47" ht="14.4">
      <c r="A1882" s="3">
        <f>LOOKUP(D1882,'AMFI DATA_2023H2'!F:L,'AMFI DATA_2023H2'!L:L)</f>
        <v>3325</v>
      </c>
      <c r="B1882" s="4" t="s">
        <v>5644</v>
      </c>
      <c r="C1882" s="4" t="s">
        <v>5645</v>
      </c>
      <c r="D1882" s="5" t="s">
        <v>5646</v>
      </c>
      <c r="E1882" s="5">
        <v>20.97</v>
      </c>
      <c r="F1882" s="6">
        <f>LOOKUP(D1882,'AMFI DATA_2023H2'!F:J,'AMFI DATA_2023H2'!J:J)</f>
        <v>23.517949999999999</v>
      </c>
      <c r="G1882" s="7">
        <f t="shared" si="7"/>
        <v>-1</v>
      </c>
      <c r="H1882" s="9"/>
      <c r="I1882" s="9">
        <v>29</v>
      </c>
      <c r="J1882" s="9">
        <v>28.4</v>
      </c>
      <c r="K1882" s="9">
        <v>29.5</v>
      </c>
      <c r="L1882" s="9">
        <v>31</v>
      </c>
      <c r="M1882" s="9">
        <v>32.200000000000003</v>
      </c>
      <c r="N1882" s="9">
        <v>31.2</v>
      </c>
      <c r="O1882" s="9">
        <v>29</v>
      </c>
      <c r="P1882" s="9">
        <v>26.4</v>
      </c>
      <c r="Q1882" s="9">
        <v>26.4</v>
      </c>
      <c r="R1882" s="9">
        <v>26.2</v>
      </c>
      <c r="S1882" s="9">
        <v>26.7</v>
      </c>
      <c r="T1882" s="9">
        <v>25.6</v>
      </c>
      <c r="U1882" s="9">
        <v>24.6</v>
      </c>
      <c r="V1882" s="9">
        <v>24.8</v>
      </c>
      <c r="W1882" s="9">
        <v>24.8</v>
      </c>
      <c r="X1882" s="9">
        <v>24.6</v>
      </c>
      <c r="Y1882" s="9">
        <v>24.6</v>
      </c>
      <c r="Z1882" s="9">
        <v>24.7</v>
      </c>
      <c r="AA1882" s="9">
        <v>23.3</v>
      </c>
      <c r="AB1882" s="9">
        <v>23.7</v>
      </c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</row>
    <row r="1883" spans="1:47" ht="14.4">
      <c r="A1883" s="3">
        <f>LOOKUP(D1883,'AMFI DATA_2023H2'!F:L,'AMFI DATA_2023H2'!L:L)</f>
        <v>3328</v>
      </c>
      <c r="B1883" s="4" t="s">
        <v>5647</v>
      </c>
      <c r="C1883" s="4" t="s">
        <v>5648</v>
      </c>
      <c r="D1883" s="5" t="s">
        <v>5649</v>
      </c>
      <c r="E1883" s="5">
        <v>25.73</v>
      </c>
      <c r="F1883" s="6">
        <f>LOOKUP(D1883,'AMFI DATA_2023H2'!F:J,'AMFI DATA_2023H2'!J:J)</f>
        <v>23.408200000000001</v>
      </c>
      <c r="G1883" s="7">
        <f t="shared" si="7"/>
        <v>-1</v>
      </c>
      <c r="H1883" s="9"/>
      <c r="I1883" s="9">
        <v>42.8</v>
      </c>
      <c r="J1883" s="9">
        <v>45</v>
      </c>
      <c r="K1883" s="9">
        <v>47.4</v>
      </c>
      <c r="L1883" s="9">
        <v>49.8</v>
      </c>
      <c r="M1883" s="9">
        <v>52.4</v>
      </c>
      <c r="N1883" s="9">
        <v>49.8</v>
      </c>
      <c r="O1883" s="9">
        <v>47.6</v>
      </c>
      <c r="P1883" s="9">
        <v>45.4</v>
      </c>
      <c r="Q1883" s="9">
        <v>43.3</v>
      </c>
      <c r="R1883" s="9">
        <v>41.7</v>
      </c>
      <c r="S1883" s="9">
        <v>41.1</v>
      </c>
      <c r="T1883" s="9">
        <v>37.9</v>
      </c>
      <c r="U1883" s="9">
        <v>37.6</v>
      </c>
      <c r="V1883" s="9">
        <v>35.9</v>
      </c>
      <c r="W1883" s="9">
        <v>34.200000000000003</v>
      </c>
      <c r="X1883" s="9">
        <v>32.6</v>
      </c>
      <c r="Y1883" s="9">
        <v>31.1</v>
      </c>
      <c r="Z1883" s="9">
        <v>29.6</v>
      </c>
      <c r="AA1883" s="9">
        <v>28.6</v>
      </c>
      <c r="AB1883" s="9">
        <v>28.9</v>
      </c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</row>
    <row r="1884" spans="1:47" ht="14.4">
      <c r="A1884" s="3">
        <f>LOOKUP(D1884,'AMFI DATA_2023H2'!F:L,'AMFI DATA_2023H2'!L:L)</f>
        <v>3338</v>
      </c>
      <c r="B1884" s="4" t="s">
        <v>5650</v>
      </c>
      <c r="C1884" s="4" t="s">
        <v>5651</v>
      </c>
      <c r="D1884" s="5" t="s">
        <v>5652</v>
      </c>
      <c r="E1884" s="5">
        <v>15.74</v>
      </c>
      <c r="F1884" s="6">
        <f>LOOKUP(D1884,'AMFI DATA_2023H2'!F:J,'AMFI DATA_2023H2'!J:J)</f>
        <v>23.1767</v>
      </c>
      <c r="G1884" s="7">
        <f t="shared" si="7"/>
        <v>-1</v>
      </c>
      <c r="H1884" s="9"/>
      <c r="I1884" s="9">
        <v>34.1</v>
      </c>
      <c r="J1884" s="9">
        <v>34.1</v>
      </c>
      <c r="K1884" s="9">
        <v>34.1</v>
      </c>
      <c r="L1884" s="9">
        <v>34.1</v>
      </c>
      <c r="M1884" s="9">
        <v>34.1</v>
      </c>
      <c r="N1884" s="9">
        <v>34.1</v>
      </c>
      <c r="O1884" s="9">
        <v>35</v>
      </c>
      <c r="P1884" s="9">
        <v>34.4</v>
      </c>
      <c r="Q1884" s="9">
        <v>33.700000000000003</v>
      </c>
      <c r="R1884" s="9">
        <v>33.1</v>
      </c>
      <c r="S1884" s="9">
        <v>32.4</v>
      </c>
      <c r="T1884" s="9">
        <v>31.8</v>
      </c>
      <c r="U1884" s="9">
        <v>31.2</v>
      </c>
      <c r="V1884" s="9">
        <v>30.6</v>
      </c>
      <c r="W1884" s="9">
        <v>30</v>
      </c>
      <c r="X1884" s="9">
        <v>29.4</v>
      </c>
      <c r="Y1884" s="9">
        <v>29.6</v>
      </c>
      <c r="Z1884" s="9">
        <v>29.1</v>
      </c>
      <c r="AA1884" s="9">
        <v>29.1</v>
      </c>
      <c r="AB1884" s="9">
        <v>28.7</v>
      </c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</row>
    <row r="1885" spans="1:47" ht="14.4">
      <c r="A1885" s="3">
        <f>LOOKUP(D1885,'AMFI DATA_2023H2'!F:L,'AMFI DATA_2023H2'!L:L)</f>
        <v>3343</v>
      </c>
      <c r="B1885" s="4" t="s">
        <v>5653</v>
      </c>
      <c r="C1885" s="4" t="s">
        <v>5654</v>
      </c>
      <c r="D1885" s="5" t="s">
        <v>5655</v>
      </c>
      <c r="E1885" s="5">
        <v>24.45</v>
      </c>
      <c r="F1885" s="6">
        <f>LOOKUP(D1885,'AMFI DATA_2023H2'!F:J,'AMFI DATA_2023H2'!J:J)</f>
        <v>22.884550000000001</v>
      </c>
      <c r="G1885" s="7">
        <f t="shared" si="7"/>
        <v>-1</v>
      </c>
      <c r="H1885" s="9"/>
      <c r="I1885" s="9">
        <v>30.3</v>
      </c>
      <c r="J1885" s="9">
        <v>29.2</v>
      </c>
      <c r="K1885" s="9">
        <v>27.9</v>
      </c>
      <c r="L1885" s="9">
        <v>28.4</v>
      </c>
      <c r="M1885" s="9">
        <v>29.1</v>
      </c>
      <c r="N1885" s="9">
        <v>28.3</v>
      </c>
      <c r="O1885" s="9">
        <v>28.4</v>
      </c>
      <c r="P1885" s="9">
        <v>28</v>
      </c>
      <c r="Q1885" s="9">
        <v>29</v>
      </c>
      <c r="R1885" s="9">
        <v>29.4</v>
      </c>
      <c r="S1885" s="9">
        <v>29.4</v>
      </c>
      <c r="T1885" s="9">
        <v>29.3</v>
      </c>
      <c r="U1885" s="9">
        <v>29.6</v>
      </c>
      <c r="V1885" s="9">
        <v>29.1</v>
      </c>
      <c r="W1885" s="9">
        <v>28</v>
      </c>
      <c r="X1885" s="9">
        <v>28.1</v>
      </c>
      <c r="Y1885" s="9">
        <v>28.8</v>
      </c>
      <c r="Z1885" s="9">
        <v>29.4</v>
      </c>
      <c r="AA1885" s="9">
        <v>29.4</v>
      </c>
      <c r="AB1885" s="9">
        <v>28.6</v>
      </c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</row>
    <row r="1886" spans="1:47" ht="14.4">
      <c r="A1886" s="3">
        <f>LOOKUP(D1886,'AMFI DATA_2023H2'!F:L,'AMFI DATA_2023H2'!L:L)</f>
        <v>3345</v>
      </c>
      <c r="B1886" s="4" t="s">
        <v>5656</v>
      </c>
      <c r="C1886" s="4" t="s">
        <v>5657</v>
      </c>
      <c r="D1886" s="5" t="s">
        <v>5658</v>
      </c>
      <c r="E1886" s="5">
        <v>20.399999999999999</v>
      </c>
      <c r="F1886" s="6">
        <f>LOOKUP(D1886,'AMFI DATA_2023H2'!F:J,'AMFI DATA_2023H2'!J:J)</f>
        <v>22.8598</v>
      </c>
      <c r="G1886" s="7">
        <f t="shared" si="7"/>
        <v>-1</v>
      </c>
      <c r="H1886" s="9"/>
      <c r="I1886" s="9">
        <v>48.9</v>
      </c>
      <c r="J1886" s="9">
        <v>48.3</v>
      </c>
      <c r="K1886" s="9">
        <v>47.6</v>
      </c>
      <c r="L1886" s="9">
        <v>46.9</v>
      </c>
      <c r="M1886" s="9">
        <v>46.2</v>
      </c>
      <c r="N1886" s="9">
        <v>45.5</v>
      </c>
      <c r="O1886" s="9">
        <v>44.8</v>
      </c>
      <c r="P1886" s="9">
        <v>44.1</v>
      </c>
      <c r="Q1886" s="9">
        <v>43.4</v>
      </c>
      <c r="R1886" s="9">
        <v>42.7</v>
      </c>
      <c r="S1886" s="9">
        <v>42</v>
      </c>
      <c r="T1886" s="9">
        <v>41.4</v>
      </c>
      <c r="U1886" s="9">
        <v>40.700000000000003</v>
      </c>
      <c r="V1886" s="9">
        <v>40</v>
      </c>
      <c r="W1886" s="9">
        <v>39.299999999999997</v>
      </c>
      <c r="X1886" s="9">
        <v>38.6</v>
      </c>
      <c r="Y1886" s="9">
        <v>37.9</v>
      </c>
      <c r="Z1886" s="9">
        <v>37.200000000000003</v>
      </c>
      <c r="AA1886" s="9">
        <v>80.599999999999994</v>
      </c>
      <c r="AB1886" s="9">
        <v>53.4</v>
      </c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</row>
    <row r="1887" spans="1:47" ht="14.4">
      <c r="A1887" s="3">
        <f>LOOKUP(D1887,'AMFI DATA_2023H2'!F:L,'AMFI DATA_2023H2'!L:L)</f>
        <v>3353</v>
      </c>
      <c r="B1887" s="4" t="s">
        <v>5659</v>
      </c>
      <c r="C1887" s="4" t="s">
        <v>5660</v>
      </c>
      <c r="D1887" s="5" t="s">
        <v>5661</v>
      </c>
      <c r="E1887" s="5">
        <v>24.63</v>
      </c>
      <c r="F1887" s="6">
        <f>LOOKUP(D1887,'AMFI DATA_2023H2'!F:J,'AMFI DATA_2023H2'!J:J)</f>
        <v>22.600250000000003</v>
      </c>
      <c r="G1887" s="7">
        <f t="shared" si="7"/>
        <v>-1</v>
      </c>
      <c r="H1887" s="9"/>
      <c r="I1887" s="9">
        <v>23.6</v>
      </c>
      <c r="J1887" s="9">
        <v>23.6</v>
      </c>
      <c r="K1887" s="9">
        <v>23.9</v>
      </c>
      <c r="L1887" s="9">
        <v>23.1</v>
      </c>
      <c r="M1887" s="9">
        <v>23</v>
      </c>
      <c r="N1887" s="9">
        <v>23.9</v>
      </c>
      <c r="O1887" s="9">
        <v>23.2</v>
      </c>
      <c r="P1887" s="9">
        <v>21.4</v>
      </c>
      <c r="Q1887" s="9">
        <v>22.2</v>
      </c>
      <c r="R1887" s="9">
        <v>21.1</v>
      </c>
      <c r="S1887" s="9">
        <v>21.2</v>
      </c>
      <c r="T1887" s="9">
        <v>21</v>
      </c>
      <c r="U1887" s="9">
        <v>19.2</v>
      </c>
      <c r="V1887" s="9">
        <v>20.2</v>
      </c>
      <c r="W1887" s="9">
        <v>19.3</v>
      </c>
      <c r="X1887" s="9">
        <v>20.2</v>
      </c>
      <c r="Y1887" s="9">
        <v>20.2</v>
      </c>
      <c r="Z1887" s="9">
        <v>19.899999999999999</v>
      </c>
      <c r="AA1887" s="9">
        <v>19.899999999999999</v>
      </c>
      <c r="AB1887" s="9">
        <v>19.100000000000001</v>
      </c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</row>
    <row r="1888" spans="1:47" ht="14.4">
      <c r="A1888" s="3">
        <f>LOOKUP(D1888,'AMFI DATA_2023H2'!F:L,'AMFI DATA_2023H2'!L:L)</f>
        <v>3360</v>
      </c>
      <c r="B1888" s="4" t="s">
        <v>5662</v>
      </c>
      <c r="C1888" s="4" t="s">
        <v>5663</v>
      </c>
      <c r="D1888" s="5" t="s">
        <v>5664</v>
      </c>
      <c r="E1888" s="5">
        <v>20.69</v>
      </c>
      <c r="F1888" s="6">
        <f>LOOKUP(D1888,'AMFI DATA_2023H2'!F:J,'AMFI DATA_2023H2'!J:J)</f>
        <v>22.388999999999999</v>
      </c>
      <c r="G1888" s="7">
        <f t="shared" si="7"/>
        <v>-1</v>
      </c>
      <c r="H1888" s="9"/>
      <c r="I1888" s="9">
        <v>39.4</v>
      </c>
      <c r="J1888" s="9">
        <v>38.700000000000003</v>
      </c>
      <c r="K1888" s="9">
        <v>38</v>
      </c>
      <c r="L1888" s="9">
        <v>37.200000000000003</v>
      </c>
      <c r="M1888" s="9">
        <v>36.6</v>
      </c>
      <c r="N1888" s="9">
        <v>35.9</v>
      </c>
      <c r="O1888" s="9">
        <v>35.200000000000003</v>
      </c>
      <c r="P1888" s="9">
        <v>34.5</v>
      </c>
      <c r="Q1888" s="9">
        <v>33.9</v>
      </c>
      <c r="R1888" s="9">
        <v>33.200000000000003</v>
      </c>
      <c r="S1888" s="9">
        <v>32.4</v>
      </c>
      <c r="T1888" s="9">
        <v>32</v>
      </c>
      <c r="U1888" s="9">
        <v>32.6</v>
      </c>
      <c r="V1888" s="9">
        <v>33.1</v>
      </c>
      <c r="W1888" s="9">
        <v>33.799999999999997</v>
      </c>
      <c r="X1888" s="9">
        <v>34.4</v>
      </c>
      <c r="Y1888" s="9">
        <v>34</v>
      </c>
      <c r="Z1888" s="9">
        <v>33.299999999999997</v>
      </c>
      <c r="AA1888" s="9">
        <v>35.700000000000003</v>
      </c>
      <c r="AB1888" s="9">
        <v>33.9</v>
      </c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</row>
    <row r="1889" spans="1:47" ht="14.4">
      <c r="A1889" s="3">
        <f>LOOKUP(D1889,'AMFI DATA_2023H2'!F:L,'AMFI DATA_2023H2'!L:L)</f>
        <v>3373</v>
      </c>
      <c r="B1889" s="4" t="s">
        <v>5665</v>
      </c>
      <c r="C1889" s="4" t="s">
        <v>5666</v>
      </c>
      <c r="D1889" s="5" t="s">
        <v>5667</v>
      </c>
      <c r="E1889" s="5">
        <v>22.31</v>
      </c>
      <c r="F1889" s="6">
        <f>LOOKUP(D1889,'AMFI DATA_2023H2'!F:J,'AMFI DATA_2023H2'!J:J)</f>
        <v>22.1586</v>
      </c>
      <c r="G1889" s="7">
        <f t="shared" si="7"/>
        <v>-1</v>
      </c>
      <c r="H1889" s="9"/>
      <c r="I1889" s="9">
        <v>39.200000000000003</v>
      </c>
      <c r="J1889" s="9">
        <v>38</v>
      </c>
      <c r="K1889" s="9">
        <v>37.200000000000003</v>
      </c>
      <c r="L1889" s="9">
        <v>38</v>
      </c>
      <c r="M1889" s="9">
        <v>39.799999999999997</v>
      </c>
      <c r="N1889" s="9">
        <v>38.6</v>
      </c>
      <c r="O1889" s="9">
        <v>38.299999999999997</v>
      </c>
      <c r="P1889" s="9">
        <v>37.200000000000003</v>
      </c>
      <c r="Q1889" s="9">
        <v>35.799999999999997</v>
      </c>
      <c r="R1889" s="9">
        <v>34.299999999999997</v>
      </c>
      <c r="S1889" s="9">
        <v>32.9</v>
      </c>
      <c r="T1889" s="9">
        <v>31</v>
      </c>
      <c r="U1889" s="9">
        <v>29.8</v>
      </c>
      <c r="V1889" s="9">
        <v>29.6</v>
      </c>
      <c r="W1889" s="9">
        <v>29.9</v>
      </c>
      <c r="X1889" s="9">
        <v>28.5</v>
      </c>
      <c r="Y1889" s="9">
        <v>29.1</v>
      </c>
      <c r="Z1889" s="9">
        <v>30.4</v>
      </c>
      <c r="AA1889" s="9">
        <v>30.1</v>
      </c>
      <c r="AB1889" s="9">
        <v>30.4</v>
      </c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</row>
    <row r="1890" spans="1:47" ht="14.4">
      <c r="A1890" s="3">
        <f>LOOKUP(D1890,'AMFI DATA_2023H2'!F:L,'AMFI DATA_2023H2'!L:L)</f>
        <v>3397</v>
      </c>
      <c r="B1890" s="4" t="s">
        <v>5668</v>
      </c>
      <c r="C1890" s="4" t="s">
        <v>5669</v>
      </c>
      <c r="D1890" s="5" t="s">
        <v>5670</v>
      </c>
      <c r="E1890" s="5">
        <v>12.28</v>
      </c>
      <c r="F1890" s="6">
        <f>LOOKUP(D1890,'AMFI DATA_2023H2'!F:J,'AMFI DATA_2023H2'!J:J)</f>
        <v>21.312200000000001</v>
      </c>
      <c r="G1890" s="7">
        <f t="shared" si="7"/>
        <v>-1</v>
      </c>
      <c r="H1890" s="9"/>
      <c r="I1890" s="9">
        <v>25.1</v>
      </c>
      <c r="J1890" s="9">
        <v>25.1</v>
      </c>
      <c r="K1890" s="9">
        <v>25.1</v>
      </c>
      <c r="L1890" s="9">
        <v>25.1</v>
      </c>
      <c r="M1890" s="9">
        <v>25.1</v>
      </c>
      <c r="N1890" s="9">
        <v>25.1</v>
      </c>
      <c r="O1890" s="9">
        <v>23.4</v>
      </c>
      <c r="P1890" s="9">
        <v>23</v>
      </c>
      <c r="Q1890" s="9">
        <v>22.5</v>
      </c>
      <c r="R1890" s="9">
        <v>23.3</v>
      </c>
      <c r="S1890" s="9">
        <v>22.9</v>
      </c>
      <c r="T1890" s="9">
        <v>22.2</v>
      </c>
      <c r="U1890" s="9">
        <v>21.8</v>
      </c>
      <c r="V1890" s="9">
        <v>21.4</v>
      </c>
      <c r="W1890" s="9">
        <v>21.1</v>
      </c>
      <c r="X1890" s="9">
        <v>20.7</v>
      </c>
      <c r="Y1890" s="9">
        <v>20.399999999999999</v>
      </c>
      <c r="Z1890" s="9">
        <v>20</v>
      </c>
      <c r="AA1890" s="9">
        <v>19.8</v>
      </c>
      <c r="AB1890" s="9">
        <v>19.8</v>
      </c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</row>
    <row r="1891" spans="1:47" ht="14.4">
      <c r="A1891" s="3">
        <f>LOOKUP(D1891,'AMFI DATA_2023H2'!F:L,'AMFI DATA_2023H2'!L:L)</f>
        <v>3400</v>
      </c>
      <c r="B1891" s="4" t="s">
        <v>5671</v>
      </c>
      <c r="C1891" s="4" t="s">
        <v>5672</v>
      </c>
      <c r="D1891" s="5" t="s">
        <v>5673</v>
      </c>
      <c r="E1891" s="5">
        <v>20.53</v>
      </c>
      <c r="F1891" s="6">
        <f>LOOKUP(D1891,'AMFI DATA_2023H2'!F:J,'AMFI DATA_2023H2'!J:J)</f>
        <v>21.228149999999999</v>
      </c>
      <c r="G1891" s="7">
        <f t="shared" si="7"/>
        <v>-1</v>
      </c>
      <c r="H1891" s="9"/>
      <c r="I1891" s="9">
        <v>28.4</v>
      </c>
      <c r="J1891" s="9">
        <v>28.1</v>
      </c>
      <c r="K1891" s="9">
        <v>28</v>
      </c>
      <c r="L1891" s="9">
        <v>28.5</v>
      </c>
      <c r="M1891" s="9">
        <v>29.3</v>
      </c>
      <c r="N1891" s="9">
        <v>30</v>
      </c>
      <c r="O1891" s="9">
        <v>29.4</v>
      </c>
      <c r="P1891" s="9">
        <v>29.5</v>
      </c>
      <c r="Q1891" s="9">
        <v>30.1</v>
      </c>
      <c r="R1891" s="9">
        <v>30.1</v>
      </c>
      <c r="S1891" s="9">
        <v>30.1</v>
      </c>
      <c r="T1891" s="9">
        <v>30.6</v>
      </c>
      <c r="U1891" s="9">
        <v>30.9</v>
      </c>
      <c r="V1891" s="9">
        <v>30</v>
      </c>
      <c r="W1891" s="9">
        <v>28.3</v>
      </c>
      <c r="X1891" s="9">
        <v>27.9</v>
      </c>
      <c r="Y1891" s="9">
        <v>27.4</v>
      </c>
      <c r="Z1891" s="9">
        <v>28.3</v>
      </c>
      <c r="AA1891" s="9">
        <v>28.2</v>
      </c>
      <c r="AB1891" s="9">
        <v>29.3</v>
      </c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</row>
    <row r="1892" spans="1:47" ht="14.4">
      <c r="A1892" s="3">
        <f>LOOKUP(D1892,'AMFI DATA_2023H2'!F:L,'AMFI DATA_2023H2'!L:L)</f>
        <v>3422</v>
      </c>
      <c r="B1892" s="4" t="s">
        <v>5674</v>
      </c>
      <c r="C1892" s="4" t="s">
        <v>5675</v>
      </c>
      <c r="D1892" s="5" t="s">
        <v>5676</v>
      </c>
      <c r="E1892" s="5">
        <v>12.4</v>
      </c>
      <c r="F1892" s="6">
        <f>LOOKUP(D1892,'AMFI DATA_2023H2'!F:J,'AMFI DATA_2023H2'!J:J)</f>
        <v>20.170099999999998</v>
      </c>
      <c r="G1892" s="7">
        <f t="shared" si="7"/>
        <v>-1</v>
      </c>
      <c r="H1892" s="9"/>
      <c r="I1892" s="9">
        <v>29</v>
      </c>
      <c r="J1892" s="9">
        <v>29.3</v>
      </c>
      <c r="K1892" s="9">
        <v>28.3</v>
      </c>
      <c r="L1892" s="9">
        <v>29.2</v>
      </c>
      <c r="M1892" s="9">
        <v>30.1</v>
      </c>
      <c r="N1892" s="9">
        <v>29.9</v>
      </c>
      <c r="O1892" s="9">
        <v>29.8</v>
      </c>
      <c r="P1892" s="9">
        <v>29.4</v>
      </c>
      <c r="Q1892" s="9">
        <v>29.8</v>
      </c>
      <c r="R1892" s="9">
        <v>29.6</v>
      </c>
      <c r="S1892" s="9">
        <v>29.4</v>
      </c>
      <c r="T1892" s="9">
        <v>29.1</v>
      </c>
      <c r="U1892" s="9">
        <v>29.1</v>
      </c>
      <c r="V1892" s="9">
        <v>29.2</v>
      </c>
      <c r="W1892" s="9">
        <v>29.4</v>
      </c>
      <c r="X1892" s="9">
        <v>28.7</v>
      </c>
      <c r="Y1892" s="9">
        <v>30.1</v>
      </c>
      <c r="Z1892" s="9">
        <v>29.9</v>
      </c>
      <c r="AA1892" s="9">
        <v>30.1</v>
      </c>
      <c r="AB1892" s="9">
        <v>29.2</v>
      </c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</row>
    <row r="1893" spans="1:47" ht="14.4">
      <c r="A1893" s="3">
        <f>LOOKUP(D1893,'AMFI DATA_2023H2'!F:L,'AMFI DATA_2023H2'!L:L)</f>
        <v>3429</v>
      </c>
      <c r="B1893" s="4" t="s">
        <v>5677</v>
      </c>
      <c r="C1893" s="4" t="s">
        <v>5678</v>
      </c>
      <c r="D1893" s="5" t="s">
        <v>5679</v>
      </c>
      <c r="E1893" s="5">
        <v>17.59</v>
      </c>
      <c r="F1893" s="6">
        <f>LOOKUP(D1893,'AMFI DATA_2023H2'!F:J,'AMFI DATA_2023H2'!J:J)</f>
        <v>19.950600000000001</v>
      </c>
      <c r="G1893" s="7">
        <f t="shared" si="7"/>
        <v>-1</v>
      </c>
      <c r="H1893" s="9"/>
      <c r="I1893" s="9">
        <v>22.5</v>
      </c>
      <c r="J1893" s="9">
        <v>21.6</v>
      </c>
      <c r="K1893" s="9">
        <v>22.1</v>
      </c>
      <c r="L1893" s="9">
        <v>22.4</v>
      </c>
      <c r="M1893" s="9">
        <v>23</v>
      </c>
      <c r="N1893" s="9">
        <v>22.8</v>
      </c>
      <c r="O1893" s="9">
        <v>22.8</v>
      </c>
      <c r="P1893" s="9">
        <v>23.4</v>
      </c>
      <c r="Q1893" s="9">
        <v>23</v>
      </c>
      <c r="R1893" s="9">
        <v>22.4</v>
      </c>
      <c r="S1893" s="9">
        <v>23.3</v>
      </c>
      <c r="T1893" s="9">
        <v>23.2</v>
      </c>
      <c r="U1893" s="9">
        <v>23.6</v>
      </c>
      <c r="V1893" s="9">
        <v>23.6</v>
      </c>
      <c r="W1893" s="9">
        <v>23.4</v>
      </c>
      <c r="X1893" s="9">
        <v>22.7</v>
      </c>
      <c r="Y1893" s="9">
        <v>22.7</v>
      </c>
      <c r="Z1893" s="9">
        <v>23.4</v>
      </c>
      <c r="AA1893" s="9">
        <v>23.5</v>
      </c>
      <c r="AB1893" s="9">
        <v>23</v>
      </c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</row>
    <row r="1894" spans="1:47" ht="14.4">
      <c r="A1894" s="3">
        <f>LOOKUP(D1894,'AMFI DATA_2023H2'!F:L,'AMFI DATA_2023H2'!L:L)</f>
        <v>3439</v>
      </c>
      <c r="B1894" s="4" t="s">
        <v>5680</v>
      </c>
      <c r="C1894" s="4" t="s">
        <v>5681</v>
      </c>
      <c r="D1894" s="5" t="s">
        <v>5682</v>
      </c>
      <c r="E1894" s="5">
        <v>23.13</v>
      </c>
      <c r="F1894" s="6">
        <f>LOOKUP(D1894,'AMFI DATA_2023H2'!F:J,'AMFI DATA_2023H2'!J:J)</f>
        <v>19.663399999999999</v>
      </c>
      <c r="G1894" s="7">
        <f t="shared" si="7"/>
        <v>-1</v>
      </c>
      <c r="H1894" s="9"/>
      <c r="I1894" s="9">
        <v>26.2</v>
      </c>
      <c r="J1894" s="9">
        <v>27.5</v>
      </c>
      <c r="K1894" s="9">
        <v>28.7</v>
      </c>
      <c r="L1894" s="9">
        <v>30</v>
      </c>
      <c r="M1894" s="9">
        <v>30</v>
      </c>
      <c r="N1894" s="9">
        <v>30</v>
      </c>
      <c r="O1894" s="9">
        <v>30</v>
      </c>
      <c r="P1894" s="9">
        <v>30</v>
      </c>
      <c r="Q1894" s="9">
        <v>30</v>
      </c>
      <c r="R1894" s="9">
        <v>28.7</v>
      </c>
      <c r="S1894" s="9">
        <v>27.5</v>
      </c>
      <c r="T1894" s="9">
        <v>26.2</v>
      </c>
      <c r="U1894" s="9">
        <v>26.2</v>
      </c>
      <c r="V1894" s="9">
        <v>27.5</v>
      </c>
      <c r="W1894" s="9">
        <v>27.5</v>
      </c>
      <c r="X1894" s="9">
        <v>26.2</v>
      </c>
      <c r="Y1894" s="9">
        <v>25</v>
      </c>
      <c r="Z1894" s="9">
        <v>26.2</v>
      </c>
      <c r="AA1894" s="9">
        <v>25</v>
      </c>
      <c r="AB1894" s="9">
        <v>26.2</v>
      </c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</row>
    <row r="1895" spans="1:47" ht="14.4">
      <c r="A1895" s="3">
        <f>LOOKUP(D1895,'AMFI DATA_2023H2'!F:L,'AMFI DATA_2023H2'!L:L)</f>
        <v>3449</v>
      </c>
      <c r="B1895" s="4" t="s">
        <v>5683</v>
      </c>
      <c r="C1895" s="4" t="s">
        <v>5684</v>
      </c>
      <c r="D1895" s="5" t="s">
        <v>5685</v>
      </c>
      <c r="E1895" s="5">
        <v>20.25</v>
      </c>
      <c r="F1895" s="6">
        <f>LOOKUP(D1895,'AMFI DATA_2023H2'!F:J,'AMFI DATA_2023H2'!J:J)</f>
        <v>19.348749999999999</v>
      </c>
      <c r="G1895" s="7">
        <f t="shared" si="7"/>
        <v>-1</v>
      </c>
      <c r="H1895" s="9"/>
      <c r="I1895" s="9">
        <v>18.3</v>
      </c>
      <c r="J1895" s="9">
        <v>18.5</v>
      </c>
      <c r="K1895" s="9">
        <v>18.399999999999999</v>
      </c>
      <c r="L1895" s="9">
        <v>18.5</v>
      </c>
      <c r="M1895" s="9">
        <v>18.899999999999999</v>
      </c>
      <c r="N1895" s="9">
        <v>19.399999999999999</v>
      </c>
      <c r="O1895" s="9">
        <v>19.600000000000001</v>
      </c>
      <c r="P1895" s="9">
        <v>18.600000000000001</v>
      </c>
      <c r="Q1895" s="9">
        <v>17.8</v>
      </c>
      <c r="R1895" s="9">
        <v>17.3</v>
      </c>
      <c r="S1895" s="9">
        <v>17.2</v>
      </c>
      <c r="T1895" s="9">
        <v>17.100000000000001</v>
      </c>
      <c r="U1895" s="9">
        <v>17.100000000000001</v>
      </c>
      <c r="V1895" s="9">
        <v>17.600000000000001</v>
      </c>
      <c r="W1895" s="9">
        <v>18.100000000000001</v>
      </c>
      <c r="X1895" s="9">
        <v>18.100000000000001</v>
      </c>
      <c r="Y1895" s="9">
        <v>17.5</v>
      </c>
      <c r="Z1895" s="9">
        <v>17.3</v>
      </c>
      <c r="AA1895" s="9">
        <v>17.5</v>
      </c>
      <c r="AB1895" s="9">
        <v>17.3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</row>
    <row r="1896" spans="1:47" ht="14.4">
      <c r="A1896" s="3">
        <f>LOOKUP(D1896,'AMFI DATA_2023H2'!F:L,'AMFI DATA_2023H2'!L:L)</f>
        <v>3450</v>
      </c>
      <c r="B1896" s="4" t="s">
        <v>5686</v>
      </c>
      <c r="C1896" s="4" t="s">
        <v>5687</v>
      </c>
      <c r="D1896" s="5" t="s">
        <v>5688</v>
      </c>
      <c r="E1896" s="5">
        <v>19.600000000000001</v>
      </c>
      <c r="F1896" s="6">
        <f>LOOKUP(D1896,'AMFI DATA_2023H2'!F:J,'AMFI DATA_2023H2'!J:J)</f>
        <v>19.319500000000001</v>
      </c>
      <c r="G1896" s="7">
        <f t="shared" si="7"/>
        <v>-1</v>
      </c>
      <c r="H1896" s="9"/>
      <c r="I1896" s="9">
        <v>21.6</v>
      </c>
      <c r="J1896" s="9">
        <v>22.4</v>
      </c>
      <c r="K1896" s="9">
        <v>21.2</v>
      </c>
      <c r="L1896" s="9">
        <v>21.5</v>
      </c>
      <c r="M1896" s="9">
        <v>22.2</v>
      </c>
      <c r="N1896" s="9">
        <v>22.4</v>
      </c>
      <c r="O1896" s="9">
        <v>22.9</v>
      </c>
      <c r="P1896" s="9">
        <v>21</v>
      </c>
      <c r="Q1896" s="9">
        <v>20.8</v>
      </c>
      <c r="R1896" s="9">
        <v>20.9</v>
      </c>
      <c r="S1896" s="9">
        <v>21.2</v>
      </c>
      <c r="T1896" s="9">
        <v>21.2</v>
      </c>
      <c r="U1896" s="9">
        <v>19.8</v>
      </c>
      <c r="V1896" s="9">
        <v>19.899999999999999</v>
      </c>
      <c r="W1896" s="9">
        <v>19.899999999999999</v>
      </c>
      <c r="X1896" s="9">
        <v>19.8</v>
      </c>
      <c r="Y1896" s="9">
        <v>20</v>
      </c>
      <c r="Z1896" s="9">
        <v>20.2</v>
      </c>
      <c r="AA1896" s="9">
        <v>20</v>
      </c>
      <c r="AB1896" s="9">
        <v>20</v>
      </c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</row>
    <row r="1897" spans="1:47" ht="14.4">
      <c r="A1897" s="3">
        <f>LOOKUP(D1897,'AMFI DATA_2023H2'!F:L,'AMFI DATA_2023H2'!L:L)</f>
        <v>3469</v>
      </c>
      <c r="B1897" s="4" t="s">
        <v>5689</v>
      </c>
      <c r="C1897" s="4" t="s">
        <v>5690</v>
      </c>
      <c r="D1897" s="5" t="s">
        <v>5691</v>
      </c>
      <c r="E1897" s="5">
        <v>15.69</v>
      </c>
      <c r="F1897" s="6">
        <f>LOOKUP(D1897,'AMFI DATA_2023H2'!F:J,'AMFI DATA_2023H2'!J:J)</f>
        <v>18.852899999999998</v>
      </c>
      <c r="G1897" s="7">
        <f t="shared" si="7"/>
        <v>-1</v>
      </c>
      <c r="H1897" s="9"/>
      <c r="I1897" s="9">
        <v>26.2</v>
      </c>
      <c r="J1897" s="9">
        <v>26.7</v>
      </c>
      <c r="K1897" s="9">
        <v>27.2</v>
      </c>
      <c r="L1897" s="9">
        <v>27.7</v>
      </c>
      <c r="M1897" s="9">
        <v>28.1</v>
      </c>
      <c r="N1897" s="9">
        <v>28.3</v>
      </c>
      <c r="O1897" s="9">
        <v>28.9</v>
      </c>
      <c r="P1897" s="9">
        <v>29.4</v>
      </c>
      <c r="Q1897" s="9">
        <v>30.2</v>
      </c>
      <c r="R1897" s="9">
        <v>30</v>
      </c>
      <c r="S1897" s="9">
        <v>30.6</v>
      </c>
      <c r="T1897" s="9">
        <v>31.2</v>
      </c>
      <c r="U1897" s="9">
        <v>31.8</v>
      </c>
      <c r="V1897" s="9">
        <v>32.4</v>
      </c>
      <c r="W1897" s="9">
        <v>34</v>
      </c>
      <c r="X1897" s="9">
        <v>33.200000000000003</v>
      </c>
      <c r="Y1897" s="9">
        <v>32.799999999999997</v>
      </c>
      <c r="Z1897" s="9">
        <v>32.1</v>
      </c>
      <c r="AA1897" s="9">
        <v>30.3</v>
      </c>
      <c r="AB1897" s="9">
        <v>29.4</v>
      </c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</row>
    <row r="1898" spans="1:47" ht="14.4">
      <c r="A1898" s="3">
        <f>LOOKUP(D1898,'AMFI DATA_2023H2'!F:L,'AMFI DATA_2023H2'!L:L)</f>
        <v>3485</v>
      </c>
      <c r="B1898" s="4" t="s">
        <v>5692</v>
      </c>
      <c r="C1898" s="4" t="s">
        <v>5693</v>
      </c>
      <c r="D1898" s="5" t="s">
        <v>5694</v>
      </c>
      <c r="E1898" s="5">
        <v>13.27</v>
      </c>
      <c r="F1898" s="6">
        <f>LOOKUP(D1898,'AMFI DATA_2023H2'!F:J,'AMFI DATA_2023H2'!J:J)</f>
        <v>18.40325</v>
      </c>
      <c r="G1898" s="7">
        <f t="shared" si="7"/>
        <v>-1</v>
      </c>
      <c r="H1898" s="9"/>
      <c r="I1898" s="9">
        <v>45</v>
      </c>
      <c r="J1898" s="9">
        <v>42.9</v>
      </c>
      <c r="K1898" s="9">
        <v>40.799999999999997</v>
      </c>
      <c r="L1898" s="9">
        <v>38.9</v>
      </c>
      <c r="M1898" s="9">
        <v>37</v>
      </c>
      <c r="N1898" s="9">
        <v>35.299999999999997</v>
      </c>
      <c r="O1898" s="9">
        <v>33.6</v>
      </c>
      <c r="P1898" s="9">
        <v>31.6</v>
      </c>
      <c r="Q1898" s="9">
        <v>30.5</v>
      </c>
      <c r="R1898" s="9">
        <v>29.1</v>
      </c>
      <c r="S1898" s="9">
        <v>27.7</v>
      </c>
      <c r="T1898" s="9">
        <v>26</v>
      </c>
      <c r="U1898" s="9">
        <v>25.2</v>
      </c>
      <c r="V1898" s="9">
        <v>23.6</v>
      </c>
      <c r="W1898" s="9">
        <v>22.9</v>
      </c>
      <c r="X1898" s="9">
        <v>21.8</v>
      </c>
      <c r="Y1898" s="9">
        <v>20.8</v>
      </c>
      <c r="Z1898" s="9">
        <v>20.5</v>
      </c>
      <c r="AA1898" s="9">
        <v>20.100000000000001</v>
      </c>
      <c r="AB1898" s="9">
        <v>19.899999999999999</v>
      </c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</row>
    <row r="1899" spans="1:47" ht="14.4">
      <c r="A1899" s="3">
        <f>LOOKUP(D1899,'AMFI DATA_2023H2'!F:L,'AMFI DATA_2023H2'!L:L)</f>
        <v>3486</v>
      </c>
      <c r="B1899" s="4" t="s">
        <v>5695</v>
      </c>
      <c r="C1899" s="4" t="s">
        <v>5696</v>
      </c>
      <c r="D1899" s="5" t="s">
        <v>5697</v>
      </c>
      <c r="E1899" s="5">
        <v>18.73</v>
      </c>
      <c r="F1899" s="6">
        <f>LOOKUP(D1899,'AMFI DATA_2023H2'!F:J,'AMFI DATA_2023H2'!J:J)</f>
        <v>18.390599999999999</v>
      </c>
      <c r="G1899" s="7">
        <f t="shared" si="7"/>
        <v>-1</v>
      </c>
      <c r="H1899" s="9"/>
      <c r="I1899" s="9">
        <v>24.6</v>
      </c>
      <c r="J1899" s="9">
        <v>24.1</v>
      </c>
      <c r="K1899" s="9">
        <v>23.4</v>
      </c>
      <c r="L1899" s="9">
        <v>23.3</v>
      </c>
      <c r="M1899" s="9">
        <v>22.2</v>
      </c>
      <c r="N1899" s="9">
        <v>21.5</v>
      </c>
      <c r="O1899" s="9">
        <v>21.5</v>
      </c>
      <c r="P1899" s="9">
        <v>21.8</v>
      </c>
      <c r="Q1899" s="9">
        <v>21.8</v>
      </c>
      <c r="R1899" s="9">
        <v>22.1</v>
      </c>
      <c r="S1899" s="9">
        <v>22.4</v>
      </c>
      <c r="T1899" s="9">
        <v>22.9</v>
      </c>
      <c r="U1899" s="9">
        <v>23.2</v>
      </c>
      <c r="V1899" s="9">
        <v>22.9</v>
      </c>
      <c r="W1899" s="9">
        <v>23.1</v>
      </c>
      <c r="X1899" s="9">
        <v>23.2</v>
      </c>
      <c r="Y1899" s="9">
        <v>22.7</v>
      </c>
      <c r="Z1899" s="9">
        <v>22.3</v>
      </c>
      <c r="AA1899" s="9">
        <v>22.3</v>
      </c>
      <c r="AB1899" s="9">
        <v>22.3</v>
      </c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</row>
    <row r="1900" spans="1:47" ht="14.4">
      <c r="A1900" s="3">
        <f>LOOKUP(D1900,'AMFI DATA_2023H2'!F:L,'AMFI DATA_2023H2'!L:L)</f>
        <v>3512</v>
      </c>
      <c r="B1900" s="4" t="s">
        <v>5698</v>
      </c>
      <c r="C1900" s="4" t="s">
        <v>5699</v>
      </c>
      <c r="D1900" s="5" t="s">
        <v>5700</v>
      </c>
      <c r="E1900" s="5">
        <v>20.94</v>
      </c>
      <c r="F1900" s="6">
        <f>LOOKUP(D1900,'AMFI DATA_2023H2'!F:J,'AMFI DATA_2023H2'!J:J)</f>
        <v>17.6693</v>
      </c>
      <c r="G1900" s="7">
        <f t="shared" si="7"/>
        <v>-1</v>
      </c>
      <c r="H1900" s="9"/>
      <c r="I1900" s="9">
        <v>19.399999999999999</v>
      </c>
      <c r="J1900" s="9">
        <v>19.7</v>
      </c>
      <c r="K1900" s="9">
        <v>19.399999999999999</v>
      </c>
      <c r="L1900" s="9">
        <v>19.100000000000001</v>
      </c>
      <c r="M1900" s="9">
        <v>19.899999999999999</v>
      </c>
      <c r="N1900" s="9">
        <v>19.899999999999999</v>
      </c>
      <c r="O1900" s="9">
        <v>19.2</v>
      </c>
      <c r="P1900" s="9">
        <v>18.3</v>
      </c>
      <c r="Q1900" s="9">
        <v>18</v>
      </c>
      <c r="R1900" s="9">
        <v>18</v>
      </c>
      <c r="S1900" s="9">
        <v>18.399999999999999</v>
      </c>
      <c r="T1900" s="9">
        <v>18.3</v>
      </c>
      <c r="U1900" s="9">
        <v>17.600000000000001</v>
      </c>
      <c r="V1900" s="9">
        <v>17.100000000000001</v>
      </c>
      <c r="W1900" s="9">
        <v>17.600000000000001</v>
      </c>
      <c r="X1900" s="9">
        <v>17.2</v>
      </c>
      <c r="Y1900" s="9">
        <v>17.5</v>
      </c>
      <c r="Z1900" s="9">
        <v>18.3</v>
      </c>
      <c r="AA1900" s="9">
        <v>18.600000000000001</v>
      </c>
      <c r="AB1900" s="9">
        <v>18.600000000000001</v>
      </c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</row>
    <row r="1901" spans="1:47" ht="14.4">
      <c r="A1901" s="3">
        <f>LOOKUP(D1901,'AMFI DATA_2023H2'!F:L,'AMFI DATA_2023H2'!L:L)</f>
        <v>3519</v>
      </c>
      <c r="B1901" s="4" t="s">
        <v>5701</v>
      </c>
      <c r="C1901" s="4" t="s">
        <v>5702</v>
      </c>
      <c r="D1901" s="5" t="s">
        <v>5703</v>
      </c>
      <c r="E1901" s="5">
        <v>17.46</v>
      </c>
      <c r="F1901" s="6">
        <f>LOOKUP(D1901,'AMFI DATA_2023H2'!F:J,'AMFI DATA_2023H2'!J:J)</f>
        <v>17.270899999999997</v>
      </c>
      <c r="G1901" s="7">
        <f t="shared" si="7"/>
        <v>-1</v>
      </c>
      <c r="H1901" s="9"/>
      <c r="I1901" s="9">
        <v>17.8</v>
      </c>
      <c r="J1901" s="9">
        <v>18</v>
      </c>
      <c r="K1901" s="9">
        <v>18.600000000000001</v>
      </c>
      <c r="L1901" s="9">
        <v>19.600000000000001</v>
      </c>
      <c r="M1901" s="9">
        <v>19.600000000000001</v>
      </c>
      <c r="N1901" s="9">
        <v>19.600000000000001</v>
      </c>
      <c r="O1901" s="9">
        <v>20.100000000000001</v>
      </c>
      <c r="P1901" s="9">
        <v>20.9</v>
      </c>
      <c r="Q1901" s="9">
        <v>21.2</v>
      </c>
      <c r="R1901" s="9">
        <v>20.100000000000001</v>
      </c>
      <c r="S1901" s="9">
        <v>19.5</v>
      </c>
      <c r="T1901" s="9">
        <v>18.600000000000001</v>
      </c>
      <c r="U1901" s="9">
        <v>18.3</v>
      </c>
      <c r="V1901" s="9">
        <v>18.3</v>
      </c>
      <c r="W1901" s="9">
        <v>18.899999999999999</v>
      </c>
      <c r="X1901" s="9">
        <v>18.3</v>
      </c>
      <c r="Y1901" s="9">
        <v>18.399999999999999</v>
      </c>
      <c r="Z1901" s="9">
        <v>17.899999999999999</v>
      </c>
      <c r="AA1901" s="9">
        <v>18.399999999999999</v>
      </c>
      <c r="AB1901" s="9">
        <v>18.2</v>
      </c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</row>
    <row r="1902" spans="1:47" ht="14.4">
      <c r="A1902" s="3">
        <f>LOOKUP(D1902,'AMFI DATA_2023H2'!F:L,'AMFI DATA_2023H2'!L:L)</f>
        <v>3528</v>
      </c>
      <c r="B1902" s="4" t="s">
        <v>5704</v>
      </c>
      <c r="C1902" s="4" t="s">
        <v>5705</v>
      </c>
      <c r="D1902" s="5" t="s">
        <v>5706</v>
      </c>
      <c r="E1902" s="5">
        <v>21.05</v>
      </c>
      <c r="F1902" s="6">
        <f>LOOKUP(D1902,'AMFI DATA_2023H2'!F:J,'AMFI DATA_2023H2'!J:J)</f>
        <v>17.158100000000001</v>
      </c>
      <c r="G1902" s="7">
        <f t="shared" si="7"/>
        <v>-1</v>
      </c>
      <c r="H1902" s="9"/>
      <c r="I1902" s="9">
        <v>26</v>
      </c>
      <c r="J1902" s="9">
        <v>26</v>
      </c>
      <c r="K1902" s="9">
        <v>26</v>
      </c>
      <c r="L1902" s="9">
        <v>26</v>
      </c>
      <c r="M1902" s="9">
        <v>26.2</v>
      </c>
      <c r="N1902" s="9">
        <v>24.9</v>
      </c>
      <c r="O1902" s="9">
        <v>24</v>
      </c>
      <c r="P1902" s="9">
        <v>22.9</v>
      </c>
      <c r="Q1902" s="9">
        <v>21.9</v>
      </c>
      <c r="R1902" s="9">
        <v>20.8</v>
      </c>
      <c r="S1902" s="9">
        <v>19.899999999999999</v>
      </c>
      <c r="T1902" s="9">
        <v>20.9</v>
      </c>
      <c r="U1902" s="9">
        <v>19.5</v>
      </c>
      <c r="V1902" s="9">
        <v>19.3</v>
      </c>
      <c r="W1902" s="9">
        <v>18.399999999999999</v>
      </c>
      <c r="X1902" s="9">
        <v>19.399999999999999</v>
      </c>
      <c r="Y1902" s="9">
        <v>20</v>
      </c>
      <c r="Z1902" s="9">
        <v>18.2</v>
      </c>
      <c r="AA1902" s="9">
        <v>16.7</v>
      </c>
      <c r="AB1902" s="9">
        <v>17.8</v>
      </c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</row>
    <row r="1903" spans="1:47" ht="14.4">
      <c r="A1903" s="3">
        <f>LOOKUP(D1903,'AMFI DATA_2023H2'!F:L,'AMFI DATA_2023H2'!L:L)</f>
        <v>3562</v>
      </c>
      <c r="B1903" s="4" t="s">
        <v>5707</v>
      </c>
      <c r="C1903" s="4" t="s">
        <v>5708</v>
      </c>
      <c r="D1903" s="5" t="s">
        <v>5709</v>
      </c>
      <c r="E1903" s="5">
        <v>17.5</v>
      </c>
      <c r="F1903" s="6">
        <f>LOOKUP(D1903,'AMFI DATA_2023H2'!F:J,'AMFI DATA_2023H2'!J:J)</f>
        <v>16.315550000000002</v>
      </c>
      <c r="G1903" s="7">
        <f t="shared" si="7"/>
        <v>-1</v>
      </c>
      <c r="H1903" s="9"/>
      <c r="I1903" s="9">
        <v>17</v>
      </c>
      <c r="J1903" s="9">
        <v>17</v>
      </c>
      <c r="K1903" s="9">
        <v>17</v>
      </c>
      <c r="L1903" s="9">
        <v>17.399999999999999</v>
      </c>
      <c r="M1903" s="9">
        <v>17.2</v>
      </c>
      <c r="N1903" s="9">
        <v>17.600000000000001</v>
      </c>
      <c r="O1903" s="9">
        <v>18.3</v>
      </c>
      <c r="P1903" s="9">
        <v>18</v>
      </c>
      <c r="Q1903" s="9">
        <v>18.100000000000001</v>
      </c>
      <c r="R1903" s="9">
        <v>18.3</v>
      </c>
      <c r="S1903" s="9">
        <v>18.600000000000001</v>
      </c>
      <c r="T1903" s="9">
        <v>18.7</v>
      </c>
      <c r="U1903" s="9">
        <v>18.600000000000001</v>
      </c>
      <c r="V1903" s="9">
        <v>19</v>
      </c>
      <c r="W1903" s="9">
        <v>18.3</v>
      </c>
      <c r="X1903" s="9">
        <v>18.8</v>
      </c>
      <c r="Y1903" s="9">
        <v>18.399999999999999</v>
      </c>
      <c r="Z1903" s="9">
        <v>18.600000000000001</v>
      </c>
      <c r="AA1903" s="9">
        <v>19.399999999999999</v>
      </c>
      <c r="AB1903" s="9">
        <v>20.100000000000001</v>
      </c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</row>
    <row r="1904" spans="1:47" ht="14.4">
      <c r="A1904" s="3">
        <f>LOOKUP(D1904,'AMFI DATA_2023H2'!F:L,'AMFI DATA_2023H2'!L:L)</f>
        <v>3582</v>
      </c>
      <c r="B1904" s="4" t="s">
        <v>5710</v>
      </c>
      <c r="C1904" s="4" t="s">
        <v>5711</v>
      </c>
      <c r="D1904" s="5" t="s">
        <v>5712</v>
      </c>
      <c r="E1904" s="5">
        <v>14.1</v>
      </c>
      <c r="F1904" s="6">
        <f>LOOKUP(D1904,'AMFI DATA_2023H2'!F:J,'AMFI DATA_2023H2'!J:J)</f>
        <v>15.941599999999999</v>
      </c>
      <c r="G1904" s="7">
        <f t="shared" si="7"/>
        <v>-1</v>
      </c>
      <c r="H1904" s="9"/>
      <c r="I1904" s="9">
        <v>20.399999999999999</v>
      </c>
      <c r="J1904" s="9">
        <v>20.399999999999999</v>
      </c>
      <c r="K1904" s="9">
        <v>20</v>
      </c>
      <c r="L1904" s="9">
        <v>20.3</v>
      </c>
      <c r="M1904" s="9">
        <v>20.100000000000001</v>
      </c>
      <c r="N1904" s="9">
        <v>20.3</v>
      </c>
      <c r="O1904" s="9">
        <v>20.2</v>
      </c>
      <c r="P1904" s="9">
        <v>20.5</v>
      </c>
      <c r="Q1904" s="9">
        <v>20</v>
      </c>
      <c r="R1904" s="9">
        <v>20.3</v>
      </c>
      <c r="S1904" s="9">
        <v>20.9</v>
      </c>
      <c r="T1904" s="9">
        <v>20.8</v>
      </c>
      <c r="U1904" s="9">
        <v>20.7</v>
      </c>
      <c r="V1904" s="9">
        <v>20.7</v>
      </c>
      <c r="W1904" s="9">
        <v>20.399999999999999</v>
      </c>
      <c r="X1904" s="9">
        <v>20.9</v>
      </c>
      <c r="Y1904" s="9">
        <v>21.5</v>
      </c>
      <c r="Z1904" s="9">
        <v>21.5</v>
      </c>
      <c r="AA1904" s="9">
        <v>20.5</v>
      </c>
      <c r="AB1904" s="9">
        <v>21.5</v>
      </c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</row>
    <row r="1905" spans="1:47" ht="14.4">
      <c r="A1905" s="3">
        <f>LOOKUP(D1905,'AMFI DATA_2023H2'!F:L,'AMFI DATA_2023H2'!L:L)</f>
        <v>3611</v>
      </c>
      <c r="B1905" s="4" t="s">
        <v>5713</v>
      </c>
      <c r="C1905" s="4" t="s">
        <v>5714</v>
      </c>
      <c r="D1905" s="5" t="s">
        <v>5715</v>
      </c>
      <c r="E1905" s="5">
        <v>19.93</v>
      </c>
      <c r="F1905" s="6">
        <f>LOOKUP(D1905,'AMFI DATA_2023H2'!F:J,'AMFI DATA_2023H2'!J:J)</f>
        <v>15.193000000000001</v>
      </c>
      <c r="G1905" s="7">
        <f t="shared" si="7"/>
        <v>-1</v>
      </c>
      <c r="H1905" s="9"/>
      <c r="I1905" s="9">
        <v>21.2</v>
      </c>
      <c r="J1905" s="9">
        <v>20.8</v>
      </c>
      <c r="K1905" s="9">
        <v>19.8</v>
      </c>
      <c r="L1905" s="9">
        <v>20.8</v>
      </c>
      <c r="M1905" s="9">
        <v>21.9</v>
      </c>
      <c r="N1905" s="9">
        <v>22.3</v>
      </c>
      <c r="O1905" s="9">
        <v>22</v>
      </c>
      <c r="P1905" s="9">
        <v>20.6</v>
      </c>
      <c r="Q1905" s="9">
        <v>20</v>
      </c>
      <c r="R1905" s="9">
        <v>19.2</v>
      </c>
      <c r="S1905" s="9">
        <v>18.2</v>
      </c>
      <c r="T1905" s="9">
        <v>18.2</v>
      </c>
      <c r="U1905" s="9">
        <v>17.8</v>
      </c>
      <c r="V1905" s="9">
        <v>17.2</v>
      </c>
      <c r="W1905" s="9">
        <v>16.2</v>
      </c>
      <c r="X1905" s="9">
        <v>15.8</v>
      </c>
      <c r="Y1905" s="9">
        <v>15.9</v>
      </c>
      <c r="Z1905" s="9">
        <v>16.100000000000001</v>
      </c>
      <c r="AA1905" s="9">
        <v>16.100000000000001</v>
      </c>
      <c r="AB1905" s="9">
        <v>16.5</v>
      </c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</row>
    <row r="1906" spans="1:47" ht="14.4">
      <c r="A1906" s="3">
        <f>LOOKUP(D1906,'AMFI DATA_2023H2'!F:L,'AMFI DATA_2023H2'!L:L)</f>
        <v>3684</v>
      </c>
      <c r="B1906" s="4" t="s">
        <v>5716</v>
      </c>
      <c r="C1906" s="4" t="s">
        <v>5717</v>
      </c>
      <c r="D1906" s="5" t="s">
        <v>5718</v>
      </c>
      <c r="E1906" s="5">
        <v>10.81</v>
      </c>
      <c r="F1906" s="6">
        <f>LOOKUP(D1906,'AMFI DATA_2023H2'!F:J,'AMFI DATA_2023H2'!J:J)</f>
        <v>13.488300000000001</v>
      </c>
      <c r="G1906" s="7">
        <f t="shared" si="7"/>
        <v>-1</v>
      </c>
      <c r="H1906" s="9"/>
      <c r="I1906" s="9">
        <v>22.5</v>
      </c>
      <c r="J1906" s="9">
        <v>23.2</v>
      </c>
      <c r="K1906" s="9">
        <v>24</v>
      </c>
      <c r="L1906" s="9">
        <v>24.8</v>
      </c>
      <c r="M1906" s="9">
        <v>25.6</v>
      </c>
      <c r="N1906" s="9">
        <v>26.4</v>
      </c>
      <c r="O1906" s="9">
        <v>27.1</v>
      </c>
      <c r="P1906" s="9">
        <v>27.9</v>
      </c>
      <c r="Q1906" s="9">
        <v>27.1</v>
      </c>
      <c r="R1906" s="9">
        <v>27.1</v>
      </c>
      <c r="S1906" s="9">
        <v>26.4</v>
      </c>
      <c r="T1906" s="9">
        <v>25.6</v>
      </c>
      <c r="U1906" s="9">
        <v>24.8</v>
      </c>
      <c r="V1906" s="9">
        <v>24</v>
      </c>
      <c r="W1906" s="9">
        <v>23.3</v>
      </c>
      <c r="X1906" s="9">
        <v>22.5</v>
      </c>
      <c r="Y1906" s="9">
        <v>23.3</v>
      </c>
      <c r="Z1906" s="9">
        <v>22.5</v>
      </c>
      <c r="AA1906" s="9">
        <v>21.7</v>
      </c>
      <c r="AB1906" s="9">
        <v>20.9</v>
      </c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</row>
    <row r="1907" spans="1:47" ht="14.4">
      <c r="A1907" s="3">
        <f>LOOKUP(D1907,'AMFI DATA_2023H2'!F:L,'AMFI DATA_2023H2'!L:L)</f>
        <v>3688</v>
      </c>
      <c r="B1907" s="4" t="s">
        <v>5719</v>
      </c>
      <c r="C1907" s="4" t="s">
        <v>5720</v>
      </c>
      <c r="D1907" s="5" t="s">
        <v>5721</v>
      </c>
      <c r="E1907" s="5">
        <v>10.5</v>
      </c>
      <c r="F1907" s="6">
        <f>LOOKUP(D1907,'AMFI DATA_2023H2'!F:J,'AMFI DATA_2023H2'!J:J)</f>
        <v>13.3598</v>
      </c>
      <c r="G1907" s="7">
        <f t="shared" si="7"/>
        <v>-1</v>
      </c>
      <c r="H1907" s="9"/>
      <c r="I1907" s="9">
        <v>16.399999999999999</v>
      </c>
      <c r="J1907" s="9">
        <v>16.100000000000001</v>
      </c>
      <c r="K1907" s="9">
        <v>16.3</v>
      </c>
      <c r="L1907" s="9">
        <v>16.2</v>
      </c>
      <c r="M1907" s="9">
        <v>16.399999999999999</v>
      </c>
      <c r="N1907" s="9">
        <v>16.399999999999999</v>
      </c>
      <c r="O1907" s="9">
        <v>16.5</v>
      </c>
      <c r="P1907" s="9">
        <v>16.100000000000001</v>
      </c>
      <c r="Q1907" s="9">
        <v>16</v>
      </c>
      <c r="R1907" s="9">
        <v>16.600000000000001</v>
      </c>
      <c r="S1907" s="9">
        <v>17.399999999999999</v>
      </c>
      <c r="T1907" s="9">
        <v>16.2</v>
      </c>
      <c r="U1907" s="9">
        <v>16.399999999999999</v>
      </c>
      <c r="V1907" s="9">
        <v>16.100000000000001</v>
      </c>
      <c r="W1907" s="9">
        <v>15.9</v>
      </c>
      <c r="X1907" s="9">
        <v>16.2</v>
      </c>
      <c r="Y1907" s="9">
        <v>16.2</v>
      </c>
      <c r="Z1907" s="9">
        <v>15.4</v>
      </c>
      <c r="AA1907" s="9">
        <v>14.9</v>
      </c>
      <c r="AB1907" s="9">
        <v>14.1</v>
      </c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</row>
    <row r="1908" spans="1:47" ht="14.4">
      <c r="A1908" s="3">
        <f>LOOKUP(D1908,'AMFI DATA_2023H2'!F:L,'AMFI DATA_2023H2'!L:L)</f>
        <v>3716</v>
      </c>
      <c r="B1908" s="4" t="s">
        <v>5722</v>
      </c>
      <c r="C1908" s="4" t="s">
        <v>5723</v>
      </c>
      <c r="D1908" s="5" t="s">
        <v>5724</v>
      </c>
      <c r="E1908" s="5">
        <v>8.68</v>
      </c>
      <c r="F1908" s="6">
        <f>LOOKUP(D1908,'AMFI DATA_2023H2'!F:J,'AMFI DATA_2023H2'!J:J)</f>
        <v>12.80175</v>
      </c>
      <c r="G1908" s="7">
        <f t="shared" si="7"/>
        <v>-1</v>
      </c>
      <c r="H1908" s="9"/>
      <c r="I1908" s="9">
        <v>17.2</v>
      </c>
      <c r="J1908" s="9">
        <v>17</v>
      </c>
      <c r="K1908" s="9">
        <v>17.399999999999999</v>
      </c>
      <c r="L1908" s="9">
        <v>17.399999999999999</v>
      </c>
      <c r="M1908" s="9">
        <v>17.100000000000001</v>
      </c>
      <c r="N1908" s="9">
        <v>18</v>
      </c>
      <c r="O1908" s="9">
        <v>18.3</v>
      </c>
      <c r="P1908" s="9">
        <v>17.2</v>
      </c>
      <c r="Q1908" s="9">
        <v>16.5</v>
      </c>
      <c r="R1908" s="9">
        <v>15.8</v>
      </c>
      <c r="S1908" s="9">
        <v>15.1</v>
      </c>
      <c r="T1908" s="9">
        <v>15.1</v>
      </c>
      <c r="U1908" s="9">
        <v>15.1</v>
      </c>
      <c r="V1908" s="9">
        <v>15.1</v>
      </c>
      <c r="W1908" s="9">
        <v>15.3</v>
      </c>
      <c r="X1908" s="9">
        <v>15</v>
      </c>
      <c r="Y1908" s="9">
        <v>15.3</v>
      </c>
      <c r="Z1908" s="9">
        <v>15</v>
      </c>
      <c r="AA1908" s="9">
        <v>15.5</v>
      </c>
      <c r="AB1908" s="9">
        <v>15.3</v>
      </c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</row>
    <row r="1909" spans="1:47" ht="14.4">
      <c r="A1909" s="3">
        <f>LOOKUP(D1909,'AMFI DATA_2023H2'!F:L,'AMFI DATA_2023H2'!L:L)</f>
        <v>3757</v>
      </c>
      <c r="B1909" s="4" t="s">
        <v>5725</v>
      </c>
      <c r="C1909" s="4" t="s">
        <v>5726</v>
      </c>
      <c r="D1909" s="5" t="s">
        <v>5727</v>
      </c>
      <c r="E1909" s="5">
        <v>10.09</v>
      </c>
      <c r="F1909" s="6">
        <f>LOOKUP(D1909,'AMFI DATA_2023H2'!F:J,'AMFI DATA_2023H2'!J:J)</f>
        <v>11.9641</v>
      </c>
      <c r="G1909" s="7">
        <f t="shared" si="7"/>
        <v>-1</v>
      </c>
      <c r="H1909" s="9"/>
      <c r="I1909" s="9">
        <v>15.9</v>
      </c>
      <c r="J1909" s="9">
        <v>16.2</v>
      </c>
      <c r="K1909" s="9">
        <v>16.600000000000001</v>
      </c>
      <c r="L1909" s="9">
        <v>16.899999999999999</v>
      </c>
      <c r="M1909" s="9">
        <v>16.8</v>
      </c>
      <c r="N1909" s="9">
        <v>17.899999999999999</v>
      </c>
      <c r="O1909" s="9">
        <v>16.8</v>
      </c>
      <c r="P1909" s="9">
        <v>16</v>
      </c>
      <c r="Q1909" s="9">
        <v>15.3</v>
      </c>
      <c r="R1909" s="9">
        <v>14.5</v>
      </c>
      <c r="S1909" s="9">
        <v>13.9</v>
      </c>
      <c r="T1909" s="9">
        <v>13.6</v>
      </c>
      <c r="U1909" s="9">
        <v>13.3</v>
      </c>
      <c r="V1909" s="9">
        <v>13.1</v>
      </c>
      <c r="W1909" s="9">
        <v>12.8</v>
      </c>
      <c r="X1909" s="9">
        <v>12.6</v>
      </c>
      <c r="Y1909" s="9">
        <v>12.5</v>
      </c>
      <c r="Z1909" s="9">
        <v>12.8</v>
      </c>
      <c r="AA1909" s="9">
        <v>12.8</v>
      </c>
      <c r="AB1909" s="9">
        <v>13</v>
      </c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</row>
    <row r="1910" spans="1:47" ht="14.4">
      <c r="A1910" s="3">
        <f>LOOKUP(D1910,'AMFI DATA_2023H2'!F:L,'AMFI DATA_2023H2'!L:L)</f>
        <v>3760</v>
      </c>
      <c r="B1910" s="4" t="s">
        <v>5728</v>
      </c>
      <c r="C1910" s="4" t="s">
        <v>5729</v>
      </c>
      <c r="D1910" s="5" t="s">
        <v>5730</v>
      </c>
      <c r="E1910" s="5">
        <v>11.93</v>
      </c>
      <c r="F1910" s="6">
        <f>LOOKUP(D1910,'AMFI DATA_2023H2'!F:J,'AMFI DATA_2023H2'!J:J)</f>
        <v>11.93</v>
      </c>
      <c r="G1910" s="7">
        <f t="shared" si="7"/>
        <v>-1</v>
      </c>
      <c r="H1910" s="9"/>
      <c r="I1910" s="9">
        <v>11.9</v>
      </c>
      <c r="J1910" s="9">
        <v>11.9</v>
      </c>
      <c r="K1910" s="9">
        <v>11.9</v>
      </c>
      <c r="L1910" s="9">
        <v>11.9</v>
      </c>
      <c r="M1910" s="9">
        <v>11.9</v>
      </c>
      <c r="N1910" s="9">
        <v>11.9</v>
      </c>
      <c r="O1910" s="9">
        <v>11.9</v>
      </c>
      <c r="P1910" s="9">
        <v>11.9</v>
      </c>
      <c r="Q1910" s="9">
        <v>11.9</v>
      </c>
      <c r="R1910" s="9">
        <v>11.9</v>
      </c>
      <c r="S1910" s="9">
        <v>11.9</v>
      </c>
      <c r="T1910" s="9">
        <v>11.9</v>
      </c>
      <c r="U1910" s="9">
        <v>11.9</v>
      </c>
      <c r="V1910" s="9">
        <v>11.9</v>
      </c>
      <c r="W1910" s="9">
        <v>11.9</v>
      </c>
      <c r="X1910" s="9">
        <v>11.9</v>
      </c>
      <c r="Y1910" s="9">
        <v>11.9</v>
      </c>
      <c r="Z1910" s="9">
        <v>11.9</v>
      </c>
      <c r="AA1910" s="9">
        <v>11.9</v>
      </c>
      <c r="AB1910" s="9">
        <v>11.9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</row>
    <row r="1911" spans="1:47" ht="14.4">
      <c r="A1911" s="3">
        <f>LOOKUP(D1911,'AMFI DATA_2023H2'!F:L,'AMFI DATA_2023H2'!L:L)</f>
        <v>3795</v>
      </c>
      <c r="B1911" s="4" t="s">
        <v>5731</v>
      </c>
      <c r="C1911" s="4" t="s">
        <v>5732</v>
      </c>
      <c r="D1911" s="5" t="s">
        <v>5733</v>
      </c>
      <c r="E1911" s="5">
        <v>10.89</v>
      </c>
      <c r="F1911" s="6">
        <f>LOOKUP(D1911,'AMFI DATA_2023H2'!F:J,'AMFI DATA_2023H2'!J:J)</f>
        <v>11.389749999999999</v>
      </c>
      <c r="G1911" s="7">
        <f t="shared" si="7"/>
        <v>-1</v>
      </c>
      <c r="H1911" s="9"/>
      <c r="I1911" s="9">
        <v>13.4</v>
      </c>
      <c r="J1911" s="9">
        <v>13.2</v>
      </c>
      <c r="K1911" s="9">
        <v>13.1</v>
      </c>
      <c r="L1911" s="9">
        <v>13.4</v>
      </c>
      <c r="M1911" s="9">
        <v>14</v>
      </c>
      <c r="N1911" s="9">
        <v>14.1</v>
      </c>
      <c r="O1911" s="9">
        <v>14.4</v>
      </c>
      <c r="P1911" s="9">
        <v>14.6</v>
      </c>
      <c r="Q1911" s="9">
        <v>14.1</v>
      </c>
      <c r="R1911" s="9">
        <v>14.2</v>
      </c>
      <c r="S1911" s="9">
        <v>14.6</v>
      </c>
      <c r="T1911" s="9">
        <v>14.2</v>
      </c>
      <c r="U1911" s="9">
        <v>13.8</v>
      </c>
      <c r="V1911" s="9">
        <v>13.5</v>
      </c>
      <c r="W1911" s="9">
        <v>13.5</v>
      </c>
      <c r="X1911" s="9">
        <v>13.2</v>
      </c>
      <c r="Y1911" s="9">
        <v>12.9</v>
      </c>
      <c r="Z1911" s="9">
        <v>12.4</v>
      </c>
      <c r="AA1911" s="9">
        <v>12.2</v>
      </c>
      <c r="AB1911" s="9">
        <v>12.2</v>
      </c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</row>
    <row r="1912" spans="1:47" ht="14.4">
      <c r="A1912" s="3">
        <f>LOOKUP(D1912,'AMFI DATA_2023H2'!F:L,'AMFI DATA_2023H2'!L:L)</f>
        <v>3863</v>
      </c>
      <c r="B1912" s="4" t="s">
        <v>5734</v>
      </c>
      <c r="C1912" s="4" t="s">
        <v>5735</v>
      </c>
      <c r="D1912" s="5" t="s">
        <v>5736</v>
      </c>
      <c r="E1912" s="5">
        <v>11.61</v>
      </c>
      <c r="F1912" s="6">
        <f>LOOKUP(D1912,'AMFI DATA_2023H2'!F:J,'AMFI DATA_2023H2'!J:J)</f>
        <v>10.2532</v>
      </c>
      <c r="G1912" s="7">
        <f t="shared" si="7"/>
        <v>-1</v>
      </c>
      <c r="H1912" s="9"/>
      <c r="I1912" s="9">
        <v>11.2</v>
      </c>
      <c r="J1912" s="9">
        <v>11.1</v>
      </c>
      <c r="K1912" s="9">
        <v>11.4</v>
      </c>
      <c r="L1912" s="9">
        <v>11.6</v>
      </c>
      <c r="M1912" s="9">
        <v>12.2</v>
      </c>
      <c r="N1912" s="9">
        <v>12.1</v>
      </c>
      <c r="O1912" s="9">
        <v>12.3</v>
      </c>
      <c r="P1912" s="9">
        <v>12.5</v>
      </c>
      <c r="Q1912" s="9">
        <v>12</v>
      </c>
      <c r="R1912" s="9">
        <v>12.1</v>
      </c>
      <c r="S1912" s="9">
        <v>11.5</v>
      </c>
      <c r="T1912" s="9">
        <v>11.2</v>
      </c>
      <c r="U1912" s="9">
        <v>10.5</v>
      </c>
      <c r="V1912" s="9">
        <v>10.4</v>
      </c>
      <c r="W1912" s="9">
        <v>10.4</v>
      </c>
      <c r="X1912" s="9">
        <v>10.4</v>
      </c>
      <c r="Y1912" s="9">
        <v>10.5</v>
      </c>
      <c r="Z1912" s="9">
        <v>11</v>
      </c>
      <c r="AA1912" s="9">
        <v>10.8</v>
      </c>
      <c r="AB1912" s="9">
        <v>11.5</v>
      </c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</row>
    <row r="1913" spans="1:47" ht="14.4">
      <c r="A1913" s="3">
        <f>LOOKUP(D1913,'AMFI DATA_2023H2'!F:L,'AMFI DATA_2023H2'!L:L)</f>
        <v>3876</v>
      </c>
      <c r="B1913" s="4" t="s">
        <v>5737</v>
      </c>
      <c r="C1913" s="4" t="s">
        <v>5738</v>
      </c>
      <c r="D1913" s="5" t="s">
        <v>5739</v>
      </c>
      <c r="E1913" s="5">
        <v>7.56</v>
      </c>
      <c r="F1913" s="6">
        <f>LOOKUP(D1913,'AMFI DATA_2023H2'!F:J,'AMFI DATA_2023H2'!J:J)</f>
        <v>10.079599999999999</v>
      </c>
      <c r="G1913" s="7">
        <f t="shared" si="7"/>
        <v>-1</v>
      </c>
      <c r="H1913" s="9"/>
      <c r="I1913" s="9">
        <v>22.9</v>
      </c>
      <c r="J1913" s="9">
        <v>22</v>
      </c>
      <c r="K1913" s="9">
        <v>20.8</v>
      </c>
      <c r="L1913" s="9">
        <v>19.8</v>
      </c>
      <c r="M1913" s="9">
        <v>18.899999999999999</v>
      </c>
      <c r="N1913" s="9">
        <v>18.3</v>
      </c>
      <c r="O1913" s="9">
        <v>17.2</v>
      </c>
      <c r="P1913" s="9">
        <v>16.7</v>
      </c>
      <c r="Q1913" s="9">
        <v>15.6</v>
      </c>
      <c r="R1913" s="9">
        <v>14.9</v>
      </c>
      <c r="S1913" s="9">
        <v>14.2</v>
      </c>
      <c r="T1913" s="9">
        <v>13.5</v>
      </c>
      <c r="U1913" s="9">
        <v>12.9</v>
      </c>
      <c r="V1913" s="9">
        <v>12.9</v>
      </c>
      <c r="W1913" s="9">
        <v>13.5</v>
      </c>
      <c r="X1913" s="9">
        <v>12.9</v>
      </c>
      <c r="Y1913" s="9">
        <v>13.5</v>
      </c>
      <c r="Z1913" s="9">
        <v>12.9</v>
      </c>
      <c r="AA1913" s="9">
        <v>11.8</v>
      </c>
      <c r="AB1913" s="9">
        <v>11.8</v>
      </c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</row>
    <row r="1914" spans="1:47" ht="14.4">
      <c r="A1914" s="3">
        <f>LOOKUP(D1914,'AMFI DATA_2023H2'!F:L,'AMFI DATA_2023H2'!L:L)</f>
        <v>3904</v>
      </c>
      <c r="B1914" s="4" t="s">
        <v>5740</v>
      </c>
      <c r="C1914" s="4" t="s">
        <v>5741</v>
      </c>
      <c r="D1914" s="5" t="s">
        <v>5742</v>
      </c>
      <c r="E1914" s="5">
        <v>8.74</v>
      </c>
      <c r="F1914" s="6">
        <f>LOOKUP(D1914,'AMFI DATA_2023H2'!F:J,'AMFI DATA_2023H2'!J:J)</f>
        <v>9.7119</v>
      </c>
      <c r="G1914" s="7">
        <f t="shared" si="7"/>
        <v>-1</v>
      </c>
      <c r="H1914" s="9"/>
      <c r="I1914" s="9">
        <v>13.8</v>
      </c>
      <c r="J1914" s="9">
        <v>13.3</v>
      </c>
      <c r="K1914" s="9">
        <v>12.6</v>
      </c>
      <c r="L1914" s="9">
        <v>12</v>
      </c>
      <c r="M1914" s="9">
        <v>11.4</v>
      </c>
      <c r="N1914" s="9">
        <v>10.9</v>
      </c>
      <c r="O1914" s="9">
        <v>11.1</v>
      </c>
      <c r="P1914" s="9">
        <v>11</v>
      </c>
      <c r="Q1914" s="9">
        <v>10.8</v>
      </c>
      <c r="R1914" s="9">
        <v>10.6</v>
      </c>
      <c r="S1914" s="9">
        <v>10.4</v>
      </c>
      <c r="T1914" s="9">
        <v>10.199999999999999</v>
      </c>
      <c r="U1914" s="9">
        <v>10</v>
      </c>
      <c r="V1914" s="9">
        <v>9.85</v>
      </c>
      <c r="W1914" s="9">
        <v>10</v>
      </c>
      <c r="X1914" s="9">
        <v>9.85</v>
      </c>
      <c r="Y1914" s="9">
        <v>10</v>
      </c>
      <c r="Z1914" s="9">
        <v>10.199999999999999</v>
      </c>
      <c r="AA1914" s="9">
        <v>10.4</v>
      </c>
      <c r="AB1914" s="9">
        <v>10.6</v>
      </c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</row>
    <row r="1915" spans="1:47" ht="14.4">
      <c r="A1915" s="3">
        <f>LOOKUP(D1915,'AMFI DATA_2023H2'!F:L,'AMFI DATA_2023H2'!L:L)</f>
        <v>3942</v>
      </c>
      <c r="B1915" s="4" t="s">
        <v>5743</v>
      </c>
      <c r="C1915" s="4" t="s">
        <v>5744</v>
      </c>
      <c r="D1915" s="5" t="s">
        <v>5745</v>
      </c>
      <c r="E1915" s="5">
        <v>7.92</v>
      </c>
      <c r="F1915" s="6">
        <f>LOOKUP(D1915,'AMFI DATA_2023H2'!F:J,'AMFI DATA_2023H2'!J:J)</f>
        <v>9.1534499999999994</v>
      </c>
      <c r="G1915" s="7">
        <f t="shared" si="7"/>
        <v>-1</v>
      </c>
      <c r="H1915" s="9"/>
      <c r="I1915" s="9">
        <v>12.4</v>
      </c>
      <c r="J1915" s="9">
        <v>12.4</v>
      </c>
      <c r="K1915" s="9">
        <v>12.4</v>
      </c>
      <c r="L1915" s="9">
        <v>12.4</v>
      </c>
      <c r="M1915" s="9">
        <v>13</v>
      </c>
      <c r="N1915" s="9">
        <v>13.1</v>
      </c>
      <c r="O1915" s="9">
        <v>13.7</v>
      </c>
      <c r="P1915" s="9">
        <v>13.1</v>
      </c>
      <c r="Q1915" s="9">
        <v>12.5</v>
      </c>
      <c r="R1915" s="9">
        <v>11.9</v>
      </c>
      <c r="S1915" s="9">
        <v>11.4</v>
      </c>
      <c r="T1915" s="9">
        <v>10.6</v>
      </c>
      <c r="U1915" s="9">
        <v>10.4</v>
      </c>
      <c r="V1915" s="9">
        <v>10</v>
      </c>
      <c r="W1915" s="9">
        <v>9.83</v>
      </c>
      <c r="X1915" s="9">
        <v>9.93</v>
      </c>
      <c r="Y1915" s="9">
        <v>9.73</v>
      </c>
      <c r="Z1915" s="9">
        <v>10</v>
      </c>
      <c r="AA1915" s="9">
        <v>9.6300000000000008</v>
      </c>
      <c r="AB1915" s="9">
        <v>9.57</v>
      </c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</row>
    <row r="1916" spans="1:47" ht="14.4">
      <c r="A1916" s="3">
        <f>LOOKUP(D1916,'AMFI DATA_2023H2'!F:L,'AMFI DATA_2023H2'!L:L)</f>
        <v>3963</v>
      </c>
      <c r="B1916" s="4" t="s">
        <v>5746</v>
      </c>
      <c r="C1916" s="4" t="s">
        <v>5747</v>
      </c>
      <c r="D1916" s="5" t="s">
        <v>5748</v>
      </c>
      <c r="E1916" s="5">
        <v>10.91</v>
      </c>
      <c r="F1916" s="6">
        <f>LOOKUP(D1916,'AMFI DATA_2023H2'!F:J,'AMFI DATA_2023H2'!J:J)</f>
        <v>8.9621999999999993</v>
      </c>
      <c r="G1916" s="7">
        <f t="shared" si="7"/>
        <v>-1</v>
      </c>
      <c r="H1916" s="9"/>
      <c r="I1916" s="9">
        <v>12.2</v>
      </c>
      <c r="J1916" s="9">
        <v>11.6</v>
      </c>
      <c r="K1916" s="9">
        <v>11.1</v>
      </c>
      <c r="L1916" s="9">
        <v>10.6</v>
      </c>
      <c r="M1916" s="9">
        <v>10.1</v>
      </c>
      <c r="N1916" s="9">
        <v>9.69</v>
      </c>
      <c r="O1916" s="9">
        <v>9.2799999999999994</v>
      </c>
      <c r="P1916" s="9">
        <v>9.0399999999999991</v>
      </c>
      <c r="Q1916" s="9">
        <v>8.65</v>
      </c>
      <c r="R1916" s="9">
        <v>8.44</v>
      </c>
      <c r="S1916" s="9">
        <v>8.84</v>
      </c>
      <c r="T1916" s="9">
        <v>8.56</v>
      </c>
      <c r="U1916" s="9">
        <v>8.23</v>
      </c>
      <c r="V1916" s="9">
        <v>8.56</v>
      </c>
      <c r="W1916" s="9">
        <v>8.25</v>
      </c>
      <c r="X1916" s="9">
        <v>8.3699999999999992</v>
      </c>
      <c r="Y1916" s="9">
        <v>8.36</v>
      </c>
      <c r="Z1916" s="9">
        <v>8.11</v>
      </c>
      <c r="AA1916" s="9">
        <v>8.11</v>
      </c>
      <c r="AB1916" s="9">
        <v>7.85</v>
      </c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</row>
    <row r="1917" spans="1:47" ht="14.4">
      <c r="A1917" s="3">
        <f>LOOKUP(D1917,'AMFI DATA_2023H2'!F:L,'AMFI DATA_2023H2'!L:L)</f>
        <v>3978</v>
      </c>
      <c r="B1917" s="4" t="s">
        <v>5749</v>
      </c>
      <c r="C1917" s="4" t="s">
        <v>5750</v>
      </c>
      <c r="D1917" s="5" t="s">
        <v>5751</v>
      </c>
      <c r="E1917" s="5">
        <v>8.9</v>
      </c>
      <c r="F1917" s="6">
        <f>LOOKUP(D1917,'AMFI DATA_2023H2'!F:J,'AMFI DATA_2023H2'!J:J)</f>
        <v>8.7527000000000008</v>
      </c>
      <c r="G1917" s="7">
        <f t="shared" si="7"/>
        <v>-1</v>
      </c>
      <c r="H1917" s="9"/>
      <c r="I1917" s="9">
        <v>11.5</v>
      </c>
      <c r="J1917" s="9">
        <v>11.3</v>
      </c>
      <c r="K1917" s="9">
        <v>11.5</v>
      </c>
      <c r="L1917" s="9">
        <v>11.7</v>
      </c>
      <c r="M1917" s="9">
        <v>12</v>
      </c>
      <c r="N1917" s="9">
        <v>11.7</v>
      </c>
      <c r="O1917" s="9">
        <v>11.6</v>
      </c>
      <c r="P1917" s="9">
        <v>11.7</v>
      </c>
      <c r="Q1917" s="9">
        <v>11.7</v>
      </c>
      <c r="R1917" s="9">
        <v>11.2</v>
      </c>
      <c r="S1917" s="9">
        <v>10.6</v>
      </c>
      <c r="T1917" s="9">
        <v>10.199999999999999</v>
      </c>
      <c r="U1917" s="9">
        <v>10.3</v>
      </c>
      <c r="V1917" s="9">
        <v>10</v>
      </c>
      <c r="W1917" s="9">
        <v>9.59</v>
      </c>
      <c r="X1917" s="9">
        <v>10.1</v>
      </c>
      <c r="Y1917" s="9">
        <v>10.1</v>
      </c>
      <c r="Z1917" s="9">
        <v>10.199999999999999</v>
      </c>
      <c r="AA1917" s="9">
        <v>10.199999999999999</v>
      </c>
      <c r="AB1917" s="9">
        <v>10.3</v>
      </c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</row>
    <row r="1918" spans="1:47" ht="14.4">
      <c r="A1918" s="3">
        <f>LOOKUP(D1918,'AMFI DATA_2023H2'!F:L,'AMFI DATA_2023H2'!L:L)</f>
        <v>4008</v>
      </c>
      <c r="B1918" s="4" t="s">
        <v>5752</v>
      </c>
      <c r="C1918" s="4" t="s">
        <v>5753</v>
      </c>
      <c r="D1918" s="5" t="s">
        <v>5754</v>
      </c>
      <c r="E1918" s="5">
        <v>9.7200000000000006</v>
      </c>
      <c r="F1918" s="6">
        <f>LOOKUP(D1918,'AMFI DATA_2023H2'!F:J,'AMFI DATA_2023H2'!J:J)</f>
        <v>8.4166999999999987</v>
      </c>
      <c r="G1918" s="7">
        <f t="shared" si="7"/>
        <v>-1</v>
      </c>
      <c r="H1918" s="9"/>
      <c r="I1918" s="9">
        <v>11.3</v>
      </c>
      <c r="J1918" s="9">
        <v>11.5</v>
      </c>
      <c r="K1918" s="9">
        <v>11.3</v>
      </c>
      <c r="L1918" s="9">
        <v>11.8</v>
      </c>
      <c r="M1918" s="9">
        <v>11.2</v>
      </c>
      <c r="N1918" s="9">
        <v>10.199999999999999</v>
      </c>
      <c r="O1918" s="9">
        <v>11.3</v>
      </c>
      <c r="P1918" s="9">
        <v>11.3</v>
      </c>
      <c r="Q1918" s="9">
        <v>11.2</v>
      </c>
      <c r="R1918" s="9">
        <v>11</v>
      </c>
      <c r="S1918" s="9">
        <v>10.199999999999999</v>
      </c>
      <c r="T1918" s="9">
        <v>10.6</v>
      </c>
      <c r="U1918" s="9">
        <v>10.7</v>
      </c>
      <c r="V1918" s="9">
        <v>10.1</v>
      </c>
      <c r="W1918" s="9">
        <v>10.3</v>
      </c>
      <c r="X1918" s="9">
        <v>10.1</v>
      </c>
      <c r="Y1918" s="9">
        <v>10.1</v>
      </c>
      <c r="Z1918" s="9">
        <v>10.9</v>
      </c>
      <c r="AA1918" s="9">
        <v>9.2200000000000006</v>
      </c>
      <c r="AB1918" s="9">
        <v>10.1</v>
      </c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</row>
    <row r="1919" spans="1:47" ht="14.4">
      <c r="A1919" s="3">
        <f>LOOKUP(D1919,'AMFI DATA_2023H2'!F:L,'AMFI DATA_2023H2'!L:L)</f>
        <v>4017</v>
      </c>
      <c r="B1919" s="4" t="s">
        <v>5755</v>
      </c>
      <c r="C1919" s="4" t="s">
        <v>5756</v>
      </c>
      <c r="D1919" s="5" t="s">
        <v>5757</v>
      </c>
      <c r="E1919" s="5">
        <v>9.18</v>
      </c>
      <c r="F1919" s="6">
        <f>LOOKUP(D1919,'AMFI DATA_2023H2'!F:J,'AMFI DATA_2023H2'!J:J)</f>
        <v>8.2822499999999994</v>
      </c>
      <c r="G1919" s="7">
        <f t="shared" si="7"/>
        <v>-1</v>
      </c>
      <c r="H1919" s="9"/>
      <c r="I1919" s="9">
        <v>9.2100000000000009</v>
      </c>
      <c r="J1919" s="9">
        <v>9.3699999999999992</v>
      </c>
      <c r="K1919" s="9">
        <v>9.86</v>
      </c>
      <c r="L1919" s="9">
        <v>10.3</v>
      </c>
      <c r="M1919" s="9">
        <v>10.9</v>
      </c>
      <c r="N1919" s="9">
        <v>11.4</v>
      </c>
      <c r="O1919" s="9">
        <v>12</v>
      </c>
      <c r="P1919" s="9">
        <v>12.6</v>
      </c>
      <c r="Q1919" s="9">
        <v>13.3</v>
      </c>
      <c r="R1919" s="9">
        <v>12.7</v>
      </c>
      <c r="S1919" s="9">
        <v>12.1</v>
      </c>
      <c r="T1919" s="9">
        <v>11.4</v>
      </c>
      <c r="U1919" s="9">
        <v>10.9</v>
      </c>
      <c r="V1919" s="9">
        <v>10.7</v>
      </c>
      <c r="W1919" s="9">
        <v>10.6</v>
      </c>
      <c r="X1919" s="9">
        <v>10.4</v>
      </c>
      <c r="Y1919" s="9">
        <v>9.91</v>
      </c>
      <c r="Z1919" s="9">
        <v>9.75</v>
      </c>
      <c r="AA1919" s="9">
        <v>8.9</v>
      </c>
      <c r="AB1919" s="9">
        <v>9.2100000000000009</v>
      </c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</row>
    <row r="1920" spans="1:47" ht="14.4">
      <c r="A1920" s="3">
        <f>LOOKUP(D1920,'AMFI DATA_2023H2'!F:L,'AMFI DATA_2023H2'!L:L)</f>
        <v>4029</v>
      </c>
      <c r="B1920" s="4" t="s">
        <v>5758</v>
      </c>
      <c r="C1920" s="4" t="s">
        <v>5759</v>
      </c>
      <c r="D1920" s="5" t="s">
        <v>5760</v>
      </c>
      <c r="E1920" s="5">
        <v>7.07</v>
      </c>
      <c r="F1920" s="6">
        <f>LOOKUP(D1920,'AMFI DATA_2023H2'!F:J,'AMFI DATA_2023H2'!J:J)</f>
        <v>8.1270500000000006</v>
      </c>
      <c r="G1920" s="7">
        <f t="shared" si="7"/>
        <v>-1</v>
      </c>
      <c r="H1920" s="9"/>
      <c r="I1920" s="9">
        <v>9.39</v>
      </c>
      <c r="J1920" s="9">
        <v>8.9499999999999993</v>
      </c>
      <c r="K1920" s="9">
        <v>8.57</v>
      </c>
      <c r="L1920" s="9">
        <v>9</v>
      </c>
      <c r="M1920" s="9">
        <v>9.4700000000000006</v>
      </c>
      <c r="N1920" s="9">
        <v>9.94</v>
      </c>
      <c r="O1920" s="9">
        <v>9.77</v>
      </c>
      <c r="P1920" s="9">
        <v>10.3</v>
      </c>
      <c r="Q1920" s="9">
        <v>10.8</v>
      </c>
      <c r="R1920" s="9">
        <v>10.3</v>
      </c>
      <c r="S1920" s="9">
        <v>9.86</v>
      </c>
      <c r="T1920" s="9">
        <v>9.4</v>
      </c>
      <c r="U1920" s="9">
        <v>9</v>
      </c>
      <c r="V1920" s="9">
        <v>8.56</v>
      </c>
      <c r="W1920" s="9">
        <v>8.43</v>
      </c>
      <c r="X1920" s="9">
        <v>8.48</v>
      </c>
      <c r="Y1920" s="9">
        <v>8.42</v>
      </c>
      <c r="Z1920" s="9">
        <v>8.1999999999999993</v>
      </c>
      <c r="AA1920" s="9">
        <v>8.2899999999999991</v>
      </c>
      <c r="AB1920" s="9">
        <v>8.2100000000000009</v>
      </c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</row>
    <row r="1921" spans="1:47" ht="14.4">
      <c r="A1921" s="3">
        <f>LOOKUP(D1921,'AMFI DATA_2023H2'!F:L,'AMFI DATA_2023H2'!L:L)</f>
        <v>4067</v>
      </c>
      <c r="B1921" s="4" t="s">
        <v>5761</v>
      </c>
      <c r="C1921" s="4" t="s">
        <v>5762</v>
      </c>
      <c r="D1921" s="5" t="s">
        <v>5763</v>
      </c>
      <c r="E1921" s="5">
        <v>8.6199999999999992</v>
      </c>
      <c r="F1921" s="6">
        <f>LOOKUP(D1921,'AMFI DATA_2023H2'!F:J,'AMFI DATA_2023H2'!J:J)</f>
        <v>7.6763000000000003</v>
      </c>
      <c r="G1921" s="7">
        <f t="shared" si="7"/>
        <v>-1</v>
      </c>
      <c r="H1921" s="9"/>
      <c r="I1921" s="9">
        <v>10.4</v>
      </c>
      <c r="J1921" s="9">
        <v>10</v>
      </c>
      <c r="K1921" s="9">
        <v>10.1</v>
      </c>
      <c r="L1921" s="9">
        <v>10.5</v>
      </c>
      <c r="M1921" s="9">
        <v>9.76</v>
      </c>
      <c r="N1921" s="9">
        <v>9.91</v>
      </c>
      <c r="O1921" s="9">
        <v>10</v>
      </c>
      <c r="P1921" s="9">
        <v>10</v>
      </c>
      <c r="Q1921" s="9">
        <v>10</v>
      </c>
      <c r="R1921" s="9">
        <v>9.83</v>
      </c>
      <c r="S1921" s="9">
        <v>9.23</v>
      </c>
      <c r="T1921" s="9">
        <v>9.0299999999999994</v>
      </c>
      <c r="U1921" s="9">
        <v>9.3699999999999992</v>
      </c>
      <c r="V1921" s="9">
        <v>8.33</v>
      </c>
      <c r="W1921" s="9">
        <v>8.7200000000000006</v>
      </c>
      <c r="X1921" s="9">
        <v>8.02</v>
      </c>
      <c r="Y1921" s="9">
        <v>8.6300000000000008</v>
      </c>
      <c r="Z1921" s="9">
        <v>8.82</v>
      </c>
      <c r="AA1921" s="9">
        <v>8.33</v>
      </c>
      <c r="AB1921" s="9">
        <v>8.43</v>
      </c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</row>
    <row r="1922" spans="1:47" ht="14.4">
      <c r="A1922" s="3">
        <f>LOOKUP(D1922,'AMFI DATA_2023H2'!F:L,'AMFI DATA_2023H2'!L:L)</f>
        <v>4086</v>
      </c>
      <c r="B1922" s="4" t="s">
        <v>5764</v>
      </c>
      <c r="C1922" s="4" t="s">
        <v>5765</v>
      </c>
      <c r="D1922" s="5" t="s">
        <v>5766</v>
      </c>
      <c r="E1922" s="5">
        <v>8.7799999999999994</v>
      </c>
      <c r="F1922" s="6">
        <f>LOOKUP(D1922,'AMFI DATA_2023H2'!F:J,'AMFI DATA_2023H2'!J:J)</f>
        <v>7.4338999999999995</v>
      </c>
      <c r="G1922" s="7">
        <f t="shared" si="7"/>
        <v>-1</v>
      </c>
      <c r="H1922" s="9"/>
      <c r="I1922" s="9">
        <v>8.81</v>
      </c>
      <c r="J1922" s="9">
        <v>7.68</v>
      </c>
      <c r="K1922" s="9">
        <v>7.32</v>
      </c>
      <c r="L1922" s="9">
        <v>7.13</v>
      </c>
      <c r="M1922" s="9">
        <v>6.95</v>
      </c>
      <c r="N1922" s="9">
        <v>7.52</v>
      </c>
      <c r="O1922" s="9">
        <v>7.88</v>
      </c>
      <c r="P1922" s="9">
        <v>7.52</v>
      </c>
      <c r="Q1922" s="9">
        <v>6.72</v>
      </c>
      <c r="R1922" s="9">
        <v>6.4</v>
      </c>
      <c r="S1922" s="9">
        <v>7.59</v>
      </c>
      <c r="T1922" s="9">
        <v>7.95</v>
      </c>
      <c r="U1922" s="9">
        <v>6.09</v>
      </c>
      <c r="V1922" s="9">
        <v>6.24</v>
      </c>
      <c r="W1922" s="9">
        <v>6.38</v>
      </c>
      <c r="X1922" s="9">
        <v>6.67</v>
      </c>
      <c r="Y1922" s="9">
        <v>6.65</v>
      </c>
      <c r="Z1922" s="9">
        <v>6.96</v>
      </c>
      <c r="AA1922" s="9">
        <v>8.9600000000000009</v>
      </c>
      <c r="AB1922" s="9">
        <v>8.4499999999999993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</row>
    <row r="1923" spans="1:47" ht="14.4">
      <c r="A1923" s="3">
        <f>LOOKUP(D1923,'AMFI DATA_2023H2'!F:L,'AMFI DATA_2023H2'!L:L)</f>
        <v>4150</v>
      </c>
      <c r="B1923" s="4" t="s">
        <v>5767</v>
      </c>
      <c r="C1923" s="4" t="s">
        <v>5768</v>
      </c>
      <c r="D1923" s="5" t="s">
        <v>5769</v>
      </c>
      <c r="E1923" s="5">
        <v>6.72</v>
      </c>
      <c r="F1923" s="6">
        <f>LOOKUP(D1923,'AMFI DATA_2023H2'!F:J,'AMFI DATA_2023H2'!J:J)</f>
        <v>6.72</v>
      </c>
      <c r="G1923" s="7">
        <f t="shared" si="7"/>
        <v>-1</v>
      </c>
      <c r="H1923" s="9"/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</row>
    <row r="1924" spans="1:47" ht="14.4">
      <c r="A1924" s="3">
        <f>LOOKUP(D1924,'AMFI DATA_2023H2'!F:L,'AMFI DATA_2023H2'!L:L)</f>
        <v>4161</v>
      </c>
      <c r="B1924" s="4" t="s">
        <v>5770</v>
      </c>
      <c r="C1924" s="4" t="s">
        <v>5771</v>
      </c>
      <c r="D1924" s="5" t="s">
        <v>5772</v>
      </c>
      <c r="E1924" s="5">
        <v>2.38</v>
      </c>
      <c r="F1924" s="6">
        <f>LOOKUP(D1924,'AMFI DATA_2023H2'!F:J,'AMFI DATA_2023H2'!J:J)</f>
        <v>6.6623999999999999</v>
      </c>
      <c r="G1924" s="7">
        <f t="shared" si="7"/>
        <v>-1</v>
      </c>
      <c r="H1924" s="9"/>
      <c r="I1924" s="9">
        <v>11.1</v>
      </c>
      <c r="J1924" s="9">
        <v>11</v>
      </c>
      <c r="K1924" s="9">
        <v>10.8</v>
      </c>
      <c r="L1924" s="9">
        <v>10.6</v>
      </c>
      <c r="M1924" s="9">
        <v>10.5</v>
      </c>
      <c r="N1924" s="9">
        <v>10.3</v>
      </c>
      <c r="O1924" s="9">
        <v>10.1</v>
      </c>
      <c r="P1924" s="9">
        <v>9.9600000000000009</v>
      </c>
      <c r="Q1924" s="9">
        <v>9.7899999999999991</v>
      </c>
      <c r="R1924" s="9">
        <v>9.6199999999999992</v>
      </c>
      <c r="S1924" s="9">
        <v>9.4600000000000009</v>
      </c>
      <c r="T1924" s="9">
        <v>9.2899999999999991</v>
      </c>
      <c r="U1924" s="9">
        <v>14.1</v>
      </c>
      <c r="V1924" s="9">
        <v>13.8</v>
      </c>
      <c r="W1924" s="9">
        <v>13.6</v>
      </c>
      <c r="X1924" s="9">
        <v>13.3</v>
      </c>
      <c r="Y1924" s="9">
        <v>9.1300000000000008</v>
      </c>
      <c r="Z1924" s="9">
        <v>8.9600000000000009</v>
      </c>
      <c r="AA1924" s="9">
        <v>18.3</v>
      </c>
      <c r="AB1924" s="9">
        <v>12.4</v>
      </c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</row>
    <row r="1925" spans="1:47" ht="14.4">
      <c r="A1925" s="3">
        <f>LOOKUP(D1925,'AMFI DATA_2023H2'!F:L,'AMFI DATA_2023H2'!L:L)</f>
        <v>4207</v>
      </c>
      <c r="B1925" s="4" t="s">
        <v>5773</v>
      </c>
      <c r="C1925" s="4" t="s">
        <v>5774</v>
      </c>
      <c r="D1925" s="5" t="s">
        <v>5775</v>
      </c>
      <c r="E1925" s="5">
        <v>6.35</v>
      </c>
      <c r="F1925" s="6">
        <f>LOOKUP(D1925,'AMFI DATA_2023H2'!F:J,'AMFI DATA_2023H2'!J:J)</f>
        <v>6.1170999999999998</v>
      </c>
      <c r="G1925" s="7">
        <f t="shared" si="7"/>
        <v>-1</v>
      </c>
      <c r="H1925" s="9"/>
      <c r="I1925" s="9">
        <v>13.5</v>
      </c>
      <c r="J1925" s="9">
        <v>13.2</v>
      </c>
      <c r="K1925" s="9">
        <v>13</v>
      </c>
      <c r="L1925" s="9">
        <v>11.8</v>
      </c>
      <c r="M1925" s="9">
        <v>12.2</v>
      </c>
      <c r="N1925" s="9">
        <v>11.1</v>
      </c>
      <c r="O1925" s="9">
        <v>11.2</v>
      </c>
      <c r="P1925" s="9">
        <v>10.5</v>
      </c>
      <c r="Q1925" s="9">
        <v>10.199999999999999</v>
      </c>
      <c r="R1925" s="9">
        <v>9.83</v>
      </c>
      <c r="S1925" s="9">
        <v>9.2899999999999991</v>
      </c>
      <c r="T1925" s="9">
        <v>9.31</v>
      </c>
      <c r="U1925" s="9">
        <v>9.17</v>
      </c>
      <c r="V1925" s="9">
        <v>9.0500000000000007</v>
      </c>
      <c r="W1925" s="9">
        <v>8.91</v>
      </c>
      <c r="X1925" s="9">
        <v>8.7799999999999994</v>
      </c>
      <c r="Y1925" s="9">
        <v>8.7799999999999994</v>
      </c>
      <c r="Z1925" s="9">
        <v>8.65</v>
      </c>
      <c r="AA1925" s="9">
        <v>8.32</v>
      </c>
      <c r="AB1925" s="9">
        <v>8.19</v>
      </c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</row>
    <row r="1926" spans="1:47" ht="14.4">
      <c r="A1926" s="3">
        <f>LOOKUP(D1926,'AMFI DATA_2023H2'!F:L,'AMFI DATA_2023H2'!L:L)</f>
        <v>4226</v>
      </c>
      <c r="B1926" s="4" t="s">
        <v>5776</v>
      </c>
      <c r="C1926" s="4" t="s">
        <v>5777</v>
      </c>
      <c r="D1926" s="5" t="s">
        <v>5778</v>
      </c>
      <c r="E1926" s="5">
        <v>5.2</v>
      </c>
      <c r="F1926" s="6">
        <f>LOOKUP(D1926,'AMFI DATA_2023H2'!F:J,'AMFI DATA_2023H2'!J:J)</f>
        <v>5.9620499999999996</v>
      </c>
      <c r="G1926" s="7">
        <f t="shared" si="7"/>
        <v>-1</v>
      </c>
      <c r="H1926" s="9"/>
      <c r="I1926" s="9">
        <v>7.11</v>
      </c>
      <c r="J1926" s="9">
        <v>7.11</v>
      </c>
      <c r="K1926" s="9">
        <v>7.11</v>
      </c>
      <c r="L1926" s="9">
        <v>7.11</v>
      </c>
      <c r="M1926" s="9">
        <v>7.3</v>
      </c>
      <c r="N1926" s="9">
        <v>7.49</v>
      </c>
      <c r="O1926" s="9">
        <v>7.49</v>
      </c>
      <c r="P1926" s="9">
        <v>7.49</v>
      </c>
      <c r="Q1926" s="9">
        <v>7.49</v>
      </c>
      <c r="R1926" s="9">
        <v>7.55</v>
      </c>
      <c r="S1926" s="9">
        <v>7.11</v>
      </c>
      <c r="T1926" s="9">
        <v>6.89</v>
      </c>
      <c r="U1926" s="9">
        <v>6.59</v>
      </c>
      <c r="V1926" s="9">
        <v>6.27</v>
      </c>
      <c r="W1926" s="9">
        <v>5.98</v>
      </c>
      <c r="X1926" s="9">
        <v>5.91</v>
      </c>
      <c r="Y1926" s="9">
        <v>5.91</v>
      </c>
      <c r="Z1926" s="9">
        <v>5.71</v>
      </c>
      <c r="AA1926" s="9">
        <v>5.8</v>
      </c>
      <c r="AB1926" s="9">
        <v>5.8</v>
      </c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</row>
    <row r="1927" spans="1:47" ht="14.4">
      <c r="A1927" s="3">
        <f>LOOKUP(D1927,'AMFI DATA_2023H2'!F:L,'AMFI DATA_2023H2'!L:L)</f>
        <v>4380</v>
      </c>
      <c r="B1927" s="4" t="s">
        <v>5779</v>
      </c>
      <c r="C1927" s="4" t="s">
        <v>5780</v>
      </c>
      <c r="D1927" s="5" t="s">
        <v>5781</v>
      </c>
      <c r="E1927" s="5">
        <v>4.01</v>
      </c>
      <c r="F1927" s="6">
        <f>LOOKUP(D1927,'AMFI DATA_2023H2'!F:J,'AMFI DATA_2023H2'!J:J)</f>
        <v>4.6077500000000002</v>
      </c>
      <c r="G1927" s="7">
        <f t="shared" si="7"/>
        <v>-1</v>
      </c>
      <c r="H1927" s="9"/>
      <c r="I1927" s="9">
        <v>6.75</v>
      </c>
      <c r="J1927" s="9">
        <v>6.61</v>
      </c>
      <c r="K1927" s="9">
        <v>6.55</v>
      </c>
      <c r="L1927" s="9">
        <v>6.55</v>
      </c>
      <c r="M1927" s="9">
        <v>6.71</v>
      </c>
      <c r="N1927" s="9">
        <v>6.42</v>
      </c>
      <c r="O1927" s="9">
        <v>6.3</v>
      </c>
      <c r="P1927" s="9">
        <v>6.6</v>
      </c>
      <c r="Q1927" s="9">
        <v>6.18</v>
      </c>
      <c r="R1927" s="9">
        <v>6.07</v>
      </c>
      <c r="S1927" s="9">
        <v>6.18</v>
      </c>
      <c r="T1927" s="9">
        <v>6.29</v>
      </c>
      <c r="U1927" s="9">
        <v>6.39</v>
      </c>
      <c r="V1927" s="9">
        <v>6.4</v>
      </c>
      <c r="W1927" s="9">
        <v>6.5</v>
      </c>
      <c r="X1927" s="9">
        <v>6.5</v>
      </c>
      <c r="Y1927" s="9">
        <v>6.5</v>
      </c>
      <c r="Z1927" s="9">
        <v>6.63</v>
      </c>
      <c r="AA1927" s="9">
        <v>6.5</v>
      </c>
      <c r="AB1927" s="9">
        <v>6.6</v>
      </c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</row>
    <row r="1928" spans="1:47" ht="14.4">
      <c r="A1928" s="3">
        <f>LOOKUP(D1928,'AMFI DATA_2023H2'!F:L,'AMFI DATA_2023H2'!L:L)</f>
        <v>4488</v>
      </c>
      <c r="B1928" s="4" t="s">
        <v>5782</v>
      </c>
      <c r="C1928" s="4" t="s">
        <v>5783</v>
      </c>
      <c r="D1928" s="5" t="s">
        <v>5784</v>
      </c>
      <c r="E1928" s="5">
        <v>3.65</v>
      </c>
      <c r="F1928" s="6">
        <f>LOOKUP(D1928,'AMFI DATA_2023H2'!F:J,'AMFI DATA_2023H2'!J:J)</f>
        <v>3.7217000000000002</v>
      </c>
      <c r="G1928" s="7">
        <f t="shared" si="7"/>
        <v>-1</v>
      </c>
      <c r="H1928" s="9"/>
      <c r="I1928" s="9">
        <v>8.69</v>
      </c>
      <c r="J1928" s="9">
        <v>8.5399999999999991</v>
      </c>
      <c r="K1928" s="9">
        <v>8.56</v>
      </c>
      <c r="L1928" s="9">
        <v>8.4</v>
      </c>
      <c r="M1928" s="9">
        <v>7.99</v>
      </c>
      <c r="N1928" s="9">
        <v>7.36</v>
      </c>
      <c r="O1928" s="9">
        <v>7.27</v>
      </c>
      <c r="P1928" s="9">
        <v>6.92</v>
      </c>
      <c r="Q1928" s="9">
        <v>6.6</v>
      </c>
      <c r="R1928" s="9">
        <v>6.28</v>
      </c>
      <c r="S1928" s="9">
        <v>6.03</v>
      </c>
      <c r="T1928" s="9">
        <v>5.93</v>
      </c>
      <c r="U1928" s="9">
        <v>5.83</v>
      </c>
      <c r="V1928" s="9">
        <v>5.71</v>
      </c>
      <c r="W1928" s="9">
        <v>5.83</v>
      </c>
      <c r="X1928" s="9">
        <v>5.94</v>
      </c>
      <c r="Y1928" s="9">
        <v>6.05</v>
      </c>
      <c r="Z1928" s="9">
        <v>6.17</v>
      </c>
      <c r="AA1928" s="9">
        <v>6.15</v>
      </c>
      <c r="AB1928" s="9">
        <v>6.28</v>
      </c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</row>
  </sheetData>
  <autoFilter ref="A1:AB1928" xr:uid="{00000000-0009-0000-0000-000001000000}"/>
  <conditionalFormatting sqref="G1:G1928">
    <cfRule type="cellIs" dxfId="7" priority="1" operator="greaterThan">
      <formula>"0%"</formula>
    </cfRule>
    <cfRule type="cellIs" dxfId="6" priority="2" operator="lessThan">
      <formula>"0%"</formula>
    </cfRule>
  </conditionalFormatting>
  <dataValidations count="1">
    <dataValidation type="custom" allowBlank="1" showDropDown="1" showInputMessage="1" prompt="Enter a valid date" sqref="H1:AU1" xr:uid="{00000000-0002-0000-0100-000000000000}">
      <formula1>OR(NOT(ISERROR(DATEVALUE(H1))), AND(ISNUMBER(H1), LEFT(CELL("format", H1))="D"))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B192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7.109375" customWidth="1"/>
    <col min="2" max="2" width="24.44140625" customWidth="1"/>
    <col min="3" max="4" width="16" customWidth="1"/>
    <col min="5" max="5" width="16" hidden="1" customWidth="1"/>
    <col min="6" max="6" width="16" customWidth="1"/>
    <col min="8" max="28" width="9.109375" customWidth="1"/>
  </cols>
  <sheetData>
    <row r="1" spans="1:28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>
        <v>45296</v>
      </c>
      <c r="I1" s="2">
        <v>45295</v>
      </c>
      <c r="J1" s="2">
        <v>45294</v>
      </c>
      <c r="K1" s="2">
        <v>45293</v>
      </c>
      <c r="L1" s="2">
        <v>45292</v>
      </c>
      <c r="M1" s="2">
        <v>45289</v>
      </c>
      <c r="N1" s="2">
        <v>45288</v>
      </c>
      <c r="O1" s="2">
        <v>45287</v>
      </c>
      <c r="P1" s="2">
        <v>45286</v>
      </c>
      <c r="Q1" s="2">
        <v>45282</v>
      </c>
      <c r="R1" s="11"/>
      <c r="S1" s="2"/>
      <c r="T1" s="12" t="s">
        <v>5785</v>
      </c>
      <c r="U1" s="12" t="s">
        <v>5786</v>
      </c>
      <c r="V1" s="13" t="s">
        <v>5787</v>
      </c>
      <c r="W1" s="2" t="s">
        <v>5788</v>
      </c>
      <c r="X1" s="2"/>
      <c r="Y1" s="2"/>
      <c r="Z1" s="2"/>
      <c r="AA1" s="2"/>
      <c r="AB1" s="2"/>
    </row>
    <row r="2" spans="1:28" ht="14.4" hidden="1">
      <c r="A2" s="3" t="e">
        <f>LOOKUP(D2,'AMFI DATA_2023H2'!F:L,'AMFI DATA_2023H2'!L:L)</f>
        <v>#N/A</v>
      </c>
      <c r="B2" s="4" t="s">
        <v>4004</v>
      </c>
      <c r="C2" s="4" t="s">
        <v>4005</v>
      </c>
      <c r="D2" s="5" t="s">
        <v>4006</v>
      </c>
      <c r="E2" s="5">
        <v>291.66000000000003</v>
      </c>
      <c r="F2" s="6" t="e">
        <f>LOOKUP(D2,'AMFI DATA_2023H2'!F:J,'AMFI DATA_2023H2'!J:J)</f>
        <v>#N/A</v>
      </c>
      <c r="G2" s="7" t="e">
        <f t="shared" ref="G2:G256" si="0">H2/F2-1</f>
        <v>#N/A</v>
      </c>
      <c r="H2" s="9">
        <v>617</v>
      </c>
      <c r="I2" s="9">
        <v>620</v>
      </c>
      <c r="J2" s="9">
        <v>632</v>
      </c>
      <c r="K2" s="9">
        <v>603</v>
      </c>
      <c r="L2" s="9">
        <v>623</v>
      </c>
      <c r="M2" s="9">
        <v>623</v>
      </c>
      <c r="N2" s="9">
        <v>633</v>
      </c>
      <c r="O2" s="9">
        <v>657</v>
      </c>
      <c r="P2" s="9">
        <v>667</v>
      </c>
      <c r="Q2" s="9">
        <v>668</v>
      </c>
      <c r="R2" s="7" t="e">
        <f t="shared" ref="R2:R256" si="1">AVERAGE(H2:Q2)/F2-1</f>
        <v>#N/A</v>
      </c>
      <c r="S2" s="9"/>
      <c r="T2" s="9"/>
      <c r="U2" s="9"/>
      <c r="V2" s="9"/>
      <c r="W2" s="9"/>
      <c r="X2" s="9"/>
      <c r="Y2" s="9"/>
      <c r="Z2" s="9" t="s">
        <v>5789</v>
      </c>
      <c r="AA2" s="9"/>
      <c r="AB2" s="9"/>
    </row>
    <row r="3" spans="1:28" ht="14.4" hidden="1">
      <c r="A3" s="3">
        <f>LOOKUP(D3,'AMFI DATA_2023H2'!F:L,'AMFI DATA_2023H2'!L:L)</f>
        <v>3360</v>
      </c>
      <c r="B3" s="4" t="s">
        <v>5662</v>
      </c>
      <c r="C3" s="4" t="s">
        <v>5663</v>
      </c>
      <c r="D3" s="5" t="s">
        <v>5664</v>
      </c>
      <c r="E3" s="5">
        <v>20.69</v>
      </c>
      <c r="F3" s="6">
        <f>LOOKUP(D3,'AMFI DATA_2023H2'!F:J,'AMFI DATA_2023H2'!J:J)</f>
        <v>22.388999999999999</v>
      </c>
      <c r="G3" s="7">
        <f t="shared" si="0"/>
        <v>0.44713922015275354</v>
      </c>
      <c r="H3" s="9">
        <v>32.4</v>
      </c>
      <c r="I3" s="9">
        <v>32</v>
      </c>
      <c r="J3" s="9">
        <v>32.6</v>
      </c>
      <c r="K3" s="9">
        <v>33.1</v>
      </c>
      <c r="L3" s="9">
        <v>33.799999999999997</v>
      </c>
      <c r="M3" s="9">
        <v>34.4</v>
      </c>
      <c r="N3" s="9">
        <v>34</v>
      </c>
      <c r="O3" s="9">
        <v>33.299999999999997</v>
      </c>
      <c r="P3" s="9">
        <v>35.700000000000003</v>
      </c>
      <c r="Q3" s="9">
        <v>33.9</v>
      </c>
      <c r="R3" s="7">
        <f t="shared" si="1"/>
        <v>0.4971637857876634</v>
      </c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4.4">
      <c r="A4" s="3">
        <f>LOOKUP(D4,'AMFI DATA_2023H2'!F:L,'AMFI DATA_2023H2'!L:L)</f>
        <v>274</v>
      </c>
      <c r="B4" s="4" t="s">
        <v>831</v>
      </c>
      <c r="C4" s="4" t="s">
        <v>832</v>
      </c>
      <c r="D4" s="5" t="s">
        <v>833</v>
      </c>
      <c r="E4" s="5">
        <v>15520.14</v>
      </c>
      <c r="F4" s="6">
        <f>LOOKUP(D4,'AMFI DATA_2023H2'!F:J,'AMFI DATA_2023H2'!J:J)</f>
        <v>19343.918149999998</v>
      </c>
      <c r="G4" s="7">
        <f t="shared" si="0"/>
        <v>0.23041256768345053</v>
      </c>
      <c r="H4" s="8">
        <v>23801</v>
      </c>
      <c r="I4" s="8">
        <v>23437</v>
      </c>
      <c r="J4" s="8">
        <v>23487</v>
      </c>
      <c r="K4" s="8">
        <v>24267</v>
      </c>
      <c r="L4" s="8">
        <v>24844</v>
      </c>
      <c r="M4" s="8">
        <v>25444</v>
      </c>
      <c r="N4" s="8">
        <v>25376</v>
      </c>
      <c r="O4" s="8">
        <v>24177</v>
      </c>
      <c r="P4" s="8">
        <v>23362</v>
      </c>
      <c r="Q4" s="8">
        <v>23577</v>
      </c>
      <c r="R4" s="14">
        <f t="shared" si="1"/>
        <v>0.24986054079224918</v>
      </c>
      <c r="S4" s="8"/>
      <c r="T4" s="8">
        <v>663.9</v>
      </c>
      <c r="U4" s="15">
        <f ca="1">IFERROR(__xludf.DUMMYFUNCTION("GOOGLEFINANCE(C4,""PRICE"")"),638)</f>
        <v>638</v>
      </c>
      <c r="V4" s="13" t="s">
        <v>5787</v>
      </c>
      <c r="W4" s="7">
        <f ca="1">U4/T4-1</f>
        <v>-3.9011899382437099E-2</v>
      </c>
      <c r="X4" s="8"/>
      <c r="Y4" s="8"/>
      <c r="Z4" s="8"/>
      <c r="AA4" s="8"/>
      <c r="AB4" s="8"/>
    </row>
    <row r="5" spans="1:28" ht="14.4" hidden="1">
      <c r="A5" s="3">
        <f>LOOKUP(D5,'AMFI DATA_2023H2'!F:L,'AMFI DATA_2023H2'!L:L)</f>
        <v>1401</v>
      </c>
      <c r="B5" s="4" t="s">
        <v>3779</v>
      </c>
      <c r="C5" s="4" t="s">
        <v>3780</v>
      </c>
      <c r="D5" s="5" t="s">
        <v>3781</v>
      </c>
      <c r="E5" s="5">
        <v>579.62</v>
      </c>
      <c r="F5" s="6">
        <f>LOOKUP(D5,'AMFI DATA_2023H2'!F:J,'AMFI DATA_2023H2'!J:J)</f>
        <v>643.51634999999999</v>
      </c>
      <c r="G5" s="7">
        <f t="shared" si="0"/>
        <v>0.40478171222844606</v>
      </c>
      <c r="H5" s="9">
        <v>904</v>
      </c>
      <c r="I5" s="9">
        <v>931</v>
      </c>
      <c r="J5" s="9">
        <v>939</v>
      </c>
      <c r="K5" s="9">
        <v>956</v>
      </c>
      <c r="L5" s="9">
        <v>887</v>
      </c>
      <c r="M5" s="9">
        <v>830</v>
      </c>
      <c r="N5" s="9">
        <v>766</v>
      </c>
      <c r="O5" s="9">
        <v>762</v>
      </c>
      <c r="P5" s="9">
        <v>757</v>
      </c>
      <c r="Q5" s="9">
        <v>763</v>
      </c>
      <c r="R5" s="7">
        <f t="shared" si="1"/>
        <v>0.32009077935626662</v>
      </c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4.4" hidden="1">
      <c r="A6" s="3">
        <f>LOOKUP(D6,'AMFI DATA_2023H2'!F:L,'AMFI DATA_2023H2'!L:L)</f>
        <v>182</v>
      </c>
      <c r="B6" s="4" t="s">
        <v>555</v>
      </c>
      <c r="C6" s="4" t="s">
        <v>556</v>
      </c>
      <c r="D6" s="5" t="s">
        <v>557</v>
      </c>
      <c r="E6" s="5">
        <v>26633.53</v>
      </c>
      <c r="F6" s="6">
        <f>LOOKUP(D6,'AMFI DATA_2023H2'!F:J,'AMFI DATA_2023H2'!J:J)</f>
        <v>34136.063150000002</v>
      </c>
      <c r="G6" s="7">
        <f t="shared" si="0"/>
        <v>0.14550409132343067</v>
      </c>
      <c r="H6" s="8">
        <v>39103</v>
      </c>
      <c r="I6" s="8">
        <v>38681</v>
      </c>
      <c r="J6" s="8">
        <v>38543</v>
      </c>
      <c r="K6" s="8">
        <v>40159</v>
      </c>
      <c r="L6" s="8">
        <v>41316</v>
      </c>
      <c r="M6" s="8">
        <v>41586</v>
      </c>
      <c r="N6" s="8">
        <v>39554</v>
      </c>
      <c r="O6" s="8">
        <v>40984</v>
      </c>
      <c r="P6" s="8">
        <v>35390</v>
      </c>
      <c r="Q6" s="8">
        <v>35142</v>
      </c>
      <c r="R6" s="7">
        <f t="shared" si="1"/>
        <v>0.1438284440834825</v>
      </c>
      <c r="S6" s="7"/>
      <c r="T6" s="8"/>
      <c r="U6" s="8"/>
      <c r="V6" s="8"/>
      <c r="W6" s="8"/>
      <c r="X6" s="8"/>
      <c r="Y6" s="8"/>
      <c r="Z6" s="8"/>
      <c r="AA6" s="8"/>
      <c r="AB6" s="8"/>
    </row>
    <row r="7" spans="1:28" ht="14.4" hidden="1">
      <c r="A7" s="3">
        <f>LOOKUP(D7,'AMFI DATA_2023H2'!F:L,'AMFI DATA_2023H2'!L:L)</f>
        <v>2918</v>
      </c>
      <c r="B7" s="4" t="s">
        <v>5512</v>
      </c>
      <c r="C7" s="4" t="s">
        <v>5513</v>
      </c>
      <c r="D7" s="5" t="s">
        <v>5514</v>
      </c>
      <c r="E7" s="5">
        <v>40.590000000000003</v>
      </c>
      <c r="F7" s="6">
        <f>LOOKUP(D7,'AMFI DATA_2023H2'!F:J,'AMFI DATA_2023H2'!J:J)</f>
        <v>43.090249999999997</v>
      </c>
      <c r="G7" s="7">
        <f t="shared" si="0"/>
        <v>0.16499672199627535</v>
      </c>
      <c r="H7" s="9">
        <v>50.2</v>
      </c>
      <c r="I7" s="9">
        <v>50</v>
      </c>
      <c r="J7" s="9">
        <v>50.4</v>
      </c>
      <c r="K7" s="9">
        <v>48.7</v>
      </c>
      <c r="L7" s="9">
        <v>48.8</v>
      </c>
      <c r="M7" s="9">
        <v>48.6</v>
      </c>
      <c r="N7" s="9">
        <v>48.2</v>
      </c>
      <c r="O7" s="9">
        <v>48.5</v>
      </c>
      <c r="P7" s="9">
        <v>48.1</v>
      </c>
      <c r="Q7" s="9">
        <v>47.4</v>
      </c>
      <c r="R7" s="7">
        <f t="shared" si="1"/>
        <v>0.13459541311549605</v>
      </c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4.4" hidden="1">
      <c r="A8" s="3">
        <f>LOOKUP(D8,'AMFI DATA_2023H2'!F:L,'AMFI DATA_2023H2'!L:L)</f>
        <v>1077</v>
      </c>
      <c r="B8" s="4" t="s">
        <v>3056</v>
      </c>
      <c r="C8" s="4" t="s">
        <v>3057</v>
      </c>
      <c r="D8" s="5" t="s">
        <v>3058</v>
      </c>
      <c r="E8" s="5">
        <v>954.15</v>
      </c>
      <c r="F8" s="6">
        <f>LOOKUP(D8,'AMFI DATA_2023H2'!F:J,'AMFI DATA_2023H2'!J:J)</f>
        <v>1391.55655</v>
      </c>
      <c r="G8" s="7">
        <f t="shared" si="0"/>
        <v>0.55006276963735323</v>
      </c>
      <c r="H8" s="8">
        <v>2157</v>
      </c>
      <c r="I8" s="8">
        <v>2125</v>
      </c>
      <c r="J8" s="8">
        <v>2124</v>
      </c>
      <c r="K8" s="8">
        <v>2007</v>
      </c>
      <c r="L8" s="8">
        <v>1872</v>
      </c>
      <c r="M8" s="8">
        <v>1767</v>
      </c>
      <c r="N8" s="10">
        <v>1725</v>
      </c>
      <c r="O8" s="10">
        <v>1708</v>
      </c>
      <c r="P8" s="10">
        <v>1688</v>
      </c>
      <c r="Q8" s="10">
        <v>1564</v>
      </c>
      <c r="R8" s="7">
        <f t="shared" si="1"/>
        <v>0.34647779854868288</v>
      </c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4.4" hidden="1">
      <c r="A9" s="3">
        <f>LOOKUP(D9,'AMFI DATA_2023H2'!F:L,'AMFI DATA_2023H2'!L:L)</f>
        <v>1043</v>
      </c>
      <c r="B9" s="4" t="s">
        <v>2975</v>
      </c>
      <c r="C9" s="4" t="s">
        <v>2976</v>
      </c>
      <c r="D9" s="5" t="s">
        <v>2977</v>
      </c>
      <c r="E9" s="5">
        <v>816.3</v>
      </c>
      <c r="F9" s="6">
        <f>LOOKUP(D9,'AMFI DATA_2023H2'!F:J,'AMFI DATA_2023H2'!J:J)</f>
        <v>1509.1905000000002</v>
      </c>
      <c r="G9" s="7">
        <f t="shared" si="0"/>
        <v>0.36762058865332103</v>
      </c>
      <c r="H9" s="8">
        <v>2064</v>
      </c>
      <c r="I9" s="8">
        <v>2077</v>
      </c>
      <c r="J9" s="8">
        <v>2067</v>
      </c>
      <c r="K9" s="8">
        <v>2112</v>
      </c>
      <c r="L9" s="8">
        <v>2145</v>
      </c>
      <c r="M9" s="8">
        <v>2172</v>
      </c>
      <c r="N9" s="8">
        <v>2202</v>
      </c>
      <c r="O9" s="8">
        <v>2110</v>
      </c>
      <c r="P9" s="8">
        <v>2182</v>
      </c>
      <c r="Q9" s="8">
        <v>2267</v>
      </c>
      <c r="R9" s="7">
        <f t="shared" si="1"/>
        <v>0.41784618972886456</v>
      </c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4.4" hidden="1">
      <c r="A10" s="3">
        <f>LOOKUP(D10,'AMFI DATA_2023H2'!F:L,'AMFI DATA_2023H2'!L:L)</f>
        <v>2092</v>
      </c>
      <c r="B10" s="4" t="s">
        <v>4865</v>
      </c>
      <c r="C10" s="4" t="s">
        <v>4866</v>
      </c>
      <c r="D10" s="5" t="s">
        <v>4867</v>
      </c>
      <c r="E10" s="5">
        <v>134.02000000000001</v>
      </c>
      <c r="F10" s="6">
        <f>LOOKUP(D10,'AMFI DATA_2023H2'!F:J,'AMFI DATA_2023H2'!J:J)</f>
        <v>164.32470000000001</v>
      </c>
      <c r="G10" s="7">
        <f t="shared" si="0"/>
        <v>0.52746361319996327</v>
      </c>
      <c r="H10" s="9">
        <v>251</v>
      </c>
      <c r="I10" s="9">
        <v>248</v>
      </c>
      <c r="J10" s="9">
        <v>238</v>
      </c>
      <c r="K10" s="9">
        <v>226</v>
      </c>
      <c r="L10" s="9">
        <v>216</v>
      </c>
      <c r="M10" s="9">
        <v>206</v>
      </c>
      <c r="N10" s="9">
        <v>202</v>
      </c>
      <c r="O10" s="9">
        <v>198</v>
      </c>
      <c r="P10" s="9">
        <v>197</v>
      </c>
      <c r="Q10" s="9">
        <v>192</v>
      </c>
      <c r="R10" s="7">
        <f t="shared" si="1"/>
        <v>0.32299039645287642</v>
      </c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4.4" hidden="1">
      <c r="A11" s="3">
        <f>LOOKUP(D11,'AMFI DATA_2023H2'!F:L,'AMFI DATA_2023H2'!L:L)</f>
        <v>2498</v>
      </c>
      <c r="B11" s="4" t="s">
        <v>5293</v>
      </c>
      <c r="C11" s="4" t="s">
        <v>5294</v>
      </c>
      <c r="D11" s="5" t="s">
        <v>5295</v>
      </c>
      <c r="E11" s="5">
        <v>73.459999999999994</v>
      </c>
      <c r="F11" s="6">
        <f>LOOKUP(D11,'AMFI DATA_2023H2'!F:J,'AMFI DATA_2023H2'!J:J)</f>
        <v>81.835700000000003</v>
      </c>
      <c r="G11" s="7">
        <f t="shared" si="0"/>
        <v>0.44191349252221213</v>
      </c>
      <c r="H11" s="9">
        <v>118</v>
      </c>
      <c r="I11" s="9">
        <v>118</v>
      </c>
      <c r="J11" s="9">
        <v>118</v>
      </c>
      <c r="K11" s="9">
        <v>117</v>
      </c>
      <c r="L11" s="9">
        <v>112</v>
      </c>
      <c r="M11" s="9">
        <v>107</v>
      </c>
      <c r="N11" s="9">
        <v>107</v>
      </c>
      <c r="O11" s="9">
        <v>108</v>
      </c>
      <c r="P11" s="9">
        <v>108</v>
      </c>
      <c r="Q11" s="9">
        <v>110</v>
      </c>
      <c r="R11" s="7">
        <f t="shared" si="1"/>
        <v>0.37226173906986793</v>
      </c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4.4" hidden="1">
      <c r="A12" s="3">
        <f>LOOKUP(D12,'AMFI DATA_2023H2'!F:L,'AMFI DATA_2023H2'!L:L)</f>
        <v>2588</v>
      </c>
      <c r="B12" s="4" t="s">
        <v>5371</v>
      </c>
      <c r="C12" s="4" t="s">
        <v>5372</v>
      </c>
      <c r="D12" s="5" t="s">
        <v>5373</v>
      </c>
      <c r="E12" s="5">
        <v>66.489999999999995</v>
      </c>
      <c r="F12" s="6">
        <f>LOOKUP(D12,'AMFI DATA_2023H2'!F:J,'AMFI DATA_2023H2'!J:J)</f>
        <v>70.585099999999997</v>
      </c>
      <c r="G12" s="7">
        <f t="shared" si="0"/>
        <v>0.62923903203367293</v>
      </c>
      <c r="H12" s="9">
        <v>115</v>
      </c>
      <c r="I12" s="9">
        <v>117</v>
      </c>
      <c r="J12" s="9">
        <v>119</v>
      </c>
      <c r="K12" s="9">
        <v>122</v>
      </c>
      <c r="L12" s="9">
        <v>122</v>
      </c>
      <c r="M12" s="9">
        <v>116</v>
      </c>
      <c r="N12" s="9">
        <v>117</v>
      </c>
      <c r="O12" s="9">
        <v>111</v>
      </c>
      <c r="P12" s="9">
        <v>106</v>
      </c>
      <c r="Q12" s="9">
        <v>101</v>
      </c>
      <c r="R12" s="7">
        <f t="shared" si="1"/>
        <v>0.62357211366138188</v>
      </c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4.4" hidden="1">
      <c r="A13" s="3">
        <f>LOOKUP(D13,'AMFI DATA_2023H2'!F:L,'AMFI DATA_2023H2'!L:L)</f>
        <v>2297</v>
      </c>
      <c r="B13" s="4" t="s">
        <v>5129</v>
      </c>
      <c r="C13" s="4" t="s">
        <v>5130</v>
      </c>
      <c r="D13" s="5" t="s">
        <v>5131</v>
      </c>
      <c r="E13" s="5">
        <v>77.62</v>
      </c>
      <c r="F13" s="6">
        <f>LOOKUP(D13,'AMFI DATA_2023H2'!F:J,'AMFI DATA_2023H2'!J:J)</f>
        <v>112.34765</v>
      </c>
      <c r="G13" s="7">
        <f t="shared" si="0"/>
        <v>0.4419527244228072</v>
      </c>
      <c r="H13" s="9">
        <v>162</v>
      </c>
      <c r="I13" s="9">
        <v>160</v>
      </c>
      <c r="J13" s="9">
        <v>169</v>
      </c>
      <c r="K13" s="9">
        <v>145</v>
      </c>
      <c r="L13" s="9">
        <v>154</v>
      </c>
      <c r="M13" s="9">
        <v>126</v>
      </c>
      <c r="N13" s="9">
        <v>127</v>
      </c>
      <c r="O13" s="9">
        <v>124</v>
      </c>
      <c r="P13" s="9">
        <v>124</v>
      </c>
      <c r="Q13" s="9">
        <v>116</v>
      </c>
      <c r="R13" s="7">
        <f t="shared" si="1"/>
        <v>0.25236264398943797</v>
      </c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4.4" hidden="1">
      <c r="A14" s="3">
        <f>LOOKUP(D14,'AMFI DATA_2023H2'!F:L,'AMFI DATA_2023H2'!L:L)</f>
        <v>1817</v>
      </c>
      <c r="B14" s="4" t="s">
        <v>4493</v>
      </c>
      <c r="C14" s="4" t="s">
        <v>4494</v>
      </c>
      <c r="D14" s="5" t="s">
        <v>4495</v>
      </c>
      <c r="E14" s="5">
        <v>200.75</v>
      </c>
      <c r="F14" s="6">
        <f>LOOKUP(D14,'AMFI DATA_2023H2'!F:J,'AMFI DATA_2023H2'!J:J)</f>
        <v>262.93860000000001</v>
      </c>
      <c r="G14" s="7">
        <f t="shared" si="0"/>
        <v>0.11432859230253745</v>
      </c>
      <c r="H14" s="9">
        <v>293</v>
      </c>
      <c r="I14" s="9">
        <v>294</v>
      </c>
      <c r="J14" s="9">
        <v>295</v>
      </c>
      <c r="K14" s="9">
        <v>302</v>
      </c>
      <c r="L14" s="9">
        <v>302</v>
      </c>
      <c r="M14" s="9">
        <v>295</v>
      </c>
      <c r="N14" s="9">
        <v>296</v>
      </c>
      <c r="O14" s="9">
        <v>296</v>
      </c>
      <c r="P14" s="9">
        <v>298</v>
      </c>
      <c r="Q14" s="9">
        <v>301</v>
      </c>
      <c r="R14" s="7">
        <f t="shared" si="1"/>
        <v>0.13030190318195944</v>
      </c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4.4" hidden="1">
      <c r="A15" s="3">
        <f>LOOKUP(D15,'AMFI DATA_2023H2'!F:L,'AMFI DATA_2023H2'!L:L)</f>
        <v>2115</v>
      </c>
      <c r="B15" s="4" t="s">
        <v>4904</v>
      </c>
      <c r="C15" s="4" t="s">
        <v>4905</v>
      </c>
      <c r="D15" s="5" t="s">
        <v>4906</v>
      </c>
      <c r="E15" s="5">
        <v>200.75</v>
      </c>
      <c r="F15" s="6">
        <f>LOOKUP(D15,'AMFI DATA_2023H2'!F:J,'AMFI DATA_2023H2'!J:J)</f>
        <v>154.39070000000001</v>
      </c>
      <c r="G15" s="7">
        <f t="shared" si="0"/>
        <v>1.0423555304820864E-2</v>
      </c>
      <c r="H15" s="9">
        <v>156</v>
      </c>
      <c r="I15" s="9">
        <v>157</v>
      </c>
      <c r="J15" s="9">
        <v>155</v>
      </c>
      <c r="K15" s="9">
        <v>154</v>
      </c>
      <c r="L15" s="9">
        <v>150</v>
      </c>
      <c r="M15" s="9">
        <v>143</v>
      </c>
      <c r="N15" s="9">
        <v>148</v>
      </c>
      <c r="O15" s="9">
        <v>151</v>
      </c>
      <c r="P15" s="9">
        <v>148</v>
      </c>
      <c r="Q15" s="9">
        <v>141</v>
      </c>
      <c r="R15" s="7">
        <f t="shared" si="1"/>
        <v>-2.6495766908239959E-2</v>
      </c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4.4" hidden="1">
      <c r="A16" s="3">
        <f>LOOKUP(D16,'AMFI DATA_2023H2'!F:L,'AMFI DATA_2023H2'!L:L)</f>
        <v>626</v>
      </c>
      <c r="B16" s="4" t="s">
        <v>1848</v>
      </c>
      <c r="C16" s="4" t="s">
        <v>1849</v>
      </c>
      <c r="D16" s="5" t="s">
        <v>1850</v>
      </c>
      <c r="E16" s="5">
        <v>3849.55</v>
      </c>
      <c r="F16" s="6">
        <f>LOOKUP(D16,'AMFI DATA_2023H2'!F:J,'AMFI DATA_2023H2'!J:J)</f>
        <v>4848.7070000000003</v>
      </c>
      <c r="G16" s="7">
        <f t="shared" si="0"/>
        <v>-2.6957083610125387E-2</v>
      </c>
      <c r="H16" s="8">
        <v>4718</v>
      </c>
      <c r="I16" s="8">
        <v>4664</v>
      </c>
      <c r="J16" s="8">
        <v>4640</v>
      </c>
      <c r="K16" s="8">
        <v>4650</v>
      </c>
      <c r="L16" s="8">
        <v>4587</v>
      </c>
      <c r="M16" s="8">
        <v>4529</v>
      </c>
      <c r="N16" s="8">
        <v>4572</v>
      </c>
      <c r="O16" s="8">
        <v>4610</v>
      </c>
      <c r="P16" s="8">
        <v>4575</v>
      </c>
      <c r="Q16" s="8">
        <v>4625</v>
      </c>
      <c r="R16" s="7">
        <f t="shared" si="1"/>
        <v>-4.7787379192019697E-2</v>
      </c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4.4" hidden="1">
      <c r="A17" s="3">
        <f>LOOKUP(D17,'AMFI DATA_2023H2'!F:L,'AMFI DATA_2023H2'!L:L)</f>
        <v>286</v>
      </c>
      <c r="B17" s="4" t="s">
        <v>867</v>
      </c>
      <c r="C17" s="4" t="s">
        <v>868</v>
      </c>
      <c r="D17" s="5" t="s">
        <v>869</v>
      </c>
      <c r="E17" s="5">
        <v>19410.27</v>
      </c>
      <c r="F17" s="6">
        <f>LOOKUP(D17,'AMFI DATA_2023H2'!F:J,'AMFI DATA_2023H2'!J:J)</f>
        <v>18213.717700000001</v>
      </c>
      <c r="G17" s="7">
        <f t="shared" si="0"/>
        <v>0.25295672063699537</v>
      </c>
      <c r="H17" s="8">
        <v>22821</v>
      </c>
      <c r="I17" s="8">
        <v>23360</v>
      </c>
      <c r="J17" s="8">
        <v>23655</v>
      </c>
      <c r="K17" s="8">
        <v>23768</v>
      </c>
      <c r="L17" s="8">
        <v>23621</v>
      </c>
      <c r="M17" s="8">
        <v>23554</v>
      </c>
      <c r="N17" s="8">
        <v>23169</v>
      </c>
      <c r="O17" s="8">
        <v>23409</v>
      </c>
      <c r="P17" s="8">
        <v>22964</v>
      </c>
      <c r="Q17" s="8">
        <v>21698</v>
      </c>
      <c r="R17" s="7">
        <f t="shared" si="1"/>
        <v>0.27386952966774047</v>
      </c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4.4">
      <c r="A18" s="3">
        <f>LOOKUP(D18,'AMFI DATA_2023H2'!F:L,'AMFI DATA_2023H2'!L:L)</f>
        <v>714</v>
      </c>
      <c r="B18" s="4" t="s">
        <v>2087</v>
      </c>
      <c r="C18" s="4" t="s">
        <v>2088</v>
      </c>
      <c r="D18" s="5" t="s">
        <v>2089</v>
      </c>
      <c r="E18" s="5">
        <v>3067.34</v>
      </c>
      <c r="F18" s="6">
        <f>LOOKUP(D18,'AMFI DATA_2023H2'!F:J,'AMFI DATA_2023H2'!J:J)</f>
        <v>3679.857</v>
      </c>
      <c r="G18" s="7">
        <f t="shared" si="0"/>
        <v>0.20357937822040362</v>
      </c>
      <c r="H18" s="8">
        <v>4429</v>
      </c>
      <c r="I18" s="8">
        <v>4586</v>
      </c>
      <c r="J18" s="8">
        <v>4507</v>
      </c>
      <c r="K18" s="8">
        <v>4554</v>
      </c>
      <c r="L18" s="8">
        <v>4579</v>
      </c>
      <c r="M18" s="8">
        <v>4572</v>
      </c>
      <c r="N18" s="8">
        <v>4672</v>
      </c>
      <c r="O18" s="8">
        <v>4809</v>
      </c>
      <c r="P18" s="8">
        <v>4574</v>
      </c>
      <c r="Q18" s="8">
        <v>4542</v>
      </c>
      <c r="R18" s="14">
        <f t="shared" si="1"/>
        <v>0.24526578070832628</v>
      </c>
      <c r="S18" s="8"/>
      <c r="T18" s="8">
        <v>488</v>
      </c>
      <c r="U18" s="15">
        <f ca="1">IFERROR(__xludf.DUMMYFUNCTION("GOOGLEFINANCE(C18,""PRICE"")"),522)</f>
        <v>522</v>
      </c>
      <c r="V18" s="13" t="s">
        <v>5787</v>
      </c>
      <c r="W18" s="7">
        <f ca="1">U18/T18-1</f>
        <v>6.9672131147541005E-2</v>
      </c>
      <c r="X18" s="8"/>
      <c r="Y18" s="8"/>
      <c r="Z18" s="8"/>
      <c r="AA18" s="8"/>
      <c r="AB18" s="8"/>
    </row>
    <row r="19" spans="1:28" ht="14.4" hidden="1">
      <c r="A19" s="3">
        <f>LOOKUP(D19,'AMFI DATA_2023H2'!F:L,'AMFI DATA_2023H2'!L:L)</f>
        <v>1508</v>
      </c>
      <c r="B19" s="4" t="s">
        <v>3977</v>
      </c>
      <c r="C19" s="4" t="s">
        <v>3978</v>
      </c>
      <c r="D19" s="5" t="s">
        <v>3979</v>
      </c>
      <c r="E19" s="5">
        <v>463.23</v>
      </c>
      <c r="F19" s="6">
        <f>LOOKUP(D19,'AMFI DATA_2023H2'!F:J,'AMFI DATA_2023H2'!J:J)</f>
        <v>499.33545000000004</v>
      </c>
      <c r="G19" s="7">
        <f t="shared" si="0"/>
        <v>0.17756510177677143</v>
      </c>
      <c r="H19" s="9">
        <v>588</v>
      </c>
      <c r="I19" s="9">
        <v>594</v>
      </c>
      <c r="J19" s="9">
        <v>591</v>
      </c>
      <c r="K19" s="9">
        <v>606</v>
      </c>
      <c r="L19" s="9">
        <v>608</v>
      </c>
      <c r="M19" s="9">
        <v>607</v>
      </c>
      <c r="N19" s="9">
        <v>603</v>
      </c>
      <c r="O19" s="9">
        <v>572</v>
      </c>
      <c r="P19" s="9">
        <v>514</v>
      </c>
      <c r="Q19" s="9">
        <v>501</v>
      </c>
      <c r="R19" s="7">
        <f t="shared" si="1"/>
        <v>0.15833954909470171</v>
      </c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4.4" hidden="1">
      <c r="A20" s="3">
        <f>LOOKUP(D20,'AMFI DATA_2023H2'!F:L,'AMFI DATA_2023H2'!L:L)</f>
        <v>2732</v>
      </c>
      <c r="B20" s="4" t="s">
        <v>5437</v>
      </c>
      <c r="C20" s="4" t="s">
        <v>5438</v>
      </c>
      <c r="D20" s="5" t="s">
        <v>5439</v>
      </c>
      <c r="E20" s="5">
        <v>51.78</v>
      </c>
      <c r="F20" s="6">
        <f>LOOKUP(D20,'AMFI DATA_2023H2'!F:J,'AMFI DATA_2023H2'!J:J)</f>
        <v>56.331150000000001</v>
      </c>
      <c r="G20" s="7">
        <f t="shared" si="0"/>
        <v>0.27815604687637308</v>
      </c>
      <c r="H20" s="9">
        <v>72</v>
      </c>
      <c r="I20" s="9">
        <v>71.8</v>
      </c>
      <c r="J20" s="9">
        <v>72.599999999999994</v>
      </c>
      <c r="K20" s="9">
        <v>69.7</v>
      </c>
      <c r="L20" s="9">
        <v>69.8</v>
      </c>
      <c r="M20" s="9">
        <v>66.2</v>
      </c>
      <c r="N20" s="9">
        <v>68.5</v>
      </c>
      <c r="O20" s="9">
        <v>70.599999999999994</v>
      </c>
      <c r="P20" s="9">
        <v>64.599999999999994</v>
      </c>
      <c r="Q20" s="9">
        <v>62.8</v>
      </c>
      <c r="R20" s="7">
        <f t="shared" si="1"/>
        <v>0.22241424149870892</v>
      </c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4.4" hidden="1">
      <c r="A21" s="3">
        <f>LOOKUP(D21,'AMFI DATA_2023H2'!F:L,'AMFI DATA_2023H2'!L:L)</f>
        <v>1975</v>
      </c>
      <c r="B21" s="4" t="s">
        <v>4685</v>
      </c>
      <c r="C21" s="4" t="s">
        <v>4686</v>
      </c>
      <c r="D21" s="5" t="s">
        <v>4687</v>
      </c>
      <c r="E21" s="5">
        <v>201.17</v>
      </c>
      <c r="F21" s="6">
        <f>LOOKUP(D21,'AMFI DATA_2023H2'!F:J,'AMFI DATA_2023H2'!J:J)</f>
        <v>195.96129999999999</v>
      </c>
      <c r="G21" s="7">
        <f t="shared" si="0"/>
        <v>0.2145255211105459</v>
      </c>
      <c r="H21" s="9">
        <v>238</v>
      </c>
      <c r="I21" s="9">
        <v>238</v>
      </c>
      <c r="J21" s="9">
        <v>228</v>
      </c>
      <c r="K21" s="9">
        <v>232</v>
      </c>
      <c r="L21" s="9">
        <v>230</v>
      </c>
      <c r="M21" s="9">
        <v>233</v>
      </c>
      <c r="N21" s="9">
        <v>246</v>
      </c>
      <c r="O21" s="9">
        <v>243</v>
      </c>
      <c r="P21" s="9">
        <v>203</v>
      </c>
      <c r="Q21" s="9">
        <v>204</v>
      </c>
      <c r="R21" s="7">
        <f t="shared" si="1"/>
        <v>0.17114960964231196</v>
      </c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4.4" hidden="1">
      <c r="A22" s="3">
        <f>LOOKUP(D22,'AMFI DATA_2023H2'!F:L,'AMFI DATA_2023H2'!L:L)</f>
        <v>351</v>
      </c>
      <c r="B22" s="4" t="s">
        <v>1059</v>
      </c>
      <c r="C22" s="4" t="s">
        <v>1060</v>
      </c>
      <c r="D22" s="5" t="s">
        <v>1061</v>
      </c>
      <c r="E22" s="5">
        <v>13058.14</v>
      </c>
      <c r="F22" s="6">
        <f>LOOKUP(D22,'AMFI DATA_2023H2'!F:J,'AMFI DATA_2023H2'!J:J)</f>
        <v>12438.983850000001</v>
      </c>
      <c r="G22" s="7">
        <f t="shared" si="0"/>
        <v>-2.4908666474392493E-3</v>
      </c>
      <c r="H22" s="8">
        <v>12408</v>
      </c>
      <c r="I22" s="8">
        <v>12434</v>
      </c>
      <c r="J22" s="8">
        <v>12409</v>
      </c>
      <c r="K22" s="8">
        <v>12444</v>
      </c>
      <c r="L22" s="8">
        <v>12355</v>
      </c>
      <c r="M22" s="8">
        <v>12125</v>
      </c>
      <c r="N22" s="8">
        <v>11889</v>
      </c>
      <c r="O22" s="8">
        <v>11804</v>
      </c>
      <c r="P22" s="8">
        <v>11577</v>
      </c>
      <c r="Q22" s="8">
        <v>11712</v>
      </c>
      <c r="R22" s="7">
        <f t="shared" si="1"/>
        <v>-2.5989570683460639E-2</v>
      </c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4.4" hidden="1">
      <c r="A23" s="3">
        <f>LOOKUP(D23,'AMFI DATA_2023H2'!F:L,'AMFI DATA_2023H2'!L:L)</f>
        <v>1789</v>
      </c>
      <c r="B23" s="4" t="s">
        <v>4463</v>
      </c>
      <c r="C23" s="4" t="s">
        <v>4464</v>
      </c>
      <c r="D23" s="5" t="s">
        <v>4465</v>
      </c>
      <c r="E23" s="5">
        <v>238.51</v>
      </c>
      <c r="F23" s="6">
        <f>LOOKUP(D23,'AMFI DATA_2023H2'!F:J,'AMFI DATA_2023H2'!J:J)</f>
        <v>274.90210000000002</v>
      </c>
      <c r="G23" s="7">
        <f t="shared" si="0"/>
        <v>0.2186156453515633</v>
      </c>
      <c r="H23" s="9">
        <v>335</v>
      </c>
      <c r="I23" s="9">
        <v>338</v>
      </c>
      <c r="J23" s="9">
        <v>343</v>
      </c>
      <c r="K23" s="9">
        <v>336</v>
      </c>
      <c r="L23" s="9">
        <v>320</v>
      </c>
      <c r="M23" s="9">
        <v>308</v>
      </c>
      <c r="N23" s="9">
        <v>306</v>
      </c>
      <c r="O23" s="9">
        <v>311</v>
      </c>
      <c r="P23" s="9">
        <v>317</v>
      </c>
      <c r="Q23" s="9">
        <v>308</v>
      </c>
      <c r="R23" s="7">
        <f t="shared" si="1"/>
        <v>0.17205361472320502</v>
      </c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4.4" hidden="1">
      <c r="A24" s="3">
        <f>LOOKUP(D24,'AMFI DATA_2023H2'!F:L,'AMFI DATA_2023H2'!L:L)</f>
        <v>1034</v>
      </c>
      <c r="B24" s="4" t="s">
        <v>2954</v>
      </c>
      <c r="C24" s="4" t="s">
        <v>2955</v>
      </c>
      <c r="D24" s="5" t="s">
        <v>2956</v>
      </c>
      <c r="E24" s="5">
        <v>1237.1099999999999</v>
      </c>
      <c r="F24" s="6">
        <f>LOOKUP(D24,'AMFI DATA_2023H2'!F:J,'AMFI DATA_2023H2'!J:J)</f>
        <v>1545.02755</v>
      </c>
      <c r="G24" s="7">
        <f t="shared" si="0"/>
        <v>8.4123063048293201E-2</v>
      </c>
      <c r="H24" s="8">
        <v>1675</v>
      </c>
      <c r="I24" s="8">
        <v>1702</v>
      </c>
      <c r="J24" s="8">
        <v>1639</v>
      </c>
      <c r="K24" s="8">
        <v>1618</v>
      </c>
      <c r="L24" s="8">
        <v>1658</v>
      </c>
      <c r="M24" s="8">
        <v>1593</v>
      </c>
      <c r="N24" s="8">
        <v>1586</v>
      </c>
      <c r="O24" s="8">
        <v>1585</v>
      </c>
      <c r="P24" s="8">
        <v>1592</v>
      </c>
      <c r="Q24" s="8">
        <v>1573</v>
      </c>
      <c r="R24" s="7">
        <f t="shared" si="1"/>
        <v>4.9884191385454413E-2</v>
      </c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4.4" hidden="1">
      <c r="A25" s="3">
        <f>LOOKUP(D25,'AMFI DATA_2023H2'!F:L,'AMFI DATA_2023H2'!L:L)</f>
        <v>66</v>
      </c>
      <c r="B25" s="4" t="s">
        <v>207</v>
      </c>
      <c r="C25" s="4" t="s">
        <v>208</v>
      </c>
      <c r="D25" s="5" t="s">
        <v>209</v>
      </c>
      <c r="E25" s="5">
        <v>73163.05</v>
      </c>
      <c r="F25" s="6">
        <f>LOOKUP(D25,'AMFI DATA_2023H2'!F:J,'AMFI DATA_2023H2'!J:J)</f>
        <v>92476.04084999999</v>
      </c>
      <c r="G25" s="7">
        <f t="shared" si="0"/>
        <v>0.10468613341376631</v>
      </c>
      <c r="H25" s="8">
        <v>102157</v>
      </c>
      <c r="I25" s="8">
        <v>102240</v>
      </c>
      <c r="J25" s="8">
        <v>101198</v>
      </c>
      <c r="K25" s="8">
        <v>99511</v>
      </c>
      <c r="L25" s="8">
        <v>99142</v>
      </c>
      <c r="M25" s="8">
        <v>99037</v>
      </c>
      <c r="N25" s="8">
        <v>98434</v>
      </c>
      <c r="O25" s="8">
        <v>100619</v>
      </c>
      <c r="P25" s="8">
        <v>101060</v>
      </c>
      <c r="Q25" s="8">
        <v>100847</v>
      </c>
      <c r="R25" s="7">
        <f t="shared" si="1"/>
        <v>8.5951551093031098E-2</v>
      </c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4.4" hidden="1">
      <c r="A26" s="3">
        <f>LOOKUP(D26,'AMFI DATA_2023H2'!F:L,'AMFI DATA_2023H2'!L:L)</f>
        <v>66</v>
      </c>
      <c r="B26" s="4" t="s">
        <v>210</v>
      </c>
      <c r="C26" s="4" t="s">
        <v>211</v>
      </c>
      <c r="D26" s="5" t="s">
        <v>212</v>
      </c>
      <c r="E26" s="5">
        <v>73163.05</v>
      </c>
      <c r="F26" s="6">
        <f>LOOKUP(D26,'AMFI DATA_2023H2'!F:J,'AMFI DATA_2023H2'!J:J)</f>
        <v>92476.04084999999</v>
      </c>
      <c r="G26" s="7">
        <f t="shared" si="0"/>
        <v>-0.45115513668749363</v>
      </c>
      <c r="H26" s="8">
        <v>50755</v>
      </c>
      <c r="I26" s="8">
        <v>50086</v>
      </c>
      <c r="J26" s="8">
        <v>50164</v>
      </c>
      <c r="K26" s="8">
        <v>49703</v>
      </c>
      <c r="L26" s="8">
        <v>48285</v>
      </c>
      <c r="M26" s="8">
        <v>48663</v>
      </c>
      <c r="N26" s="8">
        <v>48131</v>
      </c>
      <c r="O26" s="8">
        <v>48085</v>
      </c>
      <c r="P26" s="8">
        <v>47766</v>
      </c>
      <c r="Q26" s="8">
        <v>48034</v>
      </c>
      <c r="R26" s="7">
        <f t="shared" si="1"/>
        <v>-0.47048771173685033</v>
      </c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4.4" hidden="1">
      <c r="A27" s="3">
        <f>LOOKUP(D27,'AMFI DATA_2023H2'!F:L,'AMFI DATA_2023H2'!L:L)</f>
        <v>2946</v>
      </c>
      <c r="B27" s="4" t="s">
        <v>5527</v>
      </c>
      <c r="C27" s="4" t="s">
        <v>5528</v>
      </c>
      <c r="D27" s="5" t="s">
        <v>5529</v>
      </c>
      <c r="E27" s="5">
        <v>50.19</v>
      </c>
      <c r="F27" s="6">
        <f>LOOKUP(D27,'AMFI DATA_2023H2'!F:J,'AMFI DATA_2023H2'!J:J)</f>
        <v>41.395200000000003</v>
      </c>
      <c r="G27" s="7">
        <f t="shared" si="0"/>
        <v>0.27309446505875079</v>
      </c>
      <c r="H27" s="9">
        <v>52.7</v>
      </c>
      <c r="I27" s="9">
        <v>50.2</v>
      </c>
      <c r="J27" s="9">
        <v>48.9</v>
      </c>
      <c r="K27" s="9">
        <v>46.7</v>
      </c>
      <c r="L27" s="9">
        <v>49.1</v>
      </c>
      <c r="M27" s="9">
        <v>51.6</v>
      </c>
      <c r="N27" s="9">
        <v>53.2</v>
      </c>
      <c r="O27" s="9">
        <v>54.5</v>
      </c>
      <c r="P27" s="9">
        <v>51.9</v>
      </c>
      <c r="Q27" s="9">
        <v>49.4</v>
      </c>
      <c r="R27" s="7">
        <f t="shared" si="1"/>
        <v>0.22767857142857117</v>
      </c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4.4" hidden="1">
      <c r="A28" s="3">
        <f>LOOKUP(D28,'AMFI DATA_2023H2'!F:L,'AMFI DATA_2023H2'!L:L)</f>
        <v>170</v>
      </c>
      <c r="B28" s="4" t="s">
        <v>519</v>
      </c>
      <c r="C28" s="4" t="s">
        <v>520</v>
      </c>
      <c r="D28" s="5" t="s">
        <v>521</v>
      </c>
      <c r="E28" s="5">
        <v>35284.449999999997</v>
      </c>
      <c r="F28" s="6">
        <f>LOOKUP(D28,'AMFI DATA_2023H2'!F:J,'AMFI DATA_2023H2'!J:J)</f>
        <v>36883.025399999999</v>
      </c>
      <c r="G28" s="7">
        <f t="shared" si="0"/>
        <v>0.21278012079779129</v>
      </c>
      <c r="H28" s="8">
        <v>44731</v>
      </c>
      <c r="I28" s="8">
        <v>44284</v>
      </c>
      <c r="J28" s="8">
        <v>42628</v>
      </c>
      <c r="K28" s="8">
        <v>42486</v>
      </c>
      <c r="L28" s="8">
        <v>42126</v>
      </c>
      <c r="M28" s="8">
        <v>41480</v>
      </c>
      <c r="N28" s="8">
        <v>40763</v>
      </c>
      <c r="O28" s="8">
        <v>40709</v>
      </c>
      <c r="P28" s="8">
        <v>39682</v>
      </c>
      <c r="Q28" s="8">
        <v>39262</v>
      </c>
      <c r="R28" s="7">
        <f t="shared" si="1"/>
        <v>0.13372207259331814</v>
      </c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4.4" hidden="1">
      <c r="A29" s="3">
        <f>LOOKUP(D29,'AMFI DATA_2023H2'!F:L,'AMFI DATA_2023H2'!L:L)</f>
        <v>896</v>
      </c>
      <c r="B29" s="4" t="s">
        <v>2597</v>
      </c>
      <c r="C29" s="4" t="s">
        <v>2598</v>
      </c>
      <c r="D29" s="5" t="s">
        <v>2599</v>
      </c>
      <c r="E29" s="5">
        <v>1957.06</v>
      </c>
      <c r="F29" s="6">
        <f>LOOKUP(D29,'AMFI DATA_2023H2'!F:J,'AMFI DATA_2023H2'!J:J)</f>
        <v>2170.6014500000001</v>
      </c>
      <c r="G29" s="7">
        <f t="shared" si="0"/>
        <v>7.5548415394266488E-3</v>
      </c>
      <c r="H29" s="8">
        <v>2187</v>
      </c>
      <c r="I29" s="8">
        <v>2117</v>
      </c>
      <c r="J29" s="8">
        <v>2140</v>
      </c>
      <c r="K29" s="8">
        <v>2118</v>
      </c>
      <c r="L29" s="8">
        <v>2126</v>
      </c>
      <c r="M29" s="8">
        <v>2114</v>
      </c>
      <c r="N29" s="8">
        <v>2135</v>
      </c>
      <c r="O29" s="8">
        <v>2130</v>
      </c>
      <c r="P29" s="8">
        <v>2091</v>
      </c>
      <c r="Q29" s="8">
        <v>2072</v>
      </c>
      <c r="R29" s="7">
        <f t="shared" si="1"/>
        <v>-2.1930073805119799E-2</v>
      </c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4.4" hidden="1">
      <c r="A30" s="3">
        <f>LOOKUP(D30,'AMFI DATA_2023H2'!F:L,'AMFI DATA_2023H2'!L:L)</f>
        <v>2179</v>
      </c>
      <c r="B30" s="4" t="s">
        <v>4988</v>
      </c>
      <c r="C30" s="4" t="s">
        <v>4989</v>
      </c>
      <c r="D30" s="5" t="s">
        <v>4990</v>
      </c>
      <c r="E30" s="5">
        <v>224.86</v>
      </c>
      <c r="F30" s="6">
        <f>LOOKUP(D30,'AMFI DATA_2023H2'!F:J,'AMFI DATA_2023H2'!J:J)</f>
        <v>137.69560000000001</v>
      </c>
      <c r="G30" s="7">
        <f t="shared" si="0"/>
        <v>0.22734495510386665</v>
      </c>
      <c r="H30" s="9">
        <v>169</v>
      </c>
      <c r="I30" s="9">
        <v>166</v>
      </c>
      <c r="J30" s="9">
        <v>159</v>
      </c>
      <c r="K30" s="9">
        <v>151</v>
      </c>
      <c r="L30" s="9">
        <v>145</v>
      </c>
      <c r="M30" s="9">
        <v>145</v>
      </c>
      <c r="N30" s="9">
        <v>143</v>
      </c>
      <c r="O30" s="9">
        <v>143</v>
      </c>
      <c r="P30" s="9">
        <v>143</v>
      </c>
      <c r="Q30" s="9">
        <v>142</v>
      </c>
      <c r="R30" s="7">
        <f t="shared" si="1"/>
        <v>9.3716865317410081E-2</v>
      </c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4.4" hidden="1">
      <c r="A31" s="3">
        <f>LOOKUP(D31,'AMFI DATA_2023H2'!F:L,'AMFI DATA_2023H2'!L:L)</f>
        <v>3023</v>
      </c>
      <c r="B31" s="4" t="s">
        <v>5554</v>
      </c>
      <c r="C31" s="4" t="s">
        <v>5555</v>
      </c>
      <c r="D31" s="5" t="s">
        <v>5556</v>
      </c>
      <c r="E31" s="5">
        <v>47.2</v>
      </c>
      <c r="F31" s="6">
        <f>LOOKUP(D31,'AMFI DATA_2023H2'!F:J,'AMFI DATA_2023H2'!J:J)</f>
        <v>36.882899999999999</v>
      </c>
      <c r="G31" s="7">
        <f t="shared" si="0"/>
        <v>0.1604293588627792</v>
      </c>
      <c r="H31" s="9">
        <v>42.8</v>
      </c>
      <c r="I31" s="9">
        <v>42.2</v>
      </c>
      <c r="J31" s="9">
        <v>41.2</v>
      </c>
      <c r="K31" s="9">
        <v>41.4</v>
      </c>
      <c r="L31" s="9">
        <v>41.5</v>
      </c>
      <c r="M31" s="9">
        <v>41.3</v>
      </c>
      <c r="N31" s="9">
        <v>40.799999999999997</v>
      </c>
      <c r="O31" s="9">
        <v>41.4</v>
      </c>
      <c r="P31" s="9">
        <v>41.9</v>
      </c>
      <c r="Q31" s="9">
        <v>42.1</v>
      </c>
      <c r="R31" s="7">
        <f t="shared" si="1"/>
        <v>0.12952072640708834</v>
      </c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4.4" hidden="1">
      <c r="A32" s="3">
        <f>LOOKUP(D32,'AMFI DATA_2023H2'!F:L,'AMFI DATA_2023H2'!L:L)</f>
        <v>448</v>
      </c>
      <c r="B32" s="4" t="s">
        <v>1335</v>
      </c>
      <c r="C32" s="4" t="s">
        <v>1336</v>
      </c>
      <c r="D32" s="5" t="s">
        <v>1337</v>
      </c>
      <c r="E32" s="5">
        <v>4773.5600000000004</v>
      </c>
      <c r="F32" s="6">
        <f>LOOKUP(D32,'AMFI DATA_2023H2'!F:J,'AMFI DATA_2023H2'!J:J)</f>
        <v>8868.5909499999998</v>
      </c>
      <c r="G32" s="7">
        <f t="shared" si="0"/>
        <v>0.2256738484482701</v>
      </c>
      <c r="H32" s="8">
        <v>10870</v>
      </c>
      <c r="I32" s="8">
        <v>10715</v>
      </c>
      <c r="J32" s="8">
        <v>11029</v>
      </c>
      <c r="K32" s="8">
        <v>10356</v>
      </c>
      <c r="L32" s="8">
        <v>10045</v>
      </c>
      <c r="M32" s="8">
        <v>9874</v>
      </c>
      <c r="N32" s="8">
        <v>9884</v>
      </c>
      <c r="O32" s="8">
        <v>10011</v>
      </c>
      <c r="P32" s="8">
        <v>10098</v>
      </c>
      <c r="Q32" s="8">
        <v>10135</v>
      </c>
      <c r="R32" s="7">
        <f t="shared" si="1"/>
        <v>0.16159377042866097</v>
      </c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4.4" hidden="1">
      <c r="A33" s="3">
        <f>LOOKUP(D33,'AMFI DATA_2023H2'!F:L,'AMFI DATA_2023H2'!L:L)</f>
        <v>63</v>
      </c>
      <c r="B33" s="4" t="s">
        <v>198</v>
      </c>
      <c r="C33" s="4" t="s">
        <v>199</v>
      </c>
      <c r="D33" s="5" t="s">
        <v>200</v>
      </c>
      <c r="E33" s="5">
        <v>494.76</v>
      </c>
      <c r="F33" s="6">
        <f>LOOKUP(D33,'AMFI DATA_2023H2'!F:J,'AMFI DATA_2023H2'!J:J)</f>
        <v>93803.466849999997</v>
      </c>
      <c r="G33" s="7">
        <f t="shared" si="0"/>
        <v>0.38348831187149246</v>
      </c>
      <c r="H33" s="8">
        <v>129776</v>
      </c>
      <c r="I33" s="8">
        <v>131606</v>
      </c>
      <c r="J33" s="8">
        <v>132063</v>
      </c>
      <c r="K33" s="8">
        <v>118337</v>
      </c>
      <c r="L33" s="8">
        <v>117584</v>
      </c>
      <c r="M33" s="8">
        <v>116681</v>
      </c>
      <c r="N33" s="8">
        <v>114288</v>
      </c>
      <c r="O33" s="8">
        <v>118081</v>
      </c>
      <c r="P33" s="8">
        <v>116156</v>
      </c>
      <c r="Q33" s="8">
        <v>114661</v>
      </c>
      <c r="R33" s="7">
        <f t="shared" si="1"/>
        <v>0.28911333515388082</v>
      </c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4.4" hidden="1">
      <c r="A34" s="3">
        <f>LOOKUP(D34,'AMFI DATA_2023H2'!F:L,'AMFI DATA_2023H2'!L:L)</f>
        <v>19</v>
      </c>
      <c r="B34" s="4" t="s">
        <v>61</v>
      </c>
      <c r="C34" s="4" t="s">
        <v>62</v>
      </c>
      <c r="D34" s="5" t="s">
        <v>63</v>
      </c>
      <c r="E34" s="5">
        <v>255987.28</v>
      </c>
      <c r="F34" s="6">
        <f>LOOKUP(D34,'AMFI DATA_2023H2'!F:J,'AMFI DATA_2023H2'!J:J)</f>
        <v>282708.67330000002</v>
      </c>
      <c r="G34" s="7">
        <f t="shared" si="0"/>
        <v>0.21242831356741387</v>
      </c>
      <c r="H34" s="8">
        <v>342764</v>
      </c>
      <c r="I34" s="8">
        <v>341807</v>
      </c>
      <c r="J34" s="8">
        <v>342451</v>
      </c>
      <c r="K34" s="8">
        <v>334254</v>
      </c>
      <c r="L34" s="8">
        <v>332527</v>
      </c>
      <c r="M34" s="8">
        <v>324786</v>
      </c>
      <c r="N34" s="8">
        <v>320625</v>
      </c>
      <c r="O34" s="8">
        <v>324080</v>
      </c>
      <c r="P34" s="8">
        <v>326772</v>
      </c>
      <c r="Q34" s="8">
        <v>320152</v>
      </c>
      <c r="R34" s="7">
        <f t="shared" si="1"/>
        <v>0.17089368407431871</v>
      </c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4.4" hidden="1">
      <c r="A35" s="3">
        <f>LOOKUP(D35,'AMFI DATA_2023H2'!F:L,'AMFI DATA_2023H2'!L:L)</f>
        <v>34</v>
      </c>
      <c r="B35" s="4" t="s">
        <v>108</v>
      </c>
      <c r="C35" s="4" t="s">
        <v>109</v>
      </c>
      <c r="D35" s="5" t="s">
        <v>110</v>
      </c>
      <c r="E35" s="5">
        <v>162786.70000000001</v>
      </c>
      <c r="F35" s="6">
        <f>LOOKUP(D35,'AMFI DATA_2023H2'!F:J,'AMFI DATA_2023H2'!J:J)</f>
        <v>166925.08669999999</v>
      </c>
      <c r="G35" s="7">
        <f t="shared" si="0"/>
        <v>0.58825138414620359</v>
      </c>
      <c r="H35" s="8">
        <v>265119</v>
      </c>
      <c r="I35" s="8">
        <v>268098</v>
      </c>
      <c r="J35" s="8">
        <v>269087</v>
      </c>
      <c r="K35" s="8">
        <v>253857</v>
      </c>
      <c r="L35" s="8">
        <v>253184</v>
      </c>
      <c r="M35" s="8">
        <v>252978</v>
      </c>
      <c r="N35" s="8">
        <v>247347</v>
      </c>
      <c r="O35" s="8">
        <v>253334</v>
      </c>
      <c r="P35" s="8">
        <v>253336</v>
      </c>
      <c r="Q35" s="8">
        <v>242848</v>
      </c>
      <c r="R35" s="7">
        <f t="shared" si="1"/>
        <v>0.53313564221740206</v>
      </c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4.4" hidden="1">
      <c r="A36" s="3">
        <f>LOOKUP(D36,'AMFI DATA_2023H2'!F:L,'AMFI DATA_2023H2'!L:L)</f>
        <v>32</v>
      </c>
      <c r="B36" s="4" t="s">
        <v>102</v>
      </c>
      <c r="C36" s="4" t="s">
        <v>103</v>
      </c>
      <c r="D36" s="5" t="s">
        <v>104</v>
      </c>
      <c r="E36" s="5">
        <v>147253.79999999999</v>
      </c>
      <c r="F36" s="6">
        <f>LOOKUP(D36,'AMFI DATA_2023H2'!F:J,'AMFI DATA_2023H2'!J:J)</f>
        <v>179510.63815000001</v>
      </c>
      <c r="G36" s="7">
        <f t="shared" si="0"/>
        <v>0.3887867736935009</v>
      </c>
      <c r="H36" s="8">
        <v>249302</v>
      </c>
      <c r="I36" s="8">
        <v>242627</v>
      </c>
      <c r="J36" s="8">
        <v>236211</v>
      </c>
      <c r="K36" s="8">
        <v>232982</v>
      </c>
      <c r="L36" s="8">
        <v>226393</v>
      </c>
      <c r="M36" s="8">
        <v>221231</v>
      </c>
      <c r="N36" s="8">
        <v>219697</v>
      </c>
      <c r="O36" s="8">
        <v>221263</v>
      </c>
      <c r="P36" s="8">
        <v>222213</v>
      </c>
      <c r="Q36" s="8">
        <v>221954</v>
      </c>
      <c r="R36" s="7">
        <f t="shared" si="1"/>
        <v>0.27784794463447215</v>
      </c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4.4" hidden="1">
      <c r="A37" s="3">
        <f>LOOKUP(D37,'AMFI DATA_2023H2'!F:L,'AMFI DATA_2023H2'!L:L)</f>
        <v>41</v>
      </c>
      <c r="B37" s="4" t="s">
        <v>132</v>
      </c>
      <c r="C37" s="4" t="s">
        <v>133</v>
      </c>
      <c r="D37" s="5" t="s">
        <v>134</v>
      </c>
      <c r="E37" s="5">
        <v>86184.17</v>
      </c>
      <c r="F37" s="6">
        <f>LOOKUP(D37,'AMFI DATA_2023H2'!F:J,'AMFI DATA_2023H2'!J:J)</f>
        <v>139457.42365000001</v>
      </c>
      <c r="G37" s="7">
        <f t="shared" si="0"/>
        <v>0.52623642707026286</v>
      </c>
      <c r="H37" s="8">
        <v>212845</v>
      </c>
      <c r="I37" s="8">
        <v>215429</v>
      </c>
      <c r="J37" s="8">
        <v>210068</v>
      </c>
      <c r="K37" s="8">
        <v>200079</v>
      </c>
      <c r="L37" s="8">
        <v>202605</v>
      </c>
      <c r="M37" s="8">
        <v>202431</v>
      </c>
      <c r="N37" s="8">
        <v>201043</v>
      </c>
      <c r="O37" s="8">
        <v>201159</v>
      </c>
      <c r="P37" s="8">
        <v>197649</v>
      </c>
      <c r="Q37" s="8">
        <v>197687</v>
      </c>
      <c r="R37" s="7">
        <f t="shared" si="1"/>
        <v>0.46352553100531901</v>
      </c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4.4" hidden="1">
      <c r="A38" s="3">
        <f>LOOKUP(D38,'AMFI DATA_2023H2'!F:L,'AMFI DATA_2023H2'!L:L)</f>
        <v>84</v>
      </c>
      <c r="B38" s="4" t="s">
        <v>264</v>
      </c>
      <c r="C38" s="4" t="s">
        <v>265</v>
      </c>
      <c r="D38" s="5" t="s">
        <v>266</v>
      </c>
      <c r="E38" s="5">
        <v>146818.6</v>
      </c>
      <c r="F38" s="6">
        <f>LOOKUP(D38,'AMFI DATA_2023H2'!F:J,'AMFI DATA_2023H2'!J:J)</f>
        <v>74736.486050000007</v>
      </c>
      <c r="G38" s="7">
        <f t="shared" si="0"/>
        <v>0.60454426395927663</v>
      </c>
      <c r="H38" s="8">
        <v>119918</v>
      </c>
      <c r="I38" s="8">
        <v>122640</v>
      </c>
      <c r="J38" s="8">
        <v>120875</v>
      </c>
      <c r="K38" s="8">
        <v>110047</v>
      </c>
      <c r="L38" s="8">
        <v>110091</v>
      </c>
      <c r="M38" s="8">
        <v>108733</v>
      </c>
      <c r="N38" s="8">
        <v>107787</v>
      </c>
      <c r="O38" s="8">
        <v>109910</v>
      </c>
      <c r="P38" s="8">
        <v>108999</v>
      </c>
      <c r="Q38" s="8">
        <v>109574</v>
      </c>
      <c r="R38" s="7">
        <f t="shared" si="1"/>
        <v>0.51007099697591385</v>
      </c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4.4" hidden="1">
      <c r="A39" s="3">
        <f>LOOKUP(D39,'AMFI DATA_2023H2'!F:L,'AMFI DATA_2023H2'!L:L)</f>
        <v>143</v>
      </c>
      <c r="B39" s="4" t="s">
        <v>438</v>
      </c>
      <c r="C39" s="4" t="s">
        <v>439</v>
      </c>
      <c r="D39" s="5" t="s">
        <v>440</v>
      </c>
      <c r="E39" s="5">
        <v>57003.72</v>
      </c>
      <c r="F39" s="6">
        <f>LOOKUP(D39,'AMFI DATA_2023H2'!F:J,'AMFI DATA_2023H2'!J:J)</f>
        <v>46631.865299999998</v>
      </c>
      <c r="G39" s="7">
        <f t="shared" si="0"/>
        <v>5.3378407318396492E-2</v>
      </c>
      <c r="H39" s="8">
        <v>49121</v>
      </c>
      <c r="I39" s="8">
        <v>49596</v>
      </c>
      <c r="J39" s="8">
        <v>49524</v>
      </c>
      <c r="K39" s="8">
        <v>47633</v>
      </c>
      <c r="L39" s="8">
        <v>47698</v>
      </c>
      <c r="M39" s="8">
        <v>46126</v>
      </c>
      <c r="N39" s="8">
        <v>46041</v>
      </c>
      <c r="O39" s="8">
        <v>46554</v>
      </c>
      <c r="P39" s="8">
        <v>47198</v>
      </c>
      <c r="Q39" s="8">
        <v>47471</v>
      </c>
      <c r="R39" s="7">
        <f t="shared" si="1"/>
        <v>2.2824193138162974E-2</v>
      </c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4.4" hidden="1">
      <c r="A40" s="3">
        <f>LOOKUP(D40,'AMFI DATA_2023H2'!F:L,'AMFI DATA_2023H2'!L:L)</f>
        <v>868</v>
      </c>
      <c r="B40" s="4" t="s">
        <v>2516</v>
      </c>
      <c r="C40" s="4" t="s">
        <v>2517</v>
      </c>
      <c r="D40" s="5" t="s">
        <v>2518</v>
      </c>
      <c r="E40" s="5">
        <v>1731.47</v>
      </c>
      <c r="F40" s="6">
        <f>LOOKUP(D40,'AMFI DATA_2023H2'!F:J,'AMFI DATA_2023H2'!J:J)</f>
        <v>2391.5117</v>
      </c>
      <c r="G40" s="7">
        <f t="shared" si="0"/>
        <v>-4.4537394485671955E-2</v>
      </c>
      <c r="H40" s="8">
        <v>2285</v>
      </c>
      <c r="I40" s="8">
        <v>2283</v>
      </c>
      <c r="J40" s="8">
        <v>2249</v>
      </c>
      <c r="K40" s="8">
        <v>2193</v>
      </c>
      <c r="L40" s="8">
        <v>2192</v>
      </c>
      <c r="M40" s="8">
        <v>2199</v>
      </c>
      <c r="N40" s="8">
        <v>2177</v>
      </c>
      <c r="O40" s="8">
        <v>2182</v>
      </c>
      <c r="P40" s="8">
        <v>2184</v>
      </c>
      <c r="Q40" s="8">
        <v>2181</v>
      </c>
      <c r="R40" s="7">
        <f t="shared" si="1"/>
        <v>-7.4852947614682419E-2</v>
      </c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4.4" hidden="1">
      <c r="A41" s="3">
        <f>LOOKUP(D41,'AMFI DATA_2023H2'!F:L,'AMFI DATA_2023H2'!L:L)</f>
        <v>144</v>
      </c>
      <c r="B41" s="4" t="s">
        <v>441</v>
      </c>
      <c r="C41" s="4" t="s">
        <v>442</v>
      </c>
      <c r="D41" s="5" t="s">
        <v>443</v>
      </c>
      <c r="E41" s="5">
        <v>38151.32</v>
      </c>
      <c r="F41" s="6">
        <f>LOOKUP(D41,'AMFI DATA_2023H2'!F:J,'AMFI DATA_2023H2'!J:J)</f>
        <v>46297.746299999999</v>
      </c>
      <c r="G41" s="7">
        <f t="shared" si="0"/>
        <v>-1.6841992587444787E-2</v>
      </c>
      <c r="H41" s="8">
        <v>45518</v>
      </c>
      <c r="I41" s="8">
        <v>45258</v>
      </c>
      <c r="J41" s="8">
        <v>44297</v>
      </c>
      <c r="K41" s="8">
        <v>44349</v>
      </c>
      <c r="L41" s="8">
        <v>43101</v>
      </c>
      <c r="M41" s="8">
        <v>43244</v>
      </c>
      <c r="N41" s="8">
        <v>42035</v>
      </c>
      <c r="O41" s="8">
        <v>42048</v>
      </c>
      <c r="P41" s="8">
        <v>41541</v>
      </c>
      <c r="Q41" s="8">
        <v>41515</v>
      </c>
      <c r="R41" s="7">
        <f t="shared" si="1"/>
        <v>-6.4952325767960728E-2</v>
      </c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4.4" hidden="1">
      <c r="A42" s="3">
        <f>LOOKUP(D42,'AMFI DATA_2023H2'!F:L,'AMFI DATA_2023H2'!L:L)</f>
        <v>260</v>
      </c>
      <c r="B42" s="4" t="s">
        <v>789</v>
      </c>
      <c r="C42" s="4" t="s">
        <v>790</v>
      </c>
      <c r="D42" s="5" t="s">
        <v>791</v>
      </c>
      <c r="E42" s="5">
        <v>21611.25</v>
      </c>
      <c r="F42" s="6">
        <f>LOOKUP(D42,'AMFI DATA_2023H2'!F:J,'AMFI DATA_2023H2'!J:J)</f>
        <v>20869.51685</v>
      </c>
      <c r="G42" s="7">
        <f t="shared" si="0"/>
        <v>8.26316757783494E-2</v>
      </c>
      <c r="H42" s="8">
        <v>22594</v>
      </c>
      <c r="I42" s="8">
        <v>23420</v>
      </c>
      <c r="J42" s="8">
        <v>22851</v>
      </c>
      <c r="K42" s="8">
        <v>23017</v>
      </c>
      <c r="L42" s="8">
        <v>21436</v>
      </c>
      <c r="M42" s="8">
        <v>21223</v>
      </c>
      <c r="N42" s="8">
        <v>20877</v>
      </c>
      <c r="O42" s="8">
        <v>20810</v>
      </c>
      <c r="P42" s="8">
        <v>20986</v>
      </c>
      <c r="Q42" s="8">
        <v>20862</v>
      </c>
      <c r="R42" s="7">
        <f t="shared" si="1"/>
        <v>4.4949921780292668E-2</v>
      </c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4.4" hidden="1">
      <c r="A43" s="3">
        <f>LOOKUP(D43,'AMFI DATA_2023H2'!F:L,'AMFI DATA_2023H2'!L:L)</f>
        <v>1527</v>
      </c>
      <c r="B43" s="4" t="s">
        <v>4016</v>
      </c>
      <c r="C43" s="4" t="s">
        <v>4017</v>
      </c>
      <c r="D43" s="5" t="s">
        <v>4018</v>
      </c>
      <c r="E43" s="5">
        <v>303.69</v>
      </c>
      <c r="F43" s="6">
        <f>LOOKUP(D43,'AMFI DATA_2023H2'!F:J,'AMFI DATA_2023H2'!J:J)</f>
        <v>474.07950000000005</v>
      </c>
      <c r="G43" s="7">
        <f t="shared" si="0"/>
        <v>0.41959312731303489</v>
      </c>
      <c r="H43" s="9">
        <v>673</v>
      </c>
      <c r="I43" s="9">
        <v>679</v>
      </c>
      <c r="J43" s="9">
        <v>652</v>
      </c>
      <c r="K43" s="9">
        <v>657</v>
      </c>
      <c r="L43" s="9">
        <v>644</v>
      </c>
      <c r="M43" s="9">
        <v>586</v>
      </c>
      <c r="N43" s="9">
        <v>576</v>
      </c>
      <c r="O43" s="9">
        <v>586</v>
      </c>
      <c r="P43" s="9">
        <v>587</v>
      </c>
      <c r="Q43" s="9">
        <v>582</v>
      </c>
      <c r="R43" s="7">
        <f t="shared" si="1"/>
        <v>0.31243810373576575</v>
      </c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4.4" hidden="1">
      <c r="A44" s="3">
        <f>LOOKUP(D44,'AMFI DATA_2023H2'!F:L,'AMFI DATA_2023H2'!L:L)</f>
        <v>356</v>
      </c>
      <c r="B44" s="4" t="s">
        <v>1074</v>
      </c>
      <c r="C44" s="4" t="s">
        <v>1075</v>
      </c>
      <c r="D44" s="5" t="s">
        <v>1076</v>
      </c>
      <c r="E44" s="5">
        <v>10893.34</v>
      </c>
      <c r="F44" s="6">
        <f>LOOKUP(D44,'AMFI DATA_2023H2'!F:J,'AMFI DATA_2023H2'!J:J)</f>
        <v>12259.426149999999</v>
      </c>
      <c r="G44" s="7">
        <f t="shared" si="0"/>
        <v>0.11970983242147937</v>
      </c>
      <c r="H44" s="8">
        <v>13727</v>
      </c>
      <c r="I44" s="8">
        <v>13593</v>
      </c>
      <c r="J44" s="8">
        <v>13518</v>
      </c>
      <c r="K44" s="8">
        <v>13507</v>
      </c>
      <c r="L44" s="8">
        <v>13629</v>
      </c>
      <c r="M44" s="8">
        <v>13521</v>
      </c>
      <c r="N44" s="8">
        <v>13598</v>
      </c>
      <c r="O44" s="8">
        <v>13540</v>
      </c>
      <c r="P44" s="8">
        <v>13612</v>
      </c>
      <c r="Q44" s="8">
        <v>13696</v>
      </c>
      <c r="R44" s="7">
        <f t="shared" si="1"/>
        <v>0.1088691945014082</v>
      </c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4.4">
      <c r="A45" s="3">
        <f>LOOKUP(D45,'AMFI DATA_2023H2'!F:L,'AMFI DATA_2023H2'!L:L)</f>
        <v>998</v>
      </c>
      <c r="B45" s="4" t="s">
        <v>2855</v>
      </c>
      <c r="C45" s="4" t="s">
        <v>2856</v>
      </c>
      <c r="D45" s="5" t="s">
        <v>2857</v>
      </c>
      <c r="E45" s="5">
        <v>1325.64</v>
      </c>
      <c r="F45" s="6">
        <f>LOOKUP(D45,'AMFI DATA_2023H2'!F:J,'AMFI DATA_2023H2'!J:J)</f>
        <v>1718.4665</v>
      </c>
      <c r="G45" s="7">
        <f t="shared" si="0"/>
        <v>0.21794634925964518</v>
      </c>
      <c r="H45" s="8">
        <v>2093</v>
      </c>
      <c r="I45" s="8">
        <v>2120</v>
      </c>
      <c r="J45" s="8">
        <v>2127</v>
      </c>
      <c r="K45" s="8">
        <v>2057</v>
      </c>
      <c r="L45" s="8">
        <v>2054</v>
      </c>
      <c r="M45" s="8">
        <v>2054</v>
      </c>
      <c r="N45" s="8">
        <v>2080</v>
      </c>
      <c r="O45" s="8">
        <v>2050</v>
      </c>
      <c r="P45" s="8">
        <v>2051</v>
      </c>
      <c r="Q45" s="8">
        <v>2039</v>
      </c>
      <c r="R45" s="14">
        <f t="shared" si="1"/>
        <v>0.20601710885839197</v>
      </c>
      <c r="S45" s="8"/>
      <c r="T45" s="8">
        <v>1540</v>
      </c>
      <c r="U45" s="15">
        <f ca="1">IFERROR(__xludf.DUMMYFUNCTION("GOOGLEFINANCE(C45,""PRICE"")"),1560)</f>
        <v>1560</v>
      </c>
      <c r="V45" s="13" t="s">
        <v>5787</v>
      </c>
      <c r="W45" s="7">
        <f ca="1">U45/T45-1</f>
        <v>1.298701298701288E-2</v>
      </c>
      <c r="X45" s="8"/>
      <c r="Y45" s="8"/>
      <c r="Z45" s="8"/>
      <c r="AA45" s="8"/>
      <c r="AB45" s="8"/>
    </row>
    <row r="46" spans="1:28" ht="14.4" hidden="1">
      <c r="A46" s="3">
        <f>LOOKUP(D46,'AMFI DATA_2023H2'!F:L,'AMFI DATA_2023H2'!L:L)</f>
        <v>2929</v>
      </c>
      <c r="B46" s="4" t="s">
        <v>5521</v>
      </c>
      <c r="C46" s="4" t="s">
        <v>5522</v>
      </c>
      <c r="D46" s="5" t="s">
        <v>5523</v>
      </c>
      <c r="E46" s="5">
        <v>39.93</v>
      </c>
      <c r="F46" s="6">
        <f>LOOKUP(D46,'AMFI DATA_2023H2'!F:J,'AMFI DATA_2023H2'!J:J)</f>
        <v>42.528199999999998</v>
      </c>
      <c r="G46" s="7">
        <f t="shared" si="0"/>
        <v>0.2344750071717121</v>
      </c>
      <c r="H46" s="9">
        <v>52.5</v>
      </c>
      <c r="I46" s="9">
        <v>52.4</v>
      </c>
      <c r="J46" s="9">
        <v>49.8</v>
      </c>
      <c r="K46" s="9">
        <v>49.9</v>
      </c>
      <c r="L46" s="9">
        <v>49.8</v>
      </c>
      <c r="M46" s="9">
        <v>47</v>
      </c>
      <c r="N46" s="9">
        <v>43.6</v>
      </c>
      <c r="O46" s="9">
        <v>43.9</v>
      </c>
      <c r="P46" s="9">
        <v>44.7</v>
      </c>
      <c r="Q46" s="9">
        <v>44.6</v>
      </c>
      <c r="R46" s="7">
        <f t="shared" si="1"/>
        <v>0.12443037796097656</v>
      </c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4.4" hidden="1">
      <c r="A47" s="3">
        <f>LOOKUP(D47,'AMFI DATA_2023H2'!F:L,'AMFI DATA_2023H2'!L:L)</f>
        <v>716</v>
      </c>
      <c r="B47" s="4" t="s">
        <v>2093</v>
      </c>
      <c r="C47" s="4" t="s">
        <v>2094</v>
      </c>
      <c r="D47" s="5" t="s">
        <v>2095</v>
      </c>
      <c r="E47" s="5">
        <v>3012.33</v>
      </c>
      <c r="F47" s="6">
        <f>LOOKUP(D47,'AMFI DATA_2023H2'!F:J,'AMFI DATA_2023H2'!J:J)</f>
        <v>3638.4270499999998</v>
      </c>
      <c r="G47" s="7">
        <f t="shared" si="0"/>
        <v>0.15571920014172069</v>
      </c>
      <c r="H47" s="8">
        <v>4205</v>
      </c>
      <c r="I47" s="8">
        <v>4223</v>
      </c>
      <c r="J47" s="8">
        <v>4204</v>
      </c>
      <c r="K47" s="8">
        <v>4190</v>
      </c>
      <c r="L47" s="8">
        <v>4182</v>
      </c>
      <c r="M47" s="8">
        <v>4197</v>
      </c>
      <c r="N47" s="8">
        <v>0</v>
      </c>
      <c r="O47" s="8">
        <v>4217</v>
      </c>
      <c r="P47" s="8">
        <v>4276</v>
      </c>
      <c r="Q47" s="8">
        <v>4201</v>
      </c>
      <c r="R47" s="7">
        <f t="shared" si="1"/>
        <v>4.1521500341747952E-2</v>
      </c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4.4" hidden="1">
      <c r="A48" s="3">
        <f>LOOKUP(D48,'AMFI DATA_2023H2'!F:L,'AMFI DATA_2023H2'!L:L)</f>
        <v>1557</v>
      </c>
      <c r="B48" s="4" t="s">
        <v>4073</v>
      </c>
      <c r="C48" s="4" t="s">
        <v>4074</v>
      </c>
      <c r="D48" s="5" t="s">
        <v>4075</v>
      </c>
      <c r="E48" s="5">
        <v>368.23</v>
      </c>
      <c r="F48" s="6">
        <f>LOOKUP(D48,'AMFI DATA_2023H2'!F:J,'AMFI DATA_2023H2'!J:J)</f>
        <v>448.93150000000003</v>
      </c>
      <c r="G48" s="7">
        <f t="shared" si="0"/>
        <v>0.142713309268786</v>
      </c>
      <c r="H48" s="9">
        <v>513</v>
      </c>
      <c r="I48" s="9">
        <v>511</v>
      </c>
      <c r="J48" s="9">
        <v>510</v>
      </c>
      <c r="K48" s="9">
        <v>506</v>
      </c>
      <c r="L48" s="9">
        <v>482</v>
      </c>
      <c r="M48" s="9">
        <v>474</v>
      </c>
      <c r="N48" s="9">
        <v>474</v>
      </c>
      <c r="O48" s="9">
        <v>468</v>
      </c>
      <c r="P48" s="9">
        <v>470</v>
      </c>
      <c r="Q48" s="9">
        <v>478</v>
      </c>
      <c r="R48" s="7">
        <f t="shared" si="1"/>
        <v>8.836203296048506E-2</v>
      </c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4.4" hidden="1">
      <c r="A49" s="3">
        <f>LOOKUP(D49,'AMFI DATA_2023H2'!F:L,'AMFI DATA_2023H2'!L:L)</f>
        <v>362</v>
      </c>
      <c r="B49" s="4" t="s">
        <v>1092</v>
      </c>
      <c r="C49" s="4" t="s">
        <v>1093</v>
      </c>
      <c r="D49" s="5" t="s">
        <v>1094</v>
      </c>
      <c r="E49" s="5">
        <v>12769.12</v>
      </c>
      <c r="F49" s="6">
        <f>LOOKUP(D49,'AMFI DATA_2023H2'!F:J,'AMFI DATA_2023H2'!J:J)</f>
        <v>12107.100350000001</v>
      </c>
      <c r="G49" s="7">
        <f t="shared" si="0"/>
        <v>-3.1807810199574349E-2</v>
      </c>
      <c r="H49" s="8">
        <v>11722</v>
      </c>
      <c r="I49" s="8">
        <v>12071</v>
      </c>
      <c r="J49" s="8">
        <v>12276</v>
      </c>
      <c r="K49" s="8">
        <v>12236</v>
      </c>
      <c r="L49" s="8">
        <v>12275</v>
      </c>
      <c r="M49" s="8">
        <v>12368</v>
      </c>
      <c r="N49" s="8">
        <v>12315</v>
      </c>
      <c r="O49" s="8">
        <v>12597</v>
      </c>
      <c r="P49" s="8">
        <v>12775</v>
      </c>
      <c r="Q49" s="8">
        <v>12776</v>
      </c>
      <c r="R49" s="7">
        <f t="shared" si="1"/>
        <v>1.9327472576866844E-2</v>
      </c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4.4" hidden="1">
      <c r="A50" s="3">
        <f>LOOKUP(D50,'AMFI DATA_2023H2'!F:L,'AMFI DATA_2023H2'!L:L)</f>
        <v>940</v>
      </c>
      <c r="B50" s="4" t="s">
        <v>2711</v>
      </c>
      <c r="C50" s="4" t="s">
        <v>2712</v>
      </c>
      <c r="D50" s="5" t="s">
        <v>2713</v>
      </c>
      <c r="E50" s="5">
        <v>12769.12</v>
      </c>
      <c r="F50" s="6">
        <f>LOOKUP(D50,'AMFI DATA_2023H2'!F:J,'AMFI DATA_2023H2'!J:J)</f>
        <v>2006.0643</v>
      </c>
      <c r="G50" s="7">
        <f t="shared" si="0"/>
        <v>2.5390861100514028E-2</v>
      </c>
      <c r="H50" s="8">
        <v>2057</v>
      </c>
      <c r="I50" s="8">
        <v>2030</v>
      </c>
      <c r="J50" s="8">
        <v>2021</v>
      </c>
      <c r="K50" s="8">
        <v>2020</v>
      </c>
      <c r="L50" s="8">
        <v>2027</v>
      </c>
      <c r="M50" s="8">
        <v>2004</v>
      </c>
      <c r="N50" s="8">
        <v>0</v>
      </c>
      <c r="O50" s="8">
        <v>1913</v>
      </c>
      <c r="P50" s="8">
        <v>1910</v>
      </c>
      <c r="Q50" s="8">
        <v>1924</v>
      </c>
      <c r="R50" s="7">
        <f t="shared" si="1"/>
        <v>-0.10740647744940179</v>
      </c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4.4" hidden="1">
      <c r="A51" s="3">
        <f>LOOKUP(D51,'AMFI DATA_2023H2'!F:L,'AMFI DATA_2023H2'!L:L)</f>
        <v>345</v>
      </c>
      <c r="B51" s="4" t="s">
        <v>1044</v>
      </c>
      <c r="C51" s="4" t="s">
        <v>1045</v>
      </c>
      <c r="D51" s="5" t="s">
        <v>1046</v>
      </c>
      <c r="E51" s="5">
        <v>11451.22</v>
      </c>
      <c r="F51" s="6">
        <f>LOOKUP(D51,'AMFI DATA_2023H2'!F:J,'AMFI DATA_2023H2'!J:J)</f>
        <v>12690.630799999999</v>
      </c>
      <c r="G51" s="7">
        <f t="shared" si="0"/>
        <v>-5.6390482969530531E-2</v>
      </c>
      <c r="H51" s="8">
        <v>11975</v>
      </c>
      <c r="I51" s="8">
        <v>11956</v>
      </c>
      <c r="J51" s="8">
        <v>11959</v>
      </c>
      <c r="K51" s="8">
        <v>11709</v>
      </c>
      <c r="L51" s="8">
        <v>11704</v>
      </c>
      <c r="M51" s="8">
        <v>11761</v>
      </c>
      <c r="N51" s="8">
        <v>11645</v>
      </c>
      <c r="O51" s="8">
        <v>11704</v>
      </c>
      <c r="P51" s="8">
        <v>11774</v>
      </c>
      <c r="Q51" s="8">
        <v>11775</v>
      </c>
      <c r="R51" s="7">
        <f t="shared" si="1"/>
        <v>-7.0479617136131489E-2</v>
      </c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4.4">
      <c r="A52" s="3">
        <f>LOOKUP(D52,'AMFI DATA_2023H2'!F:L,'AMFI DATA_2023H2'!L:L)</f>
        <v>319</v>
      </c>
      <c r="B52" s="4" t="s">
        <v>966</v>
      </c>
      <c r="C52" s="4" t="s">
        <v>967</v>
      </c>
      <c r="D52" s="5" t="s">
        <v>968</v>
      </c>
      <c r="E52" s="5">
        <v>13235.88</v>
      </c>
      <c r="F52" s="6">
        <f>LOOKUP(D52,'AMFI DATA_2023H2'!F:J,'AMFI DATA_2023H2'!J:J)</f>
        <v>14679.5306</v>
      </c>
      <c r="G52" s="7">
        <f t="shared" si="0"/>
        <v>0.2479963085468142</v>
      </c>
      <c r="H52" s="8">
        <v>18320</v>
      </c>
      <c r="I52" s="8">
        <v>18404</v>
      </c>
      <c r="J52" s="8">
        <v>18452</v>
      </c>
      <c r="K52" s="8">
        <v>18432</v>
      </c>
      <c r="L52" s="8">
        <v>18505</v>
      </c>
      <c r="M52" s="8">
        <v>18304</v>
      </c>
      <c r="N52" s="8">
        <v>17556</v>
      </c>
      <c r="O52" s="8">
        <v>17010</v>
      </c>
      <c r="P52" s="8">
        <v>17161</v>
      </c>
      <c r="Q52" s="8">
        <v>17058</v>
      </c>
      <c r="R52" s="14">
        <f t="shared" si="1"/>
        <v>0.22076110526313419</v>
      </c>
      <c r="S52" s="8"/>
      <c r="T52" s="8">
        <v>1304</v>
      </c>
      <c r="U52" s="15">
        <f ca="1">IFERROR(__xludf.DUMMYFUNCTION("GOOGLEFINANCE(C52,""PRICE"")"),1236.6)</f>
        <v>1236.5999999999999</v>
      </c>
      <c r="V52" s="13" t="s">
        <v>5787</v>
      </c>
      <c r="W52" s="7">
        <f ca="1">U52/T52-1</f>
        <v>-5.1687116564417268E-2</v>
      </c>
      <c r="X52" s="8"/>
      <c r="Y52" s="8"/>
      <c r="Z52" s="8"/>
      <c r="AA52" s="8"/>
      <c r="AB52" s="8"/>
    </row>
    <row r="53" spans="1:28" ht="14.4" hidden="1">
      <c r="A53" s="3">
        <f>LOOKUP(D53,'AMFI DATA_2023H2'!F:L,'AMFI DATA_2023H2'!L:L)</f>
        <v>1101</v>
      </c>
      <c r="B53" s="4" t="s">
        <v>3113</v>
      </c>
      <c r="C53" s="4" t="s">
        <v>3114</v>
      </c>
      <c r="D53" s="5" t="s">
        <v>3115</v>
      </c>
      <c r="E53" s="5">
        <v>923.52</v>
      </c>
      <c r="F53" s="6">
        <f>LOOKUP(D53,'AMFI DATA_2023H2'!F:J,'AMFI DATA_2023H2'!J:J)</f>
        <v>1320.0871</v>
      </c>
      <c r="G53" s="7">
        <f t="shared" si="0"/>
        <v>0.11583546267515232</v>
      </c>
      <c r="H53" s="8">
        <v>1473</v>
      </c>
      <c r="I53" s="8">
        <v>1477</v>
      </c>
      <c r="J53" s="8">
        <v>1415</v>
      </c>
      <c r="K53" s="8">
        <v>1436</v>
      </c>
      <c r="L53" s="8">
        <v>1435</v>
      </c>
      <c r="M53" s="8">
        <v>1384</v>
      </c>
      <c r="N53" s="8">
        <v>1367</v>
      </c>
      <c r="O53" s="8">
        <v>1391</v>
      </c>
      <c r="P53" s="8">
        <v>1377</v>
      </c>
      <c r="Q53" s="8">
        <v>1407</v>
      </c>
      <c r="R53" s="7">
        <f t="shared" si="1"/>
        <v>7.2807998805533458E-2</v>
      </c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4.4" hidden="1">
      <c r="A54" s="3">
        <f>LOOKUP(D54,'AMFI DATA_2023H2'!F:L,'AMFI DATA_2023H2'!L:L)</f>
        <v>607</v>
      </c>
      <c r="B54" s="4" t="s">
        <v>1791</v>
      </c>
      <c r="C54" s="4" t="s">
        <v>1792</v>
      </c>
      <c r="D54" s="5" t="s">
        <v>1793</v>
      </c>
      <c r="E54" s="5">
        <v>2742.02</v>
      </c>
      <c r="F54" s="6">
        <f>LOOKUP(D54,'AMFI DATA_2023H2'!F:J,'AMFI DATA_2023H2'!J:J)</f>
        <v>5245.6579000000002</v>
      </c>
      <c r="G54" s="7">
        <f t="shared" si="0"/>
        <v>9.6335313822123236E-2</v>
      </c>
      <c r="H54" s="8">
        <v>5751</v>
      </c>
      <c r="I54" s="8">
        <v>5650</v>
      </c>
      <c r="J54" s="8">
        <v>5419</v>
      </c>
      <c r="K54" s="8">
        <v>5412</v>
      </c>
      <c r="L54" s="8">
        <v>5356</v>
      </c>
      <c r="M54" s="8">
        <v>5345</v>
      </c>
      <c r="N54" s="8">
        <v>5381</v>
      </c>
      <c r="O54" s="8">
        <v>5480</v>
      </c>
      <c r="P54" s="8">
        <v>5460</v>
      </c>
      <c r="Q54" s="8">
        <v>5383</v>
      </c>
      <c r="R54" s="7">
        <f t="shared" si="1"/>
        <v>4.1566206595363253E-2</v>
      </c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4.4" hidden="1">
      <c r="A55" s="3">
        <f>LOOKUP(D55,'AMFI DATA_2023H2'!F:L,'AMFI DATA_2023H2'!L:L)</f>
        <v>2351</v>
      </c>
      <c r="B55" s="4" t="s">
        <v>5171</v>
      </c>
      <c r="C55" s="4" t="s">
        <v>5172</v>
      </c>
      <c r="D55" s="5" t="s">
        <v>5173</v>
      </c>
      <c r="E55" s="5">
        <v>59.91</v>
      </c>
      <c r="F55" s="6">
        <f>LOOKUP(D55,'AMFI DATA_2023H2'!F:J,'AMFI DATA_2023H2'!J:J)</f>
        <v>104.13255000000001</v>
      </c>
      <c r="G55" s="7">
        <f t="shared" si="0"/>
        <v>0.12356799098840843</v>
      </c>
      <c r="H55" s="9">
        <v>117</v>
      </c>
      <c r="I55" s="9">
        <v>119</v>
      </c>
      <c r="J55" s="9">
        <v>114</v>
      </c>
      <c r="K55" s="9">
        <v>114</v>
      </c>
      <c r="L55" s="9">
        <v>118</v>
      </c>
      <c r="M55" s="9">
        <v>115</v>
      </c>
      <c r="N55" s="9">
        <v>0</v>
      </c>
      <c r="O55" s="9">
        <v>117</v>
      </c>
      <c r="P55" s="9">
        <v>118</v>
      </c>
      <c r="Q55" s="9">
        <v>117</v>
      </c>
      <c r="R55" s="7">
        <f t="shared" si="1"/>
        <v>7.3699338007184867E-3</v>
      </c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4.4" hidden="1">
      <c r="A56" s="3">
        <f>LOOKUP(D56,'AMFI DATA_2023H2'!F:L,'AMFI DATA_2023H2'!L:L)</f>
        <v>2541</v>
      </c>
      <c r="B56" s="4" t="s">
        <v>5332</v>
      </c>
      <c r="C56" s="4" t="s">
        <v>5333</v>
      </c>
      <c r="D56" s="5" t="s">
        <v>5334</v>
      </c>
      <c r="E56" s="5">
        <v>74.55</v>
      </c>
      <c r="F56" s="6">
        <f>LOOKUP(D56,'AMFI DATA_2023H2'!F:J,'AMFI DATA_2023H2'!J:J)</f>
        <v>75.069800000000001</v>
      </c>
      <c r="G56" s="7">
        <f t="shared" si="0"/>
        <v>0.27880985429560212</v>
      </c>
      <c r="H56" s="9">
        <v>96</v>
      </c>
      <c r="I56" s="9">
        <v>99</v>
      </c>
      <c r="J56" s="9">
        <v>95.6</v>
      </c>
      <c r="K56" s="9">
        <v>98.3</v>
      </c>
      <c r="L56" s="9">
        <v>101</v>
      </c>
      <c r="M56" s="9">
        <v>91.6</v>
      </c>
      <c r="N56" s="9">
        <v>82</v>
      </c>
      <c r="O56" s="9">
        <v>80</v>
      </c>
      <c r="P56" s="9">
        <v>80.099999999999994</v>
      </c>
      <c r="Q56" s="9">
        <v>79.599999999999994</v>
      </c>
      <c r="R56" s="7">
        <f t="shared" si="1"/>
        <v>0.20314693791644589</v>
      </c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4.4" hidden="1">
      <c r="A57" s="3">
        <f>LOOKUP(D57,'AMFI DATA_2023H2'!F:L,'AMFI DATA_2023H2'!L:L)</f>
        <v>930</v>
      </c>
      <c r="B57" s="4" t="s">
        <v>2684</v>
      </c>
      <c r="C57" s="4" t="s">
        <v>2685</v>
      </c>
      <c r="D57" s="5" t="s">
        <v>2686</v>
      </c>
      <c r="E57" s="5">
        <v>2043.83</v>
      </c>
      <c r="F57" s="6">
        <f>LOOKUP(D57,'AMFI DATA_2023H2'!F:J,'AMFI DATA_2023H2'!J:J)</f>
        <v>2037.52145</v>
      </c>
      <c r="G57" s="7">
        <f t="shared" si="0"/>
        <v>9.0691315176092413E-3</v>
      </c>
      <c r="H57" s="8">
        <v>2056</v>
      </c>
      <c r="I57" s="8">
        <v>2062</v>
      </c>
      <c r="J57" s="8">
        <v>2089</v>
      </c>
      <c r="K57" s="8">
        <v>2078</v>
      </c>
      <c r="L57" s="8">
        <v>2112</v>
      </c>
      <c r="M57" s="8">
        <v>2122</v>
      </c>
      <c r="N57" s="8">
        <v>2050</v>
      </c>
      <c r="O57" s="8">
        <v>2060</v>
      </c>
      <c r="P57" s="8">
        <v>2074</v>
      </c>
      <c r="Q57" s="8">
        <v>2084</v>
      </c>
      <c r="R57" s="7">
        <f t="shared" si="1"/>
        <v>2.0210118524151E-2</v>
      </c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4.4" hidden="1">
      <c r="A58" s="3">
        <f>LOOKUP(D58,'AMFI DATA_2023H2'!F:L,'AMFI DATA_2023H2'!L:L)</f>
        <v>1284</v>
      </c>
      <c r="B58" s="4" t="s">
        <v>3530</v>
      </c>
      <c r="C58" s="4" t="s">
        <v>3531</v>
      </c>
      <c r="D58" s="5" t="s">
        <v>3532</v>
      </c>
      <c r="E58" s="5">
        <v>686.24</v>
      </c>
      <c r="F58" s="6">
        <f>LOOKUP(D58,'AMFI DATA_2023H2'!F:J,'AMFI DATA_2023H2'!J:J)</f>
        <v>832.77295000000004</v>
      </c>
      <c r="G58" s="7">
        <f t="shared" si="0"/>
        <v>0.41935445909956592</v>
      </c>
      <c r="H58" s="8">
        <v>1182</v>
      </c>
      <c r="I58" s="8">
        <v>1148</v>
      </c>
      <c r="J58" s="8">
        <v>1122</v>
      </c>
      <c r="K58" s="8">
        <v>1133</v>
      </c>
      <c r="L58" s="8">
        <v>1160</v>
      </c>
      <c r="M58" s="8">
        <v>1124</v>
      </c>
      <c r="N58" s="8">
        <v>1131</v>
      </c>
      <c r="O58" s="8">
        <v>1134</v>
      </c>
      <c r="P58" s="8">
        <v>1096</v>
      </c>
      <c r="Q58" s="8">
        <v>1076</v>
      </c>
      <c r="R58" s="7">
        <f t="shared" si="1"/>
        <v>0.35763295385615002</v>
      </c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4.4" hidden="1">
      <c r="A59" s="3">
        <f>LOOKUP(D59,'AMFI DATA_2023H2'!F:L,'AMFI DATA_2023H2'!L:L)</f>
        <v>2154</v>
      </c>
      <c r="B59" s="4" t="s">
        <v>4958</v>
      </c>
      <c r="C59" s="4" t="s">
        <v>4959</v>
      </c>
      <c r="D59" s="5" t="s">
        <v>4960</v>
      </c>
      <c r="E59" s="5">
        <v>130.32</v>
      </c>
      <c r="F59" s="6">
        <f>LOOKUP(D59,'AMFI DATA_2023H2'!F:J,'AMFI DATA_2023H2'!J:J)</f>
        <v>145.06479999999999</v>
      </c>
      <c r="G59" s="7">
        <f t="shared" si="0"/>
        <v>0.33733338480458386</v>
      </c>
      <c r="H59" s="9">
        <v>194</v>
      </c>
      <c r="I59" s="9">
        <v>200</v>
      </c>
      <c r="J59" s="9">
        <v>197</v>
      </c>
      <c r="K59" s="9">
        <v>202</v>
      </c>
      <c r="L59" s="9">
        <v>201</v>
      </c>
      <c r="M59" s="9">
        <v>172</v>
      </c>
      <c r="N59" s="9">
        <v>0</v>
      </c>
      <c r="O59" s="9">
        <v>159</v>
      </c>
      <c r="P59" s="9">
        <v>156</v>
      </c>
      <c r="Q59" s="9">
        <v>148</v>
      </c>
      <c r="R59" s="7">
        <f t="shared" si="1"/>
        <v>0.1229464349725089</v>
      </c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4.4" hidden="1">
      <c r="A60" s="3">
        <f>LOOKUP(D60,'AMFI DATA_2023H2'!F:L,'AMFI DATA_2023H2'!L:L)</f>
        <v>618</v>
      </c>
      <c r="B60" s="4" t="s">
        <v>1824</v>
      </c>
      <c r="C60" s="4" t="s">
        <v>1825</v>
      </c>
      <c r="D60" s="5" t="s">
        <v>1826</v>
      </c>
      <c r="E60" s="5">
        <v>3534.57</v>
      </c>
      <c r="F60" s="6">
        <f>LOOKUP(D60,'AMFI DATA_2023H2'!F:J,'AMFI DATA_2023H2'!J:J)</f>
        <v>4902.9718000000003</v>
      </c>
      <c r="G60" s="7">
        <f t="shared" si="0"/>
        <v>7.4858313482447425E-2</v>
      </c>
      <c r="H60" s="8">
        <v>5270</v>
      </c>
      <c r="I60" s="8">
        <v>5028</v>
      </c>
      <c r="J60" s="8">
        <v>5065</v>
      </c>
      <c r="K60" s="8">
        <v>5224</v>
      </c>
      <c r="L60" s="8">
        <v>5260</v>
      </c>
      <c r="M60" s="8">
        <v>5195</v>
      </c>
      <c r="N60" s="8">
        <v>0</v>
      </c>
      <c r="O60" s="8">
        <v>5261</v>
      </c>
      <c r="P60" s="8">
        <v>5339</v>
      </c>
      <c r="Q60" s="8">
        <v>5365</v>
      </c>
      <c r="R60" s="7">
        <f t="shared" si="1"/>
        <v>-4.1254938484451498E-2</v>
      </c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4.4" hidden="1">
      <c r="A61" s="3">
        <f>LOOKUP(D61,'AMFI DATA_2023H2'!F:L,'AMFI DATA_2023H2'!L:L)</f>
        <v>187</v>
      </c>
      <c r="B61" s="4" t="s">
        <v>570</v>
      </c>
      <c r="C61" s="4" t="s">
        <v>571</v>
      </c>
      <c r="D61" s="5" t="s">
        <v>572</v>
      </c>
      <c r="E61" s="5">
        <v>26683.72</v>
      </c>
      <c r="F61" s="6">
        <f>LOOKUP(D61,'AMFI DATA_2023H2'!F:J,'AMFI DATA_2023H2'!J:J)</f>
        <v>33364.796699999999</v>
      </c>
      <c r="G61" s="7">
        <f t="shared" si="0"/>
        <v>2.458289518065615E-2</v>
      </c>
      <c r="H61" s="8">
        <v>34185</v>
      </c>
      <c r="I61" s="8">
        <v>33983</v>
      </c>
      <c r="J61" s="8">
        <v>33617</v>
      </c>
      <c r="K61" s="8">
        <v>34241</v>
      </c>
      <c r="L61" s="8">
        <v>34729</v>
      </c>
      <c r="M61" s="8">
        <v>34800</v>
      </c>
      <c r="N61" s="8">
        <v>0</v>
      </c>
      <c r="O61" s="8">
        <v>34055</v>
      </c>
      <c r="P61" s="8">
        <v>33921</v>
      </c>
      <c r="Q61" s="8">
        <v>33713</v>
      </c>
      <c r="R61" s="7">
        <f t="shared" si="1"/>
        <v>-7.9137203314654014E-2</v>
      </c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4.4" hidden="1">
      <c r="A62" s="3">
        <f>LOOKUP(D62,'AMFI DATA_2023H2'!F:L,'AMFI DATA_2023H2'!L:L)</f>
        <v>1783</v>
      </c>
      <c r="B62" s="4" t="s">
        <v>4451</v>
      </c>
      <c r="C62" s="4" t="s">
        <v>4452</v>
      </c>
      <c r="D62" s="5" t="s">
        <v>4453</v>
      </c>
      <c r="E62" s="5">
        <v>198.89</v>
      </c>
      <c r="F62" s="6">
        <f>LOOKUP(D62,'AMFI DATA_2023H2'!F:J,'AMFI DATA_2023H2'!J:J)</f>
        <v>278.33240000000001</v>
      </c>
      <c r="G62" s="7">
        <f t="shared" si="0"/>
        <v>0.49461579032839875</v>
      </c>
      <c r="H62" s="9">
        <v>416</v>
      </c>
      <c r="I62" s="9">
        <v>418</v>
      </c>
      <c r="J62" s="9">
        <v>434</v>
      </c>
      <c r="K62" s="9">
        <v>416</v>
      </c>
      <c r="L62" s="9">
        <v>386</v>
      </c>
      <c r="M62" s="9">
        <v>343</v>
      </c>
      <c r="N62" s="9">
        <v>326</v>
      </c>
      <c r="O62" s="9">
        <v>336</v>
      </c>
      <c r="P62" s="9">
        <v>319</v>
      </c>
      <c r="Q62" s="9">
        <v>304</v>
      </c>
      <c r="R62" s="7">
        <f t="shared" si="1"/>
        <v>0.32862720976788906</v>
      </c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4.4" hidden="1">
      <c r="A63" s="3">
        <f>LOOKUP(D63,'AMFI DATA_2023H2'!F:L,'AMFI DATA_2023H2'!L:L)</f>
        <v>2063</v>
      </c>
      <c r="B63" s="4" t="s">
        <v>4826</v>
      </c>
      <c r="C63" s="4" t="s">
        <v>4827</v>
      </c>
      <c r="D63" s="5" t="s">
        <v>4828</v>
      </c>
      <c r="E63" s="5">
        <v>113.84</v>
      </c>
      <c r="F63" s="6">
        <f>LOOKUP(D63,'AMFI DATA_2023H2'!F:J,'AMFI DATA_2023H2'!J:J)</f>
        <v>170.82259999999999</v>
      </c>
      <c r="G63" s="7">
        <f t="shared" si="0"/>
        <v>0.22349150522237693</v>
      </c>
      <c r="H63" s="9">
        <v>209</v>
      </c>
      <c r="I63" s="9">
        <v>219</v>
      </c>
      <c r="J63" s="9">
        <v>214</v>
      </c>
      <c r="K63" s="9">
        <v>201</v>
      </c>
      <c r="L63" s="9">
        <v>196</v>
      </c>
      <c r="M63" s="9">
        <v>196</v>
      </c>
      <c r="N63" s="9">
        <v>193</v>
      </c>
      <c r="O63" s="9">
        <v>194</v>
      </c>
      <c r="P63" s="9">
        <v>194</v>
      </c>
      <c r="Q63" s="9">
        <v>189</v>
      </c>
      <c r="R63" s="7">
        <f t="shared" si="1"/>
        <v>0.17373228132577312</v>
      </c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4.4" hidden="1">
      <c r="A64" s="3">
        <f>LOOKUP(D64,'AMFI DATA_2023H2'!F:L,'AMFI DATA_2023H2'!L:L)</f>
        <v>247</v>
      </c>
      <c r="B64" s="4" t="s">
        <v>747</v>
      </c>
      <c r="C64" s="4" t="s">
        <v>748</v>
      </c>
      <c r="D64" s="5" t="s">
        <v>749</v>
      </c>
      <c r="E64" s="5">
        <v>16178.33</v>
      </c>
      <c r="F64" s="6">
        <f>LOOKUP(D64,'AMFI DATA_2023H2'!F:J,'AMFI DATA_2023H2'!J:J)</f>
        <v>22261.843400000002</v>
      </c>
      <c r="G64" s="7">
        <f t="shared" si="0"/>
        <v>0.26314786672158497</v>
      </c>
      <c r="H64" s="8">
        <v>28120</v>
      </c>
      <c r="I64" s="8">
        <v>28829</v>
      </c>
      <c r="J64" s="8">
        <v>28115</v>
      </c>
      <c r="K64" s="8">
        <v>27602</v>
      </c>
      <c r="L64" s="8">
        <v>27119</v>
      </c>
      <c r="M64" s="8">
        <v>26246</v>
      </c>
      <c r="N64" s="8">
        <v>25111</v>
      </c>
      <c r="O64" s="8">
        <v>25144</v>
      </c>
      <c r="P64" s="8">
        <v>24975</v>
      </c>
      <c r="Q64" s="8">
        <v>24783</v>
      </c>
      <c r="R64" s="7">
        <f t="shared" si="1"/>
        <v>0.1950672512591658</v>
      </c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4.4" hidden="1">
      <c r="A65" s="3">
        <f>LOOKUP(D65,'AMFI DATA_2023H2'!F:L,'AMFI DATA_2023H2'!L:L)</f>
        <v>1076</v>
      </c>
      <c r="B65" s="4" t="s">
        <v>3053</v>
      </c>
      <c r="C65" s="4" t="s">
        <v>3054</v>
      </c>
      <c r="D65" s="5" t="s">
        <v>3055</v>
      </c>
      <c r="E65" s="5">
        <v>1082.57</v>
      </c>
      <c r="F65" s="6">
        <f>LOOKUP(D65,'AMFI DATA_2023H2'!F:J,'AMFI DATA_2023H2'!J:J)</f>
        <v>1392.3811000000001</v>
      </c>
      <c r="G65" s="7">
        <f t="shared" si="0"/>
        <v>0.17065651063491161</v>
      </c>
      <c r="H65" s="8">
        <v>1630</v>
      </c>
      <c r="I65" s="8">
        <v>1642</v>
      </c>
      <c r="J65" s="8">
        <v>1572</v>
      </c>
      <c r="K65" s="8">
        <v>1598</v>
      </c>
      <c r="L65" s="8">
        <v>1590</v>
      </c>
      <c r="M65" s="8">
        <v>1549</v>
      </c>
      <c r="N65" s="8">
        <v>1531</v>
      </c>
      <c r="O65" s="8">
        <v>1542</v>
      </c>
      <c r="P65" s="8">
        <v>1594</v>
      </c>
      <c r="Q65" s="8">
        <v>1579</v>
      </c>
      <c r="R65" s="7">
        <f t="shared" si="1"/>
        <v>0.13668592600115015</v>
      </c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4.4" hidden="1">
      <c r="A66" s="3">
        <f>LOOKUP(D66,'AMFI DATA_2023H2'!F:L,'AMFI DATA_2023H2'!L:L)</f>
        <v>2947</v>
      </c>
      <c r="B66" s="4" t="s">
        <v>5530</v>
      </c>
      <c r="C66" s="4" t="s">
        <v>5531</v>
      </c>
      <c r="D66" s="5" t="s">
        <v>5532</v>
      </c>
      <c r="E66" s="5">
        <v>45.92</v>
      </c>
      <c r="F66" s="6">
        <f>LOOKUP(D66,'AMFI DATA_2023H2'!F:J,'AMFI DATA_2023H2'!J:J)</f>
        <v>41.344499999999996</v>
      </c>
      <c r="G66" s="7">
        <f t="shared" si="0"/>
        <v>0.47298915212422465</v>
      </c>
      <c r="H66" s="9">
        <v>60.9</v>
      </c>
      <c r="I66" s="9">
        <v>59.1</v>
      </c>
      <c r="J66" s="9">
        <v>57.8</v>
      </c>
      <c r="K66" s="9">
        <v>59.2</v>
      </c>
      <c r="L66" s="9">
        <v>57.8</v>
      </c>
      <c r="M66" s="9">
        <v>56.1</v>
      </c>
      <c r="N66" s="9">
        <v>56.5</v>
      </c>
      <c r="O66" s="9">
        <v>59.1</v>
      </c>
      <c r="P66" s="9">
        <v>56.5</v>
      </c>
      <c r="Q66" s="9">
        <v>53.9</v>
      </c>
      <c r="R66" s="7">
        <f t="shared" si="1"/>
        <v>0.39534883720930236</v>
      </c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4.4" hidden="1">
      <c r="A67" s="3">
        <f>LOOKUP(D67,'AMFI DATA_2023H2'!F:L,'AMFI DATA_2023H2'!L:L)</f>
        <v>2822</v>
      </c>
      <c r="B67" s="4" t="s">
        <v>5473</v>
      </c>
      <c r="C67" s="4" t="s">
        <v>5474</v>
      </c>
      <c r="D67" s="5" t="s">
        <v>5475</v>
      </c>
      <c r="E67" s="5">
        <v>46.81</v>
      </c>
      <c r="F67" s="6">
        <f>LOOKUP(D67,'AMFI DATA_2023H2'!F:J,'AMFI DATA_2023H2'!J:J)</f>
        <v>49.686</v>
      </c>
      <c r="G67" s="7">
        <f t="shared" si="0"/>
        <v>0.46721410457674195</v>
      </c>
      <c r="H67" s="9">
        <v>72.900000000000006</v>
      </c>
      <c r="I67" s="9">
        <v>76.7</v>
      </c>
      <c r="J67" s="9">
        <v>76.8</v>
      </c>
      <c r="K67" s="9">
        <v>85.2</v>
      </c>
      <c r="L67" s="9">
        <v>71.2</v>
      </c>
      <c r="M67" s="9">
        <v>62.1</v>
      </c>
      <c r="N67" s="9">
        <v>59.5</v>
      </c>
      <c r="O67" s="9">
        <v>60.6</v>
      </c>
      <c r="P67" s="9">
        <v>61</v>
      </c>
      <c r="Q67" s="9">
        <v>60.7</v>
      </c>
      <c r="R67" s="7">
        <f t="shared" si="1"/>
        <v>0.38207945900253604</v>
      </c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4.4" hidden="1">
      <c r="A68" s="3">
        <f>LOOKUP(D68,'AMFI DATA_2023H2'!F:L,'AMFI DATA_2023H2'!L:L)</f>
        <v>2488</v>
      </c>
      <c r="B68" s="4" t="s">
        <v>5284</v>
      </c>
      <c r="C68" s="4" t="s">
        <v>5285</v>
      </c>
      <c r="D68" s="5" t="s">
        <v>5286</v>
      </c>
      <c r="E68" s="5">
        <v>97.85</v>
      </c>
      <c r="F68" s="6">
        <f>LOOKUP(D68,'AMFI DATA_2023H2'!F:J,'AMFI DATA_2023H2'!J:J)</f>
        <v>83.472499999999997</v>
      </c>
      <c r="G68" s="7">
        <f t="shared" si="0"/>
        <v>-6.3164515259516496E-2</v>
      </c>
      <c r="H68" s="9">
        <v>78.2</v>
      </c>
      <c r="I68" s="9">
        <v>77</v>
      </c>
      <c r="J68" s="9">
        <v>79</v>
      </c>
      <c r="K68" s="9">
        <v>77.2</v>
      </c>
      <c r="L68" s="9">
        <v>78.900000000000006</v>
      </c>
      <c r="M68" s="9">
        <v>79.3</v>
      </c>
      <c r="N68" s="9">
        <v>77.8</v>
      </c>
      <c r="O68" s="9">
        <v>77.7</v>
      </c>
      <c r="P68" s="9">
        <v>77.099999999999994</v>
      </c>
      <c r="Q68" s="9">
        <v>80.2</v>
      </c>
      <c r="R68" s="7">
        <f t="shared" si="1"/>
        <v>-6.2685315523076324E-2</v>
      </c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4.4" hidden="1">
      <c r="A69" s="3">
        <f>LOOKUP(D69,'AMFI DATA_2023H2'!F:L,'AMFI DATA_2023H2'!L:L)</f>
        <v>2213</v>
      </c>
      <c r="B69" s="4" t="s">
        <v>5039</v>
      </c>
      <c r="C69" s="4" t="s">
        <v>5040</v>
      </c>
      <c r="D69" s="5" t="s">
        <v>5041</v>
      </c>
      <c r="E69" s="5">
        <v>140.36000000000001</v>
      </c>
      <c r="F69" s="6">
        <f>LOOKUP(D69,'AMFI DATA_2023H2'!F:J,'AMFI DATA_2023H2'!J:J)</f>
        <v>129.51229999999998</v>
      </c>
      <c r="G69" s="7">
        <f t="shared" si="0"/>
        <v>0.61374633915079913</v>
      </c>
      <c r="H69" s="9">
        <v>209</v>
      </c>
      <c r="I69" s="9">
        <v>213</v>
      </c>
      <c r="J69" s="9">
        <v>217</v>
      </c>
      <c r="K69" s="9">
        <v>207</v>
      </c>
      <c r="L69" s="9">
        <v>199</v>
      </c>
      <c r="M69" s="9">
        <v>190</v>
      </c>
      <c r="N69" s="9">
        <v>179</v>
      </c>
      <c r="O69" s="9">
        <v>172</v>
      </c>
      <c r="P69" s="9">
        <v>160</v>
      </c>
      <c r="Q69" s="9">
        <v>155</v>
      </c>
      <c r="R69" s="7">
        <f t="shared" si="1"/>
        <v>0.46781425393572662</v>
      </c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4.4" hidden="1">
      <c r="A70" s="3">
        <f>LOOKUP(D70,'AMFI DATA_2023H2'!F:L,'AMFI DATA_2023H2'!L:L)</f>
        <v>2057</v>
      </c>
      <c r="B70" s="4" t="s">
        <v>4814</v>
      </c>
      <c r="C70" s="4" t="s">
        <v>4815</v>
      </c>
      <c r="D70" s="5" t="s">
        <v>4816</v>
      </c>
      <c r="E70" s="5">
        <v>149.97</v>
      </c>
      <c r="F70" s="6">
        <f>LOOKUP(D70,'AMFI DATA_2023H2'!F:J,'AMFI DATA_2023H2'!J:J)</f>
        <v>171.79255000000001</v>
      </c>
      <c r="G70" s="7">
        <f t="shared" si="0"/>
        <v>0.36210796102624943</v>
      </c>
      <c r="H70" s="9">
        <v>234</v>
      </c>
      <c r="I70" s="9">
        <v>239</v>
      </c>
      <c r="J70" s="9">
        <v>224</v>
      </c>
      <c r="K70" s="9">
        <v>199</v>
      </c>
      <c r="L70" s="9">
        <v>203</v>
      </c>
      <c r="M70" s="9">
        <v>197</v>
      </c>
      <c r="N70" s="9">
        <v>188</v>
      </c>
      <c r="O70" s="9">
        <v>181</v>
      </c>
      <c r="P70" s="9">
        <v>176</v>
      </c>
      <c r="Q70" s="9">
        <v>168</v>
      </c>
      <c r="R70" s="7">
        <f t="shared" si="1"/>
        <v>0.16943371525715167</v>
      </c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4.4" hidden="1">
      <c r="A71" s="3">
        <f>LOOKUP(D71,'AMFI DATA_2023H2'!F:L,'AMFI DATA_2023H2'!L:L)</f>
        <v>2051</v>
      </c>
      <c r="B71" s="4" t="s">
        <v>4799</v>
      </c>
      <c r="C71" s="4" t="s">
        <v>4800</v>
      </c>
      <c r="D71" s="5" t="s">
        <v>4801</v>
      </c>
      <c r="E71" s="5">
        <v>162.32</v>
      </c>
      <c r="F71" s="6">
        <f>LOOKUP(D71,'AMFI DATA_2023H2'!F:J,'AMFI DATA_2023H2'!J:J)</f>
        <v>173.26235</v>
      </c>
      <c r="G71" s="7">
        <f t="shared" si="0"/>
        <v>-0.3420382443156289</v>
      </c>
      <c r="H71" s="9">
        <v>114</v>
      </c>
      <c r="I71" s="9">
        <v>110</v>
      </c>
      <c r="J71" s="9">
        <v>104</v>
      </c>
      <c r="K71" s="9">
        <v>98.8</v>
      </c>
      <c r="L71" s="9">
        <v>104</v>
      </c>
      <c r="M71" s="9">
        <v>109</v>
      </c>
      <c r="N71" s="9">
        <v>114</v>
      </c>
      <c r="O71" s="9">
        <v>120</v>
      </c>
      <c r="P71" s="9">
        <v>128</v>
      </c>
      <c r="Q71" s="9">
        <v>141</v>
      </c>
      <c r="R71" s="7">
        <f t="shared" si="1"/>
        <v>-0.34042219789815842</v>
      </c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4.4" hidden="1">
      <c r="A72" s="3">
        <f>LOOKUP(D72,'AMFI DATA_2023H2'!F:L,'AMFI DATA_2023H2'!L:L)</f>
        <v>1926</v>
      </c>
      <c r="B72" s="4" t="s">
        <v>4634</v>
      </c>
      <c r="C72" s="4" t="s">
        <v>4635</v>
      </c>
      <c r="D72" s="5" t="s">
        <v>4636</v>
      </c>
      <c r="E72" s="5">
        <v>188.57</v>
      </c>
      <c r="F72" s="6">
        <f>LOOKUP(D72,'AMFI DATA_2023H2'!F:J,'AMFI DATA_2023H2'!J:J)</f>
        <v>209.98095000000001</v>
      </c>
      <c r="G72" s="7">
        <f t="shared" si="0"/>
        <v>0.10009979476709674</v>
      </c>
      <c r="H72" s="9">
        <v>231</v>
      </c>
      <c r="I72" s="9">
        <v>234</v>
      </c>
      <c r="J72" s="9">
        <v>222</v>
      </c>
      <c r="K72" s="9">
        <v>230</v>
      </c>
      <c r="L72" s="9">
        <v>235</v>
      </c>
      <c r="M72" s="9">
        <v>240</v>
      </c>
      <c r="N72" s="9">
        <v>242</v>
      </c>
      <c r="O72" s="9">
        <v>258</v>
      </c>
      <c r="P72" s="9">
        <v>215</v>
      </c>
      <c r="Q72" s="9">
        <v>212</v>
      </c>
      <c r="R72" s="7">
        <f t="shared" si="1"/>
        <v>0.10438589786359187</v>
      </c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4.4" hidden="1">
      <c r="A73" s="3">
        <f>LOOKUP(D73,'AMFI DATA_2023H2'!F:L,'AMFI DATA_2023H2'!L:L)</f>
        <v>367</v>
      </c>
      <c r="B73" s="4" t="s">
        <v>1107</v>
      </c>
      <c r="C73" s="4" t="s">
        <v>1108</v>
      </c>
      <c r="D73" s="5" t="s">
        <v>1109</v>
      </c>
      <c r="E73" s="5">
        <v>10542.95</v>
      </c>
      <c r="F73" s="6">
        <f>LOOKUP(D73,'AMFI DATA_2023H2'!F:J,'AMFI DATA_2023H2'!J:J)</f>
        <v>11803.33035</v>
      </c>
      <c r="G73" s="7">
        <f t="shared" si="0"/>
        <v>2.8607997911369143E-2</v>
      </c>
      <c r="H73" s="8">
        <v>12141</v>
      </c>
      <c r="I73" s="8">
        <v>12076</v>
      </c>
      <c r="J73" s="8">
        <v>12077</v>
      </c>
      <c r="K73" s="8">
        <v>11948</v>
      </c>
      <c r="L73" s="8">
        <v>11740</v>
      </c>
      <c r="M73" s="8">
        <v>11879</v>
      </c>
      <c r="N73" s="8">
        <v>11759</v>
      </c>
      <c r="O73" s="8">
        <v>11636</v>
      </c>
      <c r="P73" s="8">
        <v>11596</v>
      </c>
      <c r="Q73" s="8">
        <v>11685</v>
      </c>
      <c r="R73" s="7">
        <f t="shared" si="1"/>
        <v>4.2674100026354189E-3</v>
      </c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4.4" hidden="1">
      <c r="A74" s="3">
        <f>LOOKUP(D74,'AMFI DATA_2023H2'!F:L,'AMFI DATA_2023H2'!L:L)</f>
        <v>1799</v>
      </c>
      <c r="B74" s="4" t="s">
        <v>4478</v>
      </c>
      <c r="C74" s="4" t="s">
        <v>4479</v>
      </c>
      <c r="D74" s="5" t="s">
        <v>4480</v>
      </c>
      <c r="E74" s="5">
        <v>187.39</v>
      </c>
      <c r="F74" s="6">
        <f>LOOKUP(D74,'AMFI DATA_2023H2'!F:J,'AMFI DATA_2023H2'!J:J)</f>
        <v>272.15469999999999</v>
      </c>
      <c r="G74" s="7">
        <f t="shared" si="0"/>
        <v>0.65347135287393532</v>
      </c>
      <c r="H74" s="9">
        <v>450</v>
      </c>
      <c r="I74" s="9">
        <v>433</v>
      </c>
      <c r="J74" s="9">
        <v>430</v>
      </c>
      <c r="K74" s="9">
        <v>421</v>
      </c>
      <c r="L74" s="9">
        <v>429</v>
      </c>
      <c r="M74" s="9">
        <v>411</v>
      </c>
      <c r="N74" s="9">
        <v>425</v>
      </c>
      <c r="O74" s="9">
        <v>404</v>
      </c>
      <c r="P74" s="9">
        <v>385</v>
      </c>
      <c r="Q74" s="9">
        <v>367</v>
      </c>
      <c r="R74" s="7">
        <f t="shared" si="1"/>
        <v>0.52670521582026697</v>
      </c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4.4" hidden="1">
      <c r="A75" s="3">
        <f>LOOKUP(D75,'AMFI DATA_2023H2'!F:L,'AMFI DATA_2023H2'!L:L)</f>
        <v>1533</v>
      </c>
      <c r="B75" s="4" t="s">
        <v>4022</v>
      </c>
      <c r="C75" s="4" t="s">
        <v>4023</v>
      </c>
      <c r="D75" s="5" t="s">
        <v>4024</v>
      </c>
      <c r="E75" s="5">
        <v>324.45999999999998</v>
      </c>
      <c r="F75" s="6">
        <f>LOOKUP(D75,'AMFI DATA_2023H2'!F:J,'AMFI DATA_2023H2'!J:J)</f>
        <v>471.43174999999997</v>
      </c>
      <c r="G75" s="7">
        <f t="shared" si="0"/>
        <v>0.26423390024112736</v>
      </c>
      <c r="H75" s="9">
        <v>596</v>
      </c>
      <c r="I75" s="9">
        <v>569</v>
      </c>
      <c r="J75" s="9">
        <v>564</v>
      </c>
      <c r="K75" s="9">
        <v>552</v>
      </c>
      <c r="L75" s="9">
        <v>549</v>
      </c>
      <c r="M75" s="9">
        <v>554</v>
      </c>
      <c r="N75" s="9">
        <v>562</v>
      </c>
      <c r="O75" s="9">
        <v>568</v>
      </c>
      <c r="P75" s="9">
        <v>556</v>
      </c>
      <c r="Q75" s="9">
        <v>550</v>
      </c>
      <c r="R75" s="7">
        <f t="shared" si="1"/>
        <v>0.19211317438844544</v>
      </c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4.4" hidden="1">
      <c r="A76" s="3">
        <f>LOOKUP(D76,'AMFI DATA_2023H2'!F:L,'AMFI DATA_2023H2'!L:L)</f>
        <v>917</v>
      </c>
      <c r="B76" s="4" t="s">
        <v>2651</v>
      </c>
      <c r="C76" s="4" t="s">
        <v>2652</v>
      </c>
      <c r="D76" s="5" t="s">
        <v>2653</v>
      </c>
      <c r="E76" s="5">
        <v>1695.89</v>
      </c>
      <c r="F76" s="6">
        <f>LOOKUP(D76,'AMFI DATA_2023H2'!F:J,'AMFI DATA_2023H2'!J:J)</f>
        <v>2093.9998500000002</v>
      </c>
      <c r="G76" s="7">
        <f t="shared" si="0"/>
        <v>0.15281765660107371</v>
      </c>
      <c r="H76" s="8">
        <v>2414</v>
      </c>
      <c r="I76" s="8">
        <v>2393</v>
      </c>
      <c r="J76" s="8">
        <v>2395</v>
      </c>
      <c r="K76" s="8">
        <v>2423</v>
      </c>
      <c r="L76" s="8">
        <v>2344</v>
      </c>
      <c r="M76" s="8">
        <v>2324</v>
      </c>
      <c r="N76" s="8">
        <v>2335</v>
      </c>
      <c r="O76" s="8">
        <v>2356</v>
      </c>
      <c r="P76" s="8">
        <v>2392</v>
      </c>
      <c r="Q76" s="8">
        <v>2366</v>
      </c>
      <c r="R76" s="7">
        <f t="shared" si="1"/>
        <v>0.1338109694706997</v>
      </c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4.4" hidden="1">
      <c r="A77" s="3">
        <f>LOOKUP(D77,'AMFI DATA_2023H2'!F:L,'AMFI DATA_2023H2'!L:L)</f>
        <v>317</v>
      </c>
      <c r="B77" s="4" t="s">
        <v>960</v>
      </c>
      <c r="C77" s="4" t="s">
        <v>961</v>
      </c>
      <c r="D77" s="5" t="s">
        <v>962</v>
      </c>
      <c r="E77" s="5">
        <v>10678.2</v>
      </c>
      <c r="F77" s="6">
        <f>LOOKUP(D77,'AMFI DATA_2023H2'!F:J,'AMFI DATA_2023H2'!J:J)</f>
        <v>14721.035250000001</v>
      </c>
      <c r="G77" s="7">
        <f t="shared" si="0"/>
        <v>8.4502531844694806E-2</v>
      </c>
      <c r="H77" s="8">
        <v>15965</v>
      </c>
      <c r="I77" s="8">
        <v>15905</v>
      </c>
      <c r="J77" s="8">
        <v>15874</v>
      </c>
      <c r="K77" s="8">
        <v>15843</v>
      </c>
      <c r="L77" s="8">
        <v>15055</v>
      </c>
      <c r="M77" s="8">
        <v>14927</v>
      </c>
      <c r="N77" s="8">
        <v>14911</v>
      </c>
      <c r="O77" s="8">
        <v>15144</v>
      </c>
      <c r="P77" s="8">
        <v>15274</v>
      </c>
      <c r="Q77" s="8">
        <v>15198</v>
      </c>
      <c r="R77" s="7">
        <f t="shared" si="1"/>
        <v>4.6774206997432399E-2</v>
      </c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4.4" hidden="1">
      <c r="A78" s="3">
        <f>LOOKUP(D78,'AMFI DATA_2023H2'!F:L,'AMFI DATA_2023H2'!L:L)</f>
        <v>1088</v>
      </c>
      <c r="B78" s="4" t="s">
        <v>3083</v>
      </c>
      <c r="C78" s="4" t="s">
        <v>3084</v>
      </c>
      <c r="D78" s="5" t="s">
        <v>3085</v>
      </c>
      <c r="E78" s="5">
        <v>1300.54</v>
      </c>
      <c r="F78" s="6">
        <f>LOOKUP(D78,'AMFI DATA_2023H2'!F:J,'AMFI DATA_2023H2'!J:J)</f>
        <v>1362.26135</v>
      </c>
      <c r="G78" s="7">
        <f t="shared" si="0"/>
        <v>1.742591463818588E-2</v>
      </c>
      <c r="H78" s="8">
        <v>1386</v>
      </c>
      <c r="I78" s="8">
        <v>1380</v>
      </c>
      <c r="J78" s="8">
        <v>1373</v>
      </c>
      <c r="K78" s="8">
        <v>1386</v>
      </c>
      <c r="L78" s="8">
        <v>1391</v>
      </c>
      <c r="M78" s="8">
        <v>1400</v>
      </c>
      <c r="N78" s="8">
        <v>1403</v>
      </c>
      <c r="O78" s="8">
        <v>1410</v>
      </c>
      <c r="P78" s="8">
        <v>1365</v>
      </c>
      <c r="Q78" s="8">
        <v>1329</v>
      </c>
      <c r="R78" s="7">
        <f t="shared" si="1"/>
        <v>1.4709842571691611E-2</v>
      </c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4.4" hidden="1">
      <c r="A79" s="3">
        <f>LOOKUP(D79,'AMFI DATA_2023H2'!F:L,'AMFI DATA_2023H2'!L:L)</f>
        <v>2256</v>
      </c>
      <c r="B79" s="4" t="s">
        <v>5075</v>
      </c>
      <c r="C79" s="4" t="s">
        <v>5076</v>
      </c>
      <c r="D79" s="5" t="s">
        <v>5077</v>
      </c>
      <c r="E79" s="5">
        <v>116.22</v>
      </c>
      <c r="F79" s="6">
        <f>LOOKUP(D79,'AMFI DATA_2023H2'!F:J,'AMFI DATA_2023H2'!J:J)</f>
        <v>120.88290000000001</v>
      </c>
      <c r="G79" s="7">
        <f t="shared" si="0"/>
        <v>0.20778042221025461</v>
      </c>
      <c r="H79" s="9">
        <v>146</v>
      </c>
      <c r="I79" s="9">
        <v>147</v>
      </c>
      <c r="J79" s="9">
        <v>140</v>
      </c>
      <c r="K79" s="9">
        <v>140</v>
      </c>
      <c r="L79" s="9">
        <v>140</v>
      </c>
      <c r="M79" s="9">
        <v>139</v>
      </c>
      <c r="N79" s="9">
        <v>141</v>
      </c>
      <c r="O79" s="9">
        <v>144</v>
      </c>
      <c r="P79" s="9">
        <v>144</v>
      </c>
      <c r="Q79" s="9">
        <v>145</v>
      </c>
      <c r="R79" s="7">
        <f t="shared" si="1"/>
        <v>0.17965402881631709</v>
      </c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4.4" hidden="1">
      <c r="A80" s="3">
        <f>LOOKUP(D80,'AMFI DATA_2023H2'!F:L,'AMFI DATA_2023H2'!L:L)</f>
        <v>140</v>
      </c>
      <c r="B80" s="4" t="s">
        <v>429</v>
      </c>
      <c r="C80" s="4" t="s">
        <v>430</v>
      </c>
      <c r="D80" s="5" t="s">
        <v>431</v>
      </c>
      <c r="E80" s="5">
        <v>39033.769999999997</v>
      </c>
      <c r="F80" s="6">
        <f>LOOKUP(D80,'AMFI DATA_2023H2'!F:J,'AMFI DATA_2023H2'!J:J)</f>
        <v>47638.356599999999</v>
      </c>
      <c r="G80" s="7">
        <f t="shared" si="0"/>
        <v>0.31480186283336242</v>
      </c>
      <c r="H80" s="8">
        <v>62635</v>
      </c>
      <c r="I80" s="8">
        <v>63004</v>
      </c>
      <c r="J80" s="8">
        <v>62760</v>
      </c>
      <c r="K80" s="8">
        <v>62006</v>
      </c>
      <c r="L80" s="8">
        <v>61217</v>
      </c>
      <c r="M80" s="8">
        <v>62101</v>
      </c>
      <c r="N80" s="8">
        <v>61379</v>
      </c>
      <c r="O80" s="8">
        <v>60799</v>
      </c>
      <c r="P80" s="8">
        <v>59530</v>
      </c>
      <c r="Q80" s="8">
        <v>58759</v>
      </c>
      <c r="R80" s="7">
        <f t="shared" si="1"/>
        <v>0.28927621319329888</v>
      </c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4.4" hidden="1">
      <c r="A81" s="3">
        <f>LOOKUP(D81,'AMFI DATA_2023H2'!F:L,'AMFI DATA_2023H2'!L:L)</f>
        <v>365</v>
      </c>
      <c r="B81" s="4" t="s">
        <v>1101</v>
      </c>
      <c r="C81" s="4" t="s">
        <v>1102</v>
      </c>
      <c r="D81" s="5" t="s">
        <v>1103</v>
      </c>
      <c r="E81" s="5">
        <v>12870.96</v>
      </c>
      <c r="F81" s="6">
        <f>LOOKUP(D81,'AMFI DATA_2023H2'!F:J,'AMFI DATA_2023H2'!J:J)</f>
        <v>11936.19975</v>
      </c>
      <c r="G81" s="7">
        <f t="shared" si="0"/>
        <v>0.13118080149421085</v>
      </c>
      <c r="H81" s="8">
        <v>13502</v>
      </c>
      <c r="I81" s="8">
        <v>13607</v>
      </c>
      <c r="J81" s="8">
        <v>13536</v>
      </c>
      <c r="K81" s="8">
        <v>13758</v>
      </c>
      <c r="L81" s="8">
        <v>13809</v>
      </c>
      <c r="M81" s="8">
        <v>12972</v>
      </c>
      <c r="N81" s="8">
        <v>12535</v>
      </c>
      <c r="O81" s="8">
        <v>12979</v>
      </c>
      <c r="P81" s="8">
        <v>13141</v>
      </c>
      <c r="Q81" s="8">
        <v>11783</v>
      </c>
      <c r="R81" s="7">
        <f t="shared" si="1"/>
        <v>0.10271277924952638</v>
      </c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4.4" hidden="1">
      <c r="A82" s="3">
        <f>LOOKUP(D82,'AMFI DATA_2023H2'!F:L,'AMFI DATA_2023H2'!L:L)</f>
        <v>966</v>
      </c>
      <c r="B82" s="4" t="s">
        <v>2774</v>
      </c>
      <c r="C82" s="4" t="s">
        <v>2775</v>
      </c>
      <c r="D82" s="5" t="s">
        <v>2776</v>
      </c>
      <c r="E82" s="5">
        <v>494.76</v>
      </c>
      <c r="F82" s="6">
        <f>LOOKUP(D82,'AMFI DATA_2023H2'!F:J,'AMFI DATA_2023H2'!J:J)</f>
        <v>1878.60915</v>
      </c>
      <c r="G82" s="7">
        <f t="shared" si="0"/>
        <v>-0.10625368773488619</v>
      </c>
      <c r="H82" s="8">
        <v>1679</v>
      </c>
      <c r="I82" s="8">
        <v>1692</v>
      </c>
      <c r="J82" s="8">
        <v>1686</v>
      </c>
      <c r="K82" s="8">
        <v>1679</v>
      </c>
      <c r="L82" s="8">
        <v>1648</v>
      </c>
      <c r="M82" s="8">
        <v>1614</v>
      </c>
      <c r="N82" s="8">
        <v>1601</v>
      </c>
      <c r="O82" s="8">
        <v>1623</v>
      </c>
      <c r="P82" s="8">
        <v>1641</v>
      </c>
      <c r="Q82" s="8">
        <v>1573</v>
      </c>
      <c r="R82" s="7">
        <f t="shared" si="1"/>
        <v>-0.12509741581957057</v>
      </c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4.4">
      <c r="A83" s="3">
        <f>LOOKUP(D83,'AMFI DATA_2023H2'!F:L,'AMFI DATA_2023H2'!L:L)</f>
        <v>529</v>
      </c>
      <c r="B83" s="4" t="s">
        <v>1566</v>
      </c>
      <c r="C83" s="4" t="s">
        <v>1567</v>
      </c>
      <c r="D83" s="5" t="s">
        <v>1568</v>
      </c>
      <c r="E83" s="5">
        <v>7009.41</v>
      </c>
      <c r="F83" s="6">
        <f>LOOKUP(D83,'AMFI DATA_2023H2'!F:J,'AMFI DATA_2023H2'!J:J)</f>
        <v>6833.2479000000003</v>
      </c>
      <c r="G83" s="7">
        <f t="shared" si="0"/>
        <v>0.30450411436119551</v>
      </c>
      <c r="H83" s="8">
        <v>8914</v>
      </c>
      <c r="I83" s="8">
        <v>8835</v>
      </c>
      <c r="J83" s="8">
        <v>8639</v>
      </c>
      <c r="K83" s="8">
        <v>8865</v>
      </c>
      <c r="L83" s="8">
        <v>8108</v>
      </c>
      <c r="M83" s="8">
        <v>7899</v>
      </c>
      <c r="N83" s="8">
        <v>7752</v>
      </c>
      <c r="O83" s="8">
        <v>7878</v>
      </c>
      <c r="P83" s="8">
        <v>7962</v>
      </c>
      <c r="Q83" s="8">
        <v>7543</v>
      </c>
      <c r="R83" s="14">
        <f t="shared" si="1"/>
        <v>0.20579556319038272</v>
      </c>
      <c r="S83" s="8"/>
      <c r="T83" s="8">
        <v>90.5</v>
      </c>
      <c r="U83" s="15">
        <f ca="1">IFERROR(__xludf.DUMMYFUNCTION("GOOGLEFINANCE(C83,""PRICE"")"),78.4)</f>
        <v>78.400000000000006</v>
      </c>
      <c r="V83" s="13" t="s">
        <v>5787</v>
      </c>
      <c r="W83" s="7">
        <f ca="1">U83/T83-1</f>
        <v>-0.13370165745856344</v>
      </c>
      <c r="X83" s="8"/>
      <c r="Y83" s="8"/>
      <c r="Z83" s="8"/>
      <c r="AA83" s="8"/>
      <c r="AB83" s="8"/>
    </row>
    <row r="84" spans="1:28" ht="14.4" hidden="1">
      <c r="A84" s="3">
        <f>LOOKUP(D84,'AMFI DATA_2023H2'!F:L,'AMFI DATA_2023H2'!L:L)</f>
        <v>1203</v>
      </c>
      <c r="B84" s="4" t="s">
        <v>3356</v>
      </c>
      <c r="C84" s="4" t="s">
        <v>3357</v>
      </c>
      <c r="D84" s="5" t="s">
        <v>3358</v>
      </c>
      <c r="E84" s="5">
        <v>146818.6</v>
      </c>
      <c r="F84" s="6">
        <f>LOOKUP(D84,'AMFI DATA_2023H2'!F:J,'AMFI DATA_2023H2'!J:J)</f>
        <v>1045.6167500000001</v>
      </c>
      <c r="G84" s="7">
        <f t="shared" si="0"/>
        <v>0.62583470473287628</v>
      </c>
      <c r="H84" s="8">
        <v>1700</v>
      </c>
      <c r="I84" s="8">
        <v>1661</v>
      </c>
      <c r="J84" s="8">
        <v>1573</v>
      </c>
      <c r="K84" s="8">
        <v>1311</v>
      </c>
      <c r="L84" s="8">
        <v>1302</v>
      </c>
      <c r="M84" s="8">
        <v>1279</v>
      </c>
      <c r="N84" s="8">
        <v>1268</v>
      </c>
      <c r="O84" s="8">
        <v>1304</v>
      </c>
      <c r="P84" s="8">
        <v>1299</v>
      </c>
      <c r="Q84" s="8">
        <v>1275</v>
      </c>
      <c r="R84" s="7">
        <f t="shared" si="1"/>
        <v>0.33624485261927939</v>
      </c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4.4" hidden="1">
      <c r="A85" s="3">
        <f>LOOKUP(D85,'AMFI DATA_2023H2'!F:L,'AMFI DATA_2023H2'!L:L)</f>
        <v>1361</v>
      </c>
      <c r="B85" s="4" t="s">
        <v>3683</v>
      </c>
      <c r="C85" s="4" t="s">
        <v>3684</v>
      </c>
      <c r="D85" s="5" t="s">
        <v>3685</v>
      </c>
      <c r="E85" s="5">
        <v>502.41</v>
      </c>
      <c r="F85" s="6">
        <f>LOOKUP(D85,'AMFI DATA_2023H2'!F:J,'AMFI DATA_2023H2'!J:J)</f>
        <v>705.3347</v>
      </c>
      <c r="G85" s="7">
        <f t="shared" si="0"/>
        <v>0.14697320293472016</v>
      </c>
      <c r="H85" s="9">
        <v>809</v>
      </c>
      <c r="I85" s="9">
        <v>734</v>
      </c>
      <c r="J85" s="9">
        <v>735</v>
      </c>
      <c r="K85" s="9">
        <v>748</v>
      </c>
      <c r="L85" s="9">
        <v>753</v>
      </c>
      <c r="M85" s="9">
        <v>758</v>
      </c>
      <c r="N85" s="9">
        <v>759</v>
      </c>
      <c r="O85" s="9">
        <v>791</v>
      </c>
      <c r="P85" s="9">
        <v>764</v>
      </c>
      <c r="Q85" s="9">
        <v>699</v>
      </c>
      <c r="R85" s="7">
        <f t="shared" si="1"/>
        <v>7.0413804963799453E-2</v>
      </c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4.4" hidden="1">
      <c r="A86" s="3">
        <f>LOOKUP(D86,'AMFI DATA_2023H2'!F:L,'AMFI DATA_2023H2'!L:L)</f>
        <v>1243</v>
      </c>
      <c r="B86" s="4" t="s">
        <v>3440</v>
      </c>
      <c r="C86" s="4" t="s">
        <v>3441</v>
      </c>
      <c r="D86" s="5" t="s">
        <v>3442</v>
      </c>
      <c r="E86" s="5">
        <v>744.82</v>
      </c>
      <c r="F86" s="6">
        <f>LOOKUP(D86,'AMFI DATA_2023H2'!F:J,'AMFI DATA_2023H2'!J:J)</f>
        <v>931.43100000000004</v>
      </c>
      <c r="G86" s="7">
        <f t="shared" si="0"/>
        <v>7.8984916757118828E-2</v>
      </c>
      <c r="H86" s="8">
        <v>1005</v>
      </c>
      <c r="I86" s="8">
        <v>1017</v>
      </c>
      <c r="J86" s="8">
        <v>995</v>
      </c>
      <c r="K86" s="8">
        <v>997</v>
      </c>
      <c r="L86" s="8">
        <v>1008</v>
      </c>
      <c r="M86" s="8">
        <v>994</v>
      </c>
      <c r="N86" s="8">
        <v>995</v>
      </c>
      <c r="O86" s="8">
        <v>1000</v>
      </c>
      <c r="P86" s="8">
        <v>986</v>
      </c>
      <c r="Q86" s="8">
        <v>1008</v>
      </c>
      <c r="R86" s="7">
        <f t="shared" si="1"/>
        <v>7.4153641010445082E-2</v>
      </c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4.4" hidden="1">
      <c r="A87" s="3">
        <f>LOOKUP(D87,'AMFI DATA_2023H2'!F:L,'AMFI DATA_2023H2'!L:L)</f>
        <v>1882</v>
      </c>
      <c r="B87" s="4" t="s">
        <v>4577</v>
      </c>
      <c r="C87" s="4" t="s">
        <v>4578</v>
      </c>
      <c r="D87" s="5" t="s">
        <v>4579</v>
      </c>
      <c r="E87" s="5">
        <v>175.68</v>
      </c>
      <c r="F87" s="6">
        <f>LOOKUP(D87,'AMFI DATA_2023H2'!F:J,'AMFI DATA_2023H2'!J:J)</f>
        <v>230.80714999999998</v>
      </c>
      <c r="G87" s="7">
        <f t="shared" si="0"/>
        <v>0.59440467940442931</v>
      </c>
      <c r="H87" s="9">
        <v>368</v>
      </c>
      <c r="I87" s="9">
        <v>310</v>
      </c>
      <c r="J87" s="9">
        <v>258</v>
      </c>
      <c r="K87" s="9">
        <v>234</v>
      </c>
      <c r="L87" s="9">
        <v>239</v>
      </c>
      <c r="M87" s="9">
        <v>239</v>
      </c>
      <c r="N87" s="9">
        <v>236</v>
      </c>
      <c r="O87" s="9">
        <v>242</v>
      </c>
      <c r="P87" s="9">
        <v>243</v>
      </c>
      <c r="Q87" s="9">
        <v>242</v>
      </c>
      <c r="R87" s="7">
        <f t="shared" si="1"/>
        <v>0.1312474505230885</v>
      </c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4.4" hidden="1">
      <c r="A88" s="3">
        <f>LOOKUP(D88,'AMFI DATA_2023H2'!F:L,'AMFI DATA_2023H2'!L:L)</f>
        <v>436</v>
      </c>
      <c r="B88" s="4" t="s">
        <v>1302</v>
      </c>
      <c r="C88" s="4" t="s">
        <v>1303</v>
      </c>
      <c r="D88" s="5" t="s">
        <v>1304</v>
      </c>
      <c r="E88" s="5">
        <v>6707.84</v>
      </c>
      <c r="F88" s="6">
        <f>LOOKUP(D88,'AMFI DATA_2023H2'!F:J,'AMFI DATA_2023H2'!J:J)</f>
        <v>9212.7216499999995</v>
      </c>
      <c r="G88" s="7">
        <f t="shared" si="0"/>
        <v>0.74834328137982986</v>
      </c>
      <c r="H88" s="8">
        <v>16107</v>
      </c>
      <c r="I88" s="8">
        <v>13481</v>
      </c>
      <c r="J88" s="8">
        <v>13739</v>
      </c>
      <c r="K88" s="8">
        <v>12840</v>
      </c>
      <c r="L88" s="8">
        <v>10700</v>
      </c>
      <c r="M88" s="8">
        <v>10591</v>
      </c>
      <c r="N88" s="8">
        <v>10546</v>
      </c>
      <c r="O88" s="8">
        <v>10675</v>
      </c>
      <c r="P88" s="8">
        <v>10859</v>
      </c>
      <c r="Q88" s="8">
        <v>10750</v>
      </c>
      <c r="R88" s="7">
        <f t="shared" si="1"/>
        <v>0.30567279214389376</v>
      </c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4.4" hidden="1">
      <c r="A89" s="3">
        <f>LOOKUP(D89,'AMFI DATA_2023H2'!F:L,'AMFI DATA_2023H2'!L:L)</f>
        <v>2069</v>
      </c>
      <c r="B89" s="4" t="s">
        <v>4838</v>
      </c>
      <c r="C89" s="4" t="s">
        <v>4839</v>
      </c>
      <c r="D89" s="5" t="s">
        <v>4840</v>
      </c>
      <c r="E89" s="5">
        <v>128.59</v>
      </c>
      <c r="F89" s="6">
        <f>LOOKUP(D89,'AMFI DATA_2023H2'!F:J,'AMFI DATA_2023H2'!J:J)</f>
        <v>170.13655</v>
      </c>
      <c r="G89" s="7">
        <f t="shared" si="0"/>
        <v>0.37536584584558708</v>
      </c>
      <c r="H89" s="9">
        <v>234</v>
      </c>
      <c r="I89" s="9">
        <v>228</v>
      </c>
      <c r="J89" s="9">
        <v>233</v>
      </c>
      <c r="K89" s="9">
        <v>235</v>
      </c>
      <c r="L89" s="9">
        <v>219</v>
      </c>
      <c r="M89" s="9">
        <v>217</v>
      </c>
      <c r="N89" s="9">
        <v>220</v>
      </c>
      <c r="O89" s="9">
        <v>221</v>
      </c>
      <c r="P89" s="9">
        <v>226</v>
      </c>
      <c r="Q89" s="9">
        <v>212</v>
      </c>
      <c r="R89" s="7">
        <f t="shared" si="1"/>
        <v>0.31952834355698401</v>
      </c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4.4" hidden="1">
      <c r="A90" s="3">
        <f>LOOKUP(D90,'AMFI DATA_2023H2'!F:L,'AMFI DATA_2023H2'!L:L)</f>
        <v>2014</v>
      </c>
      <c r="B90" s="4" t="s">
        <v>4766</v>
      </c>
      <c r="C90" s="4" t="s">
        <v>4767</v>
      </c>
      <c r="D90" s="5" t="s">
        <v>4768</v>
      </c>
      <c r="E90" s="5">
        <v>156.94999999999999</v>
      </c>
      <c r="F90" s="6">
        <f>LOOKUP(D90,'AMFI DATA_2023H2'!F:J,'AMFI DATA_2023H2'!J:J)</f>
        <v>183.58035000000001</v>
      </c>
      <c r="G90" s="7">
        <f t="shared" si="0"/>
        <v>-3.1612860526739617E-3</v>
      </c>
      <c r="H90" s="9">
        <v>183</v>
      </c>
      <c r="I90" s="9">
        <v>182</v>
      </c>
      <c r="J90" s="9">
        <v>183</v>
      </c>
      <c r="K90" s="9">
        <v>183</v>
      </c>
      <c r="L90" s="9">
        <v>185</v>
      </c>
      <c r="M90" s="9">
        <v>181</v>
      </c>
      <c r="N90" s="9">
        <v>182</v>
      </c>
      <c r="O90" s="9">
        <v>180</v>
      </c>
      <c r="P90" s="9">
        <v>182</v>
      </c>
      <c r="Q90" s="9">
        <v>179</v>
      </c>
      <c r="R90" s="7">
        <f t="shared" si="1"/>
        <v>-8.6084921398178471E-3</v>
      </c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4.4" hidden="1">
      <c r="A91" s="3">
        <f>LOOKUP(D91,'AMFI DATA_2023H2'!F:L,'AMFI DATA_2023H2'!L:L)</f>
        <v>4029</v>
      </c>
      <c r="B91" s="4" t="s">
        <v>5758</v>
      </c>
      <c r="C91" s="4" t="s">
        <v>5759</v>
      </c>
      <c r="D91" s="5" t="s">
        <v>5760</v>
      </c>
      <c r="E91" s="5">
        <v>7.07</v>
      </c>
      <c r="F91" s="6">
        <f>LOOKUP(D91,'AMFI DATA_2023H2'!F:J,'AMFI DATA_2023H2'!J:J)</f>
        <v>8.1270500000000006</v>
      </c>
      <c r="G91" s="7">
        <f t="shared" si="0"/>
        <v>0.21323235368307047</v>
      </c>
      <c r="H91" s="9">
        <v>9.86</v>
      </c>
      <c r="I91" s="9">
        <v>9.4</v>
      </c>
      <c r="J91" s="9">
        <v>9</v>
      </c>
      <c r="K91" s="9">
        <v>8.56</v>
      </c>
      <c r="L91" s="9">
        <v>8.43</v>
      </c>
      <c r="M91" s="9">
        <v>8.48</v>
      </c>
      <c r="N91" s="9">
        <v>8.42</v>
      </c>
      <c r="O91" s="9">
        <v>8.1999999999999993</v>
      </c>
      <c r="P91" s="9">
        <v>8.2899999999999991</v>
      </c>
      <c r="Q91" s="9">
        <v>8.2100000000000009</v>
      </c>
      <c r="R91" s="7">
        <f t="shared" si="1"/>
        <v>6.8653447437877491E-2</v>
      </c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4.4">
      <c r="A92" s="3">
        <f>LOOKUP(D92,'AMFI DATA_2023H2'!F:L,'AMFI DATA_2023H2'!L:L)</f>
        <v>377</v>
      </c>
      <c r="B92" s="4" t="s">
        <v>1137</v>
      </c>
      <c r="C92" s="4" t="s">
        <v>1138</v>
      </c>
      <c r="D92" s="5" t="s">
        <v>1139</v>
      </c>
      <c r="E92" s="5">
        <v>73.06</v>
      </c>
      <c r="F92" s="6">
        <f>LOOKUP(D92,'AMFI DATA_2023H2'!F:J,'AMFI DATA_2023H2'!J:J)</f>
        <v>11332.280650000001</v>
      </c>
      <c r="G92" s="7">
        <f t="shared" si="0"/>
        <v>0.25852866165999866</v>
      </c>
      <c r="H92" s="8">
        <v>14262</v>
      </c>
      <c r="I92" s="8">
        <v>13952</v>
      </c>
      <c r="J92" s="8">
        <v>13864</v>
      </c>
      <c r="K92" s="8">
        <v>13950</v>
      </c>
      <c r="L92" s="8">
        <v>14089</v>
      </c>
      <c r="M92" s="8">
        <v>13945</v>
      </c>
      <c r="N92" s="8">
        <v>14005</v>
      </c>
      <c r="O92" s="8">
        <v>13855</v>
      </c>
      <c r="P92" s="8">
        <v>13131</v>
      </c>
      <c r="Q92" s="8">
        <v>12996</v>
      </c>
      <c r="R92" s="14">
        <f t="shared" si="1"/>
        <v>0.21819256214767324</v>
      </c>
      <c r="S92" s="8"/>
      <c r="T92" s="8">
        <v>834.95</v>
      </c>
      <c r="U92" s="15">
        <f ca="1">IFERROR(__xludf.DUMMYFUNCTION("GOOGLEFINANCE(C92,""PRICE"")"),810.9)</f>
        <v>810.9</v>
      </c>
      <c r="V92" s="13" t="s">
        <v>5787</v>
      </c>
      <c r="W92" s="7">
        <f ca="1">U92/T92-1</f>
        <v>-2.8804120007186129E-2</v>
      </c>
      <c r="X92" s="8"/>
      <c r="Y92" s="8"/>
      <c r="Z92" s="8"/>
      <c r="AA92" s="8"/>
      <c r="AB92" s="8"/>
    </row>
    <row r="93" spans="1:28" ht="14.4" hidden="1">
      <c r="A93" s="3">
        <f>LOOKUP(D93,'AMFI DATA_2023H2'!F:L,'AMFI DATA_2023H2'!L:L)</f>
        <v>424</v>
      </c>
      <c r="B93" s="4" t="s">
        <v>1269</v>
      </c>
      <c r="C93" s="4" t="s">
        <v>1270</v>
      </c>
      <c r="D93" s="5" t="s">
        <v>1271</v>
      </c>
      <c r="E93" s="5">
        <v>6596.88</v>
      </c>
      <c r="F93" s="6">
        <f>LOOKUP(D93,'AMFI DATA_2023H2'!F:J,'AMFI DATA_2023H2'!J:J)</f>
        <v>9615.587950000001</v>
      </c>
      <c r="G93" s="7">
        <f t="shared" si="0"/>
        <v>0.14054388114665395</v>
      </c>
      <c r="H93" s="8">
        <v>10967</v>
      </c>
      <c r="I93" s="8">
        <v>10748</v>
      </c>
      <c r="J93" s="8">
        <v>10486</v>
      </c>
      <c r="K93" s="8">
        <v>10466</v>
      </c>
      <c r="L93" s="8">
        <v>10580</v>
      </c>
      <c r="M93" s="8">
        <v>10563</v>
      </c>
      <c r="N93" s="8">
        <v>10425</v>
      </c>
      <c r="O93" s="8">
        <v>10538</v>
      </c>
      <c r="P93" s="8">
        <v>10247</v>
      </c>
      <c r="Q93" s="8">
        <v>10282</v>
      </c>
      <c r="R93" s="7">
        <f t="shared" si="1"/>
        <v>9.5117641766253147E-2</v>
      </c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4.4" hidden="1">
      <c r="A94" s="3">
        <f>LOOKUP(D94,'AMFI DATA_2023H2'!F:L,'AMFI DATA_2023H2'!L:L)</f>
        <v>2696</v>
      </c>
      <c r="B94" s="4" t="s">
        <v>5428</v>
      </c>
      <c r="C94" s="4" t="s">
        <v>5429</v>
      </c>
      <c r="D94" s="5" t="s">
        <v>5430</v>
      </c>
      <c r="E94" s="5">
        <v>43.21</v>
      </c>
      <c r="F94" s="6">
        <f>LOOKUP(D94,'AMFI DATA_2023H2'!F:J,'AMFI DATA_2023H2'!J:J)</f>
        <v>59.4529</v>
      </c>
      <c r="G94" s="7">
        <f t="shared" si="0"/>
        <v>-0.13376807523266321</v>
      </c>
      <c r="H94" s="9">
        <v>51.5</v>
      </c>
      <c r="I94" s="9">
        <v>51.4</v>
      </c>
      <c r="J94" s="9">
        <v>49.9</v>
      </c>
      <c r="K94" s="9">
        <v>51</v>
      </c>
      <c r="L94" s="9">
        <v>51.6</v>
      </c>
      <c r="M94" s="9">
        <v>51.4</v>
      </c>
      <c r="N94" s="9">
        <v>50.8</v>
      </c>
      <c r="O94" s="9">
        <v>53.2</v>
      </c>
      <c r="P94" s="9">
        <v>56.2</v>
      </c>
      <c r="Q94" s="9">
        <v>54.6</v>
      </c>
      <c r="R94" s="7">
        <f t="shared" si="1"/>
        <v>-0.12266685056574189</v>
      </c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4.4" hidden="1">
      <c r="A95" s="3">
        <f>LOOKUP(D95,'AMFI DATA_2023H2'!F:L,'AMFI DATA_2023H2'!L:L)</f>
        <v>1252</v>
      </c>
      <c r="B95" s="4" t="s">
        <v>3461</v>
      </c>
      <c r="C95" s="4" t="s">
        <v>3462</v>
      </c>
      <c r="D95" s="5" t="s">
        <v>3463</v>
      </c>
      <c r="E95" s="5">
        <v>863.44</v>
      </c>
      <c r="F95" s="6">
        <f>LOOKUP(D95,'AMFI DATA_2023H2'!F:J,'AMFI DATA_2023H2'!J:J)</f>
        <v>912.80259999999998</v>
      </c>
      <c r="G95" s="7">
        <f t="shared" si="0"/>
        <v>9.9909224623155213E-2</v>
      </c>
      <c r="H95" s="9">
        <v>1004</v>
      </c>
      <c r="I95" s="9">
        <v>1019</v>
      </c>
      <c r="J95" s="9">
        <v>1017</v>
      </c>
      <c r="K95" s="9">
        <v>976</v>
      </c>
      <c r="L95" s="9">
        <v>979</v>
      </c>
      <c r="M95" s="9">
        <v>984</v>
      </c>
      <c r="N95" s="9">
        <v>989</v>
      </c>
      <c r="O95" s="9">
        <v>984</v>
      </c>
      <c r="P95" s="9">
        <v>975</v>
      </c>
      <c r="Q95" s="9">
        <v>997</v>
      </c>
      <c r="R95" s="7">
        <f t="shared" si="1"/>
        <v>8.7201110075716182E-2</v>
      </c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4.4" hidden="1">
      <c r="A96" s="3">
        <f>LOOKUP(D96,'AMFI DATA_2023H2'!F:L,'AMFI DATA_2023H2'!L:L)</f>
        <v>69</v>
      </c>
      <c r="B96" s="4" t="s">
        <v>219</v>
      </c>
      <c r="C96" s="4" t="s">
        <v>220</v>
      </c>
      <c r="D96" s="5" t="s">
        <v>221</v>
      </c>
      <c r="E96" s="5">
        <v>81731.11</v>
      </c>
      <c r="F96" s="6">
        <f>LOOKUP(D96,'AMFI DATA_2023H2'!F:J,'AMFI DATA_2023H2'!J:J)</f>
        <v>88454.048050000012</v>
      </c>
      <c r="G96" s="7">
        <f t="shared" si="0"/>
        <v>0.21501505436189006</v>
      </c>
      <c r="H96" s="8">
        <v>107473</v>
      </c>
      <c r="I96" s="8">
        <v>109101</v>
      </c>
      <c r="J96" s="8">
        <v>106351</v>
      </c>
      <c r="K96" s="8">
        <v>105358</v>
      </c>
      <c r="L96" s="8">
        <v>106172</v>
      </c>
      <c r="M96" s="8">
        <v>103442</v>
      </c>
      <c r="N96" s="8">
        <v>102112</v>
      </c>
      <c r="O96" s="8">
        <v>102559</v>
      </c>
      <c r="P96" s="8">
        <v>100345</v>
      </c>
      <c r="Q96" s="8">
        <v>100037</v>
      </c>
      <c r="R96" s="7">
        <f t="shared" si="1"/>
        <v>0.17908679477332279</v>
      </c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4.4" hidden="1">
      <c r="A97" s="3">
        <f>LOOKUP(D97,'AMFI DATA_2023H2'!F:L,'AMFI DATA_2023H2'!L:L)</f>
        <v>2211</v>
      </c>
      <c r="B97" s="4" t="s">
        <v>5036</v>
      </c>
      <c r="C97" s="4" t="s">
        <v>5037</v>
      </c>
      <c r="D97" s="5" t="s">
        <v>5038</v>
      </c>
      <c r="E97" s="5">
        <v>108.9</v>
      </c>
      <c r="F97" s="6">
        <f>LOOKUP(D97,'AMFI DATA_2023H2'!F:J,'AMFI DATA_2023H2'!J:J)</f>
        <v>129.75495000000001</v>
      </c>
      <c r="G97" s="7">
        <f t="shared" si="0"/>
        <v>0.13290475623473319</v>
      </c>
      <c r="H97" s="9">
        <v>147</v>
      </c>
      <c r="I97" s="9">
        <v>150</v>
      </c>
      <c r="J97" s="9">
        <v>149</v>
      </c>
      <c r="K97" s="9">
        <v>151</v>
      </c>
      <c r="L97" s="9">
        <v>153</v>
      </c>
      <c r="M97" s="9">
        <v>153</v>
      </c>
      <c r="N97" s="9">
        <v>150</v>
      </c>
      <c r="O97" s="9">
        <v>154</v>
      </c>
      <c r="P97" s="9">
        <v>155</v>
      </c>
      <c r="Q97" s="9">
        <v>155</v>
      </c>
      <c r="R97" s="7">
        <f t="shared" si="1"/>
        <v>0.16912688109393881</v>
      </c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4.4" hidden="1">
      <c r="A98" s="3">
        <f>LOOKUP(D98,'AMFI DATA_2023H2'!F:L,'AMFI DATA_2023H2'!L:L)</f>
        <v>659</v>
      </c>
      <c r="B98" s="4" t="s">
        <v>1929</v>
      </c>
      <c r="C98" s="4" t="s">
        <v>1930</v>
      </c>
      <c r="D98" s="5" t="s">
        <v>1931</v>
      </c>
      <c r="E98" s="5">
        <v>3733.25</v>
      </c>
      <c r="F98" s="6">
        <f>LOOKUP(D98,'AMFI DATA_2023H2'!F:J,'AMFI DATA_2023H2'!J:J)</f>
        <v>4372.4994999999999</v>
      </c>
      <c r="G98" s="7">
        <f t="shared" si="0"/>
        <v>-2.9159408708908874E-2</v>
      </c>
      <c r="H98" s="8">
        <v>4245</v>
      </c>
      <c r="I98" s="8">
        <v>4306</v>
      </c>
      <c r="J98" s="8">
        <v>4289</v>
      </c>
      <c r="K98" s="8">
        <v>4182</v>
      </c>
      <c r="L98" s="8">
        <v>4228</v>
      </c>
      <c r="M98" s="8">
        <v>4138</v>
      </c>
      <c r="N98" s="8">
        <v>4249</v>
      </c>
      <c r="O98" s="8">
        <v>4359</v>
      </c>
      <c r="P98" s="8">
        <v>4339</v>
      </c>
      <c r="Q98" s="8">
        <v>4427</v>
      </c>
      <c r="R98" s="7">
        <f t="shared" si="1"/>
        <v>-2.2023901889525632E-2</v>
      </c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4.4" hidden="1">
      <c r="A99" s="3">
        <f>LOOKUP(D99,'AMFI DATA_2023H2'!F:L,'AMFI DATA_2023H2'!L:L)</f>
        <v>1303</v>
      </c>
      <c r="B99" s="4" t="s">
        <v>3578</v>
      </c>
      <c r="C99" s="4" t="s">
        <v>3579</v>
      </c>
      <c r="D99" s="5" t="s">
        <v>3580</v>
      </c>
      <c r="E99" s="5">
        <v>103.8</v>
      </c>
      <c r="F99" s="6">
        <f>LOOKUP(D99,'AMFI DATA_2023H2'!F:J,'AMFI DATA_2023H2'!J:J)</f>
        <v>799.72465</v>
      </c>
      <c r="G99" s="7">
        <f t="shared" si="0"/>
        <v>0.38922815496558716</v>
      </c>
      <c r="H99" s="9">
        <v>1111</v>
      </c>
      <c r="I99" s="9">
        <v>1000</v>
      </c>
      <c r="J99" s="9">
        <v>939</v>
      </c>
      <c r="K99" s="9">
        <v>926</v>
      </c>
      <c r="L99" s="9">
        <v>925</v>
      </c>
      <c r="M99" s="9">
        <v>922</v>
      </c>
      <c r="N99" s="9">
        <v>927</v>
      </c>
      <c r="O99" s="9">
        <v>924</v>
      </c>
      <c r="P99" s="9">
        <v>917</v>
      </c>
      <c r="Q99" s="9">
        <v>873</v>
      </c>
      <c r="R99" s="7">
        <f t="shared" si="1"/>
        <v>0.18340731400488908</v>
      </c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4.4" hidden="1">
      <c r="A100" s="3">
        <f>LOOKUP(D100,'AMFI DATA_2023H2'!F:L,'AMFI DATA_2023H2'!L:L)</f>
        <v>2186</v>
      </c>
      <c r="B100" s="4" t="s">
        <v>5003</v>
      </c>
      <c r="C100" s="4" t="s">
        <v>5004</v>
      </c>
      <c r="D100" s="5" t="s">
        <v>5005</v>
      </c>
      <c r="E100" s="5">
        <v>103.8</v>
      </c>
      <c r="F100" s="6">
        <f>LOOKUP(D100,'AMFI DATA_2023H2'!F:J,'AMFI DATA_2023H2'!J:J)</f>
        <v>136.1078</v>
      </c>
      <c r="G100" s="7">
        <f t="shared" si="0"/>
        <v>0.24166285841075963</v>
      </c>
      <c r="H100" s="9">
        <v>169</v>
      </c>
      <c r="I100" s="9">
        <v>173</v>
      </c>
      <c r="J100" s="9">
        <v>163</v>
      </c>
      <c r="K100" s="9">
        <v>163</v>
      </c>
      <c r="L100" s="9">
        <v>168</v>
      </c>
      <c r="M100" s="9">
        <v>167</v>
      </c>
      <c r="N100" s="9">
        <v>160</v>
      </c>
      <c r="O100" s="9">
        <v>156</v>
      </c>
      <c r="P100" s="9">
        <v>155</v>
      </c>
      <c r="Q100" s="9">
        <v>158</v>
      </c>
      <c r="R100" s="7">
        <f t="shared" si="1"/>
        <v>0.19904957687950287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4.4" hidden="1">
      <c r="A101" s="3">
        <f>LOOKUP(D101,'AMFI DATA_2023H2'!F:L,'AMFI DATA_2023H2'!L:L)</f>
        <v>975</v>
      </c>
      <c r="B101" s="4" t="s">
        <v>2795</v>
      </c>
      <c r="C101" s="4" t="s">
        <v>2796</v>
      </c>
      <c r="D101" s="5" t="s">
        <v>2797</v>
      </c>
      <c r="E101" s="5">
        <v>1866.9</v>
      </c>
      <c r="F101" s="6">
        <f>LOOKUP(D101,'AMFI DATA_2023H2'!F:J,'AMFI DATA_2023H2'!J:J)</f>
        <v>1823.0101</v>
      </c>
      <c r="G101" s="7">
        <f t="shared" si="0"/>
        <v>-3.4563769010385603E-2</v>
      </c>
      <c r="H101" s="8">
        <v>1760</v>
      </c>
      <c r="I101" s="8">
        <v>1812</v>
      </c>
      <c r="J101" s="8">
        <v>1810</v>
      </c>
      <c r="K101" s="8">
        <v>1819</v>
      </c>
      <c r="L101" s="8">
        <v>1802</v>
      </c>
      <c r="M101" s="8">
        <v>1752</v>
      </c>
      <c r="N101" s="8">
        <v>1757</v>
      </c>
      <c r="O101" s="8">
        <v>1760</v>
      </c>
      <c r="P101" s="8">
        <v>1755</v>
      </c>
      <c r="Q101" s="8">
        <v>1752</v>
      </c>
      <c r="R101" s="7">
        <f t="shared" si="1"/>
        <v>-2.4744843706570707E-2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4.4" hidden="1">
      <c r="A102" s="3">
        <f>LOOKUP(D102,'AMFI DATA_2023H2'!F:L,'AMFI DATA_2023H2'!L:L)</f>
        <v>503</v>
      </c>
      <c r="B102" s="4" t="s">
        <v>1494</v>
      </c>
      <c r="C102" s="4" t="s">
        <v>1495</v>
      </c>
      <c r="D102" s="5" t="s">
        <v>1496</v>
      </c>
      <c r="E102" s="5">
        <v>3427.72</v>
      </c>
      <c r="F102" s="6">
        <f>LOOKUP(D102,'AMFI DATA_2023H2'!F:J,'AMFI DATA_2023H2'!J:J)</f>
        <v>7257.7839000000004</v>
      </c>
      <c r="G102" s="7">
        <f t="shared" si="0"/>
        <v>0.54937101392616539</v>
      </c>
      <c r="H102" s="8">
        <v>11245</v>
      </c>
      <c r="I102" s="8">
        <v>11134</v>
      </c>
      <c r="J102" s="8">
        <v>10820</v>
      </c>
      <c r="K102" s="8">
        <v>10760</v>
      </c>
      <c r="L102" s="8">
        <v>10716</v>
      </c>
      <c r="M102" s="8">
        <v>10826</v>
      </c>
      <c r="N102" s="8">
        <v>10457</v>
      </c>
      <c r="O102" s="8">
        <v>10739</v>
      </c>
      <c r="P102" s="8">
        <v>10830</v>
      </c>
      <c r="Q102" s="8">
        <v>10773</v>
      </c>
      <c r="R102" s="7">
        <f t="shared" si="1"/>
        <v>0.49219102541755189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4.4" hidden="1">
      <c r="A103" s="3">
        <f>LOOKUP(D103,'AMFI DATA_2023H2'!F:L,'AMFI DATA_2023H2'!L:L)</f>
        <v>496</v>
      </c>
      <c r="B103" s="4" t="s">
        <v>1473</v>
      </c>
      <c r="C103" s="4" t="s">
        <v>1474</v>
      </c>
      <c r="D103" s="5" t="s">
        <v>1475</v>
      </c>
      <c r="E103" s="5">
        <v>4243.3100000000004</v>
      </c>
      <c r="F103" s="6">
        <f>LOOKUP(D103,'AMFI DATA_2023H2'!F:J,'AMFI DATA_2023H2'!J:J)</f>
        <v>7444.3107</v>
      </c>
      <c r="G103" s="7">
        <f t="shared" si="0"/>
        <v>0.38709954704066818</v>
      </c>
      <c r="H103" s="8">
        <v>10326</v>
      </c>
      <c r="I103" s="8">
        <v>10023</v>
      </c>
      <c r="J103" s="8">
        <v>10063</v>
      </c>
      <c r="K103" s="8">
        <v>9891</v>
      </c>
      <c r="L103" s="8">
        <v>9669</v>
      </c>
      <c r="M103" s="8">
        <v>9556</v>
      </c>
      <c r="N103" s="8">
        <v>9472</v>
      </c>
      <c r="O103" s="8">
        <v>9579</v>
      </c>
      <c r="P103" s="8">
        <v>9689</v>
      </c>
      <c r="Q103" s="8">
        <v>9825</v>
      </c>
      <c r="R103" s="7">
        <f t="shared" si="1"/>
        <v>0.31769083738001425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4.4" hidden="1">
      <c r="A104" s="3">
        <f>LOOKUP(D104,'AMFI DATA_2023H2'!F:L,'AMFI DATA_2023H2'!L:L)</f>
        <v>1254</v>
      </c>
      <c r="B104" s="4" t="s">
        <v>3467</v>
      </c>
      <c r="C104" s="4" t="s">
        <v>3468</v>
      </c>
      <c r="D104" s="5" t="s">
        <v>3469</v>
      </c>
      <c r="E104" s="5">
        <v>494.76</v>
      </c>
      <c r="F104" s="6">
        <f>LOOKUP(D104,'AMFI DATA_2023H2'!F:J,'AMFI DATA_2023H2'!J:J)</f>
        <v>910.4316</v>
      </c>
      <c r="G104" s="7">
        <f t="shared" si="0"/>
        <v>0.33672864606193365</v>
      </c>
      <c r="H104" s="8">
        <v>1217</v>
      </c>
      <c r="I104" s="8">
        <v>1220</v>
      </c>
      <c r="J104" s="8">
        <v>1129</v>
      </c>
      <c r="K104" s="8">
        <v>1032</v>
      </c>
      <c r="L104" s="8">
        <v>1050</v>
      </c>
      <c r="M104" s="8">
        <v>1004</v>
      </c>
      <c r="N104" s="8">
        <v>1024</v>
      </c>
      <c r="O104" s="8">
        <v>1008</v>
      </c>
      <c r="P104" s="8">
        <v>1022</v>
      </c>
      <c r="Q104" s="8">
        <v>1000</v>
      </c>
      <c r="R104" s="7">
        <f t="shared" si="1"/>
        <v>0.17592579167946276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4.4" hidden="1">
      <c r="A105" s="3">
        <f>LOOKUP(D105,'AMFI DATA_2023H2'!F:L,'AMFI DATA_2023H2'!L:L)</f>
        <v>922</v>
      </c>
      <c r="B105" s="4" t="s">
        <v>2663</v>
      </c>
      <c r="C105" s="4" t="s">
        <v>2664</v>
      </c>
      <c r="D105" s="5" t="s">
        <v>2665</v>
      </c>
      <c r="E105" s="5">
        <v>1726.49</v>
      </c>
      <c r="F105" s="6">
        <f>LOOKUP(D105,'AMFI DATA_2023H2'!F:J,'AMFI DATA_2023H2'!J:J)</f>
        <v>2084.0743499999999</v>
      </c>
      <c r="G105" s="7">
        <f t="shared" si="0"/>
        <v>0.13863500119369543</v>
      </c>
      <c r="H105" s="8">
        <v>2373</v>
      </c>
      <c r="I105" s="8">
        <v>2368</v>
      </c>
      <c r="J105" s="8">
        <v>2367</v>
      </c>
      <c r="K105" s="8">
        <v>2350</v>
      </c>
      <c r="L105" s="8">
        <v>2393</v>
      </c>
      <c r="M105" s="8">
        <v>2425</v>
      </c>
      <c r="N105" s="8">
        <v>2419</v>
      </c>
      <c r="O105" s="8">
        <v>2418</v>
      </c>
      <c r="P105" s="8">
        <v>2416</v>
      </c>
      <c r="Q105" s="8">
        <v>2350</v>
      </c>
      <c r="R105" s="7">
        <f t="shared" si="1"/>
        <v>0.14578445821762553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4.4" hidden="1">
      <c r="A106" s="3">
        <f>LOOKUP(D106,'AMFI DATA_2023H2'!F:L,'AMFI DATA_2023H2'!L:L)</f>
        <v>281</v>
      </c>
      <c r="B106" s="4" t="s">
        <v>852</v>
      </c>
      <c r="C106" s="4" t="s">
        <v>853</v>
      </c>
      <c r="D106" s="5" t="s">
        <v>854</v>
      </c>
      <c r="E106" s="5">
        <v>10521.55</v>
      </c>
      <c r="F106" s="6">
        <f>LOOKUP(D106,'AMFI DATA_2023H2'!F:J,'AMFI DATA_2023H2'!J:J)</f>
        <v>18685.420699999999</v>
      </c>
      <c r="G106" s="7">
        <f t="shared" si="0"/>
        <v>0.68275579687643861</v>
      </c>
      <c r="H106" s="8">
        <v>31443</v>
      </c>
      <c r="I106" s="8">
        <v>30071</v>
      </c>
      <c r="J106" s="8">
        <v>29210</v>
      </c>
      <c r="K106" s="8">
        <v>29684</v>
      </c>
      <c r="L106" s="8">
        <v>30091</v>
      </c>
      <c r="M106" s="8">
        <v>29294</v>
      </c>
      <c r="N106" s="8">
        <v>28700</v>
      </c>
      <c r="O106" s="8">
        <v>27880</v>
      </c>
      <c r="P106" s="8">
        <v>27627</v>
      </c>
      <c r="Q106" s="8">
        <v>27637</v>
      </c>
      <c r="R106" s="7">
        <f t="shared" si="1"/>
        <v>0.56077299346008314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4.4" hidden="1">
      <c r="A107" s="3">
        <f>LOOKUP(D107,'AMFI DATA_2023H2'!F:L,'AMFI DATA_2023H2'!L:L)</f>
        <v>2285</v>
      </c>
      <c r="B107" s="4" t="s">
        <v>5111</v>
      </c>
      <c r="C107" s="4" t="s">
        <v>5112</v>
      </c>
      <c r="D107" s="5" t="s">
        <v>5113</v>
      </c>
      <c r="E107" s="5">
        <v>94.18</v>
      </c>
      <c r="F107" s="6">
        <f>LOOKUP(D107,'AMFI DATA_2023H2'!F:J,'AMFI DATA_2023H2'!J:J)</f>
        <v>114.73580000000001</v>
      </c>
      <c r="G107" s="7">
        <f t="shared" si="0"/>
        <v>0.22891024423065853</v>
      </c>
      <c r="H107" s="9">
        <v>141</v>
      </c>
      <c r="I107" s="9">
        <v>143</v>
      </c>
      <c r="J107" s="9">
        <v>143</v>
      </c>
      <c r="K107" s="9">
        <v>144</v>
      </c>
      <c r="L107" s="9">
        <v>141</v>
      </c>
      <c r="M107" s="9">
        <v>137</v>
      </c>
      <c r="N107" s="9">
        <v>134</v>
      </c>
      <c r="O107" s="9">
        <v>132</v>
      </c>
      <c r="P107" s="9">
        <v>131</v>
      </c>
      <c r="Q107" s="9">
        <v>132</v>
      </c>
      <c r="R107" s="7">
        <f t="shared" si="1"/>
        <v>0.20102008265946636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4.4" hidden="1">
      <c r="A108" s="3">
        <f>LOOKUP(D108,'AMFI DATA_2023H2'!F:L,'AMFI DATA_2023H2'!L:L)</f>
        <v>1442</v>
      </c>
      <c r="B108" s="4" t="s">
        <v>3848</v>
      </c>
      <c r="C108" s="4" t="s">
        <v>3849</v>
      </c>
      <c r="D108" s="5" t="s">
        <v>3850</v>
      </c>
      <c r="E108" s="5">
        <v>545.16</v>
      </c>
      <c r="F108" s="6">
        <f>LOOKUP(D108,'AMFI DATA_2023H2'!F:J,'AMFI DATA_2023H2'!J:J)</f>
        <v>579.98115000000007</v>
      </c>
      <c r="G108" s="7">
        <f t="shared" si="0"/>
        <v>8.451800545586674E-2</v>
      </c>
      <c r="H108" s="9">
        <v>629</v>
      </c>
      <c r="I108" s="9">
        <v>650</v>
      </c>
      <c r="J108" s="9">
        <v>629</v>
      </c>
      <c r="K108" s="9">
        <v>621</v>
      </c>
      <c r="L108" s="9">
        <v>623</v>
      </c>
      <c r="M108" s="9">
        <v>624</v>
      </c>
      <c r="N108" s="9">
        <v>620</v>
      </c>
      <c r="O108" s="9">
        <v>628</v>
      </c>
      <c r="P108" s="9">
        <v>631</v>
      </c>
      <c r="Q108" s="9">
        <v>622</v>
      </c>
      <c r="R108" s="7">
        <f t="shared" si="1"/>
        <v>8.2276553298326949E-2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4.4" hidden="1">
      <c r="A109" s="3">
        <f>LOOKUP(D109,'AMFI DATA_2023H2'!F:L,'AMFI DATA_2023H2'!L:L)</f>
        <v>2749</v>
      </c>
      <c r="B109" s="4" t="s">
        <v>5446</v>
      </c>
      <c r="C109" s="4" t="s">
        <v>5447</v>
      </c>
      <c r="D109" s="5" t="s">
        <v>5448</v>
      </c>
      <c r="E109" s="5">
        <v>63.53</v>
      </c>
      <c r="F109" s="6">
        <f>LOOKUP(D109,'AMFI DATA_2023H2'!F:J,'AMFI DATA_2023H2'!J:J)</f>
        <v>55.259749999999997</v>
      </c>
      <c r="G109" s="7">
        <f t="shared" si="0"/>
        <v>0.31560493849501681</v>
      </c>
      <c r="H109" s="9">
        <v>72.7</v>
      </c>
      <c r="I109" s="9">
        <v>69.8</v>
      </c>
      <c r="J109" s="9">
        <v>67</v>
      </c>
      <c r="K109" s="9">
        <v>66.3</v>
      </c>
      <c r="L109" s="9">
        <v>67.900000000000006</v>
      </c>
      <c r="M109" s="9">
        <v>71.400000000000006</v>
      </c>
      <c r="N109" s="9">
        <v>72</v>
      </c>
      <c r="O109" s="9">
        <v>69.099999999999994</v>
      </c>
      <c r="P109" s="9">
        <v>63.4</v>
      </c>
      <c r="Q109" s="9">
        <v>63.5</v>
      </c>
      <c r="R109" s="7">
        <f t="shared" si="1"/>
        <v>0.23616194427227777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4.4" hidden="1">
      <c r="A110" s="3">
        <f>LOOKUP(D110,'AMFI DATA_2023H2'!F:L,'AMFI DATA_2023H2'!L:L)</f>
        <v>1764</v>
      </c>
      <c r="B110" s="4" t="s">
        <v>4424</v>
      </c>
      <c r="C110" s="4" t="s">
        <v>4425</v>
      </c>
      <c r="D110" s="5" t="s">
        <v>4426</v>
      </c>
      <c r="E110" s="5">
        <v>220.16</v>
      </c>
      <c r="F110" s="6">
        <f>LOOKUP(D110,'AMFI DATA_2023H2'!F:J,'AMFI DATA_2023H2'!J:J)</f>
        <v>291.59059999999999</v>
      </c>
      <c r="G110" s="7">
        <f t="shared" si="0"/>
        <v>0.18659517830821715</v>
      </c>
      <c r="H110" s="9">
        <v>346</v>
      </c>
      <c r="I110" s="9">
        <v>344</v>
      </c>
      <c r="J110" s="9">
        <v>348</v>
      </c>
      <c r="K110" s="9">
        <v>354</v>
      </c>
      <c r="L110" s="9">
        <v>364</v>
      </c>
      <c r="M110" s="9">
        <v>372</v>
      </c>
      <c r="N110" s="9">
        <v>372</v>
      </c>
      <c r="O110" s="9">
        <v>360</v>
      </c>
      <c r="P110" s="9">
        <v>355</v>
      </c>
      <c r="Q110" s="9">
        <v>349</v>
      </c>
      <c r="R110" s="7">
        <f t="shared" si="1"/>
        <v>0.22226162297412877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4.4" hidden="1">
      <c r="A111" s="3">
        <f>LOOKUP(D111,'AMFI DATA_2023H2'!F:L,'AMFI DATA_2023H2'!L:L)</f>
        <v>3684</v>
      </c>
      <c r="B111" s="4" t="s">
        <v>5716</v>
      </c>
      <c r="C111" s="4" t="s">
        <v>5717</v>
      </c>
      <c r="D111" s="5" t="s">
        <v>5718</v>
      </c>
      <c r="E111" s="5">
        <v>10.81</v>
      </c>
      <c r="F111" s="6">
        <f>LOOKUP(D111,'AMFI DATA_2023H2'!F:J,'AMFI DATA_2023H2'!J:J)</f>
        <v>13.488300000000001</v>
      </c>
      <c r="G111" s="7">
        <f t="shared" si="0"/>
        <v>0.95725184048397471</v>
      </c>
      <c r="H111" s="9">
        <v>26.4</v>
      </c>
      <c r="I111" s="9">
        <v>25.6</v>
      </c>
      <c r="J111" s="9">
        <v>24.8</v>
      </c>
      <c r="K111" s="9">
        <v>24</v>
      </c>
      <c r="L111" s="9">
        <v>23.3</v>
      </c>
      <c r="M111" s="9">
        <v>22.5</v>
      </c>
      <c r="N111" s="9">
        <v>23.3</v>
      </c>
      <c r="O111" s="9">
        <v>22.5</v>
      </c>
      <c r="P111" s="9">
        <v>21.7</v>
      </c>
      <c r="Q111" s="9">
        <v>20.9</v>
      </c>
      <c r="R111" s="7">
        <f t="shared" si="1"/>
        <v>0.74225069133990185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4.4" hidden="1">
      <c r="A112" s="3">
        <f>LOOKUP(D112,'AMFI DATA_2023H2'!F:L,'AMFI DATA_2023H2'!L:L)</f>
        <v>1182</v>
      </c>
      <c r="B112" s="4" t="s">
        <v>3302</v>
      </c>
      <c r="C112" s="4" t="s">
        <v>3303</v>
      </c>
      <c r="D112" s="5" t="s">
        <v>3304</v>
      </c>
      <c r="E112" s="5">
        <v>767.36</v>
      </c>
      <c r="F112" s="6">
        <f>LOOKUP(D112,'AMFI DATA_2023H2'!F:J,'AMFI DATA_2023H2'!J:J)</f>
        <v>1081.82665</v>
      </c>
      <c r="G112" s="7">
        <f t="shared" si="0"/>
        <v>0.29872932969436472</v>
      </c>
      <c r="H112" s="8">
        <v>1405</v>
      </c>
      <c r="I112" s="8">
        <v>1362</v>
      </c>
      <c r="J112" s="8">
        <v>1367</v>
      </c>
      <c r="K112" s="8">
        <v>1397</v>
      </c>
      <c r="L112" s="8">
        <v>1410</v>
      </c>
      <c r="M112" s="8">
        <v>1383</v>
      </c>
      <c r="N112" s="8">
        <v>1388</v>
      </c>
      <c r="O112" s="8">
        <v>1405</v>
      </c>
      <c r="P112" s="8">
        <v>1418</v>
      </c>
      <c r="Q112" s="8">
        <v>1383</v>
      </c>
      <c r="R112" s="7">
        <f t="shared" si="1"/>
        <v>0.28652774453282315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4.4" hidden="1">
      <c r="A113" s="3">
        <f>LOOKUP(D113,'AMFI DATA_2023H2'!F:L,'AMFI DATA_2023H2'!L:L)</f>
        <v>397</v>
      </c>
      <c r="B113" s="4" t="s">
        <v>1197</v>
      </c>
      <c r="C113" s="4" t="s">
        <v>1198</v>
      </c>
      <c r="D113" s="5" t="s">
        <v>1199</v>
      </c>
      <c r="E113" s="5">
        <v>9506.11</v>
      </c>
      <c r="F113" s="6">
        <f>LOOKUP(D113,'AMFI DATA_2023H2'!F:J,'AMFI DATA_2023H2'!J:J)</f>
        <v>10283.0046</v>
      </c>
      <c r="G113" s="7">
        <f t="shared" si="0"/>
        <v>0.1187391669551523</v>
      </c>
      <c r="H113" s="8">
        <v>11504</v>
      </c>
      <c r="I113" s="8">
        <v>11497</v>
      </c>
      <c r="J113" s="8">
        <v>11741</v>
      </c>
      <c r="K113" s="8">
        <v>11829</v>
      </c>
      <c r="L113" s="8">
        <v>11566</v>
      </c>
      <c r="M113" s="8">
        <v>11315</v>
      </c>
      <c r="N113" s="8">
        <v>10997</v>
      </c>
      <c r="O113" s="8">
        <v>10875</v>
      </c>
      <c r="P113" s="8">
        <v>10732</v>
      </c>
      <c r="Q113" s="8">
        <v>10853</v>
      </c>
      <c r="R113" s="7">
        <f t="shared" si="1"/>
        <v>9.8015651962267913E-2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4.4" hidden="1">
      <c r="A114" s="3">
        <f>LOOKUP(D114,'AMFI DATA_2023H2'!F:L,'AMFI DATA_2023H2'!L:L)</f>
        <v>280</v>
      </c>
      <c r="B114" s="4" t="s">
        <v>849</v>
      </c>
      <c r="C114" s="4" t="s">
        <v>850</v>
      </c>
      <c r="D114" s="5" t="s">
        <v>851</v>
      </c>
      <c r="E114" s="5">
        <v>9421.4699999999993</v>
      </c>
      <c r="F114" s="6">
        <f>LOOKUP(D114,'AMFI DATA_2023H2'!F:J,'AMFI DATA_2023H2'!J:J)</f>
        <v>18778.194949999997</v>
      </c>
      <c r="G114" s="7">
        <f t="shared" si="0"/>
        <v>0.24372976541070601</v>
      </c>
      <c r="H114" s="8">
        <v>23355</v>
      </c>
      <c r="I114" s="8">
        <v>23636</v>
      </c>
      <c r="J114" s="8">
        <v>23537</v>
      </c>
      <c r="K114" s="8">
        <v>24175</v>
      </c>
      <c r="L114" s="8">
        <v>24335</v>
      </c>
      <c r="M114" s="8">
        <v>24264</v>
      </c>
      <c r="N114" s="8">
        <v>24119</v>
      </c>
      <c r="O114" s="8">
        <v>23261</v>
      </c>
      <c r="P114" s="8">
        <v>22587</v>
      </c>
      <c r="Q114" s="8">
        <v>22726</v>
      </c>
      <c r="R114" s="7">
        <f t="shared" si="1"/>
        <v>0.25675018620466528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4.4" hidden="1">
      <c r="A115" s="3">
        <f>LOOKUP(D115,'AMFI DATA_2023H2'!F:L,'AMFI DATA_2023H2'!L:L)</f>
        <v>825</v>
      </c>
      <c r="B115" s="4" t="s">
        <v>2396</v>
      </c>
      <c r="C115" s="4" t="s">
        <v>2397</v>
      </c>
      <c r="D115" s="5" t="s">
        <v>2398</v>
      </c>
      <c r="E115" s="5">
        <v>2471.04</v>
      </c>
      <c r="F115" s="6">
        <f>LOOKUP(D115,'AMFI DATA_2023H2'!F:J,'AMFI DATA_2023H2'!J:J)</f>
        <v>2679.7732500000002</v>
      </c>
      <c r="G115" s="7">
        <f t="shared" si="0"/>
        <v>-2.603699771986312E-2</v>
      </c>
      <c r="H115" s="8">
        <v>2610</v>
      </c>
      <c r="I115" s="8">
        <v>2606</v>
      </c>
      <c r="J115" s="8">
        <v>2633</v>
      </c>
      <c r="K115" s="8">
        <v>2608</v>
      </c>
      <c r="L115" s="8">
        <v>2617</v>
      </c>
      <c r="M115" s="8">
        <v>2656</v>
      </c>
      <c r="N115" s="8">
        <v>2645</v>
      </c>
      <c r="O115" s="8">
        <v>2701</v>
      </c>
      <c r="P115" s="8">
        <v>2628</v>
      </c>
      <c r="Q115" s="8">
        <v>2590</v>
      </c>
      <c r="R115" s="7">
        <f t="shared" si="1"/>
        <v>-1.8797579235481976E-2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4.4" hidden="1">
      <c r="A116" s="3">
        <f>LOOKUP(D116,'AMFI DATA_2023H2'!F:L,'AMFI DATA_2023H2'!L:L)</f>
        <v>1369</v>
      </c>
      <c r="B116" s="4" t="s">
        <v>3698</v>
      </c>
      <c r="C116" s="4" t="s">
        <v>3699</v>
      </c>
      <c r="D116" s="5" t="s">
        <v>3700</v>
      </c>
      <c r="E116" s="5">
        <v>668.55</v>
      </c>
      <c r="F116" s="6">
        <f>LOOKUP(D116,'AMFI DATA_2023H2'!F:J,'AMFI DATA_2023H2'!J:J)</f>
        <v>687.26424999999995</v>
      </c>
      <c r="G116" s="7">
        <f t="shared" si="0"/>
        <v>6.5092502629083393E-2</v>
      </c>
      <c r="H116" s="9">
        <v>732</v>
      </c>
      <c r="I116" s="9">
        <v>746</v>
      </c>
      <c r="J116" s="9">
        <v>729</v>
      </c>
      <c r="K116" s="9">
        <v>695</v>
      </c>
      <c r="L116" s="9">
        <v>700</v>
      </c>
      <c r="M116" s="9">
        <v>699</v>
      </c>
      <c r="N116" s="9">
        <v>686</v>
      </c>
      <c r="O116" s="9">
        <v>684</v>
      </c>
      <c r="P116" s="9">
        <v>684</v>
      </c>
      <c r="Q116" s="9">
        <v>676</v>
      </c>
      <c r="R116" s="7">
        <f t="shared" si="1"/>
        <v>2.304171939686972E-2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4.4" hidden="1">
      <c r="A117" s="3">
        <f>LOOKUP(D117,'AMFI DATA_2023H2'!F:L,'AMFI DATA_2023H2'!L:L)</f>
        <v>152</v>
      </c>
      <c r="B117" s="4" t="s">
        <v>465</v>
      </c>
      <c r="C117" s="4" t="s">
        <v>466</v>
      </c>
      <c r="D117" s="5" t="s">
        <v>467</v>
      </c>
      <c r="E117" s="5">
        <v>33286.589999999997</v>
      </c>
      <c r="F117" s="6">
        <f>LOOKUP(D117,'AMFI DATA_2023H2'!F:J,'AMFI DATA_2023H2'!J:J)</f>
        <v>43949.262600000002</v>
      </c>
      <c r="G117" s="7">
        <f t="shared" si="0"/>
        <v>-4.3260398184701288E-2</v>
      </c>
      <c r="H117" s="8">
        <v>42048</v>
      </c>
      <c r="I117" s="8">
        <v>40265</v>
      </c>
      <c r="J117" s="8">
        <v>40789</v>
      </c>
      <c r="K117" s="8">
        <v>41865</v>
      </c>
      <c r="L117" s="8">
        <v>42338</v>
      </c>
      <c r="M117" s="8">
        <v>42669</v>
      </c>
      <c r="N117" s="8">
        <v>42850</v>
      </c>
      <c r="O117" s="8">
        <v>43899</v>
      </c>
      <c r="P117" s="8">
        <v>44084</v>
      </c>
      <c r="Q117" s="8">
        <v>44073</v>
      </c>
      <c r="R117" s="7">
        <f t="shared" si="1"/>
        <v>-3.3248853645157728E-2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4.4" hidden="1">
      <c r="A118" s="3">
        <f>LOOKUP(D118,'AMFI DATA_2023H2'!F:L,'AMFI DATA_2023H2'!L:L)</f>
        <v>87</v>
      </c>
      <c r="B118" s="4" t="s">
        <v>273</v>
      </c>
      <c r="C118" s="4" t="s">
        <v>274</v>
      </c>
      <c r="D118" s="5" t="s">
        <v>275</v>
      </c>
      <c r="E118" s="5">
        <v>64907.67</v>
      </c>
      <c r="F118" s="6">
        <f>LOOKUP(D118,'AMFI DATA_2023H2'!F:J,'AMFI DATA_2023H2'!J:J)</f>
        <v>74148.219899999996</v>
      </c>
      <c r="G118" s="7">
        <f t="shared" si="0"/>
        <v>0.11583258656220297</v>
      </c>
      <c r="H118" s="8">
        <v>82737</v>
      </c>
      <c r="I118" s="8">
        <v>82852</v>
      </c>
      <c r="J118" s="8">
        <v>82939</v>
      </c>
      <c r="K118" s="8">
        <v>82624</v>
      </c>
      <c r="L118" s="8">
        <v>82677</v>
      </c>
      <c r="M118" s="8">
        <v>81974</v>
      </c>
      <c r="N118" s="8">
        <v>82659</v>
      </c>
      <c r="O118" s="8">
        <v>81710</v>
      </c>
      <c r="P118" s="8">
        <v>81022</v>
      </c>
      <c r="Q118" s="8">
        <v>79677</v>
      </c>
      <c r="R118" s="7">
        <f t="shared" si="1"/>
        <v>0.10706770992893389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4.4" hidden="1">
      <c r="A119" s="3">
        <f>LOOKUP(D119,'AMFI DATA_2023H2'!F:L,'AMFI DATA_2023H2'!L:L)</f>
        <v>963</v>
      </c>
      <c r="B119" s="4" t="s">
        <v>2765</v>
      </c>
      <c r="C119" s="4" t="s">
        <v>2766</v>
      </c>
      <c r="D119" s="5" t="s">
        <v>2767</v>
      </c>
      <c r="E119" s="5">
        <v>697.43</v>
      </c>
      <c r="F119" s="6">
        <f>LOOKUP(D119,'AMFI DATA_2023H2'!F:J,'AMFI DATA_2023H2'!J:J)</f>
        <v>1890.0088000000001</v>
      </c>
      <c r="G119" s="7">
        <f t="shared" si="0"/>
        <v>0.76560024482425693</v>
      </c>
      <c r="H119" s="8">
        <v>3337</v>
      </c>
      <c r="I119" s="8">
        <v>3404</v>
      </c>
      <c r="J119" s="8">
        <v>3468</v>
      </c>
      <c r="K119" s="8">
        <v>3306</v>
      </c>
      <c r="L119" s="8">
        <v>3149</v>
      </c>
      <c r="M119" s="8">
        <v>3000</v>
      </c>
      <c r="N119" s="8">
        <v>2858</v>
      </c>
      <c r="O119" s="8">
        <v>2958</v>
      </c>
      <c r="P119" s="8">
        <v>2987</v>
      </c>
      <c r="Q119" s="8">
        <v>3013</v>
      </c>
      <c r="R119" s="7">
        <f t="shared" si="1"/>
        <v>0.66560071043055458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4.4" hidden="1">
      <c r="A120" s="3">
        <f>LOOKUP(D120,'AMFI DATA_2023H2'!F:L,'AMFI DATA_2023H2'!L:L)</f>
        <v>820</v>
      </c>
      <c r="B120" s="4" t="s">
        <v>2381</v>
      </c>
      <c r="C120" s="4" t="s">
        <v>2382</v>
      </c>
      <c r="D120" s="5" t="s">
        <v>2383</v>
      </c>
      <c r="E120" s="5">
        <v>2270.2199999999998</v>
      </c>
      <c r="F120" s="6">
        <f>LOOKUP(D120,'AMFI DATA_2023H2'!F:J,'AMFI DATA_2023H2'!J:J)</f>
        <v>2734.2871</v>
      </c>
      <c r="G120" s="7">
        <f t="shared" si="0"/>
        <v>-1.9122754154090149E-2</v>
      </c>
      <c r="H120" s="8">
        <v>2682</v>
      </c>
      <c r="I120" s="8">
        <v>2680</v>
      </c>
      <c r="J120" s="8">
        <v>2673</v>
      </c>
      <c r="K120" s="8">
        <v>2664</v>
      </c>
      <c r="L120" s="8">
        <v>2685</v>
      </c>
      <c r="M120" s="8">
        <v>2694</v>
      </c>
      <c r="N120" s="8">
        <v>2703</v>
      </c>
      <c r="O120" s="8">
        <v>2700</v>
      </c>
      <c r="P120" s="8">
        <v>2687</v>
      </c>
      <c r="Q120" s="8">
        <v>2666</v>
      </c>
      <c r="R120" s="7">
        <f t="shared" si="1"/>
        <v>-1.8610737694662705E-2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4.4" hidden="1">
      <c r="A121" s="3">
        <f>LOOKUP(D121,'AMFI DATA_2023H2'!F:L,'AMFI DATA_2023H2'!L:L)</f>
        <v>1611</v>
      </c>
      <c r="B121" s="4" t="s">
        <v>4169</v>
      </c>
      <c r="C121" s="4" t="s">
        <v>4170</v>
      </c>
      <c r="D121" s="5" t="s">
        <v>4171</v>
      </c>
      <c r="E121" s="5">
        <v>326.60000000000002</v>
      </c>
      <c r="F121" s="6">
        <f>LOOKUP(D121,'AMFI DATA_2023H2'!F:J,'AMFI DATA_2023H2'!J:J)</f>
        <v>404.58260000000001</v>
      </c>
      <c r="G121" s="7">
        <f t="shared" si="0"/>
        <v>-2.6156834228659442E-2</v>
      </c>
      <c r="H121" s="9">
        <v>394</v>
      </c>
      <c r="I121" s="9">
        <v>395</v>
      </c>
      <c r="J121" s="9">
        <v>397</v>
      </c>
      <c r="K121" s="9">
        <v>402</v>
      </c>
      <c r="L121" s="9">
        <v>390</v>
      </c>
      <c r="M121" s="9">
        <v>393</v>
      </c>
      <c r="N121" s="9">
        <v>401</v>
      </c>
      <c r="O121" s="9">
        <v>403</v>
      </c>
      <c r="P121" s="9">
        <v>402</v>
      </c>
      <c r="Q121" s="9">
        <v>404</v>
      </c>
      <c r="R121" s="7">
        <f t="shared" si="1"/>
        <v>-1.6022933265048889E-2</v>
      </c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4.4" hidden="1">
      <c r="A122" s="3">
        <f>LOOKUP(D122,'AMFI DATA_2023H2'!F:L,'AMFI DATA_2023H2'!L:L)</f>
        <v>223</v>
      </c>
      <c r="B122" s="4" t="s">
        <v>678</v>
      </c>
      <c r="C122" s="4" t="s">
        <v>679</v>
      </c>
      <c r="D122" s="5" t="s">
        <v>680</v>
      </c>
      <c r="E122" s="5">
        <v>21953.16</v>
      </c>
      <c r="F122" s="6">
        <f>LOOKUP(D122,'AMFI DATA_2023H2'!F:J,'AMFI DATA_2023H2'!J:J)</f>
        <v>25861.325349999999</v>
      </c>
      <c r="G122" s="7">
        <f t="shared" si="0"/>
        <v>0.13087784961492699</v>
      </c>
      <c r="H122" s="8">
        <v>29246</v>
      </c>
      <c r="I122" s="8">
        <v>28510</v>
      </c>
      <c r="J122" s="8">
        <v>29043</v>
      </c>
      <c r="K122" s="8">
        <v>29024</v>
      </c>
      <c r="L122" s="8">
        <v>28742</v>
      </c>
      <c r="M122" s="8">
        <v>28802</v>
      </c>
      <c r="N122" s="8">
        <v>27897</v>
      </c>
      <c r="O122" s="8">
        <v>27671</v>
      </c>
      <c r="P122" s="8">
        <v>27335</v>
      </c>
      <c r="Q122" s="8">
        <v>27154</v>
      </c>
      <c r="R122" s="7">
        <f t="shared" si="1"/>
        <v>9.5937644974564362E-2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4.4" hidden="1">
      <c r="A123" s="3">
        <f>LOOKUP(D123,'AMFI DATA_2023H2'!F:L,'AMFI DATA_2023H2'!L:L)</f>
        <v>1003</v>
      </c>
      <c r="B123" s="4" t="s">
        <v>2870</v>
      </c>
      <c r="C123" s="4" t="s">
        <v>2871</v>
      </c>
      <c r="D123" s="5" t="s">
        <v>2872</v>
      </c>
      <c r="E123" s="5">
        <v>1688.81</v>
      </c>
      <c r="F123" s="6">
        <f>LOOKUP(D123,'AMFI DATA_2023H2'!F:J,'AMFI DATA_2023H2'!J:J)</f>
        <v>1705.7020499999999</v>
      </c>
      <c r="G123" s="7">
        <f t="shared" si="0"/>
        <v>-4.7313099025706129E-2</v>
      </c>
      <c r="H123" s="8">
        <v>1625</v>
      </c>
      <c r="I123" s="8">
        <v>1643</v>
      </c>
      <c r="J123" s="8">
        <v>1635</v>
      </c>
      <c r="K123" s="8">
        <v>1622</v>
      </c>
      <c r="L123" s="8">
        <v>1559</v>
      </c>
      <c r="M123" s="8">
        <v>1508</v>
      </c>
      <c r="N123" s="8">
        <v>1516</v>
      </c>
      <c r="O123" s="8">
        <v>1536</v>
      </c>
      <c r="P123" s="8">
        <v>1542</v>
      </c>
      <c r="Q123" s="8">
        <v>1559</v>
      </c>
      <c r="R123" s="7">
        <f t="shared" si="1"/>
        <v>-7.6919676563676487E-2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4.4" hidden="1">
      <c r="A124" s="3">
        <f>LOOKUP(D124,'AMFI DATA_2023H2'!F:L,'AMFI DATA_2023H2'!L:L)</f>
        <v>327</v>
      </c>
      <c r="B124" s="4" t="s">
        <v>990</v>
      </c>
      <c r="C124" s="4" t="s">
        <v>991</v>
      </c>
      <c r="D124" s="5" t="s">
        <v>992</v>
      </c>
      <c r="E124" s="5">
        <v>13099.18</v>
      </c>
      <c r="F124" s="6">
        <f>LOOKUP(D124,'AMFI DATA_2023H2'!F:J,'AMFI DATA_2023H2'!J:J)</f>
        <v>14208.420249999999</v>
      </c>
      <c r="G124" s="7">
        <f t="shared" si="0"/>
        <v>0.16388730830227249</v>
      </c>
      <c r="H124" s="8">
        <v>16537</v>
      </c>
      <c r="I124" s="8">
        <v>16462</v>
      </c>
      <c r="J124" s="8">
        <v>16053</v>
      </c>
      <c r="K124" s="8">
        <v>16410</v>
      </c>
      <c r="L124" s="8">
        <v>16470</v>
      </c>
      <c r="M124" s="8">
        <v>15951</v>
      </c>
      <c r="N124" s="8">
        <v>15968</v>
      </c>
      <c r="O124" s="8">
        <v>16265</v>
      </c>
      <c r="P124" s="8">
        <v>16535</v>
      </c>
      <c r="Q124" s="8">
        <v>16427</v>
      </c>
      <c r="R124" s="7">
        <f t="shared" si="1"/>
        <v>0.14775602868306215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4.4" hidden="1">
      <c r="A125" s="3">
        <f>LOOKUP(D125,'AMFI DATA_2023H2'!F:L,'AMFI DATA_2023H2'!L:L)</f>
        <v>513</v>
      </c>
      <c r="B125" s="4" t="s">
        <v>1524</v>
      </c>
      <c r="C125" s="4" t="s">
        <v>1525</v>
      </c>
      <c r="D125" s="5" t="s">
        <v>1526</v>
      </c>
      <c r="E125" s="5">
        <v>7263.66</v>
      </c>
      <c r="F125" s="6">
        <f>LOOKUP(D125,'AMFI DATA_2023H2'!F:J,'AMFI DATA_2023H2'!J:J)</f>
        <v>7142.9126500000002</v>
      </c>
      <c r="G125" s="7">
        <f t="shared" si="0"/>
        <v>0.10123144233046166</v>
      </c>
      <c r="H125" s="8">
        <v>7866</v>
      </c>
      <c r="I125" s="8">
        <v>8004</v>
      </c>
      <c r="J125" s="8">
        <v>7982</v>
      </c>
      <c r="K125" s="8">
        <v>7947</v>
      </c>
      <c r="L125" s="8">
        <v>7984</v>
      </c>
      <c r="M125" s="8">
        <v>8050</v>
      </c>
      <c r="N125" s="8">
        <v>8018</v>
      </c>
      <c r="O125" s="8">
        <v>8010</v>
      </c>
      <c r="P125" s="8">
        <v>7948</v>
      </c>
      <c r="Q125" s="8">
        <v>8005</v>
      </c>
      <c r="R125" s="7">
        <f t="shared" si="1"/>
        <v>0.11738731678316117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4.4" hidden="1">
      <c r="A126" s="3">
        <f>LOOKUP(D126,'AMFI DATA_2023H2'!F:L,'AMFI DATA_2023H2'!L:L)</f>
        <v>2889</v>
      </c>
      <c r="B126" s="4" t="s">
        <v>5497</v>
      </c>
      <c r="C126" s="4" t="s">
        <v>5498</v>
      </c>
      <c r="D126" s="5" t="s">
        <v>5499</v>
      </c>
      <c r="E126" s="5">
        <v>36.6</v>
      </c>
      <c r="F126" s="6">
        <f>LOOKUP(D126,'AMFI DATA_2023H2'!F:J,'AMFI DATA_2023H2'!J:J)</f>
        <v>45.096499999999999</v>
      </c>
      <c r="G126" s="7">
        <f t="shared" si="0"/>
        <v>0.17525750335391876</v>
      </c>
      <c r="H126" s="9">
        <v>53</v>
      </c>
      <c r="I126" s="9">
        <v>51.7</v>
      </c>
      <c r="J126" s="9">
        <v>51.2</v>
      </c>
      <c r="K126" s="9">
        <v>51</v>
      </c>
      <c r="L126" s="9">
        <v>51.1</v>
      </c>
      <c r="M126" s="9">
        <v>51.3</v>
      </c>
      <c r="N126" s="9">
        <v>52.5</v>
      </c>
      <c r="O126" s="9">
        <v>50.5</v>
      </c>
      <c r="P126" s="9">
        <v>54.9</v>
      </c>
      <c r="Q126" s="9">
        <v>51.4</v>
      </c>
      <c r="R126" s="7">
        <f t="shared" si="1"/>
        <v>0.14997837969687233</v>
      </c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4.4" hidden="1">
      <c r="A127" s="3">
        <f>LOOKUP(D127,'AMFI DATA_2023H2'!F:L,'AMFI DATA_2023H2'!L:L)</f>
        <v>2125</v>
      </c>
      <c r="B127" s="4" t="s">
        <v>4919</v>
      </c>
      <c r="C127" s="4" t="s">
        <v>4920</v>
      </c>
      <c r="D127" s="5" t="s">
        <v>4921</v>
      </c>
      <c r="E127" s="5">
        <v>130.49</v>
      </c>
      <c r="F127" s="6">
        <f>LOOKUP(D127,'AMFI DATA_2023H2'!F:J,'AMFI DATA_2023H2'!J:J)</f>
        <v>152.5232</v>
      </c>
      <c r="G127" s="7">
        <f t="shared" si="0"/>
        <v>0.2653812665876405</v>
      </c>
      <c r="H127" s="9">
        <v>193</v>
      </c>
      <c r="I127" s="9">
        <v>198</v>
      </c>
      <c r="J127" s="9">
        <v>191</v>
      </c>
      <c r="K127" s="9">
        <v>201</v>
      </c>
      <c r="L127" s="9">
        <v>203</v>
      </c>
      <c r="M127" s="9">
        <v>194</v>
      </c>
      <c r="N127" s="9">
        <v>188</v>
      </c>
      <c r="O127" s="9">
        <v>180</v>
      </c>
      <c r="P127" s="9">
        <v>183</v>
      </c>
      <c r="Q127" s="9">
        <v>185</v>
      </c>
      <c r="R127" s="7">
        <f t="shared" si="1"/>
        <v>0.25620233512016521</v>
      </c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4.4" hidden="1">
      <c r="A128" s="3">
        <f>LOOKUP(D128,'AMFI DATA_2023H2'!F:L,'AMFI DATA_2023H2'!L:L)</f>
        <v>2457</v>
      </c>
      <c r="B128" s="4" t="s">
        <v>5263</v>
      </c>
      <c r="C128" s="4" t="s">
        <v>5264</v>
      </c>
      <c r="D128" s="5" t="s">
        <v>5265</v>
      </c>
      <c r="E128" s="5">
        <v>73.06</v>
      </c>
      <c r="F128" s="6">
        <f>LOOKUP(D128,'AMFI DATA_2023H2'!F:J,'AMFI DATA_2023H2'!J:J)</f>
        <v>88.628150000000005</v>
      </c>
      <c r="G128" s="7">
        <f t="shared" si="0"/>
        <v>7.4150820027271136E-2</v>
      </c>
      <c r="H128" s="9">
        <v>95.2</v>
      </c>
      <c r="I128" s="9">
        <v>92.9</v>
      </c>
      <c r="J128" s="9">
        <v>97.5</v>
      </c>
      <c r="K128" s="9">
        <v>99.5</v>
      </c>
      <c r="L128" s="9">
        <v>98.3</v>
      </c>
      <c r="M128" s="9">
        <v>96.6</v>
      </c>
      <c r="N128" s="9">
        <v>98.2</v>
      </c>
      <c r="O128" s="9">
        <v>100</v>
      </c>
      <c r="P128" s="9">
        <v>102</v>
      </c>
      <c r="Q128" s="9">
        <v>98.1</v>
      </c>
      <c r="R128" s="7">
        <f t="shared" si="1"/>
        <v>0.10382536474020965</v>
      </c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4.4" hidden="1">
      <c r="A129" s="3">
        <f>LOOKUP(D129,'AMFI DATA_2023H2'!F:L,'AMFI DATA_2023H2'!L:L)</f>
        <v>1872</v>
      </c>
      <c r="B129" s="4" t="s">
        <v>4556</v>
      </c>
      <c r="C129" s="4" t="s">
        <v>4557</v>
      </c>
      <c r="D129" s="5" t="s">
        <v>4558</v>
      </c>
      <c r="E129" s="5">
        <v>225.12</v>
      </c>
      <c r="F129" s="6">
        <f>LOOKUP(D129,'AMFI DATA_2023H2'!F:J,'AMFI DATA_2023H2'!J:J)</f>
        <v>236.51265000000001</v>
      </c>
      <c r="G129" s="7">
        <f t="shared" si="0"/>
        <v>0.14158798694277031</v>
      </c>
      <c r="H129" s="9">
        <v>270</v>
      </c>
      <c r="I129" s="9">
        <v>274</v>
      </c>
      <c r="J129" s="9">
        <v>274</v>
      </c>
      <c r="K129" s="9">
        <v>279</v>
      </c>
      <c r="L129" s="9">
        <v>276</v>
      </c>
      <c r="M129" s="9">
        <v>266</v>
      </c>
      <c r="N129" s="9">
        <v>271</v>
      </c>
      <c r="O129" s="9">
        <v>274</v>
      </c>
      <c r="P129" s="9">
        <v>265</v>
      </c>
      <c r="Q129" s="9">
        <v>264</v>
      </c>
      <c r="R129" s="7">
        <f t="shared" si="1"/>
        <v>0.14708452169471697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4.4" hidden="1">
      <c r="A130" s="3">
        <f>LOOKUP(D130,'AMFI DATA_2023H2'!F:L,'AMFI DATA_2023H2'!L:L)</f>
        <v>1392</v>
      </c>
      <c r="B130" s="4" t="s">
        <v>3758</v>
      </c>
      <c r="C130" s="4" t="s">
        <v>3759</v>
      </c>
      <c r="D130" s="5" t="s">
        <v>3760</v>
      </c>
      <c r="E130" s="5">
        <v>460.58</v>
      </c>
      <c r="F130" s="6">
        <f>LOOKUP(D130,'AMFI DATA_2023H2'!F:J,'AMFI DATA_2023H2'!J:J)</f>
        <v>649.53324999999995</v>
      </c>
      <c r="G130" s="7">
        <f t="shared" si="0"/>
        <v>0.13004222647570396</v>
      </c>
      <c r="H130" s="9">
        <v>734</v>
      </c>
      <c r="I130" s="9">
        <v>735</v>
      </c>
      <c r="J130" s="9">
        <v>728</v>
      </c>
      <c r="K130" s="9">
        <v>726</v>
      </c>
      <c r="L130" s="9">
        <v>735</v>
      </c>
      <c r="M130" s="9">
        <v>724</v>
      </c>
      <c r="N130" s="9">
        <v>719</v>
      </c>
      <c r="O130" s="9">
        <v>740</v>
      </c>
      <c r="P130" s="9">
        <v>733</v>
      </c>
      <c r="Q130" s="9">
        <v>730</v>
      </c>
      <c r="R130" s="7">
        <f t="shared" si="1"/>
        <v>0.12449978503794834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4.4" hidden="1">
      <c r="A131" s="3">
        <f>LOOKUP(D131,'AMFI DATA_2023H2'!F:L,'AMFI DATA_2023H2'!L:L)</f>
        <v>1287</v>
      </c>
      <c r="B131" s="4" t="s">
        <v>3536</v>
      </c>
      <c r="C131" s="4" t="s">
        <v>3537</v>
      </c>
      <c r="D131" s="5" t="s">
        <v>3538</v>
      </c>
      <c r="E131" s="5">
        <v>836.52</v>
      </c>
      <c r="F131" s="6">
        <f>LOOKUP(D131,'AMFI DATA_2023H2'!F:J,'AMFI DATA_2023H2'!J:J)</f>
        <v>826.26019999999994</v>
      </c>
      <c r="G131" s="7">
        <f t="shared" si="0"/>
        <v>0.53825635072341638</v>
      </c>
      <c r="H131" s="8">
        <v>1271</v>
      </c>
      <c r="I131" s="8">
        <v>1253</v>
      </c>
      <c r="J131" s="8">
        <v>1210</v>
      </c>
      <c r="K131" s="8">
        <v>1274</v>
      </c>
      <c r="L131" s="8">
        <v>1126</v>
      </c>
      <c r="M131" s="8">
        <v>1115</v>
      </c>
      <c r="N131" s="8">
        <v>1108</v>
      </c>
      <c r="O131" s="8">
        <v>1086</v>
      </c>
      <c r="P131" s="8">
        <v>1107</v>
      </c>
      <c r="Q131" s="8">
        <v>1077</v>
      </c>
      <c r="R131" s="7">
        <f t="shared" si="1"/>
        <v>0.40718383869875385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4.4">
      <c r="A132" s="3">
        <f>LOOKUP(D132,'AMFI DATA_2023H2'!F:L,'AMFI DATA_2023H2'!L:L)</f>
        <v>952</v>
      </c>
      <c r="B132" s="4" t="s">
        <v>2735</v>
      </c>
      <c r="C132" s="4" t="s">
        <v>2736</v>
      </c>
      <c r="D132" s="5" t="s">
        <v>2737</v>
      </c>
      <c r="E132" s="5">
        <v>1307.08</v>
      </c>
      <c r="F132" s="6">
        <f>LOOKUP(D132,'AMFI DATA_2023H2'!F:J,'AMFI DATA_2023H2'!J:J)</f>
        <v>1941.7499499999999</v>
      </c>
      <c r="G132" s="7">
        <f t="shared" si="0"/>
        <v>0.30037340801785528</v>
      </c>
      <c r="H132" s="8">
        <v>2525</v>
      </c>
      <c r="I132" s="8">
        <v>2534</v>
      </c>
      <c r="J132" s="8">
        <v>2518</v>
      </c>
      <c r="K132" s="8">
        <v>2501</v>
      </c>
      <c r="L132" s="8">
        <v>2475</v>
      </c>
      <c r="M132" s="8">
        <v>2381</v>
      </c>
      <c r="N132" s="8">
        <v>2140</v>
      </c>
      <c r="O132" s="8">
        <v>2258</v>
      </c>
      <c r="P132" s="8">
        <v>2188</v>
      </c>
      <c r="Q132" s="8">
        <v>2273</v>
      </c>
      <c r="R132" s="14">
        <f t="shared" si="1"/>
        <v>0.22533799987995384</v>
      </c>
      <c r="S132" s="8"/>
      <c r="T132" s="8">
        <v>2580</v>
      </c>
      <c r="U132" s="15">
        <f ca="1">IFERROR(__xludf.DUMMYFUNCTION("GOOGLEFINANCE(C132,""PRICE"")"),2485)</f>
        <v>2485</v>
      </c>
      <c r="V132" s="13" t="s">
        <v>5787</v>
      </c>
      <c r="W132" s="7">
        <f ca="1">U132/T132-1</f>
        <v>-3.6821705426356544E-2</v>
      </c>
      <c r="X132" s="8"/>
      <c r="Y132" s="8"/>
      <c r="Z132" s="8"/>
      <c r="AA132" s="8"/>
      <c r="AB132" s="8"/>
    </row>
    <row r="133" spans="1:28" ht="14.4" hidden="1">
      <c r="A133" s="3">
        <f>LOOKUP(D133,'AMFI DATA_2023H2'!F:L,'AMFI DATA_2023H2'!L:L)</f>
        <v>2531</v>
      </c>
      <c r="B133" s="4" t="s">
        <v>5320</v>
      </c>
      <c r="C133" s="4" t="s">
        <v>5321</v>
      </c>
      <c r="D133" s="5" t="s">
        <v>5322</v>
      </c>
      <c r="E133" s="5">
        <v>65.47</v>
      </c>
      <c r="F133" s="6">
        <f>LOOKUP(D133,'AMFI DATA_2023H2'!F:J,'AMFI DATA_2023H2'!J:J)</f>
        <v>76.926099999999991</v>
      </c>
      <c r="G133" s="7">
        <f t="shared" si="0"/>
        <v>8.6757290438485901E-2</v>
      </c>
      <c r="H133" s="9">
        <v>83.6</v>
      </c>
      <c r="I133" s="9">
        <v>84.3</v>
      </c>
      <c r="J133" s="9">
        <v>84.2</v>
      </c>
      <c r="K133" s="9">
        <v>81.3</v>
      </c>
      <c r="L133" s="9">
        <v>78.3</v>
      </c>
      <c r="M133" s="9">
        <v>74.599999999999994</v>
      </c>
      <c r="N133" s="9">
        <v>75</v>
      </c>
      <c r="O133" s="9">
        <v>75.599999999999994</v>
      </c>
      <c r="P133" s="9">
        <v>74.3</v>
      </c>
      <c r="Q133" s="9">
        <v>74.7</v>
      </c>
      <c r="R133" s="7">
        <f t="shared" si="1"/>
        <v>2.1629849946897206E-2</v>
      </c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4.4" hidden="1">
      <c r="A134" s="3">
        <f>LOOKUP(D134,'AMFI DATA_2023H2'!F:L,'AMFI DATA_2023H2'!L:L)</f>
        <v>1450</v>
      </c>
      <c r="B134" s="4" t="s">
        <v>3860</v>
      </c>
      <c r="C134" s="4" t="s">
        <v>3861</v>
      </c>
      <c r="D134" s="5" t="s">
        <v>3862</v>
      </c>
      <c r="E134" s="5">
        <v>373.35</v>
      </c>
      <c r="F134" s="6">
        <f>LOOKUP(D134,'AMFI DATA_2023H2'!F:J,'AMFI DATA_2023H2'!J:J)</f>
        <v>575.22395000000006</v>
      </c>
      <c r="G134" s="7">
        <f t="shared" si="0"/>
        <v>0.1108716874532083</v>
      </c>
      <c r="H134" s="9">
        <v>639</v>
      </c>
      <c r="I134" s="9">
        <v>635</v>
      </c>
      <c r="J134" s="9">
        <v>634</v>
      </c>
      <c r="K134" s="9">
        <v>638</v>
      </c>
      <c r="L134" s="9">
        <v>658</v>
      </c>
      <c r="M134" s="9">
        <v>663</v>
      </c>
      <c r="N134" s="9">
        <v>671</v>
      </c>
      <c r="O134" s="9">
        <v>619</v>
      </c>
      <c r="P134" s="9">
        <v>624</v>
      </c>
      <c r="Q134" s="9">
        <v>630</v>
      </c>
      <c r="R134" s="7">
        <f t="shared" si="1"/>
        <v>0.11452243947770246</v>
      </c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4.4" hidden="1">
      <c r="A135" s="3">
        <f>LOOKUP(D135,'AMFI DATA_2023H2'!F:L,'AMFI DATA_2023H2'!L:L)</f>
        <v>2234</v>
      </c>
      <c r="B135" s="4" t="s">
        <v>5054</v>
      </c>
      <c r="C135" s="4" t="s">
        <v>5055</v>
      </c>
      <c r="D135" s="5" t="s">
        <v>5056</v>
      </c>
      <c r="E135" s="5">
        <v>167.29</v>
      </c>
      <c r="F135" s="6">
        <f>LOOKUP(D135,'AMFI DATA_2023H2'!F:J,'AMFI DATA_2023H2'!J:J)</f>
        <v>124.2028</v>
      </c>
      <c r="G135" s="7">
        <f t="shared" si="0"/>
        <v>0.70688583510194625</v>
      </c>
      <c r="H135" s="9">
        <v>212</v>
      </c>
      <c r="I135" s="9">
        <v>216</v>
      </c>
      <c r="J135" s="9">
        <v>220</v>
      </c>
      <c r="K135" s="9">
        <v>216</v>
      </c>
      <c r="L135" s="9">
        <v>220</v>
      </c>
      <c r="M135" s="9">
        <v>224</v>
      </c>
      <c r="N135" s="9">
        <v>229</v>
      </c>
      <c r="O135" s="9">
        <v>233</v>
      </c>
      <c r="P135" s="9">
        <v>212</v>
      </c>
      <c r="Q135" s="9">
        <v>211</v>
      </c>
      <c r="R135" s="7">
        <f t="shared" si="1"/>
        <v>0.76566067753706046</v>
      </c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4.4" hidden="1">
      <c r="A136" s="3">
        <f>LOOKUP(D136,'AMFI DATA_2023H2'!F:L,'AMFI DATA_2023H2'!L:L)</f>
        <v>2209</v>
      </c>
      <c r="B136" s="4" t="s">
        <v>5033</v>
      </c>
      <c r="C136" s="4" t="s">
        <v>5034</v>
      </c>
      <c r="D136" s="5" t="s">
        <v>5035</v>
      </c>
      <c r="E136" s="5">
        <v>149.72</v>
      </c>
      <c r="F136" s="6">
        <f>LOOKUP(D136,'AMFI DATA_2023H2'!F:J,'AMFI DATA_2023H2'!J:J)</f>
        <v>130.15260000000001</v>
      </c>
      <c r="G136" s="7">
        <f t="shared" si="0"/>
        <v>0.21395961356131177</v>
      </c>
      <c r="H136" s="9">
        <v>158</v>
      </c>
      <c r="I136" s="9">
        <v>151</v>
      </c>
      <c r="J136" s="9">
        <v>144</v>
      </c>
      <c r="K136" s="9">
        <v>147</v>
      </c>
      <c r="L136" s="9">
        <v>146</v>
      </c>
      <c r="M136" s="9">
        <v>141</v>
      </c>
      <c r="N136" s="9">
        <v>143</v>
      </c>
      <c r="O136" s="9">
        <v>150</v>
      </c>
      <c r="P136" s="9">
        <v>153</v>
      </c>
      <c r="Q136" s="9">
        <v>156</v>
      </c>
      <c r="R136" s="7">
        <f t="shared" si="1"/>
        <v>0.14404168645113513</v>
      </c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4.4">
      <c r="A137" s="3">
        <f>LOOKUP(D137,'AMFI DATA_2023H2'!F:L,'AMFI DATA_2023H2'!L:L)</f>
        <v>944</v>
      </c>
      <c r="B137" s="4" t="s">
        <v>2723</v>
      </c>
      <c r="C137" s="4" t="s">
        <v>2724</v>
      </c>
      <c r="D137" s="5" t="s">
        <v>2725</v>
      </c>
      <c r="E137" s="5">
        <v>1043.9000000000001</v>
      </c>
      <c r="F137" s="6">
        <f>LOOKUP(D137,'AMFI DATA_2023H2'!F:J,'AMFI DATA_2023H2'!J:J)</f>
        <v>1977.8809500000002</v>
      </c>
      <c r="G137" s="7">
        <f t="shared" si="0"/>
        <v>0.30493192727297358</v>
      </c>
      <c r="H137" s="8">
        <v>2581</v>
      </c>
      <c r="I137" s="8">
        <v>2473</v>
      </c>
      <c r="J137" s="8">
        <v>2452</v>
      </c>
      <c r="K137" s="8">
        <v>2440</v>
      </c>
      <c r="L137" s="8">
        <v>2369</v>
      </c>
      <c r="M137" s="8">
        <v>2444</v>
      </c>
      <c r="N137" s="8">
        <v>2386</v>
      </c>
      <c r="O137" s="8">
        <v>2415</v>
      </c>
      <c r="P137" s="8">
        <v>2435</v>
      </c>
      <c r="Q137" s="8">
        <v>2478</v>
      </c>
      <c r="R137" s="14">
        <f t="shared" si="1"/>
        <v>0.23733432995550108</v>
      </c>
      <c r="S137" s="8"/>
      <c r="T137" s="8">
        <v>191</v>
      </c>
      <c r="U137" s="15">
        <f ca="1">IFERROR(__xludf.DUMMYFUNCTION("GOOGLEFINANCE(C137,""PRICE"")"),186.35)</f>
        <v>186.35</v>
      </c>
      <c r="V137" s="13" t="s">
        <v>5787</v>
      </c>
      <c r="W137" s="7">
        <f ca="1">U137/T137-1</f>
        <v>-2.4345549738219896E-2</v>
      </c>
      <c r="X137" s="8"/>
      <c r="Y137" s="8"/>
      <c r="Z137" s="8"/>
      <c r="AA137" s="8"/>
      <c r="AB137" s="8"/>
    </row>
    <row r="138" spans="1:28" ht="14.4" hidden="1">
      <c r="A138" s="3">
        <f>LOOKUP(D138,'AMFI DATA_2023H2'!F:L,'AMFI DATA_2023H2'!L:L)</f>
        <v>2185</v>
      </c>
      <c r="B138" s="4" t="s">
        <v>5000</v>
      </c>
      <c r="C138" s="4" t="s">
        <v>5001</v>
      </c>
      <c r="D138" s="5" t="s">
        <v>5002</v>
      </c>
      <c r="E138" s="5">
        <v>119.33</v>
      </c>
      <c r="F138" s="6">
        <f>LOOKUP(D138,'AMFI DATA_2023H2'!F:J,'AMFI DATA_2023H2'!J:J)</f>
        <v>136.3347</v>
      </c>
      <c r="G138" s="7">
        <f t="shared" si="0"/>
        <v>0.36428950223237377</v>
      </c>
      <c r="H138" s="9">
        <v>186</v>
      </c>
      <c r="I138" s="9">
        <v>189</v>
      </c>
      <c r="J138" s="9">
        <v>189</v>
      </c>
      <c r="K138" s="9">
        <v>187</v>
      </c>
      <c r="L138" s="9">
        <v>191</v>
      </c>
      <c r="M138" s="9">
        <v>191</v>
      </c>
      <c r="N138" s="9">
        <v>198</v>
      </c>
      <c r="O138" s="9">
        <v>194</v>
      </c>
      <c r="P138" s="9">
        <v>201</v>
      </c>
      <c r="Q138" s="9">
        <v>201</v>
      </c>
      <c r="R138" s="7">
        <f t="shared" si="1"/>
        <v>0.41343326387192691</v>
      </c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4.4" hidden="1">
      <c r="A139" s="3">
        <f>LOOKUP(D139,'AMFI DATA_2023H2'!F:L,'AMFI DATA_2023H2'!L:L)</f>
        <v>631</v>
      </c>
      <c r="B139" s="4" t="s">
        <v>1863</v>
      </c>
      <c r="C139" s="4" t="s">
        <v>1864</v>
      </c>
      <c r="D139" s="5" t="s">
        <v>1865</v>
      </c>
      <c r="E139" s="5">
        <v>3972.1</v>
      </c>
      <c r="F139" s="6">
        <f>LOOKUP(D139,'AMFI DATA_2023H2'!F:J,'AMFI DATA_2023H2'!J:J)</f>
        <v>4740.5632495999998</v>
      </c>
      <c r="G139" s="7">
        <f t="shared" si="0"/>
        <v>0.21778778091129047</v>
      </c>
      <c r="H139" s="8">
        <v>5773</v>
      </c>
      <c r="I139" s="8">
        <v>5685</v>
      </c>
      <c r="J139" s="8">
        <v>5623</v>
      </c>
      <c r="K139" s="8">
        <v>5467</v>
      </c>
      <c r="L139" s="8">
        <v>5490</v>
      </c>
      <c r="M139" s="8">
        <v>5464</v>
      </c>
      <c r="N139" s="8">
        <v>5488</v>
      </c>
      <c r="O139" s="8">
        <v>5555</v>
      </c>
      <c r="P139" s="8">
        <v>5564</v>
      </c>
      <c r="Q139" s="8">
        <v>5479</v>
      </c>
      <c r="R139" s="7">
        <f t="shared" si="1"/>
        <v>0.17260327672435172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4.4" hidden="1">
      <c r="A140" s="3">
        <f>LOOKUP(D140,'AMFI DATA_2023H2'!F:L,'AMFI DATA_2023H2'!L:L)</f>
        <v>629</v>
      </c>
      <c r="B140" s="4" t="s">
        <v>1857</v>
      </c>
      <c r="C140" s="4" t="s">
        <v>1858</v>
      </c>
      <c r="D140" s="5" t="s">
        <v>1859</v>
      </c>
      <c r="E140" s="5">
        <v>2604.35</v>
      </c>
      <c r="F140" s="6">
        <f>LOOKUP(D140,'AMFI DATA_2023H2'!F:J,'AMFI DATA_2023H2'!J:J)</f>
        <v>4756.7932999999994</v>
      </c>
      <c r="G140" s="7">
        <f t="shared" si="0"/>
        <v>0.43457988809393955</v>
      </c>
      <c r="H140" s="8">
        <v>6824</v>
      </c>
      <c r="I140" s="8">
        <v>6865</v>
      </c>
      <c r="J140" s="8">
        <v>6747</v>
      </c>
      <c r="K140" s="8">
        <v>6547</v>
      </c>
      <c r="L140" s="8">
        <v>6596</v>
      </c>
      <c r="M140" s="8">
        <v>6840</v>
      </c>
      <c r="N140" s="8">
        <v>6753</v>
      </c>
      <c r="O140" s="8">
        <v>6807</v>
      </c>
      <c r="P140" s="8">
        <v>6958</v>
      </c>
      <c r="Q140" s="8">
        <v>6783</v>
      </c>
      <c r="R140" s="7">
        <f t="shared" si="1"/>
        <v>0.42364815389392696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4.4">
      <c r="A141" s="3">
        <f>LOOKUP(D141,'AMFI DATA_2023H2'!F:L,'AMFI DATA_2023H2'!L:L)</f>
        <v>1016</v>
      </c>
      <c r="B141" s="4" t="s">
        <v>2909</v>
      </c>
      <c r="C141" s="4" t="s">
        <v>2910</v>
      </c>
      <c r="D141" s="5" t="s">
        <v>2911</v>
      </c>
      <c r="E141" s="5">
        <v>1373.8</v>
      </c>
      <c r="F141" s="6">
        <f>LOOKUP(D141,'AMFI DATA_2023H2'!F:J,'AMFI DATA_2023H2'!J:J)</f>
        <v>1639.6534999999999</v>
      </c>
      <c r="G141" s="7">
        <f t="shared" si="0"/>
        <v>0.32345035094304997</v>
      </c>
      <c r="H141" s="8">
        <v>2170</v>
      </c>
      <c r="I141" s="8">
        <v>2115</v>
      </c>
      <c r="J141" s="8">
        <v>2090</v>
      </c>
      <c r="K141" s="8">
        <v>2110</v>
      </c>
      <c r="L141" s="8">
        <v>1958</v>
      </c>
      <c r="M141" s="8">
        <v>1937</v>
      </c>
      <c r="N141" s="8">
        <v>1941</v>
      </c>
      <c r="O141" s="8">
        <v>1924</v>
      </c>
      <c r="P141" s="8">
        <v>1925</v>
      </c>
      <c r="Q141" s="8">
        <v>1911</v>
      </c>
      <c r="R141" s="14">
        <f t="shared" si="1"/>
        <v>0.22470997683352012</v>
      </c>
      <c r="S141" s="8"/>
      <c r="T141" s="8">
        <v>481</v>
      </c>
      <c r="U141" s="15">
        <f ca="1">IFERROR(__xludf.DUMMYFUNCTION("GOOGLEFINANCE(C141,""PRICE"")"),494)</f>
        <v>494</v>
      </c>
      <c r="V141" s="13" t="s">
        <v>5787</v>
      </c>
      <c r="W141" s="7">
        <f ca="1">U141/T141-1</f>
        <v>2.7027027027026973E-2</v>
      </c>
      <c r="X141" s="8"/>
      <c r="Y141" s="8"/>
      <c r="Z141" s="8"/>
      <c r="AA141" s="8"/>
      <c r="AB141" s="8"/>
    </row>
    <row r="142" spans="1:28" ht="14.4" hidden="1">
      <c r="A142" s="3">
        <f>LOOKUP(D142,'AMFI DATA_2023H2'!F:L,'AMFI DATA_2023H2'!L:L)</f>
        <v>335</v>
      </c>
      <c r="B142" s="4" t="s">
        <v>1014</v>
      </c>
      <c r="C142" s="4" t="s">
        <v>1015</v>
      </c>
      <c r="D142" s="5" t="s">
        <v>1016</v>
      </c>
      <c r="E142" s="5">
        <v>11745.9</v>
      </c>
      <c r="F142" s="6">
        <f>LOOKUP(D142,'AMFI DATA_2023H2'!F:J,'AMFI DATA_2023H2'!J:J)</f>
        <v>13689.761399999999</v>
      </c>
      <c r="G142" s="7">
        <f t="shared" si="0"/>
        <v>1.2362421451699079E-2</v>
      </c>
      <c r="H142" s="8">
        <v>13859</v>
      </c>
      <c r="I142" s="8">
        <v>13988</v>
      </c>
      <c r="J142" s="8">
        <v>14123</v>
      </c>
      <c r="K142" s="8">
        <v>14156</v>
      </c>
      <c r="L142" s="8">
        <v>13905</v>
      </c>
      <c r="M142" s="8">
        <v>14017</v>
      </c>
      <c r="N142" s="8">
        <v>13801</v>
      </c>
      <c r="O142" s="8">
        <v>13595</v>
      </c>
      <c r="P142" s="8">
        <v>13498</v>
      </c>
      <c r="Q142" s="8">
        <v>13671</v>
      </c>
      <c r="R142" s="7">
        <f t="shared" si="1"/>
        <v>1.2530430223568478E-2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4.4" hidden="1">
      <c r="A143" s="3">
        <f>LOOKUP(D143,'AMFI DATA_2023H2'!F:L,'AMFI DATA_2023H2'!L:L)</f>
        <v>1743</v>
      </c>
      <c r="B143" s="4" t="s">
        <v>4400</v>
      </c>
      <c r="C143" s="4" t="s">
        <v>4401</v>
      </c>
      <c r="D143" s="5" t="s">
        <v>4402</v>
      </c>
      <c r="E143" s="5">
        <v>254.66</v>
      </c>
      <c r="F143" s="6">
        <f>LOOKUP(D143,'AMFI DATA_2023H2'!F:J,'AMFI DATA_2023H2'!J:J)</f>
        <v>301.64224999999999</v>
      </c>
      <c r="G143" s="7">
        <f t="shared" si="0"/>
        <v>0.23324898949003336</v>
      </c>
      <c r="H143" s="9">
        <v>372</v>
      </c>
      <c r="I143" s="9">
        <v>377</v>
      </c>
      <c r="J143" s="9">
        <v>360</v>
      </c>
      <c r="K143" s="9">
        <v>358</v>
      </c>
      <c r="L143" s="9">
        <v>357</v>
      </c>
      <c r="M143" s="9">
        <v>365</v>
      </c>
      <c r="N143" s="9">
        <v>360</v>
      </c>
      <c r="O143" s="9">
        <v>356</v>
      </c>
      <c r="P143" s="9">
        <v>352</v>
      </c>
      <c r="Q143" s="9">
        <v>342</v>
      </c>
      <c r="R143" s="7">
        <f t="shared" si="1"/>
        <v>0.19313524547705097</v>
      </c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4.4" hidden="1">
      <c r="A144" s="3">
        <f>LOOKUP(D144,'AMFI DATA_2023H2'!F:L,'AMFI DATA_2023H2'!L:L)</f>
        <v>838</v>
      </c>
      <c r="B144" s="4" t="s">
        <v>2432</v>
      </c>
      <c r="C144" s="4" t="s">
        <v>2433</v>
      </c>
      <c r="D144" s="5" t="s">
        <v>2434</v>
      </c>
      <c r="E144" s="5">
        <v>1087.9000000000001</v>
      </c>
      <c r="F144" s="6">
        <f>LOOKUP(D144,'AMFI DATA_2023H2'!F:J,'AMFI DATA_2023H2'!J:J)</f>
        <v>2579.5383499999998</v>
      </c>
      <c r="G144" s="7">
        <f t="shared" si="0"/>
        <v>0.54252407218524201</v>
      </c>
      <c r="H144" s="8">
        <v>3979</v>
      </c>
      <c r="I144" s="8">
        <v>3816</v>
      </c>
      <c r="J144" s="8">
        <v>3793</v>
      </c>
      <c r="K144" s="8">
        <v>3847</v>
      </c>
      <c r="L144" s="8">
        <v>3863</v>
      </c>
      <c r="M144" s="8">
        <v>3852</v>
      </c>
      <c r="N144" s="8">
        <v>3903</v>
      </c>
      <c r="O144" s="8">
        <v>3925</v>
      </c>
      <c r="P144" s="8">
        <v>3757</v>
      </c>
      <c r="Q144" s="8">
        <v>3829</v>
      </c>
      <c r="R144" s="7">
        <f t="shared" si="1"/>
        <v>0.49499618798069056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4.4">
      <c r="A145" s="3">
        <f>LOOKUP(D145,'AMFI DATA_2023H2'!F:L,'AMFI DATA_2023H2'!L:L)</f>
        <v>880</v>
      </c>
      <c r="B145" s="4" t="s">
        <v>2552</v>
      </c>
      <c r="C145" s="4" t="s">
        <v>2553</v>
      </c>
      <c r="D145" s="5" t="s">
        <v>2554</v>
      </c>
      <c r="E145" s="5">
        <v>1671.25</v>
      </c>
      <c r="F145" s="6">
        <f>LOOKUP(D145,'AMFI DATA_2023H2'!F:J,'AMFI DATA_2023H2'!J:J)</f>
        <v>2262.9231</v>
      </c>
      <c r="G145" s="7">
        <f t="shared" si="0"/>
        <v>0.26606158203078145</v>
      </c>
      <c r="H145" s="8">
        <v>2865</v>
      </c>
      <c r="I145" s="8">
        <v>2834</v>
      </c>
      <c r="J145" s="8">
        <v>2836</v>
      </c>
      <c r="K145" s="8">
        <v>2868</v>
      </c>
      <c r="L145" s="8">
        <v>2938</v>
      </c>
      <c r="M145" s="8">
        <v>2793</v>
      </c>
      <c r="N145" s="8">
        <v>2772</v>
      </c>
      <c r="O145" s="8">
        <v>2766</v>
      </c>
      <c r="P145" s="8">
        <v>2763</v>
      </c>
      <c r="Q145" s="8">
        <v>2819</v>
      </c>
      <c r="R145" s="14">
        <f t="shared" si="1"/>
        <v>0.24856209210114133</v>
      </c>
      <c r="S145" s="8"/>
      <c r="T145" s="8">
        <v>282</v>
      </c>
      <c r="U145" s="15">
        <f ca="1">IFERROR(__xludf.DUMMYFUNCTION("GOOGLEFINANCE(C145,""PRICE"")"),301.95)</f>
        <v>301.95</v>
      </c>
      <c r="V145" s="13" t="s">
        <v>5787</v>
      </c>
      <c r="W145" s="7">
        <f ca="1">U145/T145-1</f>
        <v>7.074468085106389E-2</v>
      </c>
      <c r="X145" s="8"/>
      <c r="Y145" s="8"/>
      <c r="Z145" s="8"/>
      <c r="AA145" s="8"/>
      <c r="AB145" s="8"/>
    </row>
    <row r="146" spans="1:28" ht="14.4" hidden="1">
      <c r="A146" s="3">
        <f>LOOKUP(D146,'AMFI DATA_2023H2'!F:L,'AMFI DATA_2023H2'!L:L)</f>
        <v>1779</v>
      </c>
      <c r="B146" s="4" t="s">
        <v>4448</v>
      </c>
      <c r="C146" s="4" t="s">
        <v>4449</v>
      </c>
      <c r="D146" s="5" t="s">
        <v>4450</v>
      </c>
      <c r="E146" s="5">
        <v>279.12</v>
      </c>
      <c r="F146" s="6">
        <f>LOOKUP(D146,'AMFI DATA_2023H2'!F:J,'AMFI DATA_2023H2'!J:J)</f>
        <v>283.64665000000002</v>
      </c>
      <c r="G146" s="7">
        <f t="shared" si="0"/>
        <v>0.28328679362157105</v>
      </c>
      <c r="H146" s="9">
        <v>364</v>
      </c>
      <c r="I146" s="9">
        <v>362</v>
      </c>
      <c r="J146" s="9">
        <v>343</v>
      </c>
      <c r="K146" s="9">
        <v>331</v>
      </c>
      <c r="L146" s="9">
        <v>334</v>
      </c>
      <c r="M146" s="9">
        <v>329</v>
      </c>
      <c r="N146" s="9">
        <v>328</v>
      </c>
      <c r="O146" s="9">
        <v>329</v>
      </c>
      <c r="P146" s="9">
        <v>337</v>
      </c>
      <c r="Q146" s="9">
        <v>343</v>
      </c>
      <c r="R146" s="7">
        <f t="shared" si="1"/>
        <v>0.19867447755861023</v>
      </c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4.4" hidden="1">
      <c r="A147" s="3">
        <f>LOOKUP(D147,'AMFI DATA_2023H2'!F:L,'AMFI DATA_2023H2'!L:L)</f>
        <v>123</v>
      </c>
      <c r="B147" s="4" t="s">
        <v>381</v>
      </c>
      <c r="C147" s="4" t="s">
        <v>382</v>
      </c>
      <c r="D147" s="5" t="s">
        <v>383</v>
      </c>
      <c r="E147" s="5">
        <v>43197.71</v>
      </c>
      <c r="F147" s="6">
        <f>LOOKUP(D147,'AMFI DATA_2023H2'!F:J,'AMFI DATA_2023H2'!J:J)</f>
        <v>51977.97565</v>
      </c>
      <c r="G147" s="7">
        <f t="shared" si="0"/>
        <v>1.3679339010579605E-2</v>
      </c>
      <c r="H147" s="8">
        <v>52689</v>
      </c>
      <c r="I147" s="8">
        <v>52821</v>
      </c>
      <c r="J147" s="8">
        <v>52762</v>
      </c>
      <c r="K147" s="8">
        <v>52982</v>
      </c>
      <c r="L147" s="8">
        <v>54641</v>
      </c>
      <c r="M147" s="8">
        <v>53247</v>
      </c>
      <c r="N147" s="8">
        <v>51441</v>
      </c>
      <c r="O147" s="8">
        <v>51118</v>
      </c>
      <c r="P147" s="8">
        <v>51074</v>
      </c>
      <c r="Q147" s="8">
        <v>50501</v>
      </c>
      <c r="R147" s="7">
        <f t="shared" si="1"/>
        <v>6.7263941242006187E-3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4.4" hidden="1">
      <c r="A148" s="3">
        <f>LOOKUP(D148,'AMFI DATA_2023H2'!F:L,'AMFI DATA_2023H2'!L:L)</f>
        <v>752</v>
      </c>
      <c r="B148" s="4" t="s">
        <v>2201</v>
      </c>
      <c r="C148" s="4" t="s">
        <v>2202</v>
      </c>
      <c r="D148" s="5" t="s">
        <v>2203</v>
      </c>
      <c r="E148" s="5">
        <v>2277.75</v>
      </c>
      <c r="F148" s="6">
        <f>LOOKUP(D148,'AMFI DATA_2023H2'!F:J,'AMFI DATA_2023H2'!J:J)</f>
        <v>3319.7905500000002</v>
      </c>
      <c r="G148" s="7">
        <f t="shared" si="0"/>
        <v>0.21423322926200861</v>
      </c>
      <c r="H148" s="8">
        <v>4031</v>
      </c>
      <c r="I148" s="8">
        <v>4097</v>
      </c>
      <c r="J148" s="8">
        <v>4007</v>
      </c>
      <c r="K148" s="8">
        <v>3835</v>
      </c>
      <c r="L148" s="8">
        <v>3846</v>
      </c>
      <c r="M148" s="8">
        <v>3908</v>
      </c>
      <c r="N148" s="8">
        <v>3846</v>
      </c>
      <c r="O148" s="8">
        <v>3881</v>
      </c>
      <c r="P148" s="8">
        <v>3930</v>
      </c>
      <c r="Q148" s="8">
        <v>3859</v>
      </c>
      <c r="R148" s="7">
        <f t="shared" si="1"/>
        <v>0.18200228023421539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4.4" hidden="1">
      <c r="A149" s="3">
        <f>LOOKUP(D149,'AMFI DATA_2023H2'!F:L,'AMFI DATA_2023H2'!L:L)</f>
        <v>2799</v>
      </c>
      <c r="B149" s="4" t="s">
        <v>5464</v>
      </c>
      <c r="C149" s="4" t="s">
        <v>5465</v>
      </c>
      <c r="D149" s="5" t="s">
        <v>5466</v>
      </c>
      <c r="E149" s="5">
        <v>42.11</v>
      </c>
      <c r="F149" s="6">
        <f>LOOKUP(D149,'AMFI DATA_2023H2'!F:J,'AMFI DATA_2023H2'!J:J)</f>
        <v>51.612000000000002</v>
      </c>
      <c r="G149" s="7">
        <f t="shared" si="0"/>
        <v>0.5035263117104547</v>
      </c>
      <c r="H149" s="9">
        <v>77.599999999999994</v>
      </c>
      <c r="I149" s="9">
        <v>79.900000000000006</v>
      </c>
      <c r="J149" s="9">
        <v>82.3</v>
      </c>
      <c r="K149" s="9">
        <v>79.8</v>
      </c>
      <c r="L149" s="9">
        <v>81.400000000000006</v>
      </c>
      <c r="M149" s="9">
        <v>86.4</v>
      </c>
      <c r="N149" s="9">
        <v>72</v>
      </c>
      <c r="O149" s="9">
        <v>69.400000000000006</v>
      </c>
      <c r="P149" s="9">
        <v>64.099999999999994</v>
      </c>
      <c r="Q149" s="9">
        <v>62.9</v>
      </c>
      <c r="R149" s="7">
        <f t="shared" si="1"/>
        <v>0.46438812679221875</v>
      </c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4.4" hidden="1">
      <c r="A150" s="3">
        <f>LOOKUP(D150,'AMFI DATA_2023H2'!F:L,'AMFI DATA_2023H2'!L:L)</f>
        <v>1377</v>
      </c>
      <c r="B150" s="4" t="s">
        <v>3719</v>
      </c>
      <c r="C150" s="4" t="s">
        <v>3720</v>
      </c>
      <c r="D150" s="5" t="s">
        <v>3721</v>
      </c>
      <c r="E150" s="5">
        <v>344.24</v>
      </c>
      <c r="F150" s="6">
        <f>LOOKUP(D150,'AMFI DATA_2023H2'!F:J,'AMFI DATA_2023H2'!J:J)</f>
        <v>677.02070000000003</v>
      </c>
      <c r="G150" s="7">
        <f t="shared" si="0"/>
        <v>0.55682093619884876</v>
      </c>
      <c r="H150" s="8">
        <v>1054</v>
      </c>
      <c r="I150" s="8">
        <v>1043</v>
      </c>
      <c r="J150" s="8">
        <v>1031</v>
      </c>
      <c r="K150" s="8">
        <v>1035</v>
      </c>
      <c r="L150" s="8">
        <v>1051</v>
      </c>
      <c r="M150" s="8">
        <v>1038</v>
      </c>
      <c r="N150" s="8">
        <v>1061</v>
      </c>
      <c r="O150" s="8">
        <v>1073</v>
      </c>
      <c r="P150" s="8">
        <v>1100</v>
      </c>
      <c r="Q150" s="8">
        <v>1091</v>
      </c>
      <c r="R150" s="7">
        <f t="shared" si="1"/>
        <v>0.56228605713237423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4.4" hidden="1">
      <c r="A151" s="3">
        <f>LOOKUP(D151,'AMFI DATA_2023H2'!F:L,'AMFI DATA_2023H2'!L:L)</f>
        <v>1288</v>
      </c>
      <c r="B151" s="4" t="s">
        <v>3539</v>
      </c>
      <c r="C151" s="4" t="s">
        <v>3540</v>
      </c>
      <c r="D151" s="5" t="s">
        <v>3541</v>
      </c>
      <c r="E151" s="5">
        <v>569.99</v>
      </c>
      <c r="F151" s="6">
        <f>LOOKUP(D151,'AMFI DATA_2023H2'!F:J,'AMFI DATA_2023H2'!J:J)</f>
        <v>823.01675</v>
      </c>
      <c r="G151" s="7">
        <f t="shared" si="0"/>
        <v>0.11905377381444548</v>
      </c>
      <c r="H151" s="9">
        <v>921</v>
      </c>
      <c r="I151" s="9">
        <v>955</v>
      </c>
      <c r="J151" s="9">
        <v>949</v>
      </c>
      <c r="K151" s="9">
        <v>968</v>
      </c>
      <c r="L151" s="9">
        <v>967</v>
      </c>
      <c r="M151" s="9">
        <v>953</v>
      </c>
      <c r="N151" s="9">
        <v>970</v>
      </c>
      <c r="O151" s="9">
        <v>992</v>
      </c>
      <c r="P151" s="9">
        <v>985</v>
      </c>
      <c r="Q151" s="9">
        <v>908</v>
      </c>
      <c r="R151" s="7">
        <f t="shared" si="1"/>
        <v>0.16255228098334573</v>
      </c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4.4" hidden="1">
      <c r="A152" s="3">
        <f>LOOKUP(D152,'AMFI DATA_2023H2'!F:L,'AMFI DATA_2023H2'!L:L)</f>
        <v>1879</v>
      </c>
      <c r="B152" s="4" t="s">
        <v>4571</v>
      </c>
      <c r="C152" s="4" t="s">
        <v>4572</v>
      </c>
      <c r="D152" s="5" t="s">
        <v>4573</v>
      </c>
      <c r="E152" s="5">
        <v>205.52</v>
      </c>
      <c r="F152" s="6">
        <f>LOOKUP(D152,'AMFI DATA_2023H2'!F:J,'AMFI DATA_2023H2'!J:J)</f>
        <v>233.31950000000001</v>
      </c>
      <c r="G152" s="7">
        <f t="shared" si="0"/>
        <v>9.2921937514866881E-2</v>
      </c>
      <c r="H152" s="9">
        <v>255</v>
      </c>
      <c r="I152" s="9">
        <v>255</v>
      </c>
      <c r="J152" s="9">
        <v>256</v>
      </c>
      <c r="K152" s="9">
        <v>258</v>
      </c>
      <c r="L152" s="9">
        <v>257</v>
      </c>
      <c r="M152" s="9">
        <v>246</v>
      </c>
      <c r="N152" s="9">
        <v>245</v>
      </c>
      <c r="O152" s="9">
        <v>246</v>
      </c>
      <c r="P152" s="9">
        <v>248</v>
      </c>
      <c r="Q152" s="9">
        <v>247</v>
      </c>
      <c r="R152" s="7">
        <f t="shared" si="1"/>
        <v>7.706385449994535E-2</v>
      </c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4.4" hidden="1">
      <c r="A153" s="3">
        <f>LOOKUP(D153,'AMFI DATA_2023H2'!F:L,'AMFI DATA_2023H2'!L:L)</f>
        <v>1686</v>
      </c>
      <c r="B153" s="4" t="s">
        <v>4310</v>
      </c>
      <c r="C153" s="4" t="s">
        <v>4311</v>
      </c>
      <c r="D153" s="5" t="s">
        <v>4312</v>
      </c>
      <c r="E153" s="5">
        <v>235.03</v>
      </c>
      <c r="F153" s="6">
        <f>LOOKUP(D153,'AMFI DATA_2023H2'!F:J,'AMFI DATA_2023H2'!J:J)</f>
        <v>336.24914999999999</v>
      </c>
      <c r="G153" s="7">
        <f t="shared" si="0"/>
        <v>0.2550217599063076</v>
      </c>
      <c r="H153" s="9">
        <v>422</v>
      </c>
      <c r="I153" s="9">
        <v>426</v>
      </c>
      <c r="J153" s="9">
        <v>442</v>
      </c>
      <c r="K153" s="9">
        <v>429</v>
      </c>
      <c r="L153" s="9">
        <v>447</v>
      </c>
      <c r="M153" s="9">
        <v>448</v>
      </c>
      <c r="N153" s="9">
        <v>440</v>
      </c>
      <c r="O153" s="9">
        <v>438</v>
      </c>
      <c r="P153" s="9">
        <v>437</v>
      </c>
      <c r="Q153" s="9">
        <v>442</v>
      </c>
      <c r="R153" s="7">
        <f t="shared" si="1"/>
        <v>0.29992893662333442</v>
      </c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4.4" hidden="1">
      <c r="A154" s="3">
        <f>LOOKUP(D154,'AMFI DATA_2023H2'!F:L,'AMFI DATA_2023H2'!L:L)</f>
        <v>16</v>
      </c>
      <c r="B154" s="4" t="s">
        <v>52</v>
      </c>
      <c r="C154" s="4" t="s">
        <v>53</v>
      </c>
      <c r="D154" s="5" t="s">
        <v>54</v>
      </c>
      <c r="E154" s="5">
        <v>283339.38</v>
      </c>
      <c r="F154" s="6">
        <f>LOOKUP(D154,'AMFI DATA_2023H2'!F:J,'AMFI DATA_2023H2'!J:J)</f>
        <v>310185.9056</v>
      </c>
      <c r="G154" s="7">
        <f t="shared" si="0"/>
        <v>3.7632575140448266E-2</v>
      </c>
      <c r="H154" s="8">
        <v>321859</v>
      </c>
      <c r="I154" s="8">
        <v>324204</v>
      </c>
      <c r="J154" s="8">
        <v>323403</v>
      </c>
      <c r="K154" s="8">
        <v>324784</v>
      </c>
      <c r="L154" s="8">
        <v>325456</v>
      </c>
      <c r="M154" s="8">
        <v>326357</v>
      </c>
      <c r="N154" s="8">
        <v>325571</v>
      </c>
      <c r="O154" s="8">
        <v>326415</v>
      </c>
      <c r="P154" s="8">
        <v>324506</v>
      </c>
      <c r="Q154" s="8">
        <v>320497</v>
      </c>
      <c r="R154" s="7">
        <f t="shared" si="1"/>
        <v>4.5518813540830427E-2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4.4" hidden="1">
      <c r="A155" s="3">
        <f>LOOKUP(D155,'AMFI DATA_2023H2'!F:L,'AMFI DATA_2023H2'!L:L)</f>
        <v>584</v>
      </c>
      <c r="B155" s="4" t="s">
        <v>1725</v>
      </c>
      <c r="C155" s="4" t="s">
        <v>1726</v>
      </c>
      <c r="D155" s="5" t="s">
        <v>1727</v>
      </c>
      <c r="E155" s="5">
        <v>569.99</v>
      </c>
      <c r="F155" s="6">
        <f>LOOKUP(D155,'AMFI DATA_2023H2'!F:J,'AMFI DATA_2023H2'!J:J)</f>
        <v>5723.2733000000007</v>
      </c>
      <c r="G155" s="7">
        <f t="shared" si="0"/>
        <v>-7.0367598905334283E-3</v>
      </c>
      <c r="H155" s="8">
        <v>5683</v>
      </c>
      <c r="I155" s="8">
        <v>5676</v>
      </c>
      <c r="J155" s="8">
        <v>5685</v>
      </c>
      <c r="K155" s="8">
        <v>5598</v>
      </c>
      <c r="L155" s="8">
        <v>5634</v>
      </c>
      <c r="M155" s="8">
        <v>5727</v>
      </c>
      <c r="N155" s="8">
        <v>5683</v>
      </c>
      <c r="O155" s="8">
        <v>5613</v>
      </c>
      <c r="P155" s="8">
        <v>5522</v>
      </c>
      <c r="Q155" s="8">
        <v>5517</v>
      </c>
      <c r="R155" s="7">
        <f t="shared" si="1"/>
        <v>-1.5633239111611297E-2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4.4" hidden="1">
      <c r="A156" s="3">
        <f>LOOKUP(D156,'AMFI DATA_2023H2'!F:L,'AMFI DATA_2023H2'!L:L)</f>
        <v>1994</v>
      </c>
      <c r="B156" s="4" t="s">
        <v>4727</v>
      </c>
      <c r="C156" s="4" t="s">
        <v>4728</v>
      </c>
      <c r="D156" s="5" t="s">
        <v>4729</v>
      </c>
      <c r="E156" s="5">
        <v>171.11</v>
      </c>
      <c r="F156" s="6">
        <f>LOOKUP(D156,'AMFI DATA_2023H2'!F:J,'AMFI DATA_2023H2'!J:J)</f>
        <v>190.33369999999999</v>
      </c>
      <c r="G156" s="7">
        <f t="shared" si="0"/>
        <v>2.9770345451173519E-2</v>
      </c>
      <c r="H156" s="9">
        <v>196</v>
      </c>
      <c r="I156" s="9">
        <v>193</v>
      </c>
      <c r="J156" s="9">
        <v>192</v>
      </c>
      <c r="K156" s="9">
        <v>192</v>
      </c>
      <c r="L156" s="9">
        <v>195</v>
      </c>
      <c r="M156" s="9">
        <v>194</v>
      </c>
      <c r="N156" s="9">
        <v>196</v>
      </c>
      <c r="O156" s="9">
        <v>196</v>
      </c>
      <c r="P156" s="9">
        <v>196</v>
      </c>
      <c r="Q156" s="9">
        <v>199</v>
      </c>
      <c r="R156" s="7">
        <f t="shared" si="1"/>
        <v>2.3991022083845515E-2</v>
      </c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4.4" hidden="1">
      <c r="A157" s="3">
        <f>LOOKUP(D157,'AMFI DATA_2023H2'!F:L,'AMFI DATA_2023H2'!L:L)</f>
        <v>1292</v>
      </c>
      <c r="B157" s="4" t="s">
        <v>3551</v>
      </c>
      <c r="C157" s="4" t="s">
        <v>3552</v>
      </c>
      <c r="D157" s="5" t="s">
        <v>3553</v>
      </c>
      <c r="E157" s="5">
        <v>688.28</v>
      </c>
      <c r="F157" s="6">
        <f>LOOKUP(D157,'AMFI DATA_2023H2'!F:J,'AMFI DATA_2023H2'!J:J)</f>
        <v>821.75524999999993</v>
      </c>
      <c r="G157" s="7">
        <f t="shared" si="0"/>
        <v>8.6698259609537143E-2</v>
      </c>
      <c r="H157" s="9">
        <v>893</v>
      </c>
      <c r="I157" s="9">
        <v>897</v>
      </c>
      <c r="J157" s="9">
        <v>893</v>
      </c>
      <c r="K157" s="9">
        <v>904</v>
      </c>
      <c r="L157" s="9">
        <v>905</v>
      </c>
      <c r="M157" s="9">
        <v>877</v>
      </c>
      <c r="N157" s="9">
        <v>868</v>
      </c>
      <c r="O157" s="9">
        <v>884</v>
      </c>
      <c r="P157" s="9">
        <v>875</v>
      </c>
      <c r="Q157" s="9">
        <v>854</v>
      </c>
      <c r="R157" s="7">
        <f t="shared" si="1"/>
        <v>7.6963000844838092E-2</v>
      </c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4.4" hidden="1">
      <c r="A158" s="3">
        <f>LOOKUP(D158,'AMFI DATA_2023H2'!F:L,'AMFI DATA_2023H2'!L:L)</f>
        <v>850</v>
      </c>
      <c r="B158" s="4" t="s">
        <v>2465</v>
      </c>
      <c r="C158" s="4" t="s">
        <v>2466</v>
      </c>
      <c r="D158" s="5" t="s">
        <v>2467</v>
      </c>
      <c r="E158" s="5">
        <v>2780.42</v>
      </c>
      <c r="F158" s="6">
        <f>LOOKUP(D158,'AMFI DATA_2023H2'!F:J,'AMFI DATA_2023H2'!J:J)</f>
        <v>2513.2335000000003</v>
      </c>
      <c r="G158" s="7">
        <f t="shared" si="0"/>
        <v>-0.14930307908119167</v>
      </c>
      <c r="H158" s="8">
        <v>2138</v>
      </c>
      <c r="I158" s="8">
        <v>2124</v>
      </c>
      <c r="J158" s="8">
        <v>2150</v>
      </c>
      <c r="K158" s="8">
        <v>2183</v>
      </c>
      <c r="L158" s="8">
        <v>2114</v>
      </c>
      <c r="M158" s="8">
        <v>2164</v>
      </c>
      <c r="N158" s="8">
        <v>2167</v>
      </c>
      <c r="O158" s="8">
        <v>2182</v>
      </c>
      <c r="P158" s="8">
        <v>2244</v>
      </c>
      <c r="Q158" s="8">
        <v>2176</v>
      </c>
      <c r="R158" s="7">
        <f t="shared" si="1"/>
        <v>-0.1388782618089407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4.4" hidden="1">
      <c r="A159" s="3">
        <f>LOOKUP(D159,'AMFI DATA_2023H2'!F:L,'AMFI DATA_2023H2'!L:L)</f>
        <v>297</v>
      </c>
      <c r="B159" s="4" t="s">
        <v>900</v>
      </c>
      <c r="C159" s="4" t="s">
        <v>901</v>
      </c>
      <c r="D159" s="5" t="s">
        <v>902</v>
      </c>
      <c r="E159" s="5">
        <v>12170.69</v>
      </c>
      <c r="F159" s="6">
        <f>LOOKUP(D159,'AMFI DATA_2023H2'!F:J,'AMFI DATA_2023H2'!J:J)</f>
        <v>16895.2248</v>
      </c>
      <c r="G159" s="7">
        <f t="shared" si="0"/>
        <v>0.23466838985178828</v>
      </c>
      <c r="H159" s="8">
        <v>20860</v>
      </c>
      <c r="I159" s="8">
        <v>20060</v>
      </c>
      <c r="J159" s="8">
        <v>19898</v>
      </c>
      <c r="K159" s="8">
        <v>20158</v>
      </c>
      <c r="L159" s="8">
        <v>20178</v>
      </c>
      <c r="M159" s="8">
        <v>20470</v>
      </c>
      <c r="N159" s="8">
        <v>20130</v>
      </c>
      <c r="O159" s="8">
        <v>20080</v>
      </c>
      <c r="P159" s="8">
        <v>19983</v>
      </c>
      <c r="Q159" s="8">
        <v>19778</v>
      </c>
      <c r="R159" s="7">
        <f t="shared" si="1"/>
        <v>0.19320697052814584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4.4" hidden="1">
      <c r="A160" s="3">
        <f>LOOKUP(D160,'AMFI DATA_2023H2'!F:L,'AMFI DATA_2023H2'!L:L)</f>
        <v>664</v>
      </c>
      <c r="B160" s="4" t="s">
        <v>1947</v>
      </c>
      <c r="C160" s="4" t="s">
        <v>1948</v>
      </c>
      <c r="D160" s="5" t="s">
        <v>1949</v>
      </c>
      <c r="E160" s="5">
        <v>2602.13</v>
      </c>
      <c r="F160" s="6">
        <f>LOOKUP(D160,'AMFI DATA_2023H2'!F:J,'AMFI DATA_2023H2'!J:J)</f>
        <v>4309.6870500000005</v>
      </c>
      <c r="G160" s="7">
        <f t="shared" si="0"/>
        <v>0.33211528665405043</v>
      </c>
      <c r="H160" s="8">
        <v>5741</v>
      </c>
      <c r="I160" s="8">
        <v>5688</v>
      </c>
      <c r="J160" s="8">
        <v>5630</v>
      </c>
      <c r="K160" s="8">
        <v>5684</v>
      </c>
      <c r="L160" s="8">
        <v>5746</v>
      </c>
      <c r="M160" s="8">
        <v>5726</v>
      </c>
      <c r="N160" s="8">
        <v>5820</v>
      </c>
      <c r="O160" s="8">
        <v>5762</v>
      </c>
      <c r="P160" s="8">
        <v>5833</v>
      </c>
      <c r="Q160" s="8">
        <v>5777</v>
      </c>
      <c r="R160" s="7">
        <f t="shared" si="1"/>
        <v>0.33204567603116319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4.4" hidden="1">
      <c r="A161" s="3">
        <f>LOOKUP(D161,'AMFI DATA_2023H2'!F:L,'AMFI DATA_2023H2'!L:L)</f>
        <v>125</v>
      </c>
      <c r="B161" s="4" t="s">
        <v>387</v>
      </c>
      <c r="C161" s="4" t="s">
        <v>388</v>
      </c>
      <c r="D161" s="5" t="s">
        <v>389</v>
      </c>
      <c r="E161" s="5">
        <v>42036.83</v>
      </c>
      <c r="F161" s="6">
        <f>LOOKUP(D161,'AMFI DATA_2023H2'!F:J,'AMFI DATA_2023H2'!J:J)</f>
        <v>51380.524799999999</v>
      </c>
      <c r="G161" s="7">
        <f t="shared" si="0"/>
        <v>-3.7417383483011823E-2</v>
      </c>
      <c r="H161" s="8">
        <v>49458</v>
      </c>
      <c r="I161" s="8">
        <v>49785</v>
      </c>
      <c r="J161" s="8">
        <v>49992</v>
      </c>
      <c r="K161" s="8">
        <v>51031</v>
      </c>
      <c r="L161" s="8">
        <v>51172</v>
      </c>
      <c r="M161" s="8">
        <v>51229</v>
      </c>
      <c r="N161" s="8">
        <v>50878</v>
      </c>
      <c r="O161" s="8">
        <v>51415</v>
      </c>
      <c r="P161" s="8">
        <v>51645</v>
      </c>
      <c r="Q161" s="8">
        <v>51950</v>
      </c>
      <c r="R161" s="7">
        <f t="shared" si="1"/>
        <v>-1.0218361958031164E-2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4.4" hidden="1">
      <c r="A162" s="3">
        <f>LOOKUP(D162,'AMFI DATA_2023H2'!F:L,'AMFI DATA_2023H2'!L:L)</f>
        <v>383</v>
      </c>
      <c r="B162" s="4" t="s">
        <v>1152</v>
      </c>
      <c r="C162" s="4" t="s">
        <v>1153</v>
      </c>
      <c r="D162" s="5" t="s">
        <v>1154</v>
      </c>
      <c r="E162" s="5">
        <v>8391.5499999999993</v>
      </c>
      <c r="F162" s="6">
        <f>LOOKUP(D162,'AMFI DATA_2023H2'!F:J,'AMFI DATA_2023H2'!J:J)</f>
        <v>11023.92355</v>
      </c>
      <c r="G162" s="7">
        <f t="shared" si="0"/>
        <v>0.26161977964732896</v>
      </c>
      <c r="H162" s="8">
        <v>13908</v>
      </c>
      <c r="I162" s="8">
        <v>13966</v>
      </c>
      <c r="J162" s="8">
        <v>14216</v>
      </c>
      <c r="K162" s="8">
        <v>14245</v>
      </c>
      <c r="L162" s="8">
        <v>14037</v>
      </c>
      <c r="M162" s="8">
        <v>13817</v>
      </c>
      <c r="N162" s="8">
        <v>14005</v>
      </c>
      <c r="O162" s="8">
        <v>13908</v>
      </c>
      <c r="P162" s="8">
        <v>14067</v>
      </c>
      <c r="Q162" s="8">
        <v>13323</v>
      </c>
      <c r="R162" s="7">
        <f t="shared" si="1"/>
        <v>0.2653571060006128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4.4" hidden="1">
      <c r="A163" s="3">
        <f>LOOKUP(D163,'AMFI DATA_2023H2'!F:L,'AMFI DATA_2023H2'!L:L)</f>
        <v>2176</v>
      </c>
      <c r="B163" s="4" t="s">
        <v>4982</v>
      </c>
      <c r="C163" s="4" t="s">
        <v>4983</v>
      </c>
      <c r="D163" s="5" t="s">
        <v>4984</v>
      </c>
      <c r="E163" s="5">
        <v>124.1</v>
      </c>
      <c r="F163" s="6">
        <f>LOOKUP(D163,'AMFI DATA_2023H2'!F:J,'AMFI DATA_2023H2'!J:J)</f>
        <v>138.04845</v>
      </c>
      <c r="G163" s="7">
        <f t="shared" si="0"/>
        <v>0.17350104256875021</v>
      </c>
      <c r="H163" s="9">
        <v>162</v>
      </c>
      <c r="I163" s="9">
        <v>163</v>
      </c>
      <c r="J163" s="9">
        <v>162</v>
      </c>
      <c r="K163" s="9">
        <v>157</v>
      </c>
      <c r="L163" s="9">
        <v>154</v>
      </c>
      <c r="M163" s="9">
        <v>151</v>
      </c>
      <c r="N163" s="9">
        <v>144</v>
      </c>
      <c r="O163" s="9">
        <v>141</v>
      </c>
      <c r="P163" s="9">
        <v>141</v>
      </c>
      <c r="Q163" s="9">
        <v>135</v>
      </c>
      <c r="R163" s="7">
        <f t="shared" si="1"/>
        <v>9.3818873011612958E-2</v>
      </c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4.4" hidden="1">
      <c r="A164" s="3">
        <f>LOOKUP(D164,'AMFI DATA_2023H2'!F:L,'AMFI DATA_2023H2'!L:L)</f>
        <v>2180</v>
      </c>
      <c r="B164" s="4" t="s">
        <v>4991</v>
      </c>
      <c r="C164" s="4" t="s">
        <v>4992</v>
      </c>
      <c r="D164" s="5" t="s">
        <v>4993</v>
      </c>
      <c r="E164" s="5">
        <v>169.99</v>
      </c>
      <c r="F164" s="6">
        <f>LOOKUP(D164,'AMFI DATA_2023H2'!F:J,'AMFI DATA_2023H2'!J:J)</f>
        <v>137.50355000000002</v>
      </c>
      <c r="G164" s="7">
        <f t="shared" si="0"/>
        <v>-0.3003816992361289</v>
      </c>
      <c r="H164" s="9">
        <v>96.2</v>
      </c>
      <c r="I164" s="9">
        <v>91.8</v>
      </c>
      <c r="J164" s="9">
        <v>91.8</v>
      </c>
      <c r="K164" s="9">
        <v>92.5</v>
      </c>
      <c r="L164" s="9">
        <v>90.3</v>
      </c>
      <c r="M164" s="9">
        <v>90.1</v>
      </c>
      <c r="N164" s="9">
        <v>89.2</v>
      </c>
      <c r="O164" s="9">
        <v>89.8</v>
      </c>
      <c r="P164" s="9">
        <v>95.9</v>
      </c>
      <c r="Q164" s="9">
        <v>94.4</v>
      </c>
      <c r="R164" s="7">
        <f t="shared" si="1"/>
        <v>-0.32947185727204864</v>
      </c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4.4" hidden="1">
      <c r="A165" s="3">
        <f>LOOKUP(D165,'AMFI DATA_2023H2'!F:L,'AMFI DATA_2023H2'!L:L)</f>
        <v>1958</v>
      </c>
      <c r="B165" s="4" t="s">
        <v>4676</v>
      </c>
      <c r="C165" s="4" t="s">
        <v>4677</v>
      </c>
      <c r="D165" s="5" t="s">
        <v>4678</v>
      </c>
      <c r="E165" s="5">
        <v>218.85</v>
      </c>
      <c r="F165" s="6">
        <f>LOOKUP(D165,'AMFI DATA_2023H2'!F:J,'AMFI DATA_2023H2'!J:J)</f>
        <v>200.03019999999998</v>
      </c>
      <c r="G165" s="7">
        <f t="shared" si="0"/>
        <v>9.483467996332573E-2</v>
      </c>
      <c r="H165" s="9">
        <v>219</v>
      </c>
      <c r="I165" s="9">
        <v>221</v>
      </c>
      <c r="J165" s="9">
        <v>217</v>
      </c>
      <c r="K165" s="9">
        <v>219</v>
      </c>
      <c r="L165" s="9">
        <v>219</v>
      </c>
      <c r="M165" s="9">
        <v>225</v>
      </c>
      <c r="N165" s="9">
        <v>222</v>
      </c>
      <c r="O165" s="9">
        <v>215</v>
      </c>
      <c r="P165" s="9">
        <v>210</v>
      </c>
      <c r="Q165" s="9">
        <v>215</v>
      </c>
      <c r="R165" s="7">
        <f t="shared" si="1"/>
        <v>9.0835283872135353E-2</v>
      </c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4.4" hidden="1">
      <c r="A166" s="3">
        <f>LOOKUP(D166,'AMFI DATA_2023H2'!F:L,'AMFI DATA_2023H2'!L:L)</f>
        <v>1203</v>
      </c>
      <c r="B166" s="4" t="s">
        <v>3359</v>
      </c>
      <c r="C166" s="4" t="s">
        <v>3360</v>
      </c>
      <c r="D166" s="5" t="s">
        <v>3361</v>
      </c>
      <c r="E166" s="5">
        <v>122.64</v>
      </c>
      <c r="F166" s="6">
        <f>LOOKUP(D166,'AMFI DATA_2023H2'!F:J,'AMFI DATA_2023H2'!J:J)</f>
        <v>1045.6167500000001</v>
      </c>
      <c r="G166" s="7">
        <f t="shared" si="0"/>
        <v>-1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7">
        <f t="shared" si="1"/>
        <v>-1</v>
      </c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4.4" hidden="1">
      <c r="A167" s="3">
        <f>LOOKUP(D167,'AMFI DATA_2023H2'!F:L,'AMFI DATA_2023H2'!L:L)</f>
        <v>1083</v>
      </c>
      <c r="B167" s="4" t="s">
        <v>3074</v>
      </c>
      <c r="C167" s="4" t="s">
        <v>3075</v>
      </c>
      <c r="D167" s="5" t="s">
        <v>3076</v>
      </c>
      <c r="E167" s="5">
        <v>782.6</v>
      </c>
      <c r="F167" s="6">
        <f>LOOKUP(D167,'AMFI DATA_2023H2'!F:J,'AMFI DATA_2023H2'!J:J)</f>
        <v>1378.0216</v>
      </c>
      <c r="G167" s="7">
        <f t="shared" si="0"/>
        <v>0.14221721923662156</v>
      </c>
      <c r="H167" s="8">
        <v>1574</v>
      </c>
      <c r="I167" s="8">
        <v>1566</v>
      </c>
      <c r="J167" s="8">
        <v>1567</v>
      </c>
      <c r="K167" s="8">
        <v>1588</v>
      </c>
      <c r="L167" s="8">
        <v>1592</v>
      </c>
      <c r="M167" s="8">
        <v>1576</v>
      </c>
      <c r="N167" s="8">
        <v>1596</v>
      </c>
      <c r="O167" s="8">
        <v>1607</v>
      </c>
      <c r="P167" s="8">
        <v>1614</v>
      </c>
      <c r="Q167" s="8">
        <v>1589</v>
      </c>
      <c r="R167" s="7">
        <f t="shared" si="1"/>
        <v>0.15157846582375778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4.4" hidden="1">
      <c r="A168" s="3">
        <f>LOOKUP(D168,'AMFI DATA_2023H2'!F:L,'AMFI DATA_2023H2'!L:L)</f>
        <v>265</v>
      </c>
      <c r="B168" s="4" t="s">
        <v>804</v>
      </c>
      <c r="C168" s="4" t="s">
        <v>805</v>
      </c>
      <c r="D168" s="5" t="s">
        <v>806</v>
      </c>
      <c r="E168" s="5">
        <v>20883.560000000001</v>
      </c>
      <c r="F168" s="6">
        <f>LOOKUP(D168,'AMFI DATA_2023H2'!F:J,'AMFI DATA_2023H2'!J:J)</f>
        <v>20225.7788</v>
      </c>
      <c r="G168" s="7">
        <f t="shared" si="0"/>
        <v>2.5967909824070601E-2</v>
      </c>
      <c r="H168" s="8">
        <v>20751</v>
      </c>
      <c r="I168" s="8">
        <v>20877</v>
      </c>
      <c r="J168" s="8">
        <v>21136</v>
      </c>
      <c r="K168" s="8">
        <v>21154</v>
      </c>
      <c r="L168" s="8">
        <v>21159</v>
      </c>
      <c r="M168" s="8">
        <v>21117</v>
      </c>
      <c r="N168" s="8">
        <v>20863</v>
      </c>
      <c r="O168" s="8">
        <v>20736</v>
      </c>
      <c r="P168" s="8">
        <v>20760</v>
      </c>
      <c r="Q168" s="8">
        <v>20625</v>
      </c>
      <c r="R168" s="7">
        <f t="shared" si="1"/>
        <v>3.4214811050934602E-2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4.4" hidden="1">
      <c r="A169" s="3">
        <f>LOOKUP(D169,'AMFI DATA_2023H2'!F:L,'AMFI DATA_2023H2'!L:L)</f>
        <v>132</v>
      </c>
      <c r="B169" s="4" t="s">
        <v>405</v>
      </c>
      <c r="C169" s="4" t="s">
        <v>406</v>
      </c>
      <c r="D169" s="5" t="s">
        <v>407</v>
      </c>
      <c r="E169" s="5">
        <v>44179.95</v>
      </c>
      <c r="F169" s="6">
        <f>LOOKUP(D169,'AMFI DATA_2023H2'!F:J,'AMFI DATA_2023H2'!J:J)</f>
        <v>48721.26715</v>
      </c>
      <c r="G169" s="7">
        <f t="shared" si="0"/>
        <v>9.9560892680928603E-2</v>
      </c>
      <c r="H169" s="8">
        <v>53572</v>
      </c>
      <c r="I169" s="8">
        <v>53325</v>
      </c>
      <c r="J169" s="8">
        <v>51425</v>
      </c>
      <c r="K169" s="8">
        <v>51101</v>
      </c>
      <c r="L169" s="8">
        <v>52566</v>
      </c>
      <c r="M169" s="8">
        <v>52633</v>
      </c>
      <c r="N169" s="8">
        <v>52743</v>
      </c>
      <c r="O169" s="8">
        <v>51623</v>
      </c>
      <c r="P169" s="8">
        <v>51456</v>
      </c>
      <c r="Q169" s="8">
        <v>51169</v>
      </c>
      <c r="R169" s="7">
        <f t="shared" si="1"/>
        <v>7.0606391237917565E-2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4.4" hidden="1">
      <c r="A170" s="3">
        <f>LOOKUP(D170,'AMFI DATA_2023H2'!F:L,'AMFI DATA_2023H2'!L:L)</f>
        <v>746</v>
      </c>
      <c r="B170" s="4" t="s">
        <v>2183</v>
      </c>
      <c r="C170" s="4" t="s">
        <v>2184</v>
      </c>
      <c r="D170" s="5" t="s">
        <v>2185</v>
      </c>
      <c r="E170" s="5">
        <v>1123.27</v>
      </c>
      <c r="F170" s="6">
        <f>LOOKUP(D170,'AMFI DATA_2023H2'!F:J,'AMFI DATA_2023H2'!J:J)</f>
        <v>3393.1336499999998</v>
      </c>
      <c r="G170" s="7">
        <f t="shared" si="0"/>
        <v>0.67043228609636407</v>
      </c>
      <c r="H170" s="8">
        <v>5668</v>
      </c>
      <c r="I170" s="8">
        <v>5642</v>
      </c>
      <c r="J170" s="8">
        <v>5375</v>
      </c>
      <c r="K170" s="8">
        <v>5358</v>
      </c>
      <c r="L170" s="8">
        <v>5461</v>
      </c>
      <c r="M170" s="8">
        <v>5387</v>
      </c>
      <c r="N170" s="8">
        <v>5424</v>
      </c>
      <c r="O170" s="8">
        <v>5476</v>
      </c>
      <c r="P170" s="8">
        <v>5568</v>
      </c>
      <c r="Q170" s="8">
        <v>5398</v>
      </c>
      <c r="R170" s="7">
        <f t="shared" si="1"/>
        <v>0.6137590100525514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4.4">
      <c r="A171" s="3">
        <f>LOOKUP(D171,'AMFI DATA_2023H2'!F:L,'AMFI DATA_2023H2'!L:L)</f>
        <v>122</v>
      </c>
      <c r="B171" s="4" t="s">
        <v>378</v>
      </c>
      <c r="C171" s="4" t="s">
        <v>379</v>
      </c>
      <c r="D171" s="5" t="s">
        <v>380</v>
      </c>
      <c r="E171" s="5">
        <v>31609.88</v>
      </c>
      <c r="F171" s="6">
        <f>LOOKUP(D171,'AMFI DATA_2023H2'!F:J,'AMFI DATA_2023H2'!J:J)</f>
        <v>52449.809249999998</v>
      </c>
      <c r="G171" s="7">
        <f t="shared" si="0"/>
        <v>0.25561943773894669</v>
      </c>
      <c r="H171" s="8">
        <v>65857</v>
      </c>
      <c r="I171" s="8">
        <v>65534</v>
      </c>
      <c r="J171" s="8">
        <v>63943</v>
      </c>
      <c r="K171" s="8">
        <v>64061</v>
      </c>
      <c r="L171" s="8">
        <v>63126</v>
      </c>
      <c r="M171" s="8">
        <v>63507</v>
      </c>
      <c r="N171" s="8">
        <v>63832</v>
      </c>
      <c r="O171" s="8">
        <v>62666</v>
      </c>
      <c r="P171" s="8">
        <v>62338</v>
      </c>
      <c r="Q171" s="8">
        <v>62484</v>
      </c>
      <c r="R171" s="14">
        <f t="shared" si="1"/>
        <v>0.21515789878682923</v>
      </c>
      <c r="S171" s="8"/>
      <c r="T171" s="8">
        <v>1121.55</v>
      </c>
      <c r="U171" s="15">
        <f ca="1">IFERROR(__xludf.DUMMYFUNCTION("GOOGLEFINANCE(C171,""PRICE"")"),1150)</f>
        <v>1150</v>
      </c>
      <c r="V171" s="13" t="s">
        <v>5787</v>
      </c>
      <c r="W171" s="7">
        <f ca="1">U171/T171-1</f>
        <v>2.5366680041014611E-2</v>
      </c>
      <c r="X171" s="8"/>
      <c r="Y171" s="8"/>
      <c r="Z171" s="8"/>
      <c r="AA171" s="8"/>
      <c r="AB171" s="8"/>
    </row>
    <row r="172" spans="1:28" ht="14.4" hidden="1">
      <c r="A172" s="3">
        <f>LOOKUP(D172,'AMFI DATA_2023H2'!F:L,'AMFI DATA_2023H2'!L:L)</f>
        <v>1495</v>
      </c>
      <c r="B172" s="4" t="s">
        <v>3950</v>
      </c>
      <c r="C172" s="4" t="s">
        <v>3951</v>
      </c>
      <c r="D172" s="5" t="s">
        <v>3952</v>
      </c>
      <c r="E172" s="5">
        <v>580.36</v>
      </c>
      <c r="F172" s="6">
        <f>LOOKUP(D172,'AMFI DATA_2023H2'!F:J,'AMFI DATA_2023H2'!J:J)</f>
        <v>519.10199982731046</v>
      </c>
      <c r="G172" s="7">
        <f t="shared" si="0"/>
        <v>0.27142642528744254</v>
      </c>
      <c r="H172" s="9">
        <v>660</v>
      </c>
      <c r="I172" s="9">
        <v>657</v>
      </c>
      <c r="J172" s="9">
        <v>643</v>
      </c>
      <c r="K172" s="9">
        <v>654</v>
      </c>
      <c r="L172" s="9">
        <v>647</v>
      </c>
      <c r="M172" s="9">
        <v>654</v>
      </c>
      <c r="N172" s="9">
        <v>656</v>
      </c>
      <c r="O172" s="9">
        <v>658</v>
      </c>
      <c r="P172" s="9">
        <v>663</v>
      </c>
      <c r="Q172" s="9">
        <v>662</v>
      </c>
      <c r="R172" s="7">
        <f t="shared" si="1"/>
        <v>0.26256496838392396</v>
      </c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4.4" hidden="1">
      <c r="A173" s="3">
        <f>LOOKUP(D173,'AMFI DATA_2023H2'!F:L,'AMFI DATA_2023H2'!L:L)</f>
        <v>2395</v>
      </c>
      <c r="B173" s="4" t="s">
        <v>5204</v>
      </c>
      <c r="C173" s="4" t="s">
        <v>5205</v>
      </c>
      <c r="D173" s="5" t="s">
        <v>5206</v>
      </c>
      <c r="E173" s="5">
        <v>87.03</v>
      </c>
      <c r="F173" s="6">
        <f>LOOKUP(D173,'AMFI DATA_2023H2'!F:J,'AMFI DATA_2023H2'!J:J)</f>
        <v>97.543750000000003</v>
      </c>
      <c r="G173" s="7">
        <f t="shared" si="0"/>
        <v>1.9029922470686245E-2</v>
      </c>
      <c r="H173" s="9">
        <v>99.4</v>
      </c>
      <c r="I173" s="9">
        <v>95.3</v>
      </c>
      <c r="J173" s="9">
        <v>94</v>
      </c>
      <c r="K173" s="9">
        <v>94.1</v>
      </c>
      <c r="L173" s="9">
        <v>92.6</v>
      </c>
      <c r="M173" s="9">
        <v>91</v>
      </c>
      <c r="N173" s="9">
        <v>91.8</v>
      </c>
      <c r="O173" s="9">
        <v>92.3</v>
      </c>
      <c r="P173" s="9">
        <v>92.7</v>
      </c>
      <c r="Q173" s="9">
        <v>94</v>
      </c>
      <c r="R173" s="7">
        <f t="shared" si="1"/>
        <v>-3.9200358813353042E-2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4.4" hidden="1">
      <c r="A174" s="3">
        <f>LOOKUP(D174,'AMFI DATA_2023H2'!F:L,'AMFI DATA_2023H2'!L:L)</f>
        <v>1631</v>
      </c>
      <c r="B174" s="4" t="s">
        <v>4211</v>
      </c>
      <c r="C174" s="4" t="s">
        <v>4212</v>
      </c>
      <c r="D174" s="5" t="s">
        <v>4213</v>
      </c>
      <c r="E174" s="5">
        <v>277.24</v>
      </c>
      <c r="F174" s="6">
        <f>LOOKUP(D174,'AMFI DATA_2023H2'!F:J,'AMFI DATA_2023H2'!J:J)</f>
        <v>384.07595000000003</v>
      </c>
      <c r="G174" s="7">
        <f t="shared" si="0"/>
        <v>0.34088062530340668</v>
      </c>
      <c r="H174" s="9">
        <v>515</v>
      </c>
      <c r="I174" s="9">
        <v>512</v>
      </c>
      <c r="J174" s="9">
        <v>513</v>
      </c>
      <c r="K174" s="9">
        <v>510</v>
      </c>
      <c r="L174" s="9">
        <v>515</v>
      </c>
      <c r="M174" s="9">
        <v>509</v>
      </c>
      <c r="N174" s="9">
        <v>512</v>
      </c>
      <c r="O174" s="9">
        <v>527</v>
      </c>
      <c r="P174" s="9">
        <v>543</v>
      </c>
      <c r="Q174" s="9">
        <v>519</v>
      </c>
      <c r="R174" s="7">
        <f t="shared" si="1"/>
        <v>0.34738975455245225</v>
      </c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4.4" hidden="1">
      <c r="A175" s="3">
        <f>LOOKUP(D175,'AMFI DATA_2023H2'!F:L,'AMFI DATA_2023H2'!L:L)</f>
        <v>747</v>
      </c>
      <c r="B175" s="4" t="s">
        <v>2186</v>
      </c>
      <c r="C175" s="4" t="s">
        <v>2187</v>
      </c>
      <c r="D175" s="5" t="s">
        <v>2188</v>
      </c>
      <c r="E175" s="5">
        <v>3503.04</v>
      </c>
      <c r="F175" s="6">
        <f>LOOKUP(D175,'AMFI DATA_2023H2'!F:J,'AMFI DATA_2023H2'!J:J)</f>
        <v>3365.8388999999997</v>
      </c>
      <c r="G175" s="7">
        <f t="shared" si="0"/>
        <v>-4.0358111019514253E-2</v>
      </c>
      <c r="H175" s="8">
        <v>3230</v>
      </c>
      <c r="I175" s="8">
        <v>3321</v>
      </c>
      <c r="J175" s="8">
        <v>3331</v>
      </c>
      <c r="K175" s="8">
        <v>3325</v>
      </c>
      <c r="L175" s="8">
        <v>3274</v>
      </c>
      <c r="M175" s="8">
        <v>3242</v>
      </c>
      <c r="N175" s="8">
        <v>3249</v>
      </c>
      <c r="O175" s="8">
        <v>3261</v>
      </c>
      <c r="P175" s="8">
        <v>3264</v>
      </c>
      <c r="Q175" s="8">
        <v>3328</v>
      </c>
      <c r="R175" s="7">
        <f t="shared" si="1"/>
        <v>-2.4760216539181257E-2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4.4" hidden="1">
      <c r="A176" s="3">
        <f>LOOKUP(D176,'AMFI DATA_2023H2'!F:L,'AMFI DATA_2023H2'!L:L)</f>
        <v>1397</v>
      </c>
      <c r="B176" s="4" t="s">
        <v>3770</v>
      </c>
      <c r="C176" s="4" t="s">
        <v>3771</v>
      </c>
      <c r="D176" s="5" t="s">
        <v>3772</v>
      </c>
      <c r="E176" s="5">
        <v>510.3</v>
      </c>
      <c r="F176" s="6">
        <f>LOOKUP(D176,'AMFI DATA_2023H2'!F:J,'AMFI DATA_2023H2'!J:J)</f>
        <v>646.4203</v>
      </c>
      <c r="G176" s="7">
        <f t="shared" si="0"/>
        <v>7.084709437497505E-3</v>
      </c>
      <c r="H176" s="9">
        <v>651</v>
      </c>
      <c r="I176" s="9">
        <v>656</v>
      </c>
      <c r="J176" s="9">
        <v>654</v>
      </c>
      <c r="K176" s="9">
        <v>655</v>
      </c>
      <c r="L176" s="9">
        <v>664</v>
      </c>
      <c r="M176" s="9">
        <v>665</v>
      </c>
      <c r="N176" s="9">
        <v>655</v>
      </c>
      <c r="O176" s="9">
        <v>661</v>
      </c>
      <c r="P176" s="9">
        <v>654</v>
      </c>
      <c r="Q176" s="9">
        <v>659</v>
      </c>
      <c r="R176" s="7">
        <f t="shared" si="1"/>
        <v>1.6985388608618868E-2</v>
      </c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4.4" hidden="1">
      <c r="A177" s="3">
        <f>LOOKUP(D177,'AMFI DATA_2023H2'!F:L,'AMFI DATA_2023H2'!L:L)</f>
        <v>1112</v>
      </c>
      <c r="B177" s="4" t="s">
        <v>3140</v>
      </c>
      <c r="C177" s="4" t="s">
        <v>3141</v>
      </c>
      <c r="D177" s="5" t="s">
        <v>3142</v>
      </c>
      <c r="E177" s="5">
        <v>963.33</v>
      </c>
      <c r="F177" s="6">
        <f>LOOKUP(D177,'AMFI DATA_2023H2'!F:J,'AMFI DATA_2023H2'!J:J)</f>
        <v>1300.20965</v>
      </c>
      <c r="G177" s="7">
        <f t="shared" si="0"/>
        <v>2.2142852116195266E-2</v>
      </c>
      <c r="H177" s="8">
        <v>1329</v>
      </c>
      <c r="I177" s="8">
        <v>1335</v>
      </c>
      <c r="J177" s="8">
        <v>1338</v>
      </c>
      <c r="K177" s="8">
        <v>1335</v>
      </c>
      <c r="L177" s="8">
        <v>1342</v>
      </c>
      <c r="M177" s="8">
        <v>1338</v>
      </c>
      <c r="N177" s="8">
        <v>1332</v>
      </c>
      <c r="O177" s="8">
        <v>1315</v>
      </c>
      <c r="P177" s="8">
        <v>1330</v>
      </c>
      <c r="Q177" s="8">
        <v>1361</v>
      </c>
      <c r="R177" s="7">
        <f t="shared" si="1"/>
        <v>2.7142045900059308E-2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4.4" hidden="1">
      <c r="A178" s="3">
        <f>LOOKUP(D178,'AMFI DATA_2023H2'!F:L,'AMFI DATA_2023H2'!L:L)</f>
        <v>723</v>
      </c>
      <c r="B178" s="4" t="s">
        <v>2114</v>
      </c>
      <c r="C178" s="4" t="s">
        <v>2115</v>
      </c>
      <c r="D178" s="5" t="s">
        <v>2116</v>
      </c>
      <c r="E178" s="5">
        <v>2852.8</v>
      </c>
      <c r="F178" s="6">
        <f>LOOKUP(D178,'AMFI DATA_2023H2'!F:J,'AMFI DATA_2023H2'!J:J)</f>
        <v>3557.4137499999997</v>
      </c>
      <c r="G178" s="7">
        <f t="shared" si="0"/>
        <v>-1.2407187665476327E-3</v>
      </c>
      <c r="H178" s="8">
        <v>3553</v>
      </c>
      <c r="I178" s="8">
        <v>3611</v>
      </c>
      <c r="J178" s="8">
        <v>3529</v>
      </c>
      <c r="K178" s="8">
        <v>3520</v>
      </c>
      <c r="L178" s="8">
        <v>3572</v>
      </c>
      <c r="M178" s="8">
        <v>3617</v>
      </c>
      <c r="N178" s="8">
        <v>3627</v>
      </c>
      <c r="O178" s="8">
        <v>3715</v>
      </c>
      <c r="P178" s="8">
        <v>3659</v>
      </c>
      <c r="Q178" s="8">
        <v>3619</v>
      </c>
      <c r="R178" s="7">
        <f t="shared" si="1"/>
        <v>1.2589553295564881E-2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4.4" hidden="1">
      <c r="A179" s="3">
        <f>LOOKUP(D179,'AMFI DATA_2023H2'!F:L,'AMFI DATA_2023H2'!L:L)</f>
        <v>591</v>
      </c>
      <c r="B179" s="4" t="s">
        <v>1743</v>
      </c>
      <c r="C179" s="4" t="s">
        <v>1744</v>
      </c>
      <c r="D179" s="5" t="s">
        <v>1745</v>
      </c>
      <c r="E179" s="5">
        <v>5093.22</v>
      </c>
      <c r="F179" s="6">
        <f>LOOKUP(D179,'AMFI DATA_2023H2'!F:J,'AMFI DATA_2023H2'!J:J)</f>
        <v>5617.2032999999992</v>
      </c>
      <c r="G179" s="7">
        <f t="shared" si="0"/>
        <v>9.3248663440755442E-2</v>
      </c>
      <c r="H179" s="8">
        <v>6141</v>
      </c>
      <c r="I179" s="8">
        <v>6057</v>
      </c>
      <c r="J179" s="8">
        <v>6120</v>
      </c>
      <c r="K179" s="8">
        <v>5863</v>
      </c>
      <c r="L179" s="8">
        <v>5953</v>
      </c>
      <c r="M179" s="8">
        <v>5717</v>
      </c>
      <c r="N179" s="8">
        <v>5472</v>
      </c>
      <c r="O179" s="8">
        <v>5476</v>
      </c>
      <c r="P179" s="8">
        <v>5450</v>
      </c>
      <c r="Q179" s="8">
        <v>5424</v>
      </c>
      <c r="R179" s="7">
        <f t="shared" si="1"/>
        <v>2.6720895076024931E-2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4.4" hidden="1">
      <c r="A180" s="3">
        <f>LOOKUP(D180,'AMFI DATA_2023H2'!F:L,'AMFI DATA_2023H2'!L:L)</f>
        <v>23</v>
      </c>
      <c r="B180" s="4" t="s">
        <v>73</v>
      </c>
      <c r="C180" s="4" t="s">
        <v>74</v>
      </c>
      <c r="D180" s="5" t="s">
        <v>75</v>
      </c>
      <c r="E180" s="5">
        <v>231087.57</v>
      </c>
      <c r="F180" s="6">
        <f>LOOKUP(D180,'AMFI DATA_2023H2'!F:J,'AMFI DATA_2023H2'!J:J)</f>
        <v>245952.54930000001</v>
      </c>
      <c r="G180" s="7">
        <f t="shared" si="0"/>
        <v>2.2311013712269734E-2</v>
      </c>
      <c r="H180" s="8">
        <v>251440</v>
      </c>
      <c r="I180" s="8">
        <v>253646</v>
      </c>
      <c r="J180" s="8">
        <v>255989</v>
      </c>
      <c r="K180" s="8">
        <v>267149</v>
      </c>
      <c r="L180" s="8">
        <v>264507</v>
      </c>
      <c r="M180" s="8">
        <v>265418</v>
      </c>
      <c r="N180" s="8">
        <v>262636</v>
      </c>
      <c r="O180" s="8">
        <v>261526</v>
      </c>
      <c r="P180" s="8">
        <v>261477</v>
      </c>
      <c r="Q180" s="8">
        <v>260811</v>
      </c>
      <c r="R180" s="7">
        <f t="shared" si="1"/>
        <v>5.8984347758496591E-2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4.4" hidden="1">
      <c r="A181" s="3">
        <f>LOOKUP(D181,'AMFI DATA_2023H2'!F:L,'AMFI DATA_2023H2'!L:L)</f>
        <v>1687</v>
      </c>
      <c r="B181" s="4" t="s">
        <v>4313</v>
      </c>
      <c r="C181" s="4" t="s">
        <v>4314</v>
      </c>
      <c r="D181" s="5" t="s">
        <v>4315</v>
      </c>
      <c r="E181" s="5">
        <v>279.70999999999998</v>
      </c>
      <c r="F181" s="6">
        <f>LOOKUP(D181,'AMFI DATA_2023H2'!F:J,'AMFI DATA_2023H2'!J:J)</f>
        <v>336.12435000000005</v>
      </c>
      <c r="G181" s="7">
        <f t="shared" si="0"/>
        <v>0.30606425865903475</v>
      </c>
      <c r="H181" s="9">
        <v>439</v>
      </c>
      <c r="I181" s="9">
        <v>437</v>
      </c>
      <c r="J181" s="9">
        <v>436</v>
      </c>
      <c r="K181" s="9">
        <v>427</v>
      </c>
      <c r="L181" s="9">
        <v>431</v>
      </c>
      <c r="M181" s="9">
        <v>443</v>
      </c>
      <c r="N181" s="9">
        <v>445</v>
      </c>
      <c r="O181" s="9">
        <v>462</v>
      </c>
      <c r="P181" s="9">
        <v>396</v>
      </c>
      <c r="Q181" s="9">
        <v>397</v>
      </c>
      <c r="R181" s="7">
        <f t="shared" si="1"/>
        <v>0.28315607006752108</v>
      </c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4.4" hidden="1">
      <c r="A182" s="3">
        <f>LOOKUP(D182,'AMFI DATA_2023H2'!F:L,'AMFI DATA_2023H2'!L:L)</f>
        <v>2013</v>
      </c>
      <c r="B182" s="4" t="s">
        <v>4763</v>
      </c>
      <c r="C182" s="4" t="s">
        <v>4764</v>
      </c>
      <c r="D182" s="5" t="s">
        <v>4765</v>
      </c>
      <c r="E182" s="5">
        <v>156.81</v>
      </c>
      <c r="F182" s="6">
        <f>LOOKUP(D182,'AMFI DATA_2023H2'!F:J,'AMFI DATA_2023H2'!J:J)</f>
        <v>183.59354999999999</v>
      </c>
      <c r="G182" s="7">
        <f t="shared" si="0"/>
        <v>0.18195873438908938</v>
      </c>
      <c r="H182" s="9">
        <v>217</v>
      </c>
      <c r="I182" s="9">
        <v>203</v>
      </c>
      <c r="J182" s="9">
        <v>193</v>
      </c>
      <c r="K182" s="9">
        <v>190</v>
      </c>
      <c r="L182" s="9">
        <v>192</v>
      </c>
      <c r="M182" s="9">
        <v>190</v>
      </c>
      <c r="N182" s="9">
        <v>189</v>
      </c>
      <c r="O182" s="9">
        <v>188</v>
      </c>
      <c r="P182" s="9">
        <v>189</v>
      </c>
      <c r="Q182" s="9">
        <v>184</v>
      </c>
      <c r="R182" s="7">
        <f t="shared" si="1"/>
        <v>5.3958594950639593E-2</v>
      </c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4.4" hidden="1">
      <c r="A183" s="3">
        <f>LOOKUP(D183,'AMFI DATA_2023H2'!F:L,'AMFI DATA_2023H2'!L:L)</f>
        <v>2292</v>
      </c>
      <c r="B183" s="4" t="s">
        <v>5117</v>
      </c>
      <c r="C183" s="4" t="s">
        <v>5118</v>
      </c>
      <c r="D183" s="5" t="s">
        <v>5119</v>
      </c>
      <c r="E183" s="5">
        <v>132.18</v>
      </c>
      <c r="F183" s="6">
        <f>LOOKUP(D183,'AMFI DATA_2023H2'!F:J,'AMFI DATA_2023H2'!J:J)</f>
        <v>112.73554999999999</v>
      </c>
      <c r="G183" s="7">
        <f t="shared" si="0"/>
        <v>3.78270208465743E-2</v>
      </c>
      <c r="H183" s="9">
        <v>117</v>
      </c>
      <c r="I183" s="9">
        <v>122</v>
      </c>
      <c r="J183" s="9">
        <v>121</v>
      </c>
      <c r="K183" s="9">
        <v>120</v>
      </c>
      <c r="L183" s="9">
        <v>113</v>
      </c>
      <c r="M183" s="9">
        <v>112</v>
      </c>
      <c r="N183" s="9">
        <v>114</v>
      </c>
      <c r="O183" s="9">
        <v>114</v>
      </c>
      <c r="P183" s="9">
        <v>111</v>
      </c>
      <c r="Q183" s="9">
        <v>112</v>
      </c>
      <c r="R183" s="7">
        <f t="shared" si="1"/>
        <v>2.5408577862085169E-2</v>
      </c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4.4" hidden="1">
      <c r="A184" s="3">
        <f>LOOKUP(D184,'AMFI DATA_2023H2'!F:L,'AMFI DATA_2023H2'!L:L)</f>
        <v>1106</v>
      </c>
      <c r="B184" s="4" t="s">
        <v>3125</v>
      </c>
      <c r="C184" s="4" t="s">
        <v>3126</v>
      </c>
      <c r="D184" s="5" t="s">
        <v>3127</v>
      </c>
      <c r="E184" s="5">
        <v>1400.57</v>
      </c>
      <c r="F184" s="6">
        <f>LOOKUP(D184,'AMFI DATA_2023H2'!F:J,'AMFI DATA_2023H2'!J:J)</f>
        <v>1309.2844500000001</v>
      </c>
      <c r="G184" s="7">
        <f t="shared" si="0"/>
        <v>0.12809710678225805</v>
      </c>
      <c r="H184" s="8">
        <v>1477</v>
      </c>
      <c r="I184" s="8">
        <v>1474</v>
      </c>
      <c r="J184" s="8">
        <v>1459</v>
      </c>
      <c r="K184" s="8">
        <v>1475</v>
      </c>
      <c r="L184" s="8">
        <v>1440</v>
      </c>
      <c r="M184" s="8">
        <v>1391</v>
      </c>
      <c r="N184" s="8">
        <v>1371</v>
      </c>
      <c r="O184" s="8">
        <v>1384</v>
      </c>
      <c r="P184" s="8">
        <v>1376</v>
      </c>
      <c r="Q184" s="8">
        <v>1378</v>
      </c>
      <c r="R184" s="7">
        <f t="shared" si="1"/>
        <v>8.64713164507529E-2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4.4" hidden="1">
      <c r="A185" s="3">
        <f>LOOKUP(D185,'AMFI DATA_2023H2'!F:L,'AMFI DATA_2023H2'!L:L)</f>
        <v>15</v>
      </c>
      <c r="B185" s="4" t="s">
        <v>49</v>
      </c>
      <c r="C185" s="4" t="s">
        <v>50</v>
      </c>
      <c r="D185" s="5" t="s">
        <v>51</v>
      </c>
      <c r="E185" s="5">
        <v>275693.59000000003</v>
      </c>
      <c r="F185" s="6">
        <f>LOOKUP(D185,'AMFI DATA_2023H2'!F:J,'AMFI DATA_2023H2'!J:J)</f>
        <v>310547.04205000005</v>
      </c>
      <c r="G185" s="7">
        <f t="shared" si="0"/>
        <v>0.12931360635382982</v>
      </c>
      <c r="H185" s="8">
        <v>350705</v>
      </c>
      <c r="I185" s="8">
        <v>346480</v>
      </c>
      <c r="J185" s="8">
        <v>339211</v>
      </c>
      <c r="K185" s="8">
        <v>337037</v>
      </c>
      <c r="L185" s="8">
        <v>338641</v>
      </c>
      <c r="M185" s="8">
        <v>340152</v>
      </c>
      <c r="N185" s="8">
        <v>341709</v>
      </c>
      <c r="O185" s="8">
        <v>341226</v>
      </c>
      <c r="P185" s="8">
        <v>337532</v>
      </c>
      <c r="Q185" s="8">
        <v>335558</v>
      </c>
      <c r="R185" s="7">
        <f t="shared" si="1"/>
        <v>9.7499102712834684E-2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4.4" hidden="1">
      <c r="A186" s="3">
        <f>LOOKUP(D186,'AMFI DATA_2023H2'!F:L,'AMFI DATA_2023H2'!L:L)</f>
        <v>927</v>
      </c>
      <c r="B186" s="4" t="s">
        <v>2678</v>
      </c>
      <c r="C186" s="4" t="s">
        <v>2679</v>
      </c>
      <c r="D186" s="5" t="s">
        <v>2680</v>
      </c>
      <c r="E186" s="5">
        <v>1266.18</v>
      </c>
      <c r="F186" s="6">
        <f>LOOKUP(D186,'AMFI DATA_2023H2'!F:J,'AMFI DATA_2023H2'!J:J)</f>
        <v>2062.9168500000001</v>
      </c>
      <c r="G186" s="7">
        <f t="shared" si="0"/>
        <v>0.35584718307962815</v>
      </c>
      <c r="H186" s="8">
        <v>2797</v>
      </c>
      <c r="I186" s="8">
        <v>2775</v>
      </c>
      <c r="J186" s="8">
        <v>2874</v>
      </c>
      <c r="K186" s="8">
        <v>2613</v>
      </c>
      <c r="L186" s="8">
        <v>2556</v>
      </c>
      <c r="M186" s="8">
        <v>2451</v>
      </c>
      <c r="N186" s="8">
        <v>2553</v>
      </c>
      <c r="O186" s="8">
        <v>2565</v>
      </c>
      <c r="P186" s="8">
        <v>2610</v>
      </c>
      <c r="Q186" s="8">
        <v>2596</v>
      </c>
      <c r="R186" s="7">
        <f t="shared" si="1"/>
        <v>0.27925660212625636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4.4" hidden="1">
      <c r="A187" s="3">
        <f>LOOKUP(D187,'AMFI DATA_2023H2'!F:L,'AMFI DATA_2023H2'!L:L)</f>
        <v>1471</v>
      </c>
      <c r="B187" s="4" t="s">
        <v>3893</v>
      </c>
      <c r="C187" s="4" t="s">
        <v>3894</v>
      </c>
      <c r="D187" s="5" t="s">
        <v>3895</v>
      </c>
      <c r="E187" s="5">
        <v>954.61</v>
      </c>
      <c r="F187" s="6">
        <f>LOOKUP(D187,'AMFI DATA_2023H2'!F:J,'AMFI DATA_2023H2'!J:J)</f>
        <v>552.10885000000007</v>
      </c>
      <c r="G187" s="7">
        <f t="shared" si="0"/>
        <v>0.38016262554023528</v>
      </c>
      <c r="H187" s="9">
        <v>762</v>
      </c>
      <c r="I187" s="9">
        <v>717</v>
      </c>
      <c r="J187" s="9">
        <v>714</v>
      </c>
      <c r="K187" s="9">
        <v>704</v>
      </c>
      <c r="L187" s="9">
        <v>699</v>
      </c>
      <c r="M187" s="9">
        <v>673</v>
      </c>
      <c r="N187" s="9">
        <v>668</v>
      </c>
      <c r="O187" s="9">
        <v>686</v>
      </c>
      <c r="P187" s="9">
        <v>687</v>
      </c>
      <c r="Q187" s="9">
        <v>717</v>
      </c>
      <c r="R187" s="7">
        <f t="shared" si="1"/>
        <v>0.27275626898572614</v>
      </c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4.4" hidden="1">
      <c r="A188" s="3">
        <f>LOOKUP(D188,'AMFI DATA_2023H2'!F:L,'AMFI DATA_2023H2'!L:L)</f>
        <v>1672</v>
      </c>
      <c r="B188" s="4" t="s">
        <v>4283</v>
      </c>
      <c r="C188" s="4" t="s">
        <v>4284</v>
      </c>
      <c r="D188" s="5" t="s">
        <v>4285</v>
      </c>
      <c r="E188" s="5">
        <v>348.54</v>
      </c>
      <c r="F188" s="6">
        <f>LOOKUP(D188,'AMFI DATA_2023H2'!F:J,'AMFI DATA_2023H2'!J:J)</f>
        <v>350.46450000000004</v>
      </c>
      <c r="G188" s="7">
        <f t="shared" si="0"/>
        <v>5.2888380991512607E-2</v>
      </c>
      <c r="H188" s="9">
        <v>369</v>
      </c>
      <c r="I188" s="9">
        <v>379</v>
      </c>
      <c r="J188" s="9">
        <v>353</v>
      </c>
      <c r="K188" s="9">
        <v>354</v>
      </c>
      <c r="L188" s="9">
        <v>356</v>
      </c>
      <c r="M188" s="9">
        <v>355</v>
      </c>
      <c r="N188" s="9">
        <v>353</v>
      </c>
      <c r="O188" s="9">
        <v>362</v>
      </c>
      <c r="P188" s="9">
        <v>362</v>
      </c>
      <c r="Q188" s="9">
        <v>364</v>
      </c>
      <c r="R188" s="7">
        <f t="shared" si="1"/>
        <v>2.9205525809318678E-2</v>
      </c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4.4" hidden="1">
      <c r="A189" s="3">
        <f>LOOKUP(D189,'AMFI DATA_2023H2'!F:L,'AMFI DATA_2023H2'!L:L)</f>
        <v>1500</v>
      </c>
      <c r="B189" s="4" t="s">
        <v>3965</v>
      </c>
      <c r="C189" s="4" t="s">
        <v>3966</v>
      </c>
      <c r="D189" s="5" t="s">
        <v>3967</v>
      </c>
      <c r="E189" s="5">
        <v>483.51</v>
      </c>
      <c r="F189" s="6">
        <f>LOOKUP(D189,'AMFI DATA_2023H2'!F:J,'AMFI DATA_2023H2'!J:J)</f>
        <v>509.25075000000004</v>
      </c>
      <c r="G189" s="7">
        <f t="shared" si="0"/>
        <v>8.5909053644005251E-2</v>
      </c>
      <c r="H189" s="9">
        <v>553</v>
      </c>
      <c r="I189" s="9">
        <v>557</v>
      </c>
      <c r="J189" s="9">
        <v>551</v>
      </c>
      <c r="K189" s="9">
        <v>559</v>
      </c>
      <c r="L189" s="9">
        <v>570</v>
      </c>
      <c r="M189" s="9">
        <v>570</v>
      </c>
      <c r="N189" s="9">
        <v>568</v>
      </c>
      <c r="O189" s="9">
        <v>574</v>
      </c>
      <c r="P189" s="9">
        <v>522</v>
      </c>
      <c r="Q189" s="9">
        <v>534</v>
      </c>
      <c r="R189" s="7">
        <f t="shared" si="1"/>
        <v>9.1407327333342003E-2</v>
      </c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4.4" hidden="1">
      <c r="A190" s="3">
        <f>LOOKUP(D190,'AMFI DATA_2023H2'!F:L,'AMFI DATA_2023H2'!L:L)</f>
        <v>1118</v>
      </c>
      <c r="B190" s="4" t="s">
        <v>3155</v>
      </c>
      <c r="C190" s="4" t="s">
        <v>3156</v>
      </c>
      <c r="D190" s="5" t="s">
        <v>3157</v>
      </c>
      <c r="E190" s="5">
        <v>781.57</v>
      </c>
      <c r="F190" s="6">
        <f>LOOKUP(D190,'AMFI DATA_2023H2'!F:J,'AMFI DATA_2023H2'!J:J)</f>
        <v>1282.135</v>
      </c>
      <c r="G190" s="7">
        <f t="shared" si="0"/>
        <v>0.27443677927831311</v>
      </c>
      <c r="H190" s="8">
        <v>1634</v>
      </c>
      <c r="I190" s="8">
        <v>1638</v>
      </c>
      <c r="J190" s="8">
        <v>1649</v>
      </c>
      <c r="K190" s="8">
        <v>1617</v>
      </c>
      <c r="L190" s="8">
        <v>1531</v>
      </c>
      <c r="M190" s="8">
        <v>1442</v>
      </c>
      <c r="N190" s="8">
        <v>1437</v>
      </c>
      <c r="O190" s="8">
        <v>1448</v>
      </c>
      <c r="P190" s="8">
        <v>1473</v>
      </c>
      <c r="Q190" s="8">
        <v>1464</v>
      </c>
      <c r="R190" s="7">
        <f t="shared" si="1"/>
        <v>0.1958959079972078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4.4" hidden="1">
      <c r="A191" s="3">
        <f>LOOKUP(D191,'AMFI DATA_2023H2'!F:L,'AMFI DATA_2023H2'!L:L)</f>
        <v>2274</v>
      </c>
      <c r="B191" s="4" t="s">
        <v>5096</v>
      </c>
      <c r="C191" s="4" t="s">
        <v>5097</v>
      </c>
      <c r="D191" s="5" t="s">
        <v>5098</v>
      </c>
      <c r="E191" s="5">
        <v>86.98</v>
      </c>
      <c r="F191" s="6">
        <f>LOOKUP(D191,'AMFI DATA_2023H2'!F:J,'AMFI DATA_2023H2'!J:J)</f>
        <v>116.08975</v>
      </c>
      <c r="G191" s="7">
        <f t="shared" si="0"/>
        <v>1.446383078609438</v>
      </c>
      <c r="H191" s="9">
        <v>284</v>
      </c>
      <c r="I191" s="9">
        <v>287</v>
      </c>
      <c r="J191" s="9">
        <v>261</v>
      </c>
      <c r="K191" s="9">
        <v>218</v>
      </c>
      <c r="L191" s="9">
        <v>182</v>
      </c>
      <c r="M191" s="9">
        <v>175</v>
      </c>
      <c r="N191" s="9">
        <v>178</v>
      </c>
      <c r="O191" s="9">
        <v>179</v>
      </c>
      <c r="P191" s="9">
        <v>187</v>
      </c>
      <c r="Q191" s="9">
        <v>186</v>
      </c>
      <c r="R191" s="7">
        <f t="shared" si="1"/>
        <v>0.84081712640435513</v>
      </c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4.4" hidden="1">
      <c r="A192" s="3">
        <f>LOOKUP(D192,'AMFI DATA_2023H2'!F:L,'AMFI DATA_2023H2'!L:L)</f>
        <v>1895</v>
      </c>
      <c r="B192" s="4" t="s">
        <v>4598</v>
      </c>
      <c r="C192" s="4" t="s">
        <v>4599</v>
      </c>
      <c r="D192" s="5" t="s">
        <v>4600</v>
      </c>
      <c r="E192" s="5">
        <v>227.12</v>
      </c>
      <c r="F192" s="6">
        <f>LOOKUP(D192,'AMFI DATA_2023H2'!F:J,'AMFI DATA_2023H2'!J:J)</f>
        <v>222.4588</v>
      </c>
      <c r="G192" s="7">
        <f t="shared" si="0"/>
        <v>6.0870597162261175E-2</v>
      </c>
      <c r="H192" s="9">
        <v>236</v>
      </c>
      <c r="I192" s="9">
        <v>239</v>
      </c>
      <c r="J192" s="9">
        <v>232</v>
      </c>
      <c r="K192" s="9">
        <v>221</v>
      </c>
      <c r="L192" s="9">
        <v>220</v>
      </c>
      <c r="M192" s="9">
        <v>218</v>
      </c>
      <c r="N192" s="9">
        <v>220</v>
      </c>
      <c r="O192" s="9">
        <v>220</v>
      </c>
      <c r="P192" s="9">
        <v>221</v>
      </c>
      <c r="Q192" s="9">
        <v>223</v>
      </c>
      <c r="R192" s="7">
        <f t="shared" si="1"/>
        <v>1.1423238819952219E-2</v>
      </c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4.4" hidden="1">
      <c r="A193" s="3">
        <f>LOOKUP(D193,'AMFI DATA_2023H2'!F:L,'AMFI DATA_2023H2'!L:L)</f>
        <v>1654</v>
      </c>
      <c r="B193" s="4" t="s">
        <v>4247</v>
      </c>
      <c r="C193" s="4" t="s">
        <v>4248</v>
      </c>
      <c r="D193" s="5" t="s">
        <v>4249</v>
      </c>
      <c r="E193" s="5">
        <v>423</v>
      </c>
      <c r="F193" s="6">
        <f>LOOKUP(D193,'AMFI DATA_2023H2'!F:J,'AMFI DATA_2023H2'!J:J)</f>
        <v>363.11855000000003</v>
      </c>
      <c r="G193" s="7">
        <f t="shared" si="0"/>
        <v>-0.20962451518932324</v>
      </c>
      <c r="H193" s="9">
        <v>287</v>
      </c>
      <c r="I193" s="9">
        <v>284</v>
      </c>
      <c r="J193" s="9">
        <v>288</v>
      </c>
      <c r="K193" s="9">
        <v>283</v>
      </c>
      <c r="L193" s="9">
        <v>278</v>
      </c>
      <c r="M193" s="9">
        <v>267</v>
      </c>
      <c r="N193" s="9">
        <v>265</v>
      </c>
      <c r="O193" s="9">
        <v>267</v>
      </c>
      <c r="P193" s="9">
        <v>270</v>
      </c>
      <c r="Q193" s="9">
        <v>264</v>
      </c>
      <c r="R193" s="7">
        <f t="shared" si="1"/>
        <v>-0.24184539732272015</v>
      </c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4.4" hidden="1">
      <c r="A194" s="3">
        <f>LOOKUP(D194,'AMFI DATA_2023H2'!F:L,'AMFI DATA_2023H2'!L:L)</f>
        <v>37</v>
      </c>
      <c r="B194" s="4" t="s">
        <v>117</v>
      </c>
      <c r="C194" s="4" t="s">
        <v>118</v>
      </c>
      <c r="D194" s="5" t="s">
        <v>119</v>
      </c>
      <c r="E194" s="5">
        <v>117150.65</v>
      </c>
      <c r="F194" s="6">
        <f>LOOKUP(D194,'AMFI DATA_2023H2'!F:J,'AMFI DATA_2023H2'!J:J)</f>
        <v>148424.88125000001</v>
      </c>
      <c r="G194" s="7">
        <f t="shared" si="0"/>
        <v>0.33142771168631135</v>
      </c>
      <c r="H194" s="8">
        <v>197617</v>
      </c>
      <c r="I194" s="8">
        <v>196021</v>
      </c>
      <c r="J194" s="8">
        <v>197926</v>
      </c>
      <c r="K194" s="8">
        <v>188741</v>
      </c>
      <c r="L194" s="8">
        <v>189746</v>
      </c>
      <c r="M194" s="8">
        <v>192333</v>
      </c>
      <c r="N194" s="8">
        <v>189675</v>
      </c>
      <c r="O194" s="8">
        <v>190091</v>
      </c>
      <c r="P194" s="8">
        <v>183100</v>
      </c>
      <c r="Q194" s="8">
        <v>180303</v>
      </c>
      <c r="R194" s="7">
        <f t="shared" si="1"/>
        <v>0.28385010919454579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4.4" hidden="1">
      <c r="A195" s="3">
        <f>LOOKUP(D195,'AMFI DATA_2023H2'!F:L,'AMFI DATA_2023H2'!L:L)</f>
        <v>757</v>
      </c>
      <c r="B195" s="4" t="s">
        <v>2216</v>
      </c>
      <c r="C195" s="4" t="s">
        <v>2217</v>
      </c>
      <c r="D195" s="5" t="s">
        <v>2218</v>
      </c>
      <c r="E195" s="5">
        <v>2495.4699999999998</v>
      </c>
      <c r="F195" s="6">
        <f>LOOKUP(D195,'AMFI DATA_2023H2'!F:J,'AMFI DATA_2023H2'!J:J)</f>
        <v>3278.1228000000001</v>
      </c>
      <c r="G195" s="7">
        <f t="shared" si="0"/>
        <v>-1.2239565888135795E-2</v>
      </c>
      <c r="H195" s="8">
        <v>3238</v>
      </c>
      <c r="I195" s="8">
        <v>3254</v>
      </c>
      <c r="J195" s="8">
        <v>3226</v>
      </c>
      <c r="K195" s="8">
        <v>3218</v>
      </c>
      <c r="L195" s="8">
        <v>3240</v>
      </c>
      <c r="M195" s="8">
        <v>3138</v>
      </c>
      <c r="N195" s="8">
        <v>2995</v>
      </c>
      <c r="O195" s="8">
        <v>3008</v>
      </c>
      <c r="P195" s="8">
        <v>3016</v>
      </c>
      <c r="Q195" s="8">
        <v>3061</v>
      </c>
      <c r="R195" s="7">
        <f t="shared" si="1"/>
        <v>-4.2317755759485265E-2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4.4" hidden="1">
      <c r="A196" s="3">
        <f>LOOKUP(D196,'AMFI DATA_2023H2'!F:L,'AMFI DATA_2023H2'!L:L)</f>
        <v>352</v>
      </c>
      <c r="B196" s="4" t="s">
        <v>1062</v>
      </c>
      <c r="C196" s="4" t="s">
        <v>1063</v>
      </c>
      <c r="D196" s="5" t="s">
        <v>1064</v>
      </c>
      <c r="E196" s="5">
        <v>13117.66</v>
      </c>
      <c r="F196" s="6">
        <f>LOOKUP(D196,'AMFI DATA_2023H2'!F:J,'AMFI DATA_2023H2'!J:J)</f>
        <v>12347.4861</v>
      </c>
      <c r="G196" s="7">
        <f t="shared" si="0"/>
        <v>-4.3530002435070547E-2</v>
      </c>
      <c r="H196" s="8">
        <v>11810</v>
      </c>
      <c r="I196" s="8">
        <v>11763</v>
      </c>
      <c r="J196" s="8">
        <v>11647</v>
      </c>
      <c r="K196" s="8">
        <v>11453</v>
      </c>
      <c r="L196" s="8">
        <v>11441</v>
      </c>
      <c r="M196" s="8">
        <v>11384</v>
      </c>
      <c r="N196" s="8">
        <v>11479</v>
      </c>
      <c r="O196" s="8">
        <v>11664</v>
      </c>
      <c r="P196" s="8">
        <v>11463</v>
      </c>
      <c r="Q196" s="8">
        <v>11617</v>
      </c>
      <c r="R196" s="7">
        <f t="shared" si="1"/>
        <v>-6.2797082233605361E-2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4.4" hidden="1">
      <c r="A197" s="3">
        <f>LOOKUP(D197,'AMFI DATA_2023H2'!F:L,'AMFI DATA_2023H2'!L:L)</f>
        <v>10</v>
      </c>
      <c r="B197" s="4" t="s">
        <v>34</v>
      </c>
      <c r="C197" s="4" t="s">
        <v>35</v>
      </c>
      <c r="D197" s="5" t="s">
        <v>36</v>
      </c>
      <c r="E197" s="5">
        <v>382541.49</v>
      </c>
      <c r="F197" s="6">
        <f>LOOKUP(D197,'AMFI DATA_2023H2'!F:J,'AMFI DATA_2023H2'!J:J)</f>
        <v>452097.75065</v>
      </c>
      <c r="G197" s="7">
        <f t="shared" si="0"/>
        <v>5.324788569593375E-2</v>
      </c>
      <c r="H197" s="8">
        <v>476171</v>
      </c>
      <c r="I197" s="8">
        <v>476221</v>
      </c>
      <c r="J197" s="8">
        <v>456234</v>
      </c>
      <c r="K197" s="8">
        <v>459018</v>
      </c>
      <c r="L197" s="8">
        <v>451061</v>
      </c>
      <c r="M197" s="8">
        <v>451963</v>
      </c>
      <c r="N197" s="8">
        <v>448543</v>
      </c>
      <c r="O197" s="8">
        <v>447174</v>
      </c>
      <c r="P197" s="8">
        <v>442650</v>
      </c>
      <c r="Q197" s="8">
        <v>450866</v>
      </c>
      <c r="R197" s="7">
        <f t="shared" si="1"/>
        <v>8.60953044867796E-3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4.4" hidden="1">
      <c r="A198" s="3">
        <f>LOOKUP(D198,'AMFI DATA_2023H2'!F:L,'AMFI DATA_2023H2'!L:L)</f>
        <v>21</v>
      </c>
      <c r="B198" s="4" t="s">
        <v>67</v>
      </c>
      <c r="C198" s="4" t="s">
        <v>68</v>
      </c>
      <c r="D198" s="5" t="s">
        <v>69</v>
      </c>
      <c r="E198" s="5">
        <v>220562.71</v>
      </c>
      <c r="F198" s="6">
        <f>LOOKUP(D198,'AMFI DATA_2023H2'!F:J,'AMFI DATA_2023H2'!J:J)</f>
        <v>253669.44889999999</v>
      </c>
      <c r="G198" s="7">
        <f t="shared" si="0"/>
        <v>7.5214225373751775E-2</v>
      </c>
      <c r="H198" s="8">
        <v>272749</v>
      </c>
      <c r="I198" s="8">
        <v>271544</v>
      </c>
      <c r="J198" s="8">
        <v>267595</v>
      </c>
      <c r="K198" s="8">
        <v>268999</v>
      </c>
      <c r="L198" s="8">
        <v>267125</v>
      </c>
      <c r="M198" s="8">
        <v>268944</v>
      </c>
      <c r="N198" s="8">
        <v>268066</v>
      </c>
      <c r="O198" s="8">
        <v>266359</v>
      </c>
      <c r="P198" s="8">
        <v>262600</v>
      </c>
      <c r="Q198" s="8">
        <v>266774</v>
      </c>
      <c r="R198" s="7">
        <f t="shared" si="1"/>
        <v>5.6790642950776071E-2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4.4" hidden="1">
      <c r="A199" s="3">
        <f>LOOKUP(D199,'AMFI DATA_2023H2'!F:L,'AMFI DATA_2023H2'!L:L)</f>
        <v>1195</v>
      </c>
      <c r="B199" s="4" t="s">
        <v>3335</v>
      </c>
      <c r="C199" s="4" t="s">
        <v>3336</v>
      </c>
      <c r="D199" s="5" t="s">
        <v>3337</v>
      </c>
      <c r="E199" s="5">
        <v>938.32</v>
      </c>
      <c r="F199" s="6">
        <f>LOOKUP(D199,'AMFI DATA_2023H2'!F:J,'AMFI DATA_2023H2'!J:J)</f>
        <v>1057.8660500000001</v>
      </c>
      <c r="G199" s="7">
        <f t="shared" si="0"/>
        <v>-1.9724661737655858E-2</v>
      </c>
      <c r="H199" s="8">
        <v>1037</v>
      </c>
      <c r="I199" s="8">
        <v>1031</v>
      </c>
      <c r="J199" s="8">
        <v>1030</v>
      </c>
      <c r="K199" s="8">
        <v>1033</v>
      </c>
      <c r="L199" s="8">
        <v>1040</v>
      </c>
      <c r="M199" s="8">
        <v>1038</v>
      </c>
      <c r="N199" s="8">
        <v>1038</v>
      </c>
      <c r="O199" s="8">
        <v>1042</v>
      </c>
      <c r="P199" s="8">
        <v>1046</v>
      </c>
      <c r="Q199" s="8">
        <v>1055</v>
      </c>
      <c r="R199" s="7">
        <f t="shared" si="1"/>
        <v>-1.783406320677372E-2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4.4" hidden="1">
      <c r="A200" s="3">
        <f>LOOKUP(D200,'AMFI DATA_2023H2'!F:L,'AMFI DATA_2023H2'!L:L)</f>
        <v>762</v>
      </c>
      <c r="B200" s="4" t="s">
        <v>2231</v>
      </c>
      <c r="C200" s="4" t="s">
        <v>2232</v>
      </c>
      <c r="D200" s="5" t="s">
        <v>2233</v>
      </c>
      <c r="E200" s="5">
        <v>1832.42</v>
      </c>
      <c r="F200" s="6">
        <f>LOOKUP(D200,'AMFI DATA_2023H2'!F:J,'AMFI DATA_2023H2'!J:J)</f>
        <v>3213.0798999999997</v>
      </c>
      <c r="G200" s="7">
        <f t="shared" si="0"/>
        <v>0.13629293812457033</v>
      </c>
      <c r="H200" s="8">
        <v>3651</v>
      </c>
      <c r="I200" s="8">
        <v>3640</v>
      </c>
      <c r="J200" s="8">
        <v>3596</v>
      </c>
      <c r="K200" s="8">
        <v>3575</v>
      </c>
      <c r="L200" s="8">
        <v>3595</v>
      </c>
      <c r="M200" s="8">
        <v>3556</v>
      </c>
      <c r="N200" s="8">
        <v>3537</v>
      </c>
      <c r="O200" s="8">
        <v>3582</v>
      </c>
      <c r="P200" s="8">
        <v>3543</v>
      </c>
      <c r="Q200" s="8">
        <v>3564</v>
      </c>
      <c r="R200" s="7">
        <f t="shared" si="1"/>
        <v>0.11540954832775885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4.4" hidden="1">
      <c r="A201" s="3">
        <f>LOOKUP(D201,'AMFI DATA_2023H2'!F:L,'AMFI DATA_2023H2'!L:L)</f>
        <v>77</v>
      </c>
      <c r="B201" s="4" t="s">
        <v>243</v>
      </c>
      <c r="C201" s="4" t="s">
        <v>244</v>
      </c>
      <c r="D201" s="5" t="s">
        <v>245</v>
      </c>
      <c r="E201" s="5">
        <v>70421.59</v>
      </c>
      <c r="F201" s="6">
        <f>LOOKUP(D201,'AMFI DATA_2023H2'!F:J,'AMFI DATA_2023H2'!J:J)</f>
        <v>81162.36795</v>
      </c>
      <c r="G201" s="7">
        <f t="shared" si="0"/>
        <v>0.10602982967797958</v>
      </c>
      <c r="H201" s="8">
        <v>89768</v>
      </c>
      <c r="I201" s="8">
        <v>91369</v>
      </c>
      <c r="J201" s="8">
        <v>88364</v>
      </c>
      <c r="K201" s="8">
        <v>87004</v>
      </c>
      <c r="L201" s="8">
        <v>86402</v>
      </c>
      <c r="M201" s="8">
        <v>85411</v>
      </c>
      <c r="N201" s="8">
        <v>85935</v>
      </c>
      <c r="O201" s="8">
        <v>88157</v>
      </c>
      <c r="P201" s="8">
        <v>87804</v>
      </c>
      <c r="Q201" s="8">
        <v>87225</v>
      </c>
      <c r="R201" s="7">
        <f t="shared" si="1"/>
        <v>8.1090931871955041E-2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4.4" hidden="1">
      <c r="A202" s="3">
        <f>LOOKUP(D202,'AMFI DATA_2023H2'!F:L,'AMFI DATA_2023H2'!L:L)</f>
        <v>2127</v>
      </c>
      <c r="B202" s="4" t="s">
        <v>4922</v>
      </c>
      <c r="C202" s="4" t="s">
        <v>4923</v>
      </c>
      <c r="D202" s="5" t="s">
        <v>4924</v>
      </c>
      <c r="E202" s="5">
        <v>127.25</v>
      </c>
      <c r="F202" s="6">
        <f>LOOKUP(D202,'AMFI DATA_2023H2'!F:J,'AMFI DATA_2023H2'!J:J)</f>
        <v>152.0016</v>
      </c>
      <c r="G202" s="7">
        <f t="shared" si="0"/>
        <v>7.2357133082809666E-2</v>
      </c>
      <c r="H202" s="9">
        <v>163</v>
      </c>
      <c r="I202" s="9">
        <v>166</v>
      </c>
      <c r="J202" s="9">
        <v>166</v>
      </c>
      <c r="K202" s="9">
        <v>164</v>
      </c>
      <c r="L202" s="9">
        <v>159</v>
      </c>
      <c r="M202" s="9">
        <v>158</v>
      </c>
      <c r="N202" s="9">
        <v>159</v>
      </c>
      <c r="O202" s="9">
        <v>160</v>
      </c>
      <c r="P202" s="9">
        <v>160</v>
      </c>
      <c r="Q202" s="9">
        <v>161</v>
      </c>
      <c r="R202" s="7">
        <f t="shared" si="1"/>
        <v>6.3146703718908181E-2</v>
      </c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4.4" hidden="1">
      <c r="A203" s="3">
        <f>LOOKUP(D203,'AMFI DATA_2023H2'!F:L,'AMFI DATA_2023H2'!L:L)</f>
        <v>516</v>
      </c>
      <c r="B203" s="4" t="s">
        <v>1533</v>
      </c>
      <c r="C203" s="4" t="s">
        <v>1534</v>
      </c>
      <c r="D203" s="5" t="s">
        <v>1535</v>
      </c>
      <c r="E203" s="5">
        <v>7312.37</v>
      </c>
      <c r="F203" s="6">
        <f>LOOKUP(D203,'AMFI DATA_2023H2'!F:J,'AMFI DATA_2023H2'!J:J)</f>
        <v>7095.2528999999995</v>
      </c>
      <c r="G203" s="7">
        <f t="shared" si="0"/>
        <v>0.2012256814693667</v>
      </c>
      <c r="H203" s="8">
        <v>8523</v>
      </c>
      <c r="I203" s="8">
        <v>8658</v>
      </c>
      <c r="J203" s="8">
        <v>8413</v>
      </c>
      <c r="K203" s="8">
        <v>8461</v>
      </c>
      <c r="L203" s="8">
        <v>8735</v>
      </c>
      <c r="M203" s="8">
        <v>8646</v>
      </c>
      <c r="N203" s="8">
        <v>8446</v>
      </c>
      <c r="O203" s="8">
        <v>8651</v>
      </c>
      <c r="P203" s="8">
        <v>8467</v>
      </c>
      <c r="Q203" s="8">
        <v>7663</v>
      </c>
      <c r="R203" s="7">
        <f t="shared" si="1"/>
        <v>0.19323442297595905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4.4" hidden="1">
      <c r="A204" s="3">
        <f>LOOKUP(D204,'AMFI DATA_2023H2'!F:L,'AMFI DATA_2023H2'!L:L)</f>
        <v>1394</v>
      </c>
      <c r="B204" s="4" t="s">
        <v>3764</v>
      </c>
      <c r="C204" s="4" t="s">
        <v>3765</v>
      </c>
      <c r="D204" s="5" t="s">
        <v>3766</v>
      </c>
      <c r="E204" s="5">
        <v>426</v>
      </c>
      <c r="F204" s="6">
        <f>LOOKUP(D204,'AMFI DATA_2023H2'!F:J,'AMFI DATA_2023H2'!J:J)</f>
        <v>648.8691</v>
      </c>
      <c r="G204" s="7">
        <f t="shared" si="0"/>
        <v>0.27760745580271884</v>
      </c>
      <c r="H204" s="9">
        <v>829</v>
      </c>
      <c r="I204" s="9">
        <v>834</v>
      </c>
      <c r="J204" s="9">
        <v>797</v>
      </c>
      <c r="K204" s="9">
        <v>817</v>
      </c>
      <c r="L204" s="9">
        <v>759</v>
      </c>
      <c r="M204" s="9">
        <v>754</v>
      </c>
      <c r="N204" s="9">
        <v>767</v>
      </c>
      <c r="O204" s="9">
        <v>781</v>
      </c>
      <c r="P204" s="9">
        <v>791</v>
      </c>
      <c r="Q204" s="9">
        <v>785</v>
      </c>
      <c r="R204" s="7">
        <f t="shared" si="1"/>
        <v>0.21966048313904918</v>
      </c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4.4" hidden="1">
      <c r="A205" s="3">
        <f>LOOKUP(D205,'AMFI DATA_2023H2'!F:L,'AMFI DATA_2023H2'!L:L)</f>
        <v>1541</v>
      </c>
      <c r="B205" s="4" t="s">
        <v>4040</v>
      </c>
      <c r="C205" s="4" t="s">
        <v>4041</v>
      </c>
      <c r="D205" s="5" t="s">
        <v>4042</v>
      </c>
      <c r="E205" s="5">
        <v>550.26</v>
      </c>
      <c r="F205" s="6">
        <f>LOOKUP(D205,'AMFI DATA_2023H2'!F:J,'AMFI DATA_2023H2'!J:J)</f>
        <v>464.89249999999998</v>
      </c>
      <c r="G205" s="7">
        <f t="shared" si="0"/>
        <v>-1.9128077996526049E-2</v>
      </c>
      <c r="H205" s="9">
        <v>456</v>
      </c>
      <c r="I205" s="9">
        <v>441</v>
      </c>
      <c r="J205" s="9">
        <v>446</v>
      </c>
      <c r="K205" s="9">
        <v>441</v>
      </c>
      <c r="L205" s="9">
        <v>446</v>
      </c>
      <c r="M205" s="9">
        <v>442</v>
      </c>
      <c r="N205" s="9">
        <v>449</v>
      </c>
      <c r="O205" s="9">
        <v>441</v>
      </c>
      <c r="P205" s="9">
        <v>444</v>
      </c>
      <c r="Q205" s="9">
        <v>453</v>
      </c>
      <c r="R205" s="7">
        <f t="shared" si="1"/>
        <v>-4.0853530654936354E-2</v>
      </c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4.4" hidden="1">
      <c r="A206" s="3">
        <f>LOOKUP(D206,'AMFI DATA_2023H2'!F:L,'AMFI DATA_2023H2'!L:L)</f>
        <v>136</v>
      </c>
      <c r="B206" s="4" t="s">
        <v>417</v>
      </c>
      <c r="C206" s="4" t="s">
        <v>418</v>
      </c>
      <c r="D206" s="5" t="s">
        <v>419</v>
      </c>
      <c r="E206" s="5">
        <v>41798.050000000003</v>
      </c>
      <c r="F206" s="6">
        <f>LOOKUP(D206,'AMFI DATA_2023H2'!F:J,'AMFI DATA_2023H2'!J:J)</f>
        <v>48198.39875</v>
      </c>
      <c r="G206" s="7">
        <f t="shared" si="0"/>
        <v>3.4225229318432415E-2</v>
      </c>
      <c r="H206" s="8">
        <v>49848</v>
      </c>
      <c r="I206" s="8">
        <v>48331</v>
      </c>
      <c r="J206" s="8">
        <v>48343</v>
      </c>
      <c r="K206" s="8">
        <v>48750</v>
      </c>
      <c r="L206" s="8">
        <v>49803</v>
      </c>
      <c r="M206" s="8">
        <v>49654</v>
      </c>
      <c r="N206" s="8">
        <v>48745</v>
      </c>
      <c r="O206" s="8">
        <v>49061</v>
      </c>
      <c r="P206" s="8">
        <v>48661</v>
      </c>
      <c r="Q206" s="8">
        <v>48360</v>
      </c>
      <c r="R206" s="7">
        <f t="shared" si="1"/>
        <v>1.5710091406304194E-2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4.4" hidden="1">
      <c r="A207" s="3">
        <f>LOOKUP(D207,'AMFI DATA_2023H2'!F:L,'AMFI DATA_2023H2'!L:L)</f>
        <v>3122</v>
      </c>
      <c r="B207" s="4" t="s">
        <v>5587</v>
      </c>
      <c r="C207" s="4" t="s">
        <v>5588</v>
      </c>
      <c r="D207" s="5" t="s">
        <v>5589</v>
      </c>
      <c r="E207" s="5">
        <v>33.58</v>
      </c>
      <c r="F207" s="6">
        <f>LOOKUP(D207,'AMFI DATA_2023H2'!F:J,'AMFI DATA_2023H2'!J:J)</f>
        <v>31.770699999999998</v>
      </c>
      <c r="G207" s="7">
        <f t="shared" si="0"/>
        <v>0.2653167855917562</v>
      </c>
      <c r="H207" s="9">
        <v>40.200000000000003</v>
      </c>
      <c r="I207" s="9">
        <v>39</v>
      </c>
      <c r="J207" s="9">
        <v>38.6</v>
      </c>
      <c r="K207" s="9">
        <v>39.6</v>
      </c>
      <c r="L207" s="9">
        <v>39.200000000000003</v>
      </c>
      <c r="M207" s="9">
        <v>40</v>
      </c>
      <c r="N207" s="9">
        <v>37.700000000000003</v>
      </c>
      <c r="O207" s="9">
        <v>37.700000000000003</v>
      </c>
      <c r="P207" s="9">
        <v>38.9</v>
      </c>
      <c r="Q207" s="9">
        <v>38.1</v>
      </c>
      <c r="R207" s="7">
        <f t="shared" si="1"/>
        <v>0.22439858108256971</v>
      </c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4.4" hidden="1">
      <c r="A208" s="3">
        <f>LOOKUP(D208,'AMFI DATA_2023H2'!F:L,'AMFI DATA_2023H2'!L:L)</f>
        <v>828</v>
      </c>
      <c r="B208" s="4" t="s">
        <v>2405</v>
      </c>
      <c r="C208" s="4" t="s">
        <v>2406</v>
      </c>
      <c r="D208" s="5" t="s">
        <v>2407</v>
      </c>
      <c r="E208" s="5">
        <v>2083.2600000000002</v>
      </c>
      <c r="F208" s="6">
        <f>LOOKUP(D208,'AMFI DATA_2023H2'!F:J,'AMFI DATA_2023H2'!J:J)</f>
        <v>2653.2473</v>
      </c>
      <c r="G208" s="7">
        <f t="shared" si="0"/>
        <v>0.44351414208543627</v>
      </c>
      <c r="H208" s="8">
        <v>3830</v>
      </c>
      <c r="I208" s="8">
        <v>3874</v>
      </c>
      <c r="J208" s="8">
        <v>3927</v>
      </c>
      <c r="K208" s="8">
        <v>3783</v>
      </c>
      <c r="L208" s="8">
        <v>3809</v>
      </c>
      <c r="M208" s="8">
        <v>3741</v>
      </c>
      <c r="N208" s="8">
        <v>3800</v>
      </c>
      <c r="O208" s="8">
        <v>3790</v>
      </c>
      <c r="P208" s="8">
        <v>3937</v>
      </c>
      <c r="Q208" s="8">
        <v>3846</v>
      </c>
      <c r="R208" s="7">
        <f t="shared" si="1"/>
        <v>0.44490865966395221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4.4" hidden="1">
      <c r="A209" s="3">
        <f>LOOKUP(D209,'AMFI DATA_2023H2'!F:L,'AMFI DATA_2023H2'!L:L)</f>
        <v>460</v>
      </c>
      <c r="B209" s="4" t="s">
        <v>1371</v>
      </c>
      <c r="C209" s="4" t="s">
        <v>1372</v>
      </c>
      <c r="D209" s="5" t="s">
        <v>1373</v>
      </c>
      <c r="E209" s="5">
        <v>7912.35</v>
      </c>
      <c r="F209" s="6">
        <f>LOOKUP(D209,'AMFI DATA_2023H2'!F:J,'AMFI DATA_2023H2'!J:J)</f>
        <v>8361.2118999999984</v>
      </c>
      <c r="G209" s="7">
        <f t="shared" si="0"/>
        <v>-2.6456918284776254E-2</v>
      </c>
      <c r="H209" s="8">
        <v>8140</v>
      </c>
      <c r="I209" s="8">
        <v>8217</v>
      </c>
      <c r="J209" s="8">
        <v>8195</v>
      </c>
      <c r="K209" s="8">
        <v>8173</v>
      </c>
      <c r="L209" s="8">
        <v>8357</v>
      </c>
      <c r="M209" s="8">
        <v>8281</v>
      </c>
      <c r="N209" s="8">
        <v>8097</v>
      </c>
      <c r="O209" s="8">
        <v>7992</v>
      </c>
      <c r="P209" s="8">
        <v>7835</v>
      </c>
      <c r="Q209" s="8">
        <v>7846</v>
      </c>
      <c r="R209" s="7">
        <f t="shared" si="1"/>
        <v>-2.9650235272711822E-2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4.4" hidden="1">
      <c r="A210" s="3">
        <f>LOOKUP(D210,'AMFI DATA_2023H2'!F:L,'AMFI DATA_2023H2'!L:L)</f>
        <v>2695</v>
      </c>
      <c r="B210" s="4" t="s">
        <v>5425</v>
      </c>
      <c r="C210" s="4" t="s">
        <v>5426</v>
      </c>
      <c r="D210" s="5" t="s">
        <v>5427</v>
      </c>
      <c r="E210" s="5">
        <v>54.02</v>
      </c>
      <c r="F210" s="6">
        <f>LOOKUP(D210,'AMFI DATA_2023H2'!F:J,'AMFI DATA_2023H2'!J:J)</f>
        <v>59.521299999999997</v>
      </c>
      <c r="G210" s="7">
        <f t="shared" si="0"/>
        <v>5.6764553193562772E-2</v>
      </c>
      <c r="H210" s="9">
        <v>62.9</v>
      </c>
      <c r="I210" s="9">
        <v>63.8</v>
      </c>
      <c r="J210" s="9">
        <v>62.8</v>
      </c>
      <c r="K210" s="9">
        <v>63.1</v>
      </c>
      <c r="L210" s="9">
        <v>63.1</v>
      </c>
      <c r="M210" s="9">
        <v>63.4</v>
      </c>
      <c r="N210" s="9">
        <v>64.2</v>
      </c>
      <c r="O210" s="9">
        <v>62.1</v>
      </c>
      <c r="P210" s="9">
        <v>63.2</v>
      </c>
      <c r="Q210" s="9">
        <v>62.3</v>
      </c>
      <c r="R210" s="7">
        <f t="shared" si="1"/>
        <v>5.9956687773956574E-2</v>
      </c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4.4" hidden="1">
      <c r="A211" s="3">
        <f>LOOKUP(D211,'AMFI DATA_2023H2'!F:L,'AMFI DATA_2023H2'!L:L)</f>
        <v>743</v>
      </c>
      <c r="B211" s="4" t="s">
        <v>2174</v>
      </c>
      <c r="C211" s="4" t="s">
        <v>2175</v>
      </c>
      <c r="D211" s="5" t="s">
        <v>2176</v>
      </c>
      <c r="E211" s="5">
        <v>1736.69</v>
      </c>
      <c r="F211" s="6">
        <f>LOOKUP(D211,'AMFI DATA_2023H2'!F:J,'AMFI DATA_2023H2'!J:J)</f>
        <v>3403.1188499999998</v>
      </c>
      <c r="G211" s="7">
        <f t="shared" si="0"/>
        <v>0.34758737562163011</v>
      </c>
      <c r="H211" s="8">
        <v>4586</v>
      </c>
      <c r="I211" s="8">
        <v>4654</v>
      </c>
      <c r="J211" s="8">
        <v>4469</v>
      </c>
      <c r="K211" s="8">
        <v>4455</v>
      </c>
      <c r="L211" s="8">
        <v>4501</v>
      </c>
      <c r="M211" s="8">
        <v>4570</v>
      </c>
      <c r="N211" s="8">
        <v>4562</v>
      </c>
      <c r="O211" s="8">
        <v>4684</v>
      </c>
      <c r="P211" s="8">
        <v>4637</v>
      </c>
      <c r="Q211" s="8">
        <v>4425</v>
      </c>
      <c r="R211" s="7">
        <f t="shared" si="1"/>
        <v>0.33827239092751649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4.4" hidden="1">
      <c r="A212" s="3">
        <f>LOOKUP(D212,'AMFI DATA_2023H2'!F:L,'AMFI DATA_2023H2'!L:L)</f>
        <v>169</v>
      </c>
      <c r="B212" s="4" t="s">
        <v>516</v>
      </c>
      <c r="C212" s="4" t="s">
        <v>517</v>
      </c>
      <c r="D212" s="5" t="s">
        <v>518</v>
      </c>
      <c r="E212" s="5">
        <v>37710.589999999997</v>
      </c>
      <c r="F212" s="6">
        <f>LOOKUP(D212,'AMFI DATA_2023H2'!F:J,'AMFI DATA_2023H2'!J:J)</f>
        <v>37238.623900000006</v>
      </c>
      <c r="G212" s="7">
        <f t="shared" si="0"/>
        <v>8.8600913633653189E-2</v>
      </c>
      <c r="H212" s="8">
        <v>40538</v>
      </c>
      <c r="I212" s="8">
        <v>42012</v>
      </c>
      <c r="J212" s="8">
        <v>40917</v>
      </c>
      <c r="K212" s="8">
        <v>39032</v>
      </c>
      <c r="L212" s="8">
        <v>39322</v>
      </c>
      <c r="M212" s="8">
        <v>38879</v>
      </c>
      <c r="N212" s="8">
        <v>38541</v>
      </c>
      <c r="O212" s="8">
        <v>38372</v>
      </c>
      <c r="P212" s="8">
        <v>37856</v>
      </c>
      <c r="Q212" s="8">
        <v>37824</v>
      </c>
      <c r="R212" s="7">
        <f t="shared" si="1"/>
        <v>5.6142678784647515E-2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4.4" hidden="1">
      <c r="A213" s="3">
        <f>LOOKUP(D213,'AMFI DATA_2023H2'!F:L,'AMFI DATA_2023H2'!L:L)</f>
        <v>2618</v>
      </c>
      <c r="B213" s="4" t="s">
        <v>5389</v>
      </c>
      <c r="C213" s="4" t="s">
        <v>5390</v>
      </c>
      <c r="D213" s="5" t="s">
        <v>5391</v>
      </c>
      <c r="E213" s="5">
        <v>55.69</v>
      </c>
      <c r="F213" s="6">
        <f>LOOKUP(D213,'AMFI DATA_2023H2'!F:J,'AMFI DATA_2023H2'!J:J)</f>
        <v>66.544199999999989</v>
      </c>
      <c r="G213" s="7">
        <f t="shared" si="0"/>
        <v>8.048485067068234E-2</v>
      </c>
      <c r="H213" s="9">
        <v>71.900000000000006</v>
      </c>
      <c r="I213" s="9">
        <v>70.5</v>
      </c>
      <c r="J213" s="9">
        <v>70.8</v>
      </c>
      <c r="K213" s="9">
        <v>69.900000000000006</v>
      </c>
      <c r="L213" s="9">
        <v>68.599999999999994</v>
      </c>
      <c r="M213" s="9">
        <v>65.3</v>
      </c>
      <c r="N213" s="9">
        <v>63.9</v>
      </c>
      <c r="O213" s="9">
        <v>64.900000000000006</v>
      </c>
      <c r="P213" s="9">
        <v>65.3</v>
      </c>
      <c r="Q213" s="9">
        <v>64.3</v>
      </c>
      <c r="R213" s="7">
        <f t="shared" si="1"/>
        <v>1.496448976770326E-2</v>
      </c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4.4" hidden="1">
      <c r="A214" s="3">
        <f>LOOKUP(D214,'AMFI DATA_2023H2'!F:L,'AMFI DATA_2023H2'!L:L)</f>
        <v>54</v>
      </c>
      <c r="B214" s="4" t="s">
        <v>171</v>
      </c>
      <c r="C214" s="4" t="s">
        <v>172</v>
      </c>
      <c r="D214" s="5" t="s">
        <v>173</v>
      </c>
      <c r="E214" s="5">
        <v>90957.8</v>
      </c>
      <c r="F214" s="6">
        <f>LOOKUP(D214,'AMFI DATA_2023H2'!F:J,'AMFI DATA_2023H2'!J:J)</f>
        <v>104972.91665</v>
      </c>
      <c r="G214" s="7">
        <f t="shared" si="0"/>
        <v>0.15499315317919193</v>
      </c>
      <c r="H214" s="8">
        <v>121243</v>
      </c>
      <c r="I214" s="8">
        <v>122949</v>
      </c>
      <c r="J214" s="8">
        <v>120467</v>
      </c>
      <c r="K214" s="8">
        <v>119226</v>
      </c>
      <c r="L214" s="8">
        <v>120958</v>
      </c>
      <c r="M214" s="8">
        <v>119510</v>
      </c>
      <c r="N214" s="8">
        <v>120493</v>
      </c>
      <c r="O214" s="8">
        <v>119976</v>
      </c>
      <c r="P214" s="8">
        <v>116537</v>
      </c>
      <c r="Q214" s="8">
        <v>115632</v>
      </c>
      <c r="R214" s="7">
        <f t="shared" si="1"/>
        <v>0.14028555002525023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4.4" hidden="1">
      <c r="A215" s="3">
        <f>LOOKUP(D215,'AMFI DATA_2023H2'!F:L,'AMFI DATA_2023H2'!L:L)</f>
        <v>163</v>
      </c>
      <c r="B215" s="4" t="s">
        <v>498</v>
      </c>
      <c r="C215" s="4" t="s">
        <v>499</v>
      </c>
      <c r="D215" s="5" t="s">
        <v>500</v>
      </c>
      <c r="E215" s="5">
        <v>32197.77</v>
      </c>
      <c r="F215" s="6">
        <f>LOOKUP(D215,'AMFI DATA_2023H2'!F:J,'AMFI DATA_2023H2'!J:J)</f>
        <v>40376.393150000004</v>
      </c>
      <c r="G215" s="7">
        <f t="shared" si="0"/>
        <v>0.33954510991282039</v>
      </c>
      <c r="H215" s="8">
        <v>54086</v>
      </c>
      <c r="I215" s="8">
        <v>54017</v>
      </c>
      <c r="J215" s="8">
        <v>52925</v>
      </c>
      <c r="K215" s="8">
        <v>52060</v>
      </c>
      <c r="L215" s="8">
        <v>51536</v>
      </c>
      <c r="M215" s="8">
        <v>51263</v>
      </c>
      <c r="N215" s="8">
        <v>51627</v>
      </c>
      <c r="O215" s="8">
        <v>50512</v>
      </c>
      <c r="P215" s="8">
        <v>49829</v>
      </c>
      <c r="Q215" s="8">
        <v>50899</v>
      </c>
      <c r="R215" s="7">
        <f t="shared" si="1"/>
        <v>0.28479529628316969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4.4" hidden="1">
      <c r="A216" s="3">
        <f>LOOKUP(D216,'AMFI DATA_2023H2'!F:L,'AMFI DATA_2023H2'!L:L)</f>
        <v>208</v>
      </c>
      <c r="B216" s="4" t="s">
        <v>633</v>
      </c>
      <c r="C216" s="4" t="s">
        <v>634</v>
      </c>
      <c r="D216" s="5" t="s">
        <v>635</v>
      </c>
      <c r="E216" s="5">
        <v>19200.810000000001</v>
      </c>
      <c r="F216" s="6">
        <f>LOOKUP(D216,'AMFI DATA_2023H2'!F:J,'AMFI DATA_2023H2'!J:J)</f>
        <v>29343.957649999997</v>
      </c>
      <c r="G216" s="7">
        <f t="shared" si="0"/>
        <v>0.12745528038887444</v>
      </c>
      <c r="H216" s="8">
        <v>33084</v>
      </c>
      <c r="I216" s="8">
        <v>33424</v>
      </c>
      <c r="J216" s="8">
        <v>33516</v>
      </c>
      <c r="K216" s="8">
        <v>32178</v>
      </c>
      <c r="L216" s="8">
        <v>32355</v>
      </c>
      <c r="M216" s="8">
        <v>31965</v>
      </c>
      <c r="N216" s="8">
        <v>32128</v>
      </c>
      <c r="O216" s="8">
        <v>32206</v>
      </c>
      <c r="P216" s="8">
        <v>32043</v>
      </c>
      <c r="Q216" s="8">
        <v>32291</v>
      </c>
      <c r="R216" s="7">
        <f t="shared" si="1"/>
        <v>0.10820089055029025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4.4" hidden="1">
      <c r="A217" s="3">
        <f>LOOKUP(D217,'AMFI DATA_2023H2'!F:L,'AMFI DATA_2023H2'!L:L)</f>
        <v>2530</v>
      </c>
      <c r="B217" s="4" t="s">
        <v>5317</v>
      </c>
      <c r="C217" s="4" t="s">
        <v>5318</v>
      </c>
      <c r="D217" s="5" t="s">
        <v>5319</v>
      </c>
      <c r="E217" s="5">
        <v>82.15</v>
      </c>
      <c r="F217" s="6">
        <f>LOOKUP(D217,'AMFI DATA_2023H2'!F:J,'AMFI DATA_2023H2'!J:J)</f>
        <v>77.0488</v>
      </c>
      <c r="G217" s="7">
        <f t="shared" si="0"/>
        <v>0.81703024576631944</v>
      </c>
      <c r="H217" s="9">
        <v>140</v>
      </c>
      <c r="I217" s="9">
        <v>148</v>
      </c>
      <c r="J217" s="9">
        <v>151</v>
      </c>
      <c r="K217" s="9">
        <v>138</v>
      </c>
      <c r="L217" s="9">
        <v>125</v>
      </c>
      <c r="M217" s="9">
        <v>114</v>
      </c>
      <c r="N217" s="9">
        <v>95.1</v>
      </c>
      <c r="O217" s="9">
        <v>79.2</v>
      </c>
      <c r="P217" s="9">
        <v>75.7</v>
      </c>
      <c r="Q217" s="9">
        <v>76.099999999999994</v>
      </c>
      <c r="R217" s="7">
        <f t="shared" si="1"/>
        <v>0.48230731692122397</v>
      </c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4.4" hidden="1">
      <c r="A218" s="3">
        <f>LOOKUP(D218,'AMFI DATA_2023H2'!F:L,'AMFI DATA_2023H2'!L:L)</f>
        <v>1735</v>
      </c>
      <c r="B218" s="4" t="s">
        <v>4385</v>
      </c>
      <c r="C218" s="4" t="s">
        <v>4386</v>
      </c>
      <c r="D218" s="5" t="s">
        <v>4387</v>
      </c>
      <c r="E218" s="5">
        <v>289.41000000000003</v>
      </c>
      <c r="F218" s="6">
        <f>LOOKUP(D218,'AMFI DATA_2023H2'!F:J,'AMFI DATA_2023H2'!J:J)</f>
        <v>308.87985000000003</v>
      </c>
      <c r="G218" s="7">
        <f t="shared" si="0"/>
        <v>3.2764034300068356E-2</v>
      </c>
      <c r="H218" s="9">
        <v>319</v>
      </c>
      <c r="I218" s="9">
        <v>317</v>
      </c>
      <c r="J218" s="9">
        <v>316</v>
      </c>
      <c r="K218" s="9">
        <v>316</v>
      </c>
      <c r="L218" s="9">
        <v>312</v>
      </c>
      <c r="M218" s="9">
        <v>308</v>
      </c>
      <c r="N218" s="9">
        <v>309</v>
      </c>
      <c r="O218" s="9">
        <v>316</v>
      </c>
      <c r="P218" s="9">
        <v>321</v>
      </c>
      <c r="Q218" s="9">
        <v>310</v>
      </c>
      <c r="R218" s="7">
        <f t="shared" si="1"/>
        <v>1.7871512175365201E-2</v>
      </c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4.4" hidden="1">
      <c r="A219" s="3">
        <f>LOOKUP(D219,'AMFI DATA_2023H2'!F:L,'AMFI DATA_2023H2'!L:L)</f>
        <v>750</v>
      </c>
      <c r="B219" s="4" t="s">
        <v>2195</v>
      </c>
      <c r="C219" s="4" t="s">
        <v>2196</v>
      </c>
      <c r="D219" s="5" t="s">
        <v>2197</v>
      </c>
      <c r="E219" s="5">
        <v>3485.17</v>
      </c>
      <c r="F219" s="6">
        <f>LOOKUP(D219,'AMFI DATA_2023H2'!F:J,'AMFI DATA_2023H2'!J:J)</f>
        <v>3327.7748999999999</v>
      </c>
      <c r="G219" s="7">
        <f t="shared" si="0"/>
        <v>-5.3121050946084103E-2</v>
      </c>
      <c r="H219" s="8">
        <v>3151</v>
      </c>
      <c r="I219" s="8">
        <v>3175</v>
      </c>
      <c r="J219" s="8">
        <v>3219</v>
      </c>
      <c r="K219" s="8">
        <v>3204</v>
      </c>
      <c r="L219" s="8">
        <v>3231</v>
      </c>
      <c r="M219" s="8">
        <v>3206</v>
      </c>
      <c r="N219" s="8">
        <v>3147</v>
      </c>
      <c r="O219" s="8">
        <v>3157</v>
      </c>
      <c r="P219" s="8">
        <v>3143</v>
      </c>
      <c r="Q219" s="8">
        <v>3159</v>
      </c>
      <c r="R219" s="7">
        <f t="shared" si="1"/>
        <v>-4.4646920078638797E-2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4.4" hidden="1">
      <c r="A220" s="3">
        <f>LOOKUP(D220,'AMFI DATA_2023H2'!F:L,'AMFI DATA_2023H2'!L:L)</f>
        <v>1494</v>
      </c>
      <c r="B220" s="4" t="s">
        <v>3947</v>
      </c>
      <c r="C220" s="4" t="s">
        <v>3948</v>
      </c>
      <c r="D220" s="5" t="s">
        <v>3949</v>
      </c>
      <c r="E220" s="5">
        <v>494.13</v>
      </c>
      <c r="F220" s="6">
        <f>LOOKUP(D220,'AMFI DATA_2023H2'!F:J,'AMFI DATA_2023H2'!J:J)</f>
        <v>519.2029</v>
      </c>
      <c r="G220" s="7">
        <f t="shared" si="0"/>
        <v>4.3907882640871199E-2</v>
      </c>
      <c r="H220" s="9">
        <v>542</v>
      </c>
      <c r="I220" s="9">
        <v>527</v>
      </c>
      <c r="J220" s="9">
        <v>521</v>
      </c>
      <c r="K220" s="9">
        <v>520</v>
      </c>
      <c r="L220" s="9">
        <v>507</v>
      </c>
      <c r="M220" s="9">
        <v>497</v>
      </c>
      <c r="N220" s="9">
        <v>500</v>
      </c>
      <c r="O220" s="9">
        <v>503</v>
      </c>
      <c r="P220" s="9">
        <v>511</v>
      </c>
      <c r="Q220" s="9">
        <v>505</v>
      </c>
      <c r="R220" s="7">
        <f t="shared" si="1"/>
        <v>-1.1369158377197097E-2</v>
      </c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4.4" hidden="1">
      <c r="A221" s="3">
        <f>LOOKUP(D221,'AMFI DATA_2023H2'!F:L,'AMFI DATA_2023H2'!L:L)</f>
        <v>2450</v>
      </c>
      <c r="B221" s="4" t="s">
        <v>5254</v>
      </c>
      <c r="C221" s="4" t="s">
        <v>5255</v>
      </c>
      <c r="D221" s="5" t="s">
        <v>5256</v>
      </c>
      <c r="E221" s="5">
        <v>66.53</v>
      </c>
      <c r="F221" s="6">
        <f>LOOKUP(D221,'AMFI DATA_2023H2'!F:J,'AMFI DATA_2023H2'!J:J)</f>
        <v>90.219149999999999</v>
      </c>
      <c r="G221" s="7">
        <f t="shared" si="0"/>
        <v>0.34117867437234772</v>
      </c>
      <c r="H221" s="9">
        <v>121</v>
      </c>
      <c r="I221" s="9">
        <v>122</v>
      </c>
      <c r="J221" s="9">
        <v>120</v>
      </c>
      <c r="K221" s="9">
        <v>118</v>
      </c>
      <c r="L221" s="9">
        <v>116</v>
      </c>
      <c r="M221" s="9">
        <v>114</v>
      </c>
      <c r="N221" s="9">
        <v>116</v>
      </c>
      <c r="O221" s="9">
        <v>119</v>
      </c>
      <c r="P221" s="9">
        <v>113</v>
      </c>
      <c r="Q221" s="9">
        <v>108</v>
      </c>
      <c r="R221" s="7">
        <f t="shared" si="1"/>
        <v>0.29351695288638835</v>
      </c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4.4" hidden="1">
      <c r="A222" s="3">
        <f>LOOKUP(D222,'AMFI DATA_2023H2'!F:L,'AMFI DATA_2023H2'!L:L)</f>
        <v>830</v>
      </c>
      <c r="B222" s="4" t="s">
        <v>2411</v>
      </c>
      <c r="C222" s="4" t="s">
        <v>2412</v>
      </c>
      <c r="D222" s="5" t="s">
        <v>2413</v>
      </c>
      <c r="E222" s="5">
        <v>2775.74</v>
      </c>
      <c r="F222" s="6">
        <f>LOOKUP(D222,'AMFI DATA_2023H2'!F:J,'AMFI DATA_2023H2'!J:J)</f>
        <v>2646.8173999999999</v>
      </c>
      <c r="G222" s="7">
        <f t="shared" si="0"/>
        <v>-5.9247532527177738E-2</v>
      </c>
      <c r="H222" s="8">
        <v>2490</v>
      </c>
      <c r="I222" s="8">
        <v>2533</v>
      </c>
      <c r="J222" s="8">
        <v>2534</v>
      </c>
      <c r="K222" s="8">
        <v>2582</v>
      </c>
      <c r="L222" s="8">
        <v>2599</v>
      </c>
      <c r="M222" s="8">
        <v>2611</v>
      </c>
      <c r="N222" s="8">
        <v>2606</v>
      </c>
      <c r="O222" s="8">
        <v>2595</v>
      </c>
      <c r="P222" s="8">
        <v>2598</v>
      </c>
      <c r="Q222" s="8">
        <v>2618</v>
      </c>
      <c r="R222" s="7">
        <f t="shared" si="1"/>
        <v>-2.6528992895392012E-2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4.4" hidden="1">
      <c r="A223" s="3">
        <f>LOOKUP(D223,'AMFI DATA_2023H2'!F:L,'AMFI DATA_2023H2'!L:L)</f>
        <v>1588</v>
      </c>
      <c r="B223" s="4" t="s">
        <v>4124</v>
      </c>
      <c r="C223" s="4" t="s">
        <v>4125</v>
      </c>
      <c r="D223" s="5" t="s">
        <v>4126</v>
      </c>
      <c r="E223" s="5">
        <v>86.1</v>
      </c>
      <c r="F223" s="6">
        <f>LOOKUP(D223,'AMFI DATA_2023H2'!F:J,'AMFI DATA_2023H2'!J:J)</f>
        <v>422.18915000000004</v>
      </c>
      <c r="G223" s="7">
        <f t="shared" si="0"/>
        <v>0.35247435894551038</v>
      </c>
      <c r="H223" s="9">
        <v>571</v>
      </c>
      <c r="I223" s="9">
        <v>557</v>
      </c>
      <c r="J223" s="9">
        <v>553</v>
      </c>
      <c r="K223" s="9">
        <v>542</v>
      </c>
      <c r="L223" s="9">
        <v>532</v>
      </c>
      <c r="M223" s="9">
        <v>518</v>
      </c>
      <c r="N223" s="9">
        <v>512</v>
      </c>
      <c r="O223" s="9">
        <v>518</v>
      </c>
      <c r="P223" s="9">
        <v>508</v>
      </c>
      <c r="Q223" s="9">
        <v>519</v>
      </c>
      <c r="R223" s="7">
        <f t="shared" si="1"/>
        <v>0.26246730878801583</v>
      </c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4.4" hidden="1">
      <c r="A224" s="3">
        <f>LOOKUP(D224,'AMFI DATA_2023H2'!F:L,'AMFI DATA_2023H2'!L:L)</f>
        <v>371</v>
      </c>
      <c r="B224" s="4" t="s">
        <v>1119</v>
      </c>
      <c r="C224" s="4" t="s">
        <v>1120</v>
      </c>
      <c r="D224" s="5" t="s">
        <v>1121</v>
      </c>
      <c r="E224" s="5">
        <v>10618.61</v>
      </c>
      <c r="F224" s="6">
        <f>LOOKUP(D224,'AMFI DATA_2023H2'!F:J,'AMFI DATA_2023H2'!J:J)</f>
        <v>11728.3269</v>
      </c>
      <c r="G224" s="7">
        <f t="shared" si="0"/>
        <v>0.12479811591881873</v>
      </c>
      <c r="H224" s="8">
        <v>13192</v>
      </c>
      <c r="I224" s="8">
        <v>13267</v>
      </c>
      <c r="J224" s="8">
        <v>13179</v>
      </c>
      <c r="K224" s="8">
        <v>13256</v>
      </c>
      <c r="L224" s="8">
        <v>13306</v>
      </c>
      <c r="M224" s="8">
        <v>13274</v>
      </c>
      <c r="N224" s="8">
        <v>13305</v>
      </c>
      <c r="O224" s="8">
        <v>13270</v>
      </c>
      <c r="P224" s="8">
        <v>13323</v>
      </c>
      <c r="Q224" s="8">
        <v>13106</v>
      </c>
      <c r="R224" s="7">
        <f t="shared" si="1"/>
        <v>0.12955582777966379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4.4" hidden="1">
      <c r="A225" s="3">
        <f>LOOKUP(D225,'AMFI DATA_2023H2'!F:L,'AMFI DATA_2023H2'!L:L)</f>
        <v>256</v>
      </c>
      <c r="B225" s="4" t="s">
        <v>774</v>
      </c>
      <c r="C225" s="4" t="s">
        <v>775</v>
      </c>
      <c r="D225" s="5" t="s">
        <v>776</v>
      </c>
      <c r="E225" s="5">
        <v>19432.2</v>
      </c>
      <c r="F225" s="6">
        <f>LOOKUP(D225,'AMFI DATA_2023H2'!F:J,'AMFI DATA_2023H2'!J:J)</f>
        <v>21213.036350000002</v>
      </c>
      <c r="G225" s="7">
        <f t="shared" si="0"/>
        <v>-1.7868085631220887E-2</v>
      </c>
      <c r="H225" s="8">
        <v>20834</v>
      </c>
      <c r="I225" s="8">
        <v>20667</v>
      </c>
      <c r="J225" s="8">
        <v>20491</v>
      </c>
      <c r="K225" s="8">
        <v>20525</v>
      </c>
      <c r="L225" s="8">
        <v>21100</v>
      </c>
      <c r="M225" s="8">
        <v>21207</v>
      </c>
      <c r="N225" s="8">
        <v>21061</v>
      </c>
      <c r="O225" s="8">
        <v>21062</v>
      </c>
      <c r="P225" s="8">
        <v>20782</v>
      </c>
      <c r="Q225" s="8">
        <v>20833</v>
      </c>
      <c r="R225" s="7">
        <f t="shared" si="1"/>
        <v>-1.6821559352110493E-2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4.4" hidden="1">
      <c r="A226" s="3">
        <f>LOOKUP(D226,'AMFI DATA_2023H2'!F:L,'AMFI DATA_2023H2'!L:L)</f>
        <v>256</v>
      </c>
      <c r="B226" s="4" t="s">
        <v>777</v>
      </c>
      <c r="C226" s="4" t="s">
        <v>778</v>
      </c>
      <c r="D226" s="5" t="s">
        <v>779</v>
      </c>
      <c r="E226" s="5">
        <v>19432.2</v>
      </c>
      <c r="F226" s="6">
        <f>LOOKUP(D226,'AMFI DATA_2023H2'!F:J,'AMFI DATA_2023H2'!J:J)</f>
        <v>21213.036350000002</v>
      </c>
      <c r="G226" s="7">
        <f t="shared" si="0"/>
        <v>0.18266897704156326</v>
      </c>
      <c r="H226" s="8">
        <v>25088</v>
      </c>
      <c r="I226" s="8">
        <v>24677</v>
      </c>
      <c r="J226" s="8">
        <v>24943</v>
      </c>
      <c r="K226" s="8">
        <v>24712</v>
      </c>
      <c r="L226" s="8">
        <v>24720</v>
      </c>
      <c r="M226" s="8">
        <v>24868</v>
      </c>
      <c r="N226" s="8">
        <v>24976</v>
      </c>
      <c r="O226" s="8">
        <v>25595</v>
      </c>
      <c r="P226" s="8">
        <v>25383</v>
      </c>
      <c r="Q226" s="8">
        <v>25168</v>
      </c>
      <c r="R226" s="7">
        <f t="shared" si="1"/>
        <v>0.1791334152878119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4.4" hidden="1">
      <c r="A227" s="3">
        <f>LOOKUP(D227,'AMFI DATA_2023H2'!F:L,'AMFI DATA_2023H2'!L:L)</f>
        <v>1114</v>
      </c>
      <c r="B227" s="4" t="s">
        <v>3146</v>
      </c>
      <c r="C227" s="4" t="s">
        <v>3147</v>
      </c>
      <c r="D227" s="5" t="s">
        <v>3148</v>
      </c>
      <c r="E227" s="5">
        <v>1050.94</v>
      </c>
      <c r="F227" s="6">
        <f>LOOKUP(D227,'AMFI DATA_2023H2'!F:J,'AMFI DATA_2023H2'!J:J)</f>
        <v>1295.6860999999999</v>
      </c>
      <c r="G227" s="7">
        <f t="shared" si="0"/>
        <v>0.49187368761615957</v>
      </c>
      <c r="H227" s="8">
        <v>1933</v>
      </c>
      <c r="I227" s="8">
        <v>1757</v>
      </c>
      <c r="J227" s="8">
        <v>1680</v>
      </c>
      <c r="K227" s="8">
        <v>1695</v>
      </c>
      <c r="L227" s="8">
        <v>1709</v>
      </c>
      <c r="M227" s="8">
        <v>1712</v>
      </c>
      <c r="N227" s="8">
        <v>1703</v>
      </c>
      <c r="O227" s="8">
        <v>1721</v>
      </c>
      <c r="P227" s="8">
        <v>1675</v>
      </c>
      <c r="Q227" s="8">
        <v>1686</v>
      </c>
      <c r="R227" s="7">
        <f t="shared" si="1"/>
        <v>0.33296174127360012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4.4" hidden="1">
      <c r="A228" s="3">
        <f>LOOKUP(D228,'AMFI DATA_2023H2'!F:L,'AMFI DATA_2023H2'!L:L)</f>
        <v>2139</v>
      </c>
      <c r="B228" s="4" t="s">
        <v>4934</v>
      </c>
      <c r="C228" s="4" t="s">
        <v>4935</v>
      </c>
      <c r="D228" s="5" t="s">
        <v>4936</v>
      </c>
      <c r="E228" s="5">
        <v>90.37</v>
      </c>
      <c r="F228" s="6">
        <f>LOOKUP(D228,'AMFI DATA_2023H2'!F:J,'AMFI DATA_2023H2'!J:J)</f>
        <v>148.05334999999999</v>
      </c>
      <c r="G228" s="7">
        <f t="shared" si="0"/>
        <v>0.17525202908275972</v>
      </c>
      <c r="H228" s="9">
        <v>174</v>
      </c>
      <c r="I228" s="9">
        <v>174</v>
      </c>
      <c r="J228" s="9">
        <v>174</v>
      </c>
      <c r="K228" s="9">
        <v>174</v>
      </c>
      <c r="L228" s="9">
        <v>177</v>
      </c>
      <c r="M228" s="9">
        <v>181</v>
      </c>
      <c r="N228" s="9">
        <v>181</v>
      </c>
      <c r="O228" s="9">
        <v>184</v>
      </c>
      <c r="P228" s="9">
        <v>179</v>
      </c>
      <c r="Q228" s="9">
        <v>178</v>
      </c>
      <c r="R228" s="7">
        <f t="shared" si="1"/>
        <v>0.19956758830516153</v>
      </c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4.4" hidden="1">
      <c r="A229" s="3">
        <f>LOOKUP(D229,'AMFI DATA_2023H2'!F:L,'AMFI DATA_2023H2'!L:L)</f>
        <v>1662</v>
      </c>
      <c r="B229" s="4" t="s">
        <v>4262</v>
      </c>
      <c r="C229" s="4" t="s">
        <v>4263</v>
      </c>
      <c r="D229" s="5" t="s">
        <v>4264</v>
      </c>
      <c r="E229" s="5">
        <v>183.47</v>
      </c>
      <c r="F229" s="6">
        <f>LOOKUP(D229,'AMFI DATA_2023H2'!F:J,'AMFI DATA_2023H2'!J:J)</f>
        <v>356.65189999999996</v>
      </c>
      <c r="G229" s="7">
        <f t="shared" si="0"/>
        <v>1.0552252770839021</v>
      </c>
      <c r="H229" s="9">
        <v>733</v>
      </c>
      <c r="I229" s="9">
        <v>723</v>
      </c>
      <c r="J229" s="9">
        <v>657</v>
      </c>
      <c r="K229" s="9">
        <v>667</v>
      </c>
      <c r="L229" s="9">
        <v>612</v>
      </c>
      <c r="M229" s="9">
        <v>557</v>
      </c>
      <c r="N229" s="9">
        <v>541</v>
      </c>
      <c r="O229" s="9">
        <v>543</v>
      </c>
      <c r="P229" s="9">
        <v>553</v>
      </c>
      <c r="Q229" s="9">
        <v>553</v>
      </c>
      <c r="R229" s="7">
        <f t="shared" si="1"/>
        <v>0.72128621773779988</v>
      </c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4.4" hidden="1">
      <c r="A230" s="3">
        <f>LOOKUP(D230,'AMFI DATA_2023H2'!F:L,'AMFI DATA_2023H2'!L:L)</f>
        <v>1366</v>
      </c>
      <c r="B230" s="4" t="s">
        <v>3695</v>
      </c>
      <c r="C230" s="4" t="s">
        <v>3696</v>
      </c>
      <c r="D230" s="5" t="s">
        <v>3697</v>
      </c>
      <c r="E230" s="5">
        <v>733.35</v>
      </c>
      <c r="F230" s="6">
        <f>LOOKUP(D230,'AMFI DATA_2023H2'!F:J,'AMFI DATA_2023H2'!J:J)</f>
        <v>692.31320000000005</v>
      </c>
      <c r="G230" s="7">
        <f t="shared" si="0"/>
        <v>0.23499017496705243</v>
      </c>
      <c r="H230" s="9">
        <v>855</v>
      </c>
      <c r="I230" s="9">
        <v>881</v>
      </c>
      <c r="J230" s="9">
        <v>850</v>
      </c>
      <c r="K230" s="9">
        <v>860</v>
      </c>
      <c r="L230" s="9">
        <v>879</v>
      </c>
      <c r="M230" s="9">
        <v>869</v>
      </c>
      <c r="N230" s="9">
        <v>867</v>
      </c>
      <c r="O230" s="9">
        <v>850</v>
      </c>
      <c r="P230" s="9">
        <v>815</v>
      </c>
      <c r="Q230" s="9">
        <v>806</v>
      </c>
      <c r="R230" s="7">
        <f t="shared" si="1"/>
        <v>0.23239019565133234</v>
      </c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4.4" hidden="1">
      <c r="A231" s="3">
        <f>LOOKUP(D231,'AMFI DATA_2023H2'!F:L,'AMFI DATA_2023H2'!L:L)</f>
        <v>439</v>
      </c>
      <c r="B231" s="4" t="s">
        <v>1311</v>
      </c>
      <c r="C231" s="4" t="s">
        <v>1312</v>
      </c>
      <c r="D231" s="5" t="s">
        <v>1313</v>
      </c>
      <c r="E231" s="5">
        <v>5763.53</v>
      </c>
      <c r="F231" s="6">
        <f>LOOKUP(D231,'AMFI DATA_2023H2'!F:J,'AMFI DATA_2023H2'!J:J)</f>
        <v>9174.2386499999993</v>
      </c>
      <c r="G231" s="7">
        <f t="shared" si="0"/>
        <v>0.40273220383252184</v>
      </c>
      <c r="H231" s="8">
        <v>12869</v>
      </c>
      <c r="I231" s="8">
        <v>12027</v>
      </c>
      <c r="J231" s="8">
        <v>11719</v>
      </c>
      <c r="K231" s="8">
        <v>11591</v>
      </c>
      <c r="L231" s="8">
        <v>11844</v>
      </c>
      <c r="M231" s="8">
        <v>11777</v>
      </c>
      <c r="N231" s="8">
        <v>11760</v>
      </c>
      <c r="O231" s="8">
        <v>11941</v>
      </c>
      <c r="P231" s="8">
        <v>11990</v>
      </c>
      <c r="Q231" s="8">
        <v>11676</v>
      </c>
      <c r="R231" s="7">
        <f t="shared" si="1"/>
        <v>0.29922497710477591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4.4" hidden="1">
      <c r="A232" s="3">
        <f>LOOKUP(D232,'AMFI DATA_2023H2'!F:L,'AMFI DATA_2023H2'!L:L)</f>
        <v>97</v>
      </c>
      <c r="B232" s="4" t="s">
        <v>303</v>
      </c>
      <c r="C232" s="4" t="s">
        <v>304</v>
      </c>
      <c r="D232" s="5" t="s">
        <v>305</v>
      </c>
      <c r="E232" s="5">
        <v>58273</v>
      </c>
      <c r="F232" s="6">
        <f>LOOKUP(D232,'AMFI DATA_2023H2'!F:J,'AMFI DATA_2023H2'!J:J)</f>
        <v>67507.958199999994</v>
      </c>
      <c r="G232" s="7">
        <f t="shared" si="0"/>
        <v>2.8989793976615941E-2</v>
      </c>
      <c r="H232" s="8">
        <v>69465</v>
      </c>
      <c r="I232" s="8">
        <v>69762</v>
      </c>
      <c r="J232" s="8">
        <v>69703</v>
      </c>
      <c r="K232" s="8">
        <v>70525</v>
      </c>
      <c r="L232" s="8">
        <v>69989</v>
      </c>
      <c r="M232" s="8">
        <v>70246</v>
      </c>
      <c r="N232" s="8">
        <v>69488</v>
      </c>
      <c r="O232" s="8">
        <v>68194</v>
      </c>
      <c r="P232" s="8">
        <v>68591</v>
      </c>
      <c r="Q232" s="8">
        <v>67978</v>
      </c>
      <c r="R232" s="7">
        <f t="shared" si="1"/>
        <v>2.7939547429535638E-2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4.4" hidden="1">
      <c r="A233" s="3">
        <f>LOOKUP(D233,'AMFI DATA_2023H2'!F:L,'AMFI DATA_2023H2'!L:L)</f>
        <v>981</v>
      </c>
      <c r="B233" s="4" t="s">
        <v>2813</v>
      </c>
      <c r="C233" s="4" t="s">
        <v>2814</v>
      </c>
      <c r="D233" s="5" t="s">
        <v>2815</v>
      </c>
      <c r="E233" s="5">
        <v>1458.19</v>
      </c>
      <c r="F233" s="6">
        <f>LOOKUP(D233,'AMFI DATA_2023H2'!F:J,'AMFI DATA_2023H2'!J:J)</f>
        <v>1802.82125</v>
      </c>
      <c r="G233" s="7">
        <f t="shared" si="0"/>
        <v>0.14653629692904935</v>
      </c>
      <c r="H233" s="8">
        <v>2067</v>
      </c>
      <c r="I233" s="8">
        <v>2053</v>
      </c>
      <c r="J233" s="8">
        <v>2022</v>
      </c>
      <c r="K233" s="8">
        <v>2064</v>
      </c>
      <c r="L233" s="8">
        <v>2063</v>
      </c>
      <c r="M233" s="8">
        <v>2013</v>
      </c>
      <c r="N233" s="8">
        <v>2009</v>
      </c>
      <c r="O233" s="8">
        <v>2041</v>
      </c>
      <c r="P233" s="8">
        <v>2111</v>
      </c>
      <c r="Q233" s="8">
        <v>2150</v>
      </c>
      <c r="R233" s="7">
        <f t="shared" si="1"/>
        <v>0.14226521348137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4.4" hidden="1">
      <c r="A234" s="3">
        <f>LOOKUP(D234,'AMFI DATA_2023H2'!F:L,'AMFI DATA_2023H2'!L:L)</f>
        <v>895</v>
      </c>
      <c r="B234" s="4" t="s">
        <v>2594</v>
      </c>
      <c r="C234" s="4" t="s">
        <v>2595</v>
      </c>
      <c r="D234" s="5" t="s">
        <v>2596</v>
      </c>
      <c r="E234" s="5">
        <v>1326.33</v>
      </c>
      <c r="F234" s="6">
        <f>LOOKUP(D234,'AMFI DATA_2023H2'!F:J,'AMFI DATA_2023H2'!J:J)</f>
        <v>2172.3615</v>
      </c>
      <c r="G234" s="7">
        <f t="shared" si="0"/>
        <v>3.5739217436876913E-2</v>
      </c>
      <c r="H234" s="8">
        <v>2250</v>
      </c>
      <c r="I234" s="8">
        <v>2287</v>
      </c>
      <c r="J234" s="8">
        <v>2207</v>
      </c>
      <c r="K234" s="8">
        <v>2216</v>
      </c>
      <c r="L234" s="8">
        <v>2234</v>
      </c>
      <c r="M234" s="8">
        <v>2225</v>
      </c>
      <c r="N234" s="8">
        <v>2235</v>
      </c>
      <c r="O234" s="8">
        <v>2277</v>
      </c>
      <c r="P234" s="8">
        <v>2268</v>
      </c>
      <c r="Q234" s="8">
        <v>2300</v>
      </c>
      <c r="R234" s="7">
        <f t="shared" si="1"/>
        <v>3.56931845827686E-2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4.4" hidden="1">
      <c r="A235" s="3">
        <f>LOOKUP(D235,'AMFI DATA_2023H2'!F:L,'AMFI DATA_2023H2'!L:L)</f>
        <v>1486</v>
      </c>
      <c r="B235" s="4" t="s">
        <v>3929</v>
      </c>
      <c r="C235" s="4" t="s">
        <v>3930</v>
      </c>
      <c r="D235" s="5" t="s">
        <v>3931</v>
      </c>
      <c r="E235" s="5">
        <v>387.39</v>
      </c>
      <c r="F235" s="6">
        <f>LOOKUP(D235,'AMFI DATA_2023H2'!F:J,'AMFI DATA_2023H2'!J:J)</f>
        <v>529.57535000000007</v>
      </c>
      <c r="G235" s="7">
        <f t="shared" si="0"/>
        <v>0.28782429167067525</v>
      </c>
      <c r="H235" s="9">
        <v>682</v>
      </c>
      <c r="I235" s="9">
        <v>671</v>
      </c>
      <c r="J235" s="9">
        <v>701</v>
      </c>
      <c r="K235" s="9">
        <v>707</v>
      </c>
      <c r="L235" s="9">
        <v>696</v>
      </c>
      <c r="M235" s="9">
        <v>701</v>
      </c>
      <c r="N235" s="9">
        <v>679</v>
      </c>
      <c r="O235" s="9">
        <v>703</v>
      </c>
      <c r="P235" s="9">
        <v>715</v>
      </c>
      <c r="Q235" s="9">
        <v>726</v>
      </c>
      <c r="R235" s="7">
        <f t="shared" si="1"/>
        <v>0.31822600882008567</v>
      </c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4.4" hidden="1">
      <c r="A236" s="3">
        <f>LOOKUP(D236,'AMFI DATA_2023H2'!F:L,'AMFI DATA_2023H2'!L:L)</f>
        <v>1370</v>
      </c>
      <c r="B236" s="4" t="s">
        <v>3701</v>
      </c>
      <c r="C236" s="4" t="s">
        <v>3702</v>
      </c>
      <c r="D236" s="5" t="s">
        <v>3703</v>
      </c>
      <c r="E236" s="5">
        <v>594.79999999999995</v>
      </c>
      <c r="F236" s="6">
        <f>LOOKUP(D236,'AMFI DATA_2023H2'!F:J,'AMFI DATA_2023H2'!J:J)</f>
        <v>685.90544999999997</v>
      </c>
      <c r="G236" s="7">
        <f t="shared" si="0"/>
        <v>7.1576264629476416E-2</v>
      </c>
      <c r="H236" s="9">
        <v>735</v>
      </c>
      <c r="I236" s="9">
        <v>743</v>
      </c>
      <c r="J236" s="9">
        <v>738</v>
      </c>
      <c r="K236" s="9">
        <v>721</v>
      </c>
      <c r="L236" s="9">
        <v>719</v>
      </c>
      <c r="M236" s="9">
        <v>713</v>
      </c>
      <c r="N236" s="9">
        <v>731</v>
      </c>
      <c r="O236" s="9">
        <v>719</v>
      </c>
      <c r="P236" s="9">
        <v>738</v>
      </c>
      <c r="Q236" s="9">
        <v>727</v>
      </c>
      <c r="R236" s="7">
        <f t="shared" si="1"/>
        <v>6.1953947151170752E-2</v>
      </c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4.4" hidden="1">
      <c r="A237" s="3">
        <f>LOOKUP(D237,'AMFI DATA_2023H2'!F:L,'AMFI DATA_2023H2'!L:L)</f>
        <v>1056</v>
      </c>
      <c r="B237" s="4" t="s">
        <v>3008</v>
      </c>
      <c r="C237" s="4" t="s">
        <v>3009</v>
      </c>
      <c r="D237" s="5" t="s">
        <v>3010</v>
      </c>
      <c r="E237" s="5">
        <v>1390.18</v>
      </c>
      <c r="F237" s="6">
        <f>LOOKUP(D237,'AMFI DATA_2023H2'!F:J,'AMFI DATA_2023H2'!J:J)</f>
        <v>1465.6003499999999</v>
      </c>
      <c r="G237" s="7">
        <f t="shared" si="0"/>
        <v>8.8291224821282377E-2</v>
      </c>
      <c r="H237" s="8">
        <v>1595</v>
      </c>
      <c r="I237" s="8">
        <v>1581</v>
      </c>
      <c r="J237" s="8">
        <v>1595</v>
      </c>
      <c r="K237" s="8">
        <v>1596</v>
      </c>
      <c r="L237" s="8">
        <v>1578</v>
      </c>
      <c r="M237" s="8">
        <v>1597</v>
      </c>
      <c r="N237" s="8">
        <v>1597</v>
      </c>
      <c r="O237" s="8">
        <v>1600</v>
      </c>
      <c r="P237" s="8">
        <v>1622</v>
      </c>
      <c r="Q237" s="8">
        <v>1596</v>
      </c>
      <c r="R237" s="7">
        <f t="shared" si="1"/>
        <v>8.8768844794558266E-2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4.4" hidden="1">
      <c r="A238" s="3">
        <f>LOOKUP(D238,'AMFI DATA_2023H2'!F:L,'AMFI DATA_2023H2'!L:L)</f>
        <v>1896</v>
      </c>
      <c r="B238" s="4" t="s">
        <v>4601</v>
      </c>
      <c r="C238" s="4" t="s">
        <v>4602</v>
      </c>
      <c r="D238" s="5" t="s">
        <v>4603</v>
      </c>
      <c r="E238" s="5">
        <v>157.52000000000001</v>
      </c>
      <c r="F238" s="6">
        <f>LOOKUP(D238,'AMFI DATA_2023H2'!F:J,'AMFI DATA_2023H2'!J:J)</f>
        <v>221.93574999999998</v>
      </c>
      <c r="G238" s="7">
        <f t="shared" si="0"/>
        <v>0.4824110130972592</v>
      </c>
      <c r="H238" s="9">
        <v>329</v>
      </c>
      <c r="I238" s="9">
        <v>331</v>
      </c>
      <c r="J238" s="9">
        <v>319</v>
      </c>
      <c r="K238" s="9">
        <v>314</v>
      </c>
      <c r="L238" s="9">
        <v>320</v>
      </c>
      <c r="M238" s="9">
        <v>331</v>
      </c>
      <c r="N238" s="9">
        <v>317</v>
      </c>
      <c r="O238" s="9">
        <v>279</v>
      </c>
      <c r="P238" s="9">
        <v>280</v>
      </c>
      <c r="Q238" s="9">
        <v>281</v>
      </c>
      <c r="R238" s="7">
        <f t="shared" si="1"/>
        <v>0.39725123149379971</v>
      </c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4.4" hidden="1">
      <c r="A239" s="3">
        <f>LOOKUP(D239,'AMFI DATA_2023H2'!F:L,'AMFI DATA_2023H2'!L:L)</f>
        <v>2433</v>
      </c>
      <c r="B239" s="4" t="s">
        <v>5239</v>
      </c>
      <c r="C239" s="4" t="s">
        <v>5240</v>
      </c>
      <c r="D239" s="5" t="s">
        <v>5241</v>
      </c>
      <c r="E239" s="5">
        <v>72.180000000000007</v>
      </c>
      <c r="F239" s="6">
        <f>LOOKUP(D239,'AMFI DATA_2023H2'!F:J,'AMFI DATA_2023H2'!J:J)</f>
        <v>92.508700000000005</v>
      </c>
      <c r="G239" s="7">
        <f t="shared" si="0"/>
        <v>0.24312632217294161</v>
      </c>
      <c r="H239" s="9">
        <v>115</v>
      </c>
      <c r="I239" s="9">
        <v>114</v>
      </c>
      <c r="J239" s="9">
        <v>109</v>
      </c>
      <c r="K239" s="9">
        <v>105</v>
      </c>
      <c r="L239" s="9">
        <v>104</v>
      </c>
      <c r="M239" s="9">
        <v>98.7</v>
      </c>
      <c r="N239" s="9">
        <v>100</v>
      </c>
      <c r="O239" s="9">
        <v>102</v>
      </c>
      <c r="P239" s="9">
        <v>99.4</v>
      </c>
      <c r="Q239" s="9">
        <v>98.1</v>
      </c>
      <c r="R239" s="7">
        <f t="shared" si="1"/>
        <v>0.12983967994361612</v>
      </c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4.4" hidden="1">
      <c r="A240" s="3">
        <f>LOOKUP(D240,'AMFI DATA_2023H2'!F:L,'AMFI DATA_2023H2'!L:L)</f>
        <v>877</v>
      </c>
      <c r="B240" s="4" t="s">
        <v>2543</v>
      </c>
      <c r="C240" s="4" t="s">
        <v>2544</v>
      </c>
      <c r="D240" s="5" t="s">
        <v>2545</v>
      </c>
      <c r="E240" s="5">
        <v>1923.71</v>
      </c>
      <c r="F240" s="6">
        <f>LOOKUP(D240,'AMFI DATA_2023H2'!F:J,'AMFI DATA_2023H2'!J:J)</f>
        <v>2281.5770499999999</v>
      </c>
      <c r="G240" s="7">
        <f t="shared" si="0"/>
        <v>0.22196180050110526</v>
      </c>
      <c r="H240" s="8">
        <v>2788</v>
      </c>
      <c r="I240" s="8">
        <v>2737</v>
      </c>
      <c r="J240" s="8">
        <v>2781</v>
      </c>
      <c r="K240" s="8">
        <v>2842</v>
      </c>
      <c r="L240" s="8">
        <v>2578</v>
      </c>
      <c r="M240" s="8">
        <v>2509</v>
      </c>
      <c r="N240" s="8">
        <v>2504</v>
      </c>
      <c r="O240" s="8">
        <v>2542</v>
      </c>
      <c r="P240" s="8">
        <v>2574</v>
      </c>
      <c r="Q240" s="8">
        <v>2560</v>
      </c>
      <c r="R240" s="7">
        <f t="shared" si="1"/>
        <v>0.15775182784206221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4.4">
      <c r="A241" s="3">
        <f>LOOKUP(D241,'AMFI DATA_2023H2'!F:L,'AMFI DATA_2023H2'!L:L)</f>
        <v>904</v>
      </c>
      <c r="B241" s="4" t="s">
        <v>2618</v>
      </c>
      <c r="C241" s="4" t="s">
        <v>2619</v>
      </c>
      <c r="D241" s="5" t="s">
        <v>2620</v>
      </c>
      <c r="E241" s="5">
        <v>1540.43</v>
      </c>
      <c r="F241" s="6">
        <f>LOOKUP(D241,'AMFI DATA_2023H2'!F:J,'AMFI DATA_2023H2'!J:J)</f>
        <v>2145.2779</v>
      </c>
      <c r="G241" s="7">
        <f t="shared" si="0"/>
        <v>0.26557030210398369</v>
      </c>
      <c r="H241" s="8">
        <v>2715</v>
      </c>
      <c r="I241" s="8">
        <v>2726</v>
      </c>
      <c r="J241" s="8">
        <v>2744</v>
      </c>
      <c r="K241" s="8">
        <v>2798</v>
      </c>
      <c r="L241" s="8">
        <v>2799</v>
      </c>
      <c r="M241" s="8">
        <v>2747</v>
      </c>
      <c r="N241" s="8">
        <v>2675</v>
      </c>
      <c r="O241" s="8">
        <v>2682</v>
      </c>
      <c r="P241" s="8">
        <v>2616</v>
      </c>
      <c r="Q241" s="8">
        <v>2301</v>
      </c>
      <c r="R241" s="14">
        <f t="shared" si="1"/>
        <v>0.24939524152092374</v>
      </c>
      <c r="S241" s="8"/>
      <c r="T241" s="8">
        <v>4801</v>
      </c>
      <c r="U241" s="15">
        <f ca="1">IFERROR(__xludf.DUMMYFUNCTION("GOOGLEFINANCE(C241,""PRICE"")"),4583)</f>
        <v>4583</v>
      </c>
      <c r="V241" s="13" t="s">
        <v>5787</v>
      </c>
      <c r="W241" s="7">
        <f ca="1">U241/T241-1</f>
        <v>-4.5407206831910019E-2</v>
      </c>
      <c r="X241" s="8"/>
      <c r="Y241" s="8"/>
      <c r="Z241" s="8"/>
      <c r="AA241" s="8"/>
      <c r="AB241" s="8"/>
    </row>
    <row r="242" spans="1:28" ht="14.4" hidden="1">
      <c r="A242" s="3">
        <f>LOOKUP(D242,'AMFI DATA_2023H2'!F:L,'AMFI DATA_2023H2'!L:L)</f>
        <v>257</v>
      </c>
      <c r="B242" s="4" t="s">
        <v>780</v>
      </c>
      <c r="C242" s="4" t="s">
        <v>781</v>
      </c>
      <c r="D242" s="5" t="s">
        <v>782</v>
      </c>
      <c r="E242" s="5">
        <v>18097.91</v>
      </c>
      <c r="F242" s="6">
        <f>LOOKUP(D242,'AMFI DATA_2023H2'!F:J,'AMFI DATA_2023H2'!J:J)</f>
        <v>21145.831700000002</v>
      </c>
      <c r="G242" s="7">
        <f t="shared" si="0"/>
        <v>0.50947006733246614</v>
      </c>
      <c r="H242" s="8">
        <v>31919</v>
      </c>
      <c r="I242" s="8">
        <v>30845</v>
      </c>
      <c r="J242" s="8">
        <v>30066</v>
      </c>
      <c r="K242" s="8">
        <v>30632</v>
      </c>
      <c r="L242" s="8">
        <v>31634</v>
      </c>
      <c r="M242" s="8">
        <v>31399</v>
      </c>
      <c r="N242" s="8">
        <v>31132</v>
      </c>
      <c r="O242" s="8">
        <v>32380</v>
      </c>
      <c r="P242" s="8">
        <v>31026</v>
      </c>
      <c r="Q242" s="8">
        <v>28798</v>
      </c>
      <c r="R242" s="7">
        <f t="shared" si="1"/>
        <v>0.465210753568988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4.4" hidden="1">
      <c r="A243" s="3">
        <f>LOOKUP(D243,'AMFI DATA_2023H2'!F:L,'AMFI DATA_2023H2'!L:L)</f>
        <v>56</v>
      </c>
      <c r="B243" s="4" t="s">
        <v>177</v>
      </c>
      <c r="C243" s="4" t="s">
        <v>178</v>
      </c>
      <c r="D243" s="5" t="s">
        <v>179</v>
      </c>
      <c r="E243" s="5">
        <v>75404.289999999994</v>
      </c>
      <c r="F243" s="6">
        <f>LOOKUP(D243,'AMFI DATA_2023H2'!F:J,'AMFI DATA_2023H2'!J:J)</f>
        <v>101875.76944999999</v>
      </c>
      <c r="G243" s="7">
        <f t="shared" si="0"/>
        <v>0.33422305160317012</v>
      </c>
      <c r="H243" s="8">
        <v>135925</v>
      </c>
      <c r="I243" s="8">
        <v>136620</v>
      </c>
      <c r="J243" s="8">
        <v>133294</v>
      </c>
      <c r="K243" s="8">
        <v>133184</v>
      </c>
      <c r="L243" s="8">
        <v>135267</v>
      </c>
      <c r="M243" s="8">
        <v>134573</v>
      </c>
      <c r="N243" s="8">
        <v>133550</v>
      </c>
      <c r="O243" s="8">
        <v>131686</v>
      </c>
      <c r="P243" s="8">
        <v>132963</v>
      </c>
      <c r="Q243" s="8">
        <v>127775</v>
      </c>
      <c r="R243" s="7">
        <f t="shared" si="1"/>
        <v>0.31025955161509722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4.4" hidden="1">
      <c r="A244" s="3">
        <f>LOOKUP(D244,'AMFI DATA_2023H2'!F:L,'AMFI DATA_2023H2'!L:L)</f>
        <v>134</v>
      </c>
      <c r="B244" s="4" t="s">
        <v>411</v>
      </c>
      <c r="C244" s="4" t="s">
        <v>412</v>
      </c>
      <c r="D244" s="5" t="s">
        <v>413</v>
      </c>
      <c r="E244" s="5">
        <v>37953.019999999997</v>
      </c>
      <c r="F244" s="6">
        <f>LOOKUP(D244,'AMFI DATA_2023H2'!F:J,'AMFI DATA_2023H2'!J:J)</f>
        <v>48597.61535</v>
      </c>
      <c r="G244" s="7">
        <f t="shared" si="0"/>
        <v>0.21388672211876347</v>
      </c>
      <c r="H244" s="8">
        <v>58992</v>
      </c>
      <c r="I244" s="8">
        <v>58701</v>
      </c>
      <c r="J244" s="8">
        <v>57519</v>
      </c>
      <c r="K244" s="8">
        <v>57870</v>
      </c>
      <c r="L244" s="8">
        <v>58068</v>
      </c>
      <c r="M244" s="8">
        <v>57677</v>
      </c>
      <c r="N244" s="8">
        <v>57984</v>
      </c>
      <c r="O244" s="8">
        <v>56751</v>
      </c>
      <c r="P244" s="8">
        <v>57135</v>
      </c>
      <c r="Q244" s="8">
        <v>55952</v>
      </c>
      <c r="R244" s="7">
        <f t="shared" si="1"/>
        <v>0.18657879784218667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4.4" hidden="1">
      <c r="A245" s="3">
        <f>LOOKUP(D245,'AMFI DATA_2023H2'!F:L,'AMFI DATA_2023H2'!L:L)</f>
        <v>2005</v>
      </c>
      <c r="B245" s="4" t="s">
        <v>4748</v>
      </c>
      <c r="C245" s="4" t="s">
        <v>4749</v>
      </c>
      <c r="D245" s="5" t="s">
        <v>4750</v>
      </c>
      <c r="E245" s="5">
        <v>187.46</v>
      </c>
      <c r="F245" s="6">
        <f>LOOKUP(D245,'AMFI DATA_2023H2'!F:J,'AMFI DATA_2023H2'!J:J)</f>
        <v>186.32089999999999</v>
      </c>
      <c r="G245" s="7">
        <f t="shared" si="0"/>
        <v>3.5847293567173644E-2</v>
      </c>
      <c r="H245" s="9">
        <v>193</v>
      </c>
      <c r="I245" s="9">
        <v>193</v>
      </c>
      <c r="J245" s="9">
        <v>193</v>
      </c>
      <c r="K245" s="9">
        <v>183</v>
      </c>
      <c r="L245" s="9">
        <v>178</v>
      </c>
      <c r="M245" s="9">
        <v>178</v>
      </c>
      <c r="N245" s="9">
        <v>178</v>
      </c>
      <c r="O245" s="9">
        <v>179</v>
      </c>
      <c r="P245" s="9">
        <v>177</v>
      </c>
      <c r="Q245" s="9">
        <v>177</v>
      </c>
      <c r="R245" s="7">
        <f t="shared" si="1"/>
        <v>-1.8360259101367515E-2</v>
      </c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4.4" hidden="1">
      <c r="A246" s="3">
        <f>LOOKUP(D246,'AMFI DATA_2023H2'!F:L,'AMFI DATA_2023H2'!L:L)</f>
        <v>148</v>
      </c>
      <c r="B246" s="4" t="s">
        <v>453</v>
      </c>
      <c r="C246" s="4" t="s">
        <v>454</v>
      </c>
      <c r="D246" s="5" t="s">
        <v>455</v>
      </c>
      <c r="E246" s="5">
        <v>27150.32</v>
      </c>
      <c r="F246" s="6">
        <f>LOOKUP(D246,'AMFI DATA_2023H2'!F:J,'AMFI DATA_2023H2'!J:J)</f>
        <v>44812.553099999997</v>
      </c>
      <c r="G246" s="7">
        <f t="shared" si="0"/>
        <v>0.52142637014805571</v>
      </c>
      <c r="H246" s="8">
        <v>68179</v>
      </c>
      <c r="I246" s="8">
        <v>67918</v>
      </c>
      <c r="J246" s="8">
        <v>67726</v>
      </c>
      <c r="K246" s="8">
        <v>70355</v>
      </c>
      <c r="L246" s="8">
        <v>69067</v>
      </c>
      <c r="M246" s="8">
        <v>67361</v>
      </c>
      <c r="N246" s="8">
        <v>67065</v>
      </c>
      <c r="O246" s="8">
        <v>63374</v>
      </c>
      <c r="P246" s="8">
        <v>63461</v>
      </c>
      <c r="Q246" s="8">
        <v>62085</v>
      </c>
      <c r="R246" s="7">
        <f t="shared" si="1"/>
        <v>0.4875095344656899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4.4" hidden="1">
      <c r="A247" s="3">
        <f>LOOKUP(D247,'AMFI DATA_2023H2'!F:L,'AMFI DATA_2023H2'!L:L)</f>
        <v>74</v>
      </c>
      <c r="B247" s="4" t="s">
        <v>234</v>
      </c>
      <c r="C247" s="4" t="s">
        <v>235</v>
      </c>
      <c r="D247" s="5" t="s">
        <v>236</v>
      </c>
      <c r="E247" s="5">
        <v>75336.19</v>
      </c>
      <c r="F247" s="6">
        <f>LOOKUP(D247,'AMFI DATA_2023H2'!F:J,'AMFI DATA_2023H2'!J:J)</f>
        <v>82517.060100000002</v>
      </c>
      <c r="G247" s="7">
        <f t="shared" si="0"/>
        <v>0.19073558705225846</v>
      </c>
      <c r="H247" s="8">
        <v>98256</v>
      </c>
      <c r="I247" s="8">
        <v>98191</v>
      </c>
      <c r="J247" s="8">
        <v>100035</v>
      </c>
      <c r="K247" s="8">
        <v>98972</v>
      </c>
      <c r="L247" s="8">
        <v>98029</v>
      </c>
      <c r="M247" s="8">
        <v>97736</v>
      </c>
      <c r="N247" s="8">
        <v>101098</v>
      </c>
      <c r="O247" s="8">
        <v>98614</v>
      </c>
      <c r="P247" s="8">
        <v>98018</v>
      </c>
      <c r="Q247" s="8">
        <v>96890</v>
      </c>
      <c r="R247" s="7">
        <f t="shared" si="1"/>
        <v>0.19470931078408582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4.4" hidden="1">
      <c r="A248" s="3">
        <f>LOOKUP(D248,'AMFI DATA_2023H2'!F:L,'AMFI DATA_2023H2'!L:L)</f>
        <v>704</v>
      </c>
      <c r="B248" s="4" t="s">
        <v>2064</v>
      </c>
      <c r="C248" s="4" t="s">
        <v>2065</v>
      </c>
      <c r="D248" s="5" t="s">
        <v>2066</v>
      </c>
      <c r="E248" s="5">
        <v>3970.55</v>
      </c>
      <c r="F248" s="6">
        <f>LOOKUP(D248,'AMFI DATA_2023H2'!F:J,'AMFI DATA_2023H2'!J:J)</f>
        <v>3834.5274499999996</v>
      </c>
      <c r="G248" s="7">
        <f t="shared" si="0"/>
        <v>4.0350604348915464E-3</v>
      </c>
      <c r="H248" s="8">
        <v>3850</v>
      </c>
      <c r="I248" s="8">
        <v>3749</v>
      </c>
      <c r="J248" s="8">
        <v>3740</v>
      </c>
      <c r="K248" s="8">
        <v>3744</v>
      </c>
      <c r="L248" s="8">
        <v>3755</v>
      </c>
      <c r="M248" s="8">
        <v>3741</v>
      </c>
      <c r="N248" s="8">
        <v>3745</v>
      </c>
      <c r="O248" s="8">
        <v>3736</v>
      </c>
      <c r="P248" s="8">
        <v>3737</v>
      </c>
      <c r="Q248" s="8">
        <v>3734</v>
      </c>
      <c r="R248" s="7">
        <f t="shared" si="1"/>
        <v>-2.1235328488781513E-2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4.4" hidden="1">
      <c r="A249" s="3">
        <f>LOOKUP(D249,'AMFI DATA_2023H2'!F:L,'AMFI DATA_2023H2'!L:L)</f>
        <v>1707</v>
      </c>
      <c r="B249" s="4" t="s">
        <v>4346</v>
      </c>
      <c r="C249" s="4" t="s">
        <v>4347</v>
      </c>
      <c r="D249" s="5" t="s">
        <v>4348</v>
      </c>
      <c r="E249" s="5">
        <v>265.44</v>
      </c>
      <c r="F249" s="6">
        <f>LOOKUP(D249,'AMFI DATA_2023H2'!F:J,'AMFI DATA_2023H2'!J:J)</f>
        <v>327.51260000000002</v>
      </c>
      <c r="G249" s="7">
        <f t="shared" si="0"/>
        <v>0.70069792734691716</v>
      </c>
      <c r="H249" s="9">
        <v>557</v>
      </c>
      <c r="I249" s="9">
        <v>554</v>
      </c>
      <c r="J249" s="9">
        <v>517</v>
      </c>
      <c r="K249" s="9">
        <v>435</v>
      </c>
      <c r="L249" s="9">
        <v>436</v>
      </c>
      <c r="M249" s="9">
        <v>417</v>
      </c>
      <c r="N249" s="9">
        <v>427</v>
      </c>
      <c r="O249" s="9">
        <v>434</v>
      </c>
      <c r="P249" s="9">
        <v>432</v>
      </c>
      <c r="Q249" s="9">
        <v>421</v>
      </c>
      <c r="R249" s="7">
        <f t="shared" si="1"/>
        <v>0.413686068871854</v>
      </c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4.4">
      <c r="A250" s="3">
        <f>LOOKUP(D250,'AMFI DATA_2023H2'!F:L,'AMFI DATA_2023H2'!L:L)</f>
        <v>997</v>
      </c>
      <c r="B250" s="4" t="s">
        <v>2852</v>
      </c>
      <c r="C250" s="4" t="s">
        <v>2853</v>
      </c>
      <c r="D250" s="5" t="s">
        <v>2854</v>
      </c>
      <c r="E250" s="5">
        <v>901.19</v>
      </c>
      <c r="F250" s="6">
        <f>LOOKUP(D250,'AMFI DATA_2023H2'!F:J,'AMFI DATA_2023H2'!J:J)</f>
        <v>1719.7571</v>
      </c>
      <c r="G250" s="7">
        <f t="shared" si="0"/>
        <v>0.22110267781421</v>
      </c>
      <c r="H250" s="8">
        <v>2100</v>
      </c>
      <c r="I250" s="8">
        <v>2150</v>
      </c>
      <c r="J250" s="8">
        <v>2084</v>
      </c>
      <c r="K250" s="8">
        <v>2057</v>
      </c>
      <c r="L250" s="8">
        <v>2089</v>
      </c>
      <c r="M250" s="8">
        <v>2101</v>
      </c>
      <c r="N250" s="8">
        <v>2134</v>
      </c>
      <c r="O250" s="8">
        <v>2165</v>
      </c>
      <c r="P250" s="8">
        <v>2187</v>
      </c>
      <c r="Q250" s="8">
        <v>2146</v>
      </c>
      <c r="R250" s="14">
        <f t="shared" si="1"/>
        <v>0.23348814783203986</v>
      </c>
      <c r="S250" s="8"/>
      <c r="T250" s="8">
        <v>308.5</v>
      </c>
      <c r="U250" s="15">
        <f ca="1">IFERROR(__xludf.DUMMYFUNCTION("GOOGLEFINANCE(C250,""PRICE"")"),380)</f>
        <v>380</v>
      </c>
      <c r="V250" s="13" t="s">
        <v>5787</v>
      </c>
      <c r="W250" s="7">
        <f ca="1">U250/T250-1</f>
        <v>0.2317666126418152</v>
      </c>
      <c r="X250" s="8"/>
      <c r="Y250" s="8"/>
      <c r="Z250" s="8"/>
      <c r="AA250" s="8"/>
      <c r="AB250" s="8"/>
    </row>
    <row r="251" spans="1:28" ht="14.4" hidden="1">
      <c r="A251" s="3">
        <f>LOOKUP(D251,'AMFI DATA_2023H2'!F:L,'AMFI DATA_2023H2'!L:L)</f>
        <v>8</v>
      </c>
      <c r="B251" s="4" t="s">
        <v>28</v>
      </c>
      <c r="C251" s="4" t="s">
        <v>29</v>
      </c>
      <c r="D251" s="5" t="s">
        <v>30</v>
      </c>
      <c r="E251" s="5">
        <v>455232.75</v>
      </c>
      <c r="F251" s="6">
        <f>LOOKUP(D251,'AMFI DATA_2023H2'!F:J,'AMFI DATA_2023H2'!J:J)</f>
        <v>538207.54390051076</v>
      </c>
      <c r="G251" s="7">
        <f t="shared" si="0"/>
        <v>0.14194794733983063</v>
      </c>
      <c r="H251" s="8">
        <v>614605</v>
      </c>
      <c r="I251" s="8">
        <v>615000</v>
      </c>
      <c r="J251" s="8">
        <v>606245</v>
      </c>
      <c r="K251" s="8">
        <v>600148</v>
      </c>
      <c r="L251" s="8">
        <v>594072</v>
      </c>
      <c r="M251" s="8">
        <v>605700</v>
      </c>
      <c r="N251" s="8">
        <v>607630</v>
      </c>
      <c r="O251" s="8">
        <v>598164</v>
      </c>
      <c r="P251" s="8">
        <v>585732</v>
      </c>
      <c r="Q251" s="8">
        <v>579523</v>
      </c>
      <c r="R251" s="7">
        <f t="shared" si="1"/>
        <v>0.11607855892677321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4.4" hidden="1">
      <c r="A252" s="3">
        <f>LOOKUP(D252,'AMFI DATA_2023H2'!F:L,'AMFI DATA_2023H2'!L:L)</f>
        <v>1765</v>
      </c>
      <c r="B252" s="4" t="s">
        <v>4427</v>
      </c>
      <c r="C252" s="4" t="s">
        <v>4428</v>
      </c>
      <c r="D252" s="5" t="s">
        <v>4429</v>
      </c>
      <c r="E252" s="5">
        <v>239.9</v>
      </c>
      <c r="F252" s="6">
        <f>LOOKUP(D252,'AMFI DATA_2023H2'!F:J,'AMFI DATA_2023H2'!J:J)</f>
        <v>291.31745000000001</v>
      </c>
      <c r="G252" s="7">
        <f t="shared" si="0"/>
        <v>0.4451588808016822</v>
      </c>
      <c r="H252" s="9">
        <v>421</v>
      </c>
      <c r="I252" s="9">
        <v>420</v>
      </c>
      <c r="J252" s="9">
        <v>427</v>
      </c>
      <c r="K252" s="9">
        <v>418</v>
      </c>
      <c r="L252" s="9">
        <v>420</v>
      </c>
      <c r="M252" s="9">
        <v>410</v>
      </c>
      <c r="N252" s="9">
        <v>417</v>
      </c>
      <c r="O252" s="9">
        <v>421</v>
      </c>
      <c r="P252" s="9">
        <v>419</v>
      </c>
      <c r="Q252" s="9">
        <v>426</v>
      </c>
      <c r="R252" s="7">
        <f t="shared" si="1"/>
        <v>0.44138293123189132</v>
      </c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4.4" hidden="1">
      <c r="A253" s="3">
        <f>LOOKUP(D253,'AMFI DATA_2023H2'!F:L,'AMFI DATA_2023H2'!L:L)</f>
        <v>1166</v>
      </c>
      <c r="B253" s="4" t="s">
        <v>3266</v>
      </c>
      <c r="C253" s="4" t="s">
        <v>3267</v>
      </c>
      <c r="D253" s="5" t="s">
        <v>3268</v>
      </c>
      <c r="E253" s="5">
        <v>1012.78</v>
      </c>
      <c r="F253" s="6">
        <f>LOOKUP(D253,'AMFI DATA_2023H2'!F:J,'AMFI DATA_2023H2'!J:J)</f>
        <v>1118.6877500000001</v>
      </c>
      <c r="G253" s="7">
        <f t="shared" si="0"/>
        <v>3.4247492206828989E-2</v>
      </c>
      <c r="H253" s="8">
        <v>1157</v>
      </c>
      <c r="I253" s="8">
        <v>1159</v>
      </c>
      <c r="J253" s="8">
        <v>1151</v>
      </c>
      <c r="K253" s="8">
        <v>1149</v>
      </c>
      <c r="L253" s="8">
        <v>1165</v>
      </c>
      <c r="M253" s="8">
        <v>1160</v>
      </c>
      <c r="N253" s="8">
        <v>1150</v>
      </c>
      <c r="O253" s="8">
        <v>1151</v>
      </c>
      <c r="P253" s="8">
        <v>1151</v>
      </c>
      <c r="Q253" s="8">
        <v>1165</v>
      </c>
      <c r="R253" s="7">
        <f t="shared" si="1"/>
        <v>3.3174806821653302E-2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4.4" hidden="1">
      <c r="A254" s="3">
        <f>LOOKUP(D254,'AMFI DATA_2023H2'!F:L,'AMFI DATA_2023H2'!L:L)</f>
        <v>354</v>
      </c>
      <c r="B254" s="4" t="s">
        <v>1068</v>
      </c>
      <c r="C254" s="4" t="s">
        <v>1069</v>
      </c>
      <c r="D254" s="5" t="s">
        <v>1070</v>
      </c>
      <c r="E254" s="5">
        <v>9568.2099999999991</v>
      </c>
      <c r="F254" s="6">
        <f>LOOKUP(D254,'AMFI DATA_2023H2'!F:J,'AMFI DATA_2023H2'!J:J)</f>
        <v>12334.8374</v>
      </c>
      <c r="G254" s="7">
        <f t="shared" si="0"/>
        <v>0.16264199802098722</v>
      </c>
      <c r="H254" s="8">
        <v>14341</v>
      </c>
      <c r="I254" s="8">
        <v>14196</v>
      </c>
      <c r="J254" s="8">
        <v>13780</v>
      </c>
      <c r="K254" s="8">
        <v>13875</v>
      </c>
      <c r="L254" s="8">
        <v>13645</v>
      </c>
      <c r="M254" s="8">
        <v>13669</v>
      </c>
      <c r="N254" s="8">
        <v>13957</v>
      </c>
      <c r="O254" s="8">
        <v>13955</v>
      </c>
      <c r="P254" s="8">
        <v>13860</v>
      </c>
      <c r="Q254" s="8">
        <v>13815</v>
      </c>
      <c r="R254" s="7">
        <f t="shared" si="1"/>
        <v>0.12764356342467864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4.4" hidden="1">
      <c r="A255" s="3">
        <f>LOOKUP(D255,'AMFI DATA_2023H2'!F:L,'AMFI DATA_2023H2'!L:L)</f>
        <v>2826</v>
      </c>
      <c r="B255" s="4" t="s">
        <v>5479</v>
      </c>
      <c r="C255" s="4" t="s">
        <v>5480</v>
      </c>
      <c r="D255" s="5" t="s">
        <v>5481</v>
      </c>
      <c r="E255" s="5">
        <v>60.61</v>
      </c>
      <c r="F255" s="6">
        <f>LOOKUP(D255,'AMFI DATA_2023H2'!F:J,'AMFI DATA_2023H2'!J:J)</f>
        <v>49.42915</v>
      </c>
      <c r="G255" s="7">
        <f t="shared" si="0"/>
        <v>0.12484232482249857</v>
      </c>
      <c r="H255" s="9">
        <v>55.6</v>
      </c>
      <c r="I255" s="9">
        <v>53.2</v>
      </c>
      <c r="J255" s="9">
        <v>51</v>
      </c>
      <c r="K255" s="9">
        <v>50.2</v>
      </c>
      <c r="L255" s="9">
        <v>50</v>
      </c>
      <c r="M255" s="9">
        <v>51.1</v>
      </c>
      <c r="N255" s="9">
        <v>51.4</v>
      </c>
      <c r="O255" s="9">
        <v>50.4</v>
      </c>
      <c r="P255" s="9">
        <v>47.7</v>
      </c>
      <c r="Q255" s="9">
        <v>46</v>
      </c>
      <c r="R255" s="7">
        <f t="shared" si="1"/>
        <v>2.4901298120643345E-2</v>
      </c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4.4" hidden="1">
      <c r="A256" s="3">
        <f>LOOKUP(D256,'AMFI DATA_2023H2'!F:L,'AMFI DATA_2023H2'!L:L)</f>
        <v>204</v>
      </c>
      <c r="B256" s="4" t="s">
        <v>621</v>
      </c>
      <c r="C256" s="4" t="s">
        <v>622</v>
      </c>
      <c r="D256" s="5" t="s">
        <v>623</v>
      </c>
      <c r="E256" s="5">
        <v>28236.02</v>
      </c>
      <c r="F256" s="6">
        <f>LOOKUP(D256,'AMFI DATA_2023H2'!F:J,'AMFI DATA_2023H2'!J:J)</f>
        <v>30157.403299999998</v>
      </c>
      <c r="G256" s="7">
        <f t="shared" si="0"/>
        <v>0.16007998606431739</v>
      </c>
      <c r="H256" s="8">
        <v>34985</v>
      </c>
      <c r="I256" s="8">
        <v>34049</v>
      </c>
      <c r="J256" s="8">
        <v>33935</v>
      </c>
      <c r="K256" s="8">
        <v>31948</v>
      </c>
      <c r="L256" s="8">
        <v>30681</v>
      </c>
      <c r="M256" s="8">
        <v>29985</v>
      </c>
      <c r="N256" s="8">
        <v>29697</v>
      </c>
      <c r="O256" s="8">
        <v>30309</v>
      </c>
      <c r="P256" s="8">
        <v>30105</v>
      </c>
      <c r="Q256" s="8">
        <v>29571</v>
      </c>
      <c r="R256" s="7">
        <f t="shared" si="1"/>
        <v>4.5398361602306814E-2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4.4" hidden="1">
      <c r="A257" s="3">
        <f>LOOKUP(D257,'AMFI DATA_2023H2'!F:L,'AMFI DATA_2023H2'!L:L)</f>
        <v>2511</v>
      </c>
      <c r="B257" s="4" t="s">
        <v>5296</v>
      </c>
      <c r="C257" s="4" t="s">
        <v>5297</v>
      </c>
      <c r="D257" s="5" t="s">
        <v>5298</v>
      </c>
      <c r="E257" s="5">
        <v>75.349999999999994</v>
      </c>
      <c r="F257" s="6">
        <f>LOOKUP(D257,'AMFI DATA_2023H2'!F:J,'AMFI DATA_2023H2'!J:J)</f>
        <v>79.674800000000005</v>
      </c>
      <c r="G257" s="7">
        <f t="shared" ref="G257:G511" si="2">H257/F257-1</f>
        <v>0.20113260403540378</v>
      </c>
      <c r="H257" s="9">
        <v>95.7</v>
      </c>
      <c r="I257" s="9">
        <v>97.3</v>
      </c>
      <c r="J257" s="9">
        <v>93.9</v>
      </c>
      <c r="K257" s="9">
        <v>94.4</v>
      </c>
      <c r="L257" s="9">
        <v>88.3</v>
      </c>
      <c r="M257" s="9">
        <v>87.2</v>
      </c>
      <c r="N257" s="9">
        <v>88.1</v>
      </c>
      <c r="O257" s="9">
        <v>88.5</v>
      </c>
      <c r="P257" s="9">
        <v>92.4</v>
      </c>
      <c r="Q257" s="9">
        <v>90.1</v>
      </c>
      <c r="R257" s="7">
        <f t="shared" ref="R257:R511" si="3">AVERAGE(H257:Q257)/F257-1</f>
        <v>0.14954791226335051</v>
      </c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4.4" hidden="1">
      <c r="A258" s="3">
        <f>LOOKUP(D258,'AMFI DATA_2023H2'!F:L,'AMFI DATA_2023H2'!L:L)</f>
        <v>1289</v>
      </c>
      <c r="B258" s="4" t="s">
        <v>3542</v>
      </c>
      <c r="C258" s="4" t="s">
        <v>3543</v>
      </c>
      <c r="D258" s="5" t="s">
        <v>3544</v>
      </c>
      <c r="E258" s="5">
        <v>442.84</v>
      </c>
      <c r="F258" s="6">
        <f>LOOKUP(D258,'AMFI DATA_2023H2'!F:J,'AMFI DATA_2023H2'!J:J)</f>
        <v>822.56565000000001</v>
      </c>
      <c r="G258" s="7">
        <f t="shared" si="2"/>
        <v>1.1469418884681115E-2</v>
      </c>
      <c r="H258" s="9">
        <v>832</v>
      </c>
      <c r="I258" s="9">
        <v>845</v>
      </c>
      <c r="J258" s="9">
        <v>844</v>
      </c>
      <c r="K258" s="9">
        <v>849</v>
      </c>
      <c r="L258" s="9">
        <v>861</v>
      </c>
      <c r="M258" s="9">
        <v>857</v>
      </c>
      <c r="N258" s="9">
        <v>845</v>
      </c>
      <c r="O258" s="9">
        <v>856</v>
      </c>
      <c r="P258" s="9">
        <v>872</v>
      </c>
      <c r="Q258" s="9">
        <v>896</v>
      </c>
      <c r="R258" s="7">
        <f t="shared" si="3"/>
        <v>4.0281708821660711E-2</v>
      </c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4.4" hidden="1">
      <c r="A259" s="3">
        <f>LOOKUP(D259,'AMFI DATA_2023H2'!F:L,'AMFI DATA_2023H2'!L:L)</f>
        <v>420</v>
      </c>
      <c r="B259" s="4" t="s">
        <v>1260</v>
      </c>
      <c r="C259" s="4" t="s">
        <v>1261</v>
      </c>
      <c r="D259" s="5" t="s">
        <v>1262</v>
      </c>
      <c r="E259" s="5">
        <v>7542.15</v>
      </c>
      <c r="F259" s="6">
        <f>LOOKUP(D259,'AMFI DATA_2023H2'!F:J,'AMFI DATA_2023H2'!J:J)</f>
        <v>9704.2130500000003</v>
      </c>
      <c r="G259" s="7">
        <f t="shared" si="2"/>
        <v>0.13816544866561853</v>
      </c>
      <c r="H259" s="8">
        <v>11045</v>
      </c>
      <c r="I259" s="8">
        <v>11009</v>
      </c>
      <c r="J259" s="8">
        <v>10968</v>
      </c>
      <c r="K259" s="8">
        <v>11318</v>
      </c>
      <c r="L259" s="8">
        <v>11549</v>
      </c>
      <c r="M259" s="8">
        <v>11097</v>
      </c>
      <c r="N259" s="8">
        <v>11090</v>
      </c>
      <c r="O259" s="8">
        <v>11044</v>
      </c>
      <c r="P259" s="8">
        <v>10915</v>
      </c>
      <c r="Q259" s="8">
        <v>10890</v>
      </c>
      <c r="R259" s="7">
        <f t="shared" si="3"/>
        <v>0.14306022990705047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4.4" hidden="1">
      <c r="A260" s="3">
        <f>LOOKUP(D260,'AMFI DATA_2023H2'!F:L,'AMFI DATA_2023H2'!L:L)</f>
        <v>322</v>
      </c>
      <c r="B260" s="4" t="s">
        <v>975</v>
      </c>
      <c r="C260" s="4" t="s">
        <v>976</v>
      </c>
      <c r="D260" s="5" t="s">
        <v>977</v>
      </c>
      <c r="E260" s="5">
        <v>8149.12</v>
      </c>
      <c r="F260" s="6">
        <f>LOOKUP(D260,'AMFI DATA_2023H2'!F:J,'AMFI DATA_2023H2'!J:J)</f>
        <v>14472.7991</v>
      </c>
      <c r="G260" s="7">
        <f t="shared" si="2"/>
        <v>0.35972315127348109</v>
      </c>
      <c r="H260" s="8">
        <v>19679</v>
      </c>
      <c r="I260" s="8">
        <v>18958</v>
      </c>
      <c r="J260" s="8">
        <v>18900</v>
      </c>
      <c r="K260" s="8">
        <v>18943</v>
      </c>
      <c r="L260" s="8">
        <v>19360</v>
      </c>
      <c r="M260" s="8">
        <v>19887</v>
      </c>
      <c r="N260" s="8">
        <v>19854</v>
      </c>
      <c r="O260" s="8">
        <v>20268</v>
      </c>
      <c r="P260" s="8">
        <v>20270</v>
      </c>
      <c r="Q260" s="8">
        <v>20439</v>
      </c>
      <c r="R260" s="7">
        <f t="shared" si="3"/>
        <v>0.35812014415373183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4.4" hidden="1">
      <c r="A261" s="3">
        <f>LOOKUP(D261,'AMFI DATA_2023H2'!F:L,'AMFI DATA_2023H2'!L:L)</f>
        <v>4207</v>
      </c>
      <c r="B261" s="4" t="s">
        <v>5773</v>
      </c>
      <c r="C261" s="4" t="s">
        <v>5774</v>
      </c>
      <c r="D261" s="5" t="s">
        <v>5775</v>
      </c>
      <c r="E261" s="5">
        <v>6.35</v>
      </c>
      <c r="F261" s="6">
        <f>LOOKUP(D261,'AMFI DATA_2023H2'!F:J,'AMFI DATA_2023H2'!J:J)</f>
        <v>6.1170999999999998</v>
      </c>
      <c r="G261" s="7">
        <f t="shared" si="2"/>
        <v>0.51869349855323588</v>
      </c>
      <c r="H261" s="9">
        <v>9.2899999999999991</v>
      </c>
      <c r="I261" s="9">
        <v>9.31</v>
      </c>
      <c r="J261" s="9">
        <v>9.17</v>
      </c>
      <c r="K261" s="9">
        <v>9.0500000000000007</v>
      </c>
      <c r="L261" s="9">
        <v>8.91</v>
      </c>
      <c r="M261" s="9">
        <v>8.7799999999999994</v>
      </c>
      <c r="N261" s="9">
        <v>8.7799999999999994</v>
      </c>
      <c r="O261" s="9">
        <v>8.65</v>
      </c>
      <c r="P261" s="9">
        <v>8.32</v>
      </c>
      <c r="Q261" s="9">
        <v>8.19</v>
      </c>
      <c r="R261" s="7">
        <f t="shared" si="3"/>
        <v>0.44594660868712332</v>
      </c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4.4" hidden="1">
      <c r="A262" s="3">
        <f>LOOKUP(D262,'AMFI DATA_2023H2'!F:L,'AMFI DATA_2023H2'!L:L)</f>
        <v>713</v>
      </c>
      <c r="B262" s="4" t="s">
        <v>2084</v>
      </c>
      <c r="C262" s="4" t="s">
        <v>2085</v>
      </c>
      <c r="D262" s="5" t="s">
        <v>2086</v>
      </c>
      <c r="E262" s="5">
        <v>2076.4</v>
      </c>
      <c r="F262" s="6">
        <f>LOOKUP(D262,'AMFI DATA_2023H2'!F:J,'AMFI DATA_2023H2'!J:J)</f>
        <v>3680.145</v>
      </c>
      <c r="G262" s="7">
        <f t="shared" si="2"/>
        <v>0.28201470322500888</v>
      </c>
      <c r="H262" s="8">
        <v>4718</v>
      </c>
      <c r="I262" s="8">
        <v>4836</v>
      </c>
      <c r="J262" s="8">
        <v>4832</v>
      </c>
      <c r="K262" s="8">
        <v>4937</v>
      </c>
      <c r="L262" s="8">
        <v>4949</v>
      </c>
      <c r="M262" s="8">
        <v>4898</v>
      </c>
      <c r="N262" s="8">
        <v>4665</v>
      </c>
      <c r="O262" s="8">
        <v>4434</v>
      </c>
      <c r="P262" s="8">
        <v>4216</v>
      </c>
      <c r="Q262" s="8">
        <v>4023</v>
      </c>
      <c r="R262" s="7">
        <f t="shared" si="3"/>
        <v>0.26375455314940033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4.4" hidden="1">
      <c r="A263" s="3">
        <f>LOOKUP(D263,'AMFI DATA_2023H2'!F:L,'AMFI DATA_2023H2'!L:L)</f>
        <v>2296</v>
      </c>
      <c r="B263" s="4" t="s">
        <v>5126</v>
      </c>
      <c r="C263" s="4" t="s">
        <v>5127</v>
      </c>
      <c r="D263" s="5" t="s">
        <v>5128</v>
      </c>
      <c r="E263" s="5">
        <v>123.86</v>
      </c>
      <c r="F263" s="6">
        <f>LOOKUP(D263,'AMFI DATA_2023H2'!F:J,'AMFI DATA_2023H2'!J:J)</f>
        <v>112.36754999999999</v>
      </c>
      <c r="G263" s="7">
        <f t="shared" si="2"/>
        <v>7.6823335562624662E-2</v>
      </c>
      <c r="H263" s="9">
        <v>121</v>
      </c>
      <c r="I263" s="9">
        <v>121</v>
      </c>
      <c r="J263" s="9">
        <v>119</v>
      </c>
      <c r="K263" s="9">
        <v>118</v>
      </c>
      <c r="L263" s="9">
        <v>119</v>
      </c>
      <c r="M263" s="9">
        <v>117</v>
      </c>
      <c r="N263" s="9">
        <v>118</v>
      </c>
      <c r="O263" s="9">
        <v>120</v>
      </c>
      <c r="P263" s="9">
        <v>120</v>
      </c>
      <c r="Q263" s="9">
        <v>124</v>
      </c>
      <c r="R263" s="7">
        <f t="shared" si="3"/>
        <v>6.5254159230133668E-2</v>
      </c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4.4">
      <c r="A264" s="3">
        <f>LOOKUP(D264,'AMFI DATA_2023H2'!F:L,'AMFI DATA_2023H2'!L:L)</f>
        <v>1187</v>
      </c>
      <c r="B264" s="4" t="s">
        <v>3314</v>
      </c>
      <c r="C264" s="4" t="s">
        <v>3315</v>
      </c>
      <c r="D264" s="5" t="s">
        <v>3316</v>
      </c>
      <c r="E264" s="5">
        <v>787.56</v>
      </c>
      <c r="F264" s="6">
        <f>LOOKUP(D264,'AMFI DATA_2023H2'!F:J,'AMFI DATA_2023H2'!J:J)</f>
        <v>1074.7173499999999</v>
      </c>
      <c r="G264" s="7">
        <f t="shared" si="2"/>
        <v>0.2626575722444604</v>
      </c>
      <c r="H264" s="8">
        <v>1357</v>
      </c>
      <c r="I264" s="8">
        <v>1388</v>
      </c>
      <c r="J264" s="8">
        <v>1380</v>
      </c>
      <c r="K264" s="8">
        <v>1399</v>
      </c>
      <c r="L264" s="8">
        <v>1303</v>
      </c>
      <c r="M264" s="8">
        <v>1301</v>
      </c>
      <c r="N264" s="8">
        <v>1317</v>
      </c>
      <c r="O264" s="8">
        <v>1325</v>
      </c>
      <c r="P264" s="8">
        <v>1312</v>
      </c>
      <c r="Q264" s="8">
        <v>1283</v>
      </c>
      <c r="R264" s="14">
        <f t="shared" si="3"/>
        <v>0.24358278946552803</v>
      </c>
      <c r="S264" s="8"/>
      <c r="T264" s="8">
        <v>130.1</v>
      </c>
      <c r="U264" s="15">
        <f ca="1">IFERROR(__xludf.DUMMYFUNCTION("GOOGLEFINANCE(C264,""PRICE"")"),126.1)</f>
        <v>126.1</v>
      </c>
      <c r="V264" s="13" t="s">
        <v>5787</v>
      </c>
      <c r="W264" s="7">
        <f t="shared" ref="W264:W265" ca="1" si="4">U264/T264-1</f>
        <v>-3.0745580322828592E-2</v>
      </c>
      <c r="X264" s="8"/>
      <c r="Y264" s="8"/>
      <c r="Z264" s="8"/>
      <c r="AA264" s="8"/>
      <c r="AB264" s="8"/>
    </row>
    <row r="265" spans="1:28" ht="14.4">
      <c r="A265" s="3">
        <f>LOOKUP(D265,'AMFI DATA_2023H2'!F:L,'AMFI DATA_2023H2'!L:L)</f>
        <v>388</v>
      </c>
      <c r="B265" s="4" t="s">
        <v>1167</v>
      </c>
      <c r="C265" s="4" t="s">
        <v>1168</v>
      </c>
      <c r="D265" s="5" t="s">
        <v>1169</v>
      </c>
      <c r="E265" s="5">
        <v>7178.2</v>
      </c>
      <c r="F265" s="6">
        <f>LOOKUP(D265,'AMFI DATA_2023H2'!F:J,'AMFI DATA_2023H2'!J:J)</f>
        <v>10751.779018892203</v>
      </c>
      <c r="G265" s="7">
        <f t="shared" si="2"/>
        <v>0.28769387611786157</v>
      </c>
      <c r="H265" s="8">
        <v>13845</v>
      </c>
      <c r="I265" s="8">
        <v>13913</v>
      </c>
      <c r="J265" s="8">
        <v>13410</v>
      </c>
      <c r="K265" s="8">
        <v>13256</v>
      </c>
      <c r="L265" s="8">
        <v>13421</v>
      </c>
      <c r="M265" s="8">
        <v>13153</v>
      </c>
      <c r="N265" s="8">
        <v>13618</v>
      </c>
      <c r="O265" s="8">
        <v>12645</v>
      </c>
      <c r="P265" s="8">
        <v>12733</v>
      </c>
      <c r="Q265" s="8">
        <v>12758</v>
      </c>
      <c r="R265" s="14">
        <f t="shared" si="3"/>
        <v>0.23469799525025925</v>
      </c>
      <c r="S265" s="8"/>
      <c r="T265" s="8">
        <v>335.8</v>
      </c>
      <c r="U265" s="15">
        <f ca="1">IFERROR(__xludf.DUMMYFUNCTION("GOOGLEFINANCE(C265,""PRICE"")"),388.5)</f>
        <v>388.5</v>
      </c>
      <c r="V265" s="13" t="s">
        <v>5787</v>
      </c>
      <c r="W265" s="7">
        <f t="shared" ca="1" si="4"/>
        <v>0.15693865396069095</v>
      </c>
      <c r="X265" s="8"/>
      <c r="Y265" s="8"/>
      <c r="Z265" s="8"/>
      <c r="AA265" s="8"/>
      <c r="AB265" s="8"/>
    </row>
    <row r="266" spans="1:28" ht="14.4" hidden="1">
      <c r="A266" s="3">
        <f>LOOKUP(D266,'AMFI DATA_2023H2'!F:L,'AMFI DATA_2023H2'!L:L)</f>
        <v>4161</v>
      </c>
      <c r="B266" s="4" t="s">
        <v>5770</v>
      </c>
      <c r="C266" s="4" t="s">
        <v>5771</v>
      </c>
      <c r="D266" s="5" t="s">
        <v>5772</v>
      </c>
      <c r="E266" s="5">
        <v>2.38</v>
      </c>
      <c r="F266" s="6">
        <f>LOOKUP(D266,'AMFI DATA_2023H2'!F:J,'AMFI DATA_2023H2'!J:J)</f>
        <v>6.6623999999999999</v>
      </c>
      <c r="G266" s="7">
        <f t="shared" si="2"/>
        <v>0.41990874159462077</v>
      </c>
      <c r="H266" s="9">
        <v>9.4600000000000009</v>
      </c>
      <c r="I266" s="9">
        <v>9.2899999999999991</v>
      </c>
      <c r="J266" s="9">
        <v>14.1</v>
      </c>
      <c r="K266" s="9">
        <v>13.8</v>
      </c>
      <c r="L266" s="9">
        <v>13.6</v>
      </c>
      <c r="M266" s="9">
        <v>13.3</v>
      </c>
      <c r="N266" s="9">
        <v>9.1300000000000008</v>
      </c>
      <c r="O266" s="9">
        <v>8.9600000000000009</v>
      </c>
      <c r="P266" s="9">
        <v>18.3</v>
      </c>
      <c r="Q266" s="9">
        <v>12.4</v>
      </c>
      <c r="R266" s="7">
        <f t="shared" si="3"/>
        <v>0.83627521613832889</v>
      </c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4.4" hidden="1">
      <c r="A267" s="3">
        <f>LOOKUP(D267,'AMFI DATA_2023H2'!F:L,'AMFI DATA_2023H2'!L:L)</f>
        <v>302</v>
      </c>
      <c r="B267" s="4" t="s">
        <v>915</v>
      </c>
      <c r="C267" s="4" t="s">
        <v>916</v>
      </c>
      <c r="D267" s="5" t="s">
        <v>917</v>
      </c>
      <c r="E267" s="5">
        <v>15207.12</v>
      </c>
      <c r="F267" s="6">
        <f>LOOKUP(D267,'AMFI DATA_2023H2'!F:J,'AMFI DATA_2023H2'!J:J)</f>
        <v>16181.9575</v>
      </c>
      <c r="G267" s="7">
        <f t="shared" si="2"/>
        <v>8.7569288202616891E-2</v>
      </c>
      <c r="H267" s="8">
        <v>17599</v>
      </c>
      <c r="I267" s="8">
        <v>17551</v>
      </c>
      <c r="J267" s="8">
        <v>17567</v>
      </c>
      <c r="K267" s="8">
        <v>17447</v>
      </c>
      <c r="L267" s="8">
        <v>17408</v>
      </c>
      <c r="M267" s="8">
        <v>17471</v>
      </c>
      <c r="N267" s="8">
        <v>17276</v>
      </c>
      <c r="O267" s="8">
        <v>17196</v>
      </c>
      <c r="P267" s="8">
        <v>17209</v>
      </c>
      <c r="Q267" s="8">
        <v>17424</v>
      </c>
      <c r="R267" s="7">
        <f t="shared" si="3"/>
        <v>7.6186240138129024E-2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4.4" hidden="1">
      <c r="A268" s="3">
        <f>LOOKUP(D268,'AMFI DATA_2023H2'!F:L,'AMFI DATA_2023H2'!L:L)</f>
        <v>548</v>
      </c>
      <c r="B268" s="4" t="s">
        <v>1623</v>
      </c>
      <c r="C268" s="4" t="s">
        <v>1624</v>
      </c>
      <c r="D268" s="5" t="s">
        <v>1625</v>
      </c>
      <c r="E268" s="5">
        <v>15207.12</v>
      </c>
      <c r="F268" s="6">
        <f>LOOKUP(D268,'AMFI DATA_2023H2'!F:J,'AMFI DATA_2023H2'!J:J)</f>
        <v>6425.60455</v>
      </c>
      <c r="G268" s="7">
        <f t="shared" si="2"/>
        <v>1.8114318908716509E-2</v>
      </c>
      <c r="H268" s="8">
        <v>6542</v>
      </c>
      <c r="I268" s="8">
        <v>6668</v>
      </c>
      <c r="J268" s="8">
        <v>6482</v>
      </c>
      <c r="K268" s="8">
        <v>6574</v>
      </c>
      <c r="L268" s="8">
        <v>6387</v>
      </c>
      <c r="M268" s="8">
        <v>6385</v>
      </c>
      <c r="N268" s="8">
        <v>6400</v>
      </c>
      <c r="O268" s="8">
        <v>6436</v>
      </c>
      <c r="P268" s="8">
        <v>6426</v>
      </c>
      <c r="Q268" s="8">
        <v>6267</v>
      </c>
      <c r="R268" s="7">
        <f t="shared" si="3"/>
        <v>4.8393034084239783E-3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4.4" hidden="1">
      <c r="A269" s="3">
        <f>LOOKUP(D269,'AMFI DATA_2023H2'!F:L,'AMFI DATA_2023H2'!L:L)</f>
        <v>294</v>
      </c>
      <c r="B269" s="4" t="s">
        <v>891</v>
      </c>
      <c r="C269" s="4" t="s">
        <v>892</v>
      </c>
      <c r="D269" s="5" t="s">
        <v>893</v>
      </c>
      <c r="E269" s="5">
        <v>13588.19</v>
      </c>
      <c r="F269" s="6">
        <f>LOOKUP(D269,'AMFI DATA_2023H2'!F:J,'AMFI DATA_2023H2'!J:J)</f>
        <v>17152.185949999999</v>
      </c>
      <c r="G269" s="7">
        <f t="shared" si="2"/>
        <v>0.13163418683669303</v>
      </c>
      <c r="H269" s="8">
        <v>19410</v>
      </c>
      <c r="I269" s="8">
        <v>19238</v>
      </c>
      <c r="J269" s="8">
        <v>19367</v>
      </c>
      <c r="K269" s="8">
        <v>19556</v>
      </c>
      <c r="L269" s="8">
        <v>19509</v>
      </c>
      <c r="M269" s="8">
        <v>19429</v>
      </c>
      <c r="N269" s="8">
        <v>19483</v>
      </c>
      <c r="O269" s="8">
        <v>19534</v>
      </c>
      <c r="P269" s="8">
        <v>19494</v>
      </c>
      <c r="Q269" s="8">
        <v>19559</v>
      </c>
      <c r="R269" s="7">
        <f t="shared" si="3"/>
        <v>0.13442683379957199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4.4" hidden="1">
      <c r="A270" s="3">
        <f>LOOKUP(D270,'AMFI DATA_2023H2'!F:L,'AMFI DATA_2023H2'!L:L)</f>
        <v>1232</v>
      </c>
      <c r="B270" s="4" t="s">
        <v>3425</v>
      </c>
      <c r="C270" s="4" t="s">
        <v>3426</v>
      </c>
      <c r="D270" s="5" t="s">
        <v>3427</v>
      </c>
      <c r="E270" s="5">
        <v>857.48</v>
      </c>
      <c r="F270" s="6">
        <f>LOOKUP(D270,'AMFI DATA_2023H2'!F:J,'AMFI DATA_2023H2'!J:J)</f>
        <v>971.91544999999996</v>
      </c>
      <c r="G270" s="7">
        <f t="shared" si="2"/>
        <v>8.0340887677009309E-2</v>
      </c>
      <c r="H270" s="8">
        <v>1050</v>
      </c>
      <c r="I270" s="8">
        <v>1054</v>
      </c>
      <c r="J270" s="8">
        <v>1029</v>
      </c>
      <c r="K270" s="8">
        <v>1036</v>
      </c>
      <c r="L270" s="8">
        <v>1041</v>
      </c>
      <c r="M270" s="8">
        <v>1040</v>
      </c>
      <c r="N270" s="8">
        <v>1044</v>
      </c>
      <c r="O270" s="8">
        <v>1051</v>
      </c>
      <c r="P270" s="8">
        <v>1074</v>
      </c>
      <c r="Q270" s="8">
        <v>1027</v>
      </c>
      <c r="R270" s="7">
        <f t="shared" si="3"/>
        <v>7.4784848826098926E-2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4.4" hidden="1">
      <c r="A271" s="3">
        <f>LOOKUP(D271,'AMFI DATA_2023H2'!F:L,'AMFI DATA_2023H2'!L:L)</f>
        <v>1998</v>
      </c>
      <c r="B271" s="4" t="s">
        <v>4739</v>
      </c>
      <c r="C271" s="4" t="s">
        <v>4740</v>
      </c>
      <c r="D271" s="5" t="s">
        <v>4741</v>
      </c>
      <c r="E271" s="5">
        <v>214.53</v>
      </c>
      <c r="F271" s="6">
        <f>LOOKUP(D271,'AMFI DATA_2023H2'!F:J,'AMFI DATA_2023H2'!J:J)</f>
        <v>188.85305</v>
      </c>
      <c r="G271" s="7">
        <f t="shared" si="2"/>
        <v>0.2602391118385432</v>
      </c>
      <c r="H271" s="9">
        <v>238</v>
      </c>
      <c r="I271" s="9">
        <v>244</v>
      </c>
      <c r="J271" s="9">
        <v>246</v>
      </c>
      <c r="K271" s="9">
        <v>250</v>
      </c>
      <c r="L271" s="9">
        <v>247</v>
      </c>
      <c r="M271" s="9">
        <v>247</v>
      </c>
      <c r="N271" s="9">
        <v>245</v>
      </c>
      <c r="O271" s="9">
        <v>236</v>
      </c>
      <c r="P271" s="9">
        <v>241</v>
      </c>
      <c r="Q271" s="9">
        <v>237</v>
      </c>
      <c r="R271" s="7">
        <f t="shared" si="3"/>
        <v>0.28724423566365487</v>
      </c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4.4" hidden="1">
      <c r="A272" s="3">
        <f>LOOKUP(D272,'AMFI DATA_2023H2'!F:L,'AMFI DATA_2023H2'!L:L)</f>
        <v>2598</v>
      </c>
      <c r="B272" s="4" t="s">
        <v>5380</v>
      </c>
      <c r="C272" s="4" t="s">
        <v>5381</v>
      </c>
      <c r="D272" s="5" t="s">
        <v>5382</v>
      </c>
      <c r="E272" s="5">
        <v>151.94999999999999</v>
      </c>
      <c r="F272" s="6">
        <f>LOOKUP(D272,'AMFI DATA_2023H2'!F:J,'AMFI DATA_2023H2'!J:J)</f>
        <v>69.250699999999995</v>
      </c>
      <c r="G272" s="7">
        <f t="shared" si="2"/>
        <v>-0.37184750479056528</v>
      </c>
      <c r="H272" s="9">
        <v>43.5</v>
      </c>
      <c r="I272" s="9">
        <v>42.7</v>
      </c>
      <c r="J272" s="9">
        <v>42.1</v>
      </c>
      <c r="K272" s="9">
        <v>42.1</v>
      </c>
      <c r="L272" s="9">
        <v>40.1</v>
      </c>
      <c r="M272" s="9">
        <v>38.200000000000003</v>
      </c>
      <c r="N272" s="9">
        <v>36.5</v>
      </c>
      <c r="O272" s="9">
        <v>34.700000000000003</v>
      </c>
      <c r="P272" s="9">
        <v>33.1</v>
      </c>
      <c r="Q272" s="9">
        <v>32.4</v>
      </c>
      <c r="R272" s="7">
        <f t="shared" si="3"/>
        <v>-0.443471329531687</v>
      </c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4.4">
      <c r="A273" s="3">
        <f>LOOKUP(D273,'AMFI DATA_2023H2'!F:L,'AMFI DATA_2023H2'!L:L)</f>
        <v>455</v>
      </c>
      <c r="B273" s="4" t="s">
        <v>1356</v>
      </c>
      <c r="C273" s="4" t="s">
        <v>1357</v>
      </c>
      <c r="D273" s="5" t="s">
        <v>1358</v>
      </c>
      <c r="E273" s="5">
        <v>6461.48</v>
      </c>
      <c r="F273" s="6">
        <f>LOOKUP(D273,'AMFI DATA_2023H2'!F:J,'AMFI DATA_2023H2'!J:J)</f>
        <v>8611.6751999999997</v>
      </c>
      <c r="G273" s="7">
        <f t="shared" si="2"/>
        <v>0.29138637276984158</v>
      </c>
      <c r="H273" s="8">
        <v>11121</v>
      </c>
      <c r="I273" s="8">
        <v>11114</v>
      </c>
      <c r="J273" s="8">
        <v>10409</v>
      </c>
      <c r="K273" s="8">
        <v>10584</v>
      </c>
      <c r="L273" s="8">
        <v>10591</v>
      </c>
      <c r="M273" s="8">
        <v>10978</v>
      </c>
      <c r="N273" s="8">
        <v>10544</v>
      </c>
      <c r="O273" s="8">
        <v>10669</v>
      </c>
      <c r="P273" s="8">
        <v>10237</v>
      </c>
      <c r="Q273" s="8">
        <v>9268</v>
      </c>
      <c r="R273" s="14">
        <f t="shared" si="3"/>
        <v>0.22525522095863537</v>
      </c>
      <c r="S273" s="8"/>
      <c r="T273" s="8">
        <v>1591.05</v>
      </c>
      <c r="U273" s="15">
        <f ca="1">IFERROR(__xludf.DUMMYFUNCTION("GOOGLEFINANCE(C273,""PRICE"")"),1616)</f>
        <v>1616</v>
      </c>
      <c r="V273" s="13" t="s">
        <v>5787</v>
      </c>
      <c r="W273" s="7">
        <f ca="1">U273/T273-1</f>
        <v>1.5681468212815464E-2</v>
      </c>
      <c r="X273" s="8"/>
      <c r="Y273" s="8"/>
      <c r="Z273" s="8"/>
      <c r="AA273" s="8"/>
      <c r="AB273" s="8"/>
    </row>
    <row r="274" spans="1:28" ht="14.4" hidden="1">
      <c r="A274" s="3">
        <f>LOOKUP(D274,'AMFI DATA_2023H2'!F:L,'AMFI DATA_2023H2'!L:L)</f>
        <v>795</v>
      </c>
      <c r="B274" s="4" t="s">
        <v>2312</v>
      </c>
      <c r="C274" s="4" t="s">
        <v>2313</v>
      </c>
      <c r="D274" s="5" t="s">
        <v>2314</v>
      </c>
      <c r="E274" s="5">
        <v>1612.07</v>
      </c>
      <c r="F274" s="6">
        <f>LOOKUP(D274,'AMFI DATA_2023H2'!F:J,'AMFI DATA_2023H2'!J:J)</f>
        <v>2915.2075</v>
      </c>
      <c r="G274" s="7">
        <f t="shared" si="2"/>
        <v>0.13576820860950711</v>
      </c>
      <c r="H274" s="8">
        <v>3311</v>
      </c>
      <c r="I274" s="8">
        <v>3327</v>
      </c>
      <c r="J274" s="8">
        <v>3164</v>
      </c>
      <c r="K274" s="8">
        <v>3168</v>
      </c>
      <c r="L274" s="8">
        <v>3212</v>
      </c>
      <c r="M274" s="8">
        <v>3179</v>
      </c>
      <c r="N274" s="8">
        <v>3088</v>
      </c>
      <c r="O274" s="8">
        <v>3128</v>
      </c>
      <c r="P274" s="8">
        <v>3161</v>
      </c>
      <c r="Q274" s="8">
        <v>3111</v>
      </c>
      <c r="R274" s="7">
        <f t="shared" si="3"/>
        <v>9.2512282573367521E-2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4.4" hidden="1">
      <c r="A275" s="3">
        <f>LOOKUP(D275,'AMFI DATA_2023H2'!F:L,'AMFI DATA_2023H2'!L:L)</f>
        <v>827</v>
      </c>
      <c r="B275" s="4" t="s">
        <v>2402</v>
      </c>
      <c r="C275" s="4" t="s">
        <v>2403</v>
      </c>
      <c r="D275" s="5" t="s">
        <v>2404</v>
      </c>
      <c r="E275" s="5">
        <v>3732.01</v>
      </c>
      <c r="F275" s="6">
        <f>LOOKUP(D275,'AMFI DATA_2023H2'!F:J,'AMFI DATA_2023H2'!J:J)</f>
        <v>2661.1163000000001</v>
      </c>
      <c r="G275" s="7">
        <f t="shared" si="2"/>
        <v>4.8056411514220576E-2</v>
      </c>
      <c r="H275" s="8">
        <v>2789</v>
      </c>
      <c r="I275" s="8">
        <v>2779</v>
      </c>
      <c r="J275" s="8">
        <v>2783</v>
      </c>
      <c r="K275" s="8">
        <v>2819</v>
      </c>
      <c r="L275" s="8">
        <v>2818</v>
      </c>
      <c r="M275" s="8">
        <v>2808</v>
      </c>
      <c r="N275" s="8">
        <v>2777</v>
      </c>
      <c r="O275" s="8">
        <v>2818</v>
      </c>
      <c r="P275" s="8">
        <v>2824</v>
      </c>
      <c r="Q275" s="8">
        <v>2791</v>
      </c>
      <c r="R275" s="7">
        <f t="shared" si="3"/>
        <v>5.2415484434107595E-2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4.4" hidden="1">
      <c r="A276" s="3">
        <f>LOOKUP(D276,'AMFI DATA_2023H2'!F:L,'AMFI DATA_2023H2'!L:L)</f>
        <v>665</v>
      </c>
      <c r="B276" s="4" t="s">
        <v>1950</v>
      </c>
      <c r="C276" s="4" t="s">
        <v>1951</v>
      </c>
      <c r="D276" s="5" t="s">
        <v>1952</v>
      </c>
      <c r="E276" s="5">
        <v>4265.58</v>
      </c>
      <c r="F276" s="6">
        <f>LOOKUP(D276,'AMFI DATA_2023H2'!F:J,'AMFI DATA_2023H2'!J:J)</f>
        <v>4306.1408000000001</v>
      </c>
      <c r="G276" s="7">
        <f t="shared" si="2"/>
        <v>-9.7567826857867801E-2</v>
      </c>
      <c r="H276" s="8">
        <v>3886</v>
      </c>
      <c r="I276" s="8">
        <v>3926</v>
      </c>
      <c r="J276" s="8">
        <v>3879</v>
      </c>
      <c r="K276" s="8">
        <v>3887</v>
      </c>
      <c r="L276" s="8">
        <v>3879</v>
      </c>
      <c r="M276" s="8">
        <v>3861</v>
      </c>
      <c r="N276" s="8">
        <v>3836</v>
      </c>
      <c r="O276" s="8">
        <v>3864</v>
      </c>
      <c r="P276" s="8">
        <v>3966</v>
      </c>
      <c r="Q276" s="8">
        <v>3923</v>
      </c>
      <c r="R276" s="7">
        <f t="shared" si="3"/>
        <v>-9.6476362314952713E-2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4.4" hidden="1">
      <c r="A277" s="3">
        <f>LOOKUP(D277,'AMFI DATA_2023H2'!F:L,'AMFI DATA_2023H2'!L:L)</f>
        <v>581</v>
      </c>
      <c r="B277" s="4" t="s">
        <v>1716</v>
      </c>
      <c r="C277" s="4" t="s">
        <v>1717</v>
      </c>
      <c r="D277" s="5" t="s">
        <v>1718</v>
      </c>
      <c r="E277" s="5">
        <v>6355.28</v>
      </c>
      <c r="F277" s="6">
        <f>LOOKUP(D277,'AMFI DATA_2023H2'!F:J,'AMFI DATA_2023H2'!J:J)</f>
        <v>5784.4390999999996</v>
      </c>
      <c r="G277" s="7">
        <f t="shared" si="2"/>
        <v>8.7573037116079222E-2</v>
      </c>
      <c r="H277" s="8">
        <v>6291</v>
      </c>
      <c r="I277" s="8">
        <v>6343</v>
      </c>
      <c r="J277" s="8">
        <v>6077</v>
      </c>
      <c r="K277" s="8">
        <v>5650</v>
      </c>
      <c r="L277" s="8">
        <v>5732</v>
      </c>
      <c r="M277" s="8">
        <v>5742</v>
      </c>
      <c r="N277" s="8">
        <v>5661</v>
      </c>
      <c r="O277" s="8">
        <v>5519</v>
      </c>
      <c r="P277" s="8">
        <v>5508</v>
      </c>
      <c r="Q277" s="8">
        <v>5557</v>
      </c>
      <c r="R277" s="7">
        <f t="shared" si="3"/>
        <v>4.0731520537575783E-3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4.4" hidden="1">
      <c r="A278" s="3">
        <f>LOOKUP(D278,'AMFI DATA_2023H2'!F:L,'AMFI DATA_2023H2'!L:L)</f>
        <v>108</v>
      </c>
      <c r="B278" s="4" t="s">
        <v>336</v>
      </c>
      <c r="C278" s="4" t="s">
        <v>337</v>
      </c>
      <c r="D278" s="5" t="s">
        <v>338</v>
      </c>
      <c r="E278" s="5">
        <v>54021.440000000002</v>
      </c>
      <c r="F278" s="6">
        <f>LOOKUP(D278,'AMFI DATA_2023H2'!F:J,'AMFI DATA_2023H2'!J:J)</f>
        <v>58208.627999999997</v>
      </c>
      <c r="G278" s="7">
        <f t="shared" si="2"/>
        <v>0.14986389990157489</v>
      </c>
      <c r="H278" s="8">
        <v>66932</v>
      </c>
      <c r="I278" s="8">
        <v>66328</v>
      </c>
      <c r="J278" s="8">
        <v>65739</v>
      </c>
      <c r="K278" s="8">
        <v>65872</v>
      </c>
      <c r="L278" s="8">
        <v>66164</v>
      </c>
      <c r="M278" s="8">
        <v>65487</v>
      </c>
      <c r="N278" s="8">
        <v>65189</v>
      </c>
      <c r="O278" s="8">
        <v>64688</v>
      </c>
      <c r="P278" s="8">
        <v>64644</v>
      </c>
      <c r="Q278" s="8">
        <v>63806</v>
      </c>
      <c r="R278" s="7">
        <f t="shared" si="3"/>
        <v>0.12500332424945682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4.4" hidden="1">
      <c r="A279" s="3">
        <f>LOOKUP(D279,'AMFI DATA_2023H2'!F:L,'AMFI DATA_2023H2'!L:L)</f>
        <v>1637</v>
      </c>
      <c r="B279" s="4" t="s">
        <v>4223</v>
      </c>
      <c r="C279" s="4" t="s">
        <v>4224</v>
      </c>
      <c r="D279" s="5" t="s">
        <v>4225</v>
      </c>
      <c r="E279" s="5">
        <v>298.87</v>
      </c>
      <c r="F279" s="6">
        <f>LOOKUP(D279,'AMFI DATA_2023H2'!F:J,'AMFI DATA_2023H2'!J:J)</f>
        <v>375.66129999999998</v>
      </c>
      <c r="G279" s="7">
        <f t="shared" si="2"/>
        <v>0.23781715071528531</v>
      </c>
      <c r="H279" s="9">
        <v>465</v>
      </c>
      <c r="I279" s="9">
        <v>443</v>
      </c>
      <c r="J279" s="9">
        <v>435</v>
      </c>
      <c r="K279" s="9">
        <v>420</v>
      </c>
      <c r="L279" s="9">
        <v>420</v>
      </c>
      <c r="M279" s="9">
        <v>417</v>
      </c>
      <c r="N279" s="9">
        <v>410</v>
      </c>
      <c r="O279" s="9">
        <v>423</v>
      </c>
      <c r="P279" s="9">
        <v>422</v>
      </c>
      <c r="Q279" s="9">
        <v>405</v>
      </c>
      <c r="R279" s="7">
        <f t="shared" si="3"/>
        <v>0.13400022839722925</v>
      </c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4.4" hidden="1">
      <c r="A280" s="3">
        <f>LOOKUP(D280,'AMFI DATA_2023H2'!F:L,'AMFI DATA_2023H2'!L:L)</f>
        <v>1481</v>
      </c>
      <c r="B280" s="4" t="s">
        <v>3920</v>
      </c>
      <c r="C280" s="4" t="s">
        <v>3921</v>
      </c>
      <c r="D280" s="5" t="s">
        <v>3922</v>
      </c>
      <c r="E280" s="5">
        <v>267.52</v>
      </c>
      <c r="F280" s="6">
        <f>LOOKUP(D280,'AMFI DATA_2023H2'!F:J,'AMFI DATA_2023H2'!J:J)</f>
        <v>533.84719999999993</v>
      </c>
      <c r="G280" s="7">
        <f t="shared" si="2"/>
        <v>0.56224477715720922</v>
      </c>
      <c r="H280" s="9">
        <v>834</v>
      </c>
      <c r="I280" s="9">
        <v>818</v>
      </c>
      <c r="J280" s="9">
        <v>816</v>
      </c>
      <c r="K280" s="9">
        <v>804</v>
      </c>
      <c r="L280" s="9">
        <v>809</v>
      </c>
      <c r="M280" s="9">
        <v>810</v>
      </c>
      <c r="N280" s="9">
        <v>826</v>
      </c>
      <c r="O280" s="9">
        <v>843</v>
      </c>
      <c r="P280" s="9">
        <v>829</v>
      </c>
      <c r="Q280" s="9">
        <v>861</v>
      </c>
      <c r="R280" s="7">
        <f t="shared" si="3"/>
        <v>0.54538602056918184</v>
      </c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4.4" hidden="1">
      <c r="A281" s="3">
        <f>LOOKUP(D281,'AMFI DATA_2023H2'!F:L,'AMFI DATA_2023H2'!L:L)</f>
        <v>311</v>
      </c>
      <c r="B281" s="4" t="s">
        <v>942</v>
      </c>
      <c r="C281" s="4" t="s">
        <v>943</v>
      </c>
      <c r="D281" s="5" t="s">
        <v>944</v>
      </c>
      <c r="E281" s="5">
        <v>11570.84</v>
      </c>
      <c r="F281" s="6">
        <f>LOOKUP(D281,'AMFI DATA_2023H2'!F:J,'AMFI DATA_2023H2'!J:J)</f>
        <v>15130.580099999999</v>
      </c>
      <c r="G281" s="7">
        <f t="shared" si="2"/>
        <v>0.43775055921352291</v>
      </c>
      <c r="H281" s="8">
        <v>21754</v>
      </c>
      <c r="I281" s="8">
        <v>21313</v>
      </c>
      <c r="J281" s="8">
        <v>20139</v>
      </c>
      <c r="K281" s="8">
        <v>20254</v>
      </c>
      <c r="L281" s="8">
        <v>20622</v>
      </c>
      <c r="M281" s="8">
        <v>20709</v>
      </c>
      <c r="N281" s="8">
        <v>20755</v>
      </c>
      <c r="O281" s="8">
        <v>20384</v>
      </c>
      <c r="P281" s="8">
        <v>19890</v>
      </c>
      <c r="Q281" s="8">
        <v>20063</v>
      </c>
      <c r="R281" s="7">
        <f t="shared" si="3"/>
        <v>0.36070790835045385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4.4" hidden="1">
      <c r="A282" s="3">
        <f>LOOKUP(D282,'AMFI DATA_2023H2'!F:L,'AMFI DATA_2023H2'!L:L)</f>
        <v>676</v>
      </c>
      <c r="B282" s="4" t="s">
        <v>1983</v>
      </c>
      <c r="C282" s="4" t="s">
        <v>1984</v>
      </c>
      <c r="D282" s="5" t="s">
        <v>1985</v>
      </c>
      <c r="E282" s="5">
        <v>4335.12</v>
      </c>
      <c r="F282" s="6">
        <f>LOOKUP(D282,'AMFI DATA_2023H2'!F:J,'AMFI DATA_2023H2'!J:J)</f>
        <v>4070.4666500000003</v>
      </c>
      <c r="G282" s="7">
        <f t="shared" si="2"/>
        <v>-4.3107256510749314E-2</v>
      </c>
      <c r="H282" s="8">
        <v>3895</v>
      </c>
      <c r="I282" s="8">
        <v>3915</v>
      </c>
      <c r="J282" s="8">
        <v>3846</v>
      </c>
      <c r="K282" s="8">
        <v>3864</v>
      </c>
      <c r="L282" s="8">
        <v>3838</v>
      </c>
      <c r="M282" s="8">
        <v>3903</v>
      </c>
      <c r="N282" s="8">
        <v>3921</v>
      </c>
      <c r="O282" s="8">
        <v>3987</v>
      </c>
      <c r="P282" s="8">
        <v>3907</v>
      </c>
      <c r="Q282" s="8">
        <v>4006</v>
      </c>
      <c r="R282" s="7">
        <f t="shared" si="3"/>
        <v>-3.9864385082236331E-2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4.4" hidden="1">
      <c r="A283" s="3">
        <f>LOOKUP(D283,'AMFI DATA_2023H2'!F:L,'AMFI DATA_2023H2'!L:L)</f>
        <v>51</v>
      </c>
      <c r="B283" s="4" t="s">
        <v>162</v>
      </c>
      <c r="C283" s="4" t="s">
        <v>163</v>
      </c>
      <c r="D283" s="5" t="s">
        <v>164</v>
      </c>
      <c r="E283" s="5">
        <v>108510.48</v>
      </c>
      <c r="F283" s="6">
        <f>LOOKUP(D283,'AMFI DATA_2023H2'!F:J,'AMFI DATA_2023H2'!J:J)</f>
        <v>113982.88925000001</v>
      </c>
      <c r="G283" s="7">
        <f t="shared" si="2"/>
        <v>0.11414968365525957</v>
      </c>
      <c r="H283" s="8">
        <v>126994</v>
      </c>
      <c r="I283" s="8">
        <v>129137</v>
      </c>
      <c r="J283" s="8">
        <v>126547</v>
      </c>
      <c r="K283" s="8">
        <v>127392</v>
      </c>
      <c r="L283" s="8">
        <v>128085</v>
      </c>
      <c r="M283" s="8">
        <v>128598</v>
      </c>
      <c r="N283" s="8">
        <v>127227</v>
      </c>
      <c r="O283" s="8">
        <v>125425</v>
      </c>
      <c r="P283" s="8">
        <v>126159</v>
      </c>
      <c r="Q283" s="8">
        <v>124315</v>
      </c>
      <c r="R283" s="7">
        <f t="shared" si="3"/>
        <v>0.11409616685076251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4.4" hidden="1">
      <c r="A284" s="3">
        <f>LOOKUP(D284,'AMFI DATA_2023H2'!F:L,'AMFI DATA_2023H2'!L:L)</f>
        <v>1787</v>
      </c>
      <c r="B284" s="4" t="s">
        <v>4460</v>
      </c>
      <c r="C284" s="4" t="s">
        <v>4461</v>
      </c>
      <c r="D284" s="5" t="s">
        <v>4462</v>
      </c>
      <c r="E284" s="5">
        <v>196.19</v>
      </c>
      <c r="F284" s="6">
        <f>LOOKUP(D284,'AMFI DATA_2023H2'!F:J,'AMFI DATA_2023H2'!J:J)</f>
        <v>276.14765</v>
      </c>
      <c r="G284" s="7">
        <f t="shared" si="2"/>
        <v>0.57162300675019329</v>
      </c>
      <c r="H284" s="9">
        <v>434</v>
      </c>
      <c r="I284" s="9">
        <v>455</v>
      </c>
      <c r="J284" s="9">
        <v>379</v>
      </c>
      <c r="K284" s="9">
        <v>374</v>
      </c>
      <c r="L284" s="9">
        <v>385</v>
      </c>
      <c r="M284" s="9">
        <v>378</v>
      </c>
      <c r="N284" s="9">
        <v>397</v>
      </c>
      <c r="O284" s="9">
        <v>403</v>
      </c>
      <c r="P284" s="9">
        <v>427</v>
      </c>
      <c r="Q284" s="9">
        <v>356</v>
      </c>
      <c r="R284" s="7">
        <f t="shared" si="3"/>
        <v>0.44415496564971679</v>
      </c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4.4" hidden="1">
      <c r="A285" s="3">
        <f>LOOKUP(D285,'AMFI DATA_2023H2'!F:L,'AMFI DATA_2023H2'!L:L)</f>
        <v>268</v>
      </c>
      <c r="B285" s="4" t="s">
        <v>813</v>
      </c>
      <c r="C285" s="4" t="s">
        <v>814</v>
      </c>
      <c r="D285" s="5" t="s">
        <v>815</v>
      </c>
      <c r="E285" s="5">
        <v>6869.73</v>
      </c>
      <c r="F285" s="6">
        <f>LOOKUP(D285,'AMFI DATA_2023H2'!F:J,'AMFI DATA_2023H2'!J:J)</f>
        <v>20017.627899999999</v>
      </c>
      <c r="G285" s="7">
        <f t="shared" si="2"/>
        <v>0.55797680703216601</v>
      </c>
      <c r="H285" s="8">
        <v>31187</v>
      </c>
      <c r="I285" s="8">
        <v>30826</v>
      </c>
      <c r="J285" s="8">
        <v>30505</v>
      </c>
      <c r="K285" s="8">
        <v>30269</v>
      </c>
      <c r="L285" s="8">
        <v>29824</v>
      </c>
      <c r="M285" s="8">
        <v>30070</v>
      </c>
      <c r="N285" s="8">
        <v>30369</v>
      </c>
      <c r="O285" s="8">
        <v>30687</v>
      </c>
      <c r="P285" s="8">
        <v>31280</v>
      </c>
      <c r="Q285" s="8">
        <v>31406</v>
      </c>
      <c r="R285" s="7">
        <f t="shared" si="3"/>
        <v>0.53076579068591845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4.4" hidden="1">
      <c r="A286" s="3">
        <f>LOOKUP(D286,'AMFI DATA_2023H2'!F:L,'AMFI DATA_2023H2'!L:L)</f>
        <v>2009</v>
      </c>
      <c r="B286" s="4" t="s">
        <v>4754</v>
      </c>
      <c r="C286" s="4" t="s">
        <v>4755</v>
      </c>
      <c r="D286" s="5" t="s">
        <v>4756</v>
      </c>
      <c r="E286" s="5">
        <v>186.31</v>
      </c>
      <c r="F286" s="6">
        <f>LOOKUP(D286,'AMFI DATA_2023H2'!F:J,'AMFI DATA_2023H2'!J:J)</f>
        <v>185.02545000000001</v>
      </c>
      <c r="G286" s="7">
        <f t="shared" si="2"/>
        <v>0.16740697023031159</v>
      </c>
      <c r="H286" s="9">
        <v>216</v>
      </c>
      <c r="I286" s="9">
        <v>217</v>
      </c>
      <c r="J286" s="9">
        <v>214</v>
      </c>
      <c r="K286" s="9">
        <v>215</v>
      </c>
      <c r="L286" s="9">
        <v>217</v>
      </c>
      <c r="M286" s="9">
        <v>217</v>
      </c>
      <c r="N286" s="9">
        <v>220</v>
      </c>
      <c r="O286" s="9">
        <v>223</v>
      </c>
      <c r="P286" s="9">
        <v>214</v>
      </c>
      <c r="Q286" s="9">
        <v>212</v>
      </c>
      <c r="R286" s="7">
        <f t="shared" si="3"/>
        <v>0.17010930117991863</v>
      </c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4.4" hidden="1">
      <c r="A287" s="3">
        <f>LOOKUP(D287,'AMFI DATA_2023H2'!F:L,'AMFI DATA_2023H2'!L:L)</f>
        <v>2847</v>
      </c>
      <c r="B287" s="4" t="s">
        <v>5482</v>
      </c>
      <c r="C287" s="4" t="s">
        <v>5483</v>
      </c>
      <c r="D287" s="5" t="s">
        <v>5484</v>
      </c>
      <c r="E287" s="5">
        <v>41.5</v>
      </c>
      <c r="F287" s="6">
        <f>LOOKUP(D287,'AMFI DATA_2023H2'!F:J,'AMFI DATA_2023H2'!J:J)</f>
        <v>47.901399999999995</v>
      </c>
      <c r="G287" s="7">
        <f t="shared" si="2"/>
        <v>0.16280526247667093</v>
      </c>
      <c r="H287" s="9">
        <v>55.7</v>
      </c>
      <c r="I287" s="9">
        <v>56.8</v>
      </c>
      <c r="J287" s="9">
        <v>55.8</v>
      </c>
      <c r="K287" s="9">
        <v>54.8</v>
      </c>
      <c r="L287" s="9">
        <v>53.7</v>
      </c>
      <c r="M287" s="9">
        <v>52.7</v>
      </c>
      <c r="N287" s="9">
        <v>53.7</v>
      </c>
      <c r="O287" s="9">
        <v>54.8</v>
      </c>
      <c r="P287" s="9">
        <v>57.6</v>
      </c>
      <c r="Q287" s="9">
        <v>57.7</v>
      </c>
      <c r="R287" s="7">
        <f t="shared" si="3"/>
        <v>0.1550810623489085</v>
      </c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4.4" hidden="1">
      <c r="A288" s="3">
        <f>LOOKUP(D288,'AMFI DATA_2023H2'!F:L,'AMFI DATA_2023H2'!L:L)</f>
        <v>926</v>
      </c>
      <c r="B288" s="4" t="s">
        <v>2675</v>
      </c>
      <c r="C288" s="4" t="s">
        <v>2676</v>
      </c>
      <c r="D288" s="5" t="s">
        <v>2677</v>
      </c>
      <c r="E288" s="5">
        <v>2262.9299999999998</v>
      </c>
      <c r="F288" s="6">
        <f>LOOKUP(D288,'AMFI DATA_2023H2'!F:J,'AMFI DATA_2023H2'!J:J)</f>
        <v>2064.027</v>
      </c>
      <c r="G288" s="7">
        <f t="shared" si="2"/>
        <v>-4.8462059847085404E-2</v>
      </c>
      <c r="H288" s="8">
        <v>1964</v>
      </c>
      <c r="I288" s="8">
        <v>1878</v>
      </c>
      <c r="J288" s="8">
        <v>1877</v>
      </c>
      <c r="K288" s="8">
        <v>1891</v>
      </c>
      <c r="L288" s="8">
        <v>1907</v>
      </c>
      <c r="M288" s="8">
        <v>1859</v>
      </c>
      <c r="N288" s="8">
        <v>1867</v>
      </c>
      <c r="O288" s="8">
        <v>1845</v>
      </c>
      <c r="P288" s="8">
        <v>1883</v>
      </c>
      <c r="Q288" s="8">
        <v>1883</v>
      </c>
      <c r="R288" s="7">
        <f t="shared" si="3"/>
        <v>-8.6542957044651092E-2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4.4" hidden="1">
      <c r="A289" s="3">
        <f>LOOKUP(D289,'AMFI DATA_2023H2'!F:L,'AMFI DATA_2023H2'!L:L)</f>
        <v>407</v>
      </c>
      <c r="B289" s="4" t="s">
        <v>1224</v>
      </c>
      <c r="C289" s="4" t="s">
        <v>1225</v>
      </c>
      <c r="D289" s="5" t="s">
        <v>1226</v>
      </c>
      <c r="E289" s="5">
        <v>5887.5</v>
      </c>
      <c r="F289" s="6">
        <f>LOOKUP(D289,'AMFI DATA_2023H2'!F:J,'AMFI DATA_2023H2'!J:J)</f>
        <v>9950.991750000001</v>
      </c>
      <c r="G289" s="7">
        <f t="shared" si="2"/>
        <v>6.7933756451963534E-2</v>
      </c>
      <c r="H289" s="8">
        <v>10627</v>
      </c>
      <c r="I289" s="8">
        <v>10473</v>
      </c>
      <c r="J289" s="8">
        <v>10544</v>
      </c>
      <c r="K289" s="8">
        <v>10617</v>
      </c>
      <c r="L289" s="8">
        <v>10437</v>
      </c>
      <c r="M289" s="8">
        <v>10511</v>
      </c>
      <c r="N289" s="8">
        <v>10620</v>
      </c>
      <c r="O289" s="8">
        <v>10917</v>
      </c>
      <c r="P289" s="8">
        <v>10789</v>
      </c>
      <c r="Q289" s="8">
        <v>10902</v>
      </c>
      <c r="R289" s="7">
        <f t="shared" si="3"/>
        <v>6.9611981137458034E-2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4.4" hidden="1">
      <c r="A290" s="3">
        <f>LOOKUP(D290,'AMFI DATA_2023H2'!F:L,'AMFI DATA_2023H2'!L:L)</f>
        <v>3343</v>
      </c>
      <c r="B290" s="4" t="s">
        <v>5653</v>
      </c>
      <c r="C290" s="4" t="s">
        <v>5654</v>
      </c>
      <c r="D290" s="5" t="s">
        <v>5655</v>
      </c>
      <c r="E290" s="5">
        <v>24.45</v>
      </c>
      <c r="F290" s="6">
        <f>LOOKUP(D290,'AMFI DATA_2023H2'!F:J,'AMFI DATA_2023H2'!J:J)</f>
        <v>22.884550000000001</v>
      </c>
      <c r="G290" s="7">
        <f t="shared" si="2"/>
        <v>0.28470955295166389</v>
      </c>
      <c r="H290" s="9">
        <v>29.4</v>
      </c>
      <c r="I290" s="9">
        <v>29.3</v>
      </c>
      <c r="J290" s="9">
        <v>29.6</v>
      </c>
      <c r="K290" s="9">
        <v>29.1</v>
      </c>
      <c r="L290" s="9">
        <v>28</v>
      </c>
      <c r="M290" s="9">
        <v>28.1</v>
      </c>
      <c r="N290" s="9">
        <v>28.8</v>
      </c>
      <c r="O290" s="9">
        <v>29.4</v>
      </c>
      <c r="P290" s="9">
        <v>29.4</v>
      </c>
      <c r="Q290" s="9">
        <v>28.6</v>
      </c>
      <c r="R290" s="7">
        <f t="shared" si="3"/>
        <v>0.26591958329964993</v>
      </c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4.4" hidden="1">
      <c r="A291" s="3">
        <f>LOOKUP(D291,'AMFI DATA_2023H2'!F:L,'AMFI DATA_2023H2'!L:L)</f>
        <v>2222</v>
      </c>
      <c r="B291" s="4" t="s">
        <v>5045</v>
      </c>
      <c r="C291" s="4" t="s">
        <v>5046</v>
      </c>
      <c r="D291" s="5" t="s">
        <v>5047</v>
      </c>
      <c r="E291" s="5">
        <v>112.2</v>
      </c>
      <c r="F291" s="6">
        <f>LOOKUP(D291,'AMFI DATA_2023H2'!F:J,'AMFI DATA_2023H2'!J:J)</f>
        <v>126.66679999999999</v>
      </c>
      <c r="G291" s="7">
        <f t="shared" si="2"/>
        <v>0.16052509418411143</v>
      </c>
      <c r="H291" s="9">
        <v>147</v>
      </c>
      <c r="I291" s="9">
        <v>147</v>
      </c>
      <c r="J291" s="9">
        <v>148</v>
      </c>
      <c r="K291" s="9">
        <v>147</v>
      </c>
      <c r="L291" s="9">
        <v>148</v>
      </c>
      <c r="M291" s="9">
        <v>147</v>
      </c>
      <c r="N291" s="9">
        <v>148</v>
      </c>
      <c r="O291" s="9">
        <v>150</v>
      </c>
      <c r="P291" s="9">
        <v>150</v>
      </c>
      <c r="Q291" s="9">
        <v>152</v>
      </c>
      <c r="R291" s="7">
        <f t="shared" si="3"/>
        <v>0.17157771412872203</v>
      </c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4.4" hidden="1">
      <c r="A292" s="3">
        <f>LOOKUP(D292,'AMFI DATA_2023H2'!F:L,'AMFI DATA_2023H2'!L:L)</f>
        <v>847</v>
      </c>
      <c r="B292" s="4" t="s">
        <v>2459</v>
      </c>
      <c r="C292" s="4" t="s">
        <v>2460</v>
      </c>
      <c r="D292" s="5" t="s">
        <v>2461</v>
      </c>
      <c r="E292" s="5">
        <v>2478.75</v>
      </c>
      <c r="F292" s="6">
        <f>LOOKUP(D292,'AMFI DATA_2023H2'!F:J,'AMFI DATA_2023H2'!J:J)</f>
        <v>2528.4050999999999</v>
      </c>
      <c r="G292" s="7">
        <f t="shared" si="2"/>
        <v>-0.11564804231726944</v>
      </c>
      <c r="H292" s="8">
        <v>2236</v>
      </c>
      <c r="I292" s="8">
        <v>2242</v>
      </c>
      <c r="J292" s="8">
        <v>2230</v>
      </c>
      <c r="K292" s="8">
        <v>2261</v>
      </c>
      <c r="L292" s="8">
        <v>2253</v>
      </c>
      <c r="M292" s="8">
        <v>2275</v>
      </c>
      <c r="N292" s="8">
        <v>2203</v>
      </c>
      <c r="O292" s="8">
        <v>2241</v>
      </c>
      <c r="P292" s="8">
        <v>2250</v>
      </c>
      <c r="Q292" s="8">
        <v>2158</v>
      </c>
      <c r="R292" s="7">
        <f t="shared" si="3"/>
        <v>-0.11608309918375026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4.4" hidden="1">
      <c r="A293" s="3">
        <f>LOOKUP(D293,'AMFI DATA_2023H2'!F:L,'AMFI DATA_2023H2'!L:L)</f>
        <v>450</v>
      </c>
      <c r="B293" s="4" t="s">
        <v>1341</v>
      </c>
      <c r="C293" s="4" t="s">
        <v>1342</v>
      </c>
      <c r="D293" s="5" t="s">
        <v>1343</v>
      </c>
      <c r="E293" s="5">
        <v>11043.56</v>
      </c>
      <c r="F293" s="6">
        <f>LOOKUP(D293,'AMFI DATA_2023H2'!F:J,'AMFI DATA_2023H2'!J:J)</f>
        <v>8836.7109999999993</v>
      </c>
      <c r="G293" s="7">
        <f t="shared" si="2"/>
        <v>1.2775115085239541E-3</v>
      </c>
      <c r="H293" s="8">
        <v>8848</v>
      </c>
      <c r="I293" s="8">
        <v>8859</v>
      </c>
      <c r="J293" s="8">
        <v>8954</v>
      </c>
      <c r="K293" s="8">
        <v>9009</v>
      </c>
      <c r="L293" s="8">
        <v>8696</v>
      </c>
      <c r="M293" s="8">
        <v>8537</v>
      </c>
      <c r="N293" s="8">
        <v>8480</v>
      </c>
      <c r="O293" s="8">
        <v>8502</v>
      </c>
      <c r="P293" s="8">
        <v>8593</v>
      </c>
      <c r="Q293" s="8">
        <v>8563</v>
      </c>
      <c r="R293" s="7">
        <f t="shared" si="3"/>
        <v>-1.5006827766575026E-2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4.4" hidden="1">
      <c r="A294" s="3">
        <f>LOOKUP(D294,'AMFI DATA_2023H2'!F:L,'AMFI DATA_2023H2'!L:L)</f>
        <v>399</v>
      </c>
      <c r="B294" s="4" t="s">
        <v>1203</v>
      </c>
      <c r="C294" s="4" t="s">
        <v>1204</v>
      </c>
      <c r="D294" s="5" t="s">
        <v>1205</v>
      </c>
      <c r="E294" s="5">
        <v>8113.39</v>
      </c>
      <c r="F294" s="6">
        <f>LOOKUP(D294,'AMFI DATA_2023H2'!F:J,'AMFI DATA_2023H2'!J:J)</f>
        <v>10207.769550000001</v>
      </c>
      <c r="G294" s="7">
        <f t="shared" si="2"/>
        <v>1.697045070928338E-2</v>
      </c>
      <c r="H294" s="8">
        <v>10381</v>
      </c>
      <c r="I294" s="8">
        <v>10463</v>
      </c>
      <c r="J294" s="8">
        <v>10199</v>
      </c>
      <c r="K294" s="8">
        <v>10187</v>
      </c>
      <c r="L294" s="8">
        <v>10359</v>
      </c>
      <c r="M294" s="8">
        <v>10342</v>
      </c>
      <c r="N294" s="8">
        <v>10339</v>
      </c>
      <c r="O294" s="8">
        <v>10359</v>
      </c>
      <c r="P294" s="8">
        <v>10320</v>
      </c>
      <c r="Q294" s="8">
        <v>10180</v>
      </c>
      <c r="R294" s="7">
        <f t="shared" si="3"/>
        <v>1.0299061855290281E-2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4.4" hidden="1">
      <c r="A295" s="3">
        <f>LOOKUP(D295,'AMFI DATA_2023H2'!F:L,'AMFI DATA_2023H2'!L:L)</f>
        <v>99</v>
      </c>
      <c r="B295" s="4" t="s">
        <v>309</v>
      </c>
      <c r="C295" s="4" t="s">
        <v>310</v>
      </c>
      <c r="D295" s="5" t="s">
        <v>311</v>
      </c>
      <c r="E295" s="5">
        <v>54523.72</v>
      </c>
      <c r="F295" s="6">
        <f>LOOKUP(D295,'AMFI DATA_2023H2'!F:J,'AMFI DATA_2023H2'!J:J)</f>
        <v>67063.565050000005</v>
      </c>
      <c r="G295" s="7">
        <f t="shared" si="2"/>
        <v>0.24975461619900852</v>
      </c>
      <c r="H295" s="8">
        <v>83813</v>
      </c>
      <c r="I295" s="8">
        <v>84411</v>
      </c>
      <c r="J295" s="8">
        <v>83123</v>
      </c>
      <c r="K295" s="8">
        <v>80556</v>
      </c>
      <c r="L295" s="8">
        <v>80357</v>
      </c>
      <c r="M295" s="8">
        <v>79404</v>
      </c>
      <c r="N295" s="8">
        <v>79985</v>
      </c>
      <c r="O295" s="8">
        <v>78443</v>
      </c>
      <c r="P295" s="8">
        <v>77164</v>
      </c>
      <c r="Q295" s="8">
        <v>77291</v>
      </c>
      <c r="R295" s="7">
        <f t="shared" si="3"/>
        <v>0.19967824466259843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4.4" hidden="1">
      <c r="A296" s="3">
        <f>LOOKUP(D296,'AMFI DATA_2023H2'!F:L,'AMFI DATA_2023H2'!L:L)</f>
        <v>986</v>
      </c>
      <c r="B296" s="4" t="s">
        <v>2825</v>
      </c>
      <c r="C296" s="4" t="s">
        <v>2826</v>
      </c>
      <c r="D296" s="5" t="s">
        <v>2827</v>
      </c>
      <c r="E296" s="5">
        <v>1683.5</v>
      </c>
      <c r="F296" s="6">
        <f>LOOKUP(D296,'AMFI DATA_2023H2'!F:J,'AMFI DATA_2023H2'!J:J)</f>
        <v>1769.3135499999999</v>
      </c>
      <c r="G296" s="7">
        <f t="shared" si="2"/>
        <v>0.17446678685075367</v>
      </c>
      <c r="H296" s="8">
        <v>2078</v>
      </c>
      <c r="I296" s="8">
        <v>2045</v>
      </c>
      <c r="J296" s="8">
        <v>2051</v>
      </c>
      <c r="K296" s="8">
        <v>2030</v>
      </c>
      <c r="L296" s="8">
        <v>2001</v>
      </c>
      <c r="M296" s="8">
        <v>1967</v>
      </c>
      <c r="N296" s="8">
        <v>1916</v>
      </c>
      <c r="O296" s="8">
        <v>1954</v>
      </c>
      <c r="P296" s="8">
        <v>1989</v>
      </c>
      <c r="Q296" s="8">
        <v>1976</v>
      </c>
      <c r="R296" s="7">
        <f t="shared" si="3"/>
        <v>0.13077752668542009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4.4" hidden="1">
      <c r="A297" s="3">
        <f>LOOKUP(D297,'AMFI DATA_2023H2'!F:L,'AMFI DATA_2023H2'!L:L)</f>
        <v>1017</v>
      </c>
      <c r="B297" s="4" t="s">
        <v>2912</v>
      </c>
      <c r="C297" s="4" t="s">
        <v>2913</v>
      </c>
      <c r="D297" s="5" t="s">
        <v>2914</v>
      </c>
      <c r="E297" s="5">
        <v>1017.25</v>
      </c>
      <c r="F297" s="6">
        <f>LOOKUP(D297,'AMFI DATA_2023H2'!F:J,'AMFI DATA_2023H2'!J:J)</f>
        <v>1635.18605</v>
      </c>
      <c r="G297" s="7">
        <f t="shared" si="2"/>
        <v>0.2549030735676836</v>
      </c>
      <c r="H297" s="8">
        <v>2052</v>
      </c>
      <c r="I297" s="8">
        <v>2098</v>
      </c>
      <c r="J297" s="8">
        <v>2000</v>
      </c>
      <c r="K297" s="8">
        <v>1918</v>
      </c>
      <c r="L297" s="8">
        <v>1913</v>
      </c>
      <c r="M297" s="8">
        <v>1843</v>
      </c>
      <c r="N297" s="8">
        <v>1867</v>
      </c>
      <c r="O297" s="8">
        <v>1904</v>
      </c>
      <c r="P297" s="8">
        <v>1942</v>
      </c>
      <c r="Q297" s="8">
        <v>1939</v>
      </c>
      <c r="R297" s="7">
        <f t="shared" si="3"/>
        <v>0.19105712771950323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4.4" hidden="1">
      <c r="A298" s="3">
        <f>LOOKUP(D298,'AMFI DATA_2023H2'!F:L,'AMFI DATA_2023H2'!L:L)</f>
        <v>2104</v>
      </c>
      <c r="B298" s="4" t="s">
        <v>4883</v>
      </c>
      <c r="C298" s="4" t="s">
        <v>4884</v>
      </c>
      <c r="D298" s="5" t="s">
        <v>4885</v>
      </c>
      <c r="E298" s="5">
        <v>118.88</v>
      </c>
      <c r="F298" s="6">
        <f>LOOKUP(D298,'AMFI DATA_2023H2'!F:J,'AMFI DATA_2023H2'!J:J)</f>
        <v>159.36955</v>
      </c>
      <c r="G298" s="7">
        <f t="shared" si="2"/>
        <v>0.21729652872835481</v>
      </c>
      <c r="H298" s="9">
        <v>194</v>
      </c>
      <c r="I298" s="9">
        <v>195</v>
      </c>
      <c r="J298" s="9">
        <v>196</v>
      </c>
      <c r="K298" s="9">
        <v>196</v>
      </c>
      <c r="L298" s="9">
        <v>195</v>
      </c>
      <c r="M298" s="9">
        <v>176</v>
      </c>
      <c r="N298" s="9">
        <v>179</v>
      </c>
      <c r="O298" s="9">
        <v>185</v>
      </c>
      <c r="P298" s="9">
        <v>183</v>
      </c>
      <c r="Q298" s="9">
        <v>185</v>
      </c>
      <c r="R298" s="7">
        <f t="shared" si="3"/>
        <v>0.18215807222897973</v>
      </c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4.4" hidden="1">
      <c r="A299" s="3">
        <f>LOOKUP(D299,'AMFI DATA_2023H2'!F:L,'AMFI DATA_2023H2'!L:L)</f>
        <v>468</v>
      </c>
      <c r="B299" s="4" t="s">
        <v>1392</v>
      </c>
      <c r="C299" s="4" t="s">
        <v>1393</v>
      </c>
      <c r="D299" s="5" t="s">
        <v>1394</v>
      </c>
      <c r="E299" s="5">
        <v>5291.94</v>
      </c>
      <c r="F299" s="6">
        <f>LOOKUP(D299,'AMFI DATA_2023H2'!F:J,'AMFI DATA_2023H2'!J:J)</f>
        <v>8109.2608</v>
      </c>
      <c r="G299" s="7">
        <f t="shared" si="2"/>
        <v>0.31084697633599356</v>
      </c>
      <c r="H299" s="8">
        <v>10630</v>
      </c>
      <c r="I299" s="8">
        <v>10684</v>
      </c>
      <c r="J299" s="8">
        <v>10630</v>
      </c>
      <c r="K299" s="8">
        <v>10585</v>
      </c>
      <c r="L299" s="8">
        <v>10295</v>
      </c>
      <c r="M299" s="8">
        <v>10299</v>
      </c>
      <c r="N299" s="8">
        <v>10431</v>
      </c>
      <c r="O299" s="8">
        <v>10571</v>
      </c>
      <c r="P299" s="8">
        <v>10798</v>
      </c>
      <c r="Q299" s="8">
        <v>10676</v>
      </c>
      <c r="R299" s="7">
        <f t="shared" si="3"/>
        <v>0.30220253860869772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4.4" hidden="1">
      <c r="A300" s="3">
        <f>LOOKUP(D300,'AMFI DATA_2023H2'!F:L,'AMFI DATA_2023H2'!L:L)</f>
        <v>306</v>
      </c>
      <c r="B300" s="4" t="s">
        <v>927</v>
      </c>
      <c r="C300" s="4" t="s">
        <v>928</v>
      </c>
      <c r="D300" s="5" t="s">
        <v>929</v>
      </c>
      <c r="E300" s="5">
        <v>13752.11</v>
      </c>
      <c r="F300" s="6">
        <f>LOOKUP(D300,'AMFI DATA_2023H2'!F:J,'AMFI DATA_2023H2'!J:J)</f>
        <v>15960.41575</v>
      </c>
      <c r="G300" s="7">
        <f t="shared" si="2"/>
        <v>3.1693566629051872E-3</v>
      </c>
      <c r="H300" s="8">
        <v>16011</v>
      </c>
      <c r="I300" s="8">
        <v>15936</v>
      </c>
      <c r="J300" s="8">
        <v>15981</v>
      </c>
      <c r="K300" s="8">
        <v>15933</v>
      </c>
      <c r="L300" s="8">
        <v>15983</v>
      </c>
      <c r="M300" s="8">
        <v>15901</v>
      </c>
      <c r="N300" s="8">
        <v>15928</v>
      </c>
      <c r="O300" s="8">
        <v>15967</v>
      </c>
      <c r="P300" s="8">
        <v>15809</v>
      </c>
      <c r="Q300" s="8">
        <v>15884</v>
      </c>
      <c r="R300" s="7">
        <f t="shared" si="3"/>
        <v>-1.6989375731017997E-3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4.4" hidden="1">
      <c r="A301" s="3">
        <f>LOOKUP(D301,'AMFI DATA_2023H2'!F:L,'AMFI DATA_2023H2'!L:L)</f>
        <v>252</v>
      </c>
      <c r="B301" s="4" t="s">
        <v>762</v>
      </c>
      <c r="C301" s="4" t="s">
        <v>763</v>
      </c>
      <c r="D301" s="5" t="s">
        <v>764</v>
      </c>
      <c r="E301" s="5">
        <v>19804.919999999998</v>
      </c>
      <c r="F301" s="6">
        <f>LOOKUP(D301,'AMFI DATA_2023H2'!F:J,'AMFI DATA_2023H2'!J:J)</f>
        <v>21932.277199999997</v>
      </c>
      <c r="G301" s="7">
        <f t="shared" si="2"/>
        <v>-7.3534179113875497E-3</v>
      </c>
      <c r="H301" s="8">
        <v>21771</v>
      </c>
      <c r="I301" s="8">
        <v>21188</v>
      </c>
      <c r="J301" s="8">
        <v>21287</v>
      </c>
      <c r="K301" s="8">
        <v>21227</v>
      </c>
      <c r="L301" s="8">
        <v>21223</v>
      </c>
      <c r="M301" s="8">
        <v>21159</v>
      </c>
      <c r="N301" s="8">
        <v>20842</v>
      </c>
      <c r="O301" s="8">
        <v>21094</v>
      </c>
      <c r="P301" s="8">
        <v>20969</v>
      </c>
      <c r="Q301" s="8">
        <v>20793</v>
      </c>
      <c r="R301" s="7">
        <f t="shared" si="3"/>
        <v>-3.5426198242652029E-2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4.4" hidden="1">
      <c r="A302" s="3">
        <f>LOOKUP(D302,'AMFI DATA_2023H2'!F:L,'AMFI DATA_2023H2'!L:L)</f>
        <v>851</v>
      </c>
      <c r="B302" s="4" t="s">
        <v>2468</v>
      </c>
      <c r="C302" s="4" t="s">
        <v>2469</v>
      </c>
      <c r="D302" s="5" t="s">
        <v>2470</v>
      </c>
      <c r="E302" s="5">
        <v>1936.64</v>
      </c>
      <c r="F302" s="6">
        <f>LOOKUP(D302,'AMFI DATA_2023H2'!F:J,'AMFI DATA_2023H2'!J:J)</f>
        <v>2511.0967000000001</v>
      </c>
      <c r="G302" s="7">
        <f t="shared" si="2"/>
        <v>0.13336933619481872</v>
      </c>
      <c r="H302" s="8">
        <v>2846</v>
      </c>
      <c r="I302" s="8">
        <v>2888</v>
      </c>
      <c r="J302" s="8">
        <v>2835</v>
      </c>
      <c r="K302" s="8">
        <v>2793</v>
      </c>
      <c r="L302" s="8">
        <v>2784</v>
      </c>
      <c r="M302" s="8">
        <v>2833</v>
      </c>
      <c r="N302" s="8">
        <v>2860</v>
      </c>
      <c r="O302" s="8">
        <v>2864</v>
      </c>
      <c r="P302" s="8">
        <v>2803</v>
      </c>
      <c r="Q302" s="8">
        <v>2791</v>
      </c>
      <c r="R302" s="7">
        <f t="shared" si="3"/>
        <v>0.12687814849981671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4.4" hidden="1">
      <c r="A303" s="3">
        <f>LOOKUP(D303,'AMFI DATA_2023H2'!F:L,'AMFI DATA_2023H2'!L:L)</f>
        <v>1644</v>
      </c>
      <c r="B303" s="4" t="s">
        <v>4232</v>
      </c>
      <c r="C303" s="4" t="s">
        <v>4233</v>
      </c>
      <c r="D303" s="5" t="s">
        <v>4234</v>
      </c>
      <c r="E303" s="5">
        <v>338.75</v>
      </c>
      <c r="F303" s="6">
        <f>LOOKUP(D303,'AMFI DATA_2023H2'!F:J,'AMFI DATA_2023H2'!J:J)</f>
        <v>371.72730000000001</v>
      </c>
      <c r="G303" s="7">
        <f t="shared" si="2"/>
        <v>-3.9618559088880567E-2</v>
      </c>
      <c r="H303" s="9">
        <v>357</v>
      </c>
      <c r="I303" s="9">
        <v>352</v>
      </c>
      <c r="J303" s="9">
        <v>343</v>
      </c>
      <c r="K303" s="9">
        <v>344</v>
      </c>
      <c r="L303" s="9">
        <v>345</v>
      </c>
      <c r="M303" s="9">
        <v>343</v>
      </c>
      <c r="N303" s="9">
        <v>351</v>
      </c>
      <c r="O303" s="9">
        <v>352</v>
      </c>
      <c r="P303" s="9">
        <v>359</v>
      </c>
      <c r="Q303" s="9">
        <v>359</v>
      </c>
      <c r="R303" s="7">
        <f t="shared" si="3"/>
        <v>-5.7104495688102608E-2</v>
      </c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4.4" hidden="1">
      <c r="A304" s="3">
        <f>LOOKUP(D304,'AMFI DATA_2023H2'!F:L,'AMFI DATA_2023H2'!L:L)</f>
        <v>794</v>
      </c>
      <c r="B304" s="4" t="s">
        <v>2309</v>
      </c>
      <c r="C304" s="4" t="s">
        <v>2310</v>
      </c>
      <c r="D304" s="5" t="s">
        <v>2311</v>
      </c>
      <c r="E304" s="5">
        <v>2124.2800000000002</v>
      </c>
      <c r="F304" s="6">
        <f>LOOKUP(D304,'AMFI DATA_2023H2'!F:J,'AMFI DATA_2023H2'!J:J)</f>
        <v>2931.4671499999999</v>
      </c>
      <c r="G304" s="7">
        <f t="shared" si="2"/>
        <v>0.14447811567665014</v>
      </c>
      <c r="H304" s="8">
        <v>3355</v>
      </c>
      <c r="I304" s="8">
        <v>3376</v>
      </c>
      <c r="J304" s="8">
        <v>3331</v>
      </c>
      <c r="K304" s="8">
        <v>3351</v>
      </c>
      <c r="L304" s="8">
        <v>3378</v>
      </c>
      <c r="M304" s="8">
        <v>3344</v>
      </c>
      <c r="N304" s="8">
        <v>3330</v>
      </c>
      <c r="O304" s="8">
        <v>3401</v>
      </c>
      <c r="P304" s="8">
        <v>3422</v>
      </c>
      <c r="Q304" s="8">
        <v>3437</v>
      </c>
      <c r="R304" s="7">
        <f t="shared" si="3"/>
        <v>0.15044782268837631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4.4" hidden="1">
      <c r="A305" s="3">
        <f>LOOKUP(D305,'AMFI DATA_2023H2'!F:L,'AMFI DATA_2023H2'!L:L)</f>
        <v>955</v>
      </c>
      <c r="B305" s="4" t="s">
        <v>2744</v>
      </c>
      <c r="C305" s="4" t="s">
        <v>2745</v>
      </c>
      <c r="D305" s="5" t="s">
        <v>2746</v>
      </c>
      <c r="E305" s="5">
        <v>1472.44</v>
      </c>
      <c r="F305" s="6">
        <f>LOOKUP(D305,'AMFI DATA_2023H2'!F:J,'AMFI DATA_2023H2'!J:J)</f>
        <v>1935.9639000000002</v>
      </c>
      <c r="G305" s="7">
        <f t="shared" si="2"/>
        <v>0.17460867942837144</v>
      </c>
      <c r="H305" s="8">
        <v>2274</v>
      </c>
      <c r="I305" s="8">
        <v>2255</v>
      </c>
      <c r="J305" s="8">
        <v>2306</v>
      </c>
      <c r="K305" s="8">
        <v>2258</v>
      </c>
      <c r="L305" s="8">
        <v>2201</v>
      </c>
      <c r="M305" s="8">
        <v>2211</v>
      </c>
      <c r="N305" s="8">
        <v>2238</v>
      </c>
      <c r="O305" s="8">
        <v>2293</v>
      </c>
      <c r="P305" s="8">
        <v>2337</v>
      </c>
      <c r="Q305" s="8">
        <v>2306</v>
      </c>
      <c r="R305" s="7">
        <f t="shared" si="3"/>
        <v>0.17145779422849761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4.4" hidden="1">
      <c r="A306" s="3">
        <f>LOOKUP(D306,'AMFI DATA_2023H2'!F:L,'AMFI DATA_2023H2'!L:L)</f>
        <v>330</v>
      </c>
      <c r="B306" s="4" t="s">
        <v>999</v>
      </c>
      <c r="C306" s="4" t="s">
        <v>1000</v>
      </c>
      <c r="D306" s="5" t="s">
        <v>1001</v>
      </c>
      <c r="E306" s="5">
        <v>11585.75</v>
      </c>
      <c r="F306" s="6">
        <f>LOOKUP(D306,'AMFI DATA_2023H2'!F:J,'AMFI DATA_2023H2'!J:J)</f>
        <v>14046.9755</v>
      </c>
      <c r="G306" s="7">
        <f t="shared" si="2"/>
        <v>0.32662009697390015</v>
      </c>
      <c r="H306" s="8">
        <v>18635</v>
      </c>
      <c r="I306" s="8">
        <v>19115</v>
      </c>
      <c r="J306" s="8">
        <v>18719</v>
      </c>
      <c r="K306" s="8">
        <v>18699</v>
      </c>
      <c r="L306" s="8">
        <v>18922</v>
      </c>
      <c r="M306" s="8">
        <v>17784</v>
      </c>
      <c r="N306" s="8">
        <v>17799</v>
      </c>
      <c r="O306" s="8">
        <v>17532</v>
      </c>
      <c r="P306" s="8">
        <v>18056</v>
      </c>
      <c r="Q306" s="8">
        <v>16078</v>
      </c>
      <c r="R306" s="7">
        <f t="shared" si="3"/>
        <v>0.29094693729621723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4.4" hidden="1">
      <c r="A307" s="3">
        <f>LOOKUP(D307,'AMFI DATA_2023H2'!F:L,'AMFI DATA_2023H2'!L:L)</f>
        <v>457</v>
      </c>
      <c r="B307" s="4" t="s">
        <v>1362</v>
      </c>
      <c r="C307" s="4" t="s">
        <v>1363</v>
      </c>
      <c r="D307" s="5" t="s">
        <v>1364</v>
      </c>
      <c r="E307" s="5">
        <v>7661.19</v>
      </c>
      <c r="F307" s="6">
        <f>LOOKUP(D307,'AMFI DATA_2023H2'!F:J,'AMFI DATA_2023H2'!J:J)</f>
        <v>8493.0460999999996</v>
      </c>
      <c r="G307" s="7">
        <f t="shared" si="2"/>
        <v>-1.0602332654240487E-2</v>
      </c>
      <c r="H307" s="8">
        <v>8403</v>
      </c>
      <c r="I307" s="8">
        <v>8386</v>
      </c>
      <c r="J307" s="8">
        <v>8295</v>
      </c>
      <c r="K307" s="8">
        <v>8379</v>
      </c>
      <c r="L307" s="8">
        <v>8427</v>
      </c>
      <c r="M307" s="8">
        <v>8553</v>
      </c>
      <c r="N307" s="8">
        <v>8331</v>
      </c>
      <c r="O307" s="8">
        <v>8451</v>
      </c>
      <c r="P307" s="8">
        <v>8512</v>
      </c>
      <c r="Q307" s="8">
        <v>8389</v>
      </c>
      <c r="R307" s="7">
        <f t="shared" si="3"/>
        <v>-9.4719961545951525E-3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4.4" hidden="1">
      <c r="A308" s="3">
        <f>LOOKUP(D308,'AMFI DATA_2023H2'!F:L,'AMFI DATA_2023H2'!L:L)</f>
        <v>440</v>
      </c>
      <c r="B308" s="4" t="s">
        <v>1314</v>
      </c>
      <c r="C308" s="4" t="s">
        <v>1315</v>
      </c>
      <c r="D308" s="5" t="s">
        <v>1316</v>
      </c>
      <c r="E308" s="5">
        <v>6670.58</v>
      </c>
      <c r="F308" s="6">
        <f>LOOKUP(D308,'AMFI DATA_2023H2'!F:J,'AMFI DATA_2023H2'!J:J)</f>
        <v>9102.8430000000008</v>
      </c>
      <c r="G308" s="7">
        <f t="shared" si="2"/>
        <v>8.5594906997736864E-2</v>
      </c>
      <c r="H308" s="8">
        <v>9882</v>
      </c>
      <c r="I308" s="8">
        <v>9896</v>
      </c>
      <c r="J308" s="8">
        <v>9878</v>
      </c>
      <c r="K308" s="8">
        <v>9774</v>
      </c>
      <c r="L308" s="8">
        <v>9834</v>
      </c>
      <c r="M308" s="8">
        <v>9789</v>
      </c>
      <c r="N308" s="8">
        <v>9659</v>
      </c>
      <c r="O308" s="8">
        <v>9678</v>
      </c>
      <c r="P308" s="8">
        <v>9666</v>
      </c>
      <c r="Q308" s="8">
        <v>9708</v>
      </c>
      <c r="R308" s="7">
        <f t="shared" si="3"/>
        <v>7.3994135678270956E-2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4.4" hidden="1">
      <c r="A309" s="3">
        <f>LOOKUP(D309,'AMFI DATA_2023H2'!F:L,'AMFI DATA_2023H2'!L:L)</f>
        <v>2443</v>
      </c>
      <c r="B309" s="4" t="s">
        <v>5248</v>
      </c>
      <c r="C309" s="4" t="s">
        <v>5249</v>
      </c>
      <c r="D309" s="5" t="s">
        <v>5250</v>
      </c>
      <c r="E309" s="5">
        <v>77.19</v>
      </c>
      <c r="F309" s="6">
        <f>LOOKUP(D309,'AMFI DATA_2023H2'!F:J,'AMFI DATA_2023H2'!J:J)</f>
        <v>91.128500000000003</v>
      </c>
      <c r="G309" s="7">
        <f t="shared" si="2"/>
        <v>8.5280675090668723E-2</v>
      </c>
      <c r="H309" s="9">
        <v>98.9</v>
      </c>
      <c r="I309" s="9">
        <v>98.1</v>
      </c>
      <c r="J309" s="9">
        <v>96.2</v>
      </c>
      <c r="K309" s="9">
        <v>94.8</v>
      </c>
      <c r="L309" s="9">
        <v>93.8</v>
      </c>
      <c r="M309" s="9">
        <v>92.4</v>
      </c>
      <c r="N309" s="9">
        <v>93.5</v>
      </c>
      <c r="O309" s="9">
        <v>95.1</v>
      </c>
      <c r="P309" s="9">
        <v>92.9</v>
      </c>
      <c r="Q309" s="9">
        <v>92.4</v>
      </c>
      <c r="R309" s="7">
        <f t="shared" si="3"/>
        <v>4.0398997020690608E-2</v>
      </c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4.4" hidden="1">
      <c r="A310" s="3">
        <f>LOOKUP(D310,'AMFI DATA_2023H2'!F:L,'AMFI DATA_2023H2'!L:L)</f>
        <v>298</v>
      </c>
      <c r="B310" s="4" t="s">
        <v>903</v>
      </c>
      <c r="C310" s="4" t="s">
        <v>904</v>
      </c>
      <c r="D310" s="5" t="s">
        <v>905</v>
      </c>
      <c r="E310" s="5">
        <v>77.19</v>
      </c>
      <c r="F310" s="6">
        <f>LOOKUP(D310,'AMFI DATA_2023H2'!F:J,'AMFI DATA_2023H2'!J:J)</f>
        <v>16766.936450000001</v>
      </c>
      <c r="G310" s="7">
        <f t="shared" si="2"/>
        <v>8.7497412206151592E-2</v>
      </c>
      <c r="H310" s="8">
        <v>18234</v>
      </c>
      <c r="I310" s="8">
        <v>18490</v>
      </c>
      <c r="J310" s="8">
        <v>17572</v>
      </c>
      <c r="K310" s="8">
        <v>17118</v>
      </c>
      <c r="L310" s="8">
        <v>16880</v>
      </c>
      <c r="M310" s="8">
        <v>16713</v>
      </c>
      <c r="N310" s="8">
        <v>16860</v>
      </c>
      <c r="O310" s="8">
        <v>16532</v>
      </c>
      <c r="P310" s="8">
        <v>16272</v>
      </c>
      <c r="Q310" s="8">
        <v>16325</v>
      </c>
      <c r="R310" s="7">
        <f t="shared" si="3"/>
        <v>1.984044914776284E-2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4.4">
      <c r="A311" s="3">
        <f>LOOKUP(D311,'AMFI DATA_2023H2'!F:L,'AMFI DATA_2023H2'!L:L)</f>
        <v>171</v>
      </c>
      <c r="B311" s="4" t="s">
        <v>522</v>
      </c>
      <c r="C311" s="4" t="s">
        <v>523</v>
      </c>
      <c r="D311" s="5" t="s">
        <v>524</v>
      </c>
      <c r="E311" s="5">
        <v>23809.93</v>
      </c>
      <c r="F311" s="6">
        <f>LOOKUP(D311,'AMFI DATA_2023H2'!F:J,'AMFI DATA_2023H2'!J:J)</f>
        <v>35836.914049999999</v>
      </c>
      <c r="G311" s="7">
        <f t="shared" si="2"/>
        <v>0.25672093130463058</v>
      </c>
      <c r="H311" s="8">
        <v>45037</v>
      </c>
      <c r="I311" s="8">
        <v>45575</v>
      </c>
      <c r="J311" s="8">
        <v>45115</v>
      </c>
      <c r="K311" s="8">
        <v>44290</v>
      </c>
      <c r="L311" s="8">
        <v>43778</v>
      </c>
      <c r="M311" s="8">
        <v>43465</v>
      </c>
      <c r="N311" s="8">
        <v>43570</v>
      </c>
      <c r="O311" s="8">
        <v>42580</v>
      </c>
      <c r="P311" s="8">
        <v>42337</v>
      </c>
      <c r="Q311" s="8">
        <v>42276</v>
      </c>
      <c r="R311" s="14">
        <f t="shared" si="3"/>
        <v>0.222267629932829</v>
      </c>
      <c r="S311" s="8"/>
      <c r="T311" s="8">
        <v>51.8</v>
      </c>
      <c r="U311" s="15">
        <f ca="1">IFERROR(__xludf.DUMMYFUNCTION("GOOGLEFINANCE(C311,""PRICE"")"),56.1)</f>
        <v>56.1</v>
      </c>
      <c r="V311" s="13" t="s">
        <v>5787</v>
      </c>
      <c r="W311" s="7">
        <f ca="1">U311/T311-1</f>
        <v>8.3011583011583179E-2</v>
      </c>
      <c r="X311" s="8"/>
      <c r="Y311" s="8"/>
      <c r="Z311" s="8"/>
      <c r="AA311" s="8"/>
      <c r="AB311" s="8"/>
    </row>
    <row r="312" spans="1:28" ht="14.4" hidden="1">
      <c r="A312" s="3">
        <f>LOOKUP(D312,'AMFI DATA_2023H2'!F:L,'AMFI DATA_2023H2'!L:L)</f>
        <v>313</v>
      </c>
      <c r="B312" s="4" t="s">
        <v>948</v>
      </c>
      <c r="C312" s="4" t="s">
        <v>949</v>
      </c>
      <c r="D312" s="5" t="s">
        <v>950</v>
      </c>
      <c r="E312" s="5">
        <v>10580.2</v>
      </c>
      <c r="F312" s="6">
        <f>LOOKUP(D312,'AMFI DATA_2023H2'!F:J,'AMFI DATA_2023H2'!J:J)</f>
        <v>14978.1451</v>
      </c>
      <c r="G312" s="7">
        <f t="shared" si="2"/>
        <v>0.31765314518150856</v>
      </c>
      <c r="H312" s="8">
        <v>19736</v>
      </c>
      <c r="I312" s="8">
        <v>19699</v>
      </c>
      <c r="J312" s="8">
        <v>19261</v>
      </c>
      <c r="K312" s="8">
        <v>19010</v>
      </c>
      <c r="L312" s="8">
        <v>19002</v>
      </c>
      <c r="M312" s="8">
        <v>19065</v>
      </c>
      <c r="N312" s="8">
        <v>19163</v>
      </c>
      <c r="O312" s="8">
        <v>19385</v>
      </c>
      <c r="P312" s="8">
        <v>19343</v>
      </c>
      <c r="Q312" s="8">
        <v>19196</v>
      </c>
      <c r="R312" s="7">
        <f t="shared" si="3"/>
        <v>0.28760937160369737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4.4" hidden="1">
      <c r="A313" s="3">
        <f>LOOKUP(D313,'AMFI DATA_2023H2'!F:L,'AMFI DATA_2023H2'!L:L)</f>
        <v>1197</v>
      </c>
      <c r="B313" s="4" t="s">
        <v>3341</v>
      </c>
      <c r="C313" s="4" t="s">
        <v>3342</v>
      </c>
      <c r="D313" s="5" t="s">
        <v>3343</v>
      </c>
      <c r="E313" s="5">
        <v>854.19</v>
      </c>
      <c r="F313" s="6">
        <f>LOOKUP(D313,'AMFI DATA_2023H2'!F:J,'AMFI DATA_2023H2'!J:J)</f>
        <v>1053.2550000000001</v>
      </c>
      <c r="G313" s="7">
        <f t="shared" si="2"/>
        <v>0.21812856335835096</v>
      </c>
      <c r="H313" s="8">
        <v>1283</v>
      </c>
      <c r="I313" s="8">
        <v>1227</v>
      </c>
      <c r="J313" s="8">
        <v>1203</v>
      </c>
      <c r="K313" s="8">
        <v>1209</v>
      </c>
      <c r="L313" s="8">
        <v>1216</v>
      </c>
      <c r="M313" s="8">
        <v>1175</v>
      </c>
      <c r="N313" s="8">
        <v>1196</v>
      </c>
      <c r="O313" s="8">
        <v>1194</v>
      </c>
      <c r="P313" s="8">
        <v>1202</v>
      </c>
      <c r="Q313" s="8">
        <v>1200</v>
      </c>
      <c r="R313" s="7">
        <f t="shared" si="3"/>
        <v>0.14929433043280116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4.4" hidden="1">
      <c r="A314" s="3">
        <f>LOOKUP(D314,'AMFI DATA_2023H2'!F:L,'AMFI DATA_2023H2'!L:L)</f>
        <v>970</v>
      </c>
      <c r="B314" s="4" t="s">
        <v>2783</v>
      </c>
      <c r="C314" s="4" t="s">
        <v>2784</v>
      </c>
      <c r="D314" s="5" t="s">
        <v>2785</v>
      </c>
      <c r="E314" s="5">
        <v>1006.65</v>
      </c>
      <c r="F314" s="6">
        <f>LOOKUP(D314,'AMFI DATA_2023H2'!F:J,'AMFI DATA_2023H2'!J:J)</f>
        <v>1864.8221000000001</v>
      </c>
      <c r="G314" s="7">
        <f t="shared" si="2"/>
        <v>6.8198408845540737E-2</v>
      </c>
      <c r="H314" s="8">
        <v>1992</v>
      </c>
      <c r="I314" s="8">
        <v>2040</v>
      </c>
      <c r="J314" s="8">
        <v>1849</v>
      </c>
      <c r="K314" s="8">
        <v>1878</v>
      </c>
      <c r="L314" s="8">
        <v>1889</v>
      </c>
      <c r="M314" s="8">
        <v>1738</v>
      </c>
      <c r="N314" s="8">
        <v>1772</v>
      </c>
      <c r="O314" s="8">
        <v>1755</v>
      </c>
      <c r="P314" s="8">
        <v>1765</v>
      </c>
      <c r="Q314" s="8">
        <v>1771</v>
      </c>
      <c r="R314" s="7">
        <f t="shared" si="3"/>
        <v>-1.0683110201235801E-2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4.4" hidden="1">
      <c r="A315" s="3">
        <f>LOOKUP(D315,'AMFI DATA_2023H2'!F:L,'AMFI DATA_2023H2'!L:L)</f>
        <v>1241</v>
      </c>
      <c r="B315" s="4" t="s">
        <v>3434</v>
      </c>
      <c r="C315" s="4" t="s">
        <v>3435</v>
      </c>
      <c r="D315" s="5" t="s">
        <v>3436</v>
      </c>
      <c r="E315" s="5">
        <v>854.24</v>
      </c>
      <c r="F315" s="6">
        <f>LOOKUP(D315,'AMFI DATA_2023H2'!F:J,'AMFI DATA_2023H2'!J:J)</f>
        <v>936.79899999999998</v>
      </c>
      <c r="G315" s="7">
        <f t="shared" si="2"/>
        <v>7.0667240251110375E-2</v>
      </c>
      <c r="H315" s="9">
        <v>1003</v>
      </c>
      <c r="I315" s="9">
        <v>995</v>
      </c>
      <c r="J315" s="9">
        <v>998</v>
      </c>
      <c r="K315" s="9">
        <v>974</v>
      </c>
      <c r="L315" s="9">
        <v>959</v>
      </c>
      <c r="M315" s="9">
        <v>949</v>
      </c>
      <c r="N315" s="9">
        <v>951</v>
      </c>
      <c r="O315" s="9">
        <v>949</v>
      </c>
      <c r="P315" s="9">
        <v>941</v>
      </c>
      <c r="Q315" s="9">
        <v>942</v>
      </c>
      <c r="R315" s="7">
        <f t="shared" si="3"/>
        <v>3.1277787444265126E-2</v>
      </c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4.4" hidden="1">
      <c r="A316" s="3">
        <f>LOOKUP(D316,'AMFI DATA_2023H2'!F:L,'AMFI DATA_2023H2'!L:L)</f>
        <v>2259</v>
      </c>
      <c r="B316" s="4" t="s">
        <v>5084</v>
      </c>
      <c r="C316" s="4" t="s">
        <v>5085</v>
      </c>
      <c r="D316" s="5" t="s">
        <v>5086</v>
      </c>
      <c r="E316" s="5">
        <v>76.75</v>
      </c>
      <c r="F316" s="6">
        <f>LOOKUP(D316,'AMFI DATA_2023H2'!F:J,'AMFI DATA_2023H2'!J:J)</f>
        <v>119.6095</v>
      </c>
      <c r="G316" s="7">
        <f t="shared" si="2"/>
        <v>0.40457070717626942</v>
      </c>
      <c r="H316" s="9">
        <v>168</v>
      </c>
      <c r="I316" s="9">
        <v>166</v>
      </c>
      <c r="J316" s="9">
        <v>166</v>
      </c>
      <c r="K316" s="9">
        <v>156</v>
      </c>
      <c r="L316" s="9">
        <v>154</v>
      </c>
      <c r="M316" s="9">
        <v>151</v>
      </c>
      <c r="N316" s="9">
        <v>152</v>
      </c>
      <c r="O316" s="9">
        <v>155</v>
      </c>
      <c r="P316" s="9">
        <v>159</v>
      </c>
      <c r="Q316" s="9">
        <v>149</v>
      </c>
      <c r="R316" s="7">
        <f t="shared" si="3"/>
        <v>0.31762109197011945</v>
      </c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4.4" hidden="1">
      <c r="A317" s="3">
        <f>LOOKUP(D317,'AMFI DATA_2023H2'!F:L,'AMFI DATA_2023H2'!L:L)</f>
        <v>315</v>
      </c>
      <c r="B317" s="4" t="s">
        <v>954</v>
      </c>
      <c r="C317" s="4" t="s">
        <v>955</v>
      </c>
      <c r="D317" s="5" t="s">
        <v>956</v>
      </c>
      <c r="E317" s="5">
        <v>11763.72</v>
      </c>
      <c r="F317" s="6">
        <f>LOOKUP(D317,'AMFI DATA_2023H2'!F:J,'AMFI DATA_2023H2'!J:J)</f>
        <v>14810.356899999999</v>
      </c>
      <c r="G317" s="7">
        <f t="shared" si="2"/>
        <v>0.15851360746073584</v>
      </c>
      <c r="H317" s="8">
        <v>17158</v>
      </c>
      <c r="I317" s="8">
        <v>16980</v>
      </c>
      <c r="J317" s="8">
        <v>17256</v>
      </c>
      <c r="K317" s="8">
        <v>17329</v>
      </c>
      <c r="L317" s="8">
        <v>17738</v>
      </c>
      <c r="M317" s="8">
        <v>17151</v>
      </c>
      <c r="N317" s="8">
        <v>17103</v>
      </c>
      <c r="O317" s="8">
        <v>17603</v>
      </c>
      <c r="P317" s="8">
        <v>17747</v>
      </c>
      <c r="Q317" s="8">
        <v>17766</v>
      </c>
      <c r="R317" s="7">
        <f t="shared" si="3"/>
        <v>0.17371243092730593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4.4" hidden="1">
      <c r="A318" s="3">
        <f>LOOKUP(D318,'AMFI DATA_2023H2'!F:L,'AMFI DATA_2023H2'!L:L)</f>
        <v>355</v>
      </c>
      <c r="B318" s="4" t="s">
        <v>1071</v>
      </c>
      <c r="C318" s="4" t="s">
        <v>1072</v>
      </c>
      <c r="D318" s="5" t="s">
        <v>1073</v>
      </c>
      <c r="E318" s="5">
        <v>7901.76</v>
      </c>
      <c r="F318" s="6">
        <f>LOOKUP(D318,'AMFI DATA_2023H2'!F:J,'AMFI DATA_2023H2'!J:J)</f>
        <v>12269.234349999999</v>
      </c>
      <c r="G318" s="7">
        <f t="shared" si="2"/>
        <v>0.29184915275499668</v>
      </c>
      <c r="H318" s="8">
        <v>15850</v>
      </c>
      <c r="I318" s="8">
        <v>15618</v>
      </c>
      <c r="J318" s="8">
        <v>13847</v>
      </c>
      <c r="K318" s="8">
        <v>14133</v>
      </c>
      <c r="L318" s="8">
        <v>14265</v>
      </c>
      <c r="M318" s="8">
        <v>13655</v>
      </c>
      <c r="N318" s="8">
        <v>13650</v>
      </c>
      <c r="O318" s="8">
        <v>13747</v>
      </c>
      <c r="P318" s="8">
        <v>13639</v>
      </c>
      <c r="Q318" s="8">
        <v>13732</v>
      </c>
      <c r="R318" s="7">
        <f t="shared" si="3"/>
        <v>0.15847489700936412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4.4" hidden="1">
      <c r="A319" s="3">
        <f>LOOKUP(D319,'AMFI DATA_2023H2'!F:L,'AMFI DATA_2023H2'!L:L)</f>
        <v>385</v>
      </c>
      <c r="B319" s="4" t="s">
        <v>1158</v>
      </c>
      <c r="C319" s="4" t="s">
        <v>1159</v>
      </c>
      <c r="D319" s="5" t="s">
        <v>1160</v>
      </c>
      <c r="E319" s="5">
        <v>8445.43</v>
      </c>
      <c r="F319" s="6">
        <f>LOOKUP(D319,'AMFI DATA_2023H2'!F:J,'AMFI DATA_2023H2'!J:J)</f>
        <v>10890.871299999999</v>
      </c>
      <c r="G319" s="7">
        <f t="shared" si="2"/>
        <v>-7.7392458030423938E-2</v>
      </c>
      <c r="H319" s="8">
        <v>10048</v>
      </c>
      <c r="I319" s="8">
        <v>10076</v>
      </c>
      <c r="J319" s="8">
        <v>10115</v>
      </c>
      <c r="K319" s="8">
        <v>10194</v>
      </c>
      <c r="L319" s="8">
        <v>10275</v>
      </c>
      <c r="M319" s="8">
        <v>10194</v>
      </c>
      <c r="N319" s="8">
        <v>10299</v>
      </c>
      <c r="O319" s="8">
        <v>10412</v>
      </c>
      <c r="P319" s="8">
        <v>10527</v>
      </c>
      <c r="Q319" s="8">
        <v>10543</v>
      </c>
      <c r="R319" s="7">
        <f t="shared" si="3"/>
        <v>-5.7164508040784545E-2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4.4" hidden="1">
      <c r="A320" s="3">
        <f>LOOKUP(D320,'AMFI DATA_2023H2'!F:L,'AMFI DATA_2023H2'!L:L)</f>
        <v>2552</v>
      </c>
      <c r="B320" s="4" t="s">
        <v>5338</v>
      </c>
      <c r="C320" s="4" t="s">
        <v>5339</v>
      </c>
      <c r="D320" s="5" t="s">
        <v>5340</v>
      </c>
      <c r="E320" s="5">
        <v>105.96</v>
      </c>
      <c r="F320" s="6">
        <f>LOOKUP(D320,'AMFI DATA_2023H2'!F:J,'AMFI DATA_2023H2'!J:J)</f>
        <v>74.271799999999999</v>
      </c>
      <c r="G320" s="7">
        <f t="shared" si="2"/>
        <v>0.19830137414200277</v>
      </c>
      <c r="H320" s="9">
        <v>89</v>
      </c>
      <c r="I320" s="9">
        <v>87.8</v>
      </c>
      <c r="J320" s="9">
        <v>87.9</v>
      </c>
      <c r="K320" s="9">
        <v>89.3</v>
      </c>
      <c r="L320" s="9">
        <v>89</v>
      </c>
      <c r="M320" s="9">
        <v>89.2</v>
      </c>
      <c r="N320" s="9">
        <v>92.2</v>
      </c>
      <c r="O320" s="9">
        <v>89.4</v>
      </c>
      <c r="P320" s="9">
        <v>86.1</v>
      </c>
      <c r="Q320" s="9">
        <v>81.8</v>
      </c>
      <c r="R320" s="7">
        <f t="shared" si="3"/>
        <v>0.18712620402359992</v>
      </c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4.4" hidden="1">
      <c r="A321" s="3">
        <f>LOOKUP(D321,'AMFI DATA_2023H2'!F:L,'AMFI DATA_2023H2'!L:L)</f>
        <v>363</v>
      </c>
      <c r="B321" s="4" t="s">
        <v>1095</v>
      </c>
      <c r="C321" s="4" t="s">
        <v>1096</v>
      </c>
      <c r="D321" s="5" t="s">
        <v>1097</v>
      </c>
      <c r="E321" s="5">
        <v>9193.07</v>
      </c>
      <c r="F321" s="6">
        <f>LOOKUP(D321,'AMFI DATA_2023H2'!F:J,'AMFI DATA_2023H2'!J:J)</f>
        <v>12009.2503</v>
      </c>
      <c r="G321" s="7">
        <f t="shared" si="2"/>
        <v>0.52932111007795379</v>
      </c>
      <c r="H321" s="8">
        <v>18366</v>
      </c>
      <c r="I321" s="8">
        <v>17875</v>
      </c>
      <c r="J321" s="8">
        <v>17855</v>
      </c>
      <c r="K321" s="8">
        <v>17836</v>
      </c>
      <c r="L321" s="8">
        <v>18140</v>
      </c>
      <c r="M321" s="8">
        <v>17554</v>
      </c>
      <c r="N321" s="8">
        <v>17211</v>
      </c>
      <c r="O321" s="8">
        <v>16704</v>
      </c>
      <c r="P321" s="8">
        <v>16356</v>
      </c>
      <c r="Q321" s="8">
        <v>15794</v>
      </c>
      <c r="R321" s="7">
        <f t="shared" si="3"/>
        <v>0.44631009980697955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4.4" hidden="1">
      <c r="A322" s="3">
        <f>LOOKUP(D322,'AMFI DATA_2023H2'!F:L,'AMFI DATA_2023H2'!L:L)</f>
        <v>103</v>
      </c>
      <c r="B322" s="4" t="s">
        <v>321</v>
      </c>
      <c r="C322" s="4" t="s">
        <v>322</v>
      </c>
      <c r="D322" s="5" t="s">
        <v>323</v>
      </c>
      <c r="E322" s="5">
        <v>49110.36</v>
      </c>
      <c r="F322" s="6">
        <f>LOOKUP(D322,'AMFI DATA_2023H2'!F:J,'AMFI DATA_2023H2'!J:J)</f>
        <v>63871.426399999997</v>
      </c>
      <c r="G322" s="7">
        <f t="shared" si="2"/>
        <v>0.11691571679069312</v>
      </c>
      <c r="H322" s="8">
        <v>71339</v>
      </c>
      <c r="I322" s="8">
        <v>70881</v>
      </c>
      <c r="J322" s="8">
        <v>68934</v>
      </c>
      <c r="K322" s="8">
        <v>69064</v>
      </c>
      <c r="L322" s="8">
        <v>68628</v>
      </c>
      <c r="M322" s="8">
        <v>69446</v>
      </c>
      <c r="N322" s="8">
        <v>69117</v>
      </c>
      <c r="O322" s="8">
        <v>70011</v>
      </c>
      <c r="P322" s="8">
        <v>71133</v>
      </c>
      <c r="Q322" s="8">
        <v>71278</v>
      </c>
      <c r="R322" s="7">
        <f t="shared" si="3"/>
        <v>9.5687131859638619E-2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4.4">
      <c r="A323" s="3">
        <f>LOOKUP(D323,'AMFI DATA_2023H2'!F:L,'AMFI DATA_2023H2'!L:L)</f>
        <v>379</v>
      </c>
      <c r="B323" s="4" t="s">
        <v>1143</v>
      </c>
      <c r="C323" s="4" t="s">
        <v>1144</v>
      </c>
      <c r="D323" s="5" t="s">
        <v>1145</v>
      </c>
      <c r="E323" s="5">
        <v>7801.53</v>
      </c>
      <c r="F323" s="6">
        <f>LOOKUP(D323,'AMFI DATA_2023H2'!F:J,'AMFI DATA_2023H2'!J:J)</f>
        <v>11303.010200000001</v>
      </c>
      <c r="G323" s="7">
        <f t="shared" si="2"/>
        <v>0.23896198908145716</v>
      </c>
      <c r="H323" s="8">
        <v>14004</v>
      </c>
      <c r="I323" s="8">
        <v>13964</v>
      </c>
      <c r="J323" s="8">
        <v>13923</v>
      </c>
      <c r="K323" s="8">
        <v>13922</v>
      </c>
      <c r="L323" s="8">
        <v>14118</v>
      </c>
      <c r="M323" s="8">
        <v>14305</v>
      </c>
      <c r="N323" s="8">
        <v>13929</v>
      </c>
      <c r="O323" s="8">
        <v>13540</v>
      </c>
      <c r="P323" s="8">
        <v>13368</v>
      </c>
      <c r="Q323" s="8">
        <v>13417</v>
      </c>
      <c r="R323" s="14">
        <f t="shared" si="3"/>
        <v>0.22524882796266077</v>
      </c>
      <c r="S323" s="8"/>
      <c r="T323" s="8">
        <v>684</v>
      </c>
      <c r="U323" s="15">
        <f ca="1">IFERROR(__xludf.DUMMYFUNCTION("GOOGLEFINANCE(C323,""PRICE"")"),730.1)</f>
        <v>730.1</v>
      </c>
      <c r="V323" s="13" t="s">
        <v>5787</v>
      </c>
      <c r="W323" s="7">
        <f ca="1">U323/T323-1</f>
        <v>6.7397660818713456E-2</v>
      </c>
      <c r="X323" s="8"/>
      <c r="Y323" s="8"/>
      <c r="Z323" s="8"/>
      <c r="AA323" s="8"/>
      <c r="AB323" s="8"/>
    </row>
    <row r="324" spans="1:28" ht="14.4" hidden="1">
      <c r="A324" s="3">
        <f>LOOKUP(D324,'AMFI DATA_2023H2'!F:L,'AMFI DATA_2023H2'!L:L)</f>
        <v>1178</v>
      </c>
      <c r="B324" s="4" t="s">
        <v>3290</v>
      </c>
      <c r="C324" s="4" t="s">
        <v>3291</v>
      </c>
      <c r="D324" s="5" t="s">
        <v>3292</v>
      </c>
      <c r="E324" s="5">
        <v>860.17</v>
      </c>
      <c r="F324" s="6">
        <f>LOOKUP(D324,'AMFI DATA_2023H2'!F:J,'AMFI DATA_2023H2'!J:J)</f>
        <v>1090.71775</v>
      </c>
      <c r="G324" s="7">
        <f t="shared" si="2"/>
        <v>0.20837861124016732</v>
      </c>
      <c r="H324" s="8">
        <v>1318</v>
      </c>
      <c r="I324" s="8">
        <v>1322</v>
      </c>
      <c r="J324" s="8">
        <v>1318</v>
      </c>
      <c r="K324" s="8">
        <v>1309</v>
      </c>
      <c r="L324" s="8">
        <v>1324</v>
      </c>
      <c r="M324" s="8">
        <v>1284</v>
      </c>
      <c r="N324" s="8">
        <v>1206</v>
      </c>
      <c r="O324" s="8">
        <v>1218</v>
      </c>
      <c r="P324" s="8">
        <v>1209</v>
      </c>
      <c r="Q324" s="8">
        <v>1192</v>
      </c>
      <c r="R324" s="7">
        <f t="shared" si="3"/>
        <v>0.16437089246966052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4.4" hidden="1">
      <c r="A325" s="3">
        <f>LOOKUP(D325,'AMFI DATA_2023H2'!F:L,'AMFI DATA_2023H2'!L:L)</f>
        <v>359</v>
      </c>
      <c r="B325" s="4" t="s">
        <v>1083</v>
      </c>
      <c r="C325" s="4" t="s">
        <v>1084</v>
      </c>
      <c r="D325" s="5" t="s">
        <v>1085</v>
      </c>
      <c r="E325" s="5">
        <v>11943.91</v>
      </c>
      <c r="F325" s="6">
        <f>LOOKUP(D325,'AMFI DATA_2023H2'!F:J,'AMFI DATA_2023H2'!J:J)</f>
        <v>12186.80445</v>
      </c>
      <c r="G325" s="7">
        <f t="shared" si="2"/>
        <v>0.27318035368984694</v>
      </c>
      <c r="H325" s="8">
        <v>15516</v>
      </c>
      <c r="I325" s="8">
        <v>16093</v>
      </c>
      <c r="J325" s="8">
        <v>16095</v>
      </c>
      <c r="K325" s="8">
        <v>15816</v>
      </c>
      <c r="L325" s="8">
        <v>15839</v>
      </c>
      <c r="M325" s="8">
        <v>15533</v>
      </c>
      <c r="N325" s="8">
        <v>15882</v>
      </c>
      <c r="O325" s="8">
        <v>15258</v>
      </c>
      <c r="P325" s="8">
        <v>15456</v>
      </c>
      <c r="Q325" s="8">
        <v>14975</v>
      </c>
      <c r="R325" s="7">
        <f t="shared" si="3"/>
        <v>0.28387224593564397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4.4" hidden="1">
      <c r="A326" s="3">
        <f>LOOKUP(D326,'AMFI DATA_2023H2'!F:L,'AMFI DATA_2023H2'!L:L)</f>
        <v>1452</v>
      </c>
      <c r="B326" s="4" t="s">
        <v>3866</v>
      </c>
      <c r="C326" s="4" t="s">
        <v>3867</v>
      </c>
      <c r="D326" s="5" t="s">
        <v>3868</v>
      </c>
      <c r="E326" s="5">
        <v>397.76</v>
      </c>
      <c r="F326" s="6">
        <f>LOOKUP(D326,'AMFI DATA_2023H2'!F:J,'AMFI DATA_2023H2'!J:J)</f>
        <v>574.04755</v>
      </c>
      <c r="G326" s="7">
        <f t="shared" si="2"/>
        <v>0.41800100009136876</v>
      </c>
      <c r="H326" s="9">
        <v>814</v>
      </c>
      <c r="I326" s="9">
        <v>771</v>
      </c>
      <c r="J326" s="9">
        <v>768</v>
      </c>
      <c r="K326" s="9">
        <v>741</v>
      </c>
      <c r="L326" s="9">
        <v>747</v>
      </c>
      <c r="M326" s="9">
        <v>706</v>
      </c>
      <c r="N326" s="9">
        <v>715</v>
      </c>
      <c r="O326" s="9">
        <v>727</v>
      </c>
      <c r="P326" s="9">
        <v>734</v>
      </c>
      <c r="Q326" s="9">
        <v>740</v>
      </c>
      <c r="R326" s="7">
        <f t="shared" si="3"/>
        <v>0.30006651887983837</v>
      </c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4.4" hidden="1">
      <c r="A327" s="3">
        <f>LOOKUP(D327,'AMFI DATA_2023H2'!F:L,'AMFI DATA_2023H2'!L:L)</f>
        <v>1217</v>
      </c>
      <c r="B327" s="4" t="s">
        <v>3395</v>
      </c>
      <c r="C327" s="4" t="s">
        <v>3396</v>
      </c>
      <c r="D327" s="5" t="s">
        <v>3397</v>
      </c>
      <c r="E327" s="5">
        <v>989.35</v>
      </c>
      <c r="F327" s="6">
        <f>LOOKUP(D327,'AMFI DATA_2023H2'!F:J,'AMFI DATA_2023H2'!J:J)</f>
        <v>1003.8422</v>
      </c>
      <c r="G327" s="7">
        <f t="shared" si="2"/>
        <v>9.0808894067214929E-2</v>
      </c>
      <c r="H327" s="8">
        <v>1095</v>
      </c>
      <c r="I327" s="8">
        <v>1106</v>
      </c>
      <c r="J327" s="8">
        <v>1101</v>
      </c>
      <c r="K327" s="8">
        <v>1093</v>
      </c>
      <c r="L327" s="8">
        <v>1084</v>
      </c>
      <c r="M327" s="8">
        <v>1073</v>
      </c>
      <c r="N327" s="8">
        <v>1082</v>
      </c>
      <c r="O327" s="8">
        <v>1101</v>
      </c>
      <c r="P327" s="8">
        <v>1108</v>
      </c>
      <c r="Q327" s="8">
        <v>1025</v>
      </c>
      <c r="R327" s="7">
        <f t="shared" si="3"/>
        <v>8.2640279518035653E-2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4.4" hidden="1">
      <c r="A328" s="3">
        <f>LOOKUP(D328,'AMFI DATA_2023H2'!F:L,'AMFI DATA_2023H2'!L:L)</f>
        <v>1499</v>
      </c>
      <c r="B328" s="4" t="s">
        <v>3962</v>
      </c>
      <c r="C328" s="4" t="s">
        <v>3963</v>
      </c>
      <c r="D328" s="5" t="s">
        <v>3964</v>
      </c>
      <c r="E328" s="5">
        <v>399.58</v>
      </c>
      <c r="F328" s="6">
        <f>LOOKUP(D328,'AMFI DATA_2023H2'!F:J,'AMFI DATA_2023H2'!J:J)</f>
        <v>510.23384999999996</v>
      </c>
      <c r="G328" s="7">
        <f t="shared" si="2"/>
        <v>7.5977221033061593E-2</v>
      </c>
      <c r="H328" s="9">
        <v>549</v>
      </c>
      <c r="I328" s="9">
        <v>538</v>
      </c>
      <c r="J328" s="9">
        <v>533</v>
      </c>
      <c r="K328" s="9">
        <v>541</v>
      </c>
      <c r="L328" s="9">
        <v>535</v>
      </c>
      <c r="M328" s="9">
        <v>524</v>
      </c>
      <c r="N328" s="9">
        <v>528</v>
      </c>
      <c r="O328" s="9">
        <v>544</v>
      </c>
      <c r="P328" s="9">
        <v>545</v>
      </c>
      <c r="Q328" s="9">
        <v>544</v>
      </c>
      <c r="R328" s="7">
        <f t="shared" si="3"/>
        <v>5.4614467464281446E-2</v>
      </c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4.4" hidden="1">
      <c r="A329" s="3">
        <f>LOOKUP(D329,'AMFI DATA_2023H2'!F:L,'AMFI DATA_2023H2'!L:L)</f>
        <v>497</v>
      </c>
      <c r="B329" s="4" t="s">
        <v>1476</v>
      </c>
      <c r="C329" s="4" t="s">
        <v>1477</v>
      </c>
      <c r="D329" s="5" t="s">
        <v>1478</v>
      </c>
      <c r="E329" s="5">
        <v>6713.78</v>
      </c>
      <c r="F329" s="6">
        <f>LOOKUP(D329,'AMFI DATA_2023H2'!F:J,'AMFI DATA_2023H2'!J:J)</f>
        <v>7402.7695000000003</v>
      </c>
      <c r="G329" s="7">
        <f t="shared" si="2"/>
        <v>0.10310067063414574</v>
      </c>
      <c r="H329" s="8">
        <v>8166</v>
      </c>
      <c r="I329" s="8">
        <v>8174</v>
      </c>
      <c r="J329" s="8">
        <v>8047</v>
      </c>
      <c r="K329" s="8">
        <v>7939</v>
      </c>
      <c r="L329" s="8">
        <v>7720</v>
      </c>
      <c r="M329" s="8">
        <v>7893</v>
      </c>
      <c r="N329" s="8">
        <v>7981</v>
      </c>
      <c r="O329" s="8">
        <v>7915</v>
      </c>
      <c r="P329" s="8">
        <v>7951</v>
      </c>
      <c r="Q329" s="8">
        <v>8111</v>
      </c>
      <c r="R329" s="7">
        <f t="shared" si="3"/>
        <v>7.9285259388395035E-2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4.4" hidden="1">
      <c r="A330" s="3">
        <f>LOOKUP(D330,'AMFI DATA_2023H2'!F:L,'AMFI DATA_2023H2'!L:L)</f>
        <v>482</v>
      </c>
      <c r="B330" s="4" t="s">
        <v>1431</v>
      </c>
      <c r="C330" s="4" t="s">
        <v>1432</v>
      </c>
      <c r="D330" s="5" t="s">
        <v>1433</v>
      </c>
      <c r="E330" s="5">
        <v>4207.1499999999996</v>
      </c>
      <c r="F330" s="6">
        <f>LOOKUP(D330,'AMFI DATA_2023H2'!F:J,'AMFI DATA_2023H2'!J:J)</f>
        <v>7715.12435</v>
      </c>
      <c r="G330" s="7">
        <f t="shared" si="2"/>
        <v>0.3927189650546592</v>
      </c>
      <c r="H330" s="8">
        <v>10745</v>
      </c>
      <c r="I330" s="8">
        <v>10625</v>
      </c>
      <c r="J330" s="8">
        <v>10755</v>
      </c>
      <c r="K330" s="8">
        <v>10565</v>
      </c>
      <c r="L330" s="8">
        <v>10487</v>
      </c>
      <c r="M330" s="8">
        <v>10364</v>
      </c>
      <c r="N330" s="8">
        <v>10585</v>
      </c>
      <c r="O330" s="8">
        <v>10164</v>
      </c>
      <c r="P330" s="8">
        <v>10150</v>
      </c>
      <c r="Q330" s="8">
        <v>10277</v>
      </c>
      <c r="R330" s="7">
        <f t="shared" si="3"/>
        <v>0.35729503828412046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4.4" hidden="1">
      <c r="A331" s="3">
        <f>LOOKUP(D331,'AMFI DATA_2023H2'!F:L,'AMFI DATA_2023H2'!L:L)</f>
        <v>1333</v>
      </c>
      <c r="B331" s="4" t="s">
        <v>3638</v>
      </c>
      <c r="C331" s="4" t="s">
        <v>3639</v>
      </c>
      <c r="D331" s="5" t="s">
        <v>3640</v>
      </c>
      <c r="E331" s="5">
        <v>669.7</v>
      </c>
      <c r="F331" s="6">
        <f>LOOKUP(D331,'AMFI DATA_2023H2'!F:J,'AMFI DATA_2023H2'!J:J)</f>
        <v>746.21215000000007</v>
      </c>
      <c r="G331" s="7">
        <f t="shared" si="2"/>
        <v>0.1524872651832323</v>
      </c>
      <c r="H331" s="9">
        <v>860</v>
      </c>
      <c r="I331" s="9">
        <v>871</v>
      </c>
      <c r="J331" s="9">
        <v>858</v>
      </c>
      <c r="K331" s="9">
        <v>871</v>
      </c>
      <c r="L331" s="9">
        <v>864</v>
      </c>
      <c r="M331" s="9">
        <v>867</v>
      </c>
      <c r="N331" s="9">
        <v>859</v>
      </c>
      <c r="O331" s="9">
        <v>867</v>
      </c>
      <c r="P331" s="9">
        <v>857</v>
      </c>
      <c r="Q331" s="9">
        <v>840</v>
      </c>
      <c r="R331" s="7">
        <f t="shared" si="3"/>
        <v>0.15436340724283282</v>
      </c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4.4" hidden="1">
      <c r="A332" s="3">
        <f>LOOKUP(D332,'AMFI DATA_2023H2'!F:L,'AMFI DATA_2023H2'!L:L)</f>
        <v>688</v>
      </c>
      <c r="B332" s="4" t="s">
        <v>2016</v>
      </c>
      <c r="C332" s="4" t="s">
        <v>2017</v>
      </c>
      <c r="D332" s="5" t="s">
        <v>2018</v>
      </c>
      <c r="E332" s="5">
        <v>3029.8</v>
      </c>
      <c r="F332" s="6">
        <f>LOOKUP(D332,'AMFI DATA_2023H2'!F:J,'AMFI DATA_2023H2'!J:J)</f>
        <v>3992.94065</v>
      </c>
      <c r="G332" s="7">
        <f t="shared" si="2"/>
        <v>0.19761359338010687</v>
      </c>
      <c r="H332" s="8">
        <v>4782</v>
      </c>
      <c r="I332" s="8">
        <v>4753</v>
      </c>
      <c r="J332" s="8">
        <v>4694</v>
      </c>
      <c r="K332" s="8">
        <v>4584</v>
      </c>
      <c r="L332" s="8">
        <v>4661</v>
      </c>
      <c r="M332" s="8">
        <v>4580</v>
      </c>
      <c r="N332" s="8">
        <v>4543</v>
      </c>
      <c r="O332" s="8">
        <v>4430</v>
      </c>
      <c r="P332" s="8">
        <v>4385</v>
      </c>
      <c r="Q332" s="8">
        <v>4343</v>
      </c>
      <c r="R332" s="7">
        <f t="shared" si="3"/>
        <v>0.14589732256601406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4.4" hidden="1">
      <c r="A333" s="3">
        <f>LOOKUP(D333,'AMFI DATA_2023H2'!F:L,'AMFI DATA_2023H2'!L:L)</f>
        <v>271</v>
      </c>
      <c r="B333" s="4" t="s">
        <v>822</v>
      </c>
      <c r="C333" s="4" t="s">
        <v>823</v>
      </c>
      <c r="D333" s="5" t="s">
        <v>824</v>
      </c>
      <c r="E333" s="5">
        <v>12502.68</v>
      </c>
      <c r="F333" s="6">
        <f>LOOKUP(D333,'AMFI DATA_2023H2'!F:J,'AMFI DATA_2023H2'!J:J)</f>
        <v>19432.021049999999</v>
      </c>
      <c r="G333" s="7">
        <f t="shared" si="2"/>
        <v>5.0421389390169491E-3</v>
      </c>
      <c r="H333" s="8">
        <v>19530</v>
      </c>
      <c r="I333" s="8">
        <v>19579</v>
      </c>
      <c r="J333" s="8">
        <v>18947</v>
      </c>
      <c r="K333" s="8">
        <v>18872</v>
      </c>
      <c r="L333" s="8">
        <v>19149</v>
      </c>
      <c r="M333" s="8">
        <v>19530</v>
      </c>
      <c r="N333" s="8">
        <v>19005</v>
      </c>
      <c r="O333" s="8">
        <v>18897</v>
      </c>
      <c r="P333" s="8">
        <v>18958</v>
      </c>
      <c r="Q333" s="8">
        <v>19241</v>
      </c>
      <c r="R333" s="7">
        <f t="shared" si="3"/>
        <v>-1.3442814276901971E-2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4.4" hidden="1">
      <c r="A334" s="3">
        <f>LOOKUP(D334,'AMFI DATA_2023H2'!F:L,'AMFI DATA_2023H2'!L:L)</f>
        <v>62</v>
      </c>
      <c r="B334" s="4" t="s">
        <v>195</v>
      </c>
      <c r="C334" s="4" t="s">
        <v>196</v>
      </c>
      <c r="D334" s="5" t="s">
        <v>197</v>
      </c>
      <c r="E334" s="5">
        <v>70890.12</v>
      </c>
      <c r="F334" s="6">
        <f>LOOKUP(D334,'AMFI DATA_2023H2'!F:J,'AMFI DATA_2023H2'!J:J)</f>
        <v>95521.390050000002</v>
      </c>
      <c r="G334" s="7">
        <f t="shared" si="2"/>
        <v>0.10508232705518505</v>
      </c>
      <c r="H334" s="8">
        <v>105559</v>
      </c>
      <c r="I334" s="8">
        <v>108926</v>
      </c>
      <c r="J334" s="8">
        <v>104307</v>
      </c>
      <c r="K334" s="8">
        <v>102443</v>
      </c>
      <c r="L334" s="8">
        <v>102804</v>
      </c>
      <c r="M334" s="8">
        <v>105882</v>
      </c>
      <c r="N334" s="8">
        <v>103757</v>
      </c>
      <c r="O334" s="8">
        <v>105382</v>
      </c>
      <c r="P334" s="8">
        <v>104599</v>
      </c>
      <c r="Q334" s="8">
        <v>105019</v>
      </c>
      <c r="R334" s="7">
        <f t="shared" si="3"/>
        <v>9.7846251453288957E-2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4.4" hidden="1">
      <c r="A335" s="3">
        <f>LOOKUP(D335,'AMFI DATA_2023H2'!F:L,'AMFI DATA_2023H2'!L:L)</f>
        <v>282</v>
      </c>
      <c r="B335" s="4" t="s">
        <v>855</v>
      </c>
      <c r="C335" s="4" t="s">
        <v>856</v>
      </c>
      <c r="D335" s="5" t="s">
        <v>857</v>
      </c>
      <c r="E335" s="5">
        <v>15563.82</v>
      </c>
      <c r="F335" s="6">
        <f>LOOKUP(D335,'AMFI DATA_2023H2'!F:J,'AMFI DATA_2023H2'!J:J)</f>
        <v>18561.374449999999</v>
      </c>
      <c r="G335" s="7">
        <f t="shared" si="2"/>
        <v>-9.0712274812170257E-3</v>
      </c>
      <c r="H335" s="8">
        <v>18393</v>
      </c>
      <c r="I335" s="8">
        <v>18488</v>
      </c>
      <c r="J335" s="8">
        <v>18521</v>
      </c>
      <c r="K335" s="8">
        <v>18568</v>
      </c>
      <c r="L335" s="8">
        <v>18818</v>
      </c>
      <c r="M335" s="8">
        <v>17855</v>
      </c>
      <c r="N335" s="8">
        <v>18073</v>
      </c>
      <c r="O335" s="8">
        <v>17891</v>
      </c>
      <c r="P335" s="8">
        <v>17980</v>
      </c>
      <c r="Q335" s="8">
        <v>18137</v>
      </c>
      <c r="R335" s="7">
        <f t="shared" si="3"/>
        <v>-1.556859115031739E-2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4.4" hidden="1">
      <c r="A336" s="3">
        <f>LOOKUP(D336,'AMFI DATA_2023H2'!F:L,'AMFI DATA_2023H2'!L:L)</f>
        <v>853</v>
      </c>
      <c r="B336" s="4" t="s">
        <v>2474</v>
      </c>
      <c r="C336" s="4" t="s">
        <v>2475</v>
      </c>
      <c r="D336" s="5" t="s">
        <v>2476</v>
      </c>
      <c r="E336" s="5">
        <v>2058.81</v>
      </c>
      <c r="F336" s="6">
        <f>LOOKUP(D336,'AMFI DATA_2023H2'!F:J,'AMFI DATA_2023H2'!J:J)</f>
        <v>2502.5965500000002</v>
      </c>
      <c r="G336" s="7">
        <f t="shared" si="2"/>
        <v>0.15879645083023863</v>
      </c>
      <c r="H336" s="8">
        <v>2900</v>
      </c>
      <c r="I336" s="8">
        <v>2839</v>
      </c>
      <c r="J336" s="8">
        <v>2878</v>
      </c>
      <c r="K336" s="8">
        <v>2872</v>
      </c>
      <c r="L336" s="8">
        <v>2899</v>
      </c>
      <c r="M336" s="8">
        <v>2925</v>
      </c>
      <c r="N336" s="8">
        <v>2944</v>
      </c>
      <c r="O336" s="8">
        <v>2970</v>
      </c>
      <c r="P336" s="8">
        <v>3025</v>
      </c>
      <c r="Q336" s="8">
        <v>3073</v>
      </c>
      <c r="R336" s="7">
        <f t="shared" si="3"/>
        <v>0.17178296277919824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4.4" hidden="1">
      <c r="A337" s="3">
        <f>LOOKUP(D337,'AMFI DATA_2023H2'!F:L,'AMFI DATA_2023H2'!L:L)</f>
        <v>1667</v>
      </c>
      <c r="B337" s="4" t="s">
        <v>4271</v>
      </c>
      <c r="C337" s="4" t="s">
        <v>4272</v>
      </c>
      <c r="D337" s="5" t="s">
        <v>4273</v>
      </c>
      <c r="E337" s="5">
        <v>306.23</v>
      </c>
      <c r="F337" s="6">
        <f>LOOKUP(D337,'AMFI DATA_2023H2'!F:J,'AMFI DATA_2023H2'!J:J)</f>
        <v>353.22314999999998</v>
      </c>
      <c r="G337" s="7">
        <f t="shared" si="2"/>
        <v>0.28813754138141867</v>
      </c>
      <c r="H337" s="9">
        <v>455</v>
      </c>
      <c r="I337" s="9">
        <v>452</v>
      </c>
      <c r="J337" s="9">
        <v>461</v>
      </c>
      <c r="K337" s="9">
        <v>460</v>
      </c>
      <c r="L337" s="9">
        <v>451</v>
      </c>
      <c r="M337" s="9">
        <v>442</v>
      </c>
      <c r="N337" s="9">
        <v>448</v>
      </c>
      <c r="O337" s="9">
        <v>449</v>
      </c>
      <c r="P337" s="9">
        <v>439</v>
      </c>
      <c r="Q337" s="9">
        <v>443</v>
      </c>
      <c r="R337" s="7">
        <f t="shared" si="3"/>
        <v>0.27398218378382055</v>
      </c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4.4" hidden="1">
      <c r="A338" s="3">
        <f>LOOKUP(D338,'AMFI DATA_2023H2'!F:L,'AMFI DATA_2023H2'!L:L)</f>
        <v>2434</v>
      </c>
      <c r="B338" s="4" t="s">
        <v>5242</v>
      </c>
      <c r="C338" s="4" t="s">
        <v>5243</v>
      </c>
      <c r="D338" s="5" t="s">
        <v>5244</v>
      </c>
      <c r="E338" s="5">
        <v>68.64</v>
      </c>
      <c r="F338" s="6">
        <f>LOOKUP(D338,'AMFI DATA_2023H2'!F:J,'AMFI DATA_2023H2'!J:J)</f>
        <v>92.060450000000003</v>
      </c>
      <c r="G338" s="7">
        <f t="shared" si="2"/>
        <v>0.11883007306612114</v>
      </c>
      <c r="H338" s="9">
        <v>103</v>
      </c>
      <c r="I338" s="9">
        <v>103</v>
      </c>
      <c r="J338" s="9">
        <v>100</v>
      </c>
      <c r="K338" s="9">
        <v>103</v>
      </c>
      <c r="L338" s="9">
        <v>102</v>
      </c>
      <c r="M338" s="9">
        <v>97.1</v>
      </c>
      <c r="N338" s="9">
        <v>95</v>
      </c>
      <c r="O338" s="9">
        <v>97.7</v>
      </c>
      <c r="P338" s="9">
        <v>98.5</v>
      </c>
      <c r="Q338" s="9">
        <v>98.5</v>
      </c>
      <c r="R338" s="7">
        <f t="shared" si="3"/>
        <v>8.3853055247937514E-2</v>
      </c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4.4" hidden="1">
      <c r="A339" s="3">
        <f>LOOKUP(D339,'AMFI DATA_2023H2'!F:L,'AMFI DATA_2023H2'!L:L)</f>
        <v>61</v>
      </c>
      <c r="B339" s="4" t="s">
        <v>192</v>
      </c>
      <c r="C339" s="4" t="s">
        <v>193</v>
      </c>
      <c r="D339" s="5" t="s">
        <v>194</v>
      </c>
      <c r="E339" s="5">
        <v>77782.45</v>
      </c>
      <c r="F339" s="6">
        <f>LOOKUP(D339,'AMFI DATA_2023H2'!F:J,'AMFI DATA_2023H2'!J:J)</f>
        <v>95823.534050000002</v>
      </c>
      <c r="G339" s="7">
        <f t="shared" si="2"/>
        <v>8.3940401799447173E-2</v>
      </c>
      <c r="H339" s="8">
        <v>103867</v>
      </c>
      <c r="I339" s="8">
        <v>104685</v>
      </c>
      <c r="J339" s="8">
        <v>104935</v>
      </c>
      <c r="K339" s="8">
        <v>103466</v>
      </c>
      <c r="L339" s="8">
        <v>101004</v>
      </c>
      <c r="M339" s="8">
        <v>100656</v>
      </c>
      <c r="N339" s="8">
        <v>101758</v>
      </c>
      <c r="O339" s="8">
        <v>100067</v>
      </c>
      <c r="P339" s="8">
        <v>100531</v>
      </c>
      <c r="Q339" s="8">
        <v>99756</v>
      </c>
      <c r="R339" s="7">
        <f t="shared" si="3"/>
        <v>6.521326949535533E-2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4.4" hidden="1">
      <c r="A340" s="3">
        <f>LOOKUP(D340,'AMFI DATA_2023H2'!F:L,'AMFI DATA_2023H2'!L:L)</f>
        <v>402</v>
      </c>
      <c r="B340" s="4" t="s">
        <v>1212</v>
      </c>
      <c r="C340" s="4" t="s">
        <v>1213</v>
      </c>
      <c r="D340" s="5" t="s">
        <v>1214</v>
      </c>
      <c r="E340" s="5">
        <v>10308.049999999999</v>
      </c>
      <c r="F340" s="6">
        <f>LOOKUP(D340,'AMFI DATA_2023H2'!F:J,'AMFI DATA_2023H2'!J:J)</f>
        <v>10097.772349999999</v>
      </c>
      <c r="G340" s="7">
        <f t="shared" si="2"/>
        <v>0.12262384287164108</v>
      </c>
      <c r="H340" s="8">
        <v>11336</v>
      </c>
      <c r="I340" s="8">
        <v>11395</v>
      </c>
      <c r="J340" s="8">
        <v>11332</v>
      </c>
      <c r="K340" s="8">
        <v>11221</v>
      </c>
      <c r="L340" s="8">
        <v>11276</v>
      </c>
      <c r="M340" s="8">
        <v>11021</v>
      </c>
      <c r="N340" s="8">
        <v>11017</v>
      </c>
      <c r="O340" s="8">
        <v>10958</v>
      </c>
      <c r="P340" s="8">
        <v>11024</v>
      </c>
      <c r="Q340" s="8">
        <v>10847</v>
      </c>
      <c r="R340" s="7">
        <f t="shared" si="3"/>
        <v>0.10348100687772011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4.4" hidden="1">
      <c r="A341" s="3">
        <f>LOOKUP(D341,'AMFI DATA_2023H2'!F:L,'AMFI DATA_2023H2'!L:L)</f>
        <v>1578</v>
      </c>
      <c r="B341" s="4" t="s">
        <v>4106</v>
      </c>
      <c r="C341" s="4" t="s">
        <v>4107</v>
      </c>
      <c r="D341" s="5" t="s">
        <v>4108</v>
      </c>
      <c r="E341" s="5">
        <v>327.43</v>
      </c>
      <c r="F341" s="6">
        <f>LOOKUP(D341,'AMFI DATA_2023H2'!F:J,'AMFI DATA_2023H2'!J:J)</f>
        <v>429.99519999999995</v>
      </c>
      <c r="G341" s="7">
        <f t="shared" si="2"/>
        <v>0.33954983683538797</v>
      </c>
      <c r="H341" s="9">
        <v>576</v>
      </c>
      <c r="I341" s="9">
        <v>580</v>
      </c>
      <c r="J341" s="9">
        <v>591</v>
      </c>
      <c r="K341" s="9">
        <v>619</v>
      </c>
      <c r="L341" s="9">
        <v>545</v>
      </c>
      <c r="M341" s="9">
        <v>558</v>
      </c>
      <c r="N341" s="9">
        <v>567</v>
      </c>
      <c r="O341" s="9">
        <v>576</v>
      </c>
      <c r="P341" s="9">
        <v>585</v>
      </c>
      <c r="Q341" s="9">
        <v>579</v>
      </c>
      <c r="R341" s="7">
        <f t="shared" si="3"/>
        <v>0.34327080860437542</v>
      </c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4.4" hidden="1">
      <c r="A342" s="3">
        <f>LOOKUP(D342,'AMFI DATA_2023H2'!F:L,'AMFI DATA_2023H2'!L:L)</f>
        <v>316</v>
      </c>
      <c r="B342" s="4" t="s">
        <v>957</v>
      </c>
      <c r="C342" s="4" t="s">
        <v>958</v>
      </c>
      <c r="D342" s="5" t="s">
        <v>959</v>
      </c>
      <c r="E342" s="5">
        <v>15073.34</v>
      </c>
      <c r="F342" s="6">
        <f>LOOKUP(D342,'AMFI DATA_2023H2'!F:J,'AMFI DATA_2023H2'!J:J)</f>
        <v>14776.260450000002</v>
      </c>
      <c r="G342" s="7">
        <f t="shared" si="2"/>
        <v>0.13005587959841347</v>
      </c>
      <c r="H342" s="8">
        <v>16698</v>
      </c>
      <c r="I342" s="8">
        <v>16660</v>
      </c>
      <c r="J342" s="8">
        <v>16686</v>
      </c>
      <c r="K342" s="8">
        <v>16731</v>
      </c>
      <c r="L342" s="8">
        <v>16907</v>
      </c>
      <c r="M342" s="8">
        <v>16459</v>
      </c>
      <c r="N342" s="8">
        <v>16356</v>
      </c>
      <c r="O342" s="8">
        <v>16421</v>
      </c>
      <c r="P342" s="8">
        <v>16388</v>
      </c>
      <c r="Q342" s="8">
        <v>16118</v>
      </c>
      <c r="R342" s="7">
        <f t="shared" si="3"/>
        <v>0.11952547506700184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4.4" hidden="1">
      <c r="A343" s="3">
        <f>LOOKUP(D343,'AMFI DATA_2023H2'!F:L,'AMFI DATA_2023H2'!L:L)</f>
        <v>580</v>
      </c>
      <c r="B343" s="4" t="s">
        <v>1713</v>
      </c>
      <c r="C343" s="4" t="s">
        <v>1714</v>
      </c>
      <c r="D343" s="5" t="s">
        <v>1715</v>
      </c>
      <c r="E343" s="5">
        <v>4691.92</v>
      </c>
      <c r="F343" s="6">
        <f>LOOKUP(D343,'AMFI DATA_2023H2'!F:J,'AMFI DATA_2023H2'!J:J)</f>
        <v>5822.7356500000005</v>
      </c>
      <c r="G343" s="7">
        <f t="shared" si="2"/>
        <v>1.9280344626326773E-2</v>
      </c>
      <c r="H343" s="8">
        <v>5935</v>
      </c>
      <c r="I343" s="8">
        <v>5938</v>
      </c>
      <c r="J343" s="8">
        <v>5940</v>
      </c>
      <c r="K343" s="8">
        <v>5952</v>
      </c>
      <c r="L343" s="8">
        <v>5973</v>
      </c>
      <c r="M343" s="8">
        <v>5988</v>
      </c>
      <c r="N343" s="8">
        <v>5819</v>
      </c>
      <c r="O343" s="8">
        <v>5911</v>
      </c>
      <c r="P343" s="8">
        <v>5951</v>
      </c>
      <c r="Q343" s="8">
        <v>6041</v>
      </c>
      <c r="R343" s="7">
        <f t="shared" si="3"/>
        <v>2.0963402314168267E-2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4.4" hidden="1">
      <c r="A344" s="3">
        <f>LOOKUP(D344,'AMFI DATA_2023H2'!F:L,'AMFI DATA_2023H2'!L:L)</f>
        <v>33</v>
      </c>
      <c r="B344" s="4" t="s">
        <v>105</v>
      </c>
      <c r="C344" s="4" t="s">
        <v>106</v>
      </c>
      <c r="D344" s="5" t="s">
        <v>107</v>
      </c>
      <c r="E344" s="5">
        <v>138621.73000000001</v>
      </c>
      <c r="F344" s="6">
        <f>LOOKUP(D344,'AMFI DATA_2023H2'!F:J,'AMFI DATA_2023H2'!J:J)</f>
        <v>177195.5833</v>
      </c>
      <c r="G344" s="7">
        <f t="shared" si="2"/>
        <v>0.33673760704847089</v>
      </c>
      <c r="H344" s="8">
        <v>236864</v>
      </c>
      <c r="I344" s="8">
        <v>237111</v>
      </c>
      <c r="J344" s="8">
        <v>237019</v>
      </c>
      <c r="K344" s="8">
        <v>242134</v>
      </c>
      <c r="L344" s="8">
        <v>235293</v>
      </c>
      <c r="M344" s="8">
        <v>231688</v>
      </c>
      <c r="N344" s="8">
        <v>234708</v>
      </c>
      <c r="O344" s="8">
        <v>225248</v>
      </c>
      <c r="P344" s="8">
        <v>225618</v>
      </c>
      <c r="Q344" s="8">
        <v>223861</v>
      </c>
      <c r="R344" s="7">
        <f t="shared" si="3"/>
        <v>0.31467385169300655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4.4" hidden="1">
      <c r="A345" s="3">
        <f>LOOKUP(D345,'AMFI DATA_2023H2'!F:L,'AMFI DATA_2023H2'!L:L)</f>
        <v>1708</v>
      </c>
      <c r="B345" s="4" t="s">
        <v>4349</v>
      </c>
      <c r="C345" s="4" t="s">
        <v>4350</v>
      </c>
      <c r="D345" s="5" t="s">
        <v>4351</v>
      </c>
      <c r="E345" s="5">
        <v>264.22000000000003</v>
      </c>
      <c r="F345" s="6">
        <f>LOOKUP(D345,'AMFI DATA_2023H2'!F:J,'AMFI DATA_2023H2'!J:J)</f>
        <v>327.4547</v>
      </c>
      <c r="G345" s="7">
        <f t="shared" si="2"/>
        <v>0.28262016089553765</v>
      </c>
      <c r="H345" s="9">
        <v>420</v>
      </c>
      <c r="I345" s="9">
        <v>427</v>
      </c>
      <c r="J345" s="9">
        <v>391</v>
      </c>
      <c r="K345" s="9">
        <v>376</v>
      </c>
      <c r="L345" s="9">
        <v>376</v>
      </c>
      <c r="M345" s="9">
        <v>348</v>
      </c>
      <c r="N345" s="9">
        <v>346</v>
      </c>
      <c r="O345" s="9">
        <v>353</v>
      </c>
      <c r="P345" s="9">
        <v>358</v>
      </c>
      <c r="Q345" s="9">
        <v>352</v>
      </c>
      <c r="R345" s="7">
        <f t="shared" si="3"/>
        <v>0.14428041497037603</v>
      </c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4.4" hidden="1">
      <c r="A346" s="3">
        <f>LOOKUP(D346,'AMFI DATA_2023H2'!F:L,'AMFI DATA_2023H2'!L:L)</f>
        <v>346</v>
      </c>
      <c r="B346" s="4" t="s">
        <v>1047</v>
      </c>
      <c r="C346" s="4" t="s">
        <v>1048</v>
      </c>
      <c r="D346" s="5" t="s">
        <v>1049</v>
      </c>
      <c r="E346" s="5">
        <v>6606.96</v>
      </c>
      <c r="F346" s="6">
        <f>LOOKUP(D346,'AMFI DATA_2023H2'!F:J,'AMFI DATA_2023H2'!J:J)</f>
        <v>12688.0702</v>
      </c>
      <c r="G346" s="7">
        <f t="shared" si="2"/>
        <v>0.41101047817342629</v>
      </c>
      <c r="H346" s="8">
        <v>17903</v>
      </c>
      <c r="I346" s="8">
        <v>17932</v>
      </c>
      <c r="J346" s="8">
        <v>17788</v>
      </c>
      <c r="K346" s="8">
        <v>17800</v>
      </c>
      <c r="L346" s="8">
        <v>17927</v>
      </c>
      <c r="M346" s="8">
        <v>17805</v>
      </c>
      <c r="N346" s="8">
        <v>17690</v>
      </c>
      <c r="O346" s="8">
        <v>17880</v>
      </c>
      <c r="P346" s="8">
        <v>18063</v>
      </c>
      <c r="Q346" s="8">
        <v>17119</v>
      </c>
      <c r="R346" s="7">
        <f t="shared" si="3"/>
        <v>0.40215964441936958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4.4" hidden="1">
      <c r="A347" s="3">
        <f>LOOKUP(D347,'AMFI DATA_2023H2'!F:L,'AMFI DATA_2023H2'!L:L)</f>
        <v>1224</v>
      </c>
      <c r="B347" s="4" t="s">
        <v>3407</v>
      </c>
      <c r="C347" s="4" t="s">
        <v>3408</v>
      </c>
      <c r="D347" s="5" t="s">
        <v>3409</v>
      </c>
      <c r="E347" s="5">
        <v>785.28</v>
      </c>
      <c r="F347" s="6">
        <f>LOOKUP(D347,'AMFI DATA_2023H2'!F:J,'AMFI DATA_2023H2'!J:J)</f>
        <v>985.98185000000001</v>
      </c>
      <c r="G347" s="7">
        <f t="shared" si="2"/>
        <v>0.31746847064172634</v>
      </c>
      <c r="H347" s="8">
        <v>1299</v>
      </c>
      <c r="I347" s="8">
        <v>1344</v>
      </c>
      <c r="J347" s="8">
        <v>1339</v>
      </c>
      <c r="K347" s="8">
        <v>1350</v>
      </c>
      <c r="L347" s="8">
        <v>1374</v>
      </c>
      <c r="M347" s="8">
        <v>1353</v>
      </c>
      <c r="N347" s="8">
        <v>1340</v>
      </c>
      <c r="O347" s="8">
        <v>1393</v>
      </c>
      <c r="P347" s="8">
        <v>1353</v>
      </c>
      <c r="Q347" s="8">
        <v>1388</v>
      </c>
      <c r="R347" s="7">
        <f t="shared" si="3"/>
        <v>0.37254047830596471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4.4" hidden="1">
      <c r="A348" s="3">
        <f>LOOKUP(D348,'AMFI DATA_2023H2'!F:L,'AMFI DATA_2023H2'!L:L)</f>
        <v>193</v>
      </c>
      <c r="B348" s="4" t="s">
        <v>588</v>
      </c>
      <c r="C348" s="4" t="s">
        <v>589</v>
      </c>
      <c r="D348" s="5" t="s">
        <v>590</v>
      </c>
      <c r="E348" s="5">
        <v>25549.81</v>
      </c>
      <c r="F348" s="6">
        <f>LOOKUP(D348,'AMFI DATA_2023H2'!F:J,'AMFI DATA_2023H2'!J:J)</f>
        <v>32339.996749999998</v>
      </c>
      <c r="G348" s="7">
        <f t="shared" si="2"/>
        <v>0.16026604115227694</v>
      </c>
      <c r="H348" s="8">
        <v>37523</v>
      </c>
      <c r="I348" s="8">
        <v>36768</v>
      </c>
      <c r="J348" s="8">
        <v>36608</v>
      </c>
      <c r="K348" s="8">
        <v>37231</v>
      </c>
      <c r="L348" s="8">
        <v>38173</v>
      </c>
      <c r="M348" s="8">
        <v>38699</v>
      </c>
      <c r="N348" s="8">
        <v>38681</v>
      </c>
      <c r="O348" s="8">
        <v>38848</v>
      </c>
      <c r="P348" s="8">
        <v>38711</v>
      </c>
      <c r="Q348" s="8">
        <v>38791</v>
      </c>
      <c r="R348" s="7">
        <f t="shared" si="3"/>
        <v>0.17511761963921679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4.4">
      <c r="A349" s="3">
        <f>LOOKUP(D349,'AMFI DATA_2023H2'!F:L,'AMFI DATA_2023H2'!L:L)</f>
        <v>113</v>
      </c>
      <c r="B349" s="4" t="s">
        <v>351</v>
      </c>
      <c r="C349" s="4" t="s">
        <v>352</v>
      </c>
      <c r="D349" s="5" t="s">
        <v>353</v>
      </c>
      <c r="E349" s="5">
        <v>41955.5</v>
      </c>
      <c r="F349" s="6">
        <f>LOOKUP(D349,'AMFI DATA_2023H2'!F:J,'AMFI DATA_2023H2'!J:J)</f>
        <v>56061.301200000002</v>
      </c>
      <c r="G349" s="7">
        <f t="shared" si="2"/>
        <v>0.21993244066907236</v>
      </c>
      <c r="H349" s="8">
        <v>68391</v>
      </c>
      <c r="I349" s="8">
        <v>68063</v>
      </c>
      <c r="J349" s="8">
        <v>67817</v>
      </c>
      <c r="K349" s="8">
        <v>68067</v>
      </c>
      <c r="L349" s="8">
        <v>67618</v>
      </c>
      <c r="M349" s="8">
        <v>68804</v>
      </c>
      <c r="N349" s="8">
        <v>68781</v>
      </c>
      <c r="O349" s="8">
        <v>66866</v>
      </c>
      <c r="P349" s="8">
        <v>66819</v>
      </c>
      <c r="Q349" s="8">
        <v>65457</v>
      </c>
      <c r="R349" s="14">
        <f t="shared" si="3"/>
        <v>0.20704119511232477</v>
      </c>
      <c r="S349" s="8"/>
      <c r="T349" s="8">
        <v>2520</v>
      </c>
      <c r="U349" s="15">
        <f ca="1">IFERROR(__xludf.DUMMYFUNCTION("GOOGLEFINANCE(C349,""PRICE"")"),2550)</f>
        <v>2550</v>
      </c>
      <c r="V349" s="13" t="s">
        <v>5787</v>
      </c>
      <c r="W349" s="7">
        <f ca="1">U349/T349-1</f>
        <v>1.1904761904761862E-2</v>
      </c>
      <c r="X349" s="8"/>
      <c r="Y349" s="8"/>
      <c r="Z349" s="8"/>
      <c r="AA349" s="8"/>
      <c r="AB349" s="8"/>
    </row>
    <row r="350" spans="1:28" ht="14.4" hidden="1">
      <c r="A350" s="3">
        <f>LOOKUP(D350,'AMFI DATA_2023H2'!F:L,'AMFI DATA_2023H2'!L:L)</f>
        <v>2384</v>
      </c>
      <c r="B350" s="4" t="s">
        <v>5198</v>
      </c>
      <c r="C350" s="4" t="s">
        <v>5199</v>
      </c>
      <c r="D350" s="5" t="s">
        <v>5200</v>
      </c>
      <c r="E350" s="5">
        <v>132.55000000000001</v>
      </c>
      <c r="F350" s="6">
        <f>LOOKUP(D350,'AMFI DATA_2023H2'!F:J,'AMFI DATA_2023H2'!J:J)</f>
        <v>99.798050000000003</v>
      </c>
      <c r="G350" s="7">
        <f t="shared" si="2"/>
        <v>-0.20038517786670185</v>
      </c>
      <c r="H350" s="9">
        <v>79.8</v>
      </c>
      <c r="I350" s="9">
        <v>77.599999999999994</v>
      </c>
      <c r="J350" s="9">
        <v>76.3</v>
      </c>
      <c r="K350" s="9">
        <v>76.5</v>
      </c>
      <c r="L350" s="9">
        <v>75.900000000000006</v>
      </c>
      <c r="M350" s="9">
        <v>76.2</v>
      </c>
      <c r="N350" s="9">
        <v>73.8</v>
      </c>
      <c r="O350" s="9">
        <v>76.8</v>
      </c>
      <c r="P350" s="9">
        <v>78.099999999999994</v>
      </c>
      <c r="Q350" s="9">
        <v>78.5</v>
      </c>
      <c r="R350" s="7">
        <f t="shared" si="3"/>
        <v>-0.22894285008574822</v>
      </c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4.4" hidden="1">
      <c r="A351" s="3">
        <f>LOOKUP(D351,'AMFI DATA_2023H2'!F:L,'AMFI DATA_2023H2'!L:L)</f>
        <v>1996</v>
      </c>
      <c r="B351" s="4" t="s">
        <v>4733</v>
      </c>
      <c r="C351" s="4" t="s">
        <v>4734</v>
      </c>
      <c r="D351" s="5" t="s">
        <v>4735</v>
      </c>
      <c r="E351" s="5">
        <v>147.25</v>
      </c>
      <c r="F351" s="6">
        <f>LOOKUP(D351,'AMFI DATA_2023H2'!F:J,'AMFI DATA_2023H2'!J:J)</f>
        <v>190.15445</v>
      </c>
      <c r="G351" s="7">
        <f t="shared" si="2"/>
        <v>0.37256845685178552</v>
      </c>
      <c r="H351" s="9">
        <v>261</v>
      </c>
      <c r="I351" s="9">
        <v>258</v>
      </c>
      <c r="J351" s="9">
        <v>247</v>
      </c>
      <c r="K351" s="9">
        <v>245</v>
      </c>
      <c r="L351" s="9">
        <v>245</v>
      </c>
      <c r="M351" s="9">
        <v>240</v>
      </c>
      <c r="N351" s="9">
        <v>241</v>
      </c>
      <c r="O351" s="9">
        <v>241</v>
      </c>
      <c r="P351" s="9">
        <v>245</v>
      </c>
      <c r="Q351" s="9">
        <v>247</v>
      </c>
      <c r="R351" s="7">
        <f t="shared" si="3"/>
        <v>0.29894409518157472</v>
      </c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4.4" hidden="1">
      <c r="A352" s="3">
        <f>LOOKUP(D352,'AMFI DATA_2023H2'!F:L,'AMFI DATA_2023H2'!L:L)</f>
        <v>358</v>
      </c>
      <c r="B352" s="4" t="s">
        <v>1080</v>
      </c>
      <c r="C352" s="4" t="s">
        <v>1081</v>
      </c>
      <c r="D352" s="5" t="s">
        <v>1082</v>
      </c>
      <c r="E352" s="5">
        <v>10719.15</v>
      </c>
      <c r="F352" s="6">
        <f>LOOKUP(D352,'AMFI DATA_2023H2'!F:J,'AMFI DATA_2023H2'!J:J)</f>
        <v>12252.791150000001</v>
      </c>
      <c r="G352" s="7">
        <f t="shared" si="2"/>
        <v>0.10187138870803314</v>
      </c>
      <c r="H352" s="8">
        <v>13501</v>
      </c>
      <c r="I352" s="8">
        <v>13310</v>
      </c>
      <c r="J352" s="8">
        <v>13040</v>
      </c>
      <c r="K352" s="8">
        <v>13122</v>
      </c>
      <c r="L352" s="8">
        <v>12997</v>
      </c>
      <c r="M352" s="8">
        <v>13035</v>
      </c>
      <c r="N352" s="8">
        <v>13084</v>
      </c>
      <c r="O352" s="8">
        <v>13069</v>
      </c>
      <c r="P352" s="8">
        <v>13055</v>
      </c>
      <c r="Q352" s="8">
        <v>13162</v>
      </c>
      <c r="R352" s="7">
        <f t="shared" si="3"/>
        <v>7.2204678849847159E-2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4.4" hidden="1">
      <c r="A353" s="3">
        <f>LOOKUP(D353,'AMFI DATA_2023H2'!F:L,'AMFI DATA_2023H2'!L:L)</f>
        <v>357</v>
      </c>
      <c r="B353" s="4" t="s">
        <v>1077</v>
      </c>
      <c r="C353" s="4" t="s">
        <v>1078</v>
      </c>
      <c r="D353" s="5" t="s">
        <v>1079</v>
      </c>
      <c r="E353" s="5">
        <v>38709.919999999998</v>
      </c>
      <c r="F353" s="6">
        <f>LOOKUP(D353,'AMFI DATA_2023H2'!F:J,'AMFI DATA_2023H2'!J:J)</f>
        <v>12258.715</v>
      </c>
      <c r="G353" s="7">
        <f t="shared" si="2"/>
        <v>0.32273243973777022</v>
      </c>
      <c r="H353" s="8">
        <v>16215</v>
      </c>
      <c r="I353" s="8">
        <v>16192</v>
      </c>
      <c r="J353" s="8">
        <v>16244</v>
      </c>
      <c r="K353" s="8">
        <v>15815</v>
      </c>
      <c r="L353" s="8">
        <v>15477</v>
      </c>
      <c r="M353" s="8">
        <v>15477</v>
      </c>
      <c r="N353" s="8">
        <v>15164</v>
      </c>
      <c r="O353" s="8">
        <v>15520</v>
      </c>
      <c r="P353" s="8">
        <v>15742</v>
      </c>
      <c r="Q353" s="8">
        <v>15742</v>
      </c>
      <c r="R353" s="7">
        <f t="shared" si="3"/>
        <v>0.28551809875668033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4.4" hidden="1">
      <c r="A354" s="3">
        <f>LOOKUP(D354,'AMFI DATA_2023H2'!F:L,'AMFI DATA_2023H2'!L:L)</f>
        <v>865</v>
      </c>
      <c r="B354" s="4" t="s">
        <v>2507</v>
      </c>
      <c r="C354" s="4" t="s">
        <v>2508</v>
      </c>
      <c r="D354" s="5" t="s">
        <v>2509</v>
      </c>
      <c r="E354" s="5">
        <v>1883.92</v>
      </c>
      <c r="F354" s="6">
        <f>LOOKUP(D354,'AMFI DATA_2023H2'!F:J,'AMFI DATA_2023H2'!J:J)</f>
        <v>2411.2927</v>
      </c>
      <c r="G354" s="7">
        <f t="shared" si="2"/>
        <v>5.6279895012330883E-2</v>
      </c>
      <c r="H354" s="8">
        <v>2547</v>
      </c>
      <c r="I354" s="8">
        <v>2567</v>
      </c>
      <c r="J354" s="8">
        <v>2535</v>
      </c>
      <c r="K354" s="8">
        <v>2544</v>
      </c>
      <c r="L354" s="8">
        <v>2568</v>
      </c>
      <c r="M354" s="8">
        <v>2590</v>
      </c>
      <c r="N354" s="8">
        <v>2602</v>
      </c>
      <c r="O354" s="8">
        <v>2615</v>
      </c>
      <c r="P354" s="8">
        <v>2626</v>
      </c>
      <c r="Q354" s="8">
        <v>2613</v>
      </c>
      <c r="R354" s="7">
        <f t="shared" si="3"/>
        <v>7.0255800965183468E-2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4.4" hidden="1">
      <c r="A355" s="3">
        <f>LOOKUP(D355,'AMFI DATA_2023H2'!F:L,'AMFI DATA_2023H2'!L:L)</f>
        <v>1451</v>
      </c>
      <c r="B355" s="4" t="s">
        <v>3863</v>
      </c>
      <c r="C355" s="4" t="s">
        <v>3864</v>
      </c>
      <c r="D355" s="5" t="s">
        <v>3865</v>
      </c>
      <c r="E355" s="5">
        <v>397.26</v>
      </c>
      <c r="F355" s="6">
        <f>LOOKUP(D355,'AMFI DATA_2023H2'!F:J,'AMFI DATA_2023H2'!J:J)</f>
        <v>574.2192</v>
      </c>
      <c r="G355" s="7">
        <f t="shared" si="2"/>
        <v>0.81637952893250532</v>
      </c>
      <c r="H355" s="8">
        <v>1043</v>
      </c>
      <c r="I355" s="8">
        <v>1036</v>
      </c>
      <c r="J355" s="8">
        <v>1046</v>
      </c>
      <c r="K355" s="8">
        <v>1040</v>
      </c>
      <c r="L355" s="8">
        <v>1067</v>
      </c>
      <c r="M355" s="8">
        <v>1061</v>
      </c>
      <c r="N355" s="8">
        <v>1073</v>
      </c>
      <c r="O355" s="8">
        <v>1074</v>
      </c>
      <c r="P355" s="8">
        <v>1074</v>
      </c>
      <c r="Q355" s="8">
        <v>1065</v>
      </c>
      <c r="R355" s="7">
        <f t="shared" si="3"/>
        <v>0.84232780791725537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4.4" hidden="1">
      <c r="A356" s="3">
        <f>LOOKUP(D356,'AMFI DATA_2023H2'!F:L,'AMFI DATA_2023H2'!L:L)</f>
        <v>150</v>
      </c>
      <c r="B356" s="4" t="s">
        <v>459</v>
      </c>
      <c r="C356" s="4" t="s">
        <v>460</v>
      </c>
      <c r="D356" s="5" t="s">
        <v>461</v>
      </c>
      <c r="E356" s="5">
        <v>38709.919999999998</v>
      </c>
      <c r="F356" s="6">
        <f>LOOKUP(D356,'AMFI DATA_2023H2'!F:J,'AMFI DATA_2023H2'!J:J)</f>
        <v>44179.258199999997</v>
      </c>
      <c r="G356" s="7">
        <f t="shared" si="2"/>
        <v>0.23557982238823572</v>
      </c>
      <c r="H356" s="8">
        <v>54587</v>
      </c>
      <c r="I356" s="8">
        <v>55647</v>
      </c>
      <c r="J356" s="8">
        <v>53670</v>
      </c>
      <c r="K356" s="8">
        <v>53597</v>
      </c>
      <c r="L356" s="8">
        <v>52369</v>
      </c>
      <c r="M356" s="8">
        <v>52369</v>
      </c>
      <c r="N356" s="8">
        <v>52198</v>
      </c>
      <c r="O356" s="8">
        <v>51038</v>
      </c>
      <c r="P356" s="8">
        <v>51238</v>
      </c>
      <c r="Q356" s="8">
        <v>50718</v>
      </c>
      <c r="R356" s="7">
        <f t="shared" si="3"/>
        <v>0.19384304193681556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4.4" hidden="1">
      <c r="A357" s="3">
        <f>LOOKUP(D357,'AMFI DATA_2023H2'!F:L,'AMFI DATA_2023H2'!L:L)</f>
        <v>1116</v>
      </c>
      <c r="B357" s="4" t="s">
        <v>3152</v>
      </c>
      <c r="C357" s="4" t="s">
        <v>3153</v>
      </c>
      <c r="D357" s="5" t="s">
        <v>3154</v>
      </c>
      <c r="E357" s="5">
        <v>863.79</v>
      </c>
      <c r="F357" s="6">
        <f>LOOKUP(D357,'AMFI DATA_2023H2'!F:J,'AMFI DATA_2023H2'!J:J)</f>
        <v>1290.7788500000001</v>
      </c>
      <c r="G357" s="7">
        <f t="shared" si="2"/>
        <v>0.27907270869831802</v>
      </c>
      <c r="H357" s="8">
        <v>1651</v>
      </c>
      <c r="I357" s="8">
        <v>1661</v>
      </c>
      <c r="J357" s="8">
        <v>1699</v>
      </c>
      <c r="K357" s="8">
        <v>1665</v>
      </c>
      <c r="L357" s="8">
        <v>1657</v>
      </c>
      <c r="M357" s="8">
        <v>1602</v>
      </c>
      <c r="N357" s="8">
        <v>1622</v>
      </c>
      <c r="O357" s="8">
        <v>1608</v>
      </c>
      <c r="P357" s="8">
        <v>1604</v>
      </c>
      <c r="Q357" s="8">
        <v>1603</v>
      </c>
      <c r="R357" s="7">
        <f t="shared" si="3"/>
        <v>0.26838148920707816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4.4" hidden="1">
      <c r="A358" s="3">
        <f>LOOKUP(D358,'AMFI DATA_2023H2'!F:L,'AMFI DATA_2023H2'!L:L)</f>
        <v>2058</v>
      </c>
      <c r="B358" s="4" t="s">
        <v>4817</v>
      </c>
      <c r="C358" s="4" t="s">
        <v>4818</v>
      </c>
      <c r="D358" s="5" t="s">
        <v>4819</v>
      </c>
      <c r="E358" s="5">
        <v>132.47999999999999</v>
      </c>
      <c r="F358" s="6">
        <f>LOOKUP(D358,'AMFI DATA_2023H2'!F:J,'AMFI DATA_2023H2'!J:J)</f>
        <v>171.72154999999998</v>
      </c>
      <c r="G358" s="7">
        <f t="shared" si="2"/>
        <v>0.48496213783302111</v>
      </c>
      <c r="H358" s="9">
        <v>255</v>
      </c>
      <c r="I358" s="9">
        <v>238</v>
      </c>
      <c r="J358" s="9">
        <v>238</v>
      </c>
      <c r="K358" s="9">
        <v>238</v>
      </c>
      <c r="L358" s="9">
        <v>242</v>
      </c>
      <c r="M358" s="9">
        <v>236</v>
      </c>
      <c r="N358" s="9">
        <v>240</v>
      </c>
      <c r="O358" s="9">
        <v>244</v>
      </c>
      <c r="P358" s="9">
        <v>255</v>
      </c>
      <c r="Q358" s="9">
        <v>251</v>
      </c>
      <c r="R358" s="7">
        <f t="shared" si="3"/>
        <v>0.41915793329375384</v>
      </c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4.4" hidden="1">
      <c r="A359" s="3">
        <f>LOOKUP(D359,'AMFI DATA_2023H2'!F:L,'AMFI DATA_2023H2'!L:L)</f>
        <v>2195</v>
      </c>
      <c r="B359" s="4" t="s">
        <v>5009</v>
      </c>
      <c r="C359" s="4" t="s">
        <v>5010</v>
      </c>
      <c r="D359" s="5" t="s">
        <v>5011</v>
      </c>
      <c r="E359" s="5">
        <v>98.91</v>
      </c>
      <c r="F359" s="6">
        <f>LOOKUP(D359,'AMFI DATA_2023H2'!F:J,'AMFI DATA_2023H2'!J:J)</f>
        <v>134.18969999999999</v>
      </c>
      <c r="G359" s="7">
        <f t="shared" si="2"/>
        <v>0.12527265505474716</v>
      </c>
      <c r="H359" s="9">
        <v>151</v>
      </c>
      <c r="I359" s="9">
        <v>149</v>
      </c>
      <c r="J359" s="9">
        <v>150</v>
      </c>
      <c r="K359" s="9">
        <v>148</v>
      </c>
      <c r="L359" s="9">
        <v>146</v>
      </c>
      <c r="M359" s="9">
        <v>146</v>
      </c>
      <c r="N359" s="9">
        <v>145</v>
      </c>
      <c r="O359" s="9">
        <v>147</v>
      </c>
      <c r="P359" s="9">
        <v>148</v>
      </c>
      <c r="Q359" s="9">
        <v>146</v>
      </c>
      <c r="R359" s="7">
        <f t="shared" si="3"/>
        <v>9.9935389974044275E-2</v>
      </c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4.4" hidden="1">
      <c r="A360" s="3">
        <f>LOOKUP(D360,'AMFI DATA_2023H2'!F:L,'AMFI DATA_2023H2'!L:L)</f>
        <v>192</v>
      </c>
      <c r="B360" s="4" t="s">
        <v>585</v>
      </c>
      <c r="C360" s="4" t="s">
        <v>586</v>
      </c>
      <c r="D360" s="5" t="s">
        <v>587</v>
      </c>
      <c r="E360" s="5">
        <v>26930.95</v>
      </c>
      <c r="F360" s="6">
        <f>LOOKUP(D360,'AMFI DATA_2023H2'!F:J,'AMFI DATA_2023H2'!J:J)</f>
        <v>32449.4542</v>
      </c>
      <c r="G360" s="7">
        <f t="shared" si="2"/>
        <v>0.13040422109780825</v>
      </c>
      <c r="H360" s="8">
        <v>36681</v>
      </c>
      <c r="I360" s="8">
        <v>36943</v>
      </c>
      <c r="J360" s="8">
        <v>36764</v>
      </c>
      <c r="K360" s="8">
        <v>36237</v>
      </c>
      <c r="L360" s="8">
        <v>36731</v>
      </c>
      <c r="M360" s="8">
        <v>36849</v>
      </c>
      <c r="N360" s="8">
        <v>36485</v>
      </c>
      <c r="O360" s="8">
        <v>36705</v>
      </c>
      <c r="P360" s="8">
        <v>37219</v>
      </c>
      <c r="Q360" s="8">
        <v>36242</v>
      </c>
      <c r="R360" s="7">
        <f t="shared" si="3"/>
        <v>0.13054598003069029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4.4" hidden="1">
      <c r="A361" s="3">
        <f>LOOKUP(D361,'AMFI DATA_2023H2'!F:L,'AMFI DATA_2023H2'!L:L)</f>
        <v>1002</v>
      </c>
      <c r="B361" s="4" t="s">
        <v>2867</v>
      </c>
      <c r="C361" s="4" t="s">
        <v>2868</v>
      </c>
      <c r="D361" s="5" t="s">
        <v>2869</v>
      </c>
      <c r="E361" s="5">
        <v>1768.87</v>
      </c>
      <c r="F361" s="6">
        <f>LOOKUP(D361,'AMFI DATA_2023H2'!F:J,'AMFI DATA_2023H2'!J:J)</f>
        <v>1708.1377</v>
      </c>
      <c r="G361" s="7">
        <f t="shared" si="2"/>
        <v>-5.3355007620287331E-2</v>
      </c>
      <c r="H361" s="8">
        <v>1617</v>
      </c>
      <c r="I361" s="8">
        <v>1610</v>
      </c>
      <c r="J361" s="8">
        <v>1625</v>
      </c>
      <c r="K361" s="8">
        <v>1638</v>
      </c>
      <c r="L361" s="8">
        <v>1636</v>
      </c>
      <c r="M361" s="8">
        <v>1604</v>
      </c>
      <c r="N361" s="8">
        <v>1601</v>
      </c>
      <c r="O361" s="8">
        <v>1614</v>
      </c>
      <c r="P361" s="8">
        <v>1595</v>
      </c>
      <c r="Q361" s="8">
        <v>1590</v>
      </c>
      <c r="R361" s="7">
        <f t="shared" si="3"/>
        <v>-5.5696739203168422E-2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4.4" hidden="1">
      <c r="A362" s="3">
        <f>LOOKUP(D362,'AMFI DATA_2023H2'!F:L,'AMFI DATA_2023H2'!L:L)</f>
        <v>2114</v>
      </c>
      <c r="B362" s="4" t="s">
        <v>4901</v>
      </c>
      <c r="C362" s="4" t="s">
        <v>4902</v>
      </c>
      <c r="D362" s="5" t="s">
        <v>4903</v>
      </c>
      <c r="E362" s="5">
        <v>118.56</v>
      </c>
      <c r="F362" s="6">
        <f>LOOKUP(D362,'AMFI DATA_2023H2'!F:J,'AMFI DATA_2023H2'!J:J)</f>
        <v>154.47435000000002</v>
      </c>
      <c r="G362" s="7">
        <f t="shared" si="2"/>
        <v>0.68960089490585319</v>
      </c>
      <c r="H362" s="9">
        <v>261</v>
      </c>
      <c r="I362" s="9">
        <v>256</v>
      </c>
      <c r="J362" s="9">
        <v>234</v>
      </c>
      <c r="K362" s="9">
        <v>234</v>
      </c>
      <c r="L362" s="9">
        <v>234</v>
      </c>
      <c r="M362" s="9">
        <v>225</v>
      </c>
      <c r="N362" s="9">
        <v>226</v>
      </c>
      <c r="O362" s="9">
        <v>224</v>
      </c>
      <c r="P362" s="9">
        <v>227</v>
      </c>
      <c r="Q362" s="9">
        <v>228</v>
      </c>
      <c r="R362" s="7">
        <f t="shared" si="3"/>
        <v>0.5206408054152678</v>
      </c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4.4" hidden="1">
      <c r="A363" s="3">
        <f>LOOKUP(D363,'AMFI DATA_2023H2'!F:L,'AMFI DATA_2023H2'!L:L)</f>
        <v>3046</v>
      </c>
      <c r="B363" s="4" t="s">
        <v>5563</v>
      </c>
      <c r="C363" s="4" t="s">
        <v>5564</v>
      </c>
      <c r="D363" s="5" t="s">
        <v>5565</v>
      </c>
      <c r="E363" s="5">
        <v>31.98</v>
      </c>
      <c r="F363" s="6">
        <f>LOOKUP(D363,'AMFI DATA_2023H2'!F:J,'AMFI DATA_2023H2'!J:J)</f>
        <v>35.238</v>
      </c>
      <c r="G363" s="7">
        <f t="shared" si="2"/>
        <v>0.31959816107611094</v>
      </c>
      <c r="H363" s="9">
        <v>46.5</v>
      </c>
      <c r="I363" s="9">
        <v>44.6</v>
      </c>
      <c r="J363" s="9">
        <v>42.6</v>
      </c>
      <c r="K363" s="9">
        <v>40.6</v>
      </c>
      <c r="L363" s="9">
        <v>41.1</v>
      </c>
      <c r="M363" s="9">
        <v>41.7</v>
      </c>
      <c r="N363" s="9">
        <v>42.3</v>
      </c>
      <c r="O363" s="9">
        <v>42.3</v>
      </c>
      <c r="P363" s="9">
        <v>41.2</v>
      </c>
      <c r="Q363" s="9">
        <v>39.6</v>
      </c>
      <c r="R363" s="7">
        <f t="shared" si="3"/>
        <v>0.19898972699926221</v>
      </c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4.4" hidden="1">
      <c r="A364" s="3">
        <f>LOOKUP(D364,'AMFI DATA_2023H2'!F:L,'AMFI DATA_2023H2'!L:L)</f>
        <v>401</v>
      </c>
      <c r="B364" s="4" t="s">
        <v>1209</v>
      </c>
      <c r="C364" s="4" t="s">
        <v>1210</v>
      </c>
      <c r="D364" s="5" t="s">
        <v>1211</v>
      </c>
      <c r="E364" s="5">
        <v>7196.94</v>
      </c>
      <c r="F364" s="6">
        <f>LOOKUP(D364,'AMFI DATA_2023H2'!F:J,'AMFI DATA_2023H2'!J:J)</f>
        <v>10107.304049999999</v>
      </c>
      <c r="G364" s="7">
        <f t="shared" si="2"/>
        <v>4.4986867690004928E-2</v>
      </c>
      <c r="H364" s="8">
        <v>10562</v>
      </c>
      <c r="I364" s="8">
        <v>10691</v>
      </c>
      <c r="J364" s="8">
        <v>10877</v>
      </c>
      <c r="K364" s="8">
        <v>11060</v>
      </c>
      <c r="L364" s="8">
        <v>11281</v>
      </c>
      <c r="M364" s="8">
        <v>11406</v>
      </c>
      <c r="N364" s="8">
        <v>11262</v>
      </c>
      <c r="O364" s="8">
        <v>11236</v>
      </c>
      <c r="P364" s="8">
        <v>11380</v>
      </c>
      <c r="Q364" s="8">
        <v>11471</v>
      </c>
      <c r="R364" s="7">
        <f t="shared" si="3"/>
        <v>0.10045170749563059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4.4" hidden="1">
      <c r="A365" s="3">
        <f>LOOKUP(D365,'AMFI DATA_2023H2'!F:L,'AMFI DATA_2023H2'!L:L)</f>
        <v>4067</v>
      </c>
      <c r="B365" s="4" t="s">
        <v>5761</v>
      </c>
      <c r="C365" s="4" t="s">
        <v>5762</v>
      </c>
      <c r="D365" s="5" t="s">
        <v>5763</v>
      </c>
      <c r="E365" s="5">
        <v>8.6199999999999992</v>
      </c>
      <c r="F365" s="6">
        <f>LOOKUP(D365,'AMFI DATA_2023H2'!F:J,'AMFI DATA_2023H2'!J:J)</f>
        <v>7.6763000000000003</v>
      </c>
      <c r="G365" s="7">
        <f t="shared" si="2"/>
        <v>0.20240219897606915</v>
      </c>
      <c r="H365" s="9">
        <v>9.23</v>
      </c>
      <c r="I365" s="9">
        <v>9.0299999999999994</v>
      </c>
      <c r="J365" s="9">
        <v>9.3699999999999992</v>
      </c>
      <c r="K365" s="9">
        <v>8.33</v>
      </c>
      <c r="L365" s="9">
        <v>8.7200000000000006</v>
      </c>
      <c r="M365" s="9">
        <v>8.02</v>
      </c>
      <c r="N365" s="9">
        <v>8.6300000000000008</v>
      </c>
      <c r="O365" s="9">
        <v>8.82</v>
      </c>
      <c r="P365" s="9">
        <v>8.33</v>
      </c>
      <c r="Q365" s="9">
        <v>8.43</v>
      </c>
      <c r="R365" s="7">
        <f t="shared" si="3"/>
        <v>0.13218607923087933</v>
      </c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4.4" hidden="1">
      <c r="A366" s="3">
        <f>LOOKUP(D366,'AMFI DATA_2023H2'!F:L,'AMFI DATA_2023H2'!L:L)</f>
        <v>1300</v>
      </c>
      <c r="B366" s="4" t="s">
        <v>3572</v>
      </c>
      <c r="C366" s="4" t="s">
        <v>3573</v>
      </c>
      <c r="D366" s="5" t="s">
        <v>3574</v>
      </c>
      <c r="E366" s="5">
        <v>568.46</v>
      </c>
      <c r="F366" s="6">
        <f>LOOKUP(D366,'AMFI DATA_2023H2'!F:J,'AMFI DATA_2023H2'!J:J)</f>
        <v>804.50170000000003</v>
      </c>
      <c r="G366" s="7">
        <f t="shared" si="2"/>
        <v>0.43069927633465532</v>
      </c>
      <c r="H366" s="8">
        <v>1151</v>
      </c>
      <c r="I366" s="8">
        <v>1171</v>
      </c>
      <c r="J366" s="8">
        <v>1179</v>
      </c>
      <c r="K366" s="8">
        <v>1172</v>
      </c>
      <c r="L366" s="8">
        <v>1149</v>
      </c>
      <c r="M366" s="8">
        <v>1062</v>
      </c>
      <c r="N366" s="8">
        <v>999</v>
      </c>
      <c r="O366" s="8">
        <v>1004</v>
      </c>
      <c r="P366" s="8">
        <v>1026</v>
      </c>
      <c r="Q366" s="8">
        <v>1040</v>
      </c>
      <c r="R366" s="7">
        <f t="shared" si="3"/>
        <v>0.36146387260586255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4.4" hidden="1">
      <c r="A367" s="3">
        <f>LOOKUP(D367,'AMFI DATA_2023H2'!F:L,'AMFI DATA_2023H2'!L:L)</f>
        <v>239</v>
      </c>
      <c r="B367" s="4" t="s">
        <v>726</v>
      </c>
      <c r="C367" s="4" t="s">
        <v>727</v>
      </c>
      <c r="D367" s="5" t="s">
        <v>728</v>
      </c>
      <c r="E367" s="5">
        <v>15994.88</v>
      </c>
      <c r="F367" s="6">
        <f>LOOKUP(D367,'AMFI DATA_2023H2'!F:J,'AMFI DATA_2023H2'!J:J)</f>
        <v>23548.480499999998</v>
      </c>
      <c r="G367" s="7">
        <f t="shared" si="2"/>
        <v>0.16878029561185492</v>
      </c>
      <c r="H367" s="8">
        <v>27523</v>
      </c>
      <c r="I367" s="8">
        <v>25400</v>
      </c>
      <c r="J367" s="8">
        <v>25234</v>
      </c>
      <c r="K367" s="8">
        <v>25071</v>
      </c>
      <c r="L367" s="8">
        <v>25375</v>
      </c>
      <c r="M367" s="8">
        <v>25405</v>
      </c>
      <c r="N367" s="8">
        <v>25258</v>
      </c>
      <c r="O367" s="8">
        <v>25509</v>
      </c>
      <c r="P367" s="8">
        <v>25691</v>
      </c>
      <c r="Q367" s="8">
        <v>25906</v>
      </c>
      <c r="R367" s="7">
        <f t="shared" si="3"/>
        <v>8.8698695442366304E-2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4.4" hidden="1">
      <c r="A368" s="3">
        <f>LOOKUP(D368,'AMFI DATA_2023H2'!F:L,'AMFI DATA_2023H2'!L:L)</f>
        <v>1349</v>
      </c>
      <c r="B368" s="4" t="s">
        <v>3662</v>
      </c>
      <c r="C368" s="4" t="s">
        <v>3663</v>
      </c>
      <c r="D368" s="5" t="s">
        <v>3664</v>
      </c>
      <c r="E368" s="5">
        <v>506.94</v>
      </c>
      <c r="F368" s="6">
        <f>LOOKUP(D368,'AMFI DATA_2023H2'!F:J,'AMFI DATA_2023H2'!J:J)</f>
        <v>726.52139999999997</v>
      </c>
      <c r="G368" s="7">
        <f t="shared" si="2"/>
        <v>0.22088626708036418</v>
      </c>
      <c r="H368" s="9">
        <v>887</v>
      </c>
      <c r="I368" s="9">
        <v>861</v>
      </c>
      <c r="J368" s="9">
        <v>848</v>
      </c>
      <c r="K368" s="9">
        <v>847</v>
      </c>
      <c r="L368" s="9">
        <v>846</v>
      </c>
      <c r="M368" s="9">
        <v>820</v>
      </c>
      <c r="N368" s="9">
        <v>842</v>
      </c>
      <c r="O368" s="9">
        <v>829</v>
      </c>
      <c r="P368" s="9">
        <v>852</v>
      </c>
      <c r="Q368" s="9">
        <v>857</v>
      </c>
      <c r="R368" s="7">
        <f t="shared" si="3"/>
        <v>0.16844459089573971</v>
      </c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4.4" hidden="1">
      <c r="A369" s="3">
        <f>LOOKUP(D369,'AMFI DATA_2023H2'!F:L,'AMFI DATA_2023H2'!L:L)</f>
        <v>209</v>
      </c>
      <c r="B369" s="4" t="s">
        <v>636</v>
      </c>
      <c r="C369" s="4" t="s">
        <v>637</v>
      </c>
      <c r="D369" s="5" t="s">
        <v>638</v>
      </c>
      <c r="E369" s="5">
        <v>24715.11</v>
      </c>
      <c r="F369" s="6">
        <f>LOOKUP(D369,'AMFI DATA_2023H2'!F:J,'AMFI DATA_2023H2'!J:J)</f>
        <v>29341.130799999999</v>
      </c>
      <c r="G369" s="7">
        <f t="shared" si="2"/>
        <v>2.6817957541023008E-2</v>
      </c>
      <c r="H369" s="8">
        <v>30128</v>
      </c>
      <c r="I369" s="8">
        <v>30343</v>
      </c>
      <c r="J369" s="8">
        <v>30334</v>
      </c>
      <c r="K369" s="8">
        <v>30855</v>
      </c>
      <c r="L369" s="8">
        <v>31271</v>
      </c>
      <c r="M369" s="8">
        <v>31728</v>
      </c>
      <c r="N369" s="8">
        <v>31178</v>
      </c>
      <c r="O369" s="8">
        <v>31586</v>
      </c>
      <c r="P369" s="8">
        <v>32108</v>
      </c>
      <c r="Q369" s="8">
        <v>31830</v>
      </c>
      <c r="R369" s="7">
        <f t="shared" si="3"/>
        <v>6.1175869881606504E-2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4.4" hidden="1">
      <c r="A370" s="3">
        <f>LOOKUP(D370,'AMFI DATA_2023H2'!F:L,'AMFI DATA_2023H2'!L:L)</f>
        <v>278</v>
      </c>
      <c r="B370" s="4" t="s">
        <v>843</v>
      </c>
      <c r="C370" s="4" t="s">
        <v>844</v>
      </c>
      <c r="D370" s="5" t="s">
        <v>845</v>
      </c>
      <c r="E370" s="5">
        <v>18774.3</v>
      </c>
      <c r="F370" s="6">
        <f>LOOKUP(D370,'AMFI DATA_2023H2'!F:J,'AMFI DATA_2023H2'!J:J)</f>
        <v>18865.494149999999</v>
      </c>
      <c r="G370" s="7">
        <f t="shared" si="2"/>
        <v>7.3865324646160913E-2</v>
      </c>
      <c r="H370" s="8">
        <v>20259</v>
      </c>
      <c r="I370" s="8">
        <v>20333</v>
      </c>
      <c r="J370" s="8">
        <v>20406</v>
      </c>
      <c r="K370" s="8">
        <v>19926</v>
      </c>
      <c r="L370" s="8">
        <v>20093</v>
      </c>
      <c r="M370" s="8">
        <v>19900</v>
      </c>
      <c r="N370" s="8">
        <v>19043</v>
      </c>
      <c r="O370" s="8">
        <v>19206</v>
      </c>
      <c r="P370" s="8">
        <v>19215</v>
      </c>
      <c r="Q370" s="8">
        <v>19321</v>
      </c>
      <c r="R370" s="7">
        <f t="shared" si="3"/>
        <v>4.7955587211586659E-2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4.4" hidden="1">
      <c r="A371" s="3">
        <f>LOOKUP(D371,'AMFI DATA_2023H2'!F:L,'AMFI DATA_2023H2'!L:L)</f>
        <v>2610</v>
      </c>
      <c r="B371" s="4" t="s">
        <v>5383</v>
      </c>
      <c r="C371" s="4" t="s">
        <v>5384</v>
      </c>
      <c r="D371" s="5" t="s">
        <v>5385</v>
      </c>
      <c r="E371" s="5">
        <v>38.340000000000003</v>
      </c>
      <c r="F371" s="6">
        <f>LOOKUP(D371,'AMFI DATA_2023H2'!F:J,'AMFI DATA_2023H2'!J:J)</f>
        <v>67.518900000000002</v>
      </c>
      <c r="G371" s="7">
        <f t="shared" si="2"/>
        <v>0.91057614978917001</v>
      </c>
      <c r="H371" s="9">
        <v>129</v>
      </c>
      <c r="I371" s="9">
        <v>126</v>
      </c>
      <c r="J371" s="9">
        <v>124</v>
      </c>
      <c r="K371" s="9">
        <v>122</v>
      </c>
      <c r="L371" s="9">
        <v>119</v>
      </c>
      <c r="M371" s="9">
        <v>117</v>
      </c>
      <c r="N371" s="9">
        <v>115</v>
      </c>
      <c r="O371" s="9">
        <v>113</v>
      </c>
      <c r="P371" s="9">
        <v>113</v>
      </c>
      <c r="Q371" s="9">
        <v>110</v>
      </c>
      <c r="R371" s="7">
        <f t="shared" si="3"/>
        <v>0.75950733794537517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4.4">
      <c r="A372" s="3">
        <f>LOOKUP(D372,'AMFI DATA_2023H2'!F:L,'AMFI DATA_2023H2'!L:L)</f>
        <v>577</v>
      </c>
      <c r="B372" s="4" t="s">
        <v>1710</v>
      </c>
      <c r="C372" s="4" t="s">
        <v>1711</v>
      </c>
      <c r="D372" s="5" t="s">
        <v>1712</v>
      </c>
      <c r="E372" s="5">
        <v>4505.3599999999997</v>
      </c>
      <c r="F372" s="6">
        <f>LOOKUP(D372,'AMFI DATA_2023H2'!F:J,'AMFI DATA_2023H2'!J:J)</f>
        <v>5883.54025</v>
      </c>
      <c r="G372" s="7">
        <f t="shared" si="2"/>
        <v>0.20063766029305219</v>
      </c>
      <c r="H372" s="8">
        <v>7064</v>
      </c>
      <c r="I372" s="8">
        <v>7099</v>
      </c>
      <c r="J372" s="8">
        <v>7067</v>
      </c>
      <c r="K372" s="8">
        <v>7229</v>
      </c>
      <c r="L372" s="8">
        <v>7246</v>
      </c>
      <c r="M372" s="8">
        <v>7252</v>
      </c>
      <c r="N372" s="8">
        <v>7022</v>
      </c>
      <c r="O372" s="8">
        <v>6953</v>
      </c>
      <c r="P372" s="8">
        <v>6894</v>
      </c>
      <c r="Q372" s="8">
        <v>6882</v>
      </c>
      <c r="R372" s="14">
        <f t="shared" si="3"/>
        <v>0.20179342701020864</v>
      </c>
      <c r="S372" s="8"/>
      <c r="T372" s="8">
        <v>406</v>
      </c>
      <c r="U372" s="15">
        <f ca="1">IFERROR(__xludf.DUMMYFUNCTION("GOOGLEFINANCE(C372,""PRICE"")"),394.2)</f>
        <v>394.2</v>
      </c>
      <c r="V372" s="13" t="s">
        <v>5787</v>
      </c>
      <c r="W372" s="7">
        <f ca="1">U372/T372-1</f>
        <v>-2.9064039408867037E-2</v>
      </c>
      <c r="X372" s="8"/>
      <c r="Y372" s="8"/>
      <c r="Z372" s="8"/>
      <c r="AA372" s="8"/>
      <c r="AB372" s="8"/>
    </row>
    <row r="373" spans="1:28" ht="14.4" hidden="1">
      <c r="A373" s="3">
        <f>LOOKUP(D373,'AMFI DATA_2023H2'!F:L,'AMFI DATA_2023H2'!L:L)</f>
        <v>1311</v>
      </c>
      <c r="B373" s="4" t="s">
        <v>3599</v>
      </c>
      <c r="C373" s="4" t="s">
        <v>3600</v>
      </c>
      <c r="D373" s="5" t="s">
        <v>3601</v>
      </c>
      <c r="E373" s="5">
        <v>488.36</v>
      </c>
      <c r="F373" s="6">
        <f>LOOKUP(D373,'AMFI DATA_2023H2'!F:J,'AMFI DATA_2023H2'!J:J)</f>
        <v>791.13549999999998</v>
      </c>
      <c r="G373" s="7">
        <f t="shared" si="2"/>
        <v>0.28423007183977966</v>
      </c>
      <c r="H373" s="8">
        <v>1016</v>
      </c>
      <c r="I373" s="8">
        <v>1025</v>
      </c>
      <c r="J373" s="8">
        <v>1013</v>
      </c>
      <c r="K373" s="8">
        <v>1019</v>
      </c>
      <c r="L373" s="8">
        <v>1030</v>
      </c>
      <c r="M373" s="8">
        <v>1032</v>
      </c>
      <c r="N373" s="8">
        <v>1045</v>
      </c>
      <c r="O373" s="8">
        <v>1042</v>
      </c>
      <c r="P373" s="8">
        <v>1050</v>
      </c>
      <c r="Q373" s="8">
        <v>1030</v>
      </c>
      <c r="R373" s="7">
        <f t="shared" si="3"/>
        <v>0.30217895670210737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4.4" hidden="1">
      <c r="A374" s="3">
        <f>LOOKUP(D374,'AMFI DATA_2023H2'!F:L,'AMFI DATA_2023H2'!L:L)</f>
        <v>2590</v>
      </c>
      <c r="B374" s="4" t="s">
        <v>5374</v>
      </c>
      <c r="C374" s="4" t="s">
        <v>5375</v>
      </c>
      <c r="D374" s="5" t="s">
        <v>5376</v>
      </c>
      <c r="E374" s="5">
        <v>50.1</v>
      </c>
      <c r="F374" s="6">
        <f>LOOKUP(D374,'AMFI DATA_2023H2'!F:J,'AMFI DATA_2023H2'!J:J)</f>
        <v>70.360500000000002</v>
      </c>
      <c r="G374" s="7">
        <f t="shared" si="2"/>
        <v>0.24075297929946493</v>
      </c>
      <c r="H374" s="9">
        <v>87.3</v>
      </c>
      <c r="I374" s="9">
        <v>89.8</v>
      </c>
      <c r="J374" s="9">
        <v>88.8</v>
      </c>
      <c r="K374" s="9">
        <v>90.6</v>
      </c>
      <c r="L374" s="9">
        <v>93.1</v>
      </c>
      <c r="M374" s="9">
        <v>91.7</v>
      </c>
      <c r="N374" s="9">
        <v>88.9</v>
      </c>
      <c r="O374" s="9">
        <v>87.6</v>
      </c>
      <c r="P374" s="9">
        <v>89.4</v>
      </c>
      <c r="Q374" s="9">
        <v>90.1</v>
      </c>
      <c r="R374" s="7">
        <f t="shared" si="3"/>
        <v>0.27528940243460465</v>
      </c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4.4" hidden="1">
      <c r="A375" s="3">
        <f>LOOKUP(D375,'AMFI DATA_2023H2'!F:L,'AMFI DATA_2023H2'!L:L)</f>
        <v>127</v>
      </c>
      <c r="B375" s="4" t="s">
        <v>393</v>
      </c>
      <c r="C375" s="4" t="s">
        <v>394</v>
      </c>
      <c r="D375" s="5" t="s">
        <v>395</v>
      </c>
      <c r="E375" s="5">
        <v>44734.54</v>
      </c>
      <c r="F375" s="6">
        <f>LOOKUP(D375,'AMFI DATA_2023H2'!F:J,'AMFI DATA_2023H2'!J:J)</f>
        <v>50165.254650000003</v>
      </c>
      <c r="G375" s="7">
        <f t="shared" si="2"/>
        <v>0.10128016663023143</v>
      </c>
      <c r="H375" s="8">
        <v>55246</v>
      </c>
      <c r="I375" s="8">
        <v>55238</v>
      </c>
      <c r="J375" s="8">
        <v>54662</v>
      </c>
      <c r="K375" s="8">
        <v>54355</v>
      </c>
      <c r="L375" s="8">
        <v>54069</v>
      </c>
      <c r="M375" s="8">
        <v>54279</v>
      </c>
      <c r="N375" s="8">
        <v>54026</v>
      </c>
      <c r="O375" s="8">
        <v>55055</v>
      </c>
      <c r="P375" s="8">
        <v>56197</v>
      </c>
      <c r="Q375" s="8">
        <v>55805</v>
      </c>
      <c r="R375" s="7">
        <f t="shared" si="3"/>
        <v>9.4247410543145671E-2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4.4" hidden="1">
      <c r="A376" s="3">
        <f>LOOKUP(D376,'AMFI DATA_2023H2'!F:L,'AMFI DATA_2023H2'!L:L)</f>
        <v>1358</v>
      </c>
      <c r="B376" s="4" t="s">
        <v>3677</v>
      </c>
      <c r="C376" s="4" t="s">
        <v>3678</v>
      </c>
      <c r="D376" s="5" t="s">
        <v>3679</v>
      </c>
      <c r="E376" s="5">
        <v>349.52</v>
      </c>
      <c r="F376" s="6">
        <f>LOOKUP(D376,'AMFI DATA_2023H2'!F:J,'AMFI DATA_2023H2'!J:J)</f>
        <v>708.82934999999998</v>
      </c>
      <c r="G376" s="7">
        <f t="shared" si="2"/>
        <v>1.473091725109859</v>
      </c>
      <c r="H376" s="8">
        <v>1753</v>
      </c>
      <c r="I376" s="8">
        <v>1671</v>
      </c>
      <c r="J376" s="8">
        <v>1591</v>
      </c>
      <c r="K376" s="8">
        <v>1516</v>
      </c>
      <c r="L376" s="8">
        <v>1565</v>
      </c>
      <c r="M376" s="8">
        <v>1496</v>
      </c>
      <c r="N376" s="8">
        <v>1425</v>
      </c>
      <c r="O376" s="8">
        <v>1357</v>
      </c>
      <c r="P376" s="8">
        <v>1290</v>
      </c>
      <c r="Q376" s="8">
        <v>1230</v>
      </c>
      <c r="R376" s="7">
        <f t="shared" si="3"/>
        <v>1.101210961425342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4.4" hidden="1">
      <c r="A377" s="3">
        <f>LOOKUP(D377,'AMFI DATA_2023H2'!F:L,'AMFI DATA_2023H2'!L:L)</f>
        <v>3169</v>
      </c>
      <c r="B377" s="4" t="s">
        <v>5602</v>
      </c>
      <c r="C377" s="4" t="s">
        <v>5603</v>
      </c>
      <c r="D377" s="5" t="s">
        <v>5604</v>
      </c>
      <c r="E377" s="5">
        <v>27.05</v>
      </c>
      <c r="F377" s="6">
        <f>LOOKUP(D377,'AMFI DATA_2023H2'!F:J,'AMFI DATA_2023H2'!J:J)</f>
        <v>29.582799999999999</v>
      </c>
      <c r="G377" s="7">
        <f t="shared" si="2"/>
        <v>0.63608583366009985</v>
      </c>
      <c r="H377" s="9">
        <v>48.4</v>
      </c>
      <c r="I377" s="9">
        <v>48.6</v>
      </c>
      <c r="J377" s="9">
        <v>48.7</v>
      </c>
      <c r="K377" s="9">
        <v>48.7</v>
      </c>
      <c r="L377" s="9">
        <v>48.2</v>
      </c>
      <c r="M377" s="9">
        <v>49.2</v>
      </c>
      <c r="N377" s="9">
        <v>49.8</v>
      </c>
      <c r="O377" s="9">
        <v>51.3</v>
      </c>
      <c r="P377" s="9">
        <v>50.7</v>
      </c>
      <c r="Q377" s="9">
        <v>51.3</v>
      </c>
      <c r="R377" s="7">
        <f t="shared" si="3"/>
        <v>0.67293156834376711</v>
      </c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4.4" hidden="1">
      <c r="A378" s="3">
        <f>LOOKUP(D378,'AMFI DATA_2023H2'!F:L,'AMFI DATA_2023H2'!L:L)</f>
        <v>1602</v>
      </c>
      <c r="B378" s="4" t="s">
        <v>4148</v>
      </c>
      <c r="C378" s="4" t="s">
        <v>4149</v>
      </c>
      <c r="D378" s="5" t="s">
        <v>4150</v>
      </c>
      <c r="E378" s="5">
        <v>357.91</v>
      </c>
      <c r="F378" s="6">
        <f>LOOKUP(D378,'AMFI DATA_2023H2'!F:J,'AMFI DATA_2023H2'!J:J)</f>
        <v>412.63845000000003</v>
      </c>
      <c r="G378" s="7">
        <f t="shared" si="2"/>
        <v>0.40801226836713833</v>
      </c>
      <c r="H378" s="9">
        <v>581</v>
      </c>
      <c r="I378" s="9">
        <v>572</v>
      </c>
      <c r="J378" s="9">
        <v>574</v>
      </c>
      <c r="K378" s="9">
        <v>555</v>
      </c>
      <c r="L378" s="9">
        <v>559</v>
      </c>
      <c r="M378" s="9">
        <v>568</v>
      </c>
      <c r="N378" s="9">
        <v>568</v>
      </c>
      <c r="O378" s="9">
        <v>543</v>
      </c>
      <c r="P378" s="9">
        <v>560</v>
      </c>
      <c r="Q378" s="9">
        <v>542</v>
      </c>
      <c r="R378" s="7">
        <f t="shared" si="3"/>
        <v>0.36245180254045639</v>
      </c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4.4" hidden="1">
      <c r="A379" s="3">
        <f>LOOKUP(D379,'AMFI DATA_2023H2'!F:L,'AMFI DATA_2023H2'!L:L)</f>
        <v>622</v>
      </c>
      <c r="B379" s="4" t="s">
        <v>1836</v>
      </c>
      <c r="C379" s="4" t="s">
        <v>1837</v>
      </c>
      <c r="D379" s="5" t="s">
        <v>1838</v>
      </c>
      <c r="E379" s="5">
        <v>12090.43</v>
      </c>
      <c r="F379" s="6">
        <f>LOOKUP(D379,'AMFI DATA_2023H2'!F:J,'AMFI DATA_2023H2'!J:J)</f>
        <v>4877.7648499999996</v>
      </c>
      <c r="G379" s="7">
        <f t="shared" si="2"/>
        <v>7.836276691362043E-2</v>
      </c>
      <c r="H379" s="8">
        <v>5260</v>
      </c>
      <c r="I379" s="8">
        <v>5295</v>
      </c>
      <c r="J379" s="8">
        <v>5281</v>
      </c>
      <c r="K379" s="8">
        <v>5306</v>
      </c>
      <c r="L379" s="8">
        <v>5357</v>
      </c>
      <c r="M379" s="8">
        <v>5352</v>
      </c>
      <c r="N379" s="8">
        <v>5348</v>
      </c>
      <c r="O379" s="8">
        <v>5268</v>
      </c>
      <c r="P379" s="8">
        <v>5299</v>
      </c>
      <c r="Q379" s="8">
        <v>5289</v>
      </c>
      <c r="R379" s="7">
        <f t="shared" si="3"/>
        <v>8.7690809859356067E-2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4.4" hidden="1">
      <c r="A380" s="3">
        <f>LOOKUP(D380,'AMFI DATA_2023H2'!F:L,'AMFI DATA_2023H2'!L:L)</f>
        <v>277</v>
      </c>
      <c r="B380" s="4" t="s">
        <v>840</v>
      </c>
      <c r="C380" s="4" t="s">
        <v>841</v>
      </c>
      <c r="D380" s="5" t="s">
        <v>842</v>
      </c>
      <c r="E380" s="5">
        <v>12090.43</v>
      </c>
      <c r="F380" s="6">
        <f>LOOKUP(D380,'AMFI DATA_2023H2'!F:J,'AMFI DATA_2023H2'!J:J)</f>
        <v>19020.873</v>
      </c>
      <c r="G380" s="7">
        <f t="shared" si="2"/>
        <v>0.30304218949361572</v>
      </c>
      <c r="H380" s="8">
        <v>24785</v>
      </c>
      <c r="I380" s="8">
        <v>25123</v>
      </c>
      <c r="J380" s="8">
        <v>25321</v>
      </c>
      <c r="K380" s="8">
        <v>25577</v>
      </c>
      <c r="L380" s="8">
        <v>25495</v>
      </c>
      <c r="M380" s="8">
        <v>25402</v>
      </c>
      <c r="N380" s="8">
        <v>25231</v>
      </c>
      <c r="O380" s="8">
        <v>25835</v>
      </c>
      <c r="P380" s="8">
        <v>26003</v>
      </c>
      <c r="Q380" s="8">
        <v>26463</v>
      </c>
      <c r="R380" s="7">
        <f t="shared" si="3"/>
        <v>0.34186795737503739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4.4" hidden="1">
      <c r="A381" s="3">
        <f>LOOKUP(D381,'AMFI DATA_2023H2'!F:L,'AMFI DATA_2023H2'!L:L)</f>
        <v>589</v>
      </c>
      <c r="B381" s="4" t="s">
        <v>1737</v>
      </c>
      <c r="C381" s="4" t="s">
        <v>1738</v>
      </c>
      <c r="D381" s="5" t="s">
        <v>1739</v>
      </c>
      <c r="E381" s="5">
        <v>2655.4</v>
      </c>
      <c r="F381" s="6">
        <f>LOOKUP(D381,'AMFI DATA_2023H2'!F:J,'AMFI DATA_2023H2'!J:J)</f>
        <v>5647.7874499999998</v>
      </c>
      <c r="G381" s="7">
        <f t="shared" si="2"/>
        <v>0.74634758962113579</v>
      </c>
      <c r="H381" s="8">
        <v>9863</v>
      </c>
      <c r="I381" s="8">
        <v>9327</v>
      </c>
      <c r="J381" s="8">
        <v>9001</v>
      </c>
      <c r="K381" s="8">
        <v>9314</v>
      </c>
      <c r="L381" s="8">
        <v>9334</v>
      </c>
      <c r="M381" s="8">
        <v>9317</v>
      </c>
      <c r="N381" s="8">
        <v>9011</v>
      </c>
      <c r="O381" s="8">
        <v>9219</v>
      </c>
      <c r="P381" s="8">
        <v>9412</v>
      </c>
      <c r="Q381" s="8">
        <v>9623</v>
      </c>
      <c r="R381" s="7">
        <f t="shared" si="3"/>
        <v>0.65411678160799069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4.4" hidden="1">
      <c r="A382" s="3">
        <f>LOOKUP(D382,'AMFI DATA_2023H2'!F:L,'AMFI DATA_2023H2'!L:L)</f>
        <v>1260</v>
      </c>
      <c r="B382" s="4" t="s">
        <v>3479</v>
      </c>
      <c r="C382" s="4" t="s">
        <v>3480</v>
      </c>
      <c r="D382" s="5" t="s">
        <v>3481</v>
      </c>
      <c r="E382" s="5">
        <v>550.80999999999995</v>
      </c>
      <c r="F382" s="6">
        <f>LOOKUP(D382,'AMFI DATA_2023H2'!F:J,'AMFI DATA_2023H2'!J:J)</f>
        <v>890.85194999999999</v>
      </c>
      <c r="G382" s="7">
        <f t="shared" si="2"/>
        <v>3.5337521571345842E-3</v>
      </c>
      <c r="H382" s="9">
        <v>894</v>
      </c>
      <c r="I382" s="9">
        <v>878</v>
      </c>
      <c r="J382" s="9">
        <v>870</v>
      </c>
      <c r="K382" s="9">
        <v>870</v>
      </c>
      <c r="L382" s="9">
        <v>880</v>
      </c>
      <c r="M382" s="9">
        <v>896</v>
      </c>
      <c r="N382" s="9">
        <v>909</v>
      </c>
      <c r="O382" s="9">
        <v>924</v>
      </c>
      <c r="P382" s="9">
        <v>928</v>
      </c>
      <c r="Q382" s="9">
        <v>923</v>
      </c>
      <c r="R382" s="7">
        <f t="shared" si="3"/>
        <v>7.1258192789498409E-3</v>
      </c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4.4" hidden="1">
      <c r="A383" s="3">
        <f>LOOKUP(D383,'AMFI DATA_2023H2'!F:L,'AMFI DATA_2023H2'!L:L)</f>
        <v>1171</v>
      </c>
      <c r="B383" s="4" t="s">
        <v>3275</v>
      </c>
      <c r="C383" s="4" t="s">
        <v>3276</v>
      </c>
      <c r="D383" s="5" t="s">
        <v>3277</v>
      </c>
      <c r="E383" s="5">
        <v>671.24</v>
      </c>
      <c r="F383" s="6">
        <f>LOOKUP(D383,'AMFI DATA_2023H2'!F:J,'AMFI DATA_2023H2'!J:J)</f>
        <v>1109.0129999999999</v>
      </c>
      <c r="G383" s="7">
        <f t="shared" si="2"/>
        <v>0.44723280971458412</v>
      </c>
      <c r="H383" s="8">
        <v>1605</v>
      </c>
      <c r="I383" s="8">
        <v>1554</v>
      </c>
      <c r="J383" s="8">
        <v>1480</v>
      </c>
      <c r="K383" s="8">
        <v>1496</v>
      </c>
      <c r="L383" s="8">
        <v>1488</v>
      </c>
      <c r="M383" s="8">
        <v>1479</v>
      </c>
      <c r="N383" s="8">
        <v>1504</v>
      </c>
      <c r="O383" s="8">
        <v>1461</v>
      </c>
      <c r="P383" s="8">
        <v>1391</v>
      </c>
      <c r="Q383" s="8">
        <v>1325</v>
      </c>
      <c r="R383" s="7">
        <f t="shared" si="3"/>
        <v>0.33298707950222406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4.4" hidden="1">
      <c r="A384" s="3">
        <f>LOOKUP(D384,'AMFI DATA_2023H2'!F:L,'AMFI DATA_2023H2'!L:L)</f>
        <v>649</v>
      </c>
      <c r="B384" s="4" t="s">
        <v>1905</v>
      </c>
      <c r="C384" s="4" t="s">
        <v>1906</v>
      </c>
      <c r="D384" s="5" t="s">
        <v>1907</v>
      </c>
      <c r="E384" s="5">
        <v>2072.4</v>
      </c>
      <c r="F384" s="6">
        <f>LOOKUP(D384,'AMFI DATA_2023H2'!F:J,'AMFI DATA_2023H2'!J:J)</f>
        <v>4441.4063999999998</v>
      </c>
      <c r="G384" s="7">
        <f t="shared" si="2"/>
        <v>0.13094807086331928</v>
      </c>
      <c r="H384" s="8">
        <v>5023</v>
      </c>
      <c r="I384" s="8">
        <v>4750</v>
      </c>
      <c r="J384" s="8">
        <v>4737</v>
      </c>
      <c r="K384" s="8">
        <v>4707</v>
      </c>
      <c r="L384" s="8">
        <v>4665</v>
      </c>
      <c r="M384" s="8">
        <v>4737</v>
      </c>
      <c r="N384" s="8">
        <v>4470</v>
      </c>
      <c r="O384" s="8">
        <v>4561</v>
      </c>
      <c r="P384" s="8">
        <v>4595</v>
      </c>
      <c r="Q384" s="8">
        <v>4496</v>
      </c>
      <c r="R384" s="7">
        <f t="shared" si="3"/>
        <v>5.2391872988700294E-2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4.4" hidden="1">
      <c r="A385" s="3">
        <f>LOOKUP(D385,'AMFI DATA_2023H2'!F:L,'AMFI DATA_2023H2'!L:L)</f>
        <v>58</v>
      </c>
      <c r="B385" s="4" t="s">
        <v>183</v>
      </c>
      <c r="C385" s="4" t="s">
        <v>184</v>
      </c>
      <c r="D385" s="5" t="s">
        <v>185</v>
      </c>
      <c r="E385" s="5">
        <v>95932.51</v>
      </c>
      <c r="F385" s="6">
        <f>LOOKUP(D385,'AMFI DATA_2023H2'!F:J,'AMFI DATA_2023H2'!J:J)</f>
        <v>97973.34844999999</v>
      </c>
      <c r="G385" s="7">
        <f t="shared" si="2"/>
        <v>2.70650293365573E-2</v>
      </c>
      <c r="H385" s="8">
        <v>100625</v>
      </c>
      <c r="I385" s="8">
        <v>100342</v>
      </c>
      <c r="J385" s="8">
        <v>97657</v>
      </c>
      <c r="K385" s="8">
        <v>98640</v>
      </c>
      <c r="L385" s="8">
        <v>98676</v>
      </c>
      <c r="M385" s="8">
        <v>98694</v>
      </c>
      <c r="N385" s="8">
        <v>96257</v>
      </c>
      <c r="O385" s="8">
        <v>94804</v>
      </c>
      <c r="P385" s="8">
        <v>94015</v>
      </c>
      <c r="Q385" s="8">
        <v>93794</v>
      </c>
      <c r="R385" s="7">
        <f t="shared" si="3"/>
        <v>-6.3583460181307894E-3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4.4" hidden="1">
      <c r="A386" s="3">
        <f>LOOKUP(D386,'AMFI DATA_2023H2'!F:L,'AMFI DATA_2023H2'!L:L)</f>
        <v>162</v>
      </c>
      <c r="B386" s="4" t="s">
        <v>495</v>
      </c>
      <c r="C386" s="4" t="s">
        <v>496</v>
      </c>
      <c r="D386" s="5" t="s">
        <v>497</v>
      </c>
      <c r="E386" s="5">
        <v>36850.86</v>
      </c>
      <c r="F386" s="6">
        <f>LOOKUP(D386,'AMFI DATA_2023H2'!F:J,'AMFI DATA_2023H2'!J:J)</f>
        <v>40584.754849999998</v>
      </c>
      <c r="G386" s="7">
        <f t="shared" si="2"/>
        <v>0.10447876710532844</v>
      </c>
      <c r="H386" s="8">
        <v>44825</v>
      </c>
      <c r="I386" s="8">
        <v>44280</v>
      </c>
      <c r="J386" s="8">
        <v>43279</v>
      </c>
      <c r="K386" s="8">
        <v>43521</v>
      </c>
      <c r="L386" s="8">
        <v>44285</v>
      </c>
      <c r="M386" s="8">
        <v>42734</v>
      </c>
      <c r="N386" s="8">
        <v>42981</v>
      </c>
      <c r="O386" s="8">
        <v>43564</v>
      </c>
      <c r="P386" s="8">
        <v>42000</v>
      </c>
      <c r="Q386" s="8">
        <v>41152</v>
      </c>
      <c r="R386" s="7">
        <f t="shared" si="3"/>
        <v>6.5969233025932716E-2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4.4" hidden="1">
      <c r="A387" s="3">
        <f>LOOKUP(D387,'AMFI DATA_2023H2'!F:L,'AMFI DATA_2023H2'!L:L)</f>
        <v>749</v>
      </c>
      <c r="B387" s="4" t="s">
        <v>2192</v>
      </c>
      <c r="C387" s="4" t="s">
        <v>2193</v>
      </c>
      <c r="D387" s="5" t="s">
        <v>2194</v>
      </c>
      <c r="E387" s="5">
        <v>2875.36</v>
      </c>
      <c r="F387" s="6">
        <f>LOOKUP(D387,'AMFI DATA_2023H2'!F:J,'AMFI DATA_2023H2'!J:J)</f>
        <v>3341.55915</v>
      </c>
      <c r="G387" s="7">
        <f t="shared" si="2"/>
        <v>-1.3933361018014567E-2</v>
      </c>
      <c r="H387" s="8">
        <v>3295</v>
      </c>
      <c r="I387" s="8">
        <v>3310</v>
      </c>
      <c r="J387" s="8">
        <v>3302</v>
      </c>
      <c r="K387" s="8">
        <v>3293</v>
      </c>
      <c r="L387" s="8">
        <v>3355</v>
      </c>
      <c r="M387" s="8">
        <v>3337</v>
      </c>
      <c r="N387" s="8">
        <v>3268</v>
      </c>
      <c r="O387" s="8">
        <v>3259</v>
      </c>
      <c r="P387" s="8">
        <v>3259</v>
      </c>
      <c r="Q387" s="8">
        <v>3268</v>
      </c>
      <c r="R387" s="7">
        <f t="shared" si="3"/>
        <v>-1.4053065617587568E-2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4.4" hidden="1">
      <c r="A388" s="3">
        <f>LOOKUP(D388,'AMFI DATA_2023H2'!F:L,'AMFI DATA_2023H2'!L:L)</f>
        <v>2288</v>
      </c>
      <c r="B388" s="4" t="s">
        <v>5114</v>
      </c>
      <c r="C388" s="4" t="s">
        <v>5115</v>
      </c>
      <c r="D388" s="5" t="s">
        <v>5116</v>
      </c>
      <c r="E388" s="5">
        <v>106.78</v>
      </c>
      <c r="F388" s="6">
        <f>LOOKUP(D388,'AMFI DATA_2023H2'!F:J,'AMFI DATA_2023H2'!J:J)</f>
        <v>113.91305</v>
      </c>
      <c r="G388" s="7">
        <f t="shared" si="2"/>
        <v>0.17633581051512537</v>
      </c>
      <c r="H388" s="9">
        <v>134</v>
      </c>
      <c r="I388" s="9">
        <v>118</v>
      </c>
      <c r="J388" s="9">
        <v>119</v>
      </c>
      <c r="K388" s="9">
        <v>119</v>
      </c>
      <c r="L388" s="9">
        <v>116</v>
      </c>
      <c r="M388" s="9">
        <v>116</v>
      </c>
      <c r="N388" s="9">
        <v>118</v>
      </c>
      <c r="O388" s="9">
        <v>114</v>
      </c>
      <c r="P388" s="9">
        <v>114</v>
      </c>
      <c r="Q388" s="9">
        <v>115</v>
      </c>
      <c r="R388" s="7">
        <f t="shared" si="3"/>
        <v>3.8511390924920397E-2</v>
      </c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4.4" hidden="1">
      <c r="A389" s="3">
        <f>LOOKUP(D389,'AMFI DATA_2023H2'!F:L,'AMFI DATA_2023H2'!L:L)</f>
        <v>2028</v>
      </c>
      <c r="B389" s="4" t="s">
        <v>4781</v>
      </c>
      <c r="C389" s="4" t="s">
        <v>4782</v>
      </c>
      <c r="D389" s="5" t="s">
        <v>4783</v>
      </c>
      <c r="E389" s="5">
        <v>237.9</v>
      </c>
      <c r="F389" s="6">
        <f>LOOKUP(D389,'AMFI DATA_2023H2'!F:J,'AMFI DATA_2023H2'!J:J)</f>
        <v>181.36760000000001</v>
      </c>
      <c r="G389" s="7">
        <f t="shared" si="2"/>
        <v>-3.5108806644626789E-2</v>
      </c>
      <c r="H389" s="9">
        <v>175</v>
      </c>
      <c r="I389" s="9">
        <v>176</v>
      </c>
      <c r="J389" s="9">
        <v>173</v>
      </c>
      <c r="K389" s="9">
        <v>171</v>
      </c>
      <c r="L389" s="9">
        <v>170</v>
      </c>
      <c r="M389" s="9">
        <v>173</v>
      </c>
      <c r="N389" s="9">
        <v>172</v>
      </c>
      <c r="O389" s="9">
        <v>174</v>
      </c>
      <c r="P389" s="9">
        <v>172</v>
      </c>
      <c r="Q389" s="9">
        <v>173</v>
      </c>
      <c r="R389" s="7">
        <f t="shared" si="3"/>
        <v>-4.668750096489116E-2</v>
      </c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4.4" hidden="1">
      <c r="A390" s="3">
        <f>LOOKUP(D390,'AMFI DATA_2023H2'!F:L,'AMFI DATA_2023H2'!L:L)</f>
        <v>375</v>
      </c>
      <c r="B390" s="4" t="s">
        <v>1131</v>
      </c>
      <c r="C390" s="4" t="s">
        <v>1132</v>
      </c>
      <c r="D390" s="5" t="s">
        <v>1133</v>
      </c>
      <c r="E390" s="5">
        <v>8114.4</v>
      </c>
      <c r="F390" s="6">
        <f>LOOKUP(D390,'AMFI DATA_2023H2'!F:J,'AMFI DATA_2023H2'!J:J)</f>
        <v>11423.32855</v>
      </c>
      <c r="G390" s="7">
        <f t="shared" si="2"/>
        <v>-6.7434683912685034E-2</v>
      </c>
      <c r="H390" s="8">
        <v>10653</v>
      </c>
      <c r="I390" s="8">
        <v>10521</v>
      </c>
      <c r="J390" s="8">
        <v>10440</v>
      </c>
      <c r="K390" s="8">
        <v>10630</v>
      </c>
      <c r="L390" s="8">
        <v>10306</v>
      </c>
      <c r="M390" s="8">
        <v>10460</v>
      </c>
      <c r="N390" s="8">
        <v>10535</v>
      </c>
      <c r="O390" s="8">
        <v>10562</v>
      </c>
      <c r="P390" s="8">
        <v>10778</v>
      </c>
      <c r="Q390" s="8">
        <v>10989</v>
      </c>
      <c r="R390" s="7">
        <f t="shared" si="3"/>
        <v>-7.3177318357003807E-2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4.4">
      <c r="A391" s="3">
        <f>LOOKUP(D391,'AMFI DATA_2023H2'!F:L,'AMFI DATA_2023H2'!L:L)</f>
        <v>722</v>
      </c>
      <c r="B391" s="4" t="s">
        <v>2111</v>
      </c>
      <c r="C391" s="4" t="s">
        <v>2112</v>
      </c>
      <c r="D391" s="5" t="s">
        <v>2113</v>
      </c>
      <c r="E391" s="5">
        <v>2182.3000000000002</v>
      </c>
      <c r="F391" s="6">
        <f>LOOKUP(D391,'AMFI DATA_2023H2'!F:J,'AMFI DATA_2023H2'!J:J)</f>
        <v>3576.8343</v>
      </c>
      <c r="G391" s="7">
        <f t="shared" si="2"/>
        <v>0.21699794703936948</v>
      </c>
      <c r="H391" s="8">
        <v>4353</v>
      </c>
      <c r="I391" s="8">
        <v>4363</v>
      </c>
      <c r="J391" s="8">
        <v>4375</v>
      </c>
      <c r="K391" s="8">
        <v>4310</v>
      </c>
      <c r="L391" s="8">
        <v>4336</v>
      </c>
      <c r="M391" s="8">
        <v>4271</v>
      </c>
      <c r="N391" s="8">
        <v>4297</v>
      </c>
      <c r="O391" s="8">
        <v>4323</v>
      </c>
      <c r="P391" s="8">
        <v>4370</v>
      </c>
      <c r="Q391" s="8">
        <v>4329</v>
      </c>
      <c r="R391" s="14">
        <f t="shared" si="3"/>
        <v>0.21132253736215834</v>
      </c>
      <c r="S391" s="8"/>
      <c r="T391" s="8">
        <v>735</v>
      </c>
      <c r="U391" s="15">
        <f ca="1">IFERROR(__xludf.DUMMYFUNCTION("GOOGLEFINANCE(C391,""PRICE"")"),713)</f>
        <v>713</v>
      </c>
      <c r="V391" s="13" t="s">
        <v>5787</v>
      </c>
      <c r="W391" s="7">
        <f ca="1">U391/T391-1</f>
        <v>-2.9931972789115635E-2</v>
      </c>
      <c r="X391" s="8"/>
      <c r="Y391" s="8"/>
      <c r="Z391" s="8"/>
      <c r="AA391" s="8"/>
      <c r="AB391" s="8"/>
    </row>
    <row r="392" spans="1:28" ht="14.4" hidden="1">
      <c r="A392" s="3">
        <f>LOOKUP(D392,'AMFI DATA_2023H2'!F:L,'AMFI DATA_2023H2'!L:L)</f>
        <v>2310</v>
      </c>
      <c r="B392" s="4" t="s">
        <v>5144</v>
      </c>
      <c r="C392" s="4" t="s">
        <v>5145</v>
      </c>
      <c r="D392" s="5" t="s">
        <v>5146</v>
      </c>
      <c r="E392" s="5">
        <v>86.32</v>
      </c>
      <c r="F392" s="6">
        <f>LOOKUP(D392,'AMFI DATA_2023H2'!F:J,'AMFI DATA_2023H2'!J:J)</f>
        <v>109.80305</v>
      </c>
      <c r="G392" s="7">
        <f t="shared" si="2"/>
        <v>0.1292946780622215</v>
      </c>
      <c r="H392" s="9">
        <v>124</v>
      </c>
      <c r="I392" s="9">
        <v>128</v>
      </c>
      <c r="J392" s="9">
        <v>122</v>
      </c>
      <c r="K392" s="9">
        <v>120</v>
      </c>
      <c r="L392" s="9">
        <v>119</v>
      </c>
      <c r="M392" s="9">
        <v>122</v>
      </c>
      <c r="N392" s="9">
        <v>122</v>
      </c>
      <c r="O392" s="9">
        <v>121</v>
      </c>
      <c r="P392" s="9">
        <v>124</v>
      </c>
      <c r="Q392" s="9">
        <v>124</v>
      </c>
      <c r="R392" s="7">
        <f t="shared" si="3"/>
        <v>0.11654457685829311</v>
      </c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4.4" hidden="1">
      <c r="A393" s="3">
        <f>LOOKUP(D393,'AMFI DATA_2023H2'!F:L,'AMFI DATA_2023H2'!L:L)</f>
        <v>1951</v>
      </c>
      <c r="B393" s="4" t="s">
        <v>4667</v>
      </c>
      <c r="C393" s="4" t="s">
        <v>4668</v>
      </c>
      <c r="D393" s="5" t="s">
        <v>4669</v>
      </c>
      <c r="E393" s="5">
        <v>162.91999999999999</v>
      </c>
      <c r="F393" s="6">
        <f>LOOKUP(D393,'AMFI DATA_2023H2'!F:J,'AMFI DATA_2023H2'!J:J)</f>
        <v>203.07074999999998</v>
      </c>
      <c r="G393" s="7">
        <f t="shared" si="2"/>
        <v>7.3517480976457827E-2</v>
      </c>
      <c r="H393" s="9">
        <v>218</v>
      </c>
      <c r="I393" s="9">
        <v>213</v>
      </c>
      <c r="J393" s="9">
        <v>217</v>
      </c>
      <c r="K393" s="9">
        <v>225</v>
      </c>
      <c r="L393" s="9">
        <v>216</v>
      </c>
      <c r="M393" s="9">
        <v>216</v>
      </c>
      <c r="N393" s="9">
        <v>220</v>
      </c>
      <c r="O393" s="9">
        <v>225</v>
      </c>
      <c r="P393" s="9">
        <v>202</v>
      </c>
      <c r="Q393" s="9">
        <v>220</v>
      </c>
      <c r="R393" s="7">
        <f t="shared" si="3"/>
        <v>6.9577967284801145E-2</v>
      </c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4.4" hidden="1">
      <c r="A394" s="3">
        <f>LOOKUP(D394,'AMFI DATA_2023H2'!F:L,'AMFI DATA_2023H2'!L:L)</f>
        <v>708</v>
      </c>
      <c r="B394" s="4" t="s">
        <v>2075</v>
      </c>
      <c r="C394" s="4" t="s">
        <v>2076</v>
      </c>
      <c r="D394" s="5" t="s">
        <v>2077</v>
      </c>
      <c r="E394" s="5">
        <v>3536.31</v>
      </c>
      <c r="F394" s="6">
        <f>LOOKUP(D394,'AMFI DATA_2023H2'!F:J,'AMFI DATA_2023H2'!J:J)</f>
        <v>3750.1127500000002</v>
      </c>
      <c r="G394" s="7">
        <f t="shared" si="2"/>
        <v>0.31382716426326107</v>
      </c>
      <c r="H394" s="8">
        <v>4927</v>
      </c>
      <c r="I394" s="8">
        <v>4824</v>
      </c>
      <c r="J394" s="8">
        <v>4630</v>
      </c>
      <c r="K394" s="8">
        <v>4562</v>
      </c>
      <c r="L394" s="8">
        <v>4535</v>
      </c>
      <c r="M394" s="8">
        <v>4148</v>
      </c>
      <c r="N394" s="8">
        <v>4148</v>
      </c>
      <c r="O394" s="8">
        <v>3965</v>
      </c>
      <c r="P394" s="8">
        <v>3928</v>
      </c>
      <c r="Q394" s="8">
        <v>3931</v>
      </c>
      <c r="R394" s="7">
        <f t="shared" si="3"/>
        <v>0.16257837847675383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4.4" hidden="1">
      <c r="A395" s="3">
        <f>LOOKUP(D395,'AMFI DATA_2023H2'!F:L,'AMFI DATA_2023H2'!L:L)</f>
        <v>2162</v>
      </c>
      <c r="B395" s="4" t="s">
        <v>4970</v>
      </c>
      <c r="C395" s="4" t="s">
        <v>4971</v>
      </c>
      <c r="D395" s="5" t="s">
        <v>4972</v>
      </c>
      <c r="E395" s="5">
        <v>136.53</v>
      </c>
      <c r="F395" s="6">
        <f>LOOKUP(D395,'AMFI DATA_2023H2'!F:J,'AMFI DATA_2023H2'!J:J)</f>
        <v>142.78525000000002</v>
      </c>
      <c r="G395" s="7">
        <f t="shared" si="2"/>
        <v>4.3525154033767333E-2</v>
      </c>
      <c r="H395" s="9">
        <v>149</v>
      </c>
      <c r="I395" s="9">
        <v>145</v>
      </c>
      <c r="J395" s="9">
        <v>145</v>
      </c>
      <c r="K395" s="9">
        <v>145</v>
      </c>
      <c r="L395" s="9">
        <v>146</v>
      </c>
      <c r="M395" s="9">
        <v>148</v>
      </c>
      <c r="N395" s="9">
        <v>146</v>
      </c>
      <c r="O395" s="9">
        <v>147</v>
      </c>
      <c r="P395" s="9">
        <v>149</v>
      </c>
      <c r="Q395" s="9">
        <v>149</v>
      </c>
      <c r="R395" s="7">
        <f t="shared" si="3"/>
        <v>2.8817752533962571E-2</v>
      </c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4.4" hidden="1">
      <c r="A396" s="3">
        <f>LOOKUP(D396,'AMFI DATA_2023H2'!F:L,'AMFI DATA_2023H2'!L:L)</f>
        <v>3978</v>
      </c>
      <c r="B396" s="4" t="s">
        <v>5749</v>
      </c>
      <c r="C396" s="4" t="s">
        <v>5750</v>
      </c>
      <c r="D396" s="5" t="s">
        <v>5751</v>
      </c>
      <c r="E396" s="5">
        <v>8.9</v>
      </c>
      <c r="F396" s="6">
        <f>LOOKUP(D396,'AMFI DATA_2023H2'!F:J,'AMFI DATA_2023H2'!J:J)</f>
        <v>8.7527000000000008</v>
      </c>
      <c r="G396" s="7">
        <f t="shared" si="2"/>
        <v>0.21105487449586979</v>
      </c>
      <c r="H396" s="9">
        <v>10.6</v>
      </c>
      <c r="I396" s="9">
        <v>10.199999999999999</v>
      </c>
      <c r="J396" s="9">
        <v>10.3</v>
      </c>
      <c r="K396" s="9">
        <v>10</v>
      </c>
      <c r="L396" s="9">
        <v>9.59</v>
      </c>
      <c r="M396" s="9">
        <v>10.1</v>
      </c>
      <c r="N396" s="9">
        <v>10.1</v>
      </c>
      <c r="O396" s="9">
        <v>10.199999999999999</v>
      </c>
      <c r="P396" s="9">
        <v>10.199999999999999</v>
      </c>
      <c r="Q396" s="9">
        <v>10.3</v>
      </c>
      <c r="R396" s="7">
        <f t="shared" si="3"/>
        <v>0.16067042169844736</v>
      </c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4.4" hidden="1">
      <c r="A397" s="3">
        <f>LOOKUP(D397,'AMFI DATA_2023H2'!F:L,'AMFI DATA_2023H2'!L:L)</f>
        <v>1729</v>
      </c>
      <c r="B397" s="4" t="s">
        <v>4376</v>
      </c>
      <c r="C397" s="4" t="s">
        <v>4377</v>
      </c>
      <c r="D397" s="5" t="s">
        <v>4378</v>
      </c>
      <c r="E397" s="5">
        <v>285.02</v>
      </c>
      <c r="F397" s="6">
        <f>LOOKUP(D397,'AMFI DATA_2023H2'!F:J,'AMFI DATA_2023H2'!J:J)</f>
        <v>314.26089999999999</v>
      </c>
      <c r="G397" s="7">
        <f t="shared" si="2"/>
        <v>8.1903603025384353E-2</v>
      </c>
      <c r="H397" s="9">
        <v>340</v>
      </c>
      <c r="I397" s="9">
        <v>338</v>
      </c>
      <c r="J397" s="9">
        <v>335</v>
      </c>
      <c r="K397" s="9">
        <v>325</v>
      </c>
      <c r="L397" s="9">
        <v>333</v>
      </c>
      <c r="M397" s="9">
        <v>326</v>
      </c>
      <c r="N397" s="9">
        <v>331</v>
      </c>
      <c r="O397" s="9">
        <v>332</v>
      </c>
      <c r="P397" s="9">
        <v>334</v>
      </c>
      <c r="Q397" s="9">
        <v>341</v>
      </c>
      <c r="R397" s="7">
        <f t="shared" si="3"/>
        <v>6.1220151791075539E-2</v>
      </c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4.4" hidden="1">
      <c r="A398" s="3">
        <f>LOOKUP(D398,'AMFI DATA_2023H2'!F:L,'AMFI DATA_2023H2'!L:L)</f>
        <v>1158</v>
      </c>
      <c r="B398" s="4" t="s">
        <v>3245</v>
      </c>
      <c r="C398" s="4" t="s">
        <v>3246</v>
      </c>
      <c r="D398" s="5" t="s">
        <v>3247</v>
      </c>
      <c r="E398" s="5">
        <v>615.05999999999995</v>
      </c>
      <c r="F398" s="6">
        <f>LOOKUP(D398,'AMFI DATA_2023H2'!F:J,'AMFI DATA_2023H2'!J:J)</f>
        <v>1151.4463000000001</v>
      </c>
      <c r="G398" s="7">
        <f t="shared" si="2"/>
        <v>0.21065133476046594</v>
      </c>
      <c r="H398" s="8">
        <v>1394</v>
      </c>
      <c r="I398" s="8">
        <v>1370</v>
      </c>
      <c r="J398" s="8">
        <v>1346</v>
      </c>
      <c r="K398" s="8">
        <v>1337</v>
      </c>
      <c r="L398" s="8">
        <v>1324</v>
      </c>
      <c r="M398" s="8">
        <v>1332</v>
      </c>
      <c r="N398" s="8">
        <v>1334</v>
      </c>
      <c r="O398" s="8">
        <v>1356</v>
      </c>
      <c r="P398" s="8">
        <v>1371</v>
      </c>
      <c r="Q398" s="8">
        <v>1394</v>
      </c>
      <c r="R398" s="7">
        <f t="shared" si="3"/>
        <v>0.17747566690691507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4.4" hidden="1">
      <c r="A399" s="3">
        <f>LOOKUP(D399,'AMFI DATA_2023H2'!F:L,'AMFI DATA_2023H2'!L:L)</f>
        <v>314</v>
      </c>
      <c r="B399" s="4" t="s">
        <v>951</v>
      </c>
      <c r="C399" s="4" t="s">
        <v>952</v>
      </c>
      <c r="D399" s="5" t="s">
        <v>953</v>
      </c>
      <c r="E399" s="5">
        <v>13637.51</v>
      </c>
      <c r="F399" s="6">
        <f>LOOKUP(D399,'AMFI DATA_2023H2'!F:J,'AMFI DATA_2023H2'!J:J)</f>
        <v>14877.7186</v>
      </c>
      <c r="G399" s="7">
        <f t="shared" si="2"/>
        <v>0.13202840118242332</v>
      </c>
      <c r="H399" s="8">
        <v>16842</v>
      </c>
      <c r="I399" s="8">
        <v>17800</v>
      </c>
      <c r="J399" s="8">
        <v>16233</v>
      </c>
      <c r="K399" s="8">
        <v>16213</v>
      </c>
      <c r="L399" s="8">
        <v>16045</v>
      </c>
      <c r="M399" s="8">
        <v>16067</v>
      </c>
      <c r="N399" s="8">
        <v>16265</v>
      </c>
      <c r="O399" s="8">
        <v>16407</v>
      </c>
      <c r="P399" s="8">
        <v>16337</v>
      </c>
      <c r="Q399" s="8">
        <v>16545</v>
      </c>
      <c r="R399" s="7">
        <f t="shared" si="3"/>
        <v>0.10738752647196881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4.4" hidden="1">
      <c r="A400" s="3">
        <f>LOOKUP(D400,'AMFI DATA_2023H2'!F:L,'AMFI DATA_2023H2'!L:L)</f>
        <v>1035</v>
      </c>
      <c r="B400" s="4" t="s">
        <v>2957</v>
      </c>
      <c r="C400" s="4" t="s">
        <v>2958</v>
      </c>
      <c r="D400" s="5" t="s">
        <v>2959</v>
      </c>
      <c r="E400" s="5">
        <v>1386.39</v>
      </c>
      <c r="F400" s="6">
        <f>LOOKUP(D400,'AMFI DATA_2023H2'!F:J,'AMFI DATA_2023H2'!J:J)</f>
        <v>1541.60925</v>
      </c>
      <c r="G400" s="7">
        <f t="shared" si="2"/>
        <v>9.2365007540010646E-2</v>
      </c>
      <c r="H400" s="8">
        <v>1684</v>
      </c>
      <c r="I400" s="8">
        <v>1688</v>
      </c>
      <c r="J400" s="8">
        <v>1699</v>
      </c>
      <c r="K400" s="8">
        <v>1704</v>
      </c>
      <c r="L400" s="8">
        <v>1680</v>
      </c>
      <c r="M400" s="8">
        <v>1685</v>
      </c>
      <c r="N400" s="8">
        <v>1685</v>
      </c>
      <c r="O400" s="8">
        <v>1703</v>
      </c>
      <c r="P400" s="8">
        <v>1707</v>
      </c>
      <c r="Q400" s="8">
        <v>1619</v>
      </c>
      <c r="R400" s="7">
        <f t="shared" si="3"/>
        <v>9.3273149470269434E-2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4.4" hidden="1">
      <c r="A401" s="3">
        <f>LOOKUP(D401,'AMFI DATA_2023H2'!F:L,'AMFI DATA_2023H2'!L:L)</f>
        <v>792</v>
      </c>
      <c r="B401" s="4" t="s">
        <v>2303</v>
      </c>
      <c r="C401" s="4" t="s">
        <v>2304</v>
      </c>
      <c r="D401" s="5" t="s">
        <v>2305</v>
      </c>
      <c r="E401" s="5">
        <v>1855.94</v>
      </c>
      <c r="F401" s="6">
        <f>LOOKUP(D401,'AMFI DATA_2023H2'!F:J,'AMFI DATA_2023H2'!J:J)</f>
        <v>2957.7514000000001</v>
      </c>
      <c r="G401" s="7">
        <f t="shared" si="2"/>
        <v>0.15188855966732029</v>
      </c>
      <c r="H401" s="8">
        <v>3407</v>
      </c>
      <c r="I401" s="8">
        <v>3478</v>
      </c>
      <c r="J401" s="8">
        <v>3307</v>
      </c>
      <c r="K401" s="8">
        <v>3308</v>
      </c>
      <c r="L401" s="8">
        <v>3347</v>
      </c>
      <c r="M401" s="8">
        <v>3294</v>
      </c>
      <c r="N401" s="8">
        <v>3285</v>
      </c>
      <c r="O401" s="8">
        <v>3345</v>
      </c>
      <c r="P401" s="8">
        <v>3370</v>
      </c>
      <c r="Q401" s="8">
        <v>3381</v>
      </c>
      <c r="R401" s="7">
        <f t="shared" si="3"/>
        <v>0.13336097144607884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4.4" hidden="1">
      <c r="A402" s="3">
        <f>LOOKUP(D402,'AMFI DATA_2023H2'!F:L,'AMFI DATA_2023H2'!L:L)</f>
        <v>1256</v>
      </c>
      <c r="B402" s="4" t="s">
        <v>3473</v>
      </c>
      <c r="C402" s="4" t="s">
        <v>3474</v>
      </c>
      <c r="D402" s="5" t="s">
        <v>3475</v>
      </c>
      <c r="E402" s="5">
        <v>591.24</v>
      </c>
      <c r="F402" s="6">
        <f>LOOKUP(D402,'AMFI DATA_2023H2'!F:J,'AMFI DATA_2023H2'!J:J)</f>
        <v>899.52779999999996</v>
      </c>
      <c r="G402" s="7">
        <f t="shared" si="2"/>
        <v>-7.2846887000045935E-2</v>
      </c>
      <c r="H402" s="9">
        <v>834</v>
      </c>
      <c r="I402" s="9">
        <v>827</v>
      </c>
      <c r="J402" s="9">
        <v>798</v>
      </c>
      <c r="K402" s="9">
        <v>800</v>
      </c>
      <c r="L402" s="9">
        <v>805</v>
      </c>
      <c r="M402" s="9">
        <v>822</v>
      </c>
      <c r="N402" s="9">
        <v>820</v>
      </c>
      <c r="O402" s="9">
        <v>820</v>
      </c>
      <c r="P402" s="9">
        <v>822</v>
      </c>
      <c r="Q402" s="9">
        <v>828</v>
      </c>
      <c r="R402" s="7">
        <f t="shared" si="3"/>
        <v>-9.1078674833618201E-2</v>
      </c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4.4" hidden="1">
      <c r="A403" s="3">
        <f>LOOKUP(D403,'AMFI DATA_2023H2'!F:L,'AMFI DATA_2023H2'!L:L)</f>
        <v>2262</v>
      </c>
      <c r="B403" s="4" t="s">
        <v>5087</v>
      </c>
      <c r="C403" s="4" t="s">
        <v>5088</v>
      </c>
      <c r="D403" s="5" t="s">
        <v>5089</v>
      </c>
      <c r="E403" s="5">
        <v>135.33000000000001</v>
      </c>
      <c r="F403" s="6">
        <f>LOOKUP(D403,'AMFI DATA_2023H2'!F:J,'AMFI DATA_2023H2'!J:J)</f>
        <v>119.1254</v>
      </c>
      <c r="G403" s="7">
        <f t="shared" si="2"/>
        <v>2.4130873852259871E-2</v>
      </c>
      <c r="H403" s="9">
        <v>122</v>
      </c>
      <c r="I403" s="9">
        <v>119</v>
      </c>
      <c r="J403" s="9">
        <v>125</v>
      </c>
      <c r="K403" s="9">
        <v>124</v>
      </c>
      <c r="L403" s="9">
        <v>123</v>
      </c>
      <c r="M403" s="9">
        <v>118</v>
      </c>
      <c r="N403" s="9">
        <v>117</v>
      </c>
      <c r="O403" s="9">
        <v>119</v>
      </c>
      <c r="P403" s="9">
        <v>119</v>
      </c>
      <c r="Q403" s="9">
        <v>118</v>
      </c>
      <c r="R403" s="7">
        <f t="shared" si="3"/>
        <v>1.0699649277148282E-2</v>
      </c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4.4" hidden="1">
      <c r="A404" s="3">
        <f>LOOKUP(D404,'AMFI DATA_2023H2'!F:L,'AMFI DATA_2023H2'!L:L)</f>
        <v>1345</v>
      </c>
      <c r="B404" s="4" t="s">
        <v>3656</v>
      </c>
      <c r="C404" s="4" t="s">
        <v>3657</v>
      </c>
      <c r="D404" s="5" t="s">
        <v>3658</v>
      </c>
      <c r="E404" s="5">
        <v>648.03</v>
      </c>
      <c r="F404" s="6">
        <f>LOOKUP(D404,'AMFI DATA_2023H2'!F:J,'AMFI DATA_2023H2'!J:J)</f>
        <v>733.42004999999995</v>
      </c>
      <c r="G404" s="7">
        <f t="shared" si="2"/>
        <v>0.14531911146961418</v>
      </c>
      <c r="H404" s="9">
        <v>840</v>
      </c>
      <c r="I404" s="9">
        <v>833</v>
      </c>
      <c r="J404" s="9">
        <v>835</v>
      </c>
      <c r="K404" s="9">
        <v>807</v>
      </c>
      <c r="L404" s="9">
        <v>812</v>
      </c>
      <c r="M404" s="9">
        <v>800</v>
      </c>
      <c r="N404" s="9">
        <v>795</v>
      </c>
      <c r="O404" s="9">
        <v>805</v>
      </c>
      <c r="P404" s="9">
        <v>798</v>
      </c>
      <c r="Q404" s="9">
        <v>799</v>
      </c>
      <c r="R404" s="7">
        <f t="shared" si="3"/>
        <v>0.10768719780704128</v>
      </c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4.4" hidden="1">
      <c r="A405" s="3">
        <f>LOOKUP(D405,'AMFI DATA_2023H2'!F:L,'AMFI DATA_2023H2'!L:L)</f>
        <v>1526</v>
      </c>
      <c r="B405" s="4" t="s">
        <v>4013</v>
      </c>
      <c r="C405" s="4" t="s">
        <v>4014</v>
      </c>
      <c r="D405" s="5" t="s">
        <v>4015</v>
      </c>
      <c r="E405" s="5">
        <v>378.02</v>
      </c>
      <c r="F405" s="6">
        <f>LOOKUP(D405,'AMFI DATA_2023H2'!F:J,'AMFI DATA_2023H2'!J:J)</f>
        <v>477.35694999999998</v>
      </c>
      <c r="G405" s="7">
        <f t="shared" si="2"/>
        <v>0.46640789455354126</v>
      </c>
      <c r="H405" s="9">
        <v>700</v>
      </c>
      <c r="I405" s="9">
        <v>712</v>
      </c>
      <c r="J405" s="9">
        <v>635</v>
      </c>
      <c r="K405" s="9">
        <v>615</v>
      </c>
      <c r="L405" s="9">
        <v>605</v>
      </c>
      <c r="M405" s="9">
        <v>630</v>
      </c>
      <c r="N405" s="9">
        <v>640</v>
      </c>
      <c r="O405" s="9">
        <v>633</v>
      </c>
      <c r="P405" s="9">
        <v>633</v>
      </c>
      <c r="Q405" s="9">
        <v>592</v>
      </c>
      <c r="R405" s="7">
        <f t="shared" si="3"/>
        <v>0.33966835509569937</v>
      </c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4.4" hidden="1">
      <c r="A406" s="3">
        <f>LOOKUP(D406,'AMFI DATA_2023H2'!F:L,'AMFI DATA_2023H2'!L:L)</f>
        <v>1025</v>
      </c>
      <c r="B406" s="4" t="s">
        <v>2930</v>
      </c>
      <c r="C406" s="4" t="s">
        <v>2931</v>
      </c>
      <c r="D406" s="5" t="s">
        <v>2932</v>
      </c>
      <c r="E406" s="5">
        <v>980.02</v>
      </c>
      <c r="F406" s="6">
        <f>LOOKUP(D406,'AMFI DATA_2023H2'!F:J,'AMFI DATA_2023H2'!J:J)</f>
        <v>1607.1547</v>
      </c>
      <c r="G406" s="7">
        <f t="shared" si="2"/>
        <v>1.545918386076961E-2</v>
      </c>
      <c r="H406" s="8">
        <v>1632</v>
      </c>
      <c r="I406" s="8">
        <v>1630</v>
      </c>
      <c r="J406" s="8">
        <v>1618</v>
      </c>
      <c r="K406" s="8">
        <v>1629</v>
      </c>
      <c r="L406" s="8">
        <v>1636</v>
      </c>
      <c r="M406" s="8">
        <v>1638</v>
      </c>
      <c r="N406" s="8">
        <v>1614</v>
      </c>
      <c r="O406" s="8">
        <v>1595</v>
      </c>
      <c r="P406" s="8">
        <v>1599</v>
      </c>
      <c r="Q406" s="8">
        <v>1612</v>
      </c>
      <c r="R406" s="7">
        <f t="shared" si="3"/>
        <v>8.1792375058853395E-3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4.4" hidden="1">
      <c r="A407" s="3">
        <f>LOOKUP(D407,'AMFI DATA_2023H2'!F:L,'AMFI DATA_2023H2'!L:L)</f>
        <v>480</v>
      </c>
      <c r="B407" s="4" t="s">
        <v>1425</v>
      </c>
      <c r="C407" s="4" t="s">
        <v>1426</v>
      </c>
      <c r="D407" s="5" t="s">
        <v>1427</v>
      </c>
      <c r="E407" s="5">
        <v>7672.92</v>
      </c>
      <c r="F407" s="6">
        <f>LOOKUP(D407,'AMFI DATA_2023H2'!F:J,'AMFI DATA_2023H2'!J:J)</f>
        <v>7777.0280999999995</v>
      </c>
      <c r="G407" s="7">
        <f t="shared" si="2"/>
        <v>0.11134997699185378</v>
      </c>
      <c r="H407" s="8">
        <v>8643</v>
      </c>
      <c r="I407" s="8">
        <v>8784</v>
      </c>
      <c r="J407" s="8">
        <v>8673</v>
      </c>
      <c r="K407" s="8">
        <v>8741</v>
      </c>
      <c r="L407" s="8">
        <v>8682</v>
      </c>
      <c r="M407" s="8">
        <v>8568</v>
      </c>
      <c r="N407" s="8">
        <v>8559</v>
      </c>
      <c r="O407" s="8">
        <v>8548</v>
      </c>
      <c r="P407" s="8">
        <v>8507</v>
      </c>
      <c r="Q407" s="8">
        <v>8543</v>
      </c>
      <c r="R407" s="7">
        <f t="shared" si="3"/>
        <v>0.10900975142419767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4.4" hidden="1">
      <c r="A408" s="3">
        <f>LOOKUP(D408,'AMFI DATA_2023H2'!F:L,'AMFI DATA_2023H2'!L:L)</f>
        <v>210</v>
      </c>
      <c r="B408" s="4" t="s">
        <v>639</v>
      </c>
      <c r="C408" s="4" t="s">
        <v>640</v>
      </c>
      <c r="D408" s="5" t="s">
        <v>641</v>
      </c>
      <c r="E408" s="5">
        <v>26204.400000000001</v>
      </c>
      <c r="F408" s="6">
        <f>LOOKUP(D408,'AMFI DATA_2023H2'!F:J,'AMFI DATA_2023H2'!J:J)</f>
        <v>29017.8259</v>
      </c>
      <c r="G408" s="7">
        <f t="shared" si="2"/>
        <v>0.14970708401693189</v>
      </c>
      <c r="H408" s="8">
        <v>33362</v>
      </c>
      <c r="I408" s="8">
        <v>33921</v>
      </c>
      <c r="J408" s="8">
        <v>33826</v>
      </c>
      <c r="K408" s="8">
        <v>33791</v>
      </c>
      <c r="L408" s="8">
        <v>33742</v>
      </c>
      <c r="M408" s="8">
        <v>33856</v>
      </c>
      <c r="N408" s="8">
        <v>33190</v>
      </c>
      <c r="O408" s="8">
        <v>33637</v>
      </c>
      <c r="P408" s="8">
        <v>33737</v>
      </c>
      <c r="Q408" s="8">
        <v>32454</v>
      </c>
      <c r="R408" s="7">
        <f t="shared" si="3"/>
        <v>0.15624099874415465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4.4" hidden="1">
      <c r="A409" s="3">
        <f>LOOKUP(D409,'AMFI DATA_2023H2'!F:L,'AMFI DATA_2023H2'!L:L)</f>
        <v>206</v>
      </c>
      <c r="B409" s="4" t="s">
        <v>627</v>
      </c>
      <c r="C409" s="4" t="s">
        <v>628</v>
      </c>
      <c r="D409" s="5" t="s">
        <v>629</v>
      </c>
      <c r="E409" s="5">
        <v>24967.26</v>
      </c>
      <c r="F409" s="6">
        <f>LOOKUP(D409,'AMFI DATA_2023H2'!F:J,'AMFI DATA_2023H2'!J:J)</f>
        <v>29927.80315</v>
      </c>
      <c r="G409" s="7">
        <f t="shared" si="2"/>
        <v>-8.7478238441968115E-3</v>
      </c>
      <c r="H409" s="8">
        <v>29666</v>
      </c>
      <c r="I409" s="8">
        <v>29696</v>
      </c>
      <c r="J409" s="8">
        <v>29148</v>
      </c>
      <c r="K409" s="8">
        <v>28564</v>
      </c>
      <c r="L409" s="8">
        <v>28251</v>
      </c>
      <c r="M409" s="8">
        <v>28600</v>
      </c>
      <c r="N409" s="8">
        <v>28259</v>
      </c>
      <c r="O409" s="8">
        <v>28251</v>
      </c>
      <c r="P409" s="8">
        <v>28487</v>
      </c>
      <c r="Q409" s="8">
        <v>28479</v>
      </c>
      <c r="R409" s="7">
        <f t="shared" si="3"/>
        <v>-3.9685610869837684E-2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4.4" hidden="1">
      <c r="A410" s="3">
        <f>LOOKUP(D410,'AMFI DATA_2023H2'!F:L,'AMFI DATA_2023H2'!L:L)</f>
        <v>1603</v>
      </c>
      <c r="B410" s="4" t="s">
        <v>4151</v>
      </c>
      <c r="C410" s="4" t="s">
        <v>4152</v>
      </c>
      <c r="D410" s="5" t="s">
        <v>4153</v>
      </c>
      <c r="E410" s="5">
        <v>375.84</v>
      </c>
      <c r="F410" s="6">
        <f>LOOKUP(D410,'AMFI DATA_2023H2'!F:J,'AMFI DATA_2023H2'!J:J)</f>
        <v>412.12605000000002</v>
      </c>
      <c r="G410" s="7">
        <f t="shared" si="2"/>
        <v>-0.14103949507680968</v>
      </c>
      <c r="H410" s="9">
        <v>354</v>
      </c>
      <c r="I410" s="9">
        <v>343</v>
      </c>
      <c r="J410" s="9">
        <v>331</v>
      </c>
      <c r="K410" s="9">
        <v>316</v>
      </c>
      <c r="L410" s="9">
        <v>317</v>
      </c>
      <c r="M410" s="9">
        <v>306</v>
      </c>
      <c r="N410" s="9">
        <v>313</v>
      </c>
      <c r="O410" s="9">
        <v>326</v>
      </c>
      <c r="P410" s="9">
        <v>330</v>
      </c>
      <c r="Q410" s="9">
        <v>326</v>
      </c>
      <c r="R410" s="7">
        <f t="shared" si="3"/>
        <v>-0.20849458557642753</v>
      </c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4.4" hidden="1">
      <c r="A411" s="3">
        <f>LOOKUP(D411,'AMFI DATA_2023H2'!F:L,'AMFI DATA_2023H2'!L:L)</f>
        <v>657</v>
      </c>
      <c r="B411" s="4" t="s">
        <v>1923</v>
      </c>
      <c r="C411" s="4" t="s">
        <v>1924</v>
      </c>
      <c r="D411" s="5" t="s">
        <v>1925</v>
      </c>
      <c r="E411" s="5">
        <v>5607.24</v>
      </c>
      <c r="F411" s="6">
        <f>LOOKUP(D411,'AMFI DATA_2023H2'!F:J,'AMFI DATA_2023H2'!J:J)</f>
        <v>4378.2528499999999</v>
      </c>
      <c r="G411" s="7">
        <f t="shared" si="2"/>
        <v>-6.8806635962105234E-2</v>
      </c>
      <c r="H411" s="8">
        <v>4077</v>
      </c>
      <c r="I411" s="8">
        <v>4177</v>
      </c>
      <c r="J411" s="8">
        <v>4169</v>
      </c>
      <c r="K411" s="8">
        <v>4195</v>
      </c>
      <c r="L411" s="8">
        <v>4057</v>
      </c>
      <c r="M411" s="8">
        <v>3907</v>
      </c>
      <c r="N411" s="8">
        <v>3853</v>
      </c>
      <c r="O411" s="8">
        <v>3942</v>
      </c>
      <c r="P411" s="8">
        <v>3889</v>
      </c>
      <c r="Q411" s="8">
        <v>3833</v>
      </c>
      <c r="R411" s="7">
        <f t="shared" si="3"/>
        <v>-8.4132383994222626E-2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4.4" hidden="1">
      <c r="A412" s="3">
        <f>LOOKUP(D412,'AMFI DATA_2023H2'!F:L,'AMFI DATA_2023H2'!L:L)</f>
        <v>2407</v>
      </c>
      <c r="B412" s="4" t="s">
        <v>5213</v>
      </c>
      <c r="C412" s="4" t="s">
        <v>5214</v>
      </c>
      <c r="D412" s="5" t="s">
        <v>5215</v>
      </c>
      <c r="E412" s="5">
        <v>79.86</v>
      </c>
      <c r="F412" s="6">
        <f>LOOKUP(D412,'AMFI DATA_2023H2'!F:J,'AMFI DATA_2023H2'!J:J)</f>
        <v>95.620200000000011</v>
      </c>
      <c r="G412" s="7">
        <f t="shared" si="2"/>
        <v>0.16084258347085645</v>
      </c>
      <c r="H412" s="9">
        <v>111</v>
      </c>
      <c r="I412" s="9">
        <v>114</v>
      </c>
      <c r="J412" s="9">
        <v>117</v>
      </c>
      <c r="K412" s="9">
        <v>123</v>
      </c>
      <c r="L412" s="9">
        <v>106</v>
      </c>
      <c r="M412" s="9">
        <v>103</v>
      </c>
      <c r="N412" s="9">
        <v>106</v>
      </c>
      <c r="O412" s="9">
        <v>108</v>
      </c>
      <c r="P412" s="9">
        <v>110</v>
      </c>
      <c r="Q412" s="9">
        <v>105</v>
      </c>
      <c r="R412" s="7">
        <f t="shared" si="3"/>
        <v>0.15352195456608531</v>
      </c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4.4" hidden="1">
      <c r="A413" s="3">
        <f>LOOKUP(D413,'AMFI DATA_2023H2'!F:L,'AMFI DATA_2023H2'!L:L)</f>
        <v>879</v>
      </c>
      <c r="B413" s="4" t="s">
        <v>2549</v>
      </c>
      <c r="C413" s="4" t="s">
        <v>2550</v>
      </c>
      <c r="D413" s="5" t="s">
        <v>2551</v>
      </c>
      <c r="E413" s="5">
        <v>1496.4</v>
      </c>
      <c r="F413" s="6">
        <f>LOOKUP(D413,'AMFI DATA_2023H2'!F:J,'AMFI DATA_2023H2'!J:J)</f>
        <v>2268.7703000000001</v>
      </c>
      <c r="G413" s="7">
        <f t="shared" si="2"/>
        <v>0.24384561980558361</v>
      </c>
      <c r="H413" s="8">
        <v>2822</v>
      </c>
      <c r="I413" s="8">
        <v>2765</v>
      </c>
      <c r="J413" s="8">
        <v>2733</v>
      </c>
      <c r="K413" s="8">
        <v>2734</v>
      </c>
      <c r="L413" s="8">
        <v>2732</v>
      </c>
      <c r="M413" s="8">
        <v>2722</v>
      </c>
      <c r="N413" s="8">
        <v>2687</v>
      </c>
      <c r="O413" s="8">
        <v>2707</v>
      </c>
      <c r="P413" s="8">
        <v>2675</v>
      </c>
      <c r="Q413" s="8">
        <v>2618</v>
      </c>
      <c r="R413" s="7">
        <f t="shared" si="3"/>
        <v>0.19866696068791101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4.4" hidden="1">
      <c r="A414" s="3">
        <f>LOOKUP(D414,'AMFI DATA_2023H2'!F:L,'AMFI DATA_2023H2'!L:L)</f>
        <v>1748</v>
      </c>
      <c r="B414" s="4" t="s">
        <v>4412</v>
      </c>
      <c r="C414" s="4" t="s">
        <v>4413</v>
      </c>
      <c r="D414" s="5" t="s">
        <v>4414</v>
      </c>
      <c r="E414" s="5">
        <v>245.3</v>
      </c>
      <c r="F414" s="6">
        <f>LOOKUP(D414,'AMFI DATA_2023H2'!F:J,'AMFI DATA_2023H2'!J:J)</f>
        <v>300.33550000000002</v>
      </c>
      <c r="G414" s="7">
        <f t="shared" si="2"/>
        <v>0.16869301164863959</v>
      </c>
      <c r="H414" s="9">
        <v>351</v>
      </c>
      <c r="I414" s="9">
        <v>353</v>
      </c>
      <c r="J414" s="9">
        <v>353</v>
      </c>
      <c r="K414" s="9">
        <v>359</v>
      </c>
      <c r="L414" s="9">
        <v>360</v>
      </c>
      <c r="M414" s="9">
        <v>364</v>
      </c>
      <c r="N414" s="9">
        <v>355</v>
      </c>
      <c r="O414" s="9">
        <v>353</v>
      </c>
      <c r="P414" s="9">
        <v>374</v>
      </c>
      <c r="Q414" s="9">
        <v>371</v>
      </c>
      <c r="R414" s="7">
        <f t="shared" si="3"/>
        <v>0.19632877232295209</v>
      </c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4.4" hidden="1">
      <c r="A415" s="3">
        <f>LOOKUP(D415,'AMFI DATA_2023H2'!F:L,'AMFI DATA_2023H2'!L:L)</f>
        <v>240</v>
      </c>
      <c r="B415" s="4" t="s">
        <v>729</v>
      </c>
      <c r="C415" s="4" t="s">
        <v>730</v>
      </c>
      <c r="D415" s="5" t="s">
        <v>731</v>
      </c>
      <c r="E415" s="5">
        <v>19858.939999999999</v>
      </c>
      <c r="F415" s="6">
        <f>LOOKUP(D415,'AMFI DATA_2023H2'!F:J,'AMFI DATA_2023H2'!J:J)</f>
        <v>23546.372149999999</v>
      </c>
      <c r="G415" s="7">
        <f t="shared" si="2"/>
        <v>-4.5160763756976419E-2</v>
      </c>
      <c r="H415" s="8">
        <v>22483</v>
      </c>
      <c r="I415" s="8">
        <v>22875</v>
      </c>
      <c r="J415" s="8">
        <v>22966</v>
      </c>
      <c r="K415" s="8">
        <v>22893</v>
      </c>
      <c r="L415" s="8">
        <v>23122</v>
      </c>
      <c r="M415" s="8">
        <v>23327</v>
      </c>
      <c r="N415" s="8">
        <v>23273</v>
      </c>
      <c r="O415" s="8">
        <v>23080</v>
      </c>
      <c r="P415" s="8">
        <v>22857</v>
      </c>
      <c r="Q415" s="8">
        <v>22923</v>
      </c>
      <c r="R415" s="7">
        <f t="shared" si="3"/>
        <v>-2.4057725172750177E-2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4.4" hidden="1">
      <c r="A416" s="3">
        <f>LOOKUP(D416,'AMFI DATA_2023H2'!F:L,'AMFI DATA_2023H2'!L:L)</f>
        <v>1180</v>
      </c>
      <c r="B416" s="4" t="s">
        <v>3296</v>
      </c>
      <c r="C416" s="4" t="s">
        <v>3297</v>
      </c>
      <c r="D416" s="5" t="s">
        <v>3298</v>
      </c>
      <c r="E416" s="5">
        <v>1074.1400000000001</v>
      </c>
      <c r="F416" s="6">
        <f>LOOKUP(D416,'AMFI DATA_2023H2'!F:J,'AMFI DATA_2023H2'!J:J)</f>
        <v>1084.3578</v>
      </c>
      <c r="G416" s="7">
        <f t="shared" si="2"/>
        <v>-7.6872965731421883E-2</v>
      </c>
      <c r="H416" s="9">
        <v>1001</v>
      </c>
      <c r="I416" s="9">
        <v>1009</v>
      </c>
      <c r="J416" s="9">
        <v>1001</v>
      </c>
      <c r="K416" s="9">
        <v>1011</v>
      </c>
      <c r="L416" s="9">
        <v>1026</v>
      </c>
      <c r="M416" s="9">
        <v>1016</v>
      </c>
      <c r="N416" s="9">
        <v>991</v>
      </c>
      <c r="O416" s="9">
        <v>992</v>
      </c>
      <c r="P416" s="9">
        <v>994</v>
      </c>
      <c r="Q416" s="9">
        <v>984</v>
      </c>
      <c r="R416" s="7">
        <f t="shared" si="3"/>
        <v>-7.5489658487263189E-2</v>
      </c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4.4" hidden="1">
      <c r="A417" s="3">
        <f>LOOKUP(D417,'AMFI DATA_2023H2'!F:L,'AMFI DATA_2023H2'!L:L)</f>
        <v>979</v>
      </c>
      <c r="B417" s="4" t="s">
        <v>2807</v>
      </c>
      <c r="C417" s="4" t="s">
        <v>2808</v>
      </c>
      <c r="D417" s="5" t="s">
        <v>2809</v>
      </c>
      <c r="E417" s="5">
        <v>1579.14</v>
      </c>
      <c r="F417" s="6">
        <f>LOOKUP(D417,'AMFI DATA_2023H2'!F:J,'AMFI DATA_2023H2'!J:J)</f>
        <v>1807.2616</v>
      </c>
      <c r="G417" s="7">
        <f t="shared" si="2"/>
        <v>-7.8912759503106944E-3</v>
      </c>
      <c r="H417" s="8">
        <v>1793</v>
      </c>
      <c r="I417" s="8">
        <v>1793</v>
      </c>
      <c r="J417" s="8">
        <v>1789</v>
      </c>
      <c r="K417" s="8">
        <v>1763</v>
      </c>
      <c r="L417" s="8">
        <v>1769</v>
      </c>
      <c r="M417" s="8">
        <v>1683</v>
      </c>
      <c r="N417" s="8">
        <v>1651</v>
      </c>
      <c r="O417" s="8">
        <v>1677</v>
      </c>
      <c r="P417" s="8">
        <v>1669</v>
      </c>
      <c r="Q417" s="8">
        <v>1661</v>
      </c>
      <c r="R417" s="7">
        <f t="shared" si="3"/>
        <v>-4.5627926803734509E-2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4.4" hidden="1">
      <c r="A418" s="3">
        <f>LOOKUP(D418,'AMFI DATA_2023H2'!F:L,'AMFI DATA_2023H2'!L:L)</f>
        <v>859</v>
      </c>
      <c r="B418" s="4" t="s">
        <v>2489</v>
      </c>
      <c r="C418" s="4" t="s">
        <v>2490</v>
      </c>
      <c r="D418" s="5" t="s">
        <v>2491</v>
      </c>
      <c r="E418" s="5">
        <v>2080.3200000000002</v>
      </c>
      <c r="F418" s="6">
        <f>LOOKUP(D418,'AMFI DATA_2023H2'!F:J,'AMFI DATA_2023H2'!J:J)</f>
        <v>2465.7622000000001</v>
      </c>
      <c r="G418" s="7">
        <f t="shared" si="2"/>
        <v>-5.5813168033803651E-3</v>
      </c>
      <c r="H418" s="8">
        <v>2452</v>
      </c>
      <c r="I418" s="8">
        <v>2389</v>
      </c>
      <c r="J418" s="8">
        <v>2345</v>
      </c>
      <c r="K418" s="8">
        <v>2341</v>
      </c>
      <c r="L418" s="8">
        <v>2374</v>
      </c>
      <c r="M418" s="8">
        <v>2338</v>
      </c>
      <c r="N418" s="8">
        <v>2384</v>
      </c>
      <c r="O418" s="8">
        <v>2407</v>
      </c>
      <c r="P418" s="8">
        <v>2413</v>
      </c>
      <c r="Q418" s="8">
        <v>2410</v>
      </c>
      <c r="R418" s="7">
        <f t="shared" si="3"/>
        <v>-3.2631776089356856E-2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4.4" hidden="1">
      <c r="A419" s="3">
        <f>LOOKUP(D419,'AMFI DATA_2023H2'!F:L,'AMFI DATA_2023H2'!L:L)</f>
        <v>1381</v>
      </c>
      <c r="B419" s="4" t="s">
        <v>3731</v>
      </c>
      <c r="C419" s="4" t="s">
        <v>3732</v>
      </c>
      <c r="D419" s="5" t="s">
        <v>3733</v>
      </c>
      <c r="E419" s="5">
        <v>426.42</v>
      </c>
      <c r="F419" s="6">
        <f>LOOKUP(D419,'AMFI DATA_2023H2'!F:J,'AMFI DATA_2023H2'!J:J)</f>
        <v>667.67810000000009</v>
      </c>
      <c r="G419" s="7">
        <f t="shared" si="2"/>
        <v>0.1802094452401537</v>
      </c>
      <c r="H419" s="9">
        <v>788</v>
      </c>
      <c r="I419" s="9">
        <v>793</v>
      </c>
      <c r="J419" s="9">
        <v>798</v>
      </c>
      <c r="K419" s="9">
        <v>803</v>
      </c>
      <c r="L419" s="9">
        <v>783</v>
      </c>
      <c r="M419" s="9">
        <v>777</v>
      </c>
      <c r="N419" s="9">
        <v>756</v>
      </c>
      <c r="O419" s="9">
        <v>748</v>
      </c>
      <c r="P419" s="9">
        <v>746</v>
      </c>
      <c r="Q419" s="9">
        <v>750</v>
      </c>
      <c r="R419" s="7">
        <f t="shared" si="3"/>
        <v>0.15954080267122728</v>
      </c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4.4" hidden="1">
      <c r="A420" s="3">
        <f>LOOKUP(D420,'AMFI DATA_2023H2'!F:L,'AMFI DATA_2023H2'!L:L)</f>
        <v>698</v>
      </c>
      <c r="B420" s="4" t="s">
        <v>2046</v>
      </c>
      <c r="C420" s="4" t="s">
        <v>2047</v>
      </c>
      <c r="D420" s="5" t="s">
        <v>2048</v>
      </c>
      <c r="E420" s="5">
        <v>3194.5</v>
      </c>
      <c r="F420" s="6">
        <f>LOOKUP(D420,'AMFI DATA_2023H2'!F:J,'AMFI DATA_2023H2'!J:J)</f>
        <v>3900.60925</v>
      </c>
      <c r="G420" s="7">
        <f t="shared" si="2"/>
        <v>0.36619683194362529</v>
      </c>
      <c r="H420" s="8">
        <v>5329</v>
      </c>
      <c r="I420" s="8">
        <v>5234</v>
      </c>
      <c r="J420" s="8">
        <v>5221</v>
      </c>
      <c r="K420" s="8">
        <v>5020</v>
      </c>
      <c r="L420" s="8">
        <v>4935</v>
      </c>
      <c r="M420" s="8">
        <v>4846</v>
      </c>
      <c r="N420" s="8">
        <v>4920</v>
      </c>
      <c r="O420" s="8">
        <v>4902</v>
      </c>
      <c r="P420" s="8">
        <v>4890</v>
      </c>
      <c r="Q420" s="8">
        <v>4772</v>
      </c>
      <c r="R420" s="7">
        <f t="shared" si="3"/>
        <v>0.28361998833900115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4.4" hidden="1">
      <c r="A421" s="3">
        <f>LOOKUP(D421,'AMFI DATA_2023H2'!F:L,'AMFI DATA_2023H2'!L:L)</f>
        <v>1325</v>
      </c>
      <c r="B421" s="4" t="s">
        <v>3626</v>
      </c>
      <c r="C421" s="4" t="s">
        <v>3627</v>
      </c>
      <c r="D421" s="5" t="s">
        <v>3628</v>
      </c>
      <c r="E421" s="5">
        <v>581.82000000000005</v>
      </c>
      <c r="F421" s="6">
        <f>LOOKUP(D421,'AMFI DATA_2023H2'!F:J,'AMFI DATA_2023H2'!J:J)</f>
        <v>756.74549999999999</v>
      </c>
      <c r="G421" s="7">
        <f t="shared" si="2"/>
        <v>0.2421613342927047</v>
      </c>
      <c r="H421" s="9">
        <v>940</v>
      </c>
      <c r="I421" s="9">
        <v>952</v>
      </c>
      <c r="J421" s="9">
        <v>901</v>
      </c>
      <c r="K421" s="9">
        <v>912</v>
      </c>
      <c r="L421" s="9">
        <v>890</v>
      </c>
      <c r="M421" s="9">
        <v>884</v>
      </c>
      <c r="N421" s="9">
        <v>885</v>
      </c>
      <c r="O421" s="9">
        <v>908</v>
      </c>
      <c r="P421" s="9">
        <v>891</v>
      </c>
      <c r="Q421" s="9">
        <v>873</v>
      </c>
      <c r="R421" s="7">
        <f t="shared" si="3"/>
        <v>0.19406061879456171</v>
      </c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4.4" hidden="1">
      <c r="A422" s="3">
        <f>LOOKUP(D422,'AMFI DATA_2023H2'!F:L,'AMFI DATA_2023H2'!L:L)</f>
        <v>2475</v>
      </c>
      <c r="B422" s="4" t="s">
        <v>5278</v>
      </c>
      <c r="C422" s="4" t="s">
        <v>5279</v>
      </c>
      <c r="D422" s="5" t="s">
        <v>5280</v>
      </c>
      <c r="E422" s="5">
        <v>80.39</v>
      </c>
      <c r="F422" s="6">
        <f>LOOKUP(D422,'AMFI DATA_2023H2'!F:J,'AMFI DATA_2023H2'!J:J)</f>
        <v>85.440699999999993</v>
      </c>
      <c r="G422" s="7">
        <f t="shared" si="2"/>
        <v>6.8577387591628014E-2</v>
      </c>
      <c r="H422" s="9">
        <v>91.3</v>
      </c>
      <c r="I422" s="9">
        <v>93.4</v>
      </c>
      <c r="J422" s="9">
        <v>90.6</v>
      </c>
      <c r="K422" s="9">
        <v>90.8</v>
      </c>
      <c r="L422" s="9">
        <v>88.7</v>
      </c>
      <c r="M422" s="9">
        <v>89.9</v>
      </c>
      <c r="N422" s="9">
        <v>90.7</v>
      </c>
      <c r="O422" s="9">
        <v>89.3</v>
      </c>
      <c r="P422" s="9">
        <v>87.7</v>
      </c>
      <c r="Q422" s="9">
        <v>87.9</v>
      </c>
      <c r="R422" s="7">
        <f t="shared" si="3"/>
        <v>5.3713277161821171E-2</v>
      </c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4.4" hidden="1">
      <c r="A423" s="3">
        <f>LOOKUP(D423,'AMFI DATA_2023H2'!F:L,'AMFI DATA_2023H2'!L:L)</f>
        <v>1483</v>
      </c>
      <c r="B423" s="4" t="s">
        <v>3923</v>
      </c>
      <c r="C423" s="4" t="s">
        <v>3924</v>
      </c>
      <c r="D423" s="5" t="s">
        <v>3925</v>
      </c>
      <c r="E423" s="5">
        <v>398.89</v>
      </c>
      <c r="F423" s="6">
        <f>LOOKUP(D423,'AMFI DATA_2023H2'!F:J,'AMFI DATA_2023H2'!J:J)</f>
        <v>531.50984999999991</v>
      </c>
      <c r="G423" s="7">
        <f t="shared" si="2"/>
        <v>0.38097158500449257</v>
      </c>
      <c r="H423" s="9">
        <v>734</v>
      </c>
      <c r="I423" s="9">
        <v>733</v>
      </c>
      <c r="J423" s="9">
        <v>729</v>
      </c>
      <c r="K423" s="9">
        <v>745</v>
      </c>
      <c r="L423" s="9">
        <v>743</v>
      </c>
      <c r="M423" s="9">
        <v>726</v>
      </c>
      <c r="N423" s="9">
        <v>721</v>
      </c>
      <c r="O423" s="9">
        <v>722</v>
      </c>
      <c r="P423" s="9">
        <v>726</v>
      </c>
      <c r="Q423" s="9">
        <v>732</v>
      </c>
      <c r="R423" s="7">
        <f t="shared" si="3"/>
        <v>0.37551543024085099</v>
      </c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4.4" hidden="1">
      <c r="A424" s="3">
        <f>LOOKUP(D424,'AMFI DATA_2023H2'!F:L,'AMFI DATA_2023H2'!L:L)</f>
        <v>1887</v>
      </c>
      <c r="B424" s="4" t="s">
        <v>4592</v>
      </c>
      <c r="C424" s="4" t="s">
        <v>4593</v>
      </c>
      <c r="D424" s="5" t="s">
        <v>4594</v>
      </c>
      <c r="E424" s="5">
        <v>219.1</v>
      </c>
      <c r="F424" s="6">
        <f>LOOKUP(D424,'AMFI DATA_2023H2'!F:J,'AMFI DATA_2023H2'!J:J)</f>
        <v>229.01884999999999</v>
      </c>
      <c r="G424" s="7">
        <f t="shared" si="2"/>
        <v>6.1048031635823952E-2</v>
      </c>
      <c r="H424" s="9">
        <v>243</v>
      </c>
      <c r="I424" s="9">
        <v>234</v>
      </c>
      <c r="J424" s="9">
        <v>234</v>
      </c>
      <c r="K424" s="9">
        <v>234</v>
      </c>
      <c r="L424" s="9">
        <v>234</v>
      </c>
      <c r="M424" s="9">
        <v>233</v>
      </c>
      <c r="N424" s="9">
        <v>237</v>
      </c>
      <c r="O424" s="9">
        <v>234</v>
      </c>
      <c r="P424" s="9">
        <v>243</v>
      </c>
      <c r="Q424" s="9">
        <v>238</v>
      </c>
      <c r="R424" s="7">
        <f t="shared" si="3"/>
        <v>3.2229443122258283E-2</v>
      </c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4.4" hidden="1">
      <c r="A425" s="3">
        <f>LOOKUP(D425,'AMFI DATA_2023H2'!F:L,'AMFI DATA_2023H2'!L:L)</f>
        <v>1213</v>
      </c>
      <c r="B425" s="4" t="s">
        <v>3383</v>
      </c>
      <c r="C425" s="4" t="s">
        <v>3384</v>
      </c>
      <c r="D425" s="5" t="s">
        <v>3385</v>
      </c>
      <c r="E425" s="5">
        <v>829.83</v>
      </c>
      <c r="F425" s="6">
        <f>LOOKUP(D425,'AMFI DATA_2023H2'!F:J,'AMFI DATA_2023H2'!J:J)</f>
        <v>1008.0953999999999</v>
      </c>
      <c r="G425" s="7">
        <f t="shared" si="2"/>
        <v>0.14473292904619939</v>
      </c>
      <c r="H425" s="8">
        <v>1154</v>
      </c>
      <c r="I425" s="8">
        <v>1161</v>
      </c>
      <c r="J425" s="8">
        <v>1138</v>
      </c>
      <c r="K425" s="8">
        <v>1137</v>
      </c>
      <c r="L425" s="8">
        <v>1136</v>
      </c>
      <c r="M425" s="8">
        <v>1108</v>
      </c>
      <c r="N425" s="8">
        <v>1101</v>
      </c>
      <c r="O425" s="8">
        <v>1103</v>
      </c>
      <c r="P425" s="8">
        <v>1117</v>
      </c>
      <c r="Q425" s="8">
        <v>1107</v>
      </c>
      <c r="R425" s="7">
        <f t="shared" si="3"/>
        <v>0.11715617390973132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4.4" hidden="1">
      <c r="A426" s="3">
        <f>LOOKUP(D426,'AMFI DATA_2023H2'!F:L,'AMFI DATA_2023H2'!L:L)</f>
        <v>1502</v>
      </c>
      <c r="B426" s="4" t="s">
        <v>3968</v>
      </c>
      <c r="C426" s="4" t="s">
        <v>3969</v>
      </c>
      <c r="D426" s="5" t="s">
        <v>3970</v>
      </c>
      <c r="E426" s="5">
        <v>398.89</v>
      </c>
      <c r="F426" s="6">
        <f>LOOKUP(D426,'AMFI DATA_2023H2'!F:J,'AMFI DATA_2023H2'!J:J)</f>
        <v>506.21055000000001</v>
      </c>
      <c r="G426" s="7">
        <f t="shared" si="2"/>
        <v>4.6995168314844404E-2</v>
      </c>
      <c r="H426" s="9">
        <v>530</v>
      </c>
      <c r="I426" s="9">
        <v>522</v>
      </c>
      <c r="J426" s="9">
        <v>525</v>
      </c>
      <c r="K426" s="9">
        <v>525</v>
      </c>
      <c r="L426" s="9">
        <v>535</v>
      </c>
      <c r="M426" s="9">
        <v>543</v>
      </c>
      <c r="N426" s="9">
        <v>537</v>
      </c>
      <c r="O426" s="9">
        <v>555</v>
      </c>
      <c r="P426" s="9">
        <v>558</v>
      </c>
      <c r="Q426" s="9">
        <v>538</v>
      </c>
      <c r="R426" s="7">
        <f t="shared" si="3"/>
        <v>6.0428313870581896E-2</v>
      </c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4.4" hidden="1">
      <c r="A427" s="3">
        <f>LOOKUP(D427,'AMFI DATA_2023H2'!F:L,'AMFI DATA_2023H2'!L:L)</f>
        <v>3182</v>
      </c>
      <c r="B427" s="4" t="s">
        <v>5608</v>
      </c>
      <c r="C427" s="4" t="s">
        <v>5609</v>
      </c>
      <c r="D427" s="5" t="s">
        <v>5610</v>
      </c>
      <c r="E427" s="5">
        <v>398.89</v>
      </c>
      <c r="F427" s="6">
        <f>LOOKUP(D427,'AMFI DATA_2023H2'!F:J,'AMFI DATA_2023H2'!J:J)</f>
        <v>28.903200000000002</v>
      </c>
      <c r="G427" s="7">
        <f t="shared" si="2"/>
        <v>30.00002767859614</v>
      </c>
      <c r="H427" s="9">
        <v>896</v>
      </c>
      <c r="I427" s="9">
        <v>878</v>
      </c>
      <c r="J427" s="9">
        <v>861</v>
      </c>
      <c r="K427" s="9">
        <v>844</v>
      </c>
      <c r="L427" s="9">
        <v>828</v>
      </c>
      <c r="M427" s="9">
        <v>812</v>
      </c>
      <c r="N427" s="9">
        <v>796</v>
      </c>
      <c r="O427" s="9">
        <v>781</v>
      </c>
      <c r="P427" s="9">
        <v>827</v>
      </c>
      <c r="Q427" s="9">
        <v>780</v>
      </c>
      <c r="R427" s="7">
        <f t="shared" si="3"/>
        <v>27.726922970466934</v>
      </c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4.4" hidden="1">
      <c r="A428" s="3">
        <f>LOOKUP(D428,'AMFI DATA_2023H2'!F:L,'AMFI DATA_2023H2'!L:L)</f>
        <v>1596</v>
      </c>
      <c r="B428" s="4" t="s">
        <v>4136</v>
      </c>
      <c r="C428" s="4" t="s">
        <v>4137</v>
      </c>
      <c r="D428" s="5" t="s">
        <v>4138</v>
      </c>
      <c r="E428" s="5">
        <v>364.29</v>
      </c>
      <c r="F428" s="6">
        <f>LOOKUP(D428,'AMFI DATA_2023H2'!F:J,'AMFI DATA_2023H2'!J:J)</f>
        <v>415.84789999999998</v>
      </c>
      <c r="G428" s="7">
        <f t="shared" si="2"/>
        <v>0.13743510547967186</v>
      </c>
      <c r="H428" s="9">
        <v>473</v>
      </c>
      <c r="I428" s="9">
        <v>467</v>
      </c>
      <c r="J428" s="9">
        <v>462</v>
      </c>
      <c r="K428" s="9">
        <v>466</v>
      </c>
      <c r="L428" s="9">
        <v>459</v>
      </c>
      <c r="M428" s="9">
        <v>452</v>
      </c>
      <c r="N428" s="9">
        <v>455</v>
      </c>
      <c r="O428" s="9">
        <v>465</v>
      </c>
      <c r="P428" s="9">
        <v>462</v>
      </c>
      <c r="Q428" s="9">
        <v>464</v>
      </c>
      <c r="R428" s="7">
        <f t="shared" si="3"/>
        <v>0.11218548897325209</v>
      </c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4.4" hidden="1">
      <c r="A429" s="3">
        <f>LOOKUP(D429,'AMFI DATA_2023H2'!F:L,'AMFI DATA_2023H2'!L:L)</f>
        <v>2314</v>
      </c>
      <c r="B429" s="4" t="s">
        <v>5147</v>
      </c>
      <c r="C429" s="4" t="s">
        <v>5148</v>
      </c>
      <c r="D429" s="5" t="s">
        <v>5149</v>
      </c>
      <c r="E429" s="5">
        <v>93.35</v>
      </c>
      <c r="F429" s="6">
        <f>LOOKUP(D429,'AMFI DATA_2023H2'!F:J,'AMFI DATA_2023H2'!J:J)</f>
        <v>109.5483</v>
      </c>
      <c r="G429" s="7">
        <f t="shared" si="2"/>
        <v>3.1508476169872068E-2</v>
      </c>
      <c r="H429" s="9">
        <v>113</v>
      </c>
      <c r="I429" s="9">
        <v>112</v>
      </c>
      <c r="J429" s="9">
        <v>113</v>
      </c>
      <c r="K429" s="9">
        <v>111</v>
      </c>
      <c r="L429" s="9">
        <v>109</v>
      </c>
      <c r="M429" s="9">
        <v>107</v>
      </c>
      <c r="N429" s="9">
        <v>109</v>
      </c>
      <c r="O429" s="9">
        <v>108</v>
      </c>
      <c r="P429" s="9">
        <v>109</v>
      </c>
      <c r="Q429" s="9">
        <v>111</v>
      </c>
      <c r="R429" s="7">
        <f t="shared" si="3"/>
        <v>5.9489741054858936E-3</v>
      </c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4.4" hidden="1">
      <c r="A430" s="3">
        <f>LOOKUP(D430,'AMFI DATA_2023H2'!F:L,'AMFI DATA_2023H2'!L:L)</f>
        <v>1364</v>
      </c>
      <c r="B430" s="4" t="s">
        <v>3692</v>
      </c>
      <c r="C430" s="4" t="s">
        <v>3693</v>
      </c>
      <c r="D430" s="5" t="s">
        <v>3694</v>
      </c>
      <c r="E430" s="5">
        <v>487.52</v>
      </c>
      <c r="F430" s="6">
        <f>LOOKUP(D430,'AMFI DATA_2023H2'!F:J,'AMFI DATA_2023H2'!J:J)</f>
        <v>696.32909999999993</v>
      </c>
      <c r="G430" s="7">
        <f t="shared" si="2"/>
        <v>0.16037086486835039</v>
      </c>
      <c r="H430" s="9">
        <v>808</v>
      </c>
      <c r="I430" s="9">
        <v>732</v>
      </c>
      <c r="J430" s="9">
        <v>667</v>
      </c>
      <c r="K430" s="9">
        <v>652</v>
      </c>
      <c r="L430" s="9">
        <v>663</v>
      </c>
      <c r="M430" s="9">
        <v>653</v>
      </c>
      <c r="N430" s="9">
        <v>650</v>
      </c>
      <c r="O430" s="9">
        <v>651</v>
      </c>
      <c r="P430" s="9">
        <v>663</v>
      </c>
      <c r="Q430" s="9">
        <v>671</v>
      </c>
      <c r="R430" s="7">
        <f t="shared" si="3"/>
        <v>-2.2014159683976908E-2</v>
      </c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4.4" hidden="1">
      <c r="A431" s="3">
        <f>LOOKUP(D431,'AMFI DATA_2023H2'!F:L,'AMFI DATA_2023H2'!L:L)</f>
        <v>2430</v>
      </c>
      <c r="B431" s="4" t="s">
        <v>5236</v>
      </c>
      <c r="C431" s="4" t="s">
        <v>5237</v>
      </c>
      <c r="D431" s="5" t="s">
        <v>5238</v>
      </c>
      <c r="E431" s="5">
        <v>105.37</v>
      </c>
      <c r="F431" s="6">
        <f>LOOKUP(D431,'AMFI DATA_2023H2'!F:J,'AMFI DATA_2023H2'!J:J)</f>
        <v>92.596350000000001</v>
      </c>
      <c r="G431" s="7">
        <f t="shared" si="2"/>
        <v>0.80352681288193328</v>
      </c>
      <c r="H431" s="9">
        <v>167</v>
      </c>
      <c r="I431" s="9">
        <v>169</v>
      </c>
      <c r="J431" s="9">
        <v>166</v>
      </c>
      <c r="K431" s="9">
        <v>166</v>
      </c>
      <c r="L431" s="9">
        <v>164</v>
      </c>
      <c r="M431" s="9">
        <v>165</v>
      </c>
      <c r="N431" s="9">
        <v>168</v>
      </c>
      <c r="O431" s="9">
        <v>166</v>
      </c>
      <c r="P431" s="9">
        <v>167</v>
      </c>
      <c r="Q431" s="9">
        <v>168</v>
      </c>
      <c r="R431" s="7">
        <f t="shared" si="3"/>
        <v>0.79920698818041958</v>
      </c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4.4" hidden="1">
      <c r="A432" s="3">
        <f>LOOKUP(D432,'AMFI DATA_2023H2'!F:L,'AMFI DATA_2023H2'!L:L)</f>
        <v>2878</v>
      </c>
      <c r="B432" s="4" t="s">
        <v>5488</v>
      </c>
      <c r="C432" s="4" t="s">
        <v>5489</v>
      </c>
      <c r="D432" s="5" t="s">
        <v>5490</v>
      </c>
      <c r="E432" s="5">
        <v>33.56</v>
      </c>
      <c r="F432" s="6">
        <f>LOOKUP(D432,'AMFI DATA_2023H2'!F:J,'AMFI DATA_2023H2'!J:J)</f>
        <v>45.478899999999996</v>
      </c>
      <c r="G432" s="7">
        <f t="shared" si="2"/>
        <v>0.26872021970628146</v>
      </c>
      <c r="H432" s="9">
        <v>57.7</v>
      </c>
      <c r="I432" s="9">
        <v>58.8</v>
      </c>
      <c r="J432" s="9">
        <v>58.8</v>
      </c>
      <c r="K432" s="9">
        <v>58.8</v>
      </c>
      <c r="L432" s="9">
        <v>58.8</v>
      </c>
      <c r="M432" s="9">
        <v>60</v>
      </c>
      <c r="N432" s="9">
        <v>60</v>
      </c>
      <c r="O432" s="9">
        <v>60.4</v>
      </c>
      <c r="P432" s="9">
        <v>59.7</v>
      </c>
      <c r="Q432" s="9">
        <v>58.8</v>
      </c>
      <c r="R432" s="7">
        <f t="shared" si="3"/>
        <v>0.30126278340065382</v>
      </c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4.4" hidden="1">
      <c r="A433" s="3">
        <f>LOOKUP(D433,'AMFI DATA_2023H2'!F:L,'AMFI DATA_2023H2'!L:L)</f>
        <v>627</v>
      </c>
      <c r="B433" s="4" t="s">
        <v>1851</v>
      </c>
      <c r="C433" s="4" t="s">
        <v>1852</v>
      </c>
      <c r="D433" s="5" t="s">
        <v>1853</v>
      </c>
      <c r="E433" s="5">
        <v>2920.65</v>
      </c>
      <c r="F433" s="6">
        <f>LOOKUP(D433,'AMFI DATA_2023H2'!F:J,'AMFI DATA_2023H2'!J:J)</f>
        <v>4770.6378500000001</v>
      </c>
      <c r="G433" s="7">
        <f t="shared" si="2"/>
        <v>0.20591840774499359</v>
      </c>
      <c r="H433" s="8">
        <v>5753</v>
      </c>
      <c r="I433" s="8">
        <v>5655</v>
      </c>
      <c r="J433" s="8">
        <v>5596</v>
      </c>
      <c r="K433" s="8">
        <v>5537</v>
      </c>
      <c r="L433" s="8">
        <v>5574</v>
      </c>
      <c r="M433" s="8">
        <v>5632</v>
      </c>
      <c r="N433" s="8">
        <v>5740</v>
      </c>
      <c r="O433" s="8">
        <v>5653</v>
      </c>
      <c r="P433" s="8">
        <v>5733</v>
      </c>
      <c r="Q433" s="8">
        <v>5654</v>
      </c>
      <c r="R433" s="7">
        <f t="shared" si="3"/>
        <v>0.18489396548933179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4.4" hidden="1">
      <c r="A434" s="3">
        <f>LOOKUP(D434,'AMFI DATA_2023H2'!F:L,'AMFI DATA_2023H2'!L:L)</f>
        <v>741</v>
      </c>
      <c r="B434" s="4" t="s">
        <v>2168</v>
      </c>
      <c r="C434" s="4" t="s">
        <v>2169</v>
      </c>
      <c r="D434" s="5" t="s">
        <v>2170</v>
      </c>
      <c r="E434" s="5">
        <v>2782.07</v>
      </c>
      <c r="F434" s="6">
        <f>LOOKUP(D434,'AMFI DATA_2023H2'!F:J,'AMFI DATA_2023H2'!J:J)</f>
        <v>3432.1648500000001</v>
      </c>
      <c r="G434" s="7">
        <f t="shared" si="2"/>
        <v>0.1604920433818906</v>
      </c>
      <c r="H434" s="8">
        <v>3983</v>
      </c>
      <c r="I434" s="8">
        <v>3590</v>
      </c>
      <c r="J434" s="8">
        <v>3471</v>
      </c>
      <c r="K434" s="8">
        <v>3519</v>
      </c>
      <c r="L434" s="8">
        <v>3567</v>
      </c>
      <c r="M434" s="8">
        <v>3375</v>
      </c>
      <c r="N434" s="8">
        <v>3410</v>
      </c>
      <c r="O434" s="8">
        <v>3546</v>
      </c>
      <c r="P434" s="8">
        <v>3566</v>
      </c>
      <c r="Q434" s="8">
        <v>3637</v>
      </c>
      <c r="R434" s="7">
        <f t="shared" si="3"/>
        <v>3.9110927320405331E-2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4.4" hidden="1">
      <c r="A435" s="3">
        <f>LOOKUP(D435,'AMFI DATA_2023H2'!F:L,'AMFI DATA_2023H2'!L:L)</f>
        <v>862</v>
      </c>
      <c r="B435" s="4" t="s">
        <v>2498</v>
      </c>
      <c r="C435" s="4" t="s">
        <v>2499</v>
      </c>
      <c r="D435" s="5" t="s">
        <v>2500</v>
      </c>
      <c r="E435" s="5">
        <v>1842.58</v>
      </c>
      <c r="F435" s="6">
        <f>LOOKUP(D435,'AMFI DATA_2023H2'!F:J,'AMFI DATA_2023H2'!J:J)</f>
        <v>2455.3867500000001</v>
      </c>
      <c r="G435" s="7">
        <f t="shared" si="2"/>
        <v>0.18840748814825203</v>
      </c>
      <c r="H435" s="8">
        <v>2918</v>
      </c>
      <c r="I435" s="8">
        <v>2946</v>
      </c>
      <c r="J435" s="8">
        <v>3014</v>
      </c>
      <c r="K435" s="8">
        <v>2988</v>
      </c>
      <c r="L435" s="8">
        <v>2805</v>
      </c>
      <c r="M435" s="8">
        <v>2678</v>
      </c>
      <c r="N435" s="8">
        <v>2763</v>
      </c>
      <c r="O435" s="8">
        <v>2480</v>
      </c>
      <c r="P435" s="8">
        <v>2487</v>
      </c>
      <c r="Q435" s="8">
        <v>2454</v>
      </c>
      <c r="R435" s="7">
        <f t="shared" si="3"/>
        <v>0.12133047879320835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4.4" hidden="1">
      <c r="A436" s="3">
        <f>LOOKUP(D436,'AMFI DATA_2023H2'!F:L,'AMFI DATA_2023H2'!L:L)</f>
        <v>787</v>
      </c>
      <c r="B436" s="4" t="s">
        <v>2288</v>
      </c>
      <c r="C436" s="4" t="s">
        <v>2289</v>
      </c>
      <c r="D436" s="5" t="s">
        <v>2290</v>
      </c>
      <c r="E436" s="5">
        <v>2270.12</v>
      </c>
      <c r="F436" s="6">
        <f>LOOKUP(D436,'AMFI DATA_2023H2'!F:J,'AMFI DATA_2023H2'!J:J)</f>
        <v>3010.6279999999997</v>
      </c>
      <c r="G436" s="7">
        <f t="shared" si="2"/>
        <v>-1.2830545653597758E-2</v>
      </c>
      <c r="H436" s="8">
        <v>2972</v>
      </c>
      <c r="I436" s="8">
        <v>2984</v>
      </c>
      <c r="J436" s="8">
        <v>2935</v>
      </c>
      <c r="K436" s="8">
        <v>2971</v>
      </c>
      <c r="L436" s="8">
        <v>3001</v>
      </c>
      <c r="M436" s="8">
        <v>3007</v>
      </c>
      <c r="N436" s="8">
        <v>3061</v>
      </c>
      <c r="O436" s="8">
        <v>3029</v>
      </c>
      <c r="P436" s="8">
        <v>3039</v>
      </c>
      <c r="Q436" s="8">
        <v>3042</v>
      </c>
      <c r="R436" s="7">
        <f t="shared" si="3"/>
        <v>-2.1683183707850162E-3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4.4" hidden="1">
      <c r="A437" s="3">
        <f>LOOKUP(D437,'AMFI DATA_2023H2'!F:L,'AMFI DATA_2023H2'!L:L)</f>
        <v>59</v>
      </c>
      <c r="B437" s="4" t="s">
        <v>186</v>
      </c>
      <c r="C437" s="4" t="s">
        <v>187</v>
      </c>
      <c r="D437" s="5" t="s">
        <v>188</v>
      </c>
      <c r="E437" s="5">
        <v>84517.97</v>
      </c>
      <c r="F437" s="6">
        <f>LOOKUP(D437,'AMFI DATA_2023H2'!F:J,'AMFI DATA_2023H2'!J:J)</f>
        <v>97400.486750000011</v>
      </c>
      <c r="G437" s="7">
        <f t="shared" si="2"/>
        <v>9.356743024695402E-2</v>
      </c>
      <c r="H437" s="8">
        <v>106514</v>
      </c>
      <c r="I437" s="8">
        <v>107306</v>
      </c>
      <c r="J437" s="8">
        <v>106968</v>
      </c>
      <c r="K437" s="8">
        <v>106984</v>
      </c>
      <c r="L437" s="8">
        <v>104086</v>
      </c>
      <c r="M437" s="8">
        <v>103581</v>
      </c>
      <c r="N437" s="8">
        <v>104556</v>
      </c>
      <c r="O437" s="8">
        <v>103127</v>
      </c>
      <c r="P437" s="8">
        <v>102580</v>
      </c>
      <c r="Q437" s="8">
        <v>98089</v>
      </c>
      <c r="R437" s="7">
        <f t="shared" si="3"/>
        <v>7.1648648614171195E-2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4.4" hidden="1">
      <c r="A438" s="3">
        <f>LOOKUP(D438,'AMFI DATA_2023H2'!F:L,'AMFI DATA_2023H2'!L:L)</f>
        <v>201</v>
      </c>
      <c r="B438" s="4" t="s">
        <v>612</v>
      </c>
      <c r="C438" s="4" t="s">
        <v>613</v>
      </c>
      <c r="D438" s="5" t="s">
        <v>614</v>
      </c>
      <c r="E438" s="5">
        <v>19447</v>
      </c>
      <c r="F438" s="6">
        <f>LOOKUP(D438,'AMFI DATA_2023H2'!F:J,'AMFI DATA_2023H2'!J:J)</f>
        <v>30671.55845</v>
      </c>
      <c r="G438" s="7">
        <f t="shared" si="2"/>
        <v>0.24326907164379841</v>
      </c>
      <c r="H438" s="8">
        <v>38133</v>
      </c>
      <c r="I438" s="8">
        <v>38260</v>
      </c>
      <c r="J438" s="8">
        <v>37957</v>
      </c>
      <c r="K438" s="8">
        <v>37781</v>
      </c>
      <c r="L438" s="8">
        <v>38560</v>
      </c>
      <c r="M438" s="8">
        <v>39053</v>
      </c>
      <c r="N438" s="8">
        <v>38597</v>
      </c>
      <c r="O438" s="8">
        <v>38615</v>
      </c>
      <c r="P438" s="8">
        <v>38653</v>
      </c>
      <c r="Q438" s="8">
        <v>38749</v>
      </c>
      <c r="R438" s="7">
        <f t="shared" si="3"/>
        <v>0.25314140990445821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4.4" hidden="1">
      <c r="A439" s="3">
        <f>LOOKUP(D439,'AMFI DATA_2023H2'!F:L,'AMFI DATA_2023H2'!L:L)</f>
        <v>2086</v>
      </c>
      <c r="B439" s="4" t="s">
        <v>4856</v>
      </c>
      <c r="C439" s="4" t="s">
        <v>4857</v>
      </c>
      <c r="D439" s="5" t="s">
        <v>4858</v>
      </c>
      <c r="E439" s="5">
        <v>162.32</v>
      </c>
      <c r="F439" s="6">
        <f>LOOKUP(D439,'AMFI DATA_2023H2'!F:J,'AMFI DATA_2023H2'!J:J)</f>
        <v>165.39274999999998</v>
      </c>
      <c r="G439" s="7">
        <f t="shared" si="2"/>
        <v>3.9948849027542144E-2</v>
      </c>
      <c r="H439" s="9">
        <v>172</v>
      </c>
      <c r="I439" s="9">
        <v>170</v>
      </c>
      <c r="J439" s="9">
        <v>168</v>
      </c>
      <c r="K439" s="9">
        <v>168</v>
      </c>
      <c r="L439" s="9">
        <v>166</v>
      </c>
      <c r="M439" s="9">
        <v>171</v>
      </c>
      <c r="N439" s="9">
        <v>166</v>
      </c>
      <c r="O439" s="9">
        <v>165</v>
      </c>
      <c r="P439" s="9">
        <v>165</v>
      </c>
      <c r="Q439" s="9">
        <v>164</v>
      </c>
      <c r="R439" s="7">
        <f t="shared" si="3"/>
        <v>1.2740884954147047E-2</v>
      </c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4.4" hidden="1">
      <c r="A440" s="3">
        <f>LOOKUP(D440,'AMFI DATA_2023H2'!F:L,'AMFI DATA_2023H2'!L:L)</f>
        <v>43</v>
      </c>
      <c r="B440" s="4" t="s">
        <v>138</v>
      </c>
      <c r="C440" s="4" t="s">
        <v>139</v>
      </c>
      <c r="D440" s="5" t="s">
        <v>140</v>
      </c>
      <c r="E440" s="5">
        <v>100573.3</v>
      </c>
      <c r="F440" s="6">
        <f>LOOKUP(D440,'AMFI DATA_2023H2'!F:J,'AMFI DATA_2023H2'!J:J)</f>
        <v>138167.74955000001</v>
      </c>
      <c r="G440" s="7">
        <f t="shared" si="2"/>
        <v>0.34893273290633831</v>
      </c>
      <c r="H440" s="8">
        <v>186379</v>
      </c>
      <c r="I440" s="8">
        <v>188470</v>
      </c>
      <c r="J440" s="8">
        <v>177146</v>
      </c>
      <c r="K440" s="8">
        <v>176638</v>
      </c>
      <c r="L440" s="8">
        <v>179163</v>
      </c>
      <c r="M440" s="8">
        <v>179336</v>
      </c>
      <c r="N440" s="8">
        <v>180153</v>
      </c>
      <c r="O440" s="8">
        <v>178309</v>
      </c>
      <c r="P440" s="8">
        <v>176972</v>
      </c>
      <c r="Q440" s="8">
        <v>177220</v>
      </c>
      <c r="R440" s="7">
        <f t="shared" si="3"/>
        <v>0.30260933239612142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4.4" hidden="1">
      <c r="A441" s="3">
        <f>LOOKUP(D441,'AMFI DATA_2023H2'!F:L,'AMFI DATA_2023H2'!L:L)</f>
        <v>1167</v>
      </c>
      <c r="B441" s="4" t="s">
        <v>3269</v>
      </c>
      <c r="C441" s="4" t="s">
        <v>3270</v>
      </c>
      <c r="D441" s="5" t="s">
        <v>3271</v>
      </c>
      <c r="E441" s="5">
        <v>840.13</v>
      </c>
      <c r="F441" s="6">
        <f>LOOKUP(D441,'AMFI DATA_2023H2'!F:J,'AMFI DATA_2023H2'!J:J)</f>
        <v>1118.24335</v>
      </c>
      <c r="G441" s="7">
        <f t="shared" si="2"/>
        <v>1.766757656104101E-2</v>
      </c>
      <c r="H441" s="8">
        <v>1138</v>
      </c>
      <c r="I441" s="8">
        <v>1149</v>
      </c>
      <c r="J441" s="8">
        <v>1142</v>
      </c>
      <c r="K441" s="8">
        <v>1146</v>
      </c>
      <c r="L441" s="8">
        <v>1150</v>
      </c>
      <c r="M441" s="8">
        <v>1150</v>
      </c>
      <c r="N441" s="8">
        <v>1164</v>
      </c>
      <c r="O441" s="8">
        <v>1179</v>
      </c>
      <c r="P441" s="8">
        <v>1160</v>
      </c>
      <c r="Q441" s="8">
        <v>1153</v>
      </c>
      <c r="R441" s="7">
        <f t="shared" si="3"/>
        <v>3.1170898534741864E-2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4.4" hidden="1">
      <c r="A442" s="3">
        <f>LOOKUP(D442,'AMFI DATA_2023H2'!F:L,'AMFI DATA_2023H2'!L:L)</f>
        <v>1316</v>
      </c>
      <c r="B442" s="4" t="s">
        <v>3614</v>
      </c>
      <c r="C442" s="4" t="s">
        <v>3615</v>
      </c>
      <c r="D442" s="5" t="s">
        <v>3616</v>
      </c>
      <c r="E442" s="5">
        <v>674.78</v>
      </c>
      <c r="F442" s="6">
        <f>LOOKUP(D442,'AMFI DATA_2023H2'!F:J,'AMFI DATA_2023H2'!J:J)</f>
        <v>777.65859999999998</v>
      </c>
      <c r="G442" s="7">
        <f t="shared" si="2"/>
        <v>6.8592310301718529E-2</v>
      </c>
      <c r="H442" s="9">
        <v>831</v>
      </c>
      <c r="I442" s="9">
        <v>841</v>
      </c>
      <c r="J442" s="9">
        <v>842</v>
      </c>
      <c r="K442" s="9">
        <v>854</v>
      </c>
      <c r="L442" s="9">
        <v>853</v>
      </c>
      <c r="M442" s="9">
        <v>831</v>
      </c>
      <c r="N442" s="9">
        <v>819</v>
      </c>
      <c r="O442" s="9">
        <v>819</v>
      </c>
      <c r="P442" s="9">
        <v>794</v>
      </c>
      <c r="Q442" s="9">
        <v>757</v>
      </c>
      <c r="R442" s="7">
        <f t="shared" si="3"/>
        <v>5.9719522165639249E-2</v>
      </c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4.4" hidden="1">
      <c r="A443" s="3">
        <f>LOOKUP(D443,'AMFI DATA_2023H2'!F:L,'AMFI DATA_2023H2'!L:L)</f>
        <v>660</v>
      </c>
      <c r="B443" s="4" t="s">
        <v>1932</v>
      </c>
      <c r="C443" s="4" t="s">
        <v>1933</v>
      </c>
      <c r="D443" s="5" t="s">
        <v>1934</v>
      </c>
      <c r="E443" s="5">
        <v>2977.92</v>
      </c>
      <c r="F443" s="6">
        <f>LOOKUP(D443,'AMFI DATA_2023H2'!F:J,'AMFI DATA_2023H2'!J:J)</f>
        <v>4368.9872500000001</v>
      </c>
      <c r="G443" s="7">
        <f t="shared" si="2"/>
        <v>0.21057803498968775</v>
      </c>
      <c r="H443" s="8">
        <v>5289</v>
      </c>
      <c r="I443" s="8">
        <v>5282</v>
      </c>
      <c r="J443" s="8">
        <v>5365</v>
      </c>
      <c r="K443" s="8">
        <v>5222</v>
      </c>
      <c r="L443" s="8">
        <v>5188</v>
      </c>
      <c r="M443" s="8">
        <v>5223</v>
      </c>
      <c r="N443" s="8">
        <v>4991</v>
      </c>
      <c r="O443" s="8">
        <v>5026</v>
      </c>
      <c r="P443" s="8">
        <v>5116</v>
      </c>
      <c r="Q443" s="8">
        <v>5211</v>
      </c>
      <c r="R443" s="7">
        <f t="shared" si="3"/>
        <v>0.18821587314085209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4.4" hidden="1">
      <c r="A444" s="3">
        <f>LOOKUP(D444,'AMFI DATA_2023H2'!F:L,'AMFI DATA_2023H2'!L:L)</f>
        <v>660</v>
      </c>
      <c r="B444" s="4" t="s">
        <v>1935</v>
      </c>
      <c r="C444" s="4" t="s">
        <v>1936</v>
      </c>
      <c r="D444" s="5" t="s">
        <v>1937</v>
      </c>
      <c r="E444" s="5">
        <v>2977.92</v>
      </c>
      <c r="F444" s="6">
        <f>LOOKUP(D444,'AMFI DATA_2023H2'!F:J,'AMFI DATA_2023H2'!J:J)</f>
        <v>4368.9872500000001</v>
      </c>
      <c r="G444" s="7">
        <f t="shared" si="2"/>
        <v>-0.73700999012986368</v>
      </c>
      <c r="H444" s="8">
        <v>1149</v>
      </c>
      <c r="I444" s="8">
        <v>1152</v>
      </c>
      <c r="J444" s="8">
        <v>1156</v>
      </c>
      <c r="K444" s="8">
        <v>1128</v>
      </c>
      <c r="L444" s="8">
        <v>1127</v>
      </c>
      <c r="M444" s="8">
        <v>1098</v>
      </c>
      <c r="N444" s="8">
        <v>1116</v>
      </c>
      <c r="O444" s="8">
        <v>1141</v>
      </c>
      <c r="P444" s="8">
        <v>1113</v>
      </c>
      <c r="Q444" s="8">
        <v>1111</v>
      </c>
      <c r="R444" s="7">
        <f t="shared" si="3"/>
        <v>-0.7415648214583368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4.4" hidden="1">
      <c r="A445" s="3">
        <f>LOOKUP(D445,'AMFI DATA_2023H2'!F:L,'AMFI DATA_2023H2'!L:L)</f>
        <v>867</v>
      </c>
      <c r="B445" s="4" t="s">
        <v>2513</v>
      </c>
      <c r="C445" s="4" t="s">
        <v>2514</v>
      </c>
      <c r="D445" s="5" t="s">
        <v>2515</v>
      </c>
      <c r="E445" s="5">
        <v>2089.3200000000002</v>
      </c>
      <c r="F445" s="6">
        <f>LOOKUP(D445,'AMFI DATA_2023H2'!F:J,'AMFI DATA_2023H2'!J:J)</f>
        <v>2393.1495500000001</v>
      </c>
      <c r="G445" s="7">
        <f t="shared" si="2"/>
        <v>8.183794865640559E-2</v>
      </c>
      <c r="H445" s="8">
        <v>2589</v>
      </c>
      <c r="I445" s="8">
        <v>2705</v>
      </c>
      <c r="J445" s="8">
        <v>2660</v>
      </c>
      <c r="K445" s="8">
        <v>2760</v>
      </c>
      <c r="L445" s="8">
        <v>2754</v>
      </c>
      <c r="M445" s="8">
        <v>2621</v>
      </c>
      <c r="N445" s="8">
        <v>2637</v>
      </c>
      <c r="O445" s="8">
        <v>2557</v>
      </c>
      <c r="P445" s="8">
        <v>2550</v>
      </c>
      <c r="Q445" s="8">
        <v>2496</v>
      </c>
      <c r="R445" s="7">
        <f t="shared" si="3"/>
        <v>0.10018197567302045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4.4" hidden="1">
      <c r="A446" s="3">
        <f>LOOKUP(D446,'AMFI DATA_2023H2'!F:L,'AMFI DATA_2023H2'!L:L)</f>
        <v>2105</v>
      </c>
      <c r="B446" s="4" t="s">
        <v>4886</v>
      </c>
      <c r="C446" s="4" t="s">
        <v>4887</v>
      </c>
      <c r="D446" s="5" t="s">
        <v>4888</v>
      </c>
      <c r="E446" s="5">
        <v>2089.3200000000002</v>
      </c>
      <c r="F446" s="6">
        <f>LOOKUP(D446,'AMFI DATA_2023H2'!F:J,'AMFI DATA_2023H2'!J:J)</f>
        <v>158.8135</v>
      </c>
      <c r="G446" s="7">
        <f t="shared" si="2"/>
        <v>2.5576320652841225</v>
      </c>
      <c r="H446" s="9">
        <v>565</v>
      </c>
      <c r="I446" s="9">
        <v>554</v>
      </c>
      <c r="J446" s="9">
        <v>543</v>
      </c>
      <c r="K446" s="9">
        <v>532</v>
      </c>
      <c r="L446" s="9">
        <v>522</v>
      </c>
      <c r="M446" s="9">
        <v>513</v>
      </c>
      <c r="N446" s="9">
        <v>503</v>
      </c>
      <c r="O446" s="9">
        <v>493</v>
      </c>
      <c r="P446" s="9">
        <v>483</v>
      </c>
      <c r="Q446" s="9">
        <v>474</v>
      </c>
      <c r="R446" s="7">
        <f t="shared" si="3"/>
        <v>2.262946789788022</v>
      </c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4.4" hidden="1">
      <c r="A447" s="3">
        <f>LOOKUP(D447,'AMFI DATA_2023H2'!F:L,'AMFI DATA_2023H2'!L:L)</f>
        <v>1492</v>
      </c>
      <c r="B447" s="4" t="s">
        <v>3944</v>
      </c>
      <c r="C447" s="4" t="s">
        <v>3945</v>
      </c>
      <c r="D447" s="5" t="s">
        <v>3946</v>
      </c>
      <c r="E447" s="5">
        <v>486.42</v>
      </c>
      <c r="F447" s="6">
        <f>LOOKUP(D447,'AMFI DATA_2023H2'!F:J,'AMFI DATA_2023H2'!J:J)</f>
        <v>521.28009999999995</v>
      </c>
      <c r="G447" s="7">
        <f t="shared" si="2"/>
        <v>2.823798568178626E-2</v>
      </c>
      <c r="H447" s="9">
        <v>536</v>
      </c>
      <c r="I447" s="9">
        <v>534</v>
      </c>
      <c r="J447" s="9">
        <v>524</v>
      </c>
      <c r="K447" s="9">
        <v>526</v>
      </c>
      <c r="L447" s="9">
        <v>520</v>
      </c>
      <c r="M447" s="9">
        <v>517</v>
      </c>
      <c r="N447" s="9">
        <v>512</v>
      </c>
      <c r="O447" s="9">
        <v>526</v>
      </c>
      <c r="P447" s="9">
        <v>525</v>
      </c>
      <c r="Q447" s="9">
        <v>532</v>
      </c>
      <c r="R447" s="7">
        <f t="shared" si="3"/>
        <v>7.5197576120786813E-3</v>
      </c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4.4" hidden="1">
      <c r="A448" s="3">
        <f>LOOKUP(D448,'AMFI DATA_2023H2'!F:L,'AMFI DATA_2023H2'!L:L)</f>
        <v>1024</v>
      </c>
      <c r="B448" s="4" t="s">
        <v>2927</v>
      </c>
      <c r="C448" s="4" t="s">
        <v>2928</v>
      </c>
      <c r="D448" s="5" t="s">
        <v>2929</v>
      </c>
      <c r="E448" s="5">
        <v>1110.8900000000001</v>
      </c>
      <c r="F448" s="6">
        <f>LOOKUP(D448,'AMFI DATA_2023H2'!F:J,'AMFI DATA_2023H2'!J:J)</f>
        <v>1609.7371000000001</v>
      </c>
      <c r="G448" s="7">
        <f t="shared" si="2"/>
        <v>0.14925598720437017</v>
      </c>
      <c r="H448" s="8">
        <v>1850</v>
      </c>
      <c r="I448" s="8">
        <v>1845</v>
      </c>
      <c r="J448" s="8">
        <v>1840</v>
      </c>
      <c r="K448" s="8">
        <v>1865</v>
      </c>
      <c r="L448" s="8">
        <v>1904</v>
      </c>
      <c r="M448" s="8">
        <v>1904</v>
      </c>
      <c r="N448" s="8">
        <v>1914</v>
      </c>
      <c r="O448" s="8">
        <v>1836</v>
      </c>
      <c r="P448" s="8">
        <v>1792</v>
      </c>
      <c r="Q448" s="8">
        <v>1811</v>
      </c>
      <c r="R448" s="7">
        <f t="shared" si="3"/>
        <v>0.1530454258648819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4.4" hidden="1">
      <c r="A449" s="3">
        <f>LOOKUP(D449,'AMFI DATA_2023H2'!F:L,'AMFI DATA_2023H2'!L:L)</f>
        <v>263</v>
      </c>
      <c r="B449" s="4" t="s">
        <v>798</v>
      </c>
      <c r="C449" s="4" t="s">
        <v>799</v>
      </c>
      <c r="D449" s="5" t="s">
        <v>800</v>
      </c>
      <c r="E449" s="5">
        <v>16630.330000000002</v>
      </c>
      <c r="F449" s="6">
        <f>LOOKUP(D449,'AMFI DATA_2023H2'!F:J,'AMFI DATA_2023H2'!J:J)</f>
        <v>20359.304599999999</v>
      </c>
      <c r="G449" s="7">
        <f t="shared" si="2"/>
        <v>6.5606140594802076E-2</v>
      </c>
      <c r="H449" s="8">
        <v>21695</v>
      </c>
      <c r="I449" s="8">
        <v>22028</v>
      </c>
      <c r="J449" s="8">
        <v>22022</v>
      </c>
      <c r="K449" s="8">
        <v>22064</v>
      </c>
      <c r="L449" s="8">
        <v>21504</v>
      </c>
      <c r="M449" s="8">
        <v>21537</v>
      </c>
      <c r="N449" s="8">
        <v>21391</v>
      </c>
      <c r="O449" s="8">
        <v>21500</v>
      </c>
      <c r="P449" s="8">
        <v>21709</v>
      </c>
      <c r="Q449" s="8">
        <v>21675</v>
      </c>
      <c r="R449" s="7">
        <f t="shared" si="3"/>
        <v>6.6465698440407506E-2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4.4" hidden="1">
      <c r="A450" s="3">
        <f>LOOKUP(D450,'AMFI DATA_2023H2'!F:L,'AMFI DATA_2023H2'!L:L)</f>
        <v>64</v>
      </c>
      <c r="B450" s="4" t="s">
        <v>201</v>
      </c>
      <c r="C450" s="4" t="s">
        <v>202</v>
      </c>
      <c r="D450" s="5" t="s">
        <v>203</v>
      </c>
      <c r="E450" s="5">
        <v>76108.83</v>
      </c>
      <c r="F450" s="6">
        <f>LOOKUP(D450,'AMFI DATA_2023H2'!F:J,'AMFI DATA_2023H2'!J:J)</f>
        <v>92635.327900000004</v>
      </c>
      <c r="G450" s="7">
        <f t="shared" si="2"/>
        <v>5.2784096638362588E-2</v>
      </c>
      <c r="H450" s="8">
        <v>97525</v>
      </c>
      <c r="I450" s="8">
        <v>97453</v>
      </c>
      <c r="J450" s="8">
        <v>98901</v>
      </c>
      <c r="K450" s="8">
        <v>98880</v>
      </c>
      <c r="L450" s="8">
        <v>97067</v>
      </c>
      <c r="M450" s="8">
        <v>96714</v>
      </c>
      <c r="N450" s="8">
        <v>97553</v>
      </c>
      <c r="O450" s="8">
        <v>95382</v>
      </c>
      <c r="P450" s="8">
        <v>93855</v>
      </c>
      <c r="Q450" s="8">
        <v>93875</v>
      </c>
      <c r="R450" s="7">
        <f t="shared" si="3"/>
        <v>4.4099504936280232E-2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4.4" hidden="1">
      <c r="A451" s="3">
        <f>LOOKUP(D451,'AMFI DATA_2023H2'!F:L,'AMFI DATA_2023H2'!L:L)</f>
        <v>2011</v>
      </c>
      <c r="B451" s="4" t="s">
        <v>4760</v>
      </c>
      <c r="C451" s="4" t="s">
        <v>4761</v>
      </c>
      <c r="D451" s="5" t="s">
        <v>4762</v>
      </c>
      <c r="E451" s="5">
        <v>169.87</v>
      </c>
      <c r="F451" s="6">
        <f>LOOKUP(D451,'AMFI DATA_2023H2'!F:J,'AMFI DATA_2023H2'!J:J)</f>
        <v>183.72620000000001</v>
      </c>
      <c r="G451" s="7">
        <f t="shared" si="2"/>
        <v>8.3133488854610693E-2</v>
      </c>
      <c r="H451" s="9">
        <v>199</v>
      </c>
      <c r="I451" s="9">
        <v>197</v>
      </c>
      <c r="J451" s="9">
        <v>196</v>
      </c>
      <c r="K451" s="9">
        <v>200</v>
      </c>
      <c r="L451" s="9">
        <v>191</v>
      </c>
      <c r="M451" s="9">
        <v>182</v>
      </c>
      <c r="N451" s="9">
        <v>179</v>
      </c>
      <c r="O451" s="9">
        <v>189</v>
      </c>
      <c r="P451" s="9">
        <v>184</v>
      </c>
      <c r="Q451" s="9">
        <v>181</v>
      </c>
      <c r="R451" s="7">
        <f t="shared" si="3"/>
        <v>3.3058975802035873E-2</v>
      </c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4.4" hidden="1">
      <c r="A452" s="3">
        <f>LOOKUP(D452,'AMFI DATA_2023H2'!F:L,'AMFI DATA_2023H2'!L:L)</f>
        <v>791</v>
      </c>
      <c r="B452" s="4" t="s">
        <v>2300</v>
      </c>
      <c r="C452" s="4" t="s">
        <v>2301</v>
      </c>
      <c r="D452" s="5" t="s">
        <v>2302</v>
      </c>
      <c r="E452" s="5">
        <v>2395.83</v>
      </c>
      <c r="F452" s="6">
        <f>LOOKUP(D452,'AMFI DATA_2023H2'!F:J,'AMFI DATA_2023H2'!J:J)</f>
        <v>2989.4525999999996</v>
      </c>
      <c r="G452" s="7">
        <f t="shared" si="2"/>
        <v>-1.252824681013498E-2</v>
      </c>
      <c r="H452" s="8">
        <v>2952</v>
      </c>
      <c r="I452" s="8">
        <v>2888</v>
      </c>
      <c r="J452" s="8">
        <v>2878</v>
      </c>
      <c r="K452" s="8">
        <v>2878</v>
      </c>
      <c r="L452" s="8">
        <v>2883</v>
      </c>
      <c r="M452" s="8">
        <v>2847</v>
      </c>
      <c r="N452" s="8">
        <v>2843</v>
      </c>
      <c r="O452" s="8">
        <v>2891</v>
      </c>
      <c r="P452" s="8">
        <v>2810</v>
      </c>
      <c r="Q452" s="8">
        <v>2833</v>
      </c>
      <c r="R452" s="7">
        <f t="shared" si="3"/>
        <v>-3.9857664911629453E-2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4.4" hidden="1">
      <c r="A453" s="3">
        <f>LOOKUP(D453,'AMFI DATA_2023H2'!F:L,'AMFI DATA_2023H2'!L:L)</f>
        <v>1104</v>
      </c>
      <c r="B453" s="4" t="s">
        <v>3119</v>
      </c>
      <c r="C453" s="4" t="s">
        <v>3120</v>
      </c>
      <c r="D453" s="5" t="s">
        <v>3121</v>
      </c>
      <c r="E453" s="5">
        <v>931.5</v>
      </c>
      <c r="F453" s="6">
        <f>LOOKUP(D453,'AMFI DATA_2023H2'!F:J,'AMFI DATA_2023H2'!J:J)</f>
        <v>1313.4519500000001</v>
      </c>
      <c r="G453" s="7">
        <f t="shared" si="2"/>
        <v>0.28364041029441522</v>
      </c>
      <c r="H453" s="8">
        <v>1686</v>
      </c>
      <c r="I453" s="8">
        <v>1722</v>
      </c>
      <c r="J453" s="8">
        <v>1722</v>
      </c>
      <c r="K453" s="8">
        <v>1747</v>
      </c>
      <c r="L453" s="8">
        <v>1722</v>
      </c>
      <c r="M453" s="8">
        <v>1678</v>
      </c>
      <c r="N453" s="8">
        <v>1679</v>
      </c>
      <c r="O453" s="8">
        <v>1663</v>
      </c>
      <c r="P453" s="8">
        <v>1699</v>
      </c>
      <c r="Q453" s="8">
        <v>1604</v>
      </c>
      <c r="R453" s="7">
        <f t="shared" si="3"/>
        <v>0.28836079614484555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4.4" hidden="1">
      <c r="A454" s="3">
        <f>LOOKUP(D454,'AMFI DATA_2023H2'!F:L,'AMFI DATA_2023H2'!L:L)</f>
        <v>3059</v>
      </c>
      <c r="B454" s="4" t="s">
        <v>5572</v>
      </c>
      <c r="C454" s="4" t="s">
        <v>5573</v>
      </c>
      <c r="D454" s="5" t="s">
        <v>5574</v>
      </c>
      <c r="E454" s="5">
        <v>31.03</v>
      </c>
      <c r="F454" s="6">
        <f>LOOKUP(D454,'AMFI DATA_2023H2'!F:J,'AMFI DATA_2023H2'!J:J)</f>
        <v>34.687750000000001</v>
      </c>
      <c r="G454" s="7">
        <f t="shared" si="2"/>
        <v>0.32323370642373739</v>
      </c>
      <c r="H454" s="9">
        <v>45.9</v>
      </c>
      <c r="I454" s="9">
        <v>46.8</v>
      </c>
      <c r="J454" s="9">
        <v>47.6</v>
      </c>
      <c r="K454" s="9">
        <v>48.6</v>
      </c>
      <c r="L454" s="9">
        <v>49.6</v>
      </c>
      <c r="M454" s="9">
        <v>50.5</v>
      </c>
      <c r="N454" s="9">
        <v>51.5</v>
      </c>
      <c r="O454" s="9">
        <v>52.6</v>
      </c>
      <c r="P454" s="9">
        <v>53.1</v>
      </c>
      <c r="Q454" s="9">
        <v>54.3</v>
      </c>
      <c r="R454" s="7">
        <f t="shared" si="3"/>
        <v>0.44287248380191868</v>
      </c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4.4" hidden="1">
      <c r="A455" s="3">
        <f>LOOKUP(D455,'AMFI DATA_2023H2'!F:L,'AMFI DATA_2023H2'!L:L)</f>
        <v>1979</v>
      </c>
      <c r="B455" s="4" t="s">
        <v>4694</v>
      </c>
      <c r="C455" s="4" t="s">
        <v>4695</v>
      </c>
      <c r="D455" s="5" t="s">
        <v>4696</v>
      </c>
      <c r="E455" s="5">
        <v>210.99</v>
      </c>
      <c r="F455" s="6">
        <f>LOOKUP(D455,'AMFI DATA_2023H2'!F:J,'AMFI DATA_2023H2'!J:J)</f>
        <v>194.023</v>
      </c>
      <c r="G455" s="7">
        <f t="shared" si="2"/>
        <v>0.57197857985908884</v>
      </c>
      <c r="H455" s="9">
        <v>305</v>
      </c>
      <c r="I455" s="9">
        <v>287</v>
      </c>
      <c r="J455" s="9">
        <v>277</v>
      </c>
      <c r="K455" s="9">
        <v>264</v>
      </c>
      <c r="L455" s="9">
        <v>251</v>
      </c>
      <c r="M455" s="9">
        <v>239</v>
      </c>
      <c r="N455" s="9">
        <v>239</v>
      </c>
      <c r="O455" s="9">
        <v>243</v>
      </c>
      <c r="P455" s="9">
        <v>243</v>
      </c>
      <c r="Q455" s="9">
        <v>233</v>
      </c>
      <c r="R455" s="7">
        <f t="shared" si="3"/>
        <v>0.33025466052993724</v>
      </c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4.4" hidden="1">
      <c r="A456" s="3">
        <f>LOOKUP(D456,'AMFI DATA_2023H2'!F:L,'AMFI DATA_2023H2'!L:L)</f>
        <v>993</v>
      </c>
      <c r="B456" s="4" t="s">
        <v>2843</v>
      </c>
      <c r="C456" s="4" t="s">
        <v>2844</v>
      </c>
      <c r="D456" s="5" t="s">
        <v>2845</v>
      </c>
      <c r="E456" s="5">
        <v>1723.5</v>
      </c>
      <c r="F456" s="6">
        <f>LOOKUP(D456,'AMFI DATA_2023H2'!F:J,'AMFI DATA_2023H2'!J:J)</f>
        <v>1746.9666</v>
      </c>
      <c r="G456" s="7">
        <f t="shared" si="2"/>
        <v>-5.9512643229698847E-2</v>
      </c>
      <c r="H456" s="8">
        <v>1643</v>
      </c>
      <c r="I456" s="8">
        <v>1638</v>
      </c>
      <c r="J456" s="8">
        <v>1639</v>
      </c>
      <c r="K456" s="8">
        <v>1640</v>
      </c>
      <c r="L456" s="8">
        <v>1652</v>
      </c>
      <c r="M456" s="8">
        <v>1637</v>
      </c>
      <c r="N456" s="8">
        <v>1638</v>
      </c>
      <c r="O456" s="8">
        <v>1628</v>
      </c>
      <c r="P456" s="8">
        <v>1627</v>
      </c>
      <c r="Q456" s="8">
        <v>1636</v>
      </c>
      <c r="R456" s="7">
        <f t="shared" si="3"/>
        <v>-6.2489231333901829E-2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4.4" hidden="1">
      <c r="A457" s="3">
        <f>LOOKUP(D457,'AMFI DATA_2023H2'!F:L,'AMFI DATA_2023H2'!L:L)</f>
        <v>1298</v>
      </c>
      <c r="B457" s="4" t="s">
        <v>3566</v>
      </c>
      <c r="C457" s="4" t="s">
        <v>3567</v>
      </c>
      <c r="D457" s="5" t="s">
        <v>3568</v>
      </c>
      <c r="E457" s="5">
        <v>515.05999999999995</v>
      </c>
      <c r="F457" s="6">
        <f>LOOKUP(D457,'AMFI DATA_2023H2'!F:J,'AMFI DATA_2023H2'!J:J)</f>
        <v>814.94889999999998</v>
      </c>
      <c r="G457" s="7">
        <f t="shared" si="2"/>
        <v>7.4251281276653813E-3</v>
      </c>
      <c r="H457" s="9">
        <v>821</v>
      </c>
      <c r="I457" s="9">
        <v>821</v>
      </c>
      <c r="J457" s="9">
        <v>839</v>
      </c>
      <c r="K457" s="9">
        <v>843</v>
      </c>
      <c r="L457" s="9">
        <v>819</v>
      </c>
      <c r="M457" s="9">
        <v>787</v>
      </c>
      <c r="N457" s="9">
        <v>783</v>
      </c>
      <c r="O457" s="9">
        <v>793</v>
      </c>
      <c r="P457" s="9">
        <v>791</v>
      </c>
      <c r="Q457" s="9">
        <v>800</v>
      </c>
      <c r="R457" s="7">
        <f t="shared" si="3"/>
        <v>-6.4407719306081024E-3</v>
      </c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4.4">
      <c r="A458" s="3">
        <f>LOOKUP(D458,'AMFI DATA_2023H2'!F:L,'AMFI DATA_2023H2'!L:L)</f>
        <v>806</v>
      </c>
      <c r="B458" s="4" t="s">
        <v>2342</v>
      </c>
      <c r="C458" s="4" t="s">
        <v>2343</v>
      </c>
      <c r="D458" s="5" t="s">
        <v>2344</v>
      </c>
      <c r="E458" s="5">
        <v>1907.89</v>
      </c>
      <c r="F458" s="6">
        <f>LOOKUP(D458,'AMFI DATA_2023H2'!F:J,'AMFI DATA_2023H2'!J:J)</f>
        <v>2809.9694</v>
      </c>
      <c r="G458" s="7">
        <f t="shared" si="2"/>
        <v>0.26905296548780933</v>
      </c>
      <c r="H458" s="8">
        <v>3566</v>
      </c>
      <c r="I458" s="8">
        <v>3567</v>
      </c>
      <c r="J458" s="8">
        <v>3490</v>
      </c>
      <c r="K458" s="8">
        <v>3490</v>
      </c>
      <c r="L458" s="8">
        <v>3467</v>
      </c>
      <c r="M458" s="8">
        <v>3450</v>
      </c>
      <c r="N458" s="8">
        <v>3416</v>
      </c>
      <c r="O458" s="8">
        <v>3511</v>
      </c>
      <c r="P458" s="8">
        <v>3490</v>
      </c>
      <c r="Q458" s="8">
        <v>3059</v>
      </c>
      <c r="R458" s="14">
        <f t="shared" si="3"/>
        <v>0.22798490261139492</v>
      </c>
      <c r="S458" s="8"/>
      <c r="T458" s="8">
        <v>5251</v>
      </c>
      <c r="U458" s="15">
        <f ca="1">IFERROR(__xludf.DUMMYFUNCTION("GOOGLEFINANCE(C458,""PRICE"")"),6280.05)</f>
        <v>6280.05</v>
      </c>
      <c r="V458" s="13" t="s">
        <v>5787</v>
      </c>
      <c r="W458" s="7">
        <f ca="1">U458/T458-1</f>
        <v>0.19597219577223379</v>
      </c>
      <c r="X458" s="8"/>
      <c r="Y458" s="8"/>
      <c r="Z458" s="8"/>
      <c r="AA458" s="8"/>
      <c r="AB458" s="8"/>
    </row>
    <row r="459" spans="1:28" ht="14.4" hidden="1">
      <c r="A459" s="3">
        <f>LOOKUP(D459,'AMFI DATA_2023H2'!F:L,'AMFI DATA_2023H2'!L:L)</f>
        <v>1228</v>
      </c>
      <c r="B459" s="4" t="s">
        <v>3419</v>
      </c>
      <c r="C459" s="4" t="s">
        <v>3420</v>
      </c>
      <c r="D459" s="5" t="s">
        <v>3421</v>
      </c>
      <c r="E459" s="5">
        <v>449.25</v>
      </c>
      <c r="F459" s="6">
        <f>LOOKUP(D459,'AMFI DATA_2023H2'!F:J,'AMFI DATA_2023H2'!J:J)</f>
        <v>978.41359999999997</v>
      </c>
      <c r="G459" s="7">
        <f t="shared" si="2"/>
        <v>8.747466306682572E-2</v>
      </c>
      <c r="H459" s="9">
        <v>1064</v>
      </c>
      <c r="I459" s="9">
        <v>1051</v>
      </c>
      <c r="J459" s="9">
        <v>1060</v>
      </c>
      <c r="K459" s="9">
        <v>1076</v>
      </c>
      <c r="L459" s="9">
        <v>1049</v>
      </c>
      <c r="M459" s="9">
        <v>958</v>
      </c>
      <c r="N459" s="9">
        <v>1002</v>
      </c>
      <c r="O459" s="9">
        <v>991</v>
      </c>
      <c r="P459" s="9">
        <v>1013</v>
      </c>
      <c r="Q459" s="9">
        <v>993</v>
      </c>
      <c r="R459" s="7">
        <f t="shared" si="3"/>
        <v>4.8329663447033155E-2</v>
      </c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4.4" hidden="1">
      <c r="A460" s="3">
        <f>LOOKUP(D460,'AMFI DATA_2023H2'!F:L,'AMFI DATA_2023H2'!L:L)</f>
        <v>1643</v>
      </c>
      <c r="B460" s="4" t="s">
        <v>4229</v>
      </c>
      <c r="C460" s="4" t="s">
        <v>4230</v>
      </c>
      <c r="D460" s="5" t="s">
        <v>4231</v>
      </c>
      <c r="E460" s="5">
        <v>341.82</v>
      </c>
      <c r="F460" s="6">
        <f>LOOKUP(D460,'AMFI DATA_2023H2'!F:J,'AMFI DATA_2023H2'!J:J)</f>
        <v>371.75824544</v>
      </c>
      <c r="G460" s="7">
        <f t="shared" si="2"/>
        <v>-5.0458182622952763E-2</v>
      </c>
      <c r="H460" s="9">
        <v>353</v>
      </c>
      <c r="I460" s="9">
        <v>356</v>
      </c>
      <c r="J460" s="9">
        <v>360</v>
      </c>
      <c r="K460" s="9">
        <v>367</v>
      </c>
      <c r="L460" s="9">
        <v>372</v>
      </c>
      <c r="M460" s="9">
        <v>364</v>
      </c>
      <c r="N460" s="9">
        <v>364</v>
      </c>
      <c r="O460" s="9">
        <v>364</v>
      </c>
      <c r="P460" s="9">
        <v>368</v>
      </c>
      <c r="Q460" s="9">
        <v>362</v>
      </c>
      <c r="R460" s="7">
        <f t="shared" si="3"/>
        <v>-2.3558980997540613E-2</v>
      </c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4.4" hidden="1">
      <c r="A461" s="3">
        <f>LOOKUP(D461,'AMFI DATA_2023H2'!F:L,'AMFI DATA_2023H2'!L:L)</f>
        <v>1416</v>
      </c>
      <c r="B461" s="4" t="s">
        <v>3803</v>
      </c>
      <c r="C461" s="4" t="s">
        <v>3804</v>
      </c>
      <c r="D461" s="5" t="s">
        <v>3805</v>
      </c>
      <c r="E461" s="5">
        <v>245.14</v>
      </c>
      <c r="F461" s="6">
        <f>LOOKUP(D461,'AMFI DATA_2023H2'!F:J,'AMFI DATA_2023H2'!J:J)</f>
        <v>623.95500000000004</v>
      </c>
      <c r="G461" s="7">
        <f t="shared" si="2"/>
        <v>0.94725581171719098</v>
      </c>
      <c r="H461" s="9">
        <v>1215</v>
      </c>
      <c r="I461" s="9">
        <v>1157</v>
      </c>
      <c r="J461" s="9">
        <v>1102</v>
      </c>
      <c r="K461" s="9">
        <v>1050</v>
      </c>
      <c r="L461" s="9">
        <v>1000</v>
      </c>
      <c r="M461" s="9">
        <v>934</v>
      </c>
      <c r="N461" s="9">
        <v>915</v>
      </c>
      <c r="O461" s="9">
        <v>897</v>
      </c>
      <c r="P461" s="9">
        <v>897</v>
      </c>
      <c r="Q461" s="9">
        <v>908</v>
      </c>
      <c r="R461" s="7">
        <f t="shared" si="3"/>
        <v>0.61469977802886411</v>
      </c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4.4" hidden="1">
      <c r="A462" s="3">
        <f>LOOKUP(D462,'AMFI DATA_2023H2'!F:L,'AMFI DATA_2023H2'!L:L)</f>
        <v>3528</v>
      </c>
      <c r="B462" s="4" t="s">
        <v>5704</v>
      </c>
      <c r="C462" s="4" t="s">
        <v>5705</v>
      </c>
      <c r="D462" s="5" t="s">
        <v>5706</v>
      </c>
      <c r="E462" s="5">
        <v>21.05</v>
      </c>
      <c r="F462" s="6">
        <f>LOOKUP(D462,'AMFI DATA_2023H2'!F:J,'AMFI DATA_2023H2'!J:J)</f>
        <v>17.158100000000001</v>
      </c>
      <c r="G462" s="7">
        <f t="shared" si="2"/>
        <v>0.15980207598743434</v>
      </c>
      <c r="H462" s="9">
        <v>19.899999999999999</v>
      </c>
      <c r="I462" s="9">
        <v>20.9</v>
      </c>
      <c r="J462" s="9">
        <v>19.5</v>
      </c>
      <c r="K462" s="9">
        <v>19.3</v>
      </c>
      <c r="L462" s="9">
        <v>18.399999999999999</v>
      </c>
      <c r="M462" s="9">
        <v>19.399999999999999</v>
      </c>
      <c r="N462" s="9">
        <v>20</v>
      </c>
      <c r="O462" s="9">
        <v>18.2</v>
      </c>
      <c r="P462" s="9">
        <v>16.7</v>
      </c>
      <c r="Q462" s="9">
        <v>17.8</v>
      </c>
      <c r="R462" s="7">
        <f t="shared" si="3"/>
        <v>0.1079315308804587</v>
      </c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4.4" hidden="1">
      <c r="A463" s="3">
        <f>LOOKUP(D463,'AMFI DATA_2023H2'!F:L,'AMFI DATA_2023H2'!L:L)</f>
        <v>519</v>
      </c>
      <c r="B463" s="4" t="s">
        <v>1542</v>
      </c>
      <c r="C463" s="4" t="s">
        <v>1543</v>
      </c>
      <c r="D463" s="5" t="s">
        <v>1544</v>
      </c>
      <c r="E463" s="5">
        <v>8240.2000000000007</v>
      </c>
      <c r="F463" s="6">
        <f>LOOKUP(D463,'AMFI DATA_2023H2'!F:J,'AMFI DATA_2023H2'!J:J)</f>
        <v>7067.7420000000002</v>
      </c>
      <c r="G463" s="7">
        <f t="shared" si="2"/>
        <v>3.8804189513425902E-2</v>
      </c>
      <c r="H463" s="8">
        <v>7342</v>
      </c>
      <c r="I463" s="8">
        <v>7239</v>
      </c>
      <c r="J463" s="8">
        <v>7258</v>
      </c>
      <c r="K463" s="8">
        <v>7171</v>
      </c>
      <c r="L463" s="8">
        <v>7210</v>
      </c>
      <c r="M463" s="8">
        <v>7147</v>
      </c>
      <c r="N463" s="8">
        <v>6874</v>
      </c>
      <c r="O463" s="8">
        <v>6884</v>
      </c>
      <c r="P463" s="8">
        <v>6779</v>
      </c>
      <c r="Q463" s="8">
        <v>6693</v>
      </c>
      <c r="R463" s="7">
        <f t="shared" si="3"/>
        <v>-1.1378457221556948E-3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4.4" hidden="1">
      <c r="A464" s="3">
        <f>LOOKUP(D464,'AMFI DATA_2023H2'!F:L,'AMFI DATA_2023H2'!L:L)</f>
        <v>415</v>
      </c>
      <c r="B464" s="4" t="s">
        <v>1245</v>
      </c>
      <c r="C464" s="4" t="s">
        <v>1246</v>
      </c>
      <c r="D464" s="5" t="s">
        <v>1247</v>
      </c>
      <c r="E464" s="5">
        <v>7193.71</v>
      </c>
      <c r="F464" s="6">
        <f>LOOKUP(D464,'AMFI DATA_2023H2'!F:J,'AMFI DATA_2023H2'!J:J)</f>
        <v>9821.1028999999999</v>
      </c>
      <c r="G464" s="7">
        <f t="shared" si="2"/>
        <v>0.28305345421032091</v>
      </c>
      <c r="H464" s="8">
        <v>12601</v>
      </c>
      <c r="I464" s="8">
        <v>12527</v>
      </c>
      <c r="J464" s="8">
        <v>12721</v>
      </c>
      <c r="K464" s="8">
        <v>12322</v>
      </c>
      <c r="L464" s="8">
        <v>12510</v>
      </c>
      <c r="M464" s="8">
        <v>12732</v>
      </c>
      <c r="N464" s="8">
        <v>12864</v>
      </c>
      <c r="O464" s="8">
        <v>12702</v>
      </c>
      <c r="P464" s="8">
        <v>12853</v>
      </c>
      <c r="Q464" s="8">
        <v>12649</v>
      </c>
      <c r="R464" s="7">
        <f t="shared" si="3"/>
        <v>0.28784924959904457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4.4" hidden="1">
      <c r="A465" s="3">
        <f>LOOKUP(D465,'AMFI DATA_2023H2'!F:L,'AMFI DATA_2023H2'!L:L)</f>
        <v>588</v>
      </c>
      <c r="B465" s="4" t="s">
        <v>1734</v>
      </c>
      <c r="C465" s="4" t="s">
        <v>1735</v>
      </c>
      <c r="D465" s="5" t="s">
        <v>1736</v>
      </c>
      <c r="E465" s="5">
        <v>4547.58</v>
      </c>
      <c r="F465" s="6">
        <f>LOOKUP(D465,'AMFI DATA_2023H2'!F:J,'AMFI DATA_2023H2'!J:J)</f>
        <v>5649.2565500000001</v>
      </c>
      <c r="G465" s="7">
        <f t="shared" si="2"/>
        <v>0.31822655496146646</v>
      </c>
      <c r="H465" s="8">
        <v>7447</v>
      </c>
      <c r="I465" s="8">
        <v>7432</v>
      </c>
      <c r="J465" s="8">
        <v>7356</v>
      </c>
      <c r="K465" s="8">
        <v>7396</v>
      </c>
      <c r="L465" s="8">
        <v>7420</v>
      </c>
      <c r="M465" s="8">
        <v>7358</v>
      </c>
      <c r="N465" s="8">
        <v>7397</v>
      </c>
      <c r="O465" s="8">
        <v>7468</v>
      </c>
      <c r="P465" s="8">
        <v>7327</v>
      </c>
      <c r="Q465" s="8">
        <v>7375</v>
      </c>
      <c r="R465" s="7">
        <f t="shared" si="3"/>
        <v>0.30948204149092873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4.4" hidden="1">
      <c r="A466" s="3">
        <f>LOOKUP(D466,'AMFI DATA_2023H2'!F:L,'AMFI DATA_2023H2'!L:L)</f>
        <v>3149</v>
      </c>
      <c r="B466" s="4" t="s">
        <v>5593</v>
      </c>
      <c r="C466" s="4" t="s">
        <v>5594</v>
      </c>
      <c r="D466" s="5" t="s">
        <v>5595</v>
      </c>
      <c r="E466" s="5">
        <v>22.98</v>
      </c>
      <c r="F466" s="6">
        <f>LOOKUP(D466,'AMFI DATA_2023H2'!F:J,'AMFI DATA_2023H2'!J:J)</f>
        <v>30.349249999999998</v>
      </c>
      <c r="G466" s="7">
        <f t="shared" si="2"/>
        <v>0.37729927428190146</v>
      </c>
      <c r="H466" s="9">
        <v>41.8</v>
      </c>
      <c r="I466" s="9">
        <v>41</v>
      </c>
      <c r="J466" s="9">
        <v>41.3</v>
      </c>
      <c r="K466" s="9">
        <v>42</v>
      </c>
      <c r="L466" s="9">
        <v>42.9</v>
      </c>
      <c r="M466" s="9">
        <v>43.7</v>
      </c>
      <c r="N466" s="9">
        <v>44.6</v>
      </c>
      <c r="O466" s="9">
        <v>45.4</v>
      </c>
      <c r="P466" s="9">
        <v>47.8</v>
      </c>
      <c r="Q466" s="9">
        <v>47.8</v>
      </c>
      <c r="R466" s="7">
        <f t="shared" si="3"/>
        <v>0.44418725339176435</v>
      </c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4.4" hidden="1">
      <c r="A467" s="3">
        <f>LOOKUP(D467,'AMFI DATA_2023H2'!F:L,'AMFI DATA_2023H2'!L:L)</f>
        <v>60</v>
      </c>
      <c r="B467" s="4" t="s">
        <v>189</v>
      </c>
      <c r="C467" s="4" t="s">
        <v>190</v>
      </c>
      <c r="D467" s="5" t="s">
        <v>191</v>
      </c>
      <c r="E467" s="5">
        <v>90216</v>
      </c>
      <c r="F467" s="6">
        <f>LOOKUP(D467,'AMFI DATA_2023H2'!F:J,'AMFI DATA_2023H2'!J:J)</f>
        <v>96865.446250000008</v>
      </c>
      <c r="G467" s="7">
        <f t="shared" si="2"/>
        <v>9.564353552957483E-2</v>
      </c>
      <c r="H467" s="8">
        <v>106130</v>
      </c>
      <c r="I467" s="8">
        <v>105705</v>
      </c>
      <c r="J467" s="8">
        <v>106403</v>
      </c>
      <c r="K467" s="8">
        <v>106567</v>
      </c>
      <c r="L467" s="8">
        <v>110477</v>
      </c>
      <c r="M467" s="8">
        <v>113131</v>
      </c>
      <c r="N467" s="8">
        <v>112058</v>
      </c>
      <c r="O467" s="8">
        <v>112467</v>
      </c>
      <c r="P467" s="8">
        <v>110663</v>
      </c>
      <c r="Q467" s="8">
        <v>109676</v>
      </c>
      <c r="R467" s="7">
        <f t="shared" si="3"/>
        <v>0.12865530725823704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4.4" hidden="1">
      <c r="A468" s="3">
        <f>LOOKUP(D468,'AMFI DATA_2023H2'!F:L,'AMFI DATA_2023H2'!L:L)</f>
        <v>446</v>
      </c>
      <c r="B468" s="4" t="s">
        <v>1329</v>
      </c>
      <c r="C468" s="4" t="s">
        <v>1330</v>
      </c>
      <c r="D468" s="5" t="s">
        <v>1331</v>
      </c>
      <c r="E468" s="5">
        <v>8992.2999999999993</v>
      </c>
      <c r="F468" s="6">
        <f>LOOKUP(D468,'AMFI DATA_2023H2'!F:J,'AMFI DATA_2023H2'!J:J)</f>
        <v>8909.2049999999999</v>
      </c>
      <c r="G468" s="7">
        <f t="shared" si="2"/>
        <v>0.14196496769352596</v>
      </c>
      <c r="H468" s="8">
        <v>10174</v>
      </c>
      <c r="I468" s="8">
        <v>10221</v>
      </c>
      <c r="J468" s="8">
        <v>10122</v>
      </c>
      <c r="K468" s="8">
        <v>9942</v>
      </c>
      <c r="L468" s="8">
        <v>10024</v>
      </c>
      <c r="M468" s="8">
        <v>9882</v>
      </c>
      <c r="N468" s="8">
        <v>10107</v>
      </c>
      <c r="O468" s="8">
        <v>10047</v>
      </c>
      <c r="P468" s="8">
        <v>10043</v>
      </c>
      <c r="Q468" s="8">
        <v>9994</v>
      </c>
      <c r="R468" s="7">
        <f t="shared" si="3"/>
        <v>0.12867534196373298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4.4" hidden="1">
      <c r="A469" s="3">
        <f>LOOKUP(D469,'AMFI DATA_2023H2'!F:L,'AMFI DATA_2023H2'!L:L)</f>
        <v>1061</v>
      </c>
      <c r="B469" s="4" t="s">
        <v>3020</v>
      </c>
      <c r="C469" s="4" t="s">
        <v>3021</v>
      </c>
      <c r="D469" s="5" t="s">
        <v>3022</v>
      </c>
      <c r="E469" s="5">
        <v>1349.77</v>
      </c>
      <c r="F469" s="6">
        <f>LOOKUP(D469,'AMFI DATA_2023H2'!F:J,'AMFI DATA_2023H2'!J:J)</f>
        <v>1440.91705</v>
      </c>
      <c r="G469" s="7">
        <f t="shared" si="2"/>
        <v>6.7375807649718622E-2</v>
      </c>
      <c r="H469" s="8">
        <v>1538</v>
      </c>
      <c r="I469" s="8">
        <v>1516</v>
      </c>
      <c r="J469" s="8">
        <v>1450</v>
      </c>
      <c r="K469" s="8">
        <v>1447</v>
      </c>
      <c r="L469" s="8">
        <v>1438</v>
      </c>
      <c r="M469" s="8">
        <v>1409</v>
      </c>
      <c r="N469" s="8">
        <v>1392</v>
      </c>
      <c r="O469" s="8">
        <v>1382</v>
      </c>
      <c r="P469" s="8">
        <v>1381</v>
      </c>
      <c r="Q469" s="8">
        <v>1393</v>
      </c>
      <c r="R469" s="7">
        <f t="shared" si="3"/>
        <v>-4.3840483392156848E-3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4.4" hidden="1">
      <c r="A470" s="3">
        <f>LOOKUP(D470,'AMFI DATA_2023H2'!F:L,'AMFI DATA_2023H2'!L:L)</f>
        <v>323</v>
      </c>
      <c r="B470" s="4" t="s">
        <v>978</v>
      </c>
      <c r="C470" s="4" t="s">
        <v>979</v>
      </c>
      <c r="D470" s="5" t="s">
        <v>980</v>
      </c>
      <c r="E470" s="5">
        <v>11261.63</v>
      </c>
      <c r="F470" s="6">
        <f>LOOKUP(D470,'AMFI DATA_2023H2'!F:J,'AMFI DATA_2023H2'!J:J)</f>
        <v>14344.126049999999</v>
      </c>
      <c r="G470" s="7">
        <f t="shared" si="2"/>
        <v>0.21617726581536845</v>
      </c>
      <c r="H470" s="8">
        <v>17445</v>
      </c>
      <c r="I470" s="8">
        <v>17541</v>
      </c>
      <c r="J470" s="8">
        <v>16816</v>
      </c>
      <c r="K470" s="8">
        <v>16635</v>
      </c>
      <c r="L470" s="8">
        <v>15634</v>
      </c>
      <c r="M470" s="8">
        <v>15603</v>
      </c>
      <c r="N470" s="8">
        <v>15134</v>
      </c>
      <c r="O470" s="8">
        <v>15128</v>
      </c>
      <c r="P470" s="8">
        <v>15103</v>
      </c>
      <c r="Q470" s="8">
        <v>14856</v>
      </c>
      <c r="R470" s="7">
        <f t="shared" si="3"/>
        <v>0.11470715917195951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4.4" hidden="1">
      <c r="A471" s="3">
        <f>LOOKUP(D471,'AMFI DATA_2023H2'!F:L,'AMFI DATA_2023H2'!L:L)</f>
        <v>1388</v>
      </c>
      <c r="B471" s="4" t="s">
        <v>3749</v>
      </c>
      <c r="C471" s="4" t="s">
        <v>3750</v>
      </c>
      <c r="D471" s="5" t="s">
        <v>3751</v>
      </c>
      <c r="E471" s="5">
        <v>268.95</v>
      </c>
      <c r="F471" s="6">
        <f>LOOKUP(D471,'AMFI DATA_2023H2'!F:J,'AMFI DATA_2023H2'!J:J)</f>
        <v>655.93700000000001</v>
      </c>
      <c r="G471" s="7">
        <f t="shared" si="2"/>
        <v>0.4422116758164274</v>
      </c>
      <c r="H471" s="9">
        <v>946</v>
      </c>
      <c r="I471" s="9">
        <v>953</v>
      </c>
      <c r="J471" s="9">
        <v>909</v>
      </c>
      <c r="K471" s="9">
        <v>929</v>
      </c>
      <c r="L471" s="9">
        <v>914</v>
      </c>
      <c r="M471" s="9">
        <v>923</v>
      </c>
      <c r="N471" s="9">
        <v>940</v>
      </c>
      <c r="O471" s="9">
        <v>963</v>
      </c>
      <c r="P471" s="9">
        <v>945</v>
      </c>
      <c r="Q471" s="9">
        <v>977</v>
      </c>
      <c r="R471" s="7">
        <f t="shared" si="3"/>
        <v>0.43291200221972526</v>
      </c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4.4" hidden="1">
      <c r="A472" s="3">
        <f>LOOKUP(D472,'AMFI DATA_2023H2'!F:L,'AMFI DATA_2023H2'!L:L)</f>
        <v>1354</v>
      </c>
      <c r="B472" s="4" t="s">
        <v>3671</v>
      </c>
      <c r="C472" s="4" t="s">
        <v>3672</v>
      </c>
      <c r="D472" s="5" t="s">
        <v>3673</v>
      </c>
      <c r="E472" s="5">
        <v>588.91</v>
      </c>
      <c r="F472" s="6">
        <f>LOOKUP(D472,'AMFI DATA_2023H2'!F:J,'AMFI DATA_2023H2'!J:J)</f>
        <v>718.13045</v>
      </c>
      <c r="G472" s="7">
        <f t="shared" si="2"/>
        <v>4.2985992308222087E-2</v>
      </c>
      <c r="H472" s="9">
        <v>749</v>
      </c>
      <c r="I472" s="9">
        <v>746</v>
      </c>
      <c r="J472" s="9">
        <v>732</v>
      </c>
      <c r="K472" s="9">
        <v>724</v>
      </c>
      <c r="L472" s="9">
        <v>713</v>
      </c>
      <c r="M472" s="9">
        <v>713</v>
      </c>
      <c r="N472" s="9">
        <v>721</v>
      </c>
      <c r="O472" s="9">
        <v>716</v>
      </c>
      <c r="P472" s="9">
        <v>710</v>
      </c>
      <c r="Q472" s="9">
        <v>715</v>
      </c>
      <c r="R472" s="7">
        <f t="shared" si="3"/>
        <v>8.0341252762641258E-3</v>
      </c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4.4" hidden="1">
      <c r="A473" s="3">
        <f>LOOKUP(D473,'AMFI DATA_2023H2'!F:L,'AMFI DATA_2023H2'!L:L)</f>
        <v>433</v>
      </c>
      <c r="B473" s="4" t="s">
        <v>1293</v>
      </c>
      <c r="C473" s="4" t="s">
        <v>1294</v>
      </c>
      <c r="D473" s="5" t="s">
        <v>1295</v>
      </c>
      <c r="E473" s="5">
        <v>4982.04</v>
      </c>
      <c r="F473" s="6">
        <f>LOOKUP(D473,'AMFI DATA_2023H2'!F:J,'AMFI DATA_2023H2'!J:J)</f>
        <v>9261.9623499999998</v>
      </c>
      <c r="G473" s="7">
        <f t="shared" si="2"/>
        <v>0.13226545344356744</v>
      </c>
      <c r="H473" s="8">
        <v>10487</v>
      </c>
      <c r="I473" s="8">
        <v>10416</v>
      </c>
      <c r="J473" s="8">
        <v>10339</v>
      </c>
      <c r="K473" s="8">
        <v>10372</v>
      </c>
      <c r="L473" s="8">
        <v>10524</v>
      </c>
      <c r="M473" s="8">
        <v>10439</v>
      </c>
      <c r="N473" s="8">
        <v>10543</v>
      </c>
      <c r="O473" s="8">
        <v>10528</v>
      </c>
      <c r="P473" s="8">
        <v>10535</v>
      </c>
      <c r="Q473" s="8">
        <v>10025</v>
      </c>
      <c r="R473" s="7">
        <f t="shared" si="3"/>
        <v>0.12511794004431454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4.4" hidden="1">
      <c r="A474" s="3">
        <f>LOOKUP(D474,'AMFI DATA_2023H2'!F:L,'AMFI DATA_2023H2'!L:L)</f>
        <v>574</v>
      </c>
      <c r="B474" s="4" t="s">
        <v>1701</v>
      </c>
      <c r="C474" s="4" t="s">
        <v>1702</v>
      </c>
      <c r="D474" s="5" t="s">
        <v>1703</v>
      </c>
      <c r="E474" s="5">
        <v>2889</v>
      </c>
      <c r="F474" s="6">
        <f>LOOKUP(D474,'AMFI DATA_2023H2'!F:J,'AMFI DATA_2023H2'!J:J)</f>
        <v>5925.8276999999998</v>
      </c>
      <c r="G474" s="7">
        <f t="shared" si="2"/>
        <v>0.39305434074635692</v>
      </c>
      <c r="H474" s="8">
        <v>8255</v>
      </c>
      <c r="I474" s="8">
        <v>8351</v>
      </c>
      <c r="J474" s="8">
        <v>8507</v>
      </c>
      <c r="K474" s="8">
        <v>7878</v>
      </c>
      <c r="L474" s="8">
        <v>7780</v>
      </c>
      <c r="M474" s="8">
        <v>7887</v>
      </c>
      <c r="N474" s="8">
        <v>7687</v>
      </c>
      <c r="O474" s="8">
        <v>7718</v>
      </c>
      <c r="P474" s="8">
        <v>7780</v>
      </c>
      <c r="Q474" s="8">
        <v>7914</v>
      </c>
      <c r="R474" s="7">
        <f t="shared" si="3"/>
        <v>0.34592168449312144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4.4" hidden="1">
      <c r="A475" s="3">
        <f>LOOKUP(D475,'AMFI DATA_2023H2'!F:L,'AMFI DATA_2023H2'!L:L)</f>
        <v>628</v>
      </c>
      <c r="B475" s="4" t="s">
        <v>1854</v>
      </c>
      <c r="C475" s="4" t="s">
        <v>1855</v>
      </c>
      <c r="D475" s="5" t="s">
        <v>1856</v>
      </c>
      <c r="E475" s="5">
        <v>2389.8200000000002</v>
      </c>
      <c r="F475" s="6">
        <f>LOOKUP(D475,'AMFI DATA_2023H2'!F:J,'AMFI DATA_2023H2'!J:J)</f>
        <v>4759.3247499999998</v>
      </c>
      <c r="G475" s="7">
        <f t="shared" si="2"/>
        <v>0.62228896021436664</v>
      </c>
      <c r="H475" s="8">
        <v>7721</v>
      </c>
      <c r="I475" s="8">
        <v>7329</v>
      </c>
      <c r="J475" s="8">
        <v>6704</v>
      </c>
      <c r="K475" s="8">
        <v>6562</v>
      </c>
      <c r="L475" s="8">
        <v>6663</v>
      </c>
      <c r="M475" s="8">
        <v>6630</v>
      </c>
      <c r="N475" s="8">
        <v>6698</v>
      </c>
      <c r="O475" s="8">
        <v>6728</v>
      </c>
      <c r="P475" s="8">
        <v>6811</v>
      </c>
      <c r="Q475" s="8">
        <v>6713</v>
      </c>
      <c r="R475" s="7">
        <f t="shared" si="3"/>
        <v>0.44051947705396644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4.4" hidden="1">
      <c r="A476" s="3">
        <f>LOOKUP(D476,'AMFI DATA_2023H2'!F:L,'AMFI DATA_2023H2'!L:L)</f>
        <v>2023</v>
      </c>
      <c r="B476" s="4" t="s">
        <v>4775</v>
      </c>
      <c r="C476" s="4" t="s">
        <v>4776</v>
      </c>
      <c r="D476" s="5" t="s">
        <v>4777</v>
      </c>
      <c r="E476" s="5">
        <v>87.65</v>
      </c>
      <c r="F476" s="6">
        <f>LOOKUP(D476,'AMFI DATA_2023H2'!F:J,'AMFI DATA_2023H2'!J:J)</f>
        <v>182.80374999999998</v>
      </c>
      <c r="G476" s="7">
        <f t="shared" si="2"/>
        <v>0.84350703965318008</v>
      </c>
      <c r="H476" s="9">
        <v>337</v>
      </c>
      <c r="I476" s="9">
        <v>331</v>
      </c>
      <c r="J476" s="9">
        <v>324</v>
      </c>
      <c r="K476" s="9">
        <v>318</v>
      </c>
      <c r="L476" s="9">
        <v>312</v>
      </c>
      <c r="M476" s="9">
        <v>306</v>
      </c>
      <c r="N476" s="9">
        <v>300</v>
      </c>
      <c r="O476" s="9">
        <v>306</v>
      </c>
      <c r="P476" s="9">
        <v>313</v>
      </c>
      <c r="Q476" s="9">
        <v>319</v>
      </c>
      <c r="R476" s="7">
        <f t="shared" si="3"/>
        <v>0.73191195476022819</v>
      </c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4.4" hidden="1">
      <c r="A477" s="3">
        <f>LOOKUP(D477,'AMFI DATA_2023H2'!F:L,'AMFI DATA_2023H2'!L:L)</f>
        <v>299</v>
      </c>
      <c r="B477" s="4" t="s">
        <v>906</v>
      </c>
      <c r="C477" s="4" t="s">
        <v>907</v>
      </c>
      <c r="D477" s="5" t="s">
        <v>908</v>
      </c>
      <c r="E477" s="5">
        <v>14780.42</v>
      </c>
      <c r="F477" s="6">
        <f>LOOKUP(D477,'AMFI DATA_2023H2'!F:J,'AMFI DATA_2023H2'!J:J)</f>
        <v>16318.828249999999</v>
      </c>
      <c r="G477" s="7">
        <f t="shared" si="2"/>
        <v>5.7306305065132346E-2</v>
      </c>
      <c r="H477" s="8">
        <v>17254</v>
      </c>
      <c r="I477" s="8">
        <v>16985</v>
      </c>
      <c r="J477" s="8">
        <v>17113</v>
      </c>
      <c r="K477" s="8">
        <v>17286</v>
      </c>
      <c r="L477" s="8">
        <v>17169</v>
      </c>
      <c r="M477" s="8">
        <v>17235</v>
      </c>
      <c r="N477" s="8">
        <v>16764</v>
      </c>
      <c r="O477" s="8">
        <v>16847</v>
      </c>
      <c r="P477" s="8">
        <v>17037</v>
      </c>
      <c r="Q477" s="8">
        <v>17294</v>
      </c>
      <c r="R477" s="7">
        <f t="shared" si="3"/>
        <v>4.7771306741953401E-2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4.4" hidden="1">
      <c r="A478" s="3">
        <f>LOOKUP(D478,'AMFI DATA_2023H2'!F:L,'AMFI DATA_2023H2'!L:L)</f>
        <v>1829</v>
      </c>
      <c r="B478" s="4" t="s">
        <v>4508</v>
      </c>
      <c r="C478" s="4" t="s">
        <v>4509</v>
      </c>
      <c r="D478" s="5" t="s">
        <v>4510</v>
      </c>
      <c r="E478" s="5">
        <v>181.52</v>
      </c>
      <c r="F478" s="6">
        <f>LOOKUP(D478,'AMFI DATA_2023H2'!F:J,'AMFI DATA_2023H2'!J:J)</f>
        <v>258.05009999999999</v>
      </c>
      <c r="G478" s="7">
        <f t="shared" si="2"/>
        <v>0.10831191307424426</v>
      </c>
      <c r="H478" s="9">
        <v>286</v>
      </c>
      <c r="I478" s="9">
        <v>281</v>
      </c>
      <c r="J478" s="9">
        <v>279</v>
      </c>
      <c r="K478" s="9">
        <v>284</v>
      </c>
      <c r="L478" s="9">
        <v>290</v>
      </c>
      <c r="M478" s="9">
        <v>296</v>
      </c>
      <c r="N478" s="9">
        <v>297</v>
      </c>
      <c r="O478" s="9">
        <v>302</v>
      </c>
      <c r="P478" s="9">
        <v>302</v>
      </c>
      <c r="Q478" s="9">
        <v>296</v>
      </c>
      <c r="R478" s="7">
        <f t="shared" si="3"/>
        <v>0.12885056041443121</v>
      </c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4.4" hidden="1">
      <c r="A479" s="3">
        <f>LOOKUP(D479,'AMFI DATA_2023H2'!F:L,'AMFI DATA_2023H2'!L:L)</f>
        <v>1304</v>
      </c>
      <c r="B479" s="4" t="s">
        <v>3581</v>
      </c>
      <c r="C479" s="4" t="s">
        <v>3582</v>
      </c>
      <c r="D479" s="5" t="s">
        <v>3583</v>
      </c>
      <c r="E479" s="5">
        <v>799.74</v>
      </c>
      <c r="F479" s="6">
        <f>LOOKUP(D479,'AMFI DATA_2023H2'!F:J,'AMFI DATA_2023H2'!J:J)</f>
        <v>794.94405000000006</v>
      </c>
      <c r="G479" s="7">
        <f t="shared" si="2"/>
        <v>-5.7795325343966142E-2</v>
      </c>
      <c r="H479" s="9">
        <v>749</v>
      </c>
      <c r="I479" s="9">
        <v>753</v>
      </c>
      <c r="J479" s="9">
        <v>740</v>
      </c>
      <c r="K479" s="9">
        <v>747</v>
      </c>
      <c r="L479" s="9">
        <v>754</v>
      </c>
      <c r="M479" s="9">
        <v>735</v>
      </c>
      <c r="N479" s="9">
        <v>745</v>
      </c>
      <c r="O479" s="9">
        <v>734</v>
      </c>
      <c r="P479" s="9">
        <v>732</v>
      </c>
      <c r="Q479" s="9">
        <v>734</v>
      </c>
      <c r="R479" s="7">
        <f t="shared" si="3"/>
        <v>-6.6223591459046882E-2</v>
      </c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4.4" hidden="1">
      <c r="A480" s="3">
        <f>LOOKUP(D480,'AMFI DATA_2023H2'!F:L,'AMFI DATA_2023H2'!L:L)</f>
        <v>251</v>
      </c>
      <c r="B480" s="4" t="s">
        <v>759</v>
      </c>
      <c r="C480" s="4" t="s">
        <v>760</v>
      </c>
      <c r="D480" s="5" t="s">
        <v>761</v>
      </c>
      <c r="E480" s="5">
        <v>17384.990000000002</v>
      </c>
      <c r="F480" s="6">
        <f>LOOKUP(D480,'AMFI DATA_2023H2'!F:J,'AMFI DATA_2023H2'!J:J)</f>
        <v>21975.953799999999</v>
      </c>
      <c r="G480" s="7">
        <f t="shared" si="2"/>
        <v>0.13228305021281939</v>
      </c>
      <c r="H480" s="8">
        <v>24883</v>
      </c>
      <c r="I480" s="8">
        <v>24632</v>
      </c>
      <c r="J480" s="8">
        <v>23901</v>
      </c>
      <c r="K480" s="8">
        <v>24819</v>
      </c>
      <c r="L480" s="8">
        <v>25251</v>
      </c>
      <c r="M480" s="8">
        <v>24846</v>
      </c>
      <c r="N480" s="8">
        <v>23421</v>
      </c>
      <c r="O480" s="8">
        <v>21976</v>
      </c>
      <c r="P480" s="8">
        <v>22128</v>
      </c>
      <c r="Q480" s="8">
        <v>21789</v>
      </c>
      <c r="R480" s="7">
        <f t="shared" si="3"/>
        <v>8.1391061169777235E-2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4.4" hidden="1">
      <c r="A481" s="3">
        <f>LOOKUP(D481,'AMFI DATA_2023H2'!F:L,'AMFI DATA_2023H2'!L:L)</f>
        <v>1314</v>
      </c>
      <c r="B481" s="4" t="s">
        <v>3608</v>
      </c>
      <c r="C481" s="4" t="s">
        <v>3609</v>
      </c>
      <c r="D481" s="5" t="s">
        <v>3610</v>
      </c>
      <c r="E481" s="5">
        <v>761.8</v>
      </c>
      <c r="F481" s="6">
        <f>LOOKUP(D481,'AMFI DATA_2023H2'!F:J,'AMFI DATA_2023H2'!J:J)</f>
        <v>785.36310000000003</v>
      </c>
      <c r="G481" s="7">
        <f t="shared" si="2"/>
        <v>-7.5586820923977727E-2</v>
      </c>
      <c r="H481" s="9">
        <v>726</v>
      </c>
      <c r="I481" s="9">
        <v>744</v>
      </c>
      <c r="J481" s="9">
        <v>741</v>
      </c>
      <c r="K481" s="9">
        <v>726</v>
      </c>
      <c r="L481" s="9">
        <v>742</v>
      </c>
      <c r="M481" s="9">
        <v>722</v>
      </c>
      <c r="N481" s="9">
        <v>726</v>
      </c>
      <c r="O481" s="9">
        <v>737</v>
      </c>
      <c r="P481" s="9">
        <v>752</v>
      </c>
      <c r="Q481" s="9">
        <v>757</v>
      </c>
      <c r="R481" s="7">
        <f t="shared" si="3"/>
        <v>-6.1198571717973604E-2</v>
      </c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4.4" hidden="1">
      <c r="A482" s="3">
        <f>LOOKUP(D482,'AMFI DATA_2023H2'!F:L,'AMFI DATA_2023H2'!L:L)</f>
        <v>1701</v>
      </c>
      <c r="B482" s="4" t="s">
        <v>4337</v>
      </c>
      <c r="C482" s="4" t="s">
        <v>4338</v>
      </c>
      <c r="D482" s="5" t="s">
        <v>4339</v>
      </c>
      <c r="E482" s="5">
        <v>269.10000000000002</v>
      </c>
      <c r="F482" s="6">
        <f>LOOKUP(D482,'AMFI DATA_2023H2'!F:J,'AMFI DATA_2023H2'!J:J)</f>
        <v>330.24490000000003</v>
      </c>
      <c r="G482" s="7">
        <f t="shared" si="2"/>
        <v>0.42318624753932599</v>
      </c>
      <c r="H482" s="9">
        <v>470</v>
      </c>
      <c r="I482" s="9">
        <v>481</v>
      </c>
      <c r="J482" s="9">
        <v>469</v>
      </c>
      <c r="K482" s="9">
        <v>455</v>
      </c>
      <c r="L482" s="9">
        <v>434</v>
      </c>
      <c r="M482" s="9">
        <v>413</v>
      </c>
      <c r="N482" s="9">
        <v>425</v>
      </c>
      <c r="O482" s="9">
        <v>437</v>
      </c>
      <c r="P482" s="9">
        <v>448</v>
      </c>
      <c r="Q482" s="9">
        <v>470</v>
      </c>
      <c r="R482" s="7">
        <f t="shared" si="3"/>
        <v>0.36323074179192449</v>
      </c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4.4" hidden="1">
      <c r="A483" s="3">
        <f>LOOKUP(D483,'AMFI DATA_2023H2'!F:L,'AMFI DATA_2023H2'!L:L)</f>
        <v>1878</v>
      </c>
      <c r="B483" s="4" t="s">
        <v>4568</v>
      </c>
      <c r="C483" s="4" t="s">
        <v>4569</v>
      </c>
      <c r="D483" s="5" t="s">
        <v>4570</v>
      </c>
      <c r="E483" s="5">
        <v>175.72</v>
      </c>
      <c r="F483" s="6">
        <f>LOOKUP(D483,'AMFI DATA_2023H2'!F:J,'AMFI DATA_2023H2'!J:J)</f>
        <v>233.93709999999999</v>
      </c>
      <c r="G483" s="7">
        <f t="shared" si="2"/>
        <v>0.53032588674477044</v>
      </c>
      <c r="H483" s="9">
        <v>358</v>
      </c>
      <c r="I483" s="9">
        <v>344</v>
      </c>
      <c r="J483" s="9">
        <v>348</v>
      </c>
      <c r="K483" s="9">
        <v>343</v>
      </c>
      <c r="L483" s="9">
        <v>350</v>
      </c>
      <c r="M483" s="9">
        <v>358</v>
      </c>
      <c r="N483" s="9">
        <v>350</v>
      </c>
      <c r="O483" s="9">
        <v>334</v>
      </c>
      <c r="P483" s="9">
        <v>352</v>
      </c>
      <c r="Q483" s="9">
        <v>352</v>
      </c>
      <c r="R483" s="7">
        <f t="shared" si="3"/>
        <v>0.49142654157891164</v>
      </c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4.4" hidden="1">
      <c r="A484" s="3">
        <f>LOOKUP(D484,'AMFI DATA_2023H2'!F:L,'AMFI DATA_2023H2'!L:L)</f>
        <v>2038</v>
      </c>
      <c r="B484" s="4" t="s">
        <v>4790</v>
      </c>
      <c r="C484" s="4" t="s">
        <v>4791</v>
      </c>
      <c r="D484" s="5" t="s">
        <v>4792</v>
      </c>
      <c r="E484" s="5">
        <v>159.01</v>
      </c>
      <c r="F484" s="6">
        <f>LOOKUP(D484,'AMFI DATA_2023H2'!F:J,'AMFI DATA_2023H2'!J:J)</f>
        <v>177.14249999999998</v>
      </c>
      <c r="G484" s="7">
        <f t="shared" si="2"/>
        <v>7.2582807626628387E-2</v>
      </c>
      <c r="H484" s="9">
        <v>190</v>
      </c>
      <c r="I484" s="9">
        <v>192</v>
      </c>
      <c r="J484" s="9">
        <v>193</v>
      </c>
      <c r="K484" s="9">
        <v>181</v>
      </c>
      <c r="L484" s="9">
        <v>185</v>
      </c>
      <c r="M484" s="9">
        <v>186</v>
      </c>
      <c r="N484" s="9">
        <v>178</v>
      </c>
      <c r="O484" s="9">
        <v>177</v>
      </c>
      <c r="P484" s="9">
        <v>177</v>
      </c>
      <c r="Q484" s="9">
        <v>177</v>
      </c>
      <c r="R484" s="7">
        <f t="shared" si="3"/>
        <v>3.6453702527626142E-2</v>
      </c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4.4" hidden="1">
      <c r="A485" s="3">
        <f>LOOKUP(D485,'AMFI DATA_2023H2'!F:L,'AMFI DATA_2023H2'!L:L)</f>
        <v>932</v>
      </c>
      <c r="B485" s="4" t="s">
        <v>2690</v>
      </c>
      <c r="C485" s="4" t="s">
        <v>2691</v>
      </c>
      <c r="D485" s="5" t="s">
        <v>2692</v>
      </c>
      <c r="E485" s="5">
        <v>159.01</v>
      </c>
      <c r="F485" s="6">
        <f>LOOKUP(D485,'AMFI DATA_2023H2'!F:J,'AMFI DATA_2023H2'!J:J)</f>
        <v>2032.9943000000001</v>
      </c>
      <c r="G485" s="7">
        <f t="shared" si="2"/>
        <v>0.2439779098249315</v>
      </c>
      <c r="H485" s="8">
        <v>2529</v>
      </c>
      <c r="I485" s="8">
        <v>2522</v>
      </c>
      <c r="J485" s="8">
        <v>2476</v>
      </c>
      <c r="K485" s="8">
        <v>2430</v>
      </c>
      <c r="L485" s="8">
        <v>2476</v>
      </c>
      <c r="M485" s="8">
        <v>2358</v>
      </c>
      <c r="N485" s="8">
        <v>2422</v>
      </c>
      <c r="O485" s="8">
        <v>2426</v>
      </c>
      <c r="P485" s="8">
        <v>2431</v>
      </c>
      <c r="Q485" s="8">
        <v>2315</v>
      </c>
      <c r="R485" s="7">
        <f t="shared" si="3"/>
        <v>0.19946229067144938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4.4" hidden="1">
      <c r="A486" s="3">
        <f>LOOKUP(D486,'AMFI DATA_2023H2'!F:L,'AMFI DATA_2023H2'!L:L)</f>
        <v>718</v>
      </c>
      <c r="B486" s="4" t="s">
        <v>2099</v>
      </c>
      <c r="C486" s="4" t="s">
        <v>2100</v>
      </c>
      <c r="D486" s="5" t="s">
        <v>2101</v>
      </c>
      <c r="E486" s="5">
        <v>2385.21</v>
      </c>
      <c r="F486" s="6">
        <f>LOOKUP(D486,'AMFI DATA_2023H2'!F:J,'AMFI DATA_2023H2'!J:J)</f>
        <v>3636.0556999999999</v>
      </c>
      <c r="G486" s="7">
        <f t="shared" si="2"/>
        <v>-2.9992857370144232E-2</v>
      </c>
      <c r="H486" s="8">
        <v>3527</v>
      </c>
      <c r="I486" s="8">
        <v>3515</v>
      </c>
      <c r="J486" s="8">
        <v>3509</v>
      </c>
      <c r="K486" s="8">
        <v>3514</v>
      </c>
      <c r="L486" s="8">
        <v>3552</v>
      </c>
      <c r="M486" s="8">
        <v>3532</v>
      </c>
      <c r="N486" s="8">
        <v>3492</v>
      </c>
      <c r="O486" s="8">
        <v>3382</v>
      </c>
      <c r="P486" s="8">
        <v>3426</v>
      </c>
      <c r="Q486" s="8">
        <v>3395</v>
      </c>
      <c r="R486" s="7">
        <f t="shared" si="3"/>
        <v>-4.1708849509648593E-2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4.4" hidden="1">
      <c r="A487" s="3">
        <f>LOOKUP(D487,'AMFI DATA_2023H2'!F:L,'AMFI DATA_2023H2'!L:L)</f>
        <v>241</v>
      </c>
      <c r="B487" s="4" t="s">
        <v>732</v>
      </c>
      <c r="C487" s="4" t="s">
        <v>733</v>
      </c>
      <c r="D487" s="5" t="s">
        <v>734</v>
      </c>
      <c r="E487" s="5">
        <v>19319.919999999998</v>
      </c>
      <c r="F487" s="6">
        <f>LOOKUP(D487,'AMFI DATA_2023H2'!F:J,'AMFI DATA_2023H2'!J:J)</f>
        <v>23234.273500000003</v>
      </c>
      <c r="G487" s="7">
        <f t="shared" si="2"/>
        <v>0.27888655524348538</v>
      </c>
      <c r="H487" s="8">
        <v>29714</v>
      </c>
      <c r="I487" s="8">
        <v>27181</v>
      </c>
      <c r="J487" s="8">
        <v>26726</v>
      </c>
      <c r="K487" s="8">
        <v>26495</v>
      </c>
      <c r="L487" s="8">
        <v>26933</v>
      </c>
      <c r="M487" s="8">
        <v>26947</v>
      </c>
      <c r="N487" s="8">
        <v>26191</v>
      </c>
      <c r="O487" s="8">
        <v>25572</v>
      </c>
      <c r="P487" s="8">
        <v>25361</v>
      </c>
      <c r="Q487" s="8">
        <v>25797</v>
      </c>
      <c r="R487" s="7">
        <f t="shared" si="3"/>
        <v>0.14880717057927373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4.4" hidden="1">
      <c r="A488" s="3">
        <f>LOOKUP(D488,'AMFI DATA_2023H2'!F:L,'AMFI DATA_2023H2'!L:L)</f>
        <v>2428</v>
      </c>
      <c r="B488" s="4" t="s">
        <v>5233</v>
      </c>
      <c r="C488" s="4" t="s">
        <v>5234</v>
      </c>
      <c r="D488" s="5" t="s">
        <v>5235</v>
      </c>
      <c r="E488" s="5">
        <v>84.89</v>
      </c>
      <c r="F488" s="6">
        <f>LOOKUP(D488,'AMFI DATA_2023H2'!F:J,'AMFI DATA_2023H2'!J:J)</f>
        <v>93.120399999999989</v>
      </c>
      <c r="G488" s="7">
        <f t="shared" si="2"/>
        <v>0.37456454224852997</v>
      </c>
      <c r="H488" s="9">
        <v>128</v>
      </c>
      <c r="I488" s="9">
        <v>125</v>
      </c>
      <c r="J488" s="9">
        <v>127</v>
      </c>
      <c r="K488" s="9">
        <v>128</v>
      </c>
      <c r="L488" s="9">
        <v>128</v>
      </c>
      <c r="M488" s="9">
        <v>128</v>
      </c>
      <c r="N488" s="9">
        <v>130</v>
      </c>
      <c r="O488" s="9">
        <v>123</v>
      </c>
      <c r="P488" s="9">
        <v>117</v>
      </c>
      <c r="Q488" s="9">
        <v>124</v>
      </c>
      <c r="R488" s="7">
        <f t="shared" si="3"/>
        <v>0.35093921417863339</v>
      </c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4.4">
      <c r="A489" s="3">
        <f>LOOKUP(D489,'AMFI DATA_2023H2'!F:L,'AMFI DATA_2023H2'!L:L)</f>
        <v>465</v>
      </c>
      <c r="B489" s="4" t="s">
        <v>1383</v>
      </c>
      <c r="C489" s="4" t="s">
        <v>1384</v>
      </c>
      <c r="D489" s="5" t="s">
        <v>1385</v>
      </c>
      <c r="E489" s="5">
        <v>4976.16</v>
      </c>
      <c r="F489" s="6">
        <f>LOOKUP(D489,'AMFI DATA_2023H2'!F:J,'AMFI DATA_2023H2'!J:J)</f>
        <v>8162.3402000000006</v>
      </c>
      <c r="G489" s="7">
        <f t="shared" si="2"/>
        <v>0.37240052797603296</v>
      </c>
      <c r="H489" s="8">
        <v>11202</v>
      </c>
      <c r="I489" s="8">
        <v>11303</v>
      </c>
      <c r="J489" s="8">
        <v>11452</v>
      </c>
      <c r="K489" s="8">
        <v>11072</v>
      </c>
      <c r="L489" s="8">
        <v>10207</v>
      </c>
      <c r="M489" s="8">
        <v>9631</v>
      </c>
      <c r="N489" s="8">
        <v>9706</v>
      </c>
      <c r="O489" s="8">
        <v>9147</v>
      </c>
      <c r="P489" s="8">
        <v>9091</v>
      </c>
      <c r="Q489" s="8">
        <v>9049</v>
      </c>
      <c r="R489" s="14">
        <f t="shared" si="3"/>
        <v>0.24792642188572334</v>
      </c>
      <c r="S489" s="8"/>
      <c r="T489" s="8">
        <v>200.6</v>
      </c>
      <c r="U489" s="15">
        <f ca="1">IFERROR(__xludf.DUMMYFUNCTION("GOOGLEFINANCE(C489,""PRICE"")"),242)</f>
        <v>242</v>
      </c>
      <c r="V489" s="13" t="s">
        <v>5787</v>
      </c>
      <c r="W489" s="7">
        <f ca="1">U489/T489-1</f>
        <v>0.20638085742771684</v>
      </c>
      <c r="X489" s="8"/>
      <c r="Y489" s="8"/>
      <c r="Z489" s="8"/>
      <c r="AA489" s="8"/>
      <c r="AB489" s="8"/>
    </row>
    <row r="490" spans="1:28" ht="14.4" hidden="1">
      <c r="A490" s="3">
        <f>LOOKUP(D490,'AMFI DATA_2023H2'!F:L,'AMFI DATA_2023H2'!L:L)</f>
        <v>1309</v>
      </c>
      <c r="B490" s="4" t="s">
        <v>3593</v>
      </c>
      <c r="C490" s="4" t="s">
        <v>3594</v>
      </c>
      <c r="D490" s="5" t="s">
        <v>3595</v>
      </c>
      <c r="E490" s="5">
        <v>615.66</v>
      </c>
      <c r="F490" s="6">
        <f>LOOKUP(D490,'AMFI DATA_2023H2'!F:J,'AMFI DATA_2023H2'!J:J)</f>
        <v>791.6910499999999</v>
      </c>
      <c r="G490" s="7">
        <f t="shared" si="2"/>
        <v>0.13049149665137705</v>
      </c>
      <c r="H490" s="9">
        <v>895</v>
      </c>
      <c r="I490" s="9">
        <v>879</v>
      </c>
      <c r="J490" s="9">
        <v>894</v>
      </c>
      <c r="K490" s="9">
        <v>882</v>
      </c>
      <c r="L490" s="9">
        <v>874</v>
      </c>
      <c r="M490" s="9">
        <v>873</v>
      </c>
      <c r="N490" s="9">
        <v>870</v>
      </c>
      <c r="O490" s="9">
        <v>871</v>
      </c>
      <c r="P490" s="9">
        <v>896</v>
      </c>
      <c r="Q490" s="9">
        <v>897</v>
      </c>
      <c r="R490" s="7">
        <f t="shared" si="3"/>
        <v>0.11546038066238107</v>
      </c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4.4" hidden="1">
      <c r="A491" s="3">
        <f>LOOKUP(D491,'AMFI DATA_2023H2'!F:L,'AMFI DATA_2023H2'!L:L)</f>
        <v>692</v>
      </c>
      <c r="B491" s="4" t="s">
        <v>2028</v>
      </c>
      <c r="C491" s="4" t="s">
        <v>2029</v>
      </c>
      <c r="D491" s="5" t="s">
        <v>2030</v>
      </c>
      <c r="E491" s="5">
        <v>615.66</v>
      </c>
      <c r="F491" s="6">
        <f>LOOKUP(D491,'AMFI DATA_2023H2'!F:J,'AMFI DATA_2023H2'!J:J)</f>
        <v>3959.2963</v>
      </c>
      <c r="G491" s="7">
        <f t="shared" si="2"/>
        <v>8.6304149553040554E-2</v>
      </c>
      <c r="H491" s="8">
        <v>4301</v>
      </c>
      <c r="I491" s="8">
        <v>4442</v>
      </c>
      <c r="J491" s="8">
        <v>4414</v>
      </c>
      <c r="K491" s="8">
        <v>4365</v>
      </c>
      <c r="L491" s="8">
        <v>4078</v>
      </c>
      <c r="M491" s="8">
        <v>4074</v>
      </c>
      <c r="N491" s="8">
        <v>4004</v>
      </c>
      <c r="O491" s="8">
        <v>3932</v>
      </c>
      <c r="P491" s="8">
        <v>3894</v>
      </c>
      <c r="Q491" s="8">
        <v>3741</v>
      </c>
      <c r="R491" s="7">
        <f t="shared" si="3"/>
        <v>4.172552076994096E-2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4.4" hidden="1">
      <c r="A492" s="3">
        <f>LOOKUP(D492,'AMFI DATA_2023H2'!F:L,'AMFI DATA_2023H2'!L:L)</f>
        <v>549</v>
      </c>
      <c r="B492" s="4" t="s">
        <v>1626</v>
      </c>
      <c r="C492" s="4" t="s">
        <v>1627</v>
      </c>
      <c r="D492" s="5" t="s">
        <v>1628</v>
      </c>
      <c r="E492" s="5">
        <v>5496.03</v>
      </c>
      <c r="F492" s="6">
        <f>LOOKUP(D492,'AMFI DATA_2023H2'!F:J,'AMFI DATA_2023H2'!J:J)</f>
        <v>6424.1138000000001</v>
      </c>
      <c r="G492" s="7">
        <f t="shared" si="2"/>
        <v>-1.8856764336896426E-3</v>
      </c>
      <c r="H492" s="8">
        <v>6412</v>
      </c>
      <c r="I492" s="8">
        <v>6401</v>
      </c>
      <c r="J492" s="8">
        <v>6313</v>
      </c>
      <c r="K492" s="8">
        <v>6307</v>
      </c>
      <c r="L492" s="8">
        <v>6367</v>
      </c>
      <c r="M492" s="8">
        <v>6401</v>
      </c>
      <c r="N492" s="8">
        <v>6286</v>
      </c>
      <c r="O492" s="8">
        <v>6304</v>
      </c>
      <c r="P492" s="8">
        <v>6281</v>
      </c>
      <c r="Q492" s="8">
        <v>6283</v>
      </c>
      <c r="R492" s="7">
        <f t="shared" si="3"/>
        <v>-1.3793933725146701E-2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4.4" hidden="1">
      <c r="A493" s="3">
        <f>LOOKUP(D493,'AMFI DATA_2023H2'!F:L,'AMFI DATA_2023H2'!L:L)</f>
        <v>1766</v>
      </c>
      <c r="B493" s="4" t="s">
        <v>4430</v>
      </c>
      <c r="C493" s="4" t="s">
        <v>4431</v>
      </c>
      <c r="D493" s="5" t="s">
        <v>4432</v>
      </c>
      <c r="E493" s="5">
        <v>375.72</v>
      </c>
      <c r="F493" s="6">
        <f>LOOKUP(D493,'AMFI DATA_2023H2'!F:J,'AMFI DATA_2023H2'!J:J)</f>
        <v>290.23484999999999</v>
      </c>
      <c r="G493" s="7">
        <f t="shared" si="2"/>
        <v>1.2972770154928037E-2</v>
      </c>
      <c r="H493" s="9">
        <v>294</v>
      </c>
      <c r="I493" s="9">
        <v>280</v>
      </c>
      <c r="J493" s="9">
        <v>273</v>
      </c>
      <c r="K493" s="9">
        <v>274</v>
      </c>
      <c r="L493" s="9">
        <v>276</v>
      </c>
      <c r="M493" s="9">
        <v>278</v>
      </c>
      <c r="N493" s="9">
        <v>275</v>
      </c>
      <c r="O493" s="9">
        <v>273</v>
      </c>
      <c r="P493" s="9">
        <v>271</v>
      </c>
      <c r="Q493" s="9">
        <v>278</v>
      </c>
      <c r="R493" s="7">
        <f t="shared" si="3"/>
        <v>-4.4911388139639352E-2</v>
      </c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4.4" hidden="1">
      <c r="A494" s="3">
        <f>LOOKUP(D494,'AMFI DATA_2023H2'!F:L,'AMFI DATA_2023H2'!L:L)</f>
        <v>394</v>
      </c>
      <c r="B494" s="4" t="s">
        <v>1188</v>
      </c>
      <c r="C494" s="4" t="s">
        <v>1189</v>
      </c>
      <c r="D494" s="5" t="s">
        <v>1190</v>
      </c>
      <c r="E494" s="5">
        <v>8196.1</v>
      </c>
      <c r="F494" s="6">
        <f>LOOKUP(D494,'AMFI DATA_2023H2'!F:J,'AMFI DATA_2023H2'!J:J)</f>
        <v>10449.827499999999</v>
      </c>
      <c r="G494" s="7">
        <f t="shared" si="2"/>
        <v>0.24078603211392724</v>
      </c>
      <c r="H494" s="8">
        <v>12966</v>
      </c>
      <c r="I494" s="8">
        <v>12616</v>
      </c>
      <c r="J494" s="8">
        <v>12537</v>
      </c>
      <c r="K494" s="8">
        <v>12469</v>
      </c>
      <c r="L494" s="8">
        <v>12118</v>
      </c>
      <c r="M494" s="8">
        <v>11888</v>
      </c>
      <c r="N494" s="8">
        <v>12081</v>
      </c>
      <c r="O494" s="8">
        <v>12197</v>
      </c>
      <c r="P494" s="8">
        <v>11892</v>
      </c>
      <c r="Q494" s="8">
        <v>12005</v>
      </c>
      <c r="R494" s="7">
        <f t="shared" si="3"/>
        <v>0.17484235983799734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4.4" hidden="1">
      <c r="A495" s="3">
        <f>LOOKUP(D495,'AMFI DATA_2023H2'!F:L,'AMFI DATA_2023H2'!L:L)</f>
        <v>376</v>
      </c>
      <c r="B495" s="4" t="s">
        <v>1134</v>
      </c>
      <c r="C495" s="4" t="s">
        <v>1135</v>
      </c>
      <c r="D495" s="5" t="s">
        <v>1136</v>
      </c>
      <c r="E495" s="5">
        <v>8541.15</v>
      </c>
      <c r="F495" s="6">
        <f>LOOKUP(D495,'AMFI DATA_2023H2'!F:J,'AMFI DATA_2023H2'!J:J)</f>
        <v>11420.806549999999</v>
      </c>
      <c r="G495" s="7">
        <f t="shared" si="2"/>
        <v>0.11148016949818662</v>
      </c>
      <c r="H495" s="8">
        <v>12694</v>
      </c>
      <c r="I495" s="8">
        <v>12619</v>
      </c>
      <c r="J495" s="8">
        <v>12381</v>
      </c>
      <c r="K495" s="8">
        <v>12696</v>
      </c>
      <c r="L495" s="8">
        <v>12354</v>
      </c>
      <c r="M495" s="8">
        <v>12372</v>
      </c>
      <c r="N495" s="8">
        <v>12375</v>
      </c>
      <c r="O495" s="8">
        <v>12380</v>
      </c>
      <c r="P495" s="8">
        <v>12353</v>
      </c>
      <c r="Q495" s="8">
        <v>12048</v>
      </c>
      <c r="R495" s="7">
        <f t="shared" si="3"/>
        <v>8.8119297493923554E-2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4.4" hidden="1">
      <c r="A496" s="3">
        <f>LOOKUP(D496,'AMFI DATA_2023H2'!F:L,'AMFI DATA_2023H2'!L:L)</f>
        <v>1995</v>
      </c>
      <c r="B496" s="4" t="s">
        <v>4730</v>
      </c>
      <c r="C496" s="4" t="s">
        <v>4731</v>
      </c>
      <c r="D496" s="5" t="s">
        <v>4732</v>
      </c>
      <c r="E496" s="5">
        <v>244.06</v>
      </c>
      <c r="F496" s="6">
        <f>LOOKUP(D496,'AMFI DATA_2023H2'!F:J,'AMFI DATA_2023H2'!J:J)</f>
        <v>190.2474</v>
      </c>
      <c r="G496" s="7">
        <f t="shared" si="2"/>
        <v>0.2720278963076499</v>
      </c>
      <c r="H496" s="9">
        <v>242</v>
      </c>
      <c r="I496" s="9">
        <v>234</v>
      </c>
      <c r="J496" s="9">
        <v>232</v>
      </c>
      <c r="K496" s="9">
        <v>233</v>
      </c>
      <c r="L496" s="9">
        <v>231</v>
      </c>
      <c r="M496" s="9">
        <v>232</v>
      </c>
      <c r="N496" s="9">
        <v>220</v>
      </c>
      <c r="O496" s="9">
        <v>226</v>
      </c>
      <c r="P496" s="9">
        <v>223</v>
      </c>
      <c r="Q496" s="9">
        <v>222</v>
      </c>
      <c r="R496" s="7">
        <f t="shared" si="3"/>
        <v>0.20632397604382513</v>
      </c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4.4" hidden="1">
      <c r="A497" s="3">
        <f>LOOKUP(D497,'AMFI DATA_2023H2'!F:L,'AMFI DATA_2023H2'!L:L)</f>
        <v>464</v>
      </c>
      <c r="B497" s="4" t="s">
        <v>1380</v>
      </c>
      <c r="C497" s="4" t="s">
        <v>1381</v>
      </c>
      <c r="D497" s="5" t="s">
        <v>1382</v>
      </c>
      <c r="E497" s="5">
        <v>5803.59</v>
      </c>
      <c r="F497" s="6">
        <f>LOOKUP(D497,'AMFI DATA_2023H2'!F:J,'AMFI DATA_2023H2'!J:J)</f>
        <v>8190.8251999999993</v>
      </c>
      <c r="G497" s="7">
        <f t="shared" si="2"/>
        <v>0.10855741372676353</v>
      </c>
      <c r="H497" s="8">
        <v>9080</v>
      </c>
      <c r="I497" s="8">
        <v>8928</v>
      </c>
      <c r="J497" s="8">
        <v>8926</v>
      </c>
      <c r="K497" s="8">
        <v>9012</v>
      </c>
      <c r="L497" s="8">
        <v>8986</v>
      </c>
      <c r="M497" s="8">
        <v>9069</v>
      </c>
      <c r="N497" s="8">
        <v>9020</v>
      </c>
      <c r="O497" s="8">
        <v>9006</v>
      </c>
      <c r="P497" s="8">
        <v>9090</v>
      </c>
      <c r="Q497" s="8">
        <v>9016</v>
      </c>
      <c r="R497" s="7">
        <f t="shared" si="3"/>
        <v>0.10041415607306581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4.4" hidden="1">
      <c r="A498" s="3">
        <f>LOOKUP(D498,'AMFI DATA_2023H2'!F:L,'AMFI DATA_2023H2'!L:L)</f>
        <v>724</v>
      </c>
      <c r="B498" s="4" t="s">
        <v>2117</v>
      </c>
      <c r="C498" s="4" t="s">
        <v>2118</v>
      </c>
      <c r="D498" s="5" t="s">
        <v>2119</v>
      </c>
      <c r="E498" s="5">
        <v>5803.59</v>
      </c>
      <c r="F498" s="6">
        <f>LOOKUP(D498,'AMFI DATA_2023H2'!F:J,'AMFI DATA_2023H2'!J:J)</f>
        <v>3553.7996499999999</v>
      </c>
      <c r="G498" s="7">
        <f t="shared" si="2"/>
        <v>1.9753603723833946E-2</v>
      </c>
      <c r="H498" s="8">
        <v>3624</v>
      </c>
      <c r="I498" s="8">
        <v>3724</v>
      </c>
      <c r="J498" s="8">
        <v>3631</v>
      </c>
      <c r="K498" s="8">
        <v>3580</v>
      </c>
      <c r="L498" s="8">
        <v>3542</v>
      </c>
      <c r="M498" s="8">
        <v>3540</v>
      </c>
      <c r="N498" s="8">
        <v>3546</v>
      </c>
      <c r="O498" s="8">
        <v>3587</v>
      </c>
      <c r="P498" s="8">
        <v>3584</v>
      </c>
      <c r="Q498" s="8">
        <v>3555</v>
      </c>
      <c r="R498" s="7">
        <f t="shared" si="3"/>
        <v>1.0552184617385496E-2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4.4" hidden="1">
      <c r="A499" s="3">
        <f>LOOKUP(D499,'AMFI DATA_2023H2'!F:L,'AMFI DATA_2023H2'!L:L)</f>
        <v>180</v>
      </c>
      <c r="B499" s="4" t="s">
        <v>549</v>
      </c>
      <c r="C499" s="4" t="s">
        <v>550</v>
      </c>
      <c r="D499" s="5" t="s">
        <v>551</v>
      </c>
      <c r="E499" s="5">
        <v>27057.94</v>
      </c>
      <c r="F499" s="6">
        <f>LOOKUP(D499,'AMFI DATA_2023H2'!F:J,'AMFI DATA_2023H2'!J:J)</f>
        <v>34174.994350000001</v>
      </c>
      <c r="G499" s="7">
        <f t="shared" si="2"/>
        <v>-9.2991803230539571E-2</v>
      </c>
      <c r="H499" s="8">
        <v>30997</v>
      </c>
      <c r="I499" s="8">
        <v>31585</v>
      </c>
      <c r="J499" s="8">
        <v>31707</v>
      </c>
      <c r="K499" s="8">
        <v>31909</v>
      </c>
      <c r="L499" s="8">
        <v>32787</v>
      </c>
      <c r="M499" s="8">
        <v>32994</v>
      </c>
      <c r="N499" s="8">
        <v>32725</v>
      </c>
      <c r="O499" s="8">
        <v>32663</v>
      </c>
      <c r="P499" s="8">
        <v>32905</v>
      </c>
      <c r="Q499" s="8">
        <v>32784</v>
      </c>
      <c r="R499" s="7">
        <f t="shared" si="3"/>
        <v>-5.4700648399668372E-2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4.4" hidden="1">
      <c r="A500" s="3">
        <f>LOOKUP(D500,'AMFI DATA_2023H2'!F:L,'AMFI DATA_2023H2'!L:L)</f>
        <v>1676</v>
      </c>
      <c r="B500" s="4" t="s">
        <v>4289</v>
      </c>
      <c r="C500" s="4" t="s">
        <v>4290</v>
      </c>
      <c r="D500" s="5" t="s">
        <v>4291</v>
      </c>
      <c r="E500" s="5">
        <v>193.89</v>
      </c>
      <c r="F500" s="6">
        <f>LOOKUP(D500,'AMFI DATA_2023H2'!F:J,'AMFI DATA_2023H2'!J:J)</f>
        <v>344.56899999999996</v>
      </c>
      <c r="G500" s="7">
        <f t="shared" si="2"/>
        <v>1.0373277921113044</v>
      </c>
      <c r="H500" s="9">
        <v>702</v>
      </c>
      <c r="I500" s="9">
        <v>710</v>
      </c>
      <c r="J500" s="9">
        <v>702</v>
      </c>
      <c r="K500" s="9">
        <v>731</v>
      </c>
      <c r="L500" s="9">
        <v>696</v>
      </c>
      <c r="M500" s="9">
        <v>663</v>
      </c>
      <c r="N500" s="9">
        <v>631</v>
      </c>
      <c r="O500" s="9">
        <v>654</v>
      </c>
      <c r="P500" s="9">
        <v>670</v>
      </c>
      <c r="Q500" s="9">
        <v>706</v>
      </c>
      <c r="R500" s="7">
        <f t="shared" si="3"/>
        <v>0.99234405880970167</v>
      </c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4.4" hidden="1">
      <c r="A501" s="3">
        <f>LOOKUP(D501,'AMFI DATA_2023H2'!F:L,'AMFI DATA_2023H2'!L:L)</f>
        <v>1306</v>
      </c>
      <c r="B501" s="4" t="s">
        <v>3587</v>
      </c>
      <c r="C501" s="4" t="s">
        <v>3588</v>
      </c>
      <c r="D501" s="5" t="s">
        <v>3589</v>
      </c>
      <c r="E501" s="5">
        <v>937.74</v>
      </c>
      <c r="F501" s="6">
        <f>LOOKUP(D501,'AMFI DATA_2023H2'!F:J,'AMFI DATA_2023H2'!J:J)</f>
        <v>793.31265000000008</v>
      </c>
      <c r="G501" s="7">
        <f t="shared" si="2"/>
        <v>1.5992874940289781E-2</v>
      </c>
      <c r="H501" s="9">
        <v>806</v>
      </c>
      <c r="I501" s="9">
        <v>814</v>
      </c>
      <c r="J501" s="9">
        <v>813</v>
      </c>
      <c r="K501" s="9">
        <v>799</v>
      </c>
      <c r="L501" s="9">
        <v>796</v>
      </c>
      <c r="M501" s="9">
        <v>741</v>
      </c>
      <c r="N501" s="9">
        <v>733</v>
      </c>
      <c r="O501" s="9">
        <v>738</v>
      </c>
      <c r="P501" s="9">
        <v>728</v>
      </c>
      <c r="Q501" s="9">
        <v>736</v>
      </c>
      <c r="R501" s="7">
        <f t="shared" si="3"/>
        <v>-2.8882244598015805E-2</v>
      </c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4.4">
      <c r="A502" s="3">
        <f>LOOKUP(D502,'AMFI DATA_2023H2'!F:L,'AMFI DATA_2023H2'!L:L)</f>
        <v>684</v>
      </c>
      <c r="B502" s="4" t="s">
        <v>2004</v>
      </c>
      <c r="C502" s="4" t="s">
        <v>2005</v>
      </c>
      <c r="D502" s="5" t="s">
        <v>2006</v>
      </c>
      <c r="E502" s="5">
        <v>2612.11</v>
      </c>
      <c r="F502" s="6">
        <f>LOOKUP(D502,'AMFI DATA_2023H2'!F:J,'AMFI DATA_2023H2'!J:J)</f>
        <v>4008.8519999999999</v>
      </c>
      <c r="G502" s="7">
        <f t="shared" si="2"/>
        <v>0.30012282818123492</v>
      </c>
      <c r="H502" s="8">
        <v>5212</v>
      </c>
      <c r="I502" s="8">
        <v>5177</v>
      </c>
      <c r="J502" s="8">
        <v>5223</v>
      </c>
      <c r="K502" s="8">
        <v>5029</v>
      </c>
      <c r="L502" s="8">
        <v>5062</v>
      </c>
      <c r="M502" s="8">
        <v>4879</v>
      </c>
      <c r="N502" s="8">
        <v>4644</v>
      </c>
      <c r="O502" s="8">
        <v>4546</v>
      </c>
      <c r="P502" s="8">
        <v>4485</v>
      </c>
      <c r="Q502" s="8">
        <v>4447</v>
      </c>
      <c r="R502" s="14">
        <f t="shared" si="3"/>
        <v>0.21491140106943329</v>
      </c>
      <c r="S502" s="8"/>
      <c r="T502" s="8">
        <v>2225</v>
      </c>
      <c r="U502" s="15">
        <f ca="1">IFERROR(__xludf.DUMMYFUNCTION("GOOGLEFINANCE(C502,""PRICE"")"),2355)</f>
        <v>2355</v>
      </c>
      <c r="V502" s="13" t="s">
        <v>5787</v>
      </c>
      <c r="W502" s="7">
        <f ca="1">U502/T502-1</f>
        <v>5.8426966292134841E-2</v>
      </c>
      <c r="X502" s="8"/>
      <c r="Y502" s="8"/>
      <c r="Z502" s="8"/>
      <c r="AA502" s="8"/>
      <c r="AB502" s="8"/>
    </row>
    <row r="503" spans="1:28" ht="14.4" hidden="1">
      <c r="A503" s="3">
        <f>LOOKUP(D503,'AMFI DATA_2023H2'!F:L,'AMFI DATA_2023H2'!L:L)</f>
        <v>1658</v>
      </c>
      <c r="B503" s="4" t="s">
        <v>4256</v>
      </c>
      <c r="C503" s="4" t="s">
        <v>4257</v>
      </c>
      <c r="D503" s="5" t="s">
        <v>4258</v>
      </c>
      <c r="E503" s="5">
        <v>376.19</v>
      </c>
      <c r="F503" s="6">
        <f>LOOKUP(D503,'AMFI DATA_2023H2'!F:J,'AMFI DATA_2023H2'!J:J)</f>
        <v>360.834</v>
      </c>
      <c r="G503" s="7">
        <f t="shared" si="2"/>
        <v>1.9859547603607197E-2</v>
      </c>
      <c r="H503" s="9">
        <v>368</v>
      </c>
      <c r="I503" s="9">
        <v>363</v>
      </c>
      <c r="J503" s="9">
        <v>366</v>
      </c>
      <c r="K503" s="9">
        <v>381</v>
      </c>
      <c r="L503" s="9">
        <v>400</v>
      </c>
      <c r="M503" s="9">
        <v>393</v>
      </c>
      <c r="N503" s="9">
        <v>389</v>
      </c>
      <c r="O503" s="9">
        <v>360</v>
      </c>
      <c r="P503" s="9">
        <v>364</v>
      </c>
      <c r="Q503" s="9">
        <v>358</v>
      </c>
      <c r="R503" s="7">
        <f t="shared" si="3"/>
        <v>3.7041963894754781E-2</v>
      </c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4.4" hidden="1">
      <c r="A504" s="3">
        <f>LOOKUP(D504,'AMFI DATA_2023H2'!F:L,'AMFI DATA_2023H2'!L:L)</f>
        <v>3863</v>
      </c>
      <c r="B504" s="4" t="s">
        <v>5734</v>
      </c>
      <c r="C504" s="4" t="s">
        <v>5735</v>
      </c>
      <c r="D504" s="5" t="s">
        <v>5736</v>
      </c>
      <c r="E504" s="5">
        <v>11.61</v>
      </c>
      <c r="F504" s="6">
        <f>LOOKUP(D504,'AMFI DATA_2023H2'!F:J,'AMFI DATA_2023H2'!J:J)</f>
        <v>10.2532</v>
      </c>
      <c r="G504" s="7">
        <f t="shared" si="2"/>
        <v>0.12160106113213431</v>
      </c>
      <c r="H504" s="9">
        <v>11.5</v>
      </c>
      <c r="I504" s="9">
        <v>11.2</v>
      </c>
      <c r="J504" s="9">
        <v>10.5</v>
      </c>
      <c r="K504" s="9">
        <v>10.4</v>
      </c>
      <c r="L504" s="9">
        <v>10.4</v>
      </c>
      <c r="M504" s="9">
        <v>10.4</v>
      </c>
      <c r="N504" s="9">
        <v>10.5</v>
      </c>
      <c r="O504" s="9">
        <v>11</v>
      </c>
      <c r="P504" s="9">
        <v>10.8</v>
      </c>
      <c r="Q504" s="9">
        <v>11.5</v>
      </c>
      <c r="R504" s="7">
        <f t="shared" si="3"/>
        <v>5.5280302734756148E-2</v>
      </c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4.4" hidden="1">
      <c r="A505" s="3">
        <f>LOOKUP(D505,'AMFI DATA_2023H2'!F:L,'AMFI DATA_2023H2'!L:L)</f>
        <v>831</v>
      </c>
      <c r="B505" s="4" t="s">
        <v>2414</v>
      </c>
      <c r="C505" s="4" t="s">
        <v>2415</v>
      </c>
      <c r="D505" s="5" t="s">
        <v>2416</v>
      </c>
      <c r="E505" s="5">
        <v>2343.48</v>
      </c>
      <c r="F505" s="6">
        <f>LOOKUP(D505,'AMFI DATA_2023H2'!F:J,'AMFI DATA_2023H2'!J:J)</f>
        <v>2646.3136500000001</v>
      </c>
      <c r="G505" s="7">
        <f t="shared" si="2"/>
        <v>-5.1510768574239085E-2</v>
      </c>
      <c r="H505" s="8">
        <v>2510</v>
      </c>
      <c r="I505" s="8">
        <v>2560</v>
      </c>
      <c r="J505" s="8">
        <v>2529</v>
      </c>
      <c r="K505" s="8">
        <v>2533</v>
      </c>
      <c r="L505" s="8">
        <v>2587</v>
      </c>
      <c r="M505" s="8">
        <v>2519</v>
      </c>
      <c r="N505" s="8">
        <v>2502</v>
      </c>
      <c r="O505" s="8">
        <v>2507</v>
      </c>
      <c r="P505" s="8">
        <v>2526</v>
      </c>
      <c r="Q505" s="8">
        <v>2521</v>
      </c>
      <c r="R505" s="7">
        <f t="shared" si="3"/>
        <v>-4.4179815948876655E-2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4.4" hidden="1">
      <c r="A506" s="3">
        <f>LOOKUP(D506,'AMFI DATA_2023H2'!F:L,'AMFI DATA_2023H2'!L:L)</f>
        <v>991</v>
      </c>
      <c r="B506" s="4" t="s">
        <v>2837</v>
      </c>
      <c r="C506" s="4" t="s">
        <v>2838</v>
      </c>
      <c r="D506" s="5" t="s">
        <v>2839</v>
      </c>
      <c r="E506" s="5">
        <v>1257.1500000000001</v>
      </c>
      <c r="F506" s="6">
        <f>LOOKUP(D506,'AMFI DATA_2023H2'!F:J,'AMFI DATA_2023H2'!J:J)</f>
        <v>1758.05845</v>
      </c>
      <c r="G506" s="7">
        <f t="shared" si="2"/>
        <v>0.22862809254151939</v>
      </c>
      <c r="H506" s="8">
        <v>2160</v>
      </c>
      <c r="I506" s="8">
        <v>2209</v>
      </c>
      <c r="J506" s="8">
        <v>2180</v>
      </c>
      <c r="K506" s="8">
        <v>2154</v>
      </c>
      <c r="L506" s="8">
        <v>2154</v>
      </c>
      <c r="M506" s="8">
        <v>2144</v>
      </c>
      <c r="N506" s="8">
        <v>2018</v>
      </c>
      <c r="O506" s="8">
        <v>2051</v>
      </c>
      <c r="P506" s="8">
        <v>2022</v>
      </c>
      <c r="Q506" s="8">
        <v>1973</v>
      </c>
      <c r="R506" s="7">
        <f t="shared" si="3"/>
        <v>0.19819679487903263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4.4" hidden="1">
      <c r="A507" s="3">
        <f>LOOKUP(D507,'AMFI DATA_2023H2'!F:L,'AMFI DATA_2023H2'!L:L)</f>
        <v>1080</v>
      </c>
      <c r="B507" s="4" t="s">
        <v>3065</v>
      </c>
      <c r="C507" s="4" t="s">
        <v>3066</v>
      </c>
      <c r="D507" s="5" t="s">
        <v>3067</v>
      </c>
      <c r="E507" s="5">
        <v>1069.3399999999999</v>
      </c>
      <c r="F507" s="6">
        <f>LOOKUP(D507,'AMFI DATA_2023H2'!F:J,'AMFI DATA_2023H2'!J:J)</f>
        <v>1380.25595</v>
      </c>
      <c r="G507" s="7">
        <f t="shared" si="2"/>
        <v>4.4733768399983997E-2</v>
      </c>
      <c r="H507" s="8">
        <v>1442</v>
      </c>
      <c r="I507" s="8">
        <v>1445</v>
      </c>
      <c r="J507" s="8">
        <v>1463</v>
      </c>
      <c r="K507" s="8">
        <v>1463</v>
      </c>
      <c r="L507" s="8">
        <v>1427</v>
      </c>
      <c r="M507" s="8">
        <v>1425</v>
      </c>
      <c r="N507" s="8">
        <v>1460</v>
      </c>
      <c r="O507" s="8">
        <v>1474</v>
      </c>
      <c r="P507" s="8">
        <v>1467</v>
      </c>
      <c r="Q507" s="8">
        <v>1429</v>
      </c>
      <c r="R507" s="7">
        <f t="shared" si="3"/>
        <v>5.0167543200954956E-2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4.4" hidden="1">
      <c r="A508" s="3">
        <f>LOOKUP(D508,'AMFI DATA_2023H2'!F:L,'AMFI DATA_2023H2'!L:L)</f>
        <v>1164</v>
      </c>
      <c r="B508" s="4" t="s">
        <v>3260</v>
      </c>
      <c r="C508" s="4" t="s">
        <v>3261</v>
      </c>
      <c r="D508" s="5" t="s">
        <v>3262</v>
      </c>
      <c r="E508" s="5">
        <v>1190.1199999999999</v>
      </c>
      <c r="F508" s="6">
        <f>LOOKUP(D508,'AMFI DATA_2023H2'!F:J,'AMFI DATA_2023H2'!J:J)</f>
        <v>1121.5236500000001</v>
      </c>
      <c r="G508" s="7">
        <f t="shared" si="2"/>
        <v>6.997297827825566E-2</v>
      </c>
      <c r="H508" s="8">
        <v>1200</v>
      </c>
      <c r="I508" s="8">
        <v>1230</v>
      </c>
      <c r="J508" s="8">
        <v>1233</v>
      </c>
      <c r="K508" s="8">
        <v>1184</v>
      </c>
      <c r="L508" s="8">
        <v>1192</v>
      </c>
      <c r="M508" s="8">
        <v>1141</v>
      </c>
      <c r="N508" s="8">
        <v>1138</v>
      </c>
      <c r="O508" s="8">
        <v>1163</v>
      </c>
      <c r="P508" s="8">
        <v>1166</v>
      </c>
      <c r="Q508" s="8">
        <v>1167</v>
      </c>
      <c r="R508" s="7">
        <f t="shared" si="3"/>
        <v>5.3388397114942698E-2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4.4" hidden="1">
      <c r="A509" s="3">
        <f>LOOKUP(D509,'AMFI DATA_2023H2'!F:L,'AMFI DATA_2023H2'!L:L)</f>
        <v>2776</v>
      </c>
      <c r="B509" s="4" t="s">
        <v>5455</v>
      </c>
      <c r="C509" s="4" t="s">
        <v>5456</v>
      </c>
      <c r="D509" s="5" t="s">
        <v>5457</v>
      </c>
      <c r="E509" s="5">
        <v>60.18</v>
      </c>
      <c r="F509" s="6">
        <f>LOOKUP(D509,'AMFI DATA_2023H2'!F:J,'AMFI DATA_2023H2'!J:J)</f>
        <v>53.035799999999995</v>
      </c>
      <c r="G509" s="7">
        <f t="shared" si="2"/>
        <v>0.19730446226888265</v>
      </c>
      <c r="H509" s="9">
        <v>63.5</v>
      </c>
      <c r="I509" s="9">
        <v>62.1</v>
      </c>
      <c r="J509" s="9">
        <v>60.7</v>
      </c>
      <c r="K509" s="9">
        <v>59.2</v>
      </c>
      <c r="L509" s="9">
        <v>59.2</v>
      </c>
      <c r="M509" s="9">
        <v>59.2</v>
      </c>
      <c r="N509" s="9">
        <v>59.2</v>
      </c>
      <c r="O509" s="9">
        <v>59.2</v>
      </c>
      <c r="P509" s="9">
        <v>53.7</v>
      </c>
      <c r="Q509" s="9">
        <v>56.4</v>
      </c>
      <c r="R509" s="7">
        <f t="shared" si="3"/>
        <v>0.1169813597607654</v>
      </c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4.4" hidden="1">
      <c r="A510" s="3">
        <f>LOOKUP(D510,'AMFI DATA_2023H2'!F:L,'AMFI DATA_2023H2'!L:L)</f>
        <v>245</v>
      </c>
      <c r="B510" s="4" t="s">
        <v>741</v>
      </c>
      <c r="C510" s="4" t="s">
        <v>742</v>
      </c>
      <c r="D510" s="5" t="s">
        <v>743</v>
      </c>
      <c r="E510" s="5">
        <v>16223.82</v>
      </c>
      <c r="F510" s="6">
        <f>LOOKUP(D510,'AMFI DATA_2023H2'!F:J,'AMFI DATA_2023H2'!J:J)</f>
        <v>22749.6178</v>
      </c>
      <c r="G510" s="7">
        <f t="shared" si="2"/>
        <v>0.2309217783869757</v>
      </c>
      <c r="H510" s="8">
        <v>28003</v>
      </c>
      <c r="I510" s="8">
        <v>27600</v>
      </c>
      <c r="J510" s="8">
        <v>27723</v>
      </c>
      <c r="K510" s="8">
        <v>27357</v>
      </c>
      <c r="L510" s="8">
        <v>27349</v>
      </c>
      <c r="M510" s="8">
        <v>27026</v>
      </c>
      <c r="N510" s="8">
        <v>26180</v>
      </c>
      <c r="O510" s="8">
        <v>25576</v>
      </c>
      <c r="P510" s="8">
        <v>25207</v>
      </c>
      <c r="Q510" s="8">
        <v>24935</v>
      </c>
      <c r="R510" s="7">
        <f t="shared" si="3"/>
        <v>0.17345268103800837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4.4" hidden="1">
      <c r="A511" s="3">
        <f>LOOKUP(D511,'AMFI DATA_2023H2'!F:L,'AMFI DATA_2023H2'!L:L)</f>
        <v>914</v>
      </c>
      <c r="B511" s="4" t="s">
        <v>2648</v>
      </c>
      <c r="C511" s="4" t="s">
        <v>2649</v>
      </c>
      <c r="D511" s="5" t="s">
        <v>2650</v>
      </c>
      <c r="E511" s="5">
        <v>1392.78</v>
      </c>
      <c r="F511" s="6">
        <f>LOOKUP(D511,'AMFI DATA_2023H2'!F:J,'AMFI DATA_2023H2'!J:J)</f>
        <v>2098.9264999999996</v>
      </c>
      <c r="G511" s="7">
        <f t="shared" si="2"/>
        <v>3.1479663532763213E-2</v>
      </c>
      <c r="H511" s="8">
        <v>2165</v>
      </c>
      <c r="I511" s="8">
        <v>2030</v>
      </c>
      <c r="J511" s="8">
        <v>2041</v>
      </c>
      <c r="K511" s="8">
        <v>2016</v>
      </c>
      <c r="L511" s="8">
        <v>2045</v>
      </c>
      <c r="M511" s="8">
        <v>2017</v>
      </c>
      <c r="N511" s="8">
        <v>2031</v>
      </c>
      <c r="O511" s="8">
        <v>2049</v>
      </c>
      <c r="P511" s="8">
        <v>2052</v>
      </c>
      <c r="Q511" s="8">
        <v>2021</v>
      </c>
      <c r="R511" s="7">
        <f t="shared" si="3"/>
        <v>-2.4882481592375716E-2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4.4" hidden="1">
      <c r="A512" s="3">
        <f>LOOKUP(D512,'AMFI DATA_2023H2'!F:L,'AMFI DATA_2023H2'!L:L)</f>
        <v>1466</v>
      </c>
      <c r="B512" s="4" t="s">
        <v>3887</v>
      </c>
      <c r="C512" s="4" t="s">
        <v>3888</v>
      </c>
      <c r="D512" s="5" t="s">
        <v>3889</v>
      </c>
      <c r="E512" s="5">
        <v>539.14</v>
      </c>
      <c r="F512" s="6">
        <f>LOOKUP(D512,'AMFI DATA_2023H2'!F:J,'AMFI DATA_2023H2'!J:J)</f>
        <v>557.07120000000009</v>
      </c>
      <c r="G512" s="7">
        <f t="shared" ref="G512:G766" si="5">H512/F512-1</f>
        <v>-9.1033246737581841E-3</v>
      </c>
      <c r="H512" s="9">
        <v>552</v>
      </c>
      <c r="I512" s="9">
        <v>520</v>
      </c>
      <c r="J512" s="9">
        <v>523</v>
      </c>
      <c r="K512" s="9">
        <v>521</v>
      </c>
      <c r="L512" s="9">
        <v>522</v>
      </c>
      <c r="M512" s="9">
        <v>516</v>
      </c>
      <c r="N512" s="9">
        <v>518</v>
      </c>
      <c r="O512" s="9">
        <v>519</v>
      </c>
      <c r="P512" s="9">
        <v>516</v>
      </c>
      <c r="Q512" s="9">
        <v>514</v>
      </c>
      <c r="R512" s="7">
        <f t="shared" ref="R512:R766" si="6">AVERAGE(H512:Q512)/F512-1</f>
        <v>-6.2776894587262877E-2</v>
      </c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4.4" hidden="1">
      <c r="A513" s="3">
        <f>LOOKUP(D513,'AMFI DATA_2023H2'!F:L,'AMFI DATA_2023H2'!L:L)</f>
        <v>1047</v>
      </c>
      <c r="B513" s="4" t="s">
        <v>2987</v>
      </c>
      <c r="C513" s="4" t="s">
        <v>2988</v>
      </c>
      <c r="D513" s="5" t="s">
        <v>2989</v>
      </c>
      <c r="E513" s="5">
        <v>1483.51</v>
      </c>
      <c r="F513" s="6">
        <f>LOOKUP(D513,'AMFI DATA_2023H2'!F:J,'AMFI DATA_2023H2'!J:J)</f>
        <v>1503.6976999999999</v>
      </c>
      <c r="G513" s="7">
        <f t="shared" si="5"/>
        <v>9.9290103323294243E-2</v>
      </c>
      <c r="H513" s="8">
        <v>1653</v>
      </c>
      <c r="I513" s="8">
        <v>1672</v>
      </c>
      <c r="J513" s="8">
        <v>1678</v>
      </c>
      <c r="K513" s="8">
        <v>1727</v>
      </c>
      <c r="L513" s="8">
        <v>1656</v>
      </c>
      <c r="M513" s="8">
        <v>1631</v>
      </c>
      <c r="N513" s="8">
        <v>1623</v>
      </c>
      <c r="O513" s="8">
        <v>1602</v>
      </c>
      <c r="P513" s="8">
        <v>1589</v>
      </c>
      <c r="Q513" s="8">
        <v>1508</v>
      </c>
      <c r="R513" s="7">
        <f t="shared" si="6"/>
        <v>8.6588082165717228E-2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4.4" hidden="1">
      <c r="A514" s="3">
        <f>LOOKUP(D514,'AMFI DATA_2023H2'!F:L,'AMFI DATA_2023H2'!L:L)</f>
        <v>1218</v>
      </c>
      <c r="B514" s="4" t="s">
        <v>3398</v>
      </c>
      <c r="C514" s="4" t="s">
        <v>3399</v>
      </c>
      <c r="D514" s="5" t="s">
        <v>3400</v>
      </c>
      <c r="E514" s="5">
        <v>779.6</v>
      </c>
      <c r="F514" s="6">
        <f>LOOKUP(D514,'AMFI DATA_2023H2'!F:J,'AMFI DATA_2023H2'!J:J)</f>
        <v>1003.7728500000001</v>
      </c>
      <c r="G514" s="7">
        <f t="shared" si="5"/>
        <v>8.0921844020786171E-2</v>
      </c>
      <c r="H514" s="8">
        <v>1085</v>
      </c>
      <c r="I514" s="8">
        <v>1093</v>
      </c>
      <c r="J514" s="8">
        <v>1095</v>
      </c>
      <c r="K514" s="8">
        <v>1106</v>
      </c>
      <c r="L514" s="8">
        <v>1107</v>
      </c>
      <c r="M514" s="8">
        <v>1083</v>
      </c>
      <c r="N514" s="8">
        <v>1087</v>
      </c>
      <c r="O514" s="8">
        <v>1069</v>
      </c>
      <c r="P514" s="8">
        <v>1072</v>
      </c>
      <c r="Q514" s="8">
        <v>1071</v>
      </c>
      <c r="R514" s="7">
        <f t="shared" si="6"/>
        <v>8.2715078416396581E-2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4.4" hidden="1">
      <c r="A515" s="3">
        <f>LOOKUP(D515,'AMFI DATA_2023H2'!F:L,'AMFI DATA_2023H2'!L:L)</f>
        <v>1524</v>
      </c>
      <c r="B515" s="4" t="s">
        <v>4007</v>
      </c>
      <c r="C515" s="4" t="s">
        <v>4008</v>
      </c>
      <c r="D515" s="5" t="s">
        <v>4009</v>
      </c>
      <c r="E515" s="5">
        <v>396.47</v>
      </c>
      <c r="F515" s="6">
        <f>LOOKUP(D515,'AMFI DATA_2023H2'!F:J,'AMFI DATA_2023H2'!J:J)</f>
        <v>478.21775000000002</v>
      </c>
      <c r="G515" s="7">
        <f t="shared" si="5"/>
        <v>0.62269175495890727</v>
      </c>
      <c r="H515" s="9">
        <v>776</v>
      </c>
      <c r="I515" s="9">
        <v>786</v>
      </c>
      <c r="J515" s="9">
        <v>732</v>
      </c>
      <c r="K515" s="9">
        <v>721</v>
      </c>
      <c r="L515" s="9">
        <v>730</v>
      </c>
      <c r="M515" s="9">
        <v>704</v>
      </c>
      <c r="N515" s="9">
        <v>735</v>
      </c>
      <c r="O515" s="9">
        <v>706</v>
      </c>
      <c r="P515" s="9">
        <v>703</v>
      </c>
      <c r="Q515" s="9">
        <v>727</v>
      </c>
      <c r="R515" s="7">
        <f t="shared" si="6"/>
        <v>0.53068345957463925</v>
      </c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4.4" hidden="1">
      <c r="A516" s="3">
        <f>LOOKUP(D516,'AMFI DATA_2023H2'!F:L,'AMFI DATA_2023H2'!L:L)</f>
        <v>554</v>
      </c>
      <c r="B516" s="4" t="s">
        <v>1641</v>
      </c>
      <c r="C516" s="4" t="s">
        <v>1642</v>
      </c>
      <c r="D516" s="5" t="s">
        <v>1643</v>
      </c>
      <c r="E516" s="5">
        <v>4606.49</v>
      </c>
      <c r="F516" s="6">
        <f>LOOKUP(D516,'AMFI DATA_2023H2'!F:J,'AMFI DATA_2023H2'!J:J)</f>
        <v>6227.5643500000006</v>
      </c>
      <c r="G516" s="7">
        <f t="shared" si="5"/>
        <v>0.10412347645994213</v>
      </c>
      <c r="H516" s="8">
        <v>6876</v>
      </c>
      <c r="I516" s="8">
        <v>6885</v>
      </c>
      <c r="J516" s="8">
        <v>6823</v>
      </c>
      <c r="K516" s="8">
        <v>6609</v>
      </c>
      <c r="L516" s="8">
        <v>6523</v>
      </c>
      <c r="M516" s="8">
        <v>6577</v>
      </c>
      <c r="N516" s="8">
        <v>6513</v>
      </c>
      <c r="O516" s="8">
        <v>6558</v>
      </c>
      <c r="P516" s="8">
        <v>6606</v>
      </c>
      <c r="Q516" s="8">
        <v>6503</v>
      </c>
      <c r="R516" s="7">
        <f t="shared" si="6"/>
        <v>6.7399648788855959E-2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4.4" hidden="1">
      <c r="A517" s="3">
        <f>LOOKUP(D517,'AMFI DATA_2023H2'!F:L,'AMFI DATA_2023H2'!L:L)</f>
        <v>608</v>
      </c>
      <c r="B517" s="4" t="s">
        <v>1794</v>
      </c>
      <c r="C517" s="4" t="s">
        <v>1795</v>
      </c>
      <c r="D517" s="5" t="s">
        <v>1796</v>
      </c>
      <c r="E517" s="5">
        <v>27450.74</v>
      </c>
      <c r="F517" s="6">
        <f>LOOKUP(D517,'AMFI DATA_2023H2'!F:J,'AMFI DATA_2023H2'!J:J)</f>
        <v>5219.2464</v>
      </c>
      <c r="G517" s="7">
        <f t="shared" si="5"/>
        <v>-2.1314648030412942E-2</v>
      </c>
      <c r="H517" s="8">
        <v>5108</v>
      </c>
      <c r="I517" s="8">
        <v>5092</v>
      </c>
      <c r="J517" s="8">
        <v>5060</v>
      </c>
      <c r="K517" s="8">
        <v>5082</v>
      </c>
      <c r="L517" s="8">
        <v>5062</v>
      </c>
      <c r="M517" s="8">
        <v>5029</v>
      </c>
      <c r="N517" s="8">
        <v>5121</v>
      </c>
      <c r="O517" s="8">
        <v>5178</v>
      </c>
      <c r="P517" s="8">
        <v>5197</v>
      </c>
      <c r="Q517" s="8">
        <v>5204</v>
      </c>
      <c r="R517" s="7">
        <f t="shared" si="6"/>
        <v>-2.0299175758400678E-2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4.4" hidden="1">
      <c r="A518" s="3">
        <f>LOOKUP(D518,'AMFI DATA_2023H2'!F:L,'AMFI DATA_2023H2'!L:L)</f>
        <v>929</v>
      </c>
      <c r="B518" s="4" t="s">
        <v>2681</v>
      </c>
      <c r="C518" s="4" t="s">
        <v>2682</v>
      </c>
      <c r="D518" s="5" t="s">
        <v>2683</v>
      </c>
      <c r="E518" s="5">
        <v>1779.52</v>
      </c>
      <c r="F518" s="6">
        <f>LOOKUP(D518,'AMFI DATA_2023H2'!F:J,'AMFI DATA_2023H2'!J:J)</f>
        <v>2037.6964499999999</v>
      </c>
      <c r="G518" s="7">
        <f t="shared" si="5"/>
        <v>-1.1629038270150494E-2</v>
      </c>
      <c r="H518" s="8">
        <v>2014</v>
      </c>
      <c r="I518" s="8">
        <v>2006</v>
      </c>
      <c r="J518" s="8">
        <v>1998</v>
      </c>
      <c r="K518" s="8">
        <v>2022</v>
      </c>
      <c r="L518" s="8">
        <v>2036</v>
      </c>
      <c r="M518" s="8">
        <v>2005</v>
      </c>
      <c r="N518" s="8">
        <v>2014</v>
      </c>
      <c r="O518" s="8">
        <v>2037</v>
      </c>
      <c r="P518" s="8">
        <v>2048</v>
      </c>
      <c r="Q518" s="8">
        <v>2048</v>
      </c>
      <c r="R518" s="7">
        <f t="shared" si="6"/>
        <v>-7.3104362526617006E-3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4.4" hidden="1">
      <c r="A519" s="3">
        <f>LOOKUP(D519,'AMFI DATA_2023H2'!F:L,'AMFI DATA_2023H2'!L:L)</f>
        <v>165</v>
      </c>
      <c r="B519" s="4" t="s">
        <v>504</v>
      </c>
      <c r="C519" s="4" t="s">
        <v>505</v>
      </c>
      <c r="D519" s="5" t="s">
        <v>506</v>
      </c>
      <c r="E519" s="5">
        <v>19335.21</v>
      </c>
      <c r="F519" s="6">
        <f>LOOKUP(D519,'AMFI DATA_2023H2'!F:J,'AMFI DATA_2023H2'!J:J)</f>
        <v>38593.770799999998</v>
      </c>
      <c r="G519" s="7">
        <f t="shared" si="5"/>
        <v>0.3595717368980178</v>
      </c>
      <c r="H519" s="8">
        <v>52471</v>
      </c>
      <c r="I519" s="8">
        <v>53173</v>
      </c>
      <c r="J519" s="8">
        <v>53034</v>
      </c>
      <c r="K519" s="8">
        <v>53131</v>
      </c>
      <c r="L519" s="8">
        <v>53079</v>
      </c>
      <c r="M519" s="8">
        <v>52170</v>
      </c>
      <c r="N519" s="8">
        <v>52342</v>
      </c>
      <c r="O519" s="8">
        <v>51999</v>
      </c>
      <c r="P519" s="8">
        <v>51850</v>
      </c>
      <c r="Q519" s="8">
        <v>51420</v>
      </c>
      <c r="R519" s="7">
        <f t="shared" si="6"/>
        <v>0.35946550213745909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4.4" hidden="1">
      <c r="A520" s="3">
        <f>LOOKUP(D520,'AMFI DATA_2023H2'!F:L,'AMFI DATA_2023H2'!L:L)</f>
        <v>2445</v>
      </c>
      <c r="B520" s="4" t="s">
        <v>5251</v>
      </c>
      <c r="C520" s="4" t="s">
        <v>5252</v>
      </c>
      <c r="D520" s="5" t="s">
        <v>5253</v>
      </c>
      <c r="E520" s="5">
        <v>99.02</v>
      </c>
      <c r="F520" s="6">
        <f>LOOKUP(D520,'AMFI DATA_2023H2'!F:J,'AMFI DATA_2023H2'!J:J)</f>
        <v>91.067000000000007</v>
      </c>
      <c r="G520" s="7">
        <f t="shared" si="5"/>
        <v>0.13103539152492116</v>
      </c>
      <c r="H520" s="9">
        <v>103</v>
      </c>
      <c r="I520" s="9">
        <v>104</v>
      </c>
      <c r="J520" s="9">
        <v>102</v>
      </c>
      <c r="K520" s="9">
        <v>99.4</v>
      </c>
      <c r="L520" s="9">
        <v>98.2</v>
      </c>
      <c r="M520" s="9">
        <v>96.4</v>
      </c>
      <c r="N520" s="9">
        <v>96.3</v>
      </c>
      <c r="O520" s="9">
        <v>97.9</v>
      </c>
      <c r="P520" s="9">
        <v>96.6</v>
      </c>
      <c r="Q520" s="9">
        <v>98.5</v>
      </c>
      <c r="R520" s="7">
        <f t="shared" si="6"/>
        <v>8.9637300009882681E-2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4.4" hidden="1">
      <c r="A521" s="3">
        <f>LOOKUP(D521,'AMFI DATA_2023H2'!F:L,'AMFI DATA_2023H2'!L:L)</f>
        <v>857</v>
      </c>
      <c r="B521" s="4" t="s">
        <v>2483</v>
      </c>
      <c r="C521" s="4" t="s">
        <v>2484</v>
      </c>
      <c r="D521" s="5" t="s">
        <v>2485</v>
      </c>
      <c r="E521" s="5">
        <v>2221.6999999999998</v>
      </c>
      <c r="F521" s="6">
        <f>LOOKUP(D521,'AMFI DATA_2023H2'!F:J,'AMFI DATA_2023H2'!J:J)</f>
        <v>2485.9646000000002</v>
      </c>
      <c r="G521" s="7">
        <f t="shared" si="5"/>
        <v>0.12592110120956668</v>
      </c>
      <c r="H521" s="8">
        <v>2799</v>
      </c>
      <c r="I521" s="8">
        <v>2793</v>
      </c>
      <c r="J521" s="8">
        <v>2792</v>
      </c>
      <c r="K521" s="8">
        <v>2742</v>
      </c>
      <c r="L521" s="8">
        <v>2648</v>
      </c>
      <c r="M521" s="8">
        <v>2749</v>
      </c>
      <c r="N521" s="8">
        <v>2763</v>
      </c>
      <c r="O521" s="8">
        <v>2764</v>
      </c>
      <c r="P521" s="8">
        <v>2762</v>
      </c>
      <c r="Q521" s="8">
        <v>2699</v>
      </c>
      <c r="R521" s="7">
        <f t="shared" si="6"/>
        <v>0.10665292659436898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4.4" hidden="1">
      <c r="A522" s="3">
        <f>LOOKUP(D522,'AMFI DATA_2023H2'!F:L,'AMFI DATA_2023H2'!L:L)</f>
        <v>933</v>
      </c>
      <c r="B522" s="4" t="s">
        <v>2693</v>
      </c>
      <c r="C522" s="4" t="s">
        <v>2694</v>
      </c>
      <c r="D522" s="5" t="s">
        <v>2695</v>
      </c>
      <c r="E522" s="5">
        <v>1746.61</v>
      </c>
      <c r="F522" s="6">
        <f>LOOKUP(D522,'AMFI DATA_2023H2'!F:J,'AMFI DATA_2023H2'!J:J)</f>
        <v>2031.9072000000001</v>
      </c>
      <c r="G522" s="7">
        <f t="shared" si="5"/>
        <v>9.8967511902118277E-2</v>
      </c>
      <c r="H522" s="8">
        <v>2233</v>
      </c>
      <c r="I522" s="8">
        <v>2264</v>
      </c>
      <c r="J522" s="8">
        <v>2245</v>
      </c>
      <c r="K522" s="8">
        <v>2177</v>
      </c>
      <c r="L522" s="8">
        <v>2166</v>
      </c>
      <c r="M522" s="8">
        <v>2179</v>
      </c>
      <c r="N522" s="8">
        <v>2135</v>
      </c>
      <c r="O522" s="8">
        <v>2138</v>
      </c>
      <c r="P522" s="8">
        <v>2134</v>
      </c>
      <c r="Q522" s="8">
        <v>2126</v>
      </c>
      <c r="R522" s="7">
        <f t="shared" si="6"/>
        <v>7.2735998966881876E-2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4.4" hidden="1">
      <c r="A523" s="3">
        <f>LOOKUP(D523,'AMFI DATA_2023H2'!F:L,'AMFI DATA_2023H2'!L:L)</f>
        <v>326</v>
      </c>
      <c r="B523" s="4" t="s">
        <v>987</v>
      </c>
      <c r="C523" s="4" t="s">
        <v>988</v>
      </c>
      <c r="D523" s="5" t="s">
        <v>989</v>
      </c>
      <c r="E523" s="5">
        <v>14529.35</v>
      </c>
      <c r="F523" s="6">
        <f>LOOKUP(D523,'AMFI DATA_2023H2'!F:J,'AMFI DATA_2023H2'!J:J)</f>
        <v>14226.8768</v>
      </c>
      <c r="G523" s="7">
        <f t="shared" si="5"/>
        <v>4.8438122413487106E-2</v>
      </c>
      <c r="H523" s="8">
        <v>14916</v>
      </c>
      <c r="I523" s="8">
        <v>14822</v>
      </c>
      <c r="J523" s="8">
        <v>14901</v>
      </c>
      <c r="K523" s="8">
        <v>15090</v>
      </c>
      <c r="L523" s="8">
        <v>15211</v>
      </c>
      <c r="M523" s="8">
        <v>15299</v>
      </c>
      <c r="N523" s="8">
        <v>15501</v>
      </c>
      <c r="O523" s="8">
        <v>15376</v>
      </c>
      <c r="P523" s="8">
        <v>14833</v>
      </c>
      <c r="Q523" s="8">
        <v>14103</v>
      </c>
      <c r="R523" s="7">
        <f t="shared" si="6"/>
        <v>5.4707945457150631E-2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4.4" hidden="1">
      <c r="A524" s="3">
        <f>LOOKUP(D524,'AMFI DATA_2023H2'!F:L,'AMFI DATA_2023H2'!L:L)</f>
        <v>732</v>
      </c>
      <c r="B524" s="4" t="s">
        <v>2141</v>
      </c>
      <c r="C524" s="4" t="s">
        <v>2142</v>
      </c>
      <c r="D524" s="5" t="s">
        <v>2143</v>
      </c>
      <c r="E524" s="5">
        <v>2835.48</v>
      </c>
      <c r="F524" s="6">
        <f>LOOKUP(D524,'AMFI DATA_2023H2'!F:J,'AMFI DATA_2023H2'!J:J)</f>
        <v>3498.0916999999999</v>
      </c>
      <c r="G524" s="7">
        <f t="shared" si="5"/>
        <v>0.1271860025853524</v>
      </c>
      <c r="H524" s="8">
        <v>3943</v>
      </c>
      <c r="I524" s="8">
        <v>3938</v>
      </c>
      <c r="J524" s="8">
        <v>3980</v>
      </c>
      <c r="K524" s="8">
        <v>4004</v>
      </c>
      <c r="L524" s="8">
        <v>4086</v>
      </c>
      <c r="M524" s="8">
        <v>4005</v>
      </c>
      <c r="N524" s="8">
        <v>4088</v>
      </c>
      <c r="O524" s="8">
        <v>4128</v>
      </c>
      <c r="P524" s="8">
        <v>4092</v>
      </c>
      <c r="Q524" s="8">
        <v>3875</v>
      </c>
      <c r="R524" s="7">
        <f t="shared" si="6"/>
        <v>0.14745419624076761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4.4" hidden="1">
      <c r="A525" s="3">
        <f>LOOKUP(D525,'AMFI DATA_2023H2'!F:L,'AMFI DATA_2023H2'!L:L)</f>
        <v>845</v>
      </c>
      <c r="B525" s="4" t="s">
        <v>2453</v>
      </c>
      <c r="C525" s="4" t="s">
        <v>2454</v>
      </c>
      <c r="D525" s="5" t="s">
        <v>2455</v>
      </c>
      <c r="E525" s="5">
        <v>1877.85</v>
      </c>
      <c r="F525" s="6">
        <f>LOOKUP(D525,'AMFI DATA_2023H2'!F:J,'AMFI DATA_2023H2'!J:J)</f>
        <v>2542.3499000000002</v>
      </c>
      <c r="G525" s="7">
        <f t="shared" si="5"/>
        <v>-4.4191360127101342E-2</v>
      </c>
      <c r="H525" s="8">
        <v>2430</v>
      </c>
      <c r="I525" s="8">
        <v>2277</v>
      </c>
      <c r="J525" s="8">
        <v>2222</v>
      </c>
      <c r="K525" s="8">
        <v>2206</v>
      </c>
      <c r="L525" s="8">
        <v>2222</v>
      </c>
      <c r="M525" s="8">
        <v>2174</v>
      </c>
      <c r="N525" s="8">
        <v>2141</v>
      </c>
      <c r="O525" s="8">
        <v>2172</v>
      </c>
      <c r="P525" s="8">
        <v>2133</v>
      </c>
      <c r="Q525" s="8">
        <v>2129</v>
      </c>
      <c r="R525" s="7">
        <f t="shared" si="6"/>
        <v>-0.1304894735378479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4.4" hidden="1">
      <c r="A526" s="3">
        <f>LOOKUP(D526,'AMFI DATA_2023H2'!F:L,'AMFI DATA_2023H2'!L:L)</f>
        <v>309</v>
      </c>
      <c r="B526" s="4" t="s">
        <v>936</v>
      </c>
      <c r="C526" s="4" t="s">
        <v>937</v>
      </c>
      <c r="D526" s="5" t="s">
        <v>938</v>
      </c>
      <c r="E526" s="5">
        <v>11455.83</v>
      </c>
      <c r="F526" s="6">
        <f>LOOKUP(D526,'AMFI DATA_2023H2'!F:J,'AMFI DATA_2023H2'!J:J)</f>
        <v>15428.3406</v>
      </c>
      <c r="G526" s="7">
        <f t="shared" si="5"/>
        <v>3.4459921114264214E-2</v>
      </c>
      <c r="H526" s="8">
        <v>15960</v>
      </c>
      <c r="I526" s="8">
        <v>15734</v>
      </c>
      <c r="J526" s="8">
        <v>15919</v>
      </c>
      <c r="K526" s="8">
        <v>15926</v>
      </c>
      <c r="L526" s="8">
        <v>16135</v>
      </c>
      <c r="M526" s="8">
        <v>16365</v>
      </c>
      <c r="N526" s="8">
        <v>16189</v>
      </c>
      <c r="O526" s="8">
        <v>16417</v>
      </c>
      <c r="P526" s="8">
        <v>16286</v>
      </c>
      <c r="Q526" s="8">
        <v>16113</v>
      </c>
      <c r="R526" s="7">
        <f t="shared" si="6"/>
        <v>4.3819320400536155E-2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4.4" hidden="1">
      <c r="A527" s="3">
        <f>LOOKUP(D527,'AMFI DATA_2023H2'!F:L,'AMFI DATA_2023H2'!L:L)</f>
        <v>340</v>
      </c>
      <c r="B527" s="4" t="s">
        <v>1029</v>
      </c>
      <c r="C527" s="4" t="s">
        <v>1030</v>
      </c>
      <c r="D527" s="5" t="s">
        <v>1031</v>
      </c>
      <c r="E527" s="5">
        <v>10733.97</v>
      </c>
      <c r="F527" s="6">
        <f>LOOKUP(D527,'AMFI DATA_2023H2'!F:J,'AMFI DATA_2023H2'!J:J)</f>
        <v>12914.888500000001</v>
      </c>
      <c r="G527" s="7">
        <f t="shared" si="5"/>
        <v>0.14031181918450164</v>
      </c>
      <c r="H527" s="8">
        <v>14727</v>
      </c>
      <c r="I527" s="8">
        <v>13545</v>
      </c>
      <c r="J527" s="8">
        <v>13194</v>
      </c>
      <c r="K527" s="8">
        <v>13021</v>
      </c>
      <c r="L527" s="8">
        <v>13058</v>
      </c>
      <c r="M527" s="8">
        <v>13142</v>
      </c>
      <c r="N527" s="8">
        <v>12918</v>
      </c>
      <c r="O527" s="8">
        <v>13210</v>
      </c>
      <c r="P527" s="8">
        <v>13107</v>
      </c>
      <c r="Q527" s="8">
        <v>13011</v>
      </c>
      <c r="R527" s="7">
        <f t="shared" si="6"/>
        <v>2.9300407820013197E-2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4.4" hidden="1">
      <c r="A528" s="3">
        <f>LOOKUP(D528,'AMFI DATA_2023H2'!F:L,'AMFI DATA_2023H2'!L:L)</f>
        <v>382</v>
      </c>
      <c r="B528" s="4" t="s">
        <v>1149</v>
      </c>
      <c r="C528" s="4" t="s">
        <v>1150</v>
      </c>
      <c r="D528" s="5" t="s">
        <v>1151</v>
      </c>
      <c r="E528" s="5">
        <v>8182.9</v>
      </c>
      <c r="F528" s="6">
        <f>LOOKUP(D528,'AMFI DATA_2023H2'!F:J,'AMFI DATA_2023H2'!J:J)</f>
        <v>11123.552100000001</v>
      </c>
      <c r="G528" s="7">
        <f t="shared" si="5"/>
        <v>0.22326032886563274</v>
      </c>
      <c r="H528" s="8">
        <v>13607</v>
      </c>
      <c r="I528" s="8">
        <v>13322</v>
      </c>
      <c r="J528" s="8">
        <v>13096</v>
      </c>
      <c r="K528" s="8">
        <v>12966</v>
      </c>
      <c r="L528" s="8">
        <v>13044</v>
      </c>
      <c r="M528" s="8">
        <v>13016</v>
      </c>
      <c r="N528" s="8">
        <v>13012</v>
      </c>
      <c r="O528" s="8">
        <v>12945</v>
      </c>
      <c r="P528" s="8">
        <v>13118</v>
      </c>
      <c r="Q528" s="8">
        <v>13030</v>
      </c>
      <c r="R528" s="7">
        <f t="shared" si="6"/>
        <v>0.17908379284707077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4.4" hidden="1">
      <c r="A529" s="3">
        <f>LOOKUP(D529,'AMFI DATA_2023H2'!F:L,'AMFI DATA_2023H2'!L:L)</f>
        <v>255</v>
      </c>
      <c r="B529" s="4" t="s">
        <v>771</v>
      </c>
      <c r="C529" s="4" t="s">
        <v>772</v>
      </c>
      <c r="D529" s="5" t="s">
        <v>773</v>
      </c>
      <c r="E529" s="5">
        <v>16476.38</v>
      </c>
      <c r="F529" s="6">
        <f>LOOKUP(D529,'AMFI DATA_2023H2'!F:J,'AMFI DATA_2023H2'!J:J)</f>
        <v>21345.21615</v>
      </c>
      <c r="G529" s="7">
        <f t="shared" si="5"/>
        <v>3.6909370908384531E-3</v>
      </c>
      <c r="H529" s="8">
        <v>21424</v>
      </c>
      <c r="I529" s="8">
        <v>21115</v>
      </c>
      <c r="J529" s="8">
        <v>21172</v>
      </c>
      <c r="K529" s="8">
        <v>21290</v>
      </c>
      <c r="L529" s="8">
        <v>21417</v>
      </c>
      <c r="M529" s="8">
        <v>21493</v>
      </c>
      <c r="N529" s="8">
        <v>21255</v>
      </c>
      <c r="O529" s="8">
        <v>20595</v>
      </c>
      <c r="P529" s="8">
        <v>20345</v>
      </c>
      <c r="Q529" s="8">
        <v>20153</v>
      </c>
      <c r="R529" s="7">
        <f t="shared" si="6"/>
        <v>-1.4959611922224503E-2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4.4" hidden="1">
      <c r="A530" s="3">
        <f>LOOKUP(D530,'AMFI DATA_2023H2'!F:L,'AMFI DATA_2023H2'!L:L)</f>
        <v>691</v>
      </c>
      <c r="B530" s="4" t="s">
        <v>2025</v>
      </c>
      <c r="C530" s="4" t="s">
        <v>2026</v>
      </c>
      <c r="D530" s="5" t="s">
        <v>2027</v>
      </c>
      <c r="E530" s="5">
        <v>16476.38</v>
      </c>
      <c r="F530" s="6">
        <f>LOOKUP(D530,'AMFI DATA_2023H2'!F:J,'AMFI DATA_2023H2'!J:J)</f>
        <v>3966.4115999999999</v>
      </c>
      <c r="G530" s="7">
        <f t="shared" si="5"/>
        <v>-3.993826561015501E-2</v>
      </c>
      <c r="H530" s="8">
        <v>3808</v>
      </c>
      <c r="I530" s="8">
        <v>3716</v>
      </c>
      <c r="J530" s="8">
        <v>3707</v>
      </c>
      <c r="K530" s="8">
        <v>3618</v>
      </c>
      <c r="L530" s="8">
        <v>3658</v>
      </c>
      <c r="M530" s="8">
        <v>3675</v>
      </c>
      <c r="N530" s="8">
        <v>3751</v>
      </c>
      <c r="O530" s="8">
        <v>3812</v>
      </c>
      <c r="P530" s="8">
        <v>3767</v>
      </c>
      <c r="Q530" s="8">
        <v>3803</v>
      </c>
      <c r="R530" s="7">
        <f t="shared" si="6"/>
        <v>-5.9225220095665332E-2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4.4" hidden="1">
      <c r="A531" s="3">
        <f>LOOKUP(D531,'AMFI DATA_2023H2'!F:L,'AMFI DATA_2023H2'!L:L)</f>
        <v>2331</v>
      </c>
      <c r="B531" s="4" t="s">
        <v>5159</v>
      </c>
      <c r="C531" s="4" t="s">
        <v>5160</v>
      </c>
      <c r="D531" s="5" t="s">
        <v>5161</v>
      </c>
      <c r="E531" s="5">
        <v>74.48</v>
      </c>
      <c r="F531" s="6">
        <f>LOOKUP(D531,'AMFI DATA_2023H2'!F:J,'AMFI DATA_2023H2'!J:J)</f>
        <v>107.32015</v>
      </c>
      <c r="G531" s="7">
        <f t="shared" si="5"/>
        <v>0.31382596837592946</v>
      </c>
      <c r="H531" s="9">
        <v>141</v>
      </c>
      <c r="I531" s="9">
        <v>139</v>
      </c>
      <c r="J531" s="9">
        <v>147</v>
      </c>
      <c r="K531" s="9">
        <v>135</v>
      </c>
      <c r="L531" s="9">
        <v>138</v>
      </c>
      <c r="M531" s="9">
        <v>139</v>
      </c>
      <c r="N531" s="9">
        <v>140</v>
      </c>
      <c r="O531" s="9">
        <v>140</v>
      </c>
      <c r="P531" s="9">
        <v>143</v>
      </c>
      <c r="Q531" s="9">
        <v>143</v>
      </c>
      <c r="R531" s="7">
        <f t="shared" si="6"/>
        <v>0.30916701104126298</v>
      </c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4.4" hidden="1">
      <c r="A532" s="3">
        <f>LOOKUP(D532,'AMFI DATA_2023H2'!F:L,'AMFI DATA_2023H2'!L:L)</f>
        <v>1189</v>
      </c>
      <c r="B532" s="4" t="s">
        <v>3320</v>
      </c>
      <c r="C532" s="4" t="s">
        <v>3321</v>
      </c>
      <c r="D532" s="5" t="s">
        <v>3322</v>
      </c>
      <c r="E532" s="5">
        <v>626.30999999999995</v>
      </c>
      <c r="F532" s="6">
        <f>LOOKUP(D532,'AMFI DATA_2023H2'!F:J,'AMFI DATA_2023H2'!J:J)</f>
        <v>1073.3688999999999</v>
      </c>
      <c r="G532" s="7">
        <f t="shared" si="5"/>
        <v>0.25865394460376123</v>
      </c>
      <c r="H532" s="8">
        <v>1351</v>
      </c>
      <c r="I532" s="8">
        <v>1323</v>
      </c>
      <c r="J532" s="8">
        <v>1194</v>
      </c>
      <c r="K532" s="8">
        <v>1155</v>
      </c>
      <c r="L532" s="8">
        <v>1168</v>
      </c>
      <c r="M532" s="8">
        <v>1172</v>
      </c>
      <c r="N532" s="8">
        <v>1174</v>
      </c>
      <c r="O532" s="8">
        <v>1175</v>
      </c>
      <c r="P532" s="8">
        <v>1187</v>
      </c>
      <c r="Q532" s="8">
        <v>1174</v>
      </c>
      <c r="R532" s="7">
        <f t="shared" si="6"/>
        <v>0.12477639327914192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4.4" hidden="1">
      <c r="A533" s="3">
        <f>LOOKUP(D533,'AMFI DATA_2023H2'!F:L,'AMFI DATA_2023H2'!L:L)</f>
        <v>1234</v>
      </c>
      <c r="B533" s="4" t="s">
        <v>3428</v>
      </c>
      <c r="C533" s="4" t="s">
        <v>3429</v>
      </c>
      <c r="D533" s="5" t="s">
        <v>3430</v>
      </c>
      <c r="E533" s="5">
        <v>724.9</v>
      </c>
      <c r="F533" s="6">
        <f>LOOKUP(D533,'AMFI DATA_2023H2'!F:J,'AMFI DATA_2023H2'!J:J)</f>
        <v>963.33044999999993</v>
      </c>
      <c r="G533" s="7">
        <f t="shared" si="5"/>
        <v>-4.4979840510595226E-2</v>
      </c>
      <c r="H533" s="9">
        <v>920</v>
      </c>
      <c r="I533" s="9">
        <v>888</v>
      </c>
      <c r="J533" s="9">
        <v>883</v>
      </c>
      <c r="K533" s="9">
        <v>875</v>
      </c>
      <c r="L533" s="9">
        <v>861</v>
      </c>
      <c r="M533" s="9">
        <v>860</v>
      </c>
      <c r="N533" s="9">
        <v>866</v>
      </c>
      <c r="O533" s="9">
        <v>881</v>
      </c>
      <c r="P533" s="9">
        <v>880</v>
      </c>
      <c r="Q533" s="9">
        <v>880</v>
      </c>
      <c r="R533" s="7">
        <f t="shared" si="6"/>
        <v>-8.7125295375019007E-2</v>
      </c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4.4">
      <c r="A534" s="3">
        <f>LOOKUP(D534,'AMFI DATA_2023H2'!F:L,'AMFI DATA_2023H2'!L:L)</f>
        <v>220</v>
      </c>
      <c r="B534" s="4" t="s">
        <v>669</v>
      </c>
      <c r="C534" s="4" t="s">
        <v>670</v>
      </c>
      <c r="D534" s="5" t="s">
        <v>671</v>
      </c>
      <c r="E534" s="5">
        <v>20856.169999999998</v>
      </c>
      <c r="F534" s="6">
        <f>LOOKUP(D534,'AMFI DATA_2023H2'!F:J,'AMFI DATA_2023H2'!J:J)</f>
        <v>26042.359100000001</v>
      </c>
      <c r="G534" s="7">
        <f t="shared" si="5"/>
        <v>0.26060008134977286</v>
      </c>
      <c r="H534" s="8">
        <v>32829</v>
      </c>
      <c r="I534" s="8">
        <v>32380</v>
      </c>
      <c r="J534" s="8">
        <v>32373</v>
      </c>
      <c r="K534" s="8">
        <v>32901</v>
      </c>
      <c r="L534" s="8">
        <v>33143</v>
      </c>
      <c r="M534" s="8">
        <v>31731</v>
      </c>
      <c r="N534" s="8">
        <v>30727</v>
      </c>
      <c r="O534" s="8">
        <v>30244</v>
      </c>
      <c r="P534" s="8">
        <v>29885</v>
      </c>
      <c r="Q534" s="8">
        <v>29496</v>
      </c>
      <c r="R534" s="14">
        <f t="shared" si="6"/>
        <v>0.21229032587911734</v>
      </c>
      <c r="S534" s="8"/>
      <c r="T534" s="8">
        <v>435.6</v>
      </c>
      <c r="U534" s="15">
        <f ca="1">IFERROR(__xludf.DUMMYFUNCTION("GOOGLEFINANCE(C534,""PRICE"")"),421.75)</f>
        <v>421.75</v>
      </c>
      <c r="V534" s="13" t="s">
        <v>5787</v>
      </c>
      <c r="W534" s="7">
        <f ca="1">U534/T534-1</f>
        <v>-3.1795224977043235E-2</v>
      </c>
      <c r="X534" s="8"/>
      <c r="Y534" s="8"/>
      <c r="Z534" s="8"/>
      <c r="AA534" s="8"/>
      <c r="AB534" s="8"/>
    </row>
    <row r="535" spans="1:28" ht="14.4" hidden="1">
      <c r="A535" s="3">
        <f>LOOKUP(D535,'AMFI DATA_2023H2'!F:L,'AMFI DATA_2023H2'!L:L)</f>
        <v>902</v>
      </c>
      <c r="B535" s="4" t="s">
        <v>2612</v>
      </c>
      <c r="C535" s="4" t="s">
        <v>2613</v>
      </c>
      <c r="D535" s="5" t="s">
        <v>2614</v>
      </c>
      <c r="E535" s="5">
        <v>1496.96</v>
      </c>
      <c r="F535" s="6">
        <f>LOOKUP(D535,'AMFI DATA_2023H2'!F:J,'AMFI DATA_2023H2'!J:J)</f>
        <v>2153.4293499999999</v>
      </c>
      <c r="G535" s="7">
        <f t="shared" si="5"/>
        <v>0.12332452420600659</v>
      </c>
      <c r="H535" s="8">
        <v>2419</v>
      </c>
      <c r="I535" s="8">
        <v>2414</v>
      </c>
      <c r="J535" s="8">
        <v>2412</v>
      </c>
      <c r="K535" s="8">
        <v>2423</v>
      </c>
      <c r="L535" s="8">
        <v>2403</v>
      </c>
      <c r="M535" s="8">
        <v>2436</v>
      </c>
      <c r="N535" s="8">
        <v>2431</v>
      </c>
      <c r="O535" s="8">
        <v>2493</v>
      </c>
      <c r="P535" s="8">
        <v>2507</v>
      </c>
      <c r="Q535" s="8">
        <v>2445</v>
      </c>
      <c r="R535" s="7">
        <f t="shared" si="6"/>
        <v>0.1322869728695768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4.4" hidden="1">
      <c r="A536" s="3">
        <f>LOOKUP(D536,'AMFI DATA_2023H2'!F:L,'AMFI DATA_2023H2'!L:L)</f>
        <v>155</v>
      </c>
      <c r="B536" s="4" t="s">
        <v>474</v>
      </c>
      <c r="C536" s="4" t="s">
        <v>475</v>
      </c>
      <c r="D536" s="5" t="s">
        <v>476</v>
      </c>
      <c r="E536" s="5">
        <v>38892.42</v>
      </c>
      <c r="F536" s="6">
        <f>LOOKUP(D536,'AMFI DATA_2023H2'!F:J,'AMFI DATA_2023H2'!J:J)</f>
        <v>42935.064549999996</v>
      </c>
      <c r="G536" s="7">
        <f t="shared" si="5"/>
        <v>0.15302027652360906</v>
      </c>
      <c r="H536" s="8">
        <v>49505</v>
      </c>
      <c r="I536" s="8">
        <v>48549</v>
      </c>
      <c r="J536" s="8">
        <v>47949</v>
      </c>
      <c r="K536" s="8">
        <v>48277</v>
      </c>
      <c r="L536" s="8">
        <v>48991</v>
      </c>
      <c r="M536" s="8">
        <v>49648</v>
      </c>
      <c r="N536" s="8">
        <v>49348</v>
      </c>
      <c r="O536" s="8">
        <v>49476</v>
      </c>
      <c r="P536" s="8">
        <v>48848</v>
      </c>
      <c r="Q536" s="8">
        <v>49305</v>
      </c>
      <c r="R536" s="7">
        <f t="shared" si="6"/>
        <v>0.14101610218727401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4.4" hidden="1">
      <c r="A537" s="3">
        <f>LOOKUP(D537,'AMFI DATA_2023H2'!F:L,'AMFI DATA_2023H2'!L:L)</f>
        <v>570</v>
      </c>
      <c r="B537" s="4" t="s">
        <v>1689</v>
      </c>
      <c r="C537" s="4" t="s">
        <v>1690</v>
      </c>
      <c r="D537" s="5" t="s">
        <v>1691</v>
      </c>
      <c r="E537" s="5">
        <v>4390.1099999999997</v>
      </c>
      <c r="F537" s="6">
        <f>LOOKUP(D537,'AMFI DATA_2023H2'!F:J,'AMFI DATA_2023H2'!J:J)</f>
        <v>6035.0354500000003</v>
      </c>
      <c r="G537" s="7">
        <f t="shared" si="5"/>
        <v>1.5404143152133454E-2</v>
      </c>
      <c r="H537" s="8">
        <v>6128</v>
      </c>
      <c r="I537" s="8">
        <v>6098</v>
      </c>
      <c r="J537" s="8">
        <v>5869</v>
      </c>
      <c r="K537" s="8">
        <v>5860</v>
      </c>
      <c r="L537" s="8">
        <v>5896</v>
      </c>
      <c r="M537" s="8">
        <v>5786</v>
      </c>
      <c r="N537" s="8">
        <v>5681</v>
      </c>
      <c r="O537" s="8">
        <v>5760</v>
      </c>
      <c r="P537" s="8">
        <v>5797</v>
      </c>
      <c r="Q537" s="8">
        <v>5723</v>
      </c>
      <c r="R537" s="7">
        <f t="shared" si="6"/>
        <v>-2.9036358021724662E-2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4.4" hidden="1">
      <c r="A538" s="3">
        <f>LOOKUP(D538,'AMFI DATA_2023H2'!F:L,'AMFI DATA_2023H2'!L:L)</f>
        <v>2074</v>
      </c>
      <c r="B538" s="4" t="s">
        <v>4847</v>
      </c>
      <c r="C538" s="4" t="s">
        <v>4848</v>
      </c>
      <c r="D538" s="5" t="s">
        <v>4849</v>
      </c>
      <c r="E538" s="5">
        <v>201.37</v>
      </c>
      <c r="F538" s="6">
        <f>LOOKUP(D538,'AMFI DATA_2023H2'!F:J,'AMFI DATA_2023H2'!J:J)</f>
        <v>169.24795</v>
      </c>
      <c r="G538" s="7">
        <f t="shared" si="5"/>
        <v>3.9894427081687001E-2</v>
      </c>
      <c r="H538" s="9">
        <v>176</v>
      </c>
      <c r="I538" s="9">
        <v>178</v>
      </c>
      <c r="J538" s="9">
        <v>176</v>
      </c>
      <c r="K538" s="9">
        <v>174</v>
      </c>
      <c r="L538" s="9">
        <v>174</v>
      </c>
      <c r="M538" s="9">
        <v>174</v>
      </c>
      <c r="N538" s="9">
        <v>176</v>
      </c>
      <c r="O538" s="9">
        <v>178</v>
      </c>
      <c r="P538" s="9">
        <v>178</v>
      </c>
      <c r="Q538" s="9">
        <v>180</v>
      </c>
      <c r="R538" s="7">
        <f t="shared" si="6"/>
        <v>4.2257823506872683E-2</v>
      </c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4.4" hidden="1">
      <c r="A539" s="3">
        <f>LOOKUP(D539,'AMFI DATA_2023H2'!F:L,'AMFI DATA_2023H2'!L:L)</f>
        <v>2513</v>
      </c>
      <c r="B539" s="4" t="s">
        <v>5299</v>
      </c>
      <c r="C539" s="4" t="s">
        <v>5300</v>
      </c>
      <c r="D539" s="5" t="s">
        <v>5301</v>
      </c>
      <c r="E539" s="5">
        <v>122.7</v>
      </c>
      <c r="F539" s="6">
        <f>LOOKUP(D539,'AMFI DATA_2023H2'!F:J,'AMFI DATA_2023H2'!J:J)</f>
        <v>79.295749999999998</v>
      </c>
      <c r="G539" s="7">
        <f t="shared" si="5"/>
        <v>-0.28747757603654667</v>
      </c>
      <c r="H539" s="9">
        <v>56.5</v>
      </c>
      <c r="I539" s="9">
        <v>56.5</v>
      </c>
      <c r="J539" s="9">
        <v>58.5</v>
      </c>
      <c r="K539" s="9">
        <v>59.9</v>
      </c>
      <c r="L539" s="9">
        <v>60.1</v>
      </c>
      <c r="M539" s="9">
        <v>59.7</v>
      </c>
      <c r="N539" s="9">
        <v>58.5</v>
      </c>
      <c r="O539" s="9">
        <v>58.5</v>
      </c>
      <c r="P539" s="9">
        <v>56.9</v>
      </c>
      <c r="Q539" s="9">
        <v>55.5</v>
      </c>
      <c r="R539" s="7">
        <f t="shared" si="6"/>
        <v>-0.26780439052534333</v>
      </c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4.4" hidden="1">
      <c r="A540" s="3">
        <f>LOOKUP(D540,'AMFI DATA_2023H2'!F:L,'AMFI DATA_2023H2'!L:L)</f>
        <v>3103</v>
      </c>
      <c r="B540" s="4" t="s">
        <v>5581</v>
      </c>
      <c r="C540" s="4" t="s">
        <v>5582</v>
      </c>
      <c r="D540" s="5" t="s">
        <v>5583</v>
      </c>
      <c r="E540" s="5">
        <v>28.48</v>
      </c>
      <c r="F540" s="6">
        <f>LOOKUP(D540,'AMFI DATA_2023H2'!F:J,'AMFI DATA_2023H2'!J:J)</f>
        <v>32.641999999999996</v>
      </c>
      <c r="G540" s="7">
        <f t="shared" si="5"/>
        <v>0.10287359843146882</v>
      </c>
      <c r="H540" s="9">
        <v>36</v>
      </c>
      <c r="I540" s="9">
        <v>35.1</v>
      </c>
      <c r="J540" s="9">
        <v>35</v>
      </c>
      <c r="K540" s="9">
        <v>34.700000000000003</v>
      </c>
      <c r="L540" s="9">
        <v>34.4</v>
      </c>
      <c r="M540" s="9">
        <v>35.4</v>
      </c>
      <c r="N540" s="9">
        <v>34.799999999999997</v>
      </c>
      <c r="O540" s="9">
        <v>35</v>
      </c>
      <c r="P540" s="9">
        <v>34.200000000000003</v>
      </c>
      <c r="Q540" s="9">
        <v>34.5</v>
      </c>
      <c r="R540" s="7">
        <f t="shared" si="6"/>
        <v>6.9481036701182664E-2</v>
      </c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4.4" hidden="1">
      <c r="A541" s="3">
        <f>LOOKUP(D541,'AMFI DATA_2023H2'!F:L,'AMFI DATA_2023H2'!L:L)</f>
        <v>2054</v>
      </c>
      <c r="B541" s="4" t="s">
        <v>4805</v>
      </c>
      <c r="C541" s="4" t="s">
        <v>4806</v>
      </c>
      <c r="D541" s="5" t="s">
        <v>4807</v>
      </c>
      <c r="E541" s="5">
        <v>165.84</v>
      </c>
      <c r="F541" s="6">
        <f>LOOKUP(D541,'AMFI DATA_2023H2'!F:J,'AMFI DATA_2023H2'!J:J)</f>
        <v>172.43894999999998</v>
      </c>
      <c r="G541" s="7">
        <f t="shared" si="5"/>
        <v>0.17722823062886905</v>
      </c>
      <c r="H541" s="9">
        <v>203</v>
      </c>
      <c r="I541" s="9">
        <v>203</v>
      </c>
      <c r="J541" s="9">
        <v>203</v>
      </c>
      <c r="K541" s="9">
        <v>203</v>
      </c>
      <c r="L541" s="9">
        <v>203</v>
      </c>
      <c r="M541" s="9">
        <v>198</v>
      </c>
      <c r="N541" s="9">
        <v>200</v>
      </c>
      <c r="O541" s="9">
        <v>191</v>
      </c>
      <c r="P541" s="9">
        <v>176</v>
      </c>
      <c r="Q541" s="9">
        <v>171</v>
      </c>
      <c r="R541" s="7">
        <f t="shared" si="6"/>
        <v>0.13141491524971594</v>
      </c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4.4" hidden="1">
      <c r="A542" s="3">
        <f>LOOKUP(D542,'AMFI DATA_2023H2'!F:L,'AMFI DATA_2023H2'!L:L)</f>
        <v>2861</v>
      </c>
      <c r="B542" s="4" t="s">
        <v>5485</v>
      </c>
      <c r="C542" s="4" t="s">
        <v>5486</v>
      </c>
      <c r="D542" s="5" t="s">
        <v>5487</v>
      </c>
      <c r="E542" s="5">
        <v>71.05</v>
      </c>
      <c r="F542" s="6">
        <f>LOOKUP(D542,'AMFI DATA_2023H2'!F:J,'AMFI DATA_2023H2'!J:J)</f>
        <v>46.754099999999994</v>
      </c>
      <c r="G542" s="7">
        <f t="shared" si="5"/>
        <v>0.2298386665554466</v>
      </c>
      <c r="H542" s="9">
        <v>57.5</v>
      </c>
      <c r="I542" s="9">
        <v>53.5</v>
      </c>
      <c r="J542" s="9">
        <v>52.7</v>
      </c>
      <c r="K542" s="9">
        <v>50.4</v>
      </c>
      <c r="L542" s="9">
        <v>49.1</v>
      </c>
      <c r="M542" s="9">
        <v>50</v>
      </c>
      <c r="N542" s="9">
        <v>49.2</v>
      </c>
      <c r="O542" s="9">
        <v>49.7</v>
      </c>
      <c r="P542" s="9">
        <v>46.3</v>
      </c>
      <c r="Q542" s="9">
        <v>46.1</v>
      </c>
      <c r="R542" s="7">
        <f t="shared" si="6"/>
        <v>7.9049751786474554E-2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4.4" hidden="1">
      <c r="A543" s="3">
        <f>LOOKUP(D543,'AMFI DATA_2023H2'!F:L,'AMFI DATA_2023H2'!L:L)</f>
        <v>368</v>
      </c>
      <c r="B543" s="4" t="s">
        <v>1110</v>
      </c>
      <c r="C543" s="4" t="s">
        <v>1111</v>
      </c>
      <c r="D543" s="5" t="s">
        <v>1112</v>
      </c>
      <c r="E543" s="5">
        <v>10819.89</v>
      </c>
      <c r="F543" s="6">
        <f>LOOKUP(D543,'AMFI DATA_2023H2'!F:J,'AMFI DATA_2023H2'!J:J)</f>
        <v>11773.015149999999</v>
      </c>
      <c r="G543" s="7">
        <f t="shared" si="5"/>
        <v>-9.3520235553251618E-2</v>
      </c>
      <c r="H543" s="8">
        <v>10672</v>
      </c>
      <c r="I543" s="8">
        <v>10510</v>
      </c>
      <c r="J543" s="8">
        <v>10614</v>
      </c>
      <c r="K543" s="8">
        <v>10785</v>
      </c>
      <c r="L543" s="8">
        <v>10945</v>
      </c>
      <c r="M543" s="8">
        <v>11071</v>
      </c>
      <c r="N543" s="8">
        <v>11235</v>
      </c>
      <c r="O543" s="8">
        <v>11216</v>
      </c>
      <c r="P543" s="8">
        <v>11448</v>
      </c>
      <c r="Q543" s="8">
        <v>11510</v>
      </c>
      <c r="R543" s="7">
        <f t="shared" si="6"/>
        <v>-6.5608948953064017E-2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4.4" hidden="1">
      <c r="A544" s="3">
        <f>LOOKUP(D544,'AMFI DATA_2023H2'!F:L,'AMFI DATA_2023H2'!L:L)</f>
        <v>642</v>
      </c>
      <c r="B544" s="4" t="s">
        <v>1887</v>
      </c>
      <c r="C544" s="4" t="s">
        <v>1888</v>
      </c>
      <c r="D544" s="5" t="s">
        <v>1889</v>
      </c>
      <c r="E544" s="5">
        <v>2383.96</v>
      </c>
      <c r="F544" s="6">
        <f>LOOKUP(D544,'AMFI DATA_2023H2'!F:J,'AMFI DATA_2023H2'!J:J)</f>
        <v>4538.4425499999998</v>
      </c>
      <c r="G544" s="7">
        <f t="shared" si="5"/>
        <v>0.27202227116436672</v>
      </c>
      <c r="H544" s="8">
        <v>5773</v>
      </c>
      <c r="I544" s="8">
        <v>5765</v>
      </c>
      <c r="J544" s="8">
        <v>5743</v>
      </c>
      <c r="K544" s="8">
        <v>5744</v>
      </c>
      <c r="L544" s="8">
        <v>5772</v>
      </c>
      <c r="M544" s="8">
        <v>5670</v>
      </c>
      <c r="N544" s="8">
        <v>5716</v>
      </c>
      <c r="O544" s="8">
        <v>5767</v>
      </c>
      <c r="P544" s="8">
        <v>5713</v>
      </c>
      <c r="Q544" s="8">
        <v>5797</v>
      </c>
      <c r="R544" s="7">
        <f t="shared" si="6"/>
        <v>0.26607309373124055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4.4" hidden="1">
      <c r="A545" s="3">
        <f>LOOKUP(D545,'AMFI DATA_2023H2'!F:L,'AMFI DATA_2023H2'!L:L)</f>
        <v>2424</v>
      </c>
      <c r="B545" s="4" t="s">
        <v>5222</v>
      </c>
      <c r="C545" s="4" t="s">
        <v>5223</v>
      </c>
      <c r="D545" s="5" t="s">
        <v>5224</v>
      </c>
      <c r="E545" s="5">
        <v>6092.58</v>
      </c>
      <c r="F545" s="6">
        <f>LOOKUP(D545,'AMFI DATA_2023H2'!F:J,'AMFI DATA_2023H2'!J:J)</f>
        <v>94.002749999999992</v>
      </c>
      <c r="G545" s="7">
        <f t="shared" si="5"/>
        <v>2.9466930488735708</v>
      </c>
      <c r="H545" s="9">
        <v>371</v>
      </c>
      <c r="I545" s="9">
        <v>290</v>
      </c>
      <c r="J545" s="9">
        <v>337</v>
      </c>
      <c r="K545" s="9">
        <v>348</v>
      </c>
      <c r="L545" s="9">
        <v>358</v>
      </c>
      <c r="M545" s="9">
        <v>66</v>
      </c>
      <c r="N545" s="9">
        <v>63</v>
      </c>
      <c r="O545" s="9">
        <v>60.2</v>
      </c>
      <c r="P545" s="9">
        <v>49.1</v>
      </c>
      <c r="Q545" s="9">
        <v>51</v>
      </c>
      <c r="R545" s="7">
        <f t="shared" si="6"/>
        <v>1.1204698798705359</v>
      </c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4.4" hidden="1">
      <c r="A546" s="3">
        <f>LOOKUP(D546,'AMFI DATA_2023H2'!F:L,'AMFI DATA_2023H2'!L:L)</f>
        <v>2424</v>
      </c>
      <c r="B546" s="4" t="s">
        <v>5222</v>
      </c>
      <c r="C546" s="4" t="s">
        <v>5225</v>
      </c>
      <c r="D546" s="5" t="s">
        <v>5226</v>
      </c>
      <c r="E546" s="5">
        <v>6092.58</v>
      </c>
      <c r="F546" s="6">
        <f>LOOKUP(D546,'AMFI DATA_2023H2'!F:J,'AMFI DATA_2023H2'!J:J)</f>
        <v>94.002749999999992</v>
      </c>
      <c r="G546" s="7">
        <f t="shared" si="5"/>
        <v>-0.47980245258782317</v>
      </c>
      <c r="H546" s="9">
        <v>48.9</v>
      </c>
      <c r="I546" s="9">
        <v>50.7</v>
      </c>
      <c r="J546" s="9">
        <v>50.2</v>
      </c>
      <c r="K546" s="9">
        <v>48.3</v>
      </c>
      <c r="L546" s="9">
        <v>51</v>
      </c>
      <c r="M546" s="9">
        <v>51.8</v>
      </c>
      <c r="N546" s="9">
        <v>53.6</v>
      </c>
      <c r="O546" s="9">
        <v>52.8</v>
      </c>
      <c r="P546" s="9">
        <v>49.6</v>
      </c>
      <c r="Q546" s="9">
        <v>47.9</v>
      </c>
      <c r="R546" s="7">
        <f t="shared" si="6"/>
        <v>-0.46299443367348292</v>
      </c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4.4" hidden="1">
      <c r="A547" s="3">
        <f>LOOKUP(D547,'AMFI DATA_2023H2'!F:L,'AMFI DATA_2023H2'!L:L)</f>
        <v>76</v>
      </c>
      <c r="B547" s="4" t="s">
        <v>240</v>
      </c>
      <c r="C547" s="4" t="s">
        <v>241</v>
      </c>
      <c r="D547" s="5" t="s">
        <v>242</v>
      </c>
      <c r="E547" s="5">
        <v>68221.37</v>
      </c>
      <c r="F547" s="6">
        <f>LOOKUP(D547,'AMFI DATA_2023H2'!F:J,'AMFI DATA_2023H2'!J:J)</f>
        <v>81450.902713946416</v>
      </c>
      <c r="G547" s="7">
        <f t="shared" si="5"/>
        <v>0.32025547190881132</v>
      </c>
      <c r="H547" s="8">
        <v>107536</v>
      </c>
      <c r="I547" s="8">
        <v>107273</v>
      </c>
      <c r="J547" s="8">
        <v>106582</v>
      </c>
      <c r="K547" s="8">
        <v>107733</v>
      </c>
      <c r="L547" s="8">
        <v>109344</v>
      </c>
      <c r="M547" s="8">
        <v>106550</v>
      </c>
      <c r="N547" s="8">
        <v>103295</v>
      </c>
      <c r="O547" s="8">
        <v>99810</v>
      </c>
      <c r="P547" s="8">
        <v>101290</v>
      </c>
      <c r="Q547" s="8">
        <v>99613</v>
      </c>
      <c r="R547" s="7">
        <f t="shared" si="6"/>
        <v>0.28792433852348309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4.4" hidden="1">
      <c r="A548" s="3">
        <f>LOOKUP(D548,'AMFI DATA_2023H2'!F:L,'AMFI DATA_2023H2'!L:L)</f>
        <v>425</v>
      </c>
      <c r="B548" s="4" t="s">
        <v>1272</v>
      </c>
      <c r="C548" s="4" t="s">
        <v>1273</v>
      </c>
      <c r="D548" s="5" t="s">
        <v>1274</v>
      </c>
      <c r="E548" s="5">
        <v>8762.02</v>
      </c>
      <c r="F548" s="6">
        <f>LOOKUP(D548,'AMFI DATA_2023H2'!F:J,'AMFI DATA_2023H2'!J:J)</f>
        <v>9568.8047499999993</v>
      </c>
      <c r="G548" s="7">
        <f t="shared" si="5"/>
        <v>3.9314758721563425E-2</v>
      </c>
      <c r="H548" s="8">
        <v>9945</v>
      </c>
      <c r="I548" s="8">
        <v>9842</v>
      </c>
      <c r="J548" s="8">
        <v>9829</v>
      </c>
      <c r="K548" s="8">
        <v>9744</v>
      </c>
      <c r="L548" s="8">
        <v>9802</v>
      </c>
      <c r="M548" s="8">
        <v>9805</v>
      </c>
      <c r="N548" s="8">
        <v>9649</v>
      </c>
      <c r="O548" s="8">
        <v>9559</v>
      </c>
      <c r="P548" s="8">
        <v>9471</v>
      </c>
      <c r="Q548" s="8">
        <v>9526</v>
      </c>
      <c r="R548" s="7">
        <f t="shared" si="6"/>
        <v>1.5508232624351637E-2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4.4" hidden="1">
      <c r="A549" s="3">
        <f>LOOKUP(D549,'AMFI DATA_2023H2'!F:L,'AMFI DATA_2023H2'!L:L)</f>
        <v>882</v>
      </c>
      <c r="B549" s="4" t="s">
        <v>2558</v>
      </c>
      <c r="C549" s="4" t="s">
        <v>2559</v>
      </c>
      <c r="D549" s="5" t="s">
        <v>2560</v>
      </c>
      <c r="E549" s="5">
        <v>1426.71</v>
      </c>
      <c r="F549" s="6">
        <f>LOOKUP(D549,'AMFI DATA_2023H2'!F:J,'AMFI DATA_2023H2'!J:J)</f>
        <v>2249.4068500000003</v>
      </c>
      <c r="G549" s="7">
        <f t="shared" si="5"/>
        <v>0.98763509589205678</v>
      </c>
      <c r="H549" s="8">
        <v>4471</v>
      </c>
      <c r="I549" s="8">
        <v>4651</v>
      </c>
      <c r="J549" s="8">
        <v>4321</v>
      </c>
      <c r="K549" s="8">
        <v>4348</v>
      </c>
      <c r="L549" s="8">
        <v>4295</v>
      </c>
      <c r="M549" s="8">
        <v>4326</v>
      </c>
      <c r="N549" s="8">
        <v>4407</v>
      </c>
      <c r="O549" s="8">
        <v>4502</v>
      </c>
      <c r="P549" s="8">
        <v>4097</v>
      </c>
      <c r="Q549" s="8">
        <v>3413</v>
      </c>
      <c r="R549" s="7">
        <f t="shared" si="6"/>
        <v>0.9041019635909795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4.4" hidden="1">
      <c r="A550" s="3">
        <f>LOOKUP(D550,'AMFI DATA_2023H2'!F:L,'AMFI DATA_2023H2'!L:L)</f>
        <v>811</v>
      </c>
      <c r="B550" s="4" t="s">
        <v>2357</v>
      </c>
      <c r="C550" s="4" t="s">
        <v>2358</v>
      </c>
      <c r="D550" s="5" t="s">
        <v>2359</v>
      </c>
      <c r="E550" s="5">
        <v>1426.71</v>
      </c>
      <c r="F550" s="6">
        <f>LOOKUP(D550,'AMFI DATA_2023H2'!F:J,'AMFI DATA_2023H2'!J:J)</f>
        <v>2793.9871499999999</v>
      </c>
      <c r="G550" s="7">
        <f t="shared" si="5"/>
        <v>-6.9430222683737108E-2</v>
      </c>
      <c r="H550" s="8">
        <v>2600</v>
      </c>
      <c r="I550" s="8">
        <v>2654</v>
      </c>
      <c r="J550" s="8">
        <v>2663</v>
      </c>
      <c r="K550" s="8">
        <v>2657</v>
      </c>
      <c r="L550" s="8">
        <v>2692</v>
      </c>
      <c r="M550" s="8">
        <v>2670</v>
      </c>
      <c r="N550" s="8">
        <v>2671</v>
      </c>
      <c r="O550" s="8">
        <v>2721</v>
      </c>
      <c r="P550" s="8">
        <v>2735</v>
      </c>
      <c r="Q550" s="8">
        <v>2755</v>
      </c>
      <c r="R550" s="7">
        <f t="shared" si="6"/>
        <v>-4.0153065843556157E-2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4.4" hidden="1">
      <c r="A551" s="3">
        <f>LOOKUP(D551,'AMFI DATA_2023H2'!F:L,'AMFI DATA_2023H2'!L:L)</f>
        <v>1280</v>
      </c>
      <c r="B551" s="4" t="s">
        <v>3518</v>
      </c>
      <c r="C551" s="4" t="s">
        <v>3519</v>
      </c>
      <c r="D551" s="5" t="s">
        <v>3520</v>
      </c>
      <c r="E551" s="5">
        <v>662.28</v>
      </c>
      <c r="F551" s="6">
        <f>LOOKUP(D551,'AMFI DATA_2023H2'!F:J,'AMFI DATA_2023H2'!J:J)</f>
        <v>850.60419999999999</v>
      </c>
      <c r="G551" s="7">
        <f t="shared" si="5"/>
        <v>2.9856189282865042E-2</v>
      </c>
      <c r="H551" s="9">
        <v>876</v>
      </c>
      <c r="I551" s="9">
        <v>891</v>
      </c>
      <c r="J551" s="9">
        <v>886</v>
      </c>
      <c r="K551" s="9">
        <v>871</v>
      </c>
      <c r="L551" s="9">
        <v>882</v>
      </c>
      <c r="M551" s="9">
        <v>888</v>
      </c>
      <c r="N551" s="9">
        <v>879</v>
      </c>
      <c r="O551" s="9">
        <v>909</v>
      </c>
      <c r="P551" s="9">
        <v>929</v>
      </c>
      <c r="Q551" s="9">
        <v>899</v>
      </c>
      <c r="R551" s="7">
        <f t="shared" si="6"/>
        <v>4.7490713071955293E-2</v>
      </c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4.4" hidden="1">
      <c r="A552" s="3">
        <f>LOOKUP(D552,'AMFI DATA_2023H2'!F:L,'AMFI DATA_2023H2'!L:L)</f>
        <v>1205</v>
      </c>
      <c r="B552" s="4" t="s">
        <v>3365</v>
      </c>
      <c r="C552" s="4" t="s">
        <v>3366</v>
      </c>
      <c r="D552" s="5" t="s">
        <v>3367</v>
      </c>
      <c r="E552" s="5">
        <v>994.97</v>
      </c>
      <c r="F552" s="6">
        <f>LOOKUP(D552,'AMFI DATA_2023H2'!F:J,'AMFI DATA_2023H2'!J:J)</f>
        <v>1044.43975</v>
      </c>
      <c r="G552" s="7">
        <f t="shared" si="5"/>
        <v>3.7877005351433679E-2</v>
      </c>
      <c r="H552" s="8">
        <v>1084</v>
      </c>
      <c r="I552" s="8">
        <v>1084</v>
      </c>
      <c r="J552" s="8">
        <v>1093</v>
      </c>
      <c r="K552" s="8">
        <v>1073</v>
      </c>
      <c r="L552" s="8">
        <v>1105</v>
      </c>
      <c r="M552" s="8">
        <v>1097</v>
      </c>
      <c r="N552" s="8">
        <v>1090</v>
      </c>
      <c r="O552" s="8">
        <v>1085</v>
      </c>
      <c r="P552" s="8">
        <v>1085</v>
      </c>
      <c r="Q552" s="8">
        <v>1038</v>
      </c>
      <c r="R552" s="7">
        <f t="shared" si="6"/>
        <v>3.7302534684265032E-2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4.4" hidden="1">
      <c r="A553" s="3">
        <f>LOOKUP(D553,'AMFI DATA_2023H2'!F:L,'AMFI DATA_2023H2'!L:L)</f>
        <v>736</v>
      </c>
      <c r="B553" s="4" t="s">
        <v>2153</v>
      </c>
      <c r="C553" s="4" t="s">
        <v>2154</v>
      </c>
      <c r="D553" s="5" t="s">
        <v>2155</v>
      </c>
      <c r="E553" s="5">
        <v>2843.6</v>
      </c>
      <c r="F553" s="6">
        <f>LOOKUP(D553,'AMFI DATA_2023H2'!F:J,'AMFI DATA_2023H2'!J:J)</f>
        <v>3469.91815</v>
      </c>
      <c r="G553" s="7">
        <f t="shared" si="5"/>
        <v>4.3828656304184088E-2</v>
      </c>
      <c r="H553" s="8">
        <v>3622</v>
      </c>
      <c r="I553" s="8">
        <v>3548</v>
      </c>
      <c r="J553" s="8">
        <v>3462</v>
      </c>
      <c r="K553" s="8">
        <v>3439</v>
      </c>
      <c r="L553" s="8">
        <v>3521</v>
      </c>
      <c r="M553" s="8">
        <v>3457</v>
      </c>
      <c r="N553" s="8">
        <v>3285</v>
      </c>
      <c r="O553" s="8">
        <v>3203</v>
      </c>
      <c r="P553" s="8">
        <v>3216</v>
      </c>
      <c r="Q553" s="8">
        <v>3235</v>
      </c>
      <c r="R553" s="7">
        <f t="shared" si="6"/>
        <v>-2.0495627540955019E-2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4.4" hidden="1">
      <c r="A554" s="3">
        <f>LOOKUP(D554,'AMFI DATA_2023H2'!F:L,'AMFI DATA_2023H2'!L:L)</f>
        <v>900</v>
      </c>
      <c r="B554" s="4" t="s">
        <v>2609</v>
      </c>
      <c r="C554" s="4" t="s">
        <v>2610</v>
      </c>
      <c r="D554" s="5" t="s">
        <v>2611</v>
      </c>
      <c r="E554" s="5">
        <v>2055.09</v>
      </c>
      <c r="F554" s="6">
        <f>LOOKUP(D554,'AMFI DATA_2023H2'!F:J,'AMFI DATA_2023H2'!J:J)</f>
        <v>2159.4214999999999</v>
      </c>
      <c r="G554" s="7">
        <f t="shared" si="5"/>
        <v>-2.4275714583743779E-2</v>
      </c>
      <c r="H554" s="8">
        <v>2107</v>
      </c>
      <c r="I554" s="8">
        <v>2076</v>
      </c>
      <c r="J554" s="8">
        <v>2115</v>
      </c>
      <c r="K554" s="8">
        <v>2141</v>
      </c>
      <c r="L554" s="8">
        <v>2144</v>
      </c>
      <c r="M554" s="8">
        <v>2142</v>
      </c>
      <c r="N554" s="8">
        <v>2124</v>
      </c>
      <c r="O554" s="8">
        <v>2153</v>
      </c>
      <c r="P554" s="8">
        <v>2154</v>
      </c>
      <c r="Q554" s="8">
        <v>2149</v>
      </c>
      <c r="R554" s="7">
        <f t="shared" si="6"/>
        <v>-1.3393170346780336E-2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4.4" hidden="1">
      <c r="A555" s="3">
        <f>LOOKUP(D555,'AMFI DATA_2023H2'!F:L,'AMFI DATA_2023H2'!L:L)</f>
        <v>2572</v>
      </c>
      <c r="B555" s="4" t="s">
        <v>5353</v>
      </c>
      <c r="C555" s="4" t="s">
        <v>5354</v>
      </c>
      <c r="D555" s="5" t="s">
        <v>5355</v>
      </c>
      <c r="E555" s="5">
        <v>44.8</v>
      </c>
      <c r="F555" s="6">
        <f>LOOKUP(D555,'AMFI DATA_2023H2'!F:J,'AMFI DATA_2023H2'!J:J)</f>
        <v>72.513000000000005</v>
      </c>
      <c r="G555" s="7">
        <f t="shared" si="5"/>
        <v>8.6701694868506207E-2</v>
      </c>
      <c r="H555" s="9">
        <v>78.8</v>
      </c>
      <c r="I555" s="9">
        <v>75.400000000000006</v>
      </c>
      <c r="J555" s="9">
        <v>72.099999999999994</v>
      </c>
      <c r="K555" s="9">
        <v>73.2</v>
      </c>
      <c r="L555" s="9">
        <v>71</v>
      </c>
      <c r="M555" s="9">
        <v>70.5</v>
      </c>
      <c r="N555" s="9">
        <v>70.5</v>
      </c>
      <c r="O555" s="9">
        <v>72.099999999999994</v>
      </c>
      <c r="P555" s="9">
        <v>68.8</v>
      </c>
      <c r="Q555" s="9">
        <v>68.2</v>
      </c>
      <c r="R555" s="7">
        <f t="shared" si="6"/>
        <v>-6.247155682429395E-3</v>
      </c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4.4" hidden="1">
      <c r="A556" s="3">
        <f>LOOKUP(D556,'AMFI DATA_2023H2'!F:L,'AMFI DATA_2023H2'!L:L)</f>
        <v>2257</v>
      </c>
      <c r="B556" s="4" t="s">
        <v>5078</v>
      </c>
      <c r="C556" s="4" t="s">
        <v>5079</v>
      </c>
      <c r="D556" s="5" t="s">
        <v>5080</v>
      </c>
      <c r="E556" s="5">
        <v>109.65</v>
      </c>
      <c r="F556" s="6">
        <f>LOOKUP(D556,'AMFI DATA_2023H2'!F:J,'AMFI DATA_2023H2'!J:J)</f>
        <v>120.35585</v>
      </c>
      <c r="G556" s="7">
        <f t="shared" si="5"/>
        <v>5.5204213172853622E-2</v>
      </c>
      <c r="H556" s="9">
        <v>127</v>
      </c>
      <c r="I556" s="9">
        <v>127</v>
      </c>
      <c r="J556" s="9">
        <v>123</v>
      </c>
      <c r="K556" s="9">
        <v>124</v>
      </c>
      <c r="L556" s="9">
        <v>124</v>
      </c>
      <c r="M556" s="9">
        <v>124</v>
      </c>
      <c r="N556" s="9">
        <v>126</v>
      </c>
      <c r="O556" s="9">
        <v>124</v>
      </c>
      <c r="P556" s="9">
        <v>126</v>
      </c>
      <c r="Q556" s="9">
        <v>127</v>
      </c>
      <c r="R556" s="7">
        <f t="shared" si="6"/>
        <v>4.0248562907411634E-2</v>
      </c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4.4" hidden="1">
      <c r="A557" s="3">
        <f>LOOKUP(D557,'AMFI DATA_2023H2'!F:L,'AMFI DATA_2023H2'!L:L)</f>
        <v>452</v>
      </c>
      <c r="B557" s="4" t="s">
        <v>1347</v>
      </c>
      <c r="C557" s="4" t="s">
        <v>1348</v>
      </c>
      <c r="D557" s="5" t="s">
        <v>1349</v>
      </c>
      <c r="E557" s="5">
        <v>5471.46</v>
      </c>
      <c r="F557" s="6">
        <f>LOOKUP(D557,'AMFI DATA_2023H2'!F:J,'AMFI DATA_2023H2'!J:J)</f>
        <v>8650.8680999999997</v>
      </c>
      <c r="G557" s="7">
        <f t="shared" si="5"/>
        <v>0.1435846536603651</v>
      </c>
      <c r="H557" s="8">
        <v>9893</v>
      </c>
      <c r="I557" s="8">
        <v>9894</v>
      </c>
      <c r="J557" s="8">
        <v>9969</v>
      </c>
      <c r="K557" s="8">
        <v>9893</v>
      </c>
      <c r="L557" s="8">
        <v>10014</v>
      </c>
      <c r="M557" s="8">
        <v>10012</v>
      </c>
      <c r="N557" s="8">
        <v>9817</v>
      </c>
      <c r="O557" s="8">
        <v>9981</v>
      </c>
      <c r="P557" s="8">
        <v>9992</v>
      </c>
      <c r="Q557" s="8">
        <v>9389</v>
      </c>
      <c r="R557" s="7">
        <f t="shared" si="6"/>
        <v>0.14270612911090397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4.4" hidden="1">
      <c r="A558" s="3">
        <f>LOOKUP(D558,'AMFI DATA_2023H2'!F:L,'AMFI DATA_2023H2'!L:L)</f>
        <v>796</v>
      </c>
      <c r="B558" s="4" t="s">
        <v>2315</v>
      </c>
      <c r="C558" s="4" t="s">
        <v>2316</v>
      </c>
      <c r="D558" s="5" t="s">
        <v>2317</v>
      </c>
      <c r="E558" s="5">
        <v>1486.73</v>
      </c>
      <c r="F558" s="6">
        <f>LOOKUP(D558,'AMFI DATA_2023H2'!F:J,'AMFI DATA_2023H2'!J:J)</f>
        <v>2900.6975499999999</v>
      </c>
      <c r="G558" s="7">
        <f t="shared" si="5"/>
        <v>0.11697270885756428</v>
      </c>
      <c r="H558" s="8">
        <v>3240</v>
      </c>
      <c r="I558" s="8">
        <v>3243</v>
      </c>
      <c r="J558" s="8">
        <v>3243</v>
      </c>
      <c r="K558" s="8">
        <v>3185</v>
      </c>
      <c r="L558" s="8">
        <v>3231</v>
      </c>
      <c r="M558" s="8">
        <v>3259</v>
      </c>
      <c r="N558" s="8">
        <v>3292</v>
      </c>
      <c r="O558" s="8">
        <v>3317</v>
      </c>
      <c r="P558" s="8">
        <v>3309</v>
      </c>
      <c r="Q558" s="8">
        <v>3077</v>
      </c>
      <c r="R558" s="7">
        <f t="shared" si="6"/>
        <v>0.11683481099227322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4.4" hidden="1">
      <c r="A559" s="3">
        <f>LOOKUP(D559,'AMFI DATA_2023H2'!F:L,'AMFI DATA_2023H2'!L:L)</f>
        <v>541</v>
      </c>
      <c r="B559" s="4" t="s">
        <v>1602</v>
      </c>
      <c r="C559" s="4" t="s">
        <v>1603</v>
      </c>
      <c r="D559" s="5" t="s">
        <v>1604</v>
      </c>
      <c r="E559" s="5">
        <v>6092.58</v>
      </c>
      <c r="F559" s="6">
        <f>LOOKUP(D559,'AMFI DATA_2023H2'!F:J,'AMFI DATA_2023H2'!J:J)</f>
        <v>6567.2700999999997</v>
      </c>
      <c r="G559" s="7">
        <f t="shared" si="5"/>
        <v>4.8228547810147182E-2</v>
      </c>
      <c r="H559" s="8">
        <v>6884</v>
      </c>
      <c r="I559" s="8">
        <v>6848</v>
      </c>
      <c r="J559" s="8">
        <v>6946</v>
      </c>
      <c r="K559" s="8">
        <v>6869</v>
      </c>
      <c r="L559" s="8">
        <v>6807</v>
      </c>
      <c r="M559" s="8">
        <v>6855</v>
      </c>
      <c r="N559" s="8">
        <v>6881</v>
      </c>
      <c r="O559" s="8">
        <v>6783</v>
      </c>
      <c r="P559" s="8">
        <v>6805</v>
      </c>
      <c r="Q559" s="8">
        <v>6877</v>
      </c>
      <c r="R559" s="7">
        <f t="shared" si="6"/>
        <v>4.3888845077348027E-2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4.4" hidden="1">
      <c r="A560" s="3">
        <f>LOOKUP(D560,'AMFI DATA_2023H2'!F:L,'AMFI DATA_2023H2'!L:L)</f>
        <v>651</v>
      </c>
      <c r="B560" s="4" t="s">
        <v>1911</v>
      </c>
      <c r="C560" s="4" t="s">
        <v>1912</v>
      </c>
      <c r="D560" s="5" t="s">
        <v>1913</v>
      </c>
      <c r="E560" s="5">
        <v>3252.77</v>
      </c>
      <c r="F560" s="6">
        <f>LOOKUP(D560,'AMFI DATA_2023H2'!F:J,'AMFI DATA_2023H2'!J:J)</f>
        <v>4427.6455000000005</v>
      </c>
      <c r="G560" s="7">
        <f t="shared" si="5"/>
        <v>0.25258447181464705</v>
      </c>
      <c r="H560" s="8">
        <v>5546</v>
      </c>
      <c r="I560" s="8">
        <v>5409</v>
      </c>
      <c r="J560" s="8">
        <v>5501</v>
      </c>
      <c r="K560" s="8">
        <v>5181</v>
      </c>
      <c r="L560" s="8">
        <v>5234</v>
      </c>
      <c r="M560" s="8">
        <v>5194</v>
      </c>
      <c r="N560" s="8">
        <v>5074</v>
      </c>
      <c r="O560" s="8">
        <v>5046</v>
      </c>
      <c r="P560" s="8">
        <v>5049</v>
      </c>
      <c r="Q560" s="8">
        <v>5026</v>
      </c>
      <c r="R560" s="7">
        <f t="shared" si="6"/>
        <v>0.18031129637636956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4.4" hidden="1">
      <c r="A561" s="3">
        <f>LOOKUP(D561,'AMFI DATA_2023H2'!F:L,'AMFI DATA_2023H2'!L:L)</f>
        <v>2216</v>
      </c>
      <c r="B561" s="4" t="s">
        <v>5042</v>
      </c>
      <c r="C561" s="4" t="s">
        <v>5043</v>
      </c>
      <c r="D561" s="5" t="s">
        <v>5044</v>
      </c>
      <c r="E561" s="5">
        <v>119.92</v>
      </c>
      <c r="F561" s="6">
        <f>LOOKUP(D561,'AMFI DATA_2023H2'!F:J,'AMFI DATA_2023H2'!J:J)</f>
        <v>128.10905</v>
      </c>
      <c r="G561" s="7">
        <f t="shared" si="5"/>
        <v>0.42847051008496284</v>
      </c>
      <c r="H561" s="9">
        <v>183</v>
      </c>
      <c r="I561" s="9">
        <v>183</v>
      </c>
      <c r="J561" s="9">
        <v>183</v>
      </c>
      <c r="K561" s="9">
        <v>183</v>
      </c>
      <c r="L561" s="9">
        <v>184</v>
      </c>
      <c r="M561" s="9">
        <v>192</v>
      </c>
      <c r="N561" s="9">
        <v>192</v>
      </c>
      <c r="O561" s="9">
        <v>192</v>
      </c>
      <c r="P561" s="9">
        <v>191</v>
      </c>
      <c r="Q561" s="9">
        <v>183</v>
      </c>
      <c r="R561" s="7">
        <f t="shared" si="6"/>
        <v>0.45657156929974896</v>
      </c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4.4" hidden="1">
      <c r="A562" s="3">
        <f>LOOKUP(D562,'AMFI DATA_2023H2'!F:L,'AMFI DATA_2023H2'!L:L)</f>
        <v>1139</v>
      </c>
      <c r="B562" s="4" t="s">
        <v>3203</v>
      </c>
      <c r="C562" s="4" t="s">
        <v>3204</v>
      </c>
      <c r="D562" s="5" t="s">
        <v>3205</v>
      </c>
      <c r="E562" s="5">
        <v>868.97</v>
      </c>
      <c r="F562" s="6">
        <f>LOOKUP(D562,'AMFI DATA_2023H2'!F:J,'AMFI DATA_2023H2'!J:J)</f>
        <v>1231.02675</v>
      </c>
      <c r="G562" s="7">
        <f t="shared" si="5"/>
        <v>0.46300638877262412</v>
      </c>
      <c r="H562" s="8">
        <v>1801</v>
      </c>
      <c r="I562" s="8">
        <v>1611</v>
      </c>
      <c r="J562" s="8">
        <v>1590</v>
      </c>
      <c r="K562" s="8">
        <v>1526</v>
      </c>
      <c r="L562" s="8">
        <v>1519</v>
      </c>
      <c r="M562" s="8">
        <v>1531</v>
      </c>
      <c r="N562" s="8">
        <v>1534</v>
      </c>
      <c r="O562" s="8">
        <v>1508</v>
      </c>
      <c r="P562" s="8">
        <v>1511</v>
      </c>
      <c r="Q562" s="8">
        <v>1483</v>
      </c>
      <c r="R562" s="7">
        <f t="shared" si="6"/>
        <v>0.26837211295367869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4.4" hidden="1">
      <c r="A563" s="3">
        <f>LOOKUP(D563,'AMFI DATA_2023H2'!F:L,'AMFI DATA_2023H2'!L:L)</f>
        <v>437</v>
      </c>
      <c r="B563" s="4" t="s">
        <v>1305</v>
      </c>
      <c r="C563" s="4" t="s">
        <v>1306</v>
      </c>
      <c r="D563" s="5" t="s">
        <v>1307</v>
      </c>
      <c r="E563" s="5">
        <v>3862.49</v>
      </c>
      <c r="F563" s="6">
        <f>LOOKUP(D563,'AMFI DATA_2023H2'!F:J,'AMFI DATA_2023H2'!J:J)</f>
        <v>9209.4743500000004</v>
      </c>
      <c r="G563" s="7">
        <f t="shared" si="5"/>
        <v>0.62615144261735201</v>
      </c>
      <c r="H563" s="8">
        <v>14976</v>
      </c>
      <c r="I563" s="8">
        <v>15357</v>
      </c>
      <c r="J563" s="8">
        <v>14917</v>
      </c>
      <c r="K563" s="8">
        <v>14208</v>
      </c>
      <c r="L563" s="8">
        <v>13532</v>
      </c>
      <c r="M563" s="8">
        <v>12888</v>
      </c>
      <c r="N563" s="8">
        <v>12162</v>
      </c>
      <c r="O563" s="8">
        <v>12170</v>
      </c>
      <c r="P563" s="8">
        <v>12183</v>
      </c>
      <c r="Q563" s="8">
        <v>11873</v>
      </c>
      <c r="R563" s="7">
        <f t="shared" si="6"/>
        <v>0.45791165594592265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4.4" hidden="1">
      <c r="A564" s="3">
        <f>LOOKUP(D564,'AMFI DATA_2023H2'!F:L,'AMFI DATA_2023H2'!L:L)</f>
        <v>1607</v>
      </c>
      <c r="B564" s="4" t="s">
        <v>4157</v>
      </c>
      <c r="C564" s="4" t="s">
        <v>4158</v>
      </c>
      <c r="D564" s="5" t="s">
        <v>4159</v>
      </c>
      <c r="E564" s="5">
        <v>307.10000000000002</v>
      </c>
      <c r="F564" s="6">
        <f>LOOKUP(D564,'AMFI DATA_2023H2'!F:J,'AMFI DATA_2023H2'!J:J)</f>
        <v>408.53830000000005</v>
      </c>
      <c r="G564" s="7">
        <f t="shared" si="5"/>
        <v>0.18715919657961066</v>
      </c>
      <c r="H564" s="9">
        <v>485</v>
      </c>
      <c r="I564" s="9">
        <v>487</v>
      </c>
      <c r="J564" s="9">
        <v>483</v>
      </c>
      <c r="K564" s="9">
        <v>477</v>
      </c>
      <c r="L564" s="9">
        <v>473</v>
      </c>
      <c r="M564" s="9">
        <v>485</v>
      </c>
      <c r="N564" s="9">
        <v>477</v>
      </c>
      <c r="O564" s="9">
        <v>496</v>
      </c>
      <c r="P564" s="9">
        <v>487</v>
      </c>
      <c r="Q564" s="9">
        <v>472</v>
      </c>
      <c r="R564" s="7">
        <f t="shared" si="6"/>
        <v>0.18030549400141904</v>
      </c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4.4" hidden="1">
      <c r="A565" s="3">
        <f>LOOKUP(D565,'AMFI DATA_2023H2'!F:L,'AMFI DATA_2023H2'!L:L)</f>
        <v>1670</v>
      </c>
      <c r="B565" s="4" t="s">
        <v>4280</v>
      </c>
      <c r="C565" s="4" t="s">
        <v>4281</v>
      </c>
      <c r="D565" s="5" t="s">
        <v>4282</v>
      </c>
      <c r="E565" s="5">
        <v>159.18</v>
      </c>
      <c r="F565" s="6">
        <f>LOOKUP(D565,'AMFI DATA_2023H2'!F:J,'AMFI DATA_2023H2'!J:J)</f>
        <v>351.9871</v>
      </c>
      <c r="G565" s="7">
        <f t="shared" si="5"/>
        <v>0.39209647171728745</v>
      </c>
      <c r="H565" s="9">
        <v>490</v>
      </c>
      <c r="I565" s="9">
        <v>481</v>
      </c>
      <c r="J565" s="9">
        <v>475</v>
      </c>
      <c r="K565" s="9">
        <v>485</v>
      </c>
      <c r="L565" s="9">
        <v>476</v>
      </c>
      <c r="M565" s="9">
        <v>471</v>
      </c>
      <c r="N565" s="9">
        <v>481</v>
      </c>
      <c r="O565" s="9">
        <v>484</v>
      </c>
      <c r="P565" s="9">
        <v>484</v>
      </c>
      <c r="Q565" s="9">
        <v>494</v>
      </c>
      <c r="R565" s="7">
        <f t="shared" si="6"/>
        <v>0.36965246737735558</v>
      </c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4.4" hidden="1">
      <c r="A566" s="3">
        <f>LOOKUP(D566,'AMFI DATA_2023H2'!F:L,'AMFI DATA_2023H2'!L:L)</f>
        <v>161</v>
      </c>
      <c r="B566" s="4" t="s">
        <v>492</v>
      </c>
      <c r="C566" s="4" t="s">
        <v>493</v>
      </c>
      <c r="D566" s="5" t="s">
        <v>494</v>
      </c>
      <c r="E566" s="5">
        <v>28773.64</v>
      </c>
      <c r="F566" s="6">
        <f>LOOKUP(D566,'AMFI DATA_2023H2'!F:J,'AMFI DATA_2023H2'!J:J)</f>
        <v>41087.304600000003</v>
      </c>
      <c r="G566" s="7">
        <f t="shared" si="5"/>
        <v>0.34204471519409418</v>
      </c>
      <c r="H566" s="8">
        <v>55141</v>
      </c>
      <c r="I566" s="8">
        <v>55544</v>
      </c>
      <c r="J566" s="8">
        <v>54527</v>
      </c>
      <c r="K566" s="8">
        <v>54299</v>
      </c>
      <c r="L566" s="8">
        <v>54702</v>
      </c>
      <c r="M566" s="8">
        <v>54027</v>
      </c>
      <c r="N566" s="8">
        <v>55185</v>
      </c>
      <c r="O566" s="8">
        <v>55079</v>
      </c>
      <c r="P566" s="8">
        <v>54842</v>
      </c>
      <c r="Q566" s="8">
        <v>55114</v>
      </c>
      <c r="R566" s="7">
        <f t="shared" si="6"/>
        <v>0.33486488183992469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4.4" hidden="1">
      <c r="A567" s="3">
        <f>LOOKUP(D567,'AMFI DATA_2023H2'!F:L,'AMFI DATA_2023H2'!L:L)</f>
        <v>1875</v>
      </c>
      <c r="B567" s="4" t="s">
        <v>4562</v>
      </c>
      <c r="C567" s="4" t="s">
        <v>4563</v>
      </c>
      <c r="D567" s="5" t="s">
        <v>4564</v>
      </c>
      <c r="E567" s="5">
        <v>255.92</v>
      </c>
      <c r="F567" s="6">
        <f>LOOKUP(D567,'AMFI DATA_2023H2'!F:J,'AMFI DATA_2023H2'!J:J)</f>
        <v>235.87200000000001</v>
      </c>
      <c r="G567" s="7">
        <f t="shared" si="5"/>
        <v>-8.0009496676163416E-2</v>
      </c>
      <c r="H567" s="9">
        <v>217</v>
      </c>
      <c r="I567" s="9">
        <v>215</v>
      </c>
      <c r="J567" s="9">
        <v>217</v>
      </c>
      <c r="K567" s="9">
        <v>217</v>
      </c>
      <c r="L567" s="9">
        <v>223</v>
      </c>
      <c r="M567" s="9">
        <v>226</v>
      </c>
      <c r="N567" s="9">
        <v>224</v>
      </c>
      <c r="O567" s="9">
        <v>218</v>
      </c>
      <c r="P567" s="9">
        <v>216</v>
      </c>
      <c r="Q567" s="9">
        <v>217</v>
      </c>
      <c r="R567" s="7">
        <f t="shared" si="6"/>
        <v>-7.1530321530321572E-2</v>
      </c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4.4">
      <c r="A568" s="3">
        <f>LOOKUP(D568,'AMFI DATA_2023H2'!F:L,'AMFI DATA_2023H2'!L:L)</f>
        <v>1115</v>
      </c>
      <c r="B568" s="4" t="s">
        <v>3149</v>
      </c>
      <c r="C568" s="4" t="s">
        <v>3150</v>
      </c>
      <c r="D568" s="5" t="s">
        <v>3151</v>
      </c>
      <c r="E568" s="5">
        <v>1372.91</v>
      </c>
      <c r="F568" s="6">
        <f>LOOKUP(D568,'AMFI DATA_2023H2'!F:J,'AMFI DATA_2023H2'!J:J)</f>
        <v>1294.0595499999999</v>
      </c>
      <c r="G568" s="7">
        <f t="shared" si="5"/>
        <v>0.34460581817892399</v>
      </c>
      <c r="H568" s="8">
        <v>1740</v>
      </c>
      <c r="I568" s="8">
        <v>1672</v>
      </c>
      <c r="J568" s="8">
        <v>1600</v>
      </c>
      <c r="K568" s="8">
        <v>1623</v>
      </c>
      <c r="L568" s="8">
        <v>1627</v>
      </c>
      <c r="M568" s="8">
        <v>1550</v>
      </c>
      <c r="N568" s="8">
        <v>1593</v>
      </c>
      <c r="O568" s="8">
        <v>1596</v>
      </c>
      <c r="P568" s="8">
        <v>1578</v>
      </c>
      <c r="Q568" s="8">
        <v>1578</v>
      </c>
      <c r="R568" s="14">
        <f t="shared" si="6"/>
        <v>0.24855150599522258</v>
      </c>
      <c r="S568" s="8"/>
      <c r="T568" s="8">
        <v>461</v>
      </c>
      <c r="U568" s="15">
        <f ca="1">IFERROR(__xludf.DUMMYFUNCTION("GOOGLEFINANCE(C568,""PRICE"")"),489.4)</f>
        <v>489.4</v>
      </c>
      <c r="V568" s="13" t="s">
        <v>5787</v>
      </c>
      <c r="W568" s="7">
        <f t="shared" ref="W568:W569" ca="1" si="7">U568/T568-1</f>
        <v>6.1605206073752639E-2</v>
      </c>
      <c r="X568" s="8"/>
      <c r="Y568" s="8"/>
      <c r="Z568" s="8"/>
      <c r="AA568" s="8"/>
      <c r="AB568" s="8"/>
    </row>
    <row r="569" spans="1:28" ht="14.4">
      <c r="A569" s="3">
        <f>LOOKUP(D569,'AMFI DATA_2023H2'!F:L,'AMFI DATA_2023H2'!L:L)</f>
        <v>854</v>
      </c>
      <c r="B569" s="4" t="s">
        <v>2477</v>
      </c>
      <c r="C569" s="4" t="s">
        <v>2478</v>
      </c>
      <c r="D569" s="5" t="s">
        <v>2479</v>
      </c>
      <c r="E569" s="5">
        <v>1372.91</v>
      </c>
      <c r="F569" s="6">
        <f>LOOKUP(D569,'AMFI DATA_2023H2'!F:J,'AMFI DATA_2023H2'!J:J)</f>
        <v>2496.7896000000001</v>
      </c>
      <c r="G569" s="7">
        <f t="shared" si="5"/>
        <v>0.25280880695754249</v>
      </c>
      <c r="H569" s="8">
        <v>3128</v>
      </c>
      <c r="I569" s="8">
        <v>3137</v>
      </c>
      <c r="J569" s="8">
        <v>3166</v>
      </c>
      <c r="K569" s="8">
        <v>3215</v>
      </c>
      <c r="L569" s="8">
        <v>3251</v>
      </c>
      <c r="M569" s="8">
        <v>3193</v>
      </c>
      <c r="N569" s="8">
        <v>3041</v>
      </c>
      <c r="O569" s="8">
        <v>2909</v>
      </c>
      <c r="P569" s="8">
        <v>2907</v>
      </c>
      <c r="Q569" s="8">
        <v>2912</v>
      </c>
      <c r="R569" s="14">
        <f t="shared" si="6"/>
        <v>0.23594715389714849</v>
      </c>
      <c r="S569" s="8"/>
      <c r="T569" s="8">
        <v>820</v>
      </c>
      <c r="U569" s="15">
        <f ca="1">IFERROR(__xludf.DUMMYFUNCTION("GOOGLEFINANCE(C569,""PRICE"")"),855)</f>
        <v>855</v>
      </c>
      <c r="V569" s="13" t="s">
        <v>5787</v>
      </c>
      <c r="W569" s="7">
        <f t="shared" ca="1" si="7"/>
        <v>4.2682926829268331E-2</v>
      </c>
      <c r="X569" s="8"/>
      <c r="Y569" s="8"/>
      <c r="Z569" s="8"/>
      <c r="AA569" s="8"/>
      <c r="AB569" s="8"/>
    </row>
    <row r="570" spans="1:28" ht="14.4" hidden="1">
      <c r="A570" s="3">
        <f>LOOKUP(D570,'AMFI DATA_2023H2'!F:L,'AMFI DATA_2023H2'!L:L)</f>
        <v>1517</v>
      </c>
      <c r="B570" s="4" t="s">
        <v>3995</v>
      </c>
      <c r="C570" s="4" t="s">
        <v>3996</v>
      </c>
      <c r="D570" s="5" t="s">
        <v>3997</v>
      </c>
      <c r="E570" s="5">
        <v>387.92</v>
      </c>
      <c r="F570" s="6">
        <f>LOOKUP(D570,'AMFI DATA_2023H2'!F:J,'AMFI DATA_2023H2'!J:J)</f>
        <v>487.46994999999998</v>
      </c>
      <c r="G570" s="7">
        <f t="shared" si="5"/>
        <v>3.5961293614098722E-2</v>
      </c>
      <c r="H570" s="9">
        <v>505</v>
      </c>
      <c r="I570" s="9">
        <v>500</v>
      </c>
      <c r="J570" s="9">
        <v>502</v>
      </c>
      <c r="K570" s="9">
        <v>501</v>
      </c>
      <c r="L570" s="9">
        <v>499</v>
      </c>
      <c r="M570" s="9">
        <v>496</v>
      </c>
      <c r="N570" s="9">
        <v>492</v>
      </c>
      <c r="O570" s="9">
        <v>502</v>
      </c>
      <c r="P570" s="9">
        <v>490</v>
      </c>
      <c r="Q570" s="9">
        <v>491</v>
      </c>
      <c r="R570" s="7">
        <f t="shared" si="6"/>
        <v>2.1191152398214452E-2</v>
      </c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4.4" hidden="1">
      <c r="A571" s="3">
        <f>LOOKUP(D571,'AMFI DATA_2023H2'!F:L,'AMFI DATA_2023H2'!L:L)</f>
        <v>575</v>
      </c>
      <c r="B571" s="4" t="s">
        <v>1704</v>
      </c>
      <c r="C571" s="4" t="s">
        <v>1705</v>
      </c>
      <c r="D571" s="5" t="s">
        <v>1706</v>
      </c>
      <c r="E571" s="5">
        <v>2352.62</v>
      </c>
      <c r="F571" s="6">
        <f>LOOKUP(D571,'AMFI DATA_2023H2'!F:J,'AMFI DATA_2023H2'!J:J)</f>
        <v>5925.2635</v>
      </c>
      <c r="G571" s="7">
        <f t="shared" si="5"/>
        <v>0.16197364049716945</v>
      </c>
      <c r="H571" s="8">
        <v>6885</v>
      </c>
      <c r="I571" s="8">
        <v>6804</v>
      </c>
      <c r="J571" s="8">
        <v>6497</v>
      </c>
      <c r="K571" s="8">
        <v>6188</v>
      </c>
      <c r="L571" s="8">
        <v>6032</v>
      </c>
      <c r="M571" s="8">
        <v>5978</v>
      </c>
      <c r="N571" s="8">
        <v>5919</v>
      </c>
      <c r="O571" s="8">
        <v>6062</v>
      </c>
      <c r="P571" s="8">
        <v>5876</v>
      </c>
      <c r="Q571" s="8">
        <v>5958</v>
      </c>
      <c r="R571" s="7">
        <f t="shared" si="6"/>
        <v>4.9725467905351373E-2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4.4" hidden="1">
      <c r="A572" s="3">
        <f>LOOKUP(D572,'AMFI DATA_2023H2'!F:L,'AMFI DATA_2023H2'!L:L)</f>
        <v>1086</v>
      </c>
      <c r="B572" s="4" t="s">
        <v>3080</v>
      </c>
      <c r="C572" s="4" t="s">
        <v>3081</v>
      </c>
      <c r="D572" s="5" t="s">
        <v>3082</v>
      </c>
      <c r="E572" s="5">
        <v>1068.18</v>
      </c>
      <c r="F572" s="6">
        <f>LOOKUP(D572,'AMFI DATA_2023H2'!F:J,'AMFI DATA_2023H2'!J:J)</f>
        <v>1375.0419999999999</v>
      </c>
      <c r="G572" s="7">
        <f t="shared" si="5"/>
        <v>0.44141051691511968</v>
      </c>
      <c r="H572" s="8">
        <v>1982</v>
      </c>
      <c r="I572" s="8">
        <v>2010</v>
      </c>
      <c r="J572" s="8">
        <v>2001</v>
      </c>
      <c r="K572" s="8">
        <v>1888</v>
      </c>
      <c r="L572" s="8">
        <v>1913</v>
      </c>
      <c r="M572" s="8">
        <v>1872</v>
      </c>
      <c r="N572" s="8">
        <v>1866</v>
      </c>
      <c r="O572" s="8">
        <v>1957</v>
      </c>
      <c r="P572" s="8">
        <v>1903</v>
      </c>
      <c r="Q572" s="8">
        <v>1895</v>
      </c>
      <c r="R572" s="7">
        <f t="shared" si="6"/>
        <v>0.40264806456820956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4.4" hidden="1">
      <c r="A573" s="3">
        <f>LOOKUP(D573,'AMFI DATA_2023H2'!F:L,'AMFI DATA_2023H2'!L:L)</f>
        <v>1247</v>
      </c>
      <c r="B573" s="4" t="s">
        <v>3449</v>
      </c>
      <c r="C573" s="4" t="s">
        <v>3450</v>
      </c>
      <c r="D573" s="5" t="s">
        <v>3451</v>
      </c>
      <c r="E573" s="5">
        <v>640.83000000000004</v>
      </c>
      <c r="F573" s="6">
        <f>LOOKUP(D573,'AMFI DATA_2023H2'!F:J,'AMFI DATA_2023H2'!J:J)</f>
        <v>922.1231499999999</v>
      </c>
      <c r="G573" s="7">
        <f t="shared" si="5"/>
        <v>0.17988578857390158</v>
      </c>
      <c r="H573" s="8">
        <v>1088</v>
      </c>
      <c r="I573" s="8">
        <v>1102</v>
      </c>
      <c r="J573" s="8">
        <v>1096</v>
      </c>
      <c r="K573" s="8">
        <v>1069</v>
      </c>
      <c r="L573" s="8">
        <v>1070</v>
      </c>
      <c r="M573" s="8">
        <v>1065</v>
      </c>
      <c r="N573" s="8">
        <v>1070</v>
      </c>
      <c r="O573" s="8">
        <v>1083</v>
      </c>
      <c r="P573" s="8">
        <v>1116</v>
      </c>
      <c r="Q573" s="8">
        <v>1098</v>
      </c>
      <c r="R573" s="7">
        <f t="shared" si="6"/>
        <v>0.17739154471937968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4.4" hidden="1">
      <c r="A574" s="3">
        <f>LOOKUP(D574,'AMFI DATA_2023H2'!F:L,'AMFI DATA_2023H2'!L:L)</f>
        <v>598</v>
      </c>
      <c r="B574" s="4" t="s">
        <v>1764</v>
      </c>
      <c r="C574" s="4" t="s">
        <v>1765</v>
      </c>
      <c r="D574" s="5" t="s">
        <v>1766</v>
      </c>
      <c r="E574" s="5">
        <v>4753.45</v>
      </c>
      <c r="F574" s="6">
        <f>LOOKUP(D574,'AMFI DATA_2023H2'!F:J,'AMFI DATA_2023H2'!J:J)</f>
        <v>5405.5383999999995</v>
      </c>
      <c r="G574" s="7">
        <f t="shared" si="5"/>
        <v>6.945868703846414E-2</v>
      </c>
      <c r="H574" s="8">
        <v>5781</v>
      </c>
      <c r="I574" s="8">
        <v>5774</v>
      </c>
      <c r="J574" s="8">
        <v>5761</v>
      </c>
      <c r="K574" s="8">
        <v>5848</v>
      </c>
      <c r="L574" s="8">
        <v>5799</v>
      </c>
      <c r="M574" s="8">
        <v>5592</v>
      </c>
      <c r="N574" s="8">
        <v>5355</v>
      </c>
      <c r="O574" s="8">
        <v>5362</v>
      </c>
      <c r="P574" s="8">
        <v>5443</v>
      </c>
      <c r="Q574" s="8">
        <v>5397</v>
      </c>
      <c r="R574" s="7">
        <f t="shared" si="6"/>
        <v>3.8046459904900631E-2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4.4" hidden="1">
      <c r="A575" s="3">
        <f>LOOKUP(D575,'AMFI DATA_2023H2'!F:L,'AMFI DATA_2023H2'!L:L)</f>
        <v>1353</v>
      </c>
      <c r="B575" s="4" t="s">
        <v>3668</v>
      </c>
      <c r="C575" s="4" t="s">
        <v>3669</v>
      </c>
      <c r="D575" s="5" t="s">
        <v>3670</v>
      </c>
      <c r="E575" s="5">
        <v>632.79</v>
      </c>
      <c r="F575" s="6">
        <f>LOOKUP(D575,'AMFI DATA_2023H2'!F:J,'AMFI DATA_2023H2'!J:J)</f>
        <v>719.39705000000004</v>
      </c>
      <c r="G575" s="7">
        <f t="shared" si="5"/>
        <v>-3.6693297532982672E-2</v>
      </c>
      <c r="H575" s="9">
        <v>693</v>
      </c>
      <c r="I575" s="9">
        <v>692</v>
      </c>
      <c r="J575" s="9">
        <v>696</v>
      </c>
      <c r="K575" s="9">
        <v>690</v>
      </c>
      <c r="L575" s="9">
        <v>676</v>
      </c>
      <c r="M575" s="9">
        <v>663</v>
      </c>
      <c r="N575" s="9">
        <v>672</v>
      </c>
      <c r="O575" s="9">
        <v>662</v>
      </c>
      <c r="P575" s="9">
        <v>663</v>
      </c>
      <c r="Q575" s="9">
        <v>659</v>
      </c>
      <c r="R575" s="7">
        <f t="shared" si="6"/>
        <v>-5.9490166105073738E-2</v>
      </c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4.4" hidden="1">
      <c r="A576" s="3">
        <f>LOOKUP(D576,'AMFI DATA_2023H2'!F:L,'AMFI DATA_2023H2'!L:L)</f>
        <v>1194</v>
      </c>
      <c r="B576" s="4" t="s">
        <v>3332</v>
      </c>
      <c r="C576" s="4" t="s">
        <v>3333</v>
      </c>
      <c r="D576" s="5" t="s">
        <v>3334</v>
      </c>
      <c r="E576" s="5">
        <v>953.74</v>
      </c>
      <c r="F576" s="6">
        <f>LOOKUP(D576,'AMFI DATA_2023H2'!F:J,'AMFI DATA_2023H2'!J:J)</f>
        <v>1062.33275</v>
      </c>
      <c r="G576" s="7">
        <f t="shared" si="5"/>
        <v>0.12676560145585269</v>
      </c>
      <c r="H576" s="8">
        <v>1197</v>
      </c>
      <c r="I576" s="8">
        <v>1208</v>
      </c>
      <c r="J576" s="8">
        <v>1184</v>
      </c>
      <c r="K576" s="8">
        <v>1206</v>
      </c>
      <c r="L576" s="8">
        <v>1194</v>
      </c>
      <c r="M576" s="8">
        <v>1150</v>
      </c>
      <c r="N576" s="8">
        <v>1159</v>
      </c>
      <c r="O576" s="8">
        <v>1179</v>
      </c>
      <c r="P576" s="8">
        <v>1166</v>
      </c>
      <c r="Q576" s="8">
        <v>1160</v>
      </c>
      <c r="R576" s="7">
        <f t="shared" si="6"/>
        <v>0.11104547986494806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4.4" hidden="1">
      <c r="A577" s="3">
        <f>LOOKUP(D577,'AMFI DATA_2023H2'!F:L,'AMFI DATA_2023H2'!L:L)</f>
        <v>2000</v>
      </c>
      <c r="B577" s="4" t="s">
        <v>4742</v>
      </c>
      <c r="C577" s="4" t="s">
        <v>4743</v>
      </c>
      <c r="D577" s="5" t="s">
        <v>4744</v>
      </c>
      <c r="E577" s="5">
        <v>146.6</v>
      </c>
      <c r="F577" s="6">
        <f>LOOKUP(D577,'AMFI DATA_2023H2'!F:J,'AMFI DATA_2023H2'!J:J)</f>
        <v>188.78129999999999</v>
      </c>
      <c r="G577" s="7">
        <f t="shared" si="5"/>
        <v>0.25012382052671533</v>
      </c>
      <c r="H577" s="9">
        <v>236</v>
      </c>
      <c r="I577" s="9">
        <v>237</v>
      </c>
      <c r="J577" s="9">
        <v>236</v>
      </c>
      <c r="K577" s="9">
        <v>237</v>
      </c>
      <c r="L577" s="9">
        <v>244</v>
      </c>
      <c r="M577" s="9">
        <v>237</v>
      </c>
      <c r="N577" s="9">
        <v>241</v>
      </c>
      <c r="O577" s="9">
        <v>240</v>
      </c>
      <c r="P577" s="9">
        <v>237</v>
      </c>
      <c r="Q577" s="9">
        <v>245</v>
      </c>
      <c r="R577" s="7">
        <f t="shared" si="6"/>
        <v>0.26601522502493635</v>
      </c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4.4" hidden="1">
      <c r="A578" s="3">
        <f>LOOKUP(D578,'AMFI DATA_2023H2'!F:L,'AMFI DATA_2023H2'!L:L)</f>
        <v>272</v>
      </c>
      <c r="B578" s="4" t="s">
        <v>825</v>
      </c>
      <c r="C578" s="4" t="s">
        <v>826</v>
      </c>
      <c r="D578" s="5" t="s">
        <v>827</v>
      </c>
      <c r="E578" s="5">
        <v>15077.71</v>
      </c>
      <c r="F578" s="6">
        <f>LOOKUP(D578,'AMFI DATA_2023H2'!F:J,'AMFI DATA_2023H2'!J:J)</f>
        <v>19425.09965</v>
      </c>
      <c r="G578" s="7">
        <f t="shared" si="5"/>
        <v>0.11906761827087986</v>
      </c>
      <c r="H578" s="8">
        <v>21738</v>
      </c>
      <c r="I578" s="8">
        <v>21345</v>
      </c>
      <c r="J578" s="8">
        <v>21509</v>
      </c>
      <c r="K578" s="8">
        <v>21081</v>
      </c>
      <c r="L578" s="8">
        <v>21014</v>
      </c>
      <c r="M578" s="8">
        <v>21206</v>
      </c>
      <c r="N578" s="8">
        <v>21265</v>
      </c>
      <c r="O578" s="8">
        <v>19963</v>
      </c>
      <c r="P578" s="8">
        <v>19884</v>
      </c>
      <c r="Q578" s="8">
        <v>20013</v>
      </c>
      <c r="R578" s="7">
        <f t="shared" si="6"/>
        <v>7.6020220055859511E-2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4.4" hidden="1">
      <c r="A579" s="3">
        <f>LOOKUP(D579,'AMFI DATA_2023H2'!F:L,'AMFI DATA_2023H2'!L:L)</f>
        <v>1900</v>
      </c>
      <c r="B579" s="4" t="s">
        <v>4610</v>
      </c>
      <c r="C579" s="4" t="s">
        <v>4611</v>
      </c>
      <c r="D579" s="5" t="s">
        <v>4612</v>
      </c>
      <c r="E579" s="5">
        <v>199.73</v>
      </c>
      <c r="F579" s="6">
        <f>LOOKUP(D579,'AMFI DATA_2023H2'!F:J,'AMFI DATA_2023H2'!J:J)</f>
        <v>221.28530000000001</v>
      </c>
      <c r="G579" s="7">
        <f t="shared" si="5"/>
        <v>0.17495378138538786</v>
      </c>
      <c r="H579" s="9">
        <v>260</v>
      </c>
      <c r="I579" s="9">
        <v>248</v>
      </c>
      <c r="J579" s="9">
        <v>248</v>
      </c>
      <c r="K579" s="9">
        <v>247</v>
      </c>
      <c r="L579" s="9">
        <v>248</v>
      </c>
      <c r="M579" s="9">
        <v>250</v>
      </c>
      <c r="N579" s="9">
        <v>251</v>
      </c>
      <c r="O579" s="9">
        <v>254</v>
      </c>
      <c r="P579" s="9">
        <v>256</v>
      </c>
      <c r="Q579" s="9">
        <v>256</v>
      </c>
      <c r="R579" s="7">
        <f t="shared" si="6"/>
        <v>0.13789754674169497</v>
      </c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4.4" hidden="1">
      <c r="A580" s="3">
        <f>LOOKUP(D580,'AMFI DATA_2023H2'!F:L,'AMFI DATA_2023H2'!L:L)</f>
        <v>1340</v>
      </c>
      <c r="B580" s="4" t="s">
        <v>3647</v>
      </c>
      <c r="C580" s="4" t="s">
        <v>3648</v>
      </c>
      <c r="D580" s="5" t="s">
        <v>3649</v>
      </c>
      <c r="E580" s="5">
        <v>339.66</v>
      </c>
      <c r="F580" s="6">
        <f>LOOKUP(D580,'AMFI DATA_2023H2'!F:J,'AMFI DATA_2023H2'!J:J)</f>
        <v>736.38879999999995</v>
      </c>
      <c r="G580" s="7">
        <f t="shared" si="5"/>
        <v>0.25748789226560764</v>
      </c>
      <c r="H580" s="9">
        <v>926</v>
      </c>
      <c r="I580" s="9">
        <v>925</v>
      </c>
      <c r="J580" s="9">
        <v>910</v>
      </c>
      <c r="K580" s="9">
        <v>878</v>
      </c>
      <c r="L580" s="9">
        <v>883</v>
      </c>
      <c r="M580" s="9">
        <v>879</v>
      </c>
      <c r="N580" s="9">
        <v>891</v>
      </c>
      <c r="O580" s="9">
        <v>895</v>
      </c>
      <c r="P580" s="9">
        <v>884</v>
      </c>
      <c r="Q580" s="9">
        <v>871</v>
      </c>
      <c r="R580" s="7">
        <f t="shared" si="6"/>
        <v>0.21430418279039576</v>
      </c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4.4">
      <c r="A581" s="3">
        <f>LOOKUP(D581,'AMFI DATA_2023H2'!F:L,'AMFI DATA_2023H2'!L:L)</f>
        <v>222</v>
      </c>
      <c r="B581" s="4" t="s">
        <v>675</v>
      </c>
      <c r="C581" s="4" t="s">
        <v>676</v>
      </c>
      <c r="D581" s="5" t="s">
        <v>677</v>
      </c>
      <c r="E581" s="5">
        <v>20506.939999999999</v>
      </c>
      <c r="F581" s="6">
        <f>LOOKUP(D581,'AMFI DATA_2023H2'!F:J,'AMFI DATA_2023H2'!J:J)</f>
        <v>25908.835650000001</v>
      </c>
      <c r="G581" s="7">
        <f t="shared" si="5"/>
        <v>0.26362297566235871</v>
      </c>
      <c r="H581" s="8">
        <v>32739</v>
      </c>
      <c r="I581" s="8">
        <v>32534</v>
      </c>
      <c r="J581" s="8">
        <v>33423</v>
      </c>
      <c r="K581" s="8">
        <v>32561</v>
      </c>
      <c r="L581" s="8">
        <v>31392</v>
      </c>
      <c r="M581" s="8">
        <v>31639</v>
      </c>
      <c r="N581" s="8">
        <v>31857</v>
      </c>
      <c r="O581" s="8">
        <v>32078</v>
      </c>
      <c r="P581" s="8">
        <v>31127</v>
      </c>
      <c r="Q581" s="8">
        <v>30756</v>
      </c>
      <c r="R581" s="14">
        <f t="shared" si="6"/>
        <v>0.23550901447012729</v>
      </c>
      <c r="S581" s="8"/>
      <c r="T581" s="8">
        <v>1990</v>
      </c>
      <c r="U581" s="15">
        <f ca="1">IFERROR(__xludf.DUMMYFUNCTION("GOOGLEFINANCE(C581,""PRICE"")"),1940.2)</f>
        <v>1940.2</v>
      </c>
      <c r="V581" s="13" t="s">
        <v>5787</v>
      </c>
      <c r="W581" s="7">
        <f ca="1">U581/T581-1</f>
        <v>-2.5025125628140632E-2</v>
      </c>
      <c r="X581" s="8"/>
      <c r="Y581" s="8"/>
      <c r="Z581" s="8"/>
      <c r="AA581" s="8"/>
      <c r="AB581" s="8"/>
    </row>
    <row r="582" spans="1:28" ht="14.4" hidden="1">
      <c r="A582" s="3">
        <f>LOOKUP(D582,'AMFI DATA_2023H2'!F:L,'AMFI DATA_2023H2'!L:L)</f>
        <v>225</v>
      </c>
      <c r="B582" s="4" t="s">
        <v>684</v>
      </c>
      <c r="C582" s="4" t="s">
        <v>685</v>
      </c>
      <c r="D582" s="5" t="s">
        <v>686</v>
      </c>
      <c r="E582" s="5">
        <v>22053</v>
      </c>
      <c r="F582" s="6">
        <f>LOOKUP(D582,'AMFI DATA_2023H2'!F:J,'AMFI DATA_2023H2'!J:J)</f>
        <v>25689.722150000001</v>
      </c>
      <c r="G582" s="7">
        <f t="shared" si="5"/>
        <v>0.41297752416524269</v>
      </c>
      <c r="H582" s="8">
        <v>36299</v>
      </c>
      <c r="I582" s="8">
        <v>35408</v>
      </c>
      <c r="J582" s="8">
        <v>34997</v>
      </c>
      <c r="K582" s="8">
        <v>34722</v>
      </c>
      <c r="L582" s="8">
        <v>33022</v>
      </c>
      <c r="M582" s="8">
        <v>32143</v>
      </c>
      <c r="N582" s="8">
        <v>31317</v>
      </c>
      <c r="O582" s="8">
        <v>30685</v>
      </c>
      <c r="P582" s="8">
        <v>29908</v>
      </c>
      <c r="Q582" s="8">
        <v>29715</v>
      </c>
      <c r="R582" s="7">
        <f t="shared" si="6"/>
        <v>0.27761599788263958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4.4" hidden="1">
      <c r="A583" s="3">
        <f>LOOKUP(D583,'AMFI DATA_2023H2'!F:L,'AMFI DATA_2023H2'!L:L)</f>
        <v>484</v>
      </c>
      <c r="B583" s="4" t="s">
        <v>1437</v>
      </c>
      <c r="C583" s="4" t="s">
        <v>1438</v>
      </c>
      <c r="D583" s="5" t="s">
        <v>1439</v>
      </c>
      <c r="E583" s="5">
        <v>5574.9</v>
      </c>
      <c r="F583" s="6">
        <f>LOOKUP(D583,'AMFI DATA_2023H2'!F:J,'AMFI DATA_2023H2'!J:J)</f>
        <v>7702.6375000000007</v>
      </c>
      <c r="G583" s="7">
        <f t="shared" si="5"/>
        <v>0.10974974481143618</v>
      </c>
      <c r="H583" s="8">
        <v>8548</v>
      </c>
      <c r="I583" s="8">
        <v>8889</v>
      </c>
      <c r="J583" s="8">
        <v>8951</v>
      </c>
      <c r="K583" s="8">
        <v>8751</v>
      </c>
      <c r="L583" s="8">
        <v>8036</v>
      </c>
      <c r="M583" s="8">
        <v>8040</v>
      </c>
      <c r="N583" s="8">
        <v>8030</v>
      </c>
      <c r="O583" s="8">
        <v>8087</v>
      </c>
      <c r="P583" s="8">
        <v>8027</v>
      </c>
      <c r="Q583" s="8">
        <v>7907</v>
      </c>
      <c r="R583" s="7">
        <f t="shared" si="6"/>
        <v>8.1006343606329523E-2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4.4" hidden="1">
      <c r="A584" s="3">
        <f>LOOKUP(D584,'AMFI DATA_2023H2'!F:L,'AMFI DATA_2023H2'!L:L)</f>
        <v>250</v>
      </c>
      <c r="B584" s="4" t="s">
        <v>756</v>
      </c>
      <c r="C584" s="4" t="s">
        <v>757</v>
      </c>
      <c r="D584" s="5" t="s">
        <v>758</v>
      </c>
      <c r="E584" s="5">
        <v>14149.37</v>
      </c>
      <c r="F584" s="6">
        <f>LOOKUP(D584,'AMFI DATA_2023H2'!F:J,'AMFI DATA_2023H2'!J:J)</f>
        <v>21994.005649999999</v>
      </c>
      <c r="G584" s="7">
        <f t="shared" si="5"/>
        <v>0.14617593544175533</v>
      </c>
      <c r="H584" s="8">
        <v>25209</v>
      </c>
      <c r="I584" s="8">
        <v>25350</v>
      </c>
      <c r="J584" s="8">
        <v>25325</v>
      </c>
      <c r="K584" s="8">
        <v>25080</v>
      </c>
      <c r="L584" s="8">
        <v>24020</v>
      </c>
      <c r="M584" s="8">
        <v>24097</v>
      </c>
      <c r="N584" s="8">
        <v>24147</v>
      </c>
      <c r="O584" s="8">
        <v>23925</v>
      </c>
      <c r="P584" s="8">
        <v>23836</v>
      </c>
      <c r="Q584" s="8">
        <v>23682</v>
      </c>
      <c r="R584" s="7">
        <f t="shared" si="6"/>
        <v>0.11244401721793684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4.4" hidden="1">
      <c r="A585" s="3">
        <f>LOOKUP(D585,'AMFI DATA_2023H2'!F:L,'AMFI DATA_2023H2'!L:L)</f>
        <v>1571</v>
      </c>
      <c r="B585" s="4" t="s">
        <v>4100</v>
      </c>
      <c r="C585" s="4" t="s">
        <v>4101</v>
      </c>
      <c r="D585" s="5" t="s">
        <v>4102</v>
      </c>
      <c r="E585" s="5">
        <v>393.14</v>
      </c>
      <c r="F585" s="6">
        <f>LOOKUP(D585,'AMFI DATA_2023H2'!F:J,'AMFI DATA_2023H2'!J:J)</f>
        <v>436.74880000000002</v>
      </c>
      <c r="G585" s="7">
        <f t="shared" si="5"/>
        <v>0.47911110459834116</v>
      </c>
      <c r="H585" s="9">
        <v>646</v>
      </c>
      <c r="I585" s="9">
        <v>647</v>
      </c>
      <c r="J585" s="9">
        <v>659</v>
      </c>
      <c r="K585" s="9">
        <v>648</v>
      </c>
      <c r="L585" s="9">
        <v>604</v>
      </c>
      <c r="M585" s="9">
        <v>611</v>
      </c>
      <c r="N585" s="9">
        <v>624</v>
      </c>
      <c r="O585" s="9">
        <v>625</v>
      </c>
      <c r="P585" s="9">
        <v>633</v>
      </c>
      <c r="Q585" s="9">
        <v>629</v>
      </c>
      <c r="R585" s="7">
        <f t="shared" si="6"/>
        <v>0.44842985258345291</v>
      </c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4.4">
      <c r="A586" s="3">
        <f>LOOKUP(D586,'AMFI DATA_2023H2'!F:L,'AMFI DATA_2023H2'!L:L)</f>
        <v>259</v>
      </c>
      <c r="B586" s="4" t="s">
        <v>786</v>
      </c>
      <c r="C586" s="4" t="s">
        <v>787</v>
      </c>
      <c r="D586" s="5" t="s">
        <v>788</v>
      </c>
      <c r="E586" s="5">
        <v>13908.46</v>
      </c>
      <c r="F586" s="6">
        <f>LOOKUP(D586,'AMFI DATA_2023H2'!F:J,'AMFI DATA_2023H2'!J:J)</f>
        <v>20881.85455</v>
      </c>
      <c r="G586" s="7">
        <f t="shared" si="5"/>
        <v>0.29959721417559626</v>
      </c>
      <c r="H586" s="8">
        <v>27138</v>
      </c>
      <c r="I586" s="8">
        <v>26581</v>
      </c>
      <c r="J586" s="8">
        <v>25725</v>
      </c>
      <c r="K586" s="8">
        <v>25263</v>
      </c>
      <c r="L586" s="8">
        <v>25540</v>
      </c>
      <c r="M586" s="8">
        <v>25656</v>
      </c>
      <c r="N586" s="8">
        <v>25976</v>
      </c>
      <c r="O586" s="8">
        <v>25537</v>
      </c>
      <c r="P586" s="8">
        <v>25888</v>
      </c>
      <c r="Q586" s="8">
        <v>26141</v>
      </c>
      <c r="R586" s="14">
        <f t="shared" si="6"/>
        <v>0.24244232895492512</v>
      </c>
      <c r="S586" s="8"/>
      <c r="T586" s="8">
        <v>999</v>
      </c>
      <c r="U586" s="15">
        <f ca="1">IFERROR(__xludf.DUMMYFUNCTION("GOOGLEFINANCE(C586,""PRICE"")"),1082.55)</f>
        <v>1082.55</v>
      </c>
      <c r="V586" s="13" t="s">
        <v>5787</v>
      </c>
      <c r="W586" s="7">
        <f ca="1">U586/T586-1</f>
        <v>8.3633633633633631E-2</v>
      </c>
      <c r="X586" s="8"/>
      <c r="Y586" s="8"/>
      <c r="Z586" s="8"/>
      <c r="AA586" s="8"/>
      <c r="AB586" s="8"/>
    </row>
    <row r="587" spans="1:28" ht="14.4" hidden="1">
      <c r="A587" s="3">
        <f>LOOKUP(D587,'AMFI DATA_2023H2'!F:L,'AMFI DATA_2023H2'!L:L)</f>
        <v>1291</v>
      </c>
      <c r="B587" s="4" t="s">
        <v>3548</v>
      </c>
      <c r="C587" s="4" t="s">
        <v>3549</v>
      </c>
      <c r="D587" s="5" t="s">
        <v>3550</v>
      </c>
      <c r="E587" s="5">
        <v>843.08</v>
      </c>
      <c r="F587" s="6">
        <f>LOOKUP(D587,'AMFI DATA_2023H2'!F:J,'AMFI DATA_2023H2'!J:J)</f>
        <v>822.23085000000003</v>
      </c>
      <c r="G587" s="7">
        <f t="shared" si="5"/>
        <v>1.4313680884145752E-2</v>
      </c>
      <c r="H587" s="9">
        <v>834</v>
      </c>
      <c r="I587" s="9">
        <v>858</v>
      </c>
      <c r="J587" s="9">
        <v>856</v>
      </c>
      <c r="K587" s="9">
        <v>841</v>
      </c>
      <c r="L587" s="9">
        <v>785</v>
      </c>
      <c r="M587" s="9">
        <v>763</v>
      </c>
      <c r="N587" s="9">
        <v>764</v>
      </c>
      <c r="O587" s="9">
        <v>778</v>
      </c>
      <c r="P587" s="9">
        <v>770</v>
      </c>
      <c r="Q587" s="9">
        <v>771</v>
      </c>
      <c r="R587" s="7">
        <f t="shared" si="6"/>
        <v>-2.4604829653375404E-2</v>
      </c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4.4" hidden="1">
      <c r="A588" s="3">
        <f>LOOKUP(D588,'AMFI DATA_2023H2'!F:L,'AMFI DATA_2023H2'!L:L)</f>
        <v>2248</v>
      </c>
      <c r="B588" s="4" t="s">
        <v>5069</v>
      </c>
      <c r="C588" s="4" t="s">
        <v>5070</v>
      </c>
      <c r="D588" s="5" t="s">
        <v>5071</v>
      </c>
      <c r="E588" s="5">
        <v>80.23</v>
      </c>
      <c r="F588" s="6">
        <f>LOOKUP(D588,'AMFI DATA_2023H2'!F:J,'AMFI DATA_2023H2'!J:J)</f>
        <v>122.08414999999999</v>
      </c>
      <c r="G588" s="7">
        <f t="shared" si="5"/>
        <v>0.63821429726954726</v>
      </c>
      <c r="H588" s="9">
        <v>200</v>
      </c>
      <c r="I588" s="9">
        <v>186</v>
      </c>
      <c r="J588" s="9">
        <v>183</v>
      </c>
      <c r="K588" s="9">
        <v>181</v>
      </c>
      <c r="L588" s="9">
        <v>181</v>
      </c>
      <c r="M588" s="9">
        <v>183</v>
      </c>
      <c r="N588" s="9">
        <v>175</v>
      </c>
      <c r="O588" s="9">
        <v>186</v>
      </c>
      <c r="P588" s="9">
        <v>157</v>
      </c>
      <c r="Q588" s="9">
        <v>150</v>
      </c>
      <c r="R588" s="7">
        <f t="shared" si="6"/>
        <v>0.45964893886716651</v>
      </c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4.4" hidden="1">
      <c r="A589" s="3">
        <f>LOOKUP(D589,'AMFI DATA_2023H2'!F:L,'AMFI DATA_2023H2'!L:L)</f>
        <v>2739</v>
      </c>
      <c r="B589" s="4" t="s">
        <v>5443</v>
      </c>
      <c r="C589" s="4" t="s">
        <v>5444</v>
      </c>
      <c r="D589" s="5" t="s">
        <v>5445</v>
      </c>
      <c r="E589" s="5">
        <v>49.94</v>
      </c>
      <c r="F589" s="6">
        <f>LOOKUP(D589,'AMFI DATA_2023H2'!F:J,'AMFI DATA_2023H2'!J:J)</f>
        <v>55.7761</v>
      </c>
      <c r="G589" s="7">
        <f t="shared" si="5"/>
        <v>0.20660999962349469</v>
      </c>
      <c r="H589" s="9">
        <v>67.3</v>
      </c>
      <c r="I589" s="9">
        <v>64.2</v>
      </c>
      <c r="J589" s="9">
        <v>61.2</v>
      </c>
      <c r="K589" s="9">
        <v>58.9</v>
      </c>
      <c r="L589" s="9">
        <v>59.7</v>
      </c>
      <c r="M589" s="9">
        <v>59.7</v>
      </c>
      <c r="N589" s="9">
        <v>59</v>
      </c>
      <c r="O589" s="9">
        <v>59.7</v>
      </c>
      <c r="P589" s="9">
        <v>59.7</v>
      </c>
      <c r="Q589" s="9">
        <v>58.2</v>
      </c>
      <c r="R589" s="7">
        <f t="shared" si="6"/>
        <v>8.9355476628878883E-2</v>
      </c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4.4" hidden="1">
      <c r="A590" s="3">
        <f>LOOKUP(D590,'AMFI DATA_2023H2'!F:L,'AMFI DATA_2023H2'!L:L)</f>
        <v>824</v>
      </c>
      <c r="B590" s="4" t="s">
        <v>2393</v>
      </c>
      <c r="C590" s="4" t="s">
        <v>2394</v>
      </c>
      <c r="D590" s="5" t="s">
        <v>2395</v>
      </c>
      <c r="E590" s="5">
        <v>2615.29</v>
      </c>
      <c r="F590" s="6">
        <f>LOOKUP(D590,'AMFI DATA_2023H2'!F:J,'AMFI DATA_2023H2'!J:J)</f>
        <v>2685.1013499999999</v>
      </c>
      <c r="G590" s="7">
        <f t="shared" si="5"/>
        <v>-5.5901558427207898E-2</v>
      </c>
      <c r="H590" s="8">
        <v>2535</v>
      </c>
      <c r="I590" s="8">
        <v>2515</v>
      </c>
      <c r="J590" s="8">
        <v>2539</v>
      </c>
      <c r="K590" s="8">
        <v>2523</v>
      </c>
      <c r="L590" s="8">
        <v>2535</v>
      </c>
      <c r="M590" s="8">
        <v>2520</v>
      </c>
      <c r="N590" s="8">
        <v>2480</v>
      </c>
      <c r="O590" s="8">
        <v>2496</v>
      </c>
      <c r="P590" s="8">
        <v>2492</v>
      </c>
      <c r="Q590" s="8">
        <v>2457</v>
      </c>
      <c r="R590" s="7">
        <f t="shared" si="6"/>
        <v>-6.5510134282268373E-2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4.4" hidden="1">
      <c r="A591" s="3">
        <f>LOOKUP(D591,'AMFI DATA_2023H2'!F:L,'AMFI DATA_2023H2'!L:L)</f>
        <v>1151</v>
      </c>
      <c r="B591" s="4" t="s">
        <v>3230</v>
      </c>
      <c r="C591" s="4" t="s">
        <v>3231</v>
      </c>
      <c r="D591" s="5" t="s">
        <v>3232</v>
      </c>
      <c r="E591" s="5">
        <v>1045.67</v>
      </c>
      <c r="F591" s="6">
        <f>LOOKUP(D591,'AMFI DATA_2023H2'!F:J,'AMFI DATA_2023H2'!J:J)</f>
        <v>1184.7961500000001</v>
      </c>
      <c r="G591" s="7">
        <f t="shared" si="5"/>
        <v>4.40614615434054E-2</v>
      </c>
      <c r="H591" s="8">
        <v>1237</v>
      </c>
      <c r="I591" s="8">
        <v>1238</v>
      </c>
      <c r="J591" s="8">
        <v>1292</v>
      </c>
      <c r="K591" s="8">
        <v>1297</v>
      </c>
      <c r="L591" s="8">
        <v>1314</v>
      </c>
      <c r="M591" s="8">
        <v>1293</v>
      </c>
      <c r="N591" s="8">
        <v>1282</v>
      </c>
      <c r="O591" s="8">
        <v>1284</v>
      </c>
      <c r="P591" s="8">
        <v>1282</v>
      </c>
      <c r="Q591" s="8">
        <v>1246</v>
      </c>
      <c r="R591" s="7">
        <f t="shared" si="6"/>
        <v>7.7400530040547366E-2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4.4" hidden="1">
      <c r="A592" s="3">
        <f>LOOKUP(D592,'AMFI DATA_2023H2'!F:L,'AMFI DATA_2023H2'!L:L)</f>
        <v>502</v>
      </c>
      <c r="B592" s="4" t="s">
        <v>1491</v>
      </c>
      <c r="C592" s="4" t="s">
        <v>1492</v>
      </c>
      <c r="D592" s="5" t="s">
        <v>1493</v>
      </c>
      <c r="E592" s="5">
        <v>6826.55</v>
      </c>
      <c r="F592" s="6">
        <f>LOOKUP(D592,'AMFI DATA_2023H2'!F:J,'AMFI DATA_2023H2'!J:J)</f>
        <v>7285.5272500000001</v>
      </c>
      <c r="G592" s="7">
        <f t="shared" si="5"/>
        <v>-2.4641627687275514E-2</v>
      </c>
      <c r="H592" s="8">
        <v>7106</v>
      </c>
      <c r="I592" s="8">
        <v>6985</v>
      </c>
      <c r="J592" s="8">
        <v>7014</v>
      </c>
      <c r="K592" s="8">
        <v>7193</v>
      </c>
      <c r="L592" s="8">
        <v>7162</v>
      </c>
      <c r="M592" s="8">
        <v>7245</v>
      </c>
      <c r="N592" s="8">
        <v>7362</v>
      </c>
      <c r="O592" s="8">
        <v>7136</v>
      </c>
      <c r="P592" s="8">
        <v>7151</v>
      </c>
      <c r="Q592" s="8">
        <v>7146</v>
      </c>
      <c r="R592" s="7">
        <f t="shared" si="6"/>
        <v>-1.8602256960880914E-2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4.4" hidden="1">
      <c r="A593" s="3">
        <f>LOOKUP(D593,'AMFI DATA_2023H2'!F:L,'AMFI DATA_2023H2'!L:L)</f>
        <v>176</v>
      </c>
      <c r="B593" s="4" t="s">
        <v>537</v>
      </c>
      <c r="C593" s="4" t="s">
        <v>538</v>
      </c>
      <c r="D593" s="5" t="s">
        <v>539</v>
      </c>
      <c r="E593" s="5">
        <v>25068.89</v>
      </c>
      <c r="F593" s="6">
        <f>LOOKUP(D593,'AMFI DATA_2023H2'!F:J,'AMFI DATA_2023H2'!J:J)</f>
        <v>35004.977850000003</v>
      </c>
      <c r="G593" s="7">
        <f t="shared" si="5"/>
        <v>0.44687993282075444</v>
      </c>
      <c r="H593" s="8">
        <v>50648</v>
      </c>
      <c r="I593" s="8">
        <v>50974</v>
      </c>
      <c r="J593" s="8">
        <v>49398</v>
      </c>
      <c r="K593" s="8">
        <v>48070</v>
      </c>
      <c r="L593" s="8">
        <v>48457</v>
      </c>
      <c r="M593" s="8">
        <v>48662</v>
      </c>
      <c r="N593" s="8">
        <v>46054</v>
      </c>
      <c r="O593" s="8">
        <v>44256</v>
      </c>
      <c r="P593" s="8">
        <v>44636</v>
      </c>
      <c r="Q593" s="8">
        <v>45058</v>
      </c>
      <c r="R593" s="7">
        <f t="shared" si="6"/>
        <v>0.36041508736449601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4.4" hidden="1">
      <c r="A594" s="3">
        <f>LOOKUP(D594,'AMFI DATA_2023H2'!F:L,'AMFI DATA_2023H2'!L:L)</f>
        <v>939</v>
      </c>
      <c r="B594" s="4" t="s">
        <v>2708</v>
      </c>
      <c r="C594" s="4" t="s">
        <v>2709</v>
      </c>
      <c r="D594" s="5" t="s">
        <v>2710</v>
      </c>
      <c r="E594" s="5">
        <v>1115.48</v>
      </c>
      <c r="F594" s="6">
        <f>LOOKUP(D594,'AMFI DATA_2023H2'!F:J,'AMFI DATA_2023H2'!J:J)</f>
        <v>2008.67985</v>
      </c>
      <c r="G594" s="7">
        <f t="shared" si="5"/>
        <v>0.63490463649545736</v>
      </c>
      <c r="H594" s="8">
        <v>3284</v>
      </c>
      <c r="I594" s="8">
        <v>3359</v>
      </c>
      <c r="J594" s="8">
        <v>3221</v>
      </c>
      <c r="K594" s="8">
        <v>3235</v>
      </c>
      <c r="L594" s="8">
        <v>3282</v>
      </c>
      <c r="M594" s="8">
        <v>3395</v>
      </c>
      <c r="N594" s="8">
        <v>3306</v>
      </c>
      <c r="O594" s="8">
        <v>3217</v>
      </c>
      <c r="P594" s="8">
        <v>3161</v>
      </c>
      <c r="Q594" s="8">
        <v>3196</v>
      </c>
      <c r="R594" s="7">
        <f t="shared" si="6"/>
        <v>0.62574439127270587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4.4" hidden="1">
      <c r="A595" s="3">
        <f>LOOKUP(D595,'AMFI DATA_2023H2'!F:L,'AMFI DATA_2023H2'!L:L)</f>
        <v>945</v>
      </c>
      <c r="B595" s="4" t="s">
        <v>2726</v>
      </c>
      <c r="C595" s="4" t="s">
        <v>2727</v>
      </c>
      <c r="D595" s="5" t="s">
        <v>2728</v>
      </c>
      <c r="E595" s="5">
        <v>1724.79</v>
      </c>
      <c r="F595" s="6">
        <f>LOOKUP(D595,'AMFI DATA_2023H2'!F:J,'AMFI DATA_2023H2'!J:J)</f>
        <v>1977.09755</v>
      </c>
      <c r="G595" s="7">
        <f t="shared" si="5"/>
        <v>-2.7867896553713245E-2</v>
      </c>
      <c r="H595" s="8">
        <v>1922</v>
      </c>
      <c r="I595" s="8">
        <v>1918</v>
      </c>
      <c r="J595" s="8">
        <v>1901</v>
      </c>
      <c r="K595" s="8">
        <v>1925</v>
      </c>
      <c r="L595" s="8">
        <v>1923</v>
      </c>
      <c r="M595" s="8">
        <v>1914</v>
      </c>
      <c r="N595" s="8">
        <v>1919</v>
      </c>
      <c r="O595" s="8">
        <v>1887</v>
      </c>
      <c r="P595" s="8">
        <v>1824</v>
      </c>
      <c r="Q595" s="8">
        <v>1825</v>
      </c>
      <c r="R595" s="7">
        <f t="shared" si="6"/>
        <v>-4.1119645310369268E-2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4.4" hidden="1">
      <c r="A596" s="3">
        <f>LOOKUP(D596,'AMFI DATA_2023H2'!F:L,'AMFI DATA_2023H2'!L:L)</f>
        <v>530</v>
      </c>
      <c r="B596" s="4" t="s">
        <v>1569</v>
      </c>
      <c r="C596" s="4" t="s">
        <v>1570</v>
      </c>
      <c r="D596" s="5" t="s">
        <v>1571</v>
      </c>
      <c r="E596" s="5">
        <v>5746.6</v>
      </c>
      <c r="F596" s="6">
        <f>LOOKUP(D596,'AMFI DATA_2023H2'!F:J,'AMFI DATA_2023H2'!J:J)</f>
        <v>6811.8063999999995</v>
      </c>
      <c r="G596" s="7">
        <f t="shared" si="5"/>
        <v>-2.5809071731692113E-2</v>
      </c>
      <c r="H596" s="8">
        <v>6636</v>
      </c>
      <c r="I596" s="8">
        <v>6614</v>
      </c>
      <c r="J596" s="8">
        <v>6573</v>
      </c>
      <c r="K596" s="8">
        <v>6600</v>
      </c>
      <c r="L596" s="8">
        <v>6600</v>
      </c>
      <c r="M596" s="8">
        <v>6691</v>
      </c>
      <c r="N596" s="8">
        <v>6994</v>
      </c>
      <c r="O596" s="8">
        <v>6906</v>
      </c>
      <c r="P596" s="8">
        <v>6921</v>
      </c>
      <c r="Q596" s="8">
        <v>6932</v>
      </c>
      <c r="R596" s="7">
        <f t="shared" si="6"/>
        <v>-9.5578758668184438E-3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4.4" hidden="1">
      <c r="A597" s="3">
        <f>LOOKUP(D597,'AMFI DATA_2023H2'!F:L,'AMFI DATA_2023H2'!L:L)</f>
        <v>1514</v>
      </c>
      <c r="B597" s="4" t="s">
        <v>3989</v>
      </c>
      <c r="C597" s="4" t="s">
        <v>3990</v>
      </c>
      <c r="D597" s="5" t="s">
        <v>3991</v>
      </c>
      <c r="E597" s="5">
        <v>452.44</v>
      </c>
      <c r="F597" s="6">
        <f>LOOKUP(D597,'AMFI DATA_2023H2'!F:J,'AMFI DATA_2023H2'!J:J)</f>
        <v>490.21204999999998</v>
      </c>
      <c r="G597" s="7">
        <f t="shared" si="5"/>
        <v>6.4845305210265769E-2</v>
      </c>
      <c r="H597" s="9">
        <v>522</v>
      </c>
      <c r="I597" s="9">
        <v>522</v>
      </c>
      <c r="J597" s="9">
        <v>526</v>
      </c>
      <c r="K597" s="9">
        <v>519</v>
      </c>
      <c r="L597" s="9">
        <v>524</v>
      </c>
      <c r="M597" s="9">
        <v>524</v>
      </c>
      <c r="N597" s="9">
        <v>530</v>
      </c>
      <c r="O597" s="9">
        <v>522</v>
      </c>
      <c r="P597" s="9">
        <v>515</v>
      </c>
      <c r="Q597" s="9">
        <v>510</v>
      </c>
      <c r="R597" s="7">
        <f t="shared" si="6"/>
        <v>6.3621345089334369E-2</v>
      </c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4.4" hidden="1">
      <c r="A598" s="3">
        <f>LOOKUP(D598,'AMFI DATA_2023H2'!F:L,'AMFI DATA_2023H2'!L:L)</f>
        <v>873</v>
      </c>
      <c r="B598" s="4" t="s">
        <v>2531</v>
      </c>
      <c r="C598" s="4" t="s">
        <v>2532</v>
      </c>
      <c r="D598" s="5" t="s">
        <v>2533</v>
      </c>
      <c r="E598" s="5">
        <v>1611.94</v>
      </c>
      <c r="F598" s="6">
        <f>LOOKUP(D598,'AMFI DATA_2023H2'!F:J,'AMFI DATA_2023H2'!J:J)</f>
        <v>2359.1713500000001</v>
      </c>
      <c r="G598" s="7">
        <f t="shared" si="5"/>
        <v>4.8249420289034894E-2</v>
      </c>
      <c r="H598" s="8">
        <v>2473</v>
      </c>
      <c r="I598" s="8">
        <v>2462</v>
      </c>
      <c r="J598" s="8">
        <v>2509</v>
      </c>
      <c r="K598" s="8">
        <v>2564</v>
      </c>
      <c r="L598" s="8">
        <v>2573</v>
      </c>
      <c r="M598" s="8">
        <v>2567</v>
      </c>
      <c r="N598" s="8">
        <v>2536</v>
      </c>
      <c r="O598" s="8">
        <v>2544</v>
      </c>
      <c r="P598" s="8">
        <v>2542</v>
      </c>
      <c r="Q598" s="8">
        <v>2580</v>
      </c>
      <c r="R598" s="7">
        <f t="shared" si="6"/>
        <v>7.4529834384433391E-2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4.4">
      <c r="A599" s="3">
        <f>LOOKUP(D599,'AMFI DATA_2023H2'!F:L,'AMFI DATA_2023H2'!L:L)</f>
        <v>456</v>
      </c>
      <c r="B599" s="4" t="s">
        <v>1359</v>
      </c>
      <c r="C599" s="4" t="s">
        <v>1360</v>
      </c>
      <c r="D599" s="5" t="s">
        <v>1361</v>
      </c>
      <c r="E599" s="5">
        <v>5430.29</v>
      </c>
      <c r="F599" s="6">
        <f>LOOKUP(D599,'AMFI DATA_2023H2'!F:J,'AMFI DATA_2023H2'!J:J)</f>
        <v>8517.0420999999988</v>
      </c>
      <c r="G599" s="7">
        <f t="shared" si="5"/>
        <v>0.21521061871937919</v>
      </c>
      <c r="H599" s="8">
        <v>10350</v>
      </c>
      <c r="I599" s="8">
        <v>10688</v>
      </c>
      <c r="J599" s="8">
        <v>10622</v>
      </c>
      <c r="K599" s="8">
        <v>10659</v>
      </c>
      <c r="L599" s="8">
        <v>10476</v>
      </c>
      <c r="M599" s="8">
        <v>10332</v>
      </c>
      <c r="N599" s="8">
        <v>10145</v>
      </c>
      <c r="O599" s="8">
        <v>9940</v>
      </c>
      <c r="P599" s="8">
        <v>10014</v>
      </c>
      <c r="Q599" s="8">
        <v>9645</v>
      </c>
      <c r="R599" s="14">
        <f t="shared" si="6"/>
        <v>0.20782542568387696</v>
      </c>
      <c r="S599" s="8"/>
      <c r="T599" s="8">
        <v>745.05</v>
      </c>
      <c r="U599" s="15">
        <f ca="1">IFERROR(__xludf.DUMMYFUNCTION("GOOGLEFINANCE(C599,""PRICE"")"),742)</f>
        <v>742</v>
      </c>
      <c r="V599" s="13" t="s">
        <v>5787</v>
      </c>
      <c r="W599" s="7">
        <f ca="1">U599/T599-1</f>
        <v>-4.093684987584667E-3</v>
      </c>
      <c r="X599" s="8"/>
      <c r="Y599" s="8"/>
      <c r="Z599" s="8"/>
      <c r="AA599" s="8"/>
      <c r="AB599" s="8"/>
    </row>
    <row r="600" spans="1:28" ht="14.4" hidden="1">
      <c r="A600" s="3">
        <f>LOOKUP(D600,'AMFI DATA_2023H2'!F:L,'AMFI DATA_2023H2'!L:L)</f>
        <v>392</v>
      </c>
      <c r="B600" s="4" t="s">
        <v>1182</v>
      </c>
      <c r="C600" s="4" t="s">
        <v>1183</v>
      </c>
      <c r="D600" s="5" t="s">
        <v>1184</v>
      </c>
      <c r="E600" s="5">
        <v>9351.06</v>
      </c>
      <c r="F600" s="6">
        <f>LOOKUP(D600,'AMFI DATA_2023H2'!F:J,'AMFI DATA_2023H2'!J:J)</f>
        <v>10671.51575</v>
      </c>
      <c r="G600" s="7">
        <f t="shared" si="5"/>
        <v>8.1664523617462681E-2</v>
      </c>
      <c r="H600" s="8">
        <v>11543</v>
      </c>
      <c r="I600" s="8">
        <v>11310</v>
      </c>
      <c r="J600" s="8">
        <v>11297</v>
      </c>
      <c r="K600" s="8">
        <v>11207</v>
      </c>
      <c r="L600" s="8">
        <v>10857</v>
      </c>
      <c r="M600" s="8">
        <v>10976</v>
      </c>
      <c r="N600" s="8">
        <v>10862</v>
      </c>
      <c r="O600" s="8">
        <v>10901</v>
      </c>
      <c r="P600" s="8">
        <v>10982</v>
      </c>
      <c r="Q600" s="8">
        <v>10909</v>
      </c>
      <c r="R600" s="7">
        <f t="shared" si="6"/>
        <v>3.8690309762228425E-2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4.4" hidden="1">
      <c r="A601" s="3">
        <f>LOOKUP(D601,'AMFI DATA_2023H2'!F:L,'AMFI DATA_2023H2'!L:L)</f>
        <v>2736</v>
      </c>
      <c r="B601" s="4" t="s">
        <v>5440</v>
      </c>
      <c r="C601" s="4" t="s">
        <v>5441</v>
      </c>
      <c r="D601" s="5" t="s">
        <v>5442</v>
      </c>
      <c r="E601" s="5">
        <v>47.68</v>
      </c>
      <c r="F601" s="6">
        <f>LOOKUP(D601,'AMFI DATA_2023H2'!F:J,'AMFI DATA_2023H2'!J:J)</f>
        <v>55.905099999999997</v>
      </c>
      <c r="G601" s="7">
        <f t="shared" si="5"/>
        <v>-0.22547316792206795</v>
      </c>
      <c r="H601" s="9">
        <v>43.3</v>
      </c>
      <c r="I601" s="9">
        <v>46.6</v>
      </c>
      <c r="J601" s="9">
        <v>46.6</v>
      </c>
      <c r="K601" s="9">
        <v>46.6</v>
      </c>
      <c r="L601" s="9">
        <v>43.3</v>
      </c>
      <c r="M601" s="9">
        <v>43.3</v>
      </c>
      <c r="N601" s="9">
        <v>46.6</v>
      </c>
      <c r="O601" s="9">
        <v>43.3</v>
      </c>
      <c r="P601" s="9">
        <v>40</v>
      </c>
      <c r="Q601" s="9">
        <v>36.6</v>
      </c>
      <c r="R601" s="7">
        <f t="shared" si="6"/>
        <v>-0.21974918209608774</v>
      </c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4.4" hidden="1">
      <c r="A602" s="3">
        <f>LOOKUP(D602,'AMFI DATA_2023H2'!F:L,'AMFI DATA_2023H2'!L:L)</f>
        <v>430</v>
      </c>
      <c r="B602" s="4" t="s">
        <v>1284</v>
      </c>
      <c r="C602" s="4" t="s">
        <v>1285</v>
      </c>
      <c r="D602" s="5" t="s">
        <v>1286</v>
      </c>
      <c r="E602" s="5">
        <v>8449.92</v>
      </c>
      <c r="F602" s="6">
        <f>LOOKUP(D602,'AMFI DATA_2023H2'!F:J,'AMFI DATA_2023H2'!J:J)</f>
        <v>9423.8328000000001</v>
      </c>
      <c r="G602" s="7">
        <f t="shared" si="5"/>
        <v>0.14985062128861193</v>
      </c>
      <c r="H602" s="8">
        <v>10836</v>
      </c>
      <c r="I602" s="8">
        <v>10933</v>
      </c>
      <c r="J602" s="8">
        <v>10776</v>
      </c>
      <c r="K602" s="8">
        <v>10843</v>
      </c>
      <c r="L602" s="8">
        <v>10724</v>
      </c>
      <c r="M602" s="8">
        <v>10715</v>
      </c>
      <c r="N602" s="8">
        <v>10427</v>
      </c>
      <c r="O602" s="8">
        <v>10495</v>
      </c>
      <c r="P602" s="8">
        <v>10551</v>
      </c>
      <c r="Q602" s="8">
        <v>10527</v>
      </c>
      <c r="R602" s="7">
        <f t="shared" si="6"/>
        <v>0.1335833547471259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4.4" hidden="1">
      <c r="A603" s="3">
        <f>LOOKUP(D603,'AMFI DATA_2023H2'!F:L,'AMFI DATA_2023H2'!L:L)</f>
        <v>55</v>
      </c>
      <c r="B603" s="4" t="s">
        <v>174</v>
      </c>
      <c r="C603" s="4" t="s">
        <v>175</v>
      </c>
      <c r="D603" s="5" t="s">
        <v>176</v>
      </c>
      <c r="E603" s="5">
        <v>98946.61</v>
      </c>
      <c r="F603" s="6">
        <f>LOOKUP(D603,'AMFI DATA_2023H2'!F:J,'AMFI DATA_2023H2'!J:J)</f>
        <v>104290.04195</v>
      </c>
      <c r="G603" s="7">
        <f t="shared" si="5"/>
        <v>0.19628871239513401</v>
      </c>
      <c r="H603" s="8">
        <v>124761</v>
      </c>
      <c r="I603" s="8">
        <v>122936</v>
      </c>
      <c r="J603" s="8">
        <v>119361</v>
      </c>
      <c r="K603" s="8">
        <v>118507</v>
      </c>
      <c r="L603" s="8">
        <v>117070</v>
      </c>
      <c r="M603" s="8">
        <v>115664</v>
      </c>
      <c r="N603" s="8">
        <v>113915</v>
      </c>
      <c r="O603" s="8">
        <v>113204</v>
      </c>
      <c r="P603" s="8">
        <v>111829</v>
      </c>
      <c r="Q603" s="8">
        <v>109870</v>
      </c>
      <c r="R603" s="7">
        <f t="shared" si="6"/>
        <v>0.11910684680667161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4.4" hidden="1">
      <c r="A604" s="3">
        <f>LOOKUP(D604,'AMFI DATA_2023H2'!F:L,'AMFI DATA_2023H2'!L:L)</f>
        <v>269</v>
      </c>
      <c r="B604" s="4" t="s">
        <v>816</v>
      </c>
      <c r="C604" s="4" t="s">
        <v>817</v>
      </c>
      <c r="D604" s="5" t="s">
        <v>818</v>
      </c>
      <c r="E604" s="5">
        <v>14980.48</v>
      </c>
      <c r="F604" s="6">
        <f>LOOKUP(D604,'AMFI DATA_2023H2'!F:J,'AMFI DATA_2023H2'!J:J)</f>
        <v>19793.877500000002</v>
      </c>
      <c r="G604" s="7">
        <f t="shared" si="5"/>
        <v>0.43867718692307744</v>
      </c>
      <c r="H604" s="8">
        <v>28477</v>
      </c>
      <c r="I604" s="8">
        <v>27716</v>
      </c>
      <c r="J604" s="8">
        <v>26715</v>
      </c>
      <c r="K604" s="8">
        <v>27023</v>
      </c>
      <c r="L604" s="8">
        <v>26235</v>
      </c>
      <c r="M604" s="8">
        <v>25080</v>
      </c>
      <c r="N604" s="8">
        <v>23777</v>
      </c>
      <c r="O604" s="8">
        <v>23777</v>
      </c>
      <c r="P604" s="8">
        <v>23818</v>
      </c>
      <c r="Q604" s="8">
        <v>23307</v>
      </c>
      <c r="R604" s="7">
        <f t="shared" si="6"/>
        <v>0.29295030748775708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4.4" hidden="1">
      <c r="A605" s="3">
        <f>LOOKUP(D605,'AMFI DATA_2023H2'!F:L,'AMFI DATA_2023H2'!L:L)</f>
        <v>141</v>
      </c>
      <c r="B605" s="4" t="s">
        <v>432</v>
      </c>
      <c r="C605" s="4" t="s">
        <v>433</v>
      </c>
      <c r="D605" s="5" t="s">
        <v>434</v>
      </c>
      <c r="E605" s="5">
        <v>35072.21</v>
      </c>
      <c r="F605" s="6">
        <f>LOOKUP(D605,'AMFI DATA_2023H2'!F:J,'AMFI DATA_2023H2'!J:J)</f>
        <v>47484.212400000004</v>
      </c>
      <c r="G605" s="7">
        <f t="shared" si="5"/>
        <v>0.31220455917259771</v>
      </c>
      <c r="H605" s="8">
        <v>62309</v>
      </c>
      <c r="I605" s="8">
        <v>61618</v>
      </c>
      <c r="J605" s="8">
        <v>57026</v>
      </c>
      <c r="K605" s="8">
        <v>55975</v>
      </c>
      <c r="L605" s="8">
        <v>55719</v>
      </c>
      <c r="M605" s="8">
        <v>55953</v>
      </c>
      <c r="N605" s="8">
        <v>55502</v>
      </c>
      <c r="O605" s="8">
        <v>55690</v>
      </c>
      <c r="P605" s="8">
        <v>55153</v>
      </c>
      <c r="Q605" s="8">
        <v>54821</v>
      </c>
      <c r="R605" s="7">
        <f t="shared" si="6"/>
        <v>0.19990618187025033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4.4" hidden="1">
      <c r="A606" s="3">
        <f>LOOKUP(D606,'AMFI DATA_2023H2'!F:L,'AMFI DATA_2023H2'!L:L)</f>
        <v>645</v>
      </c>
      <c r="B606" s="4" t="s">
        <v>1893</v>
      </c>
      <c r="C606" s="4" t="s">
        <v>1894</v>
      </c>
      <c r="D606" s="5" t="s">
        <v>1895</v>
      </c>
      <c r="E606" s="5">
        <v>2391.34</v>
      </c>
      <c r="F606" s="6">
        <f>LOOKUP(D606,'AMFI DATA_2023H2'!F:J,'AMFI DATA_2023H2'!J:J)</f>
        <v>4502.8896000000004</v>
      </c>
      <c r="G606" s="7">
        <f t="shared" si="5"/>
        <v>0.13327228808807567</v>
      </c>
      <c r="H606" s="8">
        <v>5103</v>
      </c>
      <c r="I606" s="8">
        <v>5181</v>
      </c>
      <c r="J606" s="8">
        <v>5155</v>
      </c>
      <c r="K606" s="8">
        <v>5114</v>
      </c>
      <c r="L606" s="8">
        <v>4934</v>
      </c>
      <c r="M606" s="8">
        <v>5028</v>
      </c>
      <c r="N606" s="8">
        <v>5022</v>
      </c>
      <c r="O606" s="8">
        <v>5070</v>
      </c>
      <c r="P606" s="8">
        <v>5196</v>
      </c>
      <c r="Q606" s="8">
        <v>5323</v>
      </c>
      <c r="R606" s="7">
        <f t="shared" si="6"/>
        <v>0.13540425241604859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4.4" hidden="1">
      <c r="A607" s="3">
        <f>LOOKUP(D607,'AMFI DATA_2023H2'!F:L,'AMFI DATA_2023H2'!L:L)</f>
        <v>1005</v>
      </c>
      <c r="B607" s="4" t="s">
        <v>2876</v>
      </c>
      <c r="C607" s="4" t="s">
        <v>2877</v>
      </c>
      <c r="D607" s="5" t="s">
        <v>2878</v>
      </c>
      <c r="E607" s="5">
        <v>1630.21</v>
      </c>
      <c r="F607" s="6">
        <f>LOOKUP(D607,'AMFI DATA_2023H2'!F:J,'AMFI DATA_2023H2'!J:J)</f>
        <v>1700.7165500000001</v>
      </c>
      <c r="G607" s="7">
        <f t="shared" si="5"/>
        <v>8.7776796198049567E-2</v>
      </c>
      <c r="H607" s="8">
        <v>1850</v>
      </c>
      <c r="I607" s="8">
        <v>1849</v>
      </c>
      <c r="J607" s="8">
        <v>1852</v>
      </c>
      <c r="K607" s="8">
        <v>1810</v>
      </c>
      <c r="L607" s="8">
        <v>1838</v>
      </c>
      <c r="M607" s="8">
        <v>1829</v>
      </c>
      <c r="N607" s="8">
        <v>1773</v>
      </c>
      <c r="O607" s="8">
        <v>1771</v>
      </c>
      <c r="P607" s="8">
        <v>1806</v>
      </c>
      <c r="Q607" s="8">
        <v>1779</v>
      </c>
      <c r="R607" s="7">
        <f t="shared" si="6"/>
        <v>6.7608826409080391E-2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4.4" hidden="1">
      <c r="A608" s="3">
        <f>LOOKUP(D608,'AMFI DATA_2023H2'!F:L,'AMFI DATA_2023H2'!L:L)</f>
        <v>1655</v>
      </c>
      <c r="B608" s="4" t="s">
        <v>4250</v>
      </c>
      <c r="C608" s="4" t="s">
        <v>4251</v>
      </c>
      <c r="D608" s="5" t="s">
        <v>4252</v>
      </c>
      <c r="E608" s="5">
        <v>319.56</v>
      </c>
      <c r="F608" s="6">
        <f>LOOKUP(D608,'AMFI DATA_2023H2'!F:J,'AMFI DATA_2023H2'!J:J)</f>
        <v>363.05605000000003</v>
      </c>
      <c r="G608" s="7">
        <f t="shared" si="5"/>
        <v>0.57826869983298712</v>
      </c>
      <c r="H608" s="9">
        <v>573</v>
      </c>
      <c r="I608" s="9">
        <v>582</v>
      </c>
      <c r="J608" s="9">
        <v>580</v>
      </c>
      <c r="K608" s="9">
        <v>571</v>
      </c>
      <c r="L608" s="9">
        <v>604</v>
      </c>
      <c r="M608" s="9">
        <v>531</v>
      </c>
      <c r="N608" s="9">
        <v>471</v>
      </c>
      <c r="O608" s="9">
        <v>426</v>
      </c>
      <c r="P608" s="9">
        <v>418</v>
      </c>
      <c r="Q608" s="9">
        <v>419</v>
      </c>
      <c r="R608" s="7">
        <f t="shared" si="6"/>
        <v>0.42539974199576069</v>
      </c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4.4" hidden="1">
      <c r="A609" s="3">
        <f>LOOKUP(D609,'AMFI DATA_2023H2'!F:L,'AMFI DATA_2023H2'!L:L)</f>
        <v>2465</v>
      </c>
      <c r="B609" s="4" t="s">
        <v>5266</v>
      </c>
      <c r="C609" s="4" t="s">
        <v>5267</v>
      </c>
      <c r="D609" s="5" t="s">
        <v>5268</v>
      </c>
      <c r="E609" s="5">
        <v>93.05</v>
      </c>
      <c r="F609" s="6">
        <f>LOOKUP(D609,'AMFI DATA_2023H2'!F:J,'AMFI DATA_2023H2'!J:J)</f>
        <v>87.750900000000001</v>
      </c>
      <c r="G609" s="7">
        <f t="shared" si="5"/>
        <v>-6.2779982883366392E-3</v>
      </c>
      <c r="H609" s="9">
        <v>87.2</v>
      </c>
      <c r="I609" s="9">
        <v>89.5</v>
      </c>
      <c r="J609" s="9">
        <v>88</v>
      </c>
      <c r="K609" s="9">
        <v>89.4</v>
      </c>
      <c r="L609" s="9">
        <v>89</v>
      </c>
      <c r="M609" s="9">
        <v>87.6</v>
      </c>
      <c r="N609" s="9">
        <v>88.9</v>
      </c>
      <c r="O609" s="9">
        <v>88.3</v>
      </c>
      <c r="P609" s="9">
        <v>89.9</v>
      </c>
      <c r="Q609" s="9">
        <v>88</v>
      </c>
      <c r="R609" s="7">
        <f t="shared" si="6"/>
        <v>9.4483361424213541E-3</v>
      </c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4.4" hidden="1">
      <c r="A610" s="3">
        <f>LOOKUP(D610,'AMFI DATA_2023H2'!F:L,'AMFI DATA_2023H2'!L:L)</f>
        <v>1046</v>
      </c>
      <c r="B610" s="4" t="s">
        <v>2984</v>
      </c>
      <c r="C610" s="4" t="s">
        <v>2985</v>
      </c>
      <c r="D610" s="5" t="s">
        <v>2986</v>
      </c>
      <c r="E610" s="5">
        <v>1549.05</v>
      </c>
      <c r="F610" s="6">
        <f>LOOKUP(D610,'AMFI DATA_2023H2'!F:J,'AMFI DATA_2023H2'!J:J)</f>
        <v>1504.6006</v>
      </c>
      <c r="G610" s="7">
        <f t="shared" si="5"/>
        <v>0.32194550500644481</v>
      </c>
      <c r="H610" s="8">
        <v>1989</v>
      </c>
      <c r="I610" s="8">
        <v>2038</v>
      </c>
      <c r="J610" s="8">
        <v>1891</v>
      </c>
      <c r="K610" s="8">
        <v>1862</v>
      </c>
      <c r="L610" s="8">
        <v>1862</v>
      </c>
      <c r="M610" s="8">
        <v>1857</v>
      </c>
      <c r="N610" s="8">
        <v>1861</v>
      </c>
      <c r="O610" s="8">
        <v>1887</v>
      </c>
      <c r="P610" s="8">
        <v>1914</v>
      </c>
      <c r="Q610" s="8">
        <v>1941</v>
      </c>
      <c r="R610" s="7">
        <f t="shared" si="6"/>
        <v>0.2695728022439976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4.4" hidden="1">
      <c r="A611" s="3">
        <f>LOOKUP(D611,'AMFI DATA_2023H2'!F:L,'AMFI DATA_2023H2'!L:L)</f>
        <v>1669</v>
      </c>
      <c r="B611" s="4" t="s">
        <v>4277</v>
      </c>
      <c r="C611" s="4" t="s">
        <v>4278</v>
      </c>
      <c r="D611" s="5" t="s">
        <v>4279</v>
      </c>
      <c r="E611" s="5">
        <v>202.05</v>
      </c>
      <c r="F611" s="6">
        <f>LOOKUP(D611,'AMFI DATA_2023H2'!F:J,'AMFI DATA_2023H2'!J:J)</f>
        <v>352.23630000000003</v>
      </c>
      <c r="G611" s="7">
        <f t="shared" si="5"/>
        <v>0.58132480950997945</v>
      </c>
      <c r="H611" s="9">
        <v>557</v>
      </c>
      <c r="I611" s="9">
        <v>530</v>
      </c>
      <c r="J611" s="9">
        <v>505</v>
      </c>
      <c r="K611" s="9">
        <v>481</v>
      </c>
      <c r="L611" s="9">
        <v>458</v>
      </c>
      <c r="M611" s="9">
        <v>436</v>
      </c>
      <c r="N611" s="9">
        <v>439</v>
      </c>
      <c r="O611" s="9">
        <v>448</v>
      </c>
      <c r="P611" s="9">
        <v>461</v>
      </c>
      <c r="Q611" s="9">
        <v>468</v>
      </c>
      <c r="R611" s="7">
        <f t="shared" si="6"/>
        <v>0.3578952538395388</v>
      </c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4.4" hidden="1">
      <c r="A612" s="3">
        <f>LOOKUP(D612,'AMFI DATA_2023H2'!F:L,'AMFI DATA_2023H2'!L:L)</f>
        <v>965</v>
      </c>
      <c r="B612" s="4" t="s">
        <v>2771</v>
      </c>
      <c r="C612" s="4" t="s">
        <v>2772</v>
      </c>
      <c r="D612" s="5" t="s">
        <v>2773</v>
      </c>
      <c r="E612" s="5">
        <v>1182.1600000000001</v>
      </c>
      <c r="F612" s="6">
        <f>LOOKUP(D612,'AMFI DATA_2023H2'!F:J,'AMFI DATA_2023H2'!J:J)</f>
        <v>1882.8575000000001</v>
      </c>
      <c r="G612" s="7">
        <f t="shared" si="5"/>
        <v>0.52003006069232538</v>
      </c>
      <c r="H612" s="8">
        <v>2862</v>
      </c>
      <c r="I612" s="8">
        <v>2858</v>
      </c>
      <c r="J612" s="8">
        <v>2810</v>
      </c>
      <c r="K612" s="8">
        <v>2778</v>
      </c>
      <c r="L612" s="8">
        <v>2847</v>
      </c>
      <c r="M612" s="8">
        <v>2680</v>
      </c>
      <c r="N612" s="8">
        <v>2653</v>
      </c>
      <c r="O612" s="8">
        <v>2672</v>
      </c>
      <c r="P612" s="8">
        <v>2675</v>
      </c>
      <c r="Q612" s="8">
        <v>2650</v>
      </c>
      <c r="R612" s="7">
        <f t="shared" si="6"/>
        <v>0.45974934375012433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4.4" hidden="1">
      <c r="A613" s="3">
        <f>LOOKUP(D613,'AMFI DATA_2023H2'!F:L,'AMFI DATA_2023H2'!L:L)</f>
        <v>2181</v>
      </c>
      <c r="B613" s="4" t="s">
        <v>4994</v>
      </c>
      <c r="C613" s="4" t="s">
        <v>4995</v>
      </c>
      <c r="D613" s="5" t="s">
        <v>4996</v>
      </c>
      <c r="E613" s="5">
        <v>352.9</v>
      </c>
      <c r="F613" s="6">
        <f>LOOKUP(D613,'AMFI DATA_2023H2'!F:J,'AMFI DATA_2023H2'!J:J)</f>
        <v>137.3537</v>
      </c>
      <c r="G613" s="7">
        <f t="shared" si="5"/>
        <v>0.10663200190457189</v>
      </c>
      <c r="H613" s="9">
        <v>152</v>
      </c>
      <c r="I613" s="9">
        <v>147</v>
      </c>
      <c r="J613" s="9">
        <v>142</v>
      </c>
      <c r="K613" s="9">
        <v>142</v>
      </c>
      <c r="L613" s="9">
        <v>142</v>
      </c>
      <c r="M613" s="9">
        <v>143</v>
      </c>
      <c r="N613" s="9">
        <v>141</v>
      </c>
      <c r="O613" s="9">
        <v>143</v>
      </c>
      <c r="P613" s="9">
        <v>143</v>
      </c>
      <c r="Q613" s="9">
        <v>141</v>
      </c>
      <c r="R613" s="7">
        <f t="shared" si="6"/>
        <v>4.5476022851950848E-2</v>
      </c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4.4" hidden="1">
      <c r="A614" s="3">
        <f>LOOKUP(D614,'AMFI DATA_2023H2'!F:L,'AMFI DATA_2023H2'!L:L)</f>
        <v>1851</v>
      </c>
      <c r="B614" s="4" t="s">
        <v>4535</v>
      </c>
      <c r="C614" s="4" t="s">
        <v>4536</v>
      </c>
      <c r="D614" s="5" t="s">
        <v>4537</v>
      </c>
      <c r="E614" s="5">
        <v>190.11</v>
      </c>
      <c r="F614" s="6">
        <f>LOOKUP(D614,'AMFI DATA_2023H2'!F:J,'AMFI DATA_2023H2'!J:J)</f>
        <v>249.22390000000001</v>
      </c>
      <c r="G614" s="7">
        <f t="shared" si="5"/>
        <v>0.12750021165706804</v>
      </c>
      <c r="H614" s="9">
        <v>281</v>
      </c>
      <c r="I614" s="9">
        <v>279</v>
      </c>
      <c r="J614" s="9">
        <v>280</v>
      </c>
      <c r="K614" s="9">
        <v>283</v>
      </c>
      <c r="L614" s="9">
        <v>281</v>
      </c>
      <c r="M614" s="9">
        <v>280</v>
      </c>
      <c r="N614" s="9">
        <v>279</v>
      </c>
      <c r="O614" s="9">
        <v>278</v>
      </c>
      <c r="P614" s="9">
        <v>268</v>
      </c>
      <c r="Q614" s="9">
        <v>257</v>
      </c>
      <c r="R614" s="7">
        <f t="shared" si="6"/>
        <v>0.1098454040724024</v>
      </c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4.4" hidden="1">
      <c r="A615" s="3">
        <f>LOOKUP(D615,'AMFI DATA_2023H2'!F:L,'AMFI DATA_2023H2'!L:L)</f>
        <v>1429</v>
      </c>
      <c r="B615" s="4" t="s">
        <v>3827</v>
      </c>
      <c r="C615" s="4" t="s">
        <v>3828</v>
      </c>
      <c r="D615" s="5" t="s">
        <v>3829</v>
      </c>
      <c r="E615" s="5">
        <v>306.04000000000002</v>
      </c>
      <c r="F615" s="6">
        <f>LOOKUP(D615,'AMFI DATA_2023H2'!F:J,'AMFI DATA_2023H2'!J:J)</f>
        <v>607.09674999999993</v>
      </c>
      <c r="G615" s="7">
        <f t="shared" si="5"/>
        <v>0.52364511916757928</v>
      </c>
      <c r="H615" s="9">
        <v>925</v>
      </c>
      <c r="I615" s="9">
        <v>936</v>
      </c>
      <c r="J615" s="9">
        <v>939</v>
      </c>
      <c r="K615" s="9">
        <v>958</v>
      </c>
      <c r="L615" s="9">
        <v>977</v>
      </c>
      <c r="M615" s="9">
        <v>960</v>
      </c>
      <c r="N615" s="9">
        <v>959</v>
      </c>
      <c r="O615" s="9">
        <v>942</v>
      </c>
      <c r="P615" s="9">
        <v>945</v>
      </c>
      <c r="Q615" s="9">
        <v>948</v>
      </c>
      <c r="R615" s="7">
        <f t="shared" si="6"/>
        <v>0.56301281467904429</v>
      </c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4.4" hidden="1">
      <c r="A616" s="3">
        <f>LOOKUP(D616,'AMFI DATA_2023H2'!F:L,'AMFI DATA_2023H2'!L:L)</f>
        <v>463</v>
      </c>
      <c r="B616" s="4" t="s">
        <v>1377</v>
      </c>
      <c r="C616" s="4" t="s">
        <v>1378</v>
      </c>
      <c r="D616" s="5" t="s">
        <v>1379</v>
      </c>
      <c r="E616" s="5">
        <v>7099.31</v>
      </c>
      <c r="F616" s="6">
        <f>LOOKUP(D616,'AMFI DATA_2023H2'!F:J,'AMFI DATA_2023H2'!J:J)</f>
        <v>8227.5888500000001</v>
      </c>
      <c r="G616" s="7">
        <f t="shared" si="5"/>
        <v>0.21238435486479124</v>
      </c>
      <c r="H616" s="8">
        <v>9975</v>
      </c>
      <c r="I616" s="8">
        <v>10118</v>
      </c>
      <c r="J616" s="8">
        <v>10178</v>
      </c>
      <c r="K616" s="8">
        <v>10190</v>
      </c>
      <c r="L616" s="8">
        <v>9937</v>
      </c>
      <c r="M616" s="8">
        <v>9826</v>
      </c>
      <c r="N616" s="8">
        <v>9570</v>
      </c>
      <c r="O616" s="8">
        <v>9623</v>
      </c>
      <c r="P616" s="8">
        <v>9604</v>
      </c>
      <c r="Q616" s="8">
        <v>9351</v>
      </c>
      <c r="R616" s="7">
        <f t="shared" si="6"/>
        <v>0.19563582713543104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4.4" hidden="1">
      <c r="A617" s="3">
        <f>LOOKUP(D617,'AMFI DATA_2023H2'!F:L,'AMFI DATA_2023H2'!L:L)</f>
        <v>438</v>
      </c>
      <c r="B617" s="4" t="s">
        <v>1308</v>
      </c>
      <c r="C617" s="4" t="s">
        <v>1309</v>
      </c>
      <c r="D617" s="5" t="s">
        <v>1310</v>
      </c>
      <c r="E617" s="5">
        <v>6459.86</v>
      </c>
      <c r="F617" s="6">
        <f>LOOKUP(D617,'AMFI DATA_2023H2'!F:J,'AMFI DATA_2023H2'!J:J)</f>
        <v>9203.6569</v>
      </c>
      <c r="G617" s="7">
        <f t="shared" si="5"/>
        <v>0.15682278421308826</v>
      </c>
      <c r="H617" s="8">
        <v>10647</v>
      </c>
      <c r="I617" s="8">
        <v>10758</v>
      </c>
      <c r="J617" s="8">
        <v>10462</v>
      </c>
      <c r="K617" s="8">
        <v>10618</v>
      </c>
      <c r="L617" s="8">
        <v>10716</v>
      </c>
      <c r="M617" s="8">
        <v>10739</v>
      </c>
      <c r="N617" s="8">
        <v>10799</v>
      </c>
      <c r="O617" s="8">
        <v>10748</v>
      </c>
      <c r="P617" s="8">
        <v>10658</v>
      </c>
      <c r="Q617" s="8">
        <v>10289</v>
      </c>
      <c r="R617" s="7">
        <f t="shared" si="6"/>
        <v>0.15643163534268645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4.4" hidden="1">
      <c r="A618" s="3">
        <f>LOOKUP(D618,'AMFI DATA_2023H2'!F:L,'AMFI DATA_2023H2'!L:L)</f>
        <v>48</v>
      </c>
      <c r="B618" s="4" t="s">
        <v>153</v>
      </c>
      <c r="C618" s="4" t="s">
        <v>154</v>
      </c>
      <c r="D618" s="5" t="s">
        <v>155</v>
      </c>
      <c r="E618" s="5">
        <v>110044.86</v>
      </c>
      <c r="F618" s="6">
        <f>LOOKUP(D618,'AMFI DATA_2023H2'!F:J,'AMFI DATA_2023H2'!J:J)</f>
        <v>125591.68455000001</v>
      </c>
      <c r="G618" s="7">
        <f t="shared" si="5"/>
        <v>9.0024395249661326E-2</v>
      </c>
      <c r="H618" s="8">
        <v>136898</v>
      </c>
      <c r="I618" s="8">
        <v>136312</v>
      </c>
      <c r="J618" s="8">
        <v>136345</v>
      </c>
      <c r="K618" s="8">
        <v>138261</v>
      </c>
      <c r="L618" s="8">
        <v>140006</v>
      </c>
      <c r="M618" s="8">
        <v>140516</v>
      </c>
      <c r="N618" s="8">
        <v>140813</v>
      </c>
      <c r="O618" s="8">
        <v>139598</v>
      </c>
      <c r="P618" s="8">
        <v>136516</v>
      </c>
      <c r="Q618" s="8">
        <v>134732</v>
      </c>
      <c r="R618" s="7">
        <f t="shared" si="6"/>
        <v>9.8796472827467952E-2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4.4">
      <c r="A619" s="3">
        <f>LOOKUP(D619,'AMFI DATA_2023H2'!F:L,'AMFI DATA_2023H2'!L:L)</f>
        <v>568</v>
      </c>
      <c r="B619" s="4" t="s">
        <v>1683</v>
      </c>
      <c r="C619" s="4" t="s">
        <v>1684</v>
      </c>
      <c r="D619" s="5" t="s">
        <v>1685</v>
      </c>
      <c r="E619" s="5">
        <v>3576.31</v>
      </c>
      <c r="F619" s="6">
        <f>LOOKUP(D619,'AMFI DATA_2023H2'!F:J,'AMFI DATA_2023H2'!J:J)</f>
        <v>6085.0597500000003</v>
      </c>
      <c r="G619" s="7">
        <f t="shared" si="5"/>
        <v>0.20935542169491428</v>
      </c>
      <c r="H619" s="8">
        <v>7359</v>
      </c>
      <c r="I619" s="8">
        <v>7404</v>
      </c>
      <c r="J619" s="8">
        <v>7437</v>
      </c>
      <c r="K619" s="8">
        <v>7422</v>
      </c>
      <c r="L619" s="8">
        <v>7463</v>
      </c>
      <c r="M619" s="8">
        <v>7561</v>
      </c>
      <c r="N619" s="8">
        <v>7525</v>
      </c>
      <c r="O619" s="8">
        <v>7708</v>
      </c>
      <c r="P619" s="8">
        <v>7536</v>
      </c>
      <c r="Q619" s="8">
        <v>7233</v>
      </c>
      <c r="R619" s="14">
        <f t="shared" si="6"/>
        <v>0.22674226822505728</v>
      </c>
      <c r="S619" s="8"/>
      <c r="T619" s="8">
        <v>1068.9000000000001</v>
      </c>
      <c r="U619" s="15">
        <f ca="1">IFERROR(__xludf.DUMMYFUNCTION("GOOGLEFINANCE(C619,""PRICE"")"),1020)</f>
        <v>1020</v>
      </c>
      <c r="V619" s="13" t="s">
        <v>5787</v>
      </c>
      <c r="W619" s="7">
        <f ca="1">U619/T619-1</f>
        <v>-4.5747965197867058E-2</v>
      </c>
      <c r="X619" s="8"/>
      <c r="Y619" s="8"/>
      <c r="Z619" s="8"/>
      <c r="AA619" s="8"/>
      <c r="AB619" s="8"/>
    </row>
    <row r="620" spans="1:28" ht="14.4" hidden="1">
      <c r="A620" s="3">
        <f>LOOKUP(D620,'AMFI DATA_2023H2'!F:L,'AMFI DATA_2023H2'!L:L)</f>
        <v>765</v>
      </c>
      <c r="B620" s="4" t="s">
        <v>2240</v>
      </c>
      <c r="C620" s="4" t="s">
        <v>2241</v>
      </c>
      <c r="D620" s="5" t="s">
        <v>2242</v>
      </c>
      <c r="E620" s="5">
        <v>3159.35</v>
      </c>
      <c r="F620" s="6">
        <f>LOOKUP(D620,'AMFI DATA_2023H2'!F:J,'AMFI DATA_2023H2'!J:J)</f>
        <v>3166.1941500000003</v>
      </c>
      <c r="G620" s="7">
        <f t="shared" si="5"/>
        <v>0.14775020982209819</v>
      </c>
      <c r="H620" s="8">
        <v>3634</v>
      </c>
      <c r="I620" s="8">
        <v>3748</v>
      </c>
      <c r="J620" s="8">
        <v>3753</v>
      </c>
      <c r="K620" s="8">
        <v>3630</v>
      </c>
      <c r="L620" s="8">
        <v>3628</v>
      </c>
      <c r="M620" s="8">
        <v>3526</v>
      </c>
      <c r="N620" s="8">
        <v>3431</v>
      </c>
      <c r="O620" s="8">
        <v>3457</v>
      </c>
      <c r="P620" s="8">
        <v>3349</v>
      </c>
      <c r="Q620" s="8">
        <v>3135</v>
      </c>
      <c r="R620" s="7">
        <f t="shared" si="6"/>
        <v>0.11461895032558234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4.4" hidden="1">
      <c r="A621" s="3">
        <f>LOOKUP(D621,'AMFI DATA_2023H2'!F:L,'AMFI DATA_2023H2'!L:L)</f>
        <v>561</v>
      </c>
      <c r="B621" s="4" t="s">
        <v>1662</v>
      </c>
      <c r="C621" s="4" t="s">
        <v>1663</v>
      </c>
      <c r="D621" s="5" t="s">
        <v>1664</v>
      </c>
      <c r="E621" s="5">
        <v>4209.04</v>
      </c>
      <c r="F621" s="6">
        <f>LOOKUP(D621,'AMFI DATA_2023H2'!F:J,'AMFI DATA_2023H2'!J:J)</f>
        <v>6145.6247999999996</v>
      </c>
      <c r="G621" s="7">
        <f t="shared" si="5"/>
        <v>0.13950985097560786</v>
      </c>
      <c r="H621" s="8">
        <v>7003</v>
      </c>
      <c r="I621" s="8">
        <v>6913</v>
      </c>
      <c r="J621" s="8">
        <v>7008</v>
      </c>
      <c r="K621" s="8">
        <v>6897</v>
      </c>
      <c r="L621" s="8">
        <v>6889</v>
      </c>
      <c r="M621" s="8">
        <v>6838</v>
      </c>
      <c r="N621" s="8">
        <v>6883</v>
      </c>
      <c r="O621" s="8">
        <v>6952</v>
      </c>
      <c r="P621" s="8">
        <v>6890</v>
      </c>
      <c r="Q621" s="8">
        <v>6924</v>
      </c>
      <c r="R621" s="7">
        <f t="shared" si="6"/>
        <v>0.12595549275966222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4.4" hidden="1">
      <c r="A622" s="3">
        <f>LOOKUP(D622,'AMFI DATA_2023H2'!F:L,'AMFI DATA_2023H2'!L:L)</f>
        <v>658</v>
      </c>
      <c r="B622" s="4" t="s">
        <v>1926</v>
      </c>
      <c r="C622" s="4" t="s">
        <v>1927</v>
      </c>
      <c r="D622" s="5" t="s">
        <v>1928</v>
      </c>
      <c r="E622" s="5">
        <v>3739.86</v>
      </c>
      <c r="F622" s="6">
        <f>LOOKUP(D622,'AMFI DATA_2023H2'!F:J,'AMFI DATA_2023H2'!J:J)</f>
        <v>4375.2981500000005</v>
      </c>
      <c r="G622" s="7">
        <f t="shared" si="5"/>
        <v>0.2342016052094642</v>
      </c>
      <c r="H622" s="8">
        <v>5400</v>
      </c>
      <c r="I622" s="8">
        <v>5394</v>
      </c>
      <c r="J622" s="8">
        <v>5179</v>
      </c>
      <c r="K622" s="8">
        <v>5199</v>
      </c>
      <c r="L622" s="8">
        <v>5150</v>
      </c>
      <c r="M622" s="8">
        <v>5249</v>
      </c>
      <c r="N622" s="8">
        <v>5114</v>
      </c>
      <c r="O622" s="8">
        <v>4803</v>
      </c>
      <c r="P622" s="8">
        <v>4726</v>
      </c>
      <c r="Q622" s="8">
        <v>4524</v>
      </c>
      <c r="R622" s="7">
        <f t="shared" si="6"/>
        <v>0.15964668602069998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4.4" hidden="1">
      <c r="A623" s="3">
        <f>LOOKUP(D623,'AMFI DATA_2023H2'!F:L,'AMFI DATA_2023H2'!L:L)</f>
        <v>889</v>
      </c>
      <c r="B623" s="4" t="s">
        <v>2576</v>
      </c>
      <c r="C623" s="4" t="s">
        <v>2577</v>
      </c>
      <c r="D623" s="5" t="s">
        <v>2578</v>
      </c>
      <c r="E623" s="5">
        <v>1837.14</v>
      </c>
      <c r="F623" s="6">
        <f>LOOKUP(D623,'AMFI DATA_2023H2'!F:J,'AMFI DATA_2023H2'!J:J)</f>
        <v>2205.0075999999999</v>
      </c>
      <c r="G623" s="7">
        <f t="shared" si="5"/>
        <v>0.43491568917948409</v>
      </c>
      <c r="H623" s="8">
        <v>3164</v>
      </c>
      <c r="I623" s="8">
        <v>3183</v>
      </c>
      <c r="J623" s="8">
        <v>3124</v>
      </c>
      <c r="K623" s="8">
        <v>3012</v>
      </c>
      <c r="L623" s="8">
        <v>2969</v>
      </c>
      <c r="M623" s="8">
        <v>2944</v>
      </c>
      <c r="N623" s="8">
        <v>2934</v>
      </c>
      <c r="O623" s="8">
        <v>2902</v>
      </c>
      <c r="P623" s="8">
        <v>2826</v>
      </c>
      <c r="Q623" s="8">
        <v>2843</v>
      </c>
      <c r="R623" s="7">
        <f t="shared" si="6"/>
        <v>0.35604974785574428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4.4" hidden="1">
      <c r="A624" s="3">
        <f>LOOKUP(D624,'AMFI DATA_2023H2'!F:L,'AMFI DATA_2023H2'!L:L)</f>
        <v>234</v>
      </c>
      <c r="B624" s="4" t="s">
        <v>711</v>
      </c>
      <c r="C624" s="4" t="s">
        <v>712</v>
      </c>
      <c r="D624" s="5" t="s">
        <v>713</v>
      </c>
      <c r="E624" s="5">
        <v>21705.599999999999</v>
      </c>
      <c r="F624" s="6">
        <f>LOOKUP(D624,'AMFI DATA_2023H2'!F:J,'AMFI DATA_2023H2'!J:J)</f>
        <v>24021.413500000002</v>
      </c>
      <c r="G624" s="7">
        <f t="shared" si="5"/>
        <v>6.883801821237534E-2</v>
      </c>
      <c r="H624" s="8">
        <v>25675</v>
      </c>
      <c r="I624" s="8">
        <v>25973</v>
      </c>
      <c r="J624" s="8">
        <v>25920</v>
      </c>
      <c r="K624" s="8">
        <v>25805</v>
      </c>
      <c r="L624" s="8">
        <v>25853</v>
      </c>
      <c r="M624" s="8">
        <v>25752</v>
      </c>
      <c r="N624" s="8">
        <v>24753</v>
      </c>
      <c r="O624" s="8">
        <v>25001</v>
      </c>
      <c r="P624" s="8">
        <v>24476</v>
      </c>
      <c r="Q624" s="8">
        <v>24368</v>
      </c>
      <c r="R624" s="7">
        <f t="shared" si="6"/>
        <v>5.5624807424425438E-2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4.4" hidden="1">
      <c r="A625" s="3">
        <f>LOOKUP(D625,'AMFI DATA_2023H2'!F:L,'AMFI DATA_2023H2'!L:L)</f>
        <v>1161</v>
      </c>
      <c r="B625" s="4" t="s">
        <v>3254</v>
      </c>
      <c r="C625" s="4" t="s">
        <v>3255</v>
      </c>
      <c r="D625" s="5" t="s">
        <v>3256</v>
      </c>
      <c r="E625" s="5">
        <v>1484.4</v>
      </c>
      <c r="F625" s="6">
        <f>LOOKUP(D625,'AMFI DATA_2023H2'!F:J,'AMFI DATA_2023H2'!J:J)</f>
        <v>1136.7460500000002</v>
      </c>
      <c r="G625" s="7">
        <f t="shared" si="5"/>
        <v>6.3813285297975586E-3</v>
      </c>
      <c r="H625" s="8">
        <v>1144</v>
      </c>
      <c r="I625" s="8">
        <v>1150</v>
      </c>
      <c r="J625" s="8">
        <v>1150</v>
      </c>
      <c r="K625" s="8">
        <v>1164</v>
      </c>
      <c r="L625" s="8">
        <v>1140</v>
      </c>
      <c r="M625" s="8">
        <v>1133</v>
      </c>
      <c r="N625" s="8">
        <v>1140</v>
      </c>
      <c r="O625" s="8">
        <v>1122</v>
      </c>
      <c r="P625" s="8">
        <v>1144</v>
      </c>
      <c r="Q625" s="8">
        <v>1144</v>
      </c>
      <c r="R625" s="7">
        <f t="shared" si="6"/>
        <v>5.5895949671429523E-3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4.4" hidden="1">
      <c r="A626" s="3">
        <f>LOOKUP(D626,'AMFI DATA_2023H2'!F:L,'AMFI DATA_2023H2'!L:L)</f>
        <v>1480</v>
      </c>
      <c r="B626" s="4" t="s">
        <v>3917</v>
      </c>
      <c r="C626" s="4" t="s">
        <v>3918</v>
      </c>
      <c r="D626" s="5" t="s">
        <v>3919</v>
      </c>
      <c r="E626" s="5">
        <v>404.73</v>
      </c>
      <c r="F626" s="6">
        <f>LOOKUP(D626,'AMFI DATA_2023H2'!F:J,'AMFI DATA_2023H2'!J:J)</f>
        <v>533.91345000000001</v>
      </c>
      <c r="G626" s="7">
        <f t="shared" si="5"/>
        <v>0.1912043047426506</v>
      </c>
      <c r="H626" s="9">
        <v>636</v>
      </c>
      <c r="I626" s="9">
        <v>645</v>
      </c>
      <c r="J626" s="9">
        <v>635</v>
      </c>
      <c r="K626" s="9">
        <v>651</v>
      </c>
      <c r="L626" s="9">
        <v>658</v>
      </c>
      <c r="M626" s="9">
        <v>639</v>
      </c>
      <c r="N626" s="9">
        <v>638</v>
      </c>
      <c r="O626" s="9">
        <v>638</v>
      </c>
      <c r="P626" s="9">
        <v>643</v>
      </c>
      <c r="Q626" s="9">
        <v>640</v>
      </c>
      <c r="R626" s="7">
        <f t="shared" si="6"/>
        <v>0.20300397002547865</v>
      </c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4.4" hidden="1">
      <c r="A627" s="3">
        <f>LOOKUP(D627,'AMFI DATA_2023H2'!F:L,'AMFI DATA_2023H2'!L:L)</f>
        <v>1705</v>
      </c>
      <c r="B627" s="4" t="s">
        <v>4343</v>
      </c>
      <c r="C627" s="4" t="s">
        <v>4344</v>
      </c>
      <c r="D627" s="5" t="s">
        <v>4345</v>
      </c>
      <c r="E627" s="5">
        <v>361.63</v>
      </c>
      <c r="F627" s="6">
        <f>LOOKUP(D627,'AMFI DATA_2023H2'!F:J,'AMFI DATA_2023H2'!J:J)</f>
        <v>328.49110000000002</v>
      </c>
      <c r="G627" s="7">
        <f t="shared" si="5"/>
        <v>-4.7158355279640851E-2</v>
      </c>
      <c r="H627" s="9">
        <v>313</v>
      </c>
      <c r="I627" s="9">
        <v>317</v>
      </c>
      <c r="J627" s="9">
        <v>317</v>
      </c>
      <c r="K627" s="9">
        <v>316</v>
      </c>
      <c r="L627" s="9">
        <v>315</v>
      </c>
      <c r="M627" s="9">
        <v>315</v>
      </c>
      <c r="N627" s="9">
        <v>315</v>
      </c>
      <c r="O627" s="9">
        <v>317</v>
      </c>
      <c r="P627" s="9">
        <v>325</v>
      </c>
      <c r="Q627" s="9">
        <v>324</v>
      </c>
      <c r="R627" s="7">
        <f t="shared" si="6"/>
        <v>-3.376377624842819E-2</v>
      </c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4.4" hidden="1">
      <c r="A628" s="3">
        <f>LOOKUP(D628,'AMFI DATA_2023H2'!F:L,'AMFI DATA_2023H2'!L:L)</f>
        <v>2471</v>
      </c>
      <c r="B628" s="4" t="s">
        <v>5272</v>
      </c>
      <c r="C628" s="4" t="s">
        <v>5273</v>
      </c>
      <c r="D628" s="5" t="s">
        <v>5274</v>
      </c>
      <c r="E628" s="5">
        <v>361.63</v>
      </c>
      <c r="F628" s="6">
        <f>LOOKUP(D628,'AMFI DATA_2023H2'!F:J,'AMFI DATA_2023H2'!J:J)</f>
        <v>86.814800000000005</v>
      </c>
      <c r="G628" s="7">
        <f t="shared" si="5"/>
        <v>0.24402751604565109</v>
      </c>
      <c r="H628" s="9">
        <v>108</v>
      </c>
      <c r="I628" s="9">
        <v>103</v>
      </c>
      <c r="J628" s="9">
        <v>106</v>
      </c>
      <c r="K628" s="9">
        <v>112</v>
      </c>
      <c r="L628" s="9">
        <v>118</v>
      </c>
      <c r="M628" s="9">
        <v>124</v>
      </c>
      <c r="N628" s="9">
        <v>130</v>
      </c>
      <c r="O628" s="9">
        <v>137</v>
      </c>
      <c r="P628" s="9">
        <v>114</v>
      </c>
      <c r="Q628" s="9">
        <v>95.3</v>
      </c>
      <c r="R628" s="7">
        <f t="shared" si="6"/>
        <v>0.3215488603325698</v>
      </c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4.4" hidden="1">
      <c r="A629" s="3">
        <f>LOOKUP(D629,'AMFI DATA_2023H2'!F:L,'AMFI DATA_2023H2'!L:L)</f>
        <v>1126</v>
      </c>
      <c r="B629" s="4" t="s">
        <v>3173</v>
      </c>
      <c r="C629" s="4" t="s">
        <v>3174</v>
      </c>
      <c r="D629" s="5" t="s">
        <v>3175</v>
      </c>
      <c r="E629" s="5">
        <v>1110.6099999999999</v>
      </c>
      <c r="F629" s="6">
        <f>LOOKUP(D629,'AMFI DATA_2023H2'!F:J,'AMFI DATA_2023H2'!J:J)</f>
        <v>1255.1613</v>
      </c>
      <c r="G629" s="7">
        <f t="shared" si="5"/>
        <v>0.66353121307994445</v>
      </c>
      <c r="H629" s="8">
        <v>2088</v>
      </c>
      <c r="I629" s="8">
        <v>1921</v>
      </c>
      <c r="J629" s="8">
        <v>1908</v>
      </c>
      <c r="K629" s="8">
        <v>1819</v>
      </c>
      <c r="L629" s="8">
        <v>1742</v>
      </c>
      <c r="M629" s="8">
        <v>1665</v>
      </c>
      <c r="N629" s="8">
        <v>1703</v>
      </c>
      <c r="O629" s="8">
        <v>1780</v>
      </c>
      <c r="P629" s="8">
        <v>1818</v>
      </c>
      <c r="Q629" s="8">
        <v>1793</v>
      </c>
      <c r="R629" s="7">
        <f t="shared" si="6"/>
        <v>0.45296066728634798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4.4" hidden="1">
      <c r="A630" s="3">
        <f>LOOKUP(D630,'AMFI DATA_2023H2'!F:L,'AMFI DATA_2023H2'!L:L)</f>
        <v>2239</v>
      </c>
      <c r="B630" s="4" t="s">
        <v>5057</v>
      </c>
      <c r="C630" s="4" t="s">
        <v>5058</v>
      </c>
      <c r="D630" s="5" t="s">
        <v>5059</v>
      </c>
      <c r="E630" s="5">
        <v>94.06</v>
      </c>
      <c r="F630" s="6">
        <f>LOOKUP(D630,'AMFI DATA_2023H2'!F:J,'AMFI DATA_2023H2'!J:J)</f>
        <v>123.42375</v>
      </c>
      <c r="G630" s="7">
        <f t="shared" si="5"/>
        <v>1.1713811158711351</v>
      </c>
      <c r="H630" s="9">
        <v>268</v>
      </c>
      <c r="I630" s="9">
        <v>242</v>
      </c>
      <c r="J630" s="9">
        <v>222</v>
      </c>
      <c r="K630" s="9">
        <v>202</v>
      </c>
      <c r="L630" s="9">
        <v>168</v>
      </c>
      <c r="M630" s="9">
        <v>141</v>
      </c>
      <c r="N630" s="9">
        <v>139</v>
      </c>
      <c r="O630" s="9">
        <v>142</v>
      </c>
      <c r="P630" s="9">
        <v>139</v>
      </c>
      <c r="Q630" s="9">
        <v>132</v>
      </c>
      <c r="R630" s="7">
        <f t="shared" si="6"/>
        <v>0.45433921753309225</v>
      </c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4.4" hidden="1">
      <c r="A631" s="3">
        <f>LOOKUP(D631,'AMFI DATA_2023H2'!F:L,'AMFI DATA_2023H2'!L:L)</f>
        <v>977</v>
      </c>
      <c r="B631" s="4" t="s">
        <v>2801</v>
      </c>
      <c r="C631" s="4" t="s">
        <v>2802</v>
      </c>
      <c r="D631" s="5" t="s">
        <v>2803</v>
      </c>
      <c r="E631" s="5">
        <v>1275.1300000000001</v>
      </c>
      <c r="F631" s="6">
        <f>LOOKUP(D631,'AMFI DATA_2023H2'!F:J,'AMFI DATA_2023H2'!J:J)</f>
        <v>1811.1509000000001</v>
      </c>
      <c r="G631" s="7">
        <f t="shared" si="5"/>
        <v>0.22021859139401356</v>
      </c>
      <c r="H631" s="8">
        <v>2210</v>
      </c>
      <c r="I631" s="8">
        <v>2192</v>
      </c>
      <c r="J631" s="8">
        <v>2165</v>
      </c>
      <c r="K631" s="8">
        <v>2074</v>
      </c>
      <c r="L631" s="8">
        <v>2117</v>
      </c>
      <c r="M631" s="8">
        <v>2159</v>
      </c>
      <c r="N631" s="8">
        <v>2096</v>
      </c>
      <c r="O631" s="8">
        <v>2148</v>
      </c>
      <c r="P631" s="8">
        <v>2224</v>
      </c>
      <c r="Q631" s="8">
        <v>2156</v>
      </c>
      <c r="R631" s="7">
        <f t="shared" si="6"/>
        <v>0.18935423878816482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4.4" hidden="1">
      <c r="A632" s="3">
        <f>LOOKUP(D632,'AMFI DATA_2023H2'!F:L,'AMFI DATA_2023H2'!L:L)</f>
        <v>819</v>
      </c>
      <c r="B632" s="4" t="s">
        <v>2378</v>
      </c>
      <c r="C632" s="4" t="s">
        <v>2379</v>
      </c>
      <c r="D632" s="5" t="s">
        <v>2380</v>
      </c>
      <c r="E632" s="5">
        <v>2030.39</v>
      </c>
      <c r="F632" s="6">
        <f>LOOKUP(D632,'AMFI DATA_2023H2'!F:J,'AMFI DATA_2023H2'!J:J)</f>
        <v>2739.72145</v>
      </c>
      <c r="G632" s="7">
        <f t="shared" si="5"/>
        <v>0.17931697034382821</v>
      </c>
      <c r="H632" s="8">
        <v>3231</v>
      </c>
      <c r="I632" s="8">
        <v>3256</v>
      </c>
      <c r="J632" s="8">
        <v>3268</v>
      </c>
      <c r="K632" s="8">
        <v>3178</v>
      </c>
      <c r="L632" s="8">
        <v>3149</v>
      </c>
      <c r="M632" s="8">
        <v>3164</v>
      </c>
      <c r="N632" s="8">
        <v>3169</v>
      </c>
      <c r="O632" s="8">
        <v>3259</v>
      </c>
      <c r="P632" s="8">
        <v>3201</v>
      </c>
      <c r="Q632" s="8">
        <v>3237</v>
      </c>
      <c r="R632" s="7">
        <f t="shared" si="6"/>
        <v>0.17208995826929763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4.4" hidden="1">
      <c r="A633" s="3">
        <f>LOOKUP(D633,'AMFI DATA_2023H2'!F:L,'AMFI DATA_2023H2'!L:L)</f>
        <v>609</v>
      </c>
      <c r="B633" s="4" t="s">
        <v>1797</v>
      </c>
      <c r="C633" s="4" t="s">
        <v>1798</v>
      </c>
      <c r="D633" s="5" t="s">
        <v>1799</v>
      </c>
      <c r="E633" s="5">
        <v>4890.54</v>
      </c>
      <c r="F633" s="6">
        <f>LOOKUP(D633,'AMFI DATA_2023H2'!F:J,'AMFI DATA_2023H2'!J:J)</f>
        <v>5210.0519999999997</v>
      </c>
      <c r="G633" s="7">
        <f t="shared" si="5"/>
        <v>0.13434568407378666</v>
      </c>
      <c r="H633" s="8">
        <v>5910</v>
      </c>
      <c r="I633" s="8">
        <v>5955</v>
      </c>
      <c r="J633" s="8">
        <v>5948</v>
      </c>
      <c r="K633" s="8">
        <v>5984</v>
      </c>
      <c r="L633" s="8">
        <v>5963</v>
      </c>
      <c r="M633" s="8">
        <v>5711</v>
      </c>
      <c r="N633" s="8">
        <v>5719</v>
      </c>
      <c r="O633" s="8">
        <v>5728</v>
      </c>
      <c r="P633" s="8">
        <v>5799</v>
      </c>
      <c r="Q633" s="8">
        <v>5519</v>
      </c>
      <c r="R633" s="7">
        <f t="shared" si="6"/>
        <v>0.11776235630661658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4.4" hidden="1">
      <c r="A634" s="3">
        <f>LOOKUP(D634,'AMFI DATA_2023H2'!F:L,'AMFI DATA_2023H2'!L:L)</f>
        <v>514</v>
      </c>
      <c r="B634" s="4" t="s">
        <v>1527</v>
      </c>
      <c r="C634" s="4" t="s">
        <v>1528</v>
      </c>
      <c r="D634" s="5" t="s">
        <v>1529</v>
      </c>
      <c r="E634" s="5">
        <v>5655.79</v>
      </c>
      <c r="F634" s="6">
        <f>LOOKUP(D634,'AMFI DATA_2023H2'!F:J,'AMFI DATA_2023H2'!J:J)</f>
        <v>7134.2601500000001</v>
      </c>
      <c r="G634" s="7">
        <f t="shared" si="5"/>
        <v>0.16802581133798444</v>
      </c>
      <c r="H634" s="8">
        <v>8333</v>
      </c>
      <c r="I634" s="8">
        <v>8274</v>
      </c>
      <c r="J634" s="8">
        <v>8218</v>
      </c>
      <c r="K634" s="8">
        <v>8332</v>
      </c>
      <c r="L634" s="8">
        <v>8327</v>
      </c>
      <c r="M634" s="8">
        <v>8401</v>
      </c>
      <c r="N634" s="8">
        <v>8272</v>
      </c>
      <c r="O634" s="8">
        <v>8450</v>
      </c>
      <c r="P634" s="8">
        <v>8464</v>
      </c>
      <c r="Q634" s="8">
        <v>8420</v>
      </c>
      <c r="R634" s="7">
        <f t="shared" si="6"/>
        <v>0.17028252747413486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4.4" hidden="1">
      <c r="A635" s="3">
        <f>LOOKUP(D635,'AMFI DATA_2023H2'!F:L,'AMFI DATA_2023H2'!L:L)</f>
        <v>1816</v>
      </c>
      <c r="B635" s="4" t="s">
        <v>4490</v>
      </c>
      <c r="C635" s="4" t="s">
        <v>4491</v>
      </c>
      <c r="D635" s="5" t="s">
        <v>4492</v>
      </c>
      <c r="E635" s="5">
        <v>230.78</v>
      </c>
      <c r="F635" s="6">
        <f>LOOKUP(D635,'AMFI DATA_2023H2'!F:J,'AMFI DATA_2023H2'!J:J)</f>
        <v>264.04785000000004</v>
      </c>
      <c r="G635" s="7">
        <f t="shared" si="5"/>
        <v>0.15130647721615587</v>
      </c>
      <c r="H635" s="9">
        <v>304</v>
      </c>
      <c r="I635" s="9">
        <v>312</v>
      </c>
      <c r="J635" s="9">
        <v>309</v>
      </c>
      <c r="K635" s="9">
        <v>322</v>
      </c>
      <c r="L635" s="9">
        <v>333</v>
      </c>
      <c r="M635" s="9">
        <v>309</v>
      </c>
      <c r="N635" s="9">
        <v>316</v>
      </c>
      <c r="O635" s="9">
        <v>293</v>
      </c>
      <c r="P635" s="9">
        <v>271</v>
      </c>
      <c r="Q635" s="9">
        <v>269</v>
      </c>
      <c r="R635" s="7">
        <f t="shared" si="6"/>
        <v>0.15054903874430314</v>
      </c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4.4" hidden="1">
      <c r="A636" s="3">
        <f>LOOKUP(D636,'AMFI DATA_2023H2'!F:L,'AMFI DATA_2023H2'!L:L)</f>
        <v>194</v>
      </c>
      <c r="B636" s="4" t="s">
        <v>591</v>
      </c>
      <c r="C636" s="4" t="s">
        <v>592</v>
      </c>
      <c r="D636" s="5" t="s">
        <v>593</v>
      </c>
      <c r="E636" s="5">
        <v>33982.300000000003</v>
      </c>
      <c r="F636" s="6">
        <f>LOOKUP(D636,'AMFI DATA_2023H2'!F:J,'AMFI DATA_2023H2'!J:J)</f>
        <v>32040.665699999998</v>
      </c>
      <c r="G636" s="7">
        <f t="shared" si="5"/>
        <v>0.24111029316098143</v>
      </c>
      <c r="H636" s="8">
        <v>39766</v>
      </c>
      <c r="I636" s="8">
        <v>42012</v>
      </c>
      <c r="J636" s="8">
        <v>42684</v>
      </c>
      <c r="K636" s="8">
        <v>42590</v>
      </c>
      <c r="L636" s="8">
        <v>41875</v>
      </c>
      <c r="M636" s="8">
        <v>40205</v>
      </c>
      <c r="N636" s="8">
        <v>40206</v>
      </c>
      <c r="O636" s="8">
        <v>39394</v>
      </c>
      <c r="P636" s="8">
        <v>39617</v>
      </c>
      <c r="Q636" s="8">
        <v>39206</v>
      </c>
      <c r="R636" s="7">
        <f t="shared" si="6"/>
        <v>0.27199292241921191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4.4" hidden="1">
      <c r="A637" s="3">
        <f>LOOKUP(D637,'AMFI DATA_2023H2'!F:L,'AMFI DATA_2023H2'!L:L)</f>
        <v>203</v>
      </c>
      <c r="B637" s="4" t="s">
        <v>618</v>
      </c>
      <c r="C637" s="4" t="s">
        <v>619</v>
      </c>
      <c r="D637" s="5" t="s">
        <v>620</v>
      </c>
      <c r="E637" s="5">
        <v>32989.19</v>
      </c>
      <c r="F637" s="6">
        <f>LOOKUP(D637,'AMFI DATA_2023H2'!F:J,'AMFI DATA_2023H2'!J:J)</f>
        <v>30546.313999999998</v>
      </c>
      <c r="G637" s="7">
        <f t="shared" si="5"/>
        <v>0.14223274205850167</v>
      </c>
      <c r="H637" s="8">
        <v>34891</v>
      </c>
      <c r="I637" s="8">
        <v>34846</v>
      </c>
      <c r="J637" s="8">
        <v>34258</v>
      </c>
      <c r="K637" s="8">
        <v>34309</v>
      </c>
      <c r="L637" s="8">
        <v>33322</v>
      </c>
      <c r="M637" s="8">
        <v>31755</v>
      </c>
      <c r="N637" s="8">
        <v>31139</v>
      </c>
      <c r="O637" s="8">
        <v>30978</v>
      </c>
      <c r="P637" s="8">
        <v>31067</v>
      </c>
      <c r="Q637" s="8">
        <v>30795</v>
      </c>
      <c r="R637" s="7">
        <f t="shared" si="6"/>
        <v>7.1684131839933274E-2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4.4" hidden="1">
      <c r="A638" s="3">
        <f>LOOKUP(D638,'AMFI DATA_2023H2'!F:L,'AMFI DATA_2023H2'!L:L)</f>
        <v>909</v>
      </c>
      <c r="B638" s="4" t="s">
        <v>2633</v>
      </c>
      <c r="C638" s="4" t="s">
        <v>2634</v>
      </c>
      <c r="D638" s="5" t="s">
        <v>2635</v>
      </c>
      <c r="E638" s="5">
        <v>1296.83</v>
      </c>
      <c r="F638" s="6">
        <f>LOOKUP(D638,'AMFI DATA_2023H2'!F:J,'AMFI DATA_2023H2'!J:J)</f>
        <v>2127.2457999999997</v>
      </c>
      <c r="G638" s="7">
        <f t="shared" si="5"/>
        <v>0.3092046062565974</v>
      </c>
      <c r="H638" s="8">
        <v>2785</v>
      </c>
      <c r="I638" s="8">
        <v>2814</v>
      </c>
      <c r="J638" s="8">
        <v>2782</v>
      </c>
      <c r="K638" s="8">
        <v>2791</v>
      </c>
      <c r="L638" s="8">
        <v>2744</v>
      </c>
      <c r="M638" s="8">
        <v>2633</v>
      </c>
      <c r="N638" s="8">
        <v>2676</v>
      </c>
      <c r="O638" s="8">
        <v>2651</v>
      </c>
      <c r="P638" s="8">
        <v>2654</v>
      </c>
      <c r="Q638" s="8">
        <v>2533</v>
      </c>
      <c r="R638" s="7">
        <f t="shared" si="6"/>
        <v>0.2722084114586103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4.4" hidden="1">
      <c r="A639" s="3">
        <f>LOOKUP(D639,'AMFI DATA_2023H2'!F:L,'AMFI DATA_2023H2'!L:L)</f>
        <v>3876</v>
      </c>
      <c r="B639" s="4" t="s">
        <v>5737</v>
      </c>
      <c r="C639" s="4" t="s">
        <v>5738</v>
      </c>
      <c r="D639" s="5" t="s">
        <v>5739</v>
      </c>
      <c r="E639" s="5">
        <v>7.56</v>
      </c>
      <c r="F639" s="6">
        <f>LOOKUP(D639,'AMFI DATA_2023H2'!F:J,'AMFI DATA_2023H2'!J:J)</f>
        <v>10.079599999999999</v>
      </c>
      <c r="G639" s="7">
        <f t="shared" si="5"/>
        <v>0.40878606293900566</v>
      </c>
      <c r="H639" s="9">
        <v>14.2</v>
      </c>
      <c r="I639" s="9">
        <v>13.5</v>
      </c>
      <c r="J639" s="9">
        <v>12.9</v>
      </c>
      <c r="K639" s="9">
        <v>12.9</v>
      </c>
      <c r="L639" s="9">
        <v>13.5</v>
      </c>
      <c r="M639" s="9">
        <v>12.9</v>
      </c>
      <c r="N639" s="9">
        <v>13.5</v>
      </c>
      <c r="O639" s="9">
        <v>12.9</v>
      </c>
      <c r="P639" s="9">
        <v>11.8</v>
      </c>
      <c r="Q639" s="9">
        <v>11.8</v>
      </c>
      <c r="R639" s="7">
        <f t="shared" si="6"/>
        <v>0.28874161673082277</v>
      </c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4.4" hidden="1">
      <c r="A640" s="3">
        <f>LOOKUP(D640,'AMFI DATA_2023H2'!F:L,'AMFI DATA_2023H2'!L:L)</f>
        <v>427</v>
      </c>
      <c r="B640" s="4" t="s">
        <v>1278</v>
      </c>
      <c r="C640" s="4" t="s">
        <v>1279</v>
      </c>
      <c r="D640" s="5" t="s">
        <v>1280</v>
      </c>
      <c r="E640" s="5">
        <v>4718.04</v>
      </c>
      <c r="F640" s="6">
        <f>LOOKUP(D640,'AMFI DATA_2023H2'!F:J,'AMFI DATA_2023H2'!J:J)</f>
        <v>9491.6053499999998</v>
      </c>
      <c r="G640" s="7">
        <f t="shared" si="5"/>
        <v>0.50733194991087571</v>
      </c>
      <c r="H640" s="8">
        <v>14307</v>
      </c>
      <c r="I640" s="8">
        <v>13960</v>
      </c>
      <c r="J640" s="8">
        <v>13760</v>
      </c>
      <c r="K640" s="8">
        <v>13776</v>
      </c>
      <c r="L640" s="8">
        <v>13746</v>
      </c>
      <c r="M640" s="8">
        <v>12939</v>
      </c>
      <c r="N640" s="8">
        <v>13033</v>
      </c>
      <c r="O640" s="8">
        <v>13087</v>
      </c>
      <c r="P640" s="8">
        <v>13084</v>
      </c>
      <c r="Q640" s="8">
        <v>12962</v>
      </c>
      <c r="R640" s="7">
        <f t="shared" si="6"/>
        <v>0.41866412513663986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4.4" hidden="1">
      <c r="A641" s="3">
        <f>LOOKUP(D641,'AMFI DATA_2023H2'!F:L,'AMFI DATA_2023H2'!L:L)</f>
        <v>406</v>
      </c>
      <c r="B641" s="4" t="s">
        <v>1221</v>
      </c>
      <c r="C641" s="4" t="s">
        <v>1222</v>
      </c>
      <c r="D641" s="5" t="s">
        <v>1223</v>
      </c>
      <c r="E641" s="5">
        <v>8735.33</v>
      </c>
      <c r="F641" s="6">
        <f>LOOKUP(D641,'AMFI DATA_2023H2'!F:J,'AMFI DATA_2023H2'!J:J)</f>
        <v>9968.9436500000011</v>
      </c>
      <c r="G641" s="7">
        <f t="shared" si="5"/>
        <v>0.18919320002375573</v>
      </c>
      <c r="H641" s="8">
        <v>11855</v>
      </c>
      <c r="I641" s="8">
        <v>12452</v>
      </c>
      <c r="J641" s="8">
        <v>12335</v>
      </c>
      <c r="K641" s="8">
        <v>12340</v>
      </c>
      <c r="L641" s="8">
        <v>12333</v>
      </c>
      <c r="M641" s="8">
        <v>11690</v>
      </c>
      <c r="N641" s="8">
        <v>11610</v>
      </c>
      <c r="O641" s="8">
        <v>11486</v>
      </c>
      <c r="P641" s="8">
        <v>11664</v>
      </c>
      <c r="Q641" s="8">
        <v>11364</v>
      </c>
      <c r="R641" s="7">
        <f t="shared" si="6"/>
        <v>0.19500123766874711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4.4" hidden="1">
      <c r="A642" s="3">
        <f>LOOKUP(D642,'AMFI DATA_2023H2'!F:L,'AMFI DATA_2023H2'!L:L)</f>
        <v>552</v>
      </c>
      <c r="B642" s="4" t="s">
        <v>1635</v>
      </c>
      <c r="C642" s="4" t="s">
        <v>1636</v>
      </c>
      <c r="D642" s="5" t="s">
        <v>1637</v>
      </c>
      <c r="E642" s="5">
        <v>5190.54</v>
      </c>
      <c r="F642" s="6">
        <f>LOOKUP(D642,'AMFI DATA_2023H2'!F:J,'AMFI DATA_2023H2'!J:J)</f>
        <v>6301.7384000000002</v>
      </c>
      <c r="G642" s="7">
        <f t="shared" si="5"/>
        <v>0.20062108576262072</v>
      </c>
      <c r="H642" s="8">
        <v>7566</v>
      </c>
      <c r="I642" s="8">
        <v>7694</v>
      </c>
      <c r="J642" s="8">
        <v>7571</v>
      </c>
      <c r="K642" s="8">
        <v>7682</v>
      </c>
      <c r="L642" s="8">
        <v>7670</v>
      </c>
      <c r="M642" s="8">
        <v>7397</v>
      </c>
      <c r="N642" s="8">
        <v>7276</v>
      </c>
      <c r="O642" s="8">
        <v>7049</v>
      </c>
      <c r="P642" s="8">
        <v>7174</v>
      </c>
      <c r="Q642" s="8">
        <v>7092</v>
      </c>
      <c r="R642" s="7">
        <f t="shared" si="6"/>
        <v>0.17699268506607635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4.4" hidden="1">
      <c r="A643" s="3">
        <f>LOOKUP(D643,'AMFI DATA_2023H2'!F:L,'AMFI DATA_2023H2'!L:L)</f>
        <v>3469</v>
      </c>
      <c r="B643" s="4" t="s">
        <v>5689</v>
      </c>
      <c r="C643" s="4" t="s">
        <v>5690</v>
      </c>
      <c r="D643" s="5" t="s">
        <v>5691</v>
      </c>
      <c r="E643" s="5">
        <v>15.69</v>
      </c>
      <c r="F643" s="6">
        <f>LOOKUP(D643,'AMFI DATA_2023H2'!F:J,'AMFI DATA_2023H2'!J:J)</f>
        <v>18.852899999999998</v>
      </c>
      <c r="G643" s="7">
        <f t="shared" si="5"/>
        <v>0.62309246853269284</v>
      </c>
      <c r="H643" s="9">
        <v>30.6</v>
      </c>
      <c r="I643" s="9">
        <v>31.2</v>
      </c>
      <c r="J643" s="9">
        <v>31.8</v>
      </c>
      <c r="K643" s="9">
        <v>32.4</v>
      </c>
      <c r="L643" s="9">
        <v>34</v>
      </c>
      <c r="M643" s="9">
        <v>33.200000000000003</v>
      </c>
      <c r="N643" s="9">
        <v>32.799999999999997</v>
      </c>
      <c r="O643" s="9">
        <v>32.1</v>
      </c>
      <c r="P643" s="9">
        <v>30.3</v>
      </c>
      <c r="Q643" s="9">
        <v>29.4</v>
      </c>
      <c r="R643" s="7">
        <f t="shared" si="6"/>
        <v>0.68568230882251568</v>
      </c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4.4" hidden="1">
      <c r="A644" s="3">
        <f>LOOKUP(D644,'AMFI DATA_2023H2'!F:L,'AMFI DATA_2023H2'!L:L)</f>
        <v>501</v>
      </c>
      <c r="B644" s="4" t="s">
        <v>1488</v>
      </c>
      <c r="C644" s="4" t="s">
        <v>1489</v>
      </c>
      <c r="D644" s="5" t="s">
        <v>1490</v>
      </c>
      <c r="E644" s="5">
        <v>5651.69</v>
      </c>
      <c r="F644" s="6">
        <f>LOOKUP(D644,'AMFI DATA_2023H2'!F:J,'AMFI DATA_2023H2'!J:J)</f>
        <v>7305.2798000000003</v>
      </c>
      <c r="G644" s="7">
        <f t="shared" si="5"/>
        <v>0.55243882650463294</v>
      </c>
      <c r="H644" s="8">
        <v>11341</v>
      </c>
      <c r="I644" s="8">
        <v>11622</v>
      </c>
      <c r="J644" s="8">
        <v>11361</v>
      </c>
      <c r="K644" s="8">
        <v>11410</v>
      </c>
      <c r="L644" s="8">
        <v>10904</v>
      </c>
      <c r="M644" s="8">
        <v>9621</v>
      </c>
      <c r="N644" s="8">
        <v>9777</v>
      </c>
      <c r="O644" s="8">
        <v>9229</v>
      </c>
      <c r="P644" s="8">
        <v>9227</v>
      </c>
      <c r="Q644" s="8">
        <v>8930</v>
      </c>
      <c r="R644" s="7">
        <f t="shared" si="6"/>
        <v>0.41571579503361389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4.4" hidden="1">
      <c r="A645" s="3">
        <f>LOOKUP(D645,'AMFI DATA_2023H2'!F:L,'AMFI DATA_2023H2'!L:L)</f>
        <v>304</v>
      </c>
      <c r="B645" s="4" t="s">
        <v>921</v>
      </c>
      <c r="C645" s="4" t="s">
        <v>922</v>
      </c>
      <c r="D645" s="5" t="s">
        <v>923</v>
      </c>
      <c r="E645" s="5">
        <v>15737.06</v>
      </c>
      <c r="F645" s="6">
        <f>LOOKUP(D645,'AMFI DATA_2023H2'!F:J,'AMFI DATA_2023H2'!J:J)</f>
        <v>15996.8478</v>
      </c>
      <c r="G645" s="7">
        <f t="shared" si="5"/>
        <v>0.1771694170897844</v>
      </c>
      <c r="H645" s="8">
        <v>18831</v>
      </c>
      <c r="I645" s="8">
        <v>18850</v>
      </c>
      <c r="J645" s="8">
        <v>18337</v>
      </c>
      <c r="K645" s="8">
        <v>18622</v>
      </c>
      <c r="L645" s="8">
        <v>18089</v>
      </c>
      <c r="M645" s="8">
        <v>17251</v>
      </c>
      <c r="N645" s="8">
        <v>17428</v>
      </c>
      <c r="O645" s="8">
        <v>16644</v>
      </c>
      <c r="P645" s="8">
        <v>16817</v>
      </c>
      <c r="Q645" s="8">
        <v>16582</v>
      </c>
      <c r="R645" s="7">
        <f t="shared" si="6"/>
        <v>0.10928729346290322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4.4">
      <c r="A646" s="3">
        <f>LOOKUP(D646,'AMFI DATA_2023H2'!F:L,'AMFI DATA_2023H2'!L:L)</f>
        <v>801</v>
      </c>
      <c r="B646" s="4" t="s">
        <v>2330</v>
      </c>
      <c r="C646" s="4" t="s">
        <v>2331</v>
      </c>
      <c r="D646" s="5" t="s">
        <v>2332</v>
      </c>
      <c r="E646" s="5">
        <v>2096.3000000000002</v>
      </c>
      <c r="F646" s="6">
        <f>LOOKUP(D646,'AMFI DATA_2023H2'!F:J,'AMFI DATA_2023H2'!J:J)</f>
        <v>2859.4039000000002</v>
      </c>
      <c r="G646" s="7">
        <f t="shared" si="5"/>
        <v>0.2296269162953859</v>
      </c>
      <c r="H646" s="8">
        <v>3516</v>
      </c>
      <c r="I646" s="8">
        <v>3512</v>
      </c>
      <c r="J646" s="8">
        <v>3510</v>
      </c>
      <c r="K646" s="8">
        <v>3534</v>
      </c>
      <c r="L646" s="8">
        <v>3548</v>
      </c>
      <c r="M646" s="8">
        <v>3526</v>
      </c>
      <c r="N646" s="8">
        <v>3577</v>
      </c>
      <c r="O646" s="8">
        <v>3621</v>
      </c>
      <c r="P646" s="8">
        <v>3577</v>
      </c>
      <c r="Q646" s="8">
        <v>3490</v>
      </c>
      <c r="R646" s="14">
        <f t="shared" si="6"/>
        <v>0.23840496965119184</v>
      </c>
      <c r="S646" s="8"/>
      <c r="T646" s="8">
        <v>717.75</v>
      </c>
      <c r="U646" s="15">
        <f ca="1">IFERROR(__xludf.DUMMYFUNCTION("GOOGLEFINANCE(C646,""PRICE"")"),753)</f>
        <v>753</v>
      </c>
      <c r="V646" s="13" t="s">
        <v>5787</v>
      </c>
      <c r="W646" s="7">
        <f ca="1">U646/T646-1</f>
        <v>4.9111807732497459E-2</v>
      </c>
      <c r="X646" s="8"/>
      <c r="Y646" s="8"/>
      <c r="Z646" s="8"/>
      <c r="AA646" s="8"/>
      <c r="AB646" s="8"/>
    </row>
    <row r="647" spans="1:28" ht="14.4" hidden="1">
      <c r="A647" s="3">
        <f>LOOKUP(D647,'AMFI DATA_2023H2'!F:L,'AMFI DATA_2023H2'!L:L)</f>
        <v>1091</v>
      </c>
      <c r="B647" s="4" t="s">
        <v>3092</v>
      </c>
      <c r="C647" s="4" t="s">
        <v>3093</v>
      </c>
      <c r="D647" s="5" t="s">
        <v>3094</v>
      </c>
      <c r="E647" s="5">
        <v>1303.8800000000001</v>
      </c>
      <c r="F647" s="6">
        <f>LOOKUP(D647,'AMFI DATA_2023H2'!F:J,'AMFI DATA_2023H2'!J:J)</f>
        <v>1356.4466500000001</v>
      </c>
      <c r="G647" s="7">
        <f t="shared" si="5"/>
        <v>2.1050109121504956E-2</v>
      </c>
      <c r="H647" s="8">
        <v>1385</v>
      </c>
      <c r="I647" s="8">
        <v>1344</v>
      </c>
      <c r="J647" s="8">
        <v>1313</v>
      </c>
      <c r="K647" s="8">
        <v>1302</v>
      </c>
      <c r="L647" s="8">
        <v>1310</v>
      </c>
      <c r="M647" s="8">
        <v>1323</v>
      </c>
      <c r="N647" s="8">
        <v>1314</v>
      </c>
      <c r="O647" s="8">
        <v>1310</v>
      </c>
      <c r="P647" s="8">
        <v>1303</v>
      </c>
      <c r="Q647" s="8">
        <v>1316</v>
      </c>
      <c r="R647" s="7">
        <f t="shared" si="6"/>
        <v>-2.5394769488354063E-2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4.4" hidden="1">
      <c r="A648" s="3">
        <f>LOOKUP(D648,'AMFI DATA_2023H2'!F:L,'AMFI DATA_2023H2'!L:L)</f>
        <v>1159</v>
      </c>
      <c r="B648" s="4" t="s">
        <v>3248</v>
      </c>
      <c r="C648" s="4" t="s">
        <v>3249</v>
      </c>
      <c r="D648" s="5" t="s">
        <v>3250</v>
      </c>
      <c r="E648" s="5">
        <v>425.66</v>
      </c>
      <c r="F648" s="6">
        <f>LOOKUP(D648,'AMFI DATA_2023H2'!F:J,'AMFI DATA_2023H2'!J:J)</f>
        <v>1151.3697500000001</v>
      </c>
      <c r="G648" s="7">
        <f t="shared" si="5"/>
        <v>0.61720420394925246</v>
      </c>
      <c r="H648" s="8">
        <v>1862</v>
      </c>
      <c r="I648" s="8">
        <v>1769</v>
      </c>
      <c r="J648" s="8">
        <v>1690</v>
      </c>
      <c r="K648" s="8">
        <v>1742</v>
      </c>
      <c r="L648" s="8">
        <v>1669</v>
      </c>
      <c r="M648" s="8">
        <v>1582</v>
      </c>
      <c r="N648" s="8">
        <v>1576</v>
      </c>
      <c r="O648" s="8">
        <v>1578</v>
      </c>
      <c r="P648" s="8">
        <v>1573</v>
      </c>
      <c r="Q648" s="8">
        <v>1571</v>
      </c>
      <c r="R648" s="7">
        <f t="shared" si="6"/>
        <v>0.4428032350163793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4.4" hidden="1">
      <c r="A649" s="3">
        <f>LOOKUP(D649,'AMFI DATA_2023H2'!F:L,'AMFI DATA_2023H2'!L:L)</f>
        <v>1902</v>
      </c>
      <c r="B649" s="4" t="s">
        <v>4613</v>
      </c>
      <c r="C649" s="4" t="s">
        <v>4614</v>
      </c>
      <c r="D649" s="5" t="s">
        <v>4615</v>
      </c>
      <c r="E649" s="5">
        <v>425.66</v>
      </c>
      <c r="F649" s="6">
        <f>LOOKUP(D649,'AMFI DATA_2023H2'!F:J,'AMFI DATA_2023H2'!J:J)</f>
        <v>219.9288</v>
      </c>
      <c r="G649" s="7">
        <f t="shared" si="5"/>
        <v>-0.12244326345617307</v>
      </c>
      <c r="H649" s="9">
        <v>193</v>
      </c>
      <c r="I649" s="9">
        <v>190</v>
      </c>
      <c r="J649" s="9">
        <v>186</v>
      </c>
      <c r="K649" s="9">
        <v>183</v>
      </c>
      <c r="L649" s="9">
        <v>180</v>
      </c>
      <c r="M649" s="9">
        <v>177</v>
      </c>
      <c r="N649" s="9">
        <v>177</v>
      </c>
      <c r="O649" s="9">
        <v>174</v>
      </c>
      <c r="P649" s="9">
        <v>171</v>
      </c>
      <c r="Q649" s="9">
        <v>170</v>
      </c>
      <c r="R649" s="7">
        <f t="shared" si="6"/>
        <v>-0.181098610095631</v>
      </c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4.4" hidden="1">
      <c r="A650" s="3">
        <f>LOOKUP(D650,'AMFI DATA_2023H2'!F:L,'AMFI DATA_2023H2'!L:L)</f>
        <v>576</v>
      </c>
      <c r="B650" s="4" t="s">
        <v>1707</v>
      </c>
      <c r="C650" s="4" t="s">
        <v>1708</v>
      </c>
      <c r="D650" s="5" t="s">
        <v>1709</v>
      </c>
      <c r="E650" s="5">
        <v>5225.41</v>
      </c>
      <c r="F650" s="6">
        <f>LOOKUP(D650,'AMFI DATA_2023H2'!F:J,'AMFI DATA_2023H2'!J:J)</f>
        <v>5909.5321000000004</v>
      </c>
      <c r="G650" s="7">
        <f t="shared" si="5"/>
        <v>-6.2362314606938196E-2</v>
      </c>
      <c r="H650" s="8">
        <v>5541</v>
      </c>
      <c r="I650" s="8">
        <v>5613</v>
      </c>
      <c r="J650" s="8">
        <v>5579</v>
      </c>
      <c r="K650" s="8">
        <v>5642</v>
      </c>
      <c r="L650" s="8">
        <v>5539</v>
      </c>
      <c r="M650" s="8">
        <v>5528</v>
      </c>
      <c r="N650" s="8">
        <v>5487</v>
      </c>
      <c r="O650" s="8">
        <v>5306</v>
      </c>
      <c r="P650" s="8">
        <v>5280</v>
      </c>
      <c r="Q650" s="8">
        <v>5340</v>
      </c>
      <c r="R650" s="7">
        <f t="shared" si="6"/>
        <v>-7.1753921093008377E-2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4.4" hidden="1">
      <c r="A651" s="3">
        <f>LOOKUP(D651,'AMFI DATA_2023H2'!F:L,'AMFI DATA_2023H2'!L:L)</f>
        <v>337</v>
      </c>
      <c r="B651" s="4" t="s">
        <v>1020</v>
      </c>
      <c r="C651" s="4" t="s">
        <v>1021</v>
      </c>
      <c r="D651" s="5" t="s">
        <v>1022</v>
      </c>
      <c r="E651" s="5">
        <v>12632.85</v>
      </c>
      <c r="F651" s="6">
        <f>LOOKUP(D651,'AMFI DATA_2023H2'!F:J,'AMFI DATA_2023H2'!J:J)</f>
        <v>13440.766449999999</v>
      </c>
      <c r="G651" s="7">
        <f t="shared" si="5"/>
        <v>3.0967992156429425E-2</v>
      </c>
      <c r="H651" s="8">
        <v>13857</v>
      </c>
      <c r="I651" s="8">
        <v>13715</v>
      </c>
      <c r="J651" s="8">
        <v>13779</v>
      </c>
      <c r="K651" s="8">
        <v>13845</v>
      </c>
      <c r="L651" s="8">
        <v>13737</v>
      </c>
      <c r="M651" s="8">
        <v>13641</v>
      </c>
      <c r="N651" s="8">
        <v>13662</v>
      </c>
      <c r="O651" s="8">
        <v>13772</v>
      </c>
      <c r="P651" s="8">
        <v>13856</v>
      </c>
      <c r="Q651" s="8">
        <v>13958</v>
      </c>
      <c r="R651" s="7">
        <f t="shared" si="6"/>
        <v>2.5402833333213692E-2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4.4" hidden="1">
      <c r="A652" s="3">
        <f>LOOKUP(D652,'AMFI DATA_2023H2'!F:L,'AMFI DATA_2023H2'!L:L)</f>
        <v>1078</v>
      </c>
      <c r="B652" s="4" t="s">
        <v>3059</v>
      </c>
      <c r="C652" s="4" t="s">
        <v>3060</v>
      </c>
      <c r="D652" s="5" t="s">
        <v>3061</v>
      </c>
      <c r="E652" s="5">
        <v>781.95</v>
      </c>
      <c r="F652" s="6">
        <f>LOOKUP(D652,'AMFI DATA_2023H2'!F:J,'AMFI DATA_2023H2'!J:J)</f>
        <v>1388.07565</v>
      </c>
      <c r="G652" s="7">
        <f t="shared" si="5"/>
        <v>4.2680310687677192E-3</v>
      </c>
      <c r="H652" s="8">
        <v>1394</v>
      </c>
      <c r="I652" s="8">
        <v>1408</v>
      </c>
      <c r="J652" s="8">
        <v>1403</v>
      </c>
      <c r="K652" s="8">
        <v>1399</v>
      </c>
      <c r="L652" s="8">
        <v>1404</v>
      </c>
      <c r="M652" s="8">
        <v>1423</v>
      </c>
      <c r="N652" s="8">
        <v>1422</v>
      </c>
      <c r="O652" s="8">
        <v>1395</v>
      </c>
      <c r="P652" s="8">
        <v>1440</v>
      </c>
      <c r="Q652" s="8">
        <v>1396</v>
      </c>
      <c r="R652" s="7">
        <f t="shared" si="6"/>
        <v>1.4642105421271534E-2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4.4" hidden="1">
      <c r="A653" s="3">
        <f>LOOKUP(D653,'AMFI DATA_2023H2'!F:L,'AMFI DATA_2023H2'!L:L)</f>
        <v>1000</v>
      </c>
      <c r="B653" s="4" t="s">
        <v>2861</v>
      </c>
      <c r="C653" s="4" t="s">
        <v>2862</v>
      </c>
      <c r="D653" s="5" t="s">
        <v>2863</v>
      </c>
      <c r="E653" s="5">
        <v>1298.54</v>
      </c>
      <c r="F653" s="6">
        <f>LOOKUP(D653,'AMFI DATA_2023H2'!F:J,'AMFI DATA_2023H2'!J:J)</f>
        <v>1717.3162</v>
      </c>
      <c r="G653" s="7">
        <f t="shared" si="5"/>
        <v>5.8628574050602955E-2</v>
      </c>
      <c r="H653" s="8">
        <v>1818</v>
      </c>
      <c r="I653" s="8">
        <v>1710</v>
      </c>
      <c r="J653" s="8">
        <v>1714</v>
      </c>
      <c r="K653" s="8">
        <v>1727</v>
      </c>
      <c r="L653" s="8">
        <v>1733</v>
      </c>
      <c r="M653" s="8">
        <v>1729</v>
      </c>
      <c r="N653" s="8">
        <v>1744</v>
      </c>
      <c r="O653" s="8">
        <v>1737</v>
      </c>
      <c r="P653" s="8">
        <v>1755</v>
      </c>
      <c r="Q653" s="8">
        <v>1751</v>
      </c>
      <c r="R653" s="7">
        <f t="shared" si="6"/>
        <v>1.4257013356072656E-2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4.4" hidden="1">
      <c r="A654" s="3">
        <f>LOOKUP(D654,'AMFI DATA_2023H2'!F:L,'AMFI DATA_2023H2'!L:L)</f>
        <v>1794</v>
      </c>
      <c r="B654" s="4" t="s">
        <v>4466</v>
      </c>
      <c r="C654" s="4" t="s">
        <v>4467</v>
      </c>
      <c r="D654" s="5" t="s">
        <v>4468</v>
      </c>
      <c r="E654" s="5">
        <v>230.82</v>
      </c>
      <c r="F654" s="6">
        <f>LOOKUP(D654,'AMFI DATA_2023H2'!F:J,'AMFI DATA_2023H2'!J:J)</f>
        <v>272.70089999999999</v>
      </c>
      <c r="G654" s="7">
        <f t="shared" si="5"/>
        <v>0.1697797843718154</v>
      </c>
      <c r="H654" s="9">
        <v>319</v>
      </c>
      <c r="I654" s="9">
        <v>315</v>
      </c>
      <c r="J654" s="9">
        <v>312</v>
      </c>
      <c r="K654" s="9">
        <v>321</v>
      </c>
      <c r="L654" s="9">
        <v>317</v>
      </c>
      <c r="M654" s="9">
        <v>321</v>
      </c>
      <c r="N654" s="9">
        <v>338</v>
      </c>
      <c r="O654" s="9">
        <v>334</v>
      </c>
      <c r="P654" s="9">
        <v>344</v>
      </c>
      <c r="Q654" s="9">
        <v>353</v>
      </c>
      <c r="R654" s="7">
        <f t="shared" si="6"/>
        <v>0.20058276301985067</v>
      </c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4.4" hidden="1">
      <c r="A655" s="3">
        <f>LOOKUP(D655,'AMFI DATA_2023H2'!F:L,'AMFI DATA_2023H2'!L:L)</f>
        <v>706</v>
      </c>
      <c r="B655" s="4" t="s">
        <v>2070</v>
      </c>
      <c r="C655" s="4" t="s">
        <v>2071</v>
      </c>
      <c r="D655" s="5" t="s">
        <v>2072</v>
      </c>
      <c r="E655" s="5">
        <v>3625.6</v>
      </c>
      <c r="F655" s="6">
        <f>LOOKUP(D655,'AMFI DATA_2023H2'!F:J,'AMFI DATA_2023H2'!J:J)</f>
        <v>3808.2193499999998</v>
      </c>
      <c r="G655" s="7">
        <f t="shared" si="5"/>
        <v>-4.5223064685073866E-2</v>
      </c>
      <c r="H655" s="8">
        <v>3636</v>
      </c>
      <c r="I655" s="8">
        <v>3679</v>
      </c>
      <c r="J655" s="8">
        <v>3578</v>
      </c>
      <c r="K655" s="8">
        <v>3567</v>
      </c>
      <c r="L655" s="8">
        <v>3571</v>
      </c>
      <c r="M655" s="8">
        <v>3552</v>
      </c>
      <c r="N655" s="8">
        <v>3585</v>
      </c>
      <c r="O655" s="8">
        <v>3589</v>
      </c>
      <c r="P655" s="8">
        <v>3550</v>
      </c>
      <c r="Q655" s="8">
        <v>3566</v>
      </c>
      <c r="R655" s="7">
        <f t="shared" si="6"/>
        <v>-5.8011193604170841E-2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4.4" hidden="1">
      <c r="A656" s="3">
        <f>LOOKUP(D656,'AMFI DATA_2023H2'!F:L,'AMFI DATA_2023H2'!L:L)</f>
        <v>759</v>
      </c>
      <c r="B656" s="4" t="s">
        <v>2222</v>
      </c>
      <c r="C656" s="4" t="s">
        <v>2223</v>
      </c>
      <c r="D656" s="5" t="s">
        <v>2224</v>
      </c>
      <c r="E656" s="5">
        <v>2604.11</v>
      </c>
      <c r="F656" s="6">
        <f>LOOKUP(D656,'AMFI DATA_2023H2'!F:J,'AMFI DATA_2023H2'!J:J)</f>
        <v>3247.6437999999998</v>
      </c>
      <c r="G656" s="7">
        <f t="shared" si="5"/>
        <v>0.26984369406521735</v>
      </c>
      <c r="H656" s="8">
        <v>4124</v>
      </c>
      <c r="I656" s="8">
        <v>4018</v>
      </c>
      <c r="J656" s="8">
        <v>3892</v>
      </c>
      <c r="K656" s="8">
        <v>3882</v>
      </c>
      <c r="L656" s="8">
        <v>3839</v>
      </c>
      <c r="M656" s="8">
        <v>3749</v>
      </c>
      <c r="N656" s="8">
        <v>3758</v>
      </c>
      <c r="O656" s="8">
        <v>3834</v>
      </c>
      <c r="P656" s="8">
        <v>3917</v>
      </c>
      <c r="Q656" s="8">
        <v>3903</v>
      </c>
      <c r="R656" s="7">
        <f t="shared" si="6"/>
        <v>0.19828412216881675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4.4" hidden="1">
      <c r="A657" s="3">
        <f>LOOKUP(D657,'AMFI DATA_2023H2'!F:L,'AMFI DATA_2023H2'!L:L)</f>
        <v>230</v>
      </c>
      <c r="B657" s="4" t="s">
        <v>699</v>
      </c>
      <c r="C657" s="4" t="s">
        <v>700</v>
      </c>
      <c r="D657" s="5" t="s">
        <v>701</v>
      </c>
      <c r="E657" s="5">
        <v>19609.23</v>
      </c>
      <c r="F657" s="6">
        <f>LOOKUP(D657,'AMFI DATA_2023H2'!F:J,'AMFI DATA_2023H2'!J:J)</f>
        <v>24571.503949999998</v>
      </c>
      <c r="G657" s="7">
        <f t="shared" si="5"/>
        <v>7.1422591941101565E-3</v>
      </c>
      <c r="H657" s="8">
        <v>24747</v>
      </c>
      <c r="I657" s="8">
        <v>24336</v>
      </c>
      <c r="J657" s="8">
        <v>24585</v>
      </c>
      <c r="K657" s="8">
        <v>25104</v>
      </c>
      <c r="L657" s="8">
        <v>25525</v>
      </c>
      <c r="M657" s="8">
        <v>25314</v>
      </c>
      <c r="N657" s="8">
        <v>24470</v>
      </c>
      <c r="O657" s="8">
        <v>24200</v>
      </c>
      <c r="P657" s="8">
        <v>24188</v>
      </c>
      <c r="Q657" s="8">
        <v>24529</v>
      </c>
      <c r="R657" s="7">
        <f t="shared" si="6"/>
        <v>5.2213348544341009E-3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4.4" hidden="1">
      <c r="A658" s="3">
        <f>LOOKUP(D658,'AMFI DATA_2023H2'!F:L,'AMFI DATA_2023H2'!L:L)</f>
        <v>72</v>
      </c>
      <c r="B658" s="4" t="s">
        <v>228</v>
      </c>
      <c r="C658" s="4" t="s">
        <v>229</v>
      </c>
      <c r="D658" s="5" t="s">
        <v>230</v>
      </c>
      <c r="E658" s="5">
        <v>77125.7</v>
      </c>
      <c r="F658" s="6">
        <f>LOOKUP(D658,'AMFI DATA_2023H2'!F:J,'AMFI DATA_2023H2'!J:J)</f>
        <v>83278.469599999997</v>
      </c>
      <c r="G658" s="7">
        <f t="shared" si="5"/>
        <v>5.6227382929717074E-2</v>
      </c>
      <c r="H658" s="8">
        <v>87961</v>
      </c>
      <c r="I658" s="8">
        <v>87733</v>
      </c>
      <c r="J658" s="8">
        <v>87526</v>
      </c>
      <c r="K658" s="8">
        <v>86501</v>
      </c>
      <c r="L658" s="8">
        <v>85144</v>
      </c>
      <c r="M658" s="8">
        <v>85852</v>
      </c>
      <c r="N658" s="8">
        <v>85511</v>
      </c>
      <c r="O658" s="8">
        <v>85448</v>
      </c>
      <c r="P658" s="8">
        <v>85320</v>
      </c>
      <c r="Q658" s="8">
        <v>84715</v>
      </c>
      <c r="R658" s="7">
        <f t="shared" si="6"/>
        <v>3.4734432727856035E-2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4.4" hidden="1">
      <c r="A659" s="3">
        <f>LOOKUP(D659,'AMFI DATA_2023H2'!F:L,'AMFI DATA_2023H2'!L:L)</f>
        <v>2920</v>
      </c>
      <c r="B659" s="4" t="s">
        <v>5515</v>
      </c>
      <c r="C659" s="4" t="s">
        <v>5516</v>
      </c>
      <c r="D659" s="5" t="s">
        <v>5517</v>
      </c>
      <c r="E659" s="5">
        <v>34.9</v>
      </c>
      <c r="F659" s="6">
        <f>LOOKUP(D659,'AMFI DATA_2023H2'!F:J,'AMFI DATA_2023H2'!J:J)</f>
        <v>42.901600000000002</v>
      </c>
      <c r="G659" s="7">
        <f t="shared" si="5"/>
        <v>0.28200346840211088</v>
      </c>
      <c r="H659" s="9">
        <v>55</v>
      </c>
      <c r="I659" s="9">
        <v>53.2</v>
      </c>
      <c r="J659" s="9">
        <v>53.5</v>
      </c>
      <c r="K659" s="9">
        <v>52.1</v>
      </c>
      <c r="L659" s="9">
        <v>52.2</v>
      </c>
      <c r="M659" s="9">
        <v>52.3</v>
      </c>
      <c r="N659" s="9">
        <v>50</v>
      </c>
      <c r="O659" s="9">
        <v>50.6</v>
      </c>
      <c r="P659" s="9">
        <v>50.5</v>
      </c>
      <c r="Q659" s="9">
        <v>50.2</v>
      </c>
      <c r="R659" s="7">
        <f t="shared" si="6"/>
        <v>0.21114364033043054</v>
      </c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4.4" hidden="1">
      <c r="A660" s="3">
        <f>LOOKUP(D660,'AMFI DATA_2023H2'!F:L,'AMFI DATA_2023H2'!L:L)</f>
        <v>477</v>
      </c>
      <c r="B660" s="4" t="s">
        <v>1419</v>
      </c>
      <c r="C660" s="4" t="s">
        <v>1420</v>
      </c>
      <c r="D660" s="5" t="s">
        <v>1421</v>
      </c>
      <c r="E660" s="5">
        <v>3008.72</v>
      </c>
      <c r="F660" s="6">
        <f>LOOKUP(D660,'AMFI DATA_2023H2'!F:J,'AMFI DATA_2023H2'!J:J)</f>
        <v>7872.0473499999998</v>
      </c>
      <c r="G660" s="7">
        <f t="shared" si="5"/>
        <v>0.59805949337944475</v>
      </c>
      <c r="H660" s="8">
        <v>12580</v>
      </c>
      <c r="I660" s="8">
        <v>12630</v>
      </c>
      <c r="J660" s="8">
        <v>12714</v>
      </c>
      <c r="K660" s="8">
        <v>12542</v>
      </c>
      <c r="L660" s="8">
        <v>12075</v>
      </c>
      <c r="M660" s="8">
        <v>12095</v>
      </c>
      <c r="N660" s="8">
        <v>12357</v>
      </c>
      <c r="O660" s="8">
        <v>12581</v>
      </c>
      <c r="P660" s="8">
        <v>12367</v>
      </c>
      <c r="Q660" s="8">
        <v>12288</v>
      </c>
      <c r="R660" s="7">
        <f t="shared" si="6"/>
        <v>0.57810280447563622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4.4" hidden="1">
      <c r="A661" s="3">
        <f>LOOKUP(D661,'AMFI DATA_2023H2'!F:L,'AMFI DATA_2023H2'!L:L)</f>
        <v>1463</v>
      </c>
      <c r="B661" s="4" t="s">
        <v>3881</v>
      </c>
      <c r="C661" s="4" t="s">
        <v>3882</v>
      </c>
      <c r="D661" s="5" t="s">
        <v>3883</v>
      </c>
      <c r="E661" s="5">
        <v>463.35</v>
      </c>
      <c r="F661" s="6">
        <f>LOOKUP(D661,'AMFI DATA_2023H2'!F:J,'AMFI DATA_2023H2'!J:J)</f>
        <v>560.57815000000005</v>
      </c>
      <c r="G661" s="7">
        <f t="shared" si="5"/>
        <v>0.37001415413711713</v>
      </c>
      <c r="H661" s="9">
        <v>768</v>
      </c>
      <c r="I661" s="9">
        <v>792</v>
      </c>
      <c r="J661" s="9">
        <v>722</v>
      </c>
      <c r="K661" s="9">
        <v>687</v>
      </c>
      <c r="L661" s="9">
        <v>689</v>
      </c>
      <c r="M661" s="9">
        <v>668</v>
      </c>
      <c r="N661" s="9">
        <v>691</v>
      </c>
      <c r="O661" s="9">
        <v>701</v>
      </c>
      <c r="P661" s="9">
        <v>726</v>
      </c>
      <c r="Q661" s="9">
        <v>719</v>
      </c>
      <c r="R661" s="7">
        <f t="shared" si="6"/>
        <v>0.27778794089637615</v>
      </c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4.4" hidden="1">
      <c r="A662" s="3">
        <f>LOOKUP(D662,'AMFI DATA_2023H2'!F:L,'AMFI DATA_2023H2'!L:L)</f>
        <v>14</v>
      </c>
      <c r="B662" s="4" t="s">
        <v>46</v>
      </c>
      <c r="C662" s="4" t="s">
        <v>47</v>
      </c>
      <c r="D662" s="5" t="s">
        <v>48</v>
      </c>
      <c r="E662" s="5">
        <v>299146.53999999998</v>
      </c>
      <c r="F662" s="6">
        <f>LOOKUP(D662,'AMFI DATA_2023H2'!F:J,'AMFI DATA_2023H2'!J:J)</f>
        <v>339443.17555000004</v>
      </c>
      <c r="G662" s="7">
        <f t="shared" si="5"/>
        <v>0.14772376663266806</v>
      </c>
      <c r="H662" s="8">
        <v>389587</v>
      </c>
      <c r="I662" s="8">
        <v>385327</v>
      </c>
      <c r="J662" s="8">
        <v>390089</v>
      </c>
      <c r="K662" s="8">
        <v>398678</v>
      </c>
      <c r="L662" s="8">
        <v>402477</v>
      </c>
      <c r="M662" s="8">
        <v>397850</v>
      </c>
      <c r="N662" s="8">
        <v>399967</v>
      </c>
      <c r="O662" s="8">
        <v>399343</v>
      </c>
      <c r="P662" s="8">
        <v>395883</v>
      </c>
      <c r="Q662" s="8">
        <v>396928</v>
      </c>
      <c r="R662" s="7">
        <f t="shared" si="6"/>
        <v>0.16547607521932983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4.4">
      <c r="A663" s="3">
        <f>LOOKUP(D663,'AMFI DATA_2023H2'!F:L,'AMFI DATA_2023H2'!L:L)</f>
        <v>112</v>
      </c>
      <c r="B663" s="4" t="s">
        <v>348</v>
      </c>
      <c r="C663" s="4" t="s">
        <v>349</v>
      </c>
      <c r="D663" s="5" t="s">
        <v>350</v>
      </c>
      <c r="E663" s="5">
        <v>40131.96</v>
      </c>
      <c r="F663" s="6">
        <f>LOOKUP(D663,'AMFI DATA_2023H2'!F:J,'AMFI DATA_2023H2'!J:J)</f>
        <v>57384.742050000001</v>
      </c>
      <c r="G663" s="7">
        <f t="shared" si="5"/>
        <v>0.22827074727610452</v>
      </c>
      <c r="H663" s="8">
        <v>70484</v>
      </c>
      <c r="I663" s="8">
        <v>71012</v>
      </c>
      <c r="J663" s="8">
        <v>69200</v>
      </c>
      <c r="K663" s="8">
        <v>69546</v>
      </c>
      <c r="L663" s="8">
        <v>68817</v>
      </c>
      <c r="M663" s="8">
        <v>68452</v>
      </c>
      <c r="N663" s="8">
        <v>68654</v>
      </c>
      <c r="O663" s="8">
        <v>68442</v>
      </c>
      <c r="P663" s="8">
        <v>68245</v>
      </c>
      <c r="Q663" s="8">
        <v>68774</v>
      </c>
      <c r="R663" s="14">
        <f t="shared" si="6"/>
        <v>0.20524372035580152</v>
      </c>
      <c r="S663" s="8"/>
      <c r="T663" s="8">
        <v>3299.4</v>
      </c>
      <c r="U663" s="15">
        <f ca="1">IFERROR(__xludf.DUMMYFUNCTION("GOOGLEFINANCE(C663,""PRICE"")"),3402.05)</f>
        <v>3402.05</v>
      </c>
      <c r="V663" s="13" t="s">
        <v>5787</v>
      </c>
      <c r="W663" s="7">
        <f ca="1">U663/T663-1</f>
        <v>3.1111717281930185E-2</v>
      </c>
      <c r="X663" s="8"/>
      <c r="Y663" s="8"/>
      <c r="Z663" s="8"/>
      <c r="AA663" s="8"/>
      <c r="AB663" s="8"/>
    </row>
    <row r="664" spans="1:28" ht="14.4" hidden="1">
      <c r="A664" s="3">
        <f>LOOKUP(D664,'AMFI DATA_2023H2'!F:L,'AMFI DATA_2023H2'!L:L)</f>
        <v>3</v>
      </c>
      <c r="B664" s="4" t="s">
        <v>13</v>
      </c>
      <c r="C664" s="4" t="s">
        <v>14</v>
      </c>
      <c r="D664" s="5" t="s">
        <v>15</v>
      </c>
      <c r="E664" s="5">
        <v>908769.9</v>
      </c>
      <c r="F664" s="6">
        <f>LOOKUP(D664,'AMFI DATA_2023H2'!F:J,'AMFI DATA_2023H2'!J:J)</f>
        <v>1179521.8052000001</v>
      </c>
      <c r="G664" s="7">
        <f t="shared" si="5"/>
        <v>8.3011771692849345E-2</v>
      </c>
      <c r="H664" s="8">
        <v>1277436</v>
      </c>
      <c r="I664" s="8">
        <v>1283775</v>
      </c>
      <c r="J664" s="8">
        <v>1270109</v>
      </c>
      <c r="K664" s="8">
        <v>1290153</v>
      </c>
      <c r="L664" s="8">
        <v>1291139</v>
      </c>
      <c r="M664" s="8">
        <v>1297972</v>
      </c>
      <c r="N664" s="8">
        <v>1294594</v>
      </c>
      <c r="O664" s="8">
        <v>1292809</v>
      </c>
      <c r="P664" s="8">
        <v>1277436</v>
      </c>
      <c r="Q664" s="8">
        <v>1268515</v>
      </c>
      <c r="R664" s="7">
        <f t="shared" si="6"/>
        <v>8.8910602871150601E-2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4.4" hidden="1">
      <c r="A665" s="3">
        <f>LOOKUP(D665,'AMFI DATA_2023H2'!F:L,'AMFI DATA_2023H2'!L:L)</f>
        <v>42</v>
      </c>
      <c r="B665" s="4" t="s">
        <v>135</v>
      </c>
      <c r="C665" s="4" t="s">
        <v>136</v>
      </c>
      <c r="D665" s="5" t="s">
        <v>137</v>
      </c>
      <c r="E665" s="5">
        <v>117683.12</v>
      </c>
      <c r="F665" s="6">
        <f>LOOKUP(D665,'AMFI DATA_2023H2'!F:J,'AMFI DATA_2023H2'!J:J)</f>
        <v>138974.86044999998</v>
      </c>
      <c r="G665" s="7">
        <f t="shared" si="5"/>
        <v>3.1760816205972375E-4</v>
      </c>
      <c r="H665" s="8">
        <v>139019</v>
      </c>
      <c r="I665" s="8">
        <v>139352</v>
      </c>
      <c r="J665" s="8">
        <v>137212</v>
      </c>
      <c r="K665" s="8">
        <v>138782</v>
      </c>
      <c r="L665" s="8">
        <v>139363</v>
      </c>
      <c r="M665" s="8">
        <v>139158</v>
      </c>
      <c r="N665" s="8">
        <v>139373</v>
      </c>
      <c r="O665" s="8">
        <v>138126</v>
      </c>
      <c r="P665" s="8">
        <v>137223</v>
      </c>
      <c r="Q665" s="8">
        <v>137610</v>
      </c>
      <c r="R665" s="7">
        <f t="shared" si="6"/>
        <v>-3.2600173048059622E-3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4.4" hidden="1">
      <c r="A666" s="3">
        <f>LOOKUP(D666,'AMFI DATA_2023H2'!F:L,'AMFI DATA_2023H2'!L:L)</f>
        <v>3206</v>
      </c>
      <c r="B666" s="4" t="s">
        <v>5620</v>
      </c>
      <c r="C666" s="4" t="s">
        <v>5621</v>
      </c>
      <c r="D666" s="5" t="s">
        <v>5622</v>
      </c>
      <c r="E666" s="5">
        <v>29.88</v>
      </c>
      <c r="F666" s="6">
        <f>LOOKUP(D666,'AMFI DATA_2023H2'!F:J,'AMFI DATA_2023H2'!J:J)</f>
        <v>27.5749</v>
      </c>
      <c r="G666" s="7">
        <f t="shared" si="5"/>
        <v>0.32729402463834867</v>
      </c>
      <c r="H666" s="9">
        <v>36.6</v>
      </c>
      <c r="I666" s="9">
        <v>36.9</v>
      </c>
      <c r="J666" s="9">
        <v>35.1</v>
      </c>
      <c r="K666" s="9">
        <v>32.9</v>
      </c>
      <c r="L666" s="9">
        <v>34</v>
      </c>
      <c r="M666" s="9">
        <v>34.1</v>
      </c>
      <c r="N666" s="9">
        <v>35.1</v>
      </c>
      <c r="O666" s="9">
        <v>34.700000000000003</v>
      </c>
      <c r="P666" s="9">
        <v>33.200000000000003</v>
      </c>
      <c r="Q666" s="9">
        <v>33.200000000000003</v>
      </c>
      <c r="R666" s="7">
        <f t="shared" si="6"/>
        <v>0.25403899923481132</v>
      </c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4.4" hidden="1">
      <c r="A667" s="3">
        <f>LOOKUP(D667,'AMFI DATA_2023H2'!F:L,'AMFI DATA_2023H2'!L:L)</f>
        <v>617</v>
      </c>
      <c r="B667" s="4" t="s">
        <v>1821</v>
      </c>
      <c r="C667" s="4" t="s">
        <v>1822</v>
      </c>
      <c r="D667" s="5" t="s">
        <v>1823</v>
      </c>
      <c r="E667" s="5">
        <v>3978.72</v>
      </c>
      <c r="F667" s="6">
        <f>LOOKUP(D667,'AMFI DATA_2023H2'!F:J,'AMFI DATA_2023H2'!J:J)</f>
        <v>4907.0067500000005</v>
      </c>
      <c r="G667" s="7">
        <f t="shared" si="5"/>
        <v>5.0131019281764777E-2</v>
      </c>
      <c r="H667" s="8">
        <v>5153</v>
      </c>
      <c r="I667" s="8">
        <v>5110</v>
      </c>
      <c r="J667" s="8">
        <v>5180</v>
      </c>
      <c r="K667" s="8">
        <v>5149</v>
      </c>
      <c r="L667" s="8">
        <v>5091</v>
      </c>
      <c r="M667" s="8">
        <v>5056</v>
      </c>
      <c r="N667" s="8">
        <v>5084</v>
      </c>
      <c r="O667" s="8">
        <v>5100</v>
      </c>
      <c r="P667" s="8">
        <v>5174</v>
      </c>
      <c r="Q667" s="8">
        <v>5121</v>
      </c>
      <c r="R667" s="7">
        <f t="shared" si="6"/>
        <v>4.3772764323179336E-2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4.4" hidden="1">
      <c r="A668" s="3">
        <f>LOOKUP(D668,'AMFI DATA_2023H2'!F:L,'AMFI DATA_2023H2'!L:L)</f>
        <v>2815</v>
      </c>
      <c r="B668" s="4" t="s">
        <v>5470</v>
      </c>
      <c r="C668" s="4" t="s">
        <v>5471</v>
      </c>
      <c r="D668" s="5" t="s">
        <v>5472</v>
      </c>
      <c r="E668" s="5">
        <v>35.81</v>
      </c>
      <c r="F668" s="6">
        <f>LOOKUP(D668,'AMFI DATA_2023H2'!F:J,'AMFI DATA_2023H2'!J:J)</f>
        <v>50.002400000000002</v>
      </c>
      <c r="G668" s="7">
        <f t="shared" si="5"/>
        <v>0.57992416364014532</v>
      </c>
      <c r="H668" s="9">
        <v>79</v>
      </c>
      <c r="I668" s="9">
        <v>83.1</v>
      </c>
      <c r="J668" s="9">
        <v>87.5</v>
      </c>
      <c r="K668" s="9">
        <v>92.1</v>
      </c>
      <c r="L668" s="9">
        <v>87.7</v>
      </c>
      <c r="M668" s="9">
        <v>92.3</v>
      </c>
      <c r="N668" s="9">
        <v>97.1</v>
      </c>
      <c r="O668" s="9">
        <v>102</v>
      </c>
      <c r="P668" s="9">
        <v>97.4</v>
      </c>
      <c r="Q668" s="9">
        <v>92.8</v>
      </c>
      <c r="R668" s="7">
        <f t="shared" si="6"/>
        <v>0.82191254819768633</v>
      </c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4.4" hidden="1">
      <c r="A669" s="3">
        <f>LOOKUP(D669,'AMFI DATA_2023H2'!F:L,'AMFI DATA_2023H2'!L:L)</f>
        <v>542</v>
      </c>
      <c r="B669" s="4" t="s">
        <v>1605</v>
      </c>
      <c r="C669" s="4" t="s">
        <v>1606</v>
      </c>
      <c r="D669" s="5" t="s">
        <v>1607</v>
      </c>
      <c r="E669" s="5">
        <v>4338.9399999999996</v>
      </c>
      <c r="F669" s="6">
        <f>LOOKUP(D669,'AMFI DATA_2023H2'!F:J,'AMFI DATA_2023H2'!J:J)</f>
        <v>6557.3706000000002</v>
      </c>
      <c r="G669" s="7">
        <f t="shared" si="5"/>
        <v>0.10074608258377227</v>
      </c>
      <c r="H669" s="8">
        <v>7218</v>
      </c>
      <c r="I669" s="8">
        <v>7260</v>
      </c>
      <c r="J669" s="8">
        <v>7196</v>
      </c>
      <c r="K669" s="8">
        <v>7285</v>
      </c>
      <c r="L669" s="8">
        <v>7414</v>
      </c>
      <c r="M669" s="8">
        <v>7349</v>
      </c>
      <c r="N669" s="8">
        <v>7431</v>
      </c>
      <c r="O669" s="8">
        <v>7264</v>
      </c>
      <c r="P669" s="8">
        <v>6944</v>
      </c>
      <c r="Q669" s="8">
        <v>6808</v>
      </c>
      <c r="R669" s="7">
        <f t="shared" si="6"/>
        <v>0.10057833241878988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4.4">
      <c r="A670" s="3">
        <f>LOOKUP(D670,'AMFI DATA_2023H2'!F:L,'AMFI DATA_2023H2'!L:L)</f>
        <v>663</v>
      </c>
      <c r="B670" s="4" t="s">
        <v>1944</v>
      </c>
      <c r="C670" s="4" t="s">
        <v>1945</v>
      </c>
      <c r="D670" s="5" t="s">
        <v>1946</v>
      </c>
      <c r="E670" s="5">
        <v>3907</v>
      </c>
      <c r="F670" s="6">
        <f>LOOKUP(D670,'AMFI DATA_2023H2'!F:J,'AMFI DATA_2023H2'!J:J)</f>
        <v>4320.8026</v>
      </c>
      <c r="G670" s="7">
        <f t="shared" si="5"/>
        <v>0.19838846606878091</v>
      </c>
      <c r="H670" s="8">
        <v>5178</v>
      </c>
      <c r="I670" s="8">
        <v>5204</v>
      </c>
      <c r="J670" s="8">
        <v>5226</v>
      </c>
      <c r="K670" s="8">
        <v>5257</v>
      </c>
      <c r="L670" s="8">
        <v>5286</v>
      </c>
      <c r="M670" s="8">
        <v>5269</v>
      </c>
      <c r="N670" s="8">
        <v>5255</v>
      </c>
      <c r="O670" s="8">
        <v>5341</v>
      </c>
      <c r="P670" s="8">
        <v>5249</v>
      </c>
      <c r="Q670" s="8">
        <v>5222</v>
      </c>
      <c r="R670" s="14">
        <f t="shared" si="6"/>
        <v>0.21475116683182893</v>
      </c>
      <c r="S670" s="8"/>
      <c r="T670" s="8">
        <v>229.75</v>
      </c>
      <c r="U670" s="15">
        <f ca="1">IFERROR(__xludf.DUMMYFUNCTION("GOOGLEFINANCE(C670,""PRICE"")"),226.5)</f>
        <v>226.5</v>
      </c>
      <c r="V670" s="13" t="s">
        <v>5787</v>
      </c>
      <c r="W670" s="7">
        <f ca="1">U670/T670-1</f>
        <v>-1.4145810663764968E-2</v>
      </c>
      <c r="X670" s="8"/>
      <c r="Y670" s="8"/>
      <c r="Z670" s="8"/>
      <c r="AA670" s="8"/>
      <c r="AB670" s="8"/>
    </row>
    <row r="671" spans="1:28" ht="14.4" hidden="1">
      <c r="A671" s="3">
        <f>LOOKUP(D671,'AMFI DATA_2023H2'!F:L,'AMFI DATA_2023H2'!L:L)</f>
        <v>726</v>
      </c>
      <c r="B671" s="4" t="s">
        <v>2123</v>
      </c>
      <c r="C671" s="4" t="s">
        <v>2124</v>
      </c>
      <c r="D671" s="5" t="s">
        <v>2125</v>
      </c>
      <c r="E671" s="5">
        <v>2739.5</v>
      </c>
      <c r="F671" s="6">
        <f>LOOKUP(D671,'AMFI DATA_2023H2'!F:J,'AMFI DATA_2023H2'!J:J)</f>
        <v>3546.3645999999999</v>
      </c>
      <c r="G671" s="7">
        <f t="shared" si="5"/>
        <v>0.34334749450183444</v>
      </c>
      <c r="H671" s="8">
        <v>4764</v>
      </c>
      <c r="I671" s="8">
        <v>4730</v>
      </c>
      <c r="J671" s="8">
        <v>4382</v>
      </c>
      <c r="K671" s="8">
        <v>4345</v>
      </c>
      <c r="L671" s="8">
        <v>4363</v>
      </c>
      <c r="M671" s="8">
        <v>4365</v>
      </c>
      <c r="N671" s="8">
        <v>4405</v>
      </c>
      <c r="O671" s="8">
        <v>4378</v>
      </c>
      <c r="P671" s="8">
        <v>4493</v>
      </c>
      <c r="Q671" s="8">
        <v>4315</v>
      </c>
      <c r="R671" s="7">
        <f t="shared" si="6"/>
        <v>0.25593403453215169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4.4" hidden="1">
      <c r="A672" s="3">
        <f>LOOKUP(D672,'AMFI DATA_2023H2'!F:L,'AMFI DATA_2023H2'!L:L)</f>
        <v>1057</v>
      </c>
      <c r="B672" s="4" t="s">
        <v>3011</v>
      </c>
      <c r="C672" s="4" t="s">
        <v>3012</v>
      </c>
      <c r="D672" s="5" t="s">
        <v>3013</v>
      </c>
      <c r="E672" s="5">
        <v>1446.9</v>
      </c>
      <c r="F672" s="6">
        <f>LOOKUP(D672,'AMFI DATA_2023H2'!F:J,'AMFI DATA_2023H2'!J:J)</f>
        <v>1455.3796</v>
      </c>
      <c r="G672" s="7">
        <f t="shared" si="5"/>
        <v>0.1467798504252773</v>
      </c>
      <c r="H672" s="8">
        <v>1669</v>
      </c>
      <c r="I672" s="8">
        <v>1623</v>
      </c>
      <c r="J672" s="8">
        <v>1610</v>
      </c>
      <c r="K672" s="8">
        <v>1611</v>
      </c>
      <c r="L672" s="8">
        <v>1615</v>
      </c>
      <c r="M672" s="8">
        <v>1589</v>
      </c>
      <c r="N672" s="8">
        <v>1529</v>
      </c>
      <c r="O672" s="8">
        <v>1496</v>
      </c>
      <c r="P672" s="8">
        <v>1493</v>
      </c>
      <c r="Q672" s="8">
        <v>1461</v>
      </c>
      <c r="R672" s="7">
        <f t="shared" si="6"/>
        <v>7.8481517811572976E-2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4.4" hidden="1">
      <c r="A673" s="3">
        <f>LOOKUP(D673,'AMFI DATA_2023H2'!F:L,'AMFI DATA_2023H2'!L:L)</f>
        <v>1208</v>
      </c>
      <c r="B673" s="4" t="s">
        <v>3371</v>
      </c>
      <c r="C673" s="4" t="s">
        <v>3372</v>
      </c>
      <c r="D673" s="5" t="s">
        <v>3373</v>
      </c>
      <c r="E673" s="5">
        <v>703.82</v>
      </c>
      <c r="F673" s="6">
        <f>LOOKUP(D673,'AMFI DATA_2023H2'!F:J,'AMFI DATA_2023H2'!J:J)</f>
        <v>1036.4045000000001</v>
      </c>
      <c r="G673" s="7">
        <f t="shared" si="5"/>
        <v>0.10960537126189629</v>
      </c>
      <c r="H673" s="8">
        <v>1150</v>
      </c>
      <c r="I673" s="8">
        <v>1150</v>
      </c>
      <c r="J673" s="8">
        <v>1160</v>
      </c>
      <c r="K673" s="8">
        <v>1135</v>
      </c>
      <c r="L673" s="8">
        <v>1146</v>
      </c>
      <c r="M673" s="8">
        <v>1132</v>
      </c>
      <c r="N673" s="8">
        <v>1132</v>
      </c>
      <c r="O673" s="8">
        <v>1149</v>
      </c>
      <c r="P673" s="8">
        <v>1132</v>
      </c>
      <c r="Q673" s="8">
        <v>1079</v>
      </c>
      <c r="R673" s="7">
        <f t="shared" si="6"/>
        <v>9.6579569077517302E-2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4.4">
      <c r="A674" s="3">
        <f>LOOKUP(D674,'AMFI DATA_2023H2'!F:L,'AMFI DATA_2023H2'!L:L)</f>
        <v>883</v>
      </c>
      <c r="B674" s="4" t="s">
        <v>2561</v>
      </c>
      <c r="C674" s="4" t="s">
        <v>2562</v>
      </c>
      <c r="D674" s="5" t="s">
        <v>2563</v>
      </c>
      <c r="E674" s="5">
        <v>1613.73</v>
      </c>
      <c r="F674" s="6">
        <f>LOOKUP(D674,'AMFI DATA_2023H2'!F:J,'AMFI DATA_2023H2'!J:J)</f>
        <v>2244.0544499999996</v>
      </c>
      <c r="G674" s="7">
        <f t="shared" si="5"/>
        <v>0.23214479042609715</v>
      </c>
      <c r="H674" s="8">
        <v>2765</v>
      </c>
      <c r="I674" s="8">
        <v>2811</v>
      </c>
      <c r="J674" s="8">
        <v>2765</v>
      </c>
      <c r="K674" s="8">
        <v>2811</v>
      </c>
      <c r="L674" s="8">
        <v>2814</v>
      </c>
      <c r="M674" s="8">
        <v>2818</v>
      </c>
      <c r="N674" s="8">
        <v>2818</v>
      </c>
      <c r="O674" s="8">
        <v>2789</v>
      </c>
      <c r="P674" s="8">
        <v>2816</v>
      </c>
      <c r="Q674" s="8">
        <v>2510</v>
      </c>
      <c r="R674" s="14">
        <f t="shared" si="6"/>
        <v>0.23513045773020358</v>
      </c>
      <c r="S674" s="8"/>
      <c r="T674" s="8">
        <v>298</v>
      </c>
      <c r="U674" s="15">
        <f ca="1">IFERROR(__xludf.DUMMYFUNCTION("GOOGLEFINANCE(C674,""PRICE"")"),327.1)</f>
        <v>327.10000000000002</v>
      </c>
      <c r="V674" s="13" t="s">
        <v>5787</v>
      </c>
      <c r="W674" s="7">
        <f ca="1">U674/T674-1</f>
        <v>9.7651006711409583E-2</v>
      </c>
      <c r="X674" s="8"/>
      <c r="Y674" s="8"/>
      <c r="Z674" s="8"/>
      <c r="AA674" s="8"/>
      <c r="AB674" s="8"/>
    </row>
    <row r="675" spans="1:28" ht="14.4" hidden="1">
      <c r="A675" s="3">
        <f>LOOKUP(D675,'AMFI DATA_2023H2'!F:L,'AMFI DATA_2023H2'!L:L)</f>
        <v>101</v>
      </c>
      <c r="B675" s="4" t="s">
        <v>315</v>
      </c>
      <c r="C675" s="4" t="s">
        <v>316</v>
      </c>
      <c r="D675" s="5" t="s">
        <v>317</v>
      </c>
      <c r="E675" s="5">
        <v>52342.96</v>
      </c>
      <c r="F675" s="6">
        <f>LOOKUP(D675,'AMFI DATA_2023H2'!F:J,'AMFI DATA_2023H2'!J:J)</f>
        <v>64425.150450000001</v>
      </c>
      <c r="G675" s="7">
        <f t="shared" si="5"/>
        <v>0.23776195232773412</v>
      </c>
      <c r="H675" s="8">
        <v>79743</v>
      </c>
      <c r="I675" s="8">
        <v>78894</v>
      </c>
      <c r="J675" s="8">
        <v>79875</v>
      </c>
      <c r="K675" s="8">
        <v>81867</v>
      </c>
      <c r="L675" s="8">
        <v>82240</v>
      </c>
      <c r="M675" s="8">
        <v>82777</v>
      </c>
      <c r="N675" s="8">
        <v>83435</v>
      </c>
      <c r="O675" s="8">
        <v>81343</v>
      </c>
      <c r="P675" s="8">
        <v>81295</v>
      </c>
      <c r="Q675" s="8">
        <v>78670</v>
      </c>
      <c r="R675" s="7">
        <f t="shared" si="6"/>
        <v>0.25748872038528536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4.4" hidden="1">
      <c r="A676" s="3">
        <f>LOOKUP(D676,'AMFI DATA_2023H2'!F:L,'AMFI DATA_2023H2'!L:L)</f>
        <v>1074</v>
      </c>
      <c r="B676" s="4" t="s">
        <v>3050</v>
      </c>
      <c r="C676" s="4" t="s">
        <v>3051</v>
      </c>
      <c r="D676" s="5" t="s">
        <v>3052</v>
      </c>
      <c r="E676" s="5">
        <v>1476.92</v>
      </c>
      <c r="F676" s="6">
        <f>LOOKUP(D676,'AMFI DATA_2023H2'!F:J,'AMFI DATA_2023H2'!J:J)</f>
        <v>1400.2932500000002</v>
      </c>
      <c r="G676" s="7">
        <f t="shared" si="5"/>
        <v>-5.4483766168265224E-2</v>
      </c>
      <c r="H676" s="8">
        <v>1324</v>
      </c>
      <c r="I676" s="8">
        <v>1289</v>
      </c>
      <c r="J676" s="8">
        <v>1250</v>
      </c>
      <c r="K676" s="8">
        <v>1252</v>
      </c>
      <c r="L676" s="8">
        <v>1244</v>
      </c>
      <c r="M676" s="8">
        <v>1239</v>
      </c>
      <c r="N676" s="8">
        <v>1245</v>
      </c>
      <c r="O676" s="8">
        <v>1232</v>
      </c>
      <c r="P676" s="8">
        <v>1238</v>
      </c>
      <c r="Q676" s="8">
        <v>1247</v>
      </c>
      <c r="R676" s="7">
        <f t="shared" si="6"/>
        <v>-0.10304502289074102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4.4" hidden="1">
      <c r="A677" s="3">
        <f>LOOKUP(D677,'AMFI DATA_2023H2'!F:L,'AMFI DATA_2023H2'!L:L)</f>
        <v>1184</v>
      </c>
      <c r="B677" s="4" t="s">
        <v>3308</v>
      </c>
      <c r="C677" s="4" t="s">
        <v>3309</v>
      </c>
      <c r="D677" s="5" t="s">
        <v>3310</v>
      </c>
      <c r="E677" s="5">
        <v>751.49</v>
      </c>
      <c r="F677" s="6">
        <f>LOOKUP(D677,'AMFI DATA_2023H2'!F:J,'AMFI DATA_2023H2'!J:J)</f>
        <v>1079.9353999999998</v>
      </c>
      <c r="G677" s="7">
        <f t="shared" si="5"/>
        <v>0.32044935280388076</v>
      </c>
      <c r="H677" s="8">
        <v>1426</v>
      </c>
      <c r="I677" s="8">
        <v>1456</v>
      </c>
      <c r="J677" s="8">
        <v>1479</v>
      </c>
      <c r="K677" s="8">
        <v>1476</v>
      </c>
      <c r="L677" s="8">
        <v>1331</v>
      </c>
      <c r="M677" s="8">
        <v>1356</v>
      </c>
      <c r="N677" s="8">
        <v>1382</v>
      </c>
      <c r="O677" s="8">
        <v>1399</v>
      </c>
      <c r="P677" s="8">
        <v>1426</v>
      </c>
      <c r="Q677" s="8">
        <v>1372</v>
      </c>
      <c r="R677" s="7">
        <f t="shared" si="6"/>
        <v>0.30591144618465149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4.4" hidden="1">
      <c r="A678" s="3">
        <f>LOOKUP(D678,'AMFI DATA_2023H2'!F:L,'AMFI DATA_2023H2'!L:L)</f>
        <v>1296</v>
      </c>
      <c r="B678" s="4" t="s">
        <v>3563</v>
      </c>
      <c r="C678" s="4" t="s">
        <v>3564</v>
      </c>
      <c r="D678" s="5" t="s">
        <v>3565</v>
      </c>
      <c r="E678" s="5">
        <v>828.91</v>
      </c>
      <c r="F678" s="6">
        <f>LOOKUP(D678,'AMFI DATA_2023H2'!F:J,'AMFI DATA_2023H2'!J:J)</f>
        <v>820.17219999999998</v>
      </c>
      <c r="G678" s="7">
        <f t="shared" si="5"/>
        <v>3.0271447873995383E-2</v>
      </c>
      <c r="H678" s="9">
        <v>845</v>
      </c>
      <c r="I678" s="9">
        <v>848</v>
      </c>
      <c r="J678" s="9">
        <v>849</v>
      </c>
      <c r="K678" s="9">
        <v>849</v>
      </c>
      <c r="L678" s="9">
        <v>851</v>
      </c>
      <c r="M678" s="9">
        <v>851</v>
      </c>
      <c r="N678" s="9">
        <v>856</v>
      </c>
      <c r="O678" s="9">
        <v>874</v>
      </c>
      <c r="P678" s="9">
        <v>871</v>
      </c>
      <c r="Q678" s="9">
        <v>862</v>
      </c>
      <c r="R678" s="7">
        <f t="shared" si="6"/>
        <v>4.3195563078095134E-2</v>
      </c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4.4">
      <c r="A679" s="3">
        <f>LOOKUP(D679,'AMFI DATA_2023H2'!F:L,'AMFI DATA_2023H2'!L:L)</f>
        <v>409</v>
      </c>
      <c r="B679" s="4" t="s">
        <v>1230</v>
      </c>
      <c r="C679" s="4" t="s">
        <v>1231</v>
      </c>
      <c r="D679" s="5" t="s">
        <v>1232</v>
      </c>
      <c r="E679" s="5">
        <v>9161.92</v>
      </c>
      <c r="F679" s="6">
        <f>LOOKUP(D679,'AMFI DATA_2023H2'!F:J,'AMFI DATA_2023H2'!J:J)</f>
        <v>9867.0375000000004</v>
      </c>
      <c r="G679" s="7">
        <f t="shared" si="5"/>
        <v>0.33089592494201026</v>
      </c>
      <c r="H679" s="8">
        <v>13132</v>
      </c>
      <c r="I679" s="8">
        <v>13038</v>
      </c>
      <c r="J679" s="8">
        <v>12580</v>
      </c>
      <c r="K679" s="8">
        <v>12164</v>
      </c>
      <c r="L679" s="8">
        <v>12089</v>
      </c>
      <c r="M679" s="8">
        <v>12025</v>
      </c>
      <c r="N679" s="8">
        <v>11846</v>
      </c>
      <c r="O679" s="8">
        <v>12016</v>
      </c>
      <c r="P679" s="8">
        <v>12257</v>
      </c>
      <c r="Q679" s="8">
        <v>11716</v>
      </c>
      <c r="R679" s="14">
        <f t="shared" si="6"/>
        <v>0.24518630845377842</v>
      </c>
      <c r="S679" s="8"/>
      <c r="T679" s="8">
        <v>91.75</v>
      </c>
      <c r="U679" s="15">
        <f ca="1">IFERROR(__xludf.DUMMYFUNCTION("GOOGLEFINANCE(C679,""PRICE"")"),98.9)</f>
        <v>98.9</v>
      </c>
      <c r="V679" s="13" t="s">
        <v>5787</v>
      </c>
      <c r="W679" s="7">
        <f ca="1">U679/T679-1</f>
        <v>7.792915531335165E-2</v>
      </c>
      <c r="X679" s="8"/>
      <c r="Y679" s="8"/>
      <c r="Z679" s="8"/>
      <c r="AA679" s="8"/>
      <c r="AB679" s="8"/>
    </row>
    <row r="680" spans="1:28" ht="14.4" hidden="1">
      <c r="A680" s="3">
        <f>LOOKUP(D680,'AMFI DATA_2023H2'!F:L,'AMFI DATA_2023H2'!L:L)</f>
        <v>721</v>
      </c>
      <c r="B680" s="4" t="s">
        <v>2108</v>
      </c>
      <c r="C680" s="4" t="s">
        <v>2109</v>
      </c>
      <c r="D680" s="5" t="s">
        <v>2110</v>
      </c>
      <c r="E680" s="5">
        <v>3939.1</v>
      </c>
      <c r="F680" s="6">
        <f>LOOKUP(D680,'AMFI DATA_2023H2'!F:J,'AMFI DATA_2023H2'!J:J)</f>
        <v>3585.4149499999999</v>
      </c>
      <c r="G680" s="7">
        <f t="shared" si="5"/>
        <v>3.7815720604389202E-2</v>
      </c>
      <c r="H680" s="8">
        <v>3721</v>
      </c>
      <c r="I680" s="8">
        <v>3702</v>
      </c>
      <c r="J680" s="8">
        <v>3792</v>
      </c>
      <c r="K680" s="8">
        <v>3776</v>
      </c>
      <c r="L680" s="8">
        <v>3699</v>
      </c>
      <c r="M680" s="8">
        <v>3733</v>
      </c>
      <c r="N680" s="8">
        <v>3799</v>
      </c>
      <c r="O680" s="8">
        <v>3837</v>
      </c>
      <c r="P680" s="8">
        <v>3863</v>
      </c>
      <c r="Q680" s="8">
        <v>3748</v>
      </c>
      <c r="R680" s="7">
        <f t="shared" si="6"/>
        <v>5.0645476892430485E-2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4.4" hidden="1">
      <c r="A681" s="3">
        <f>LOOKUP(D681,'AMFI DATA_2023H2'!F:L,'AMFI DATA_2023H2'!L:L)</f>
        <v>891</v>
      </c>
      <c r="B681" s="4" t="s">
        <v>2582</v>
      </c>
      <c r="C681" s="4" t="s">
        <v>2583</v>
      </c>
      <c r="D681" s="5" t="s">
        <v>2584</v>
      </c>
      <c r="E681" s="5">
        <v>1981.71</v>
      </c>
      <c r="F681" s="6">
        <f>LOOKUP(D681,'AMFI DATA_2023H2'!F:J,'AMFI DATA_2023H2'!J:J)</f>
        <v>2185.9486999999999</v>
      </c>
      <c r="G681" s="7">
        <f t="shared" si="5"/>
        <v>-2.7213355921846816E-3</v>
      </c>
      <c r="H681" s="8">
        <v>2180</v>
      </c>
      <c r="I681" s="8">
        <v>2162</v>
      </c>
      <c r="J681" s="8">
        <v>2182</v>
      </c>
      <c r="K681" s="8">
        <v>2197</v>
      </c>
      <c r="L681" s="8">
        <v>2161</v>
      </c>
      <c r="M681" s="8">
        <v>2120</v>
      </c>
      <c r="N681" s="8">
        <v>2145</v>
      </c>
      <c r="O681" s="8">
        <v>2120</v>
      </c>
      <c r="P681" s="8">
        <v>2085</v>
      </c>
      <c r="Q681" s="8">
        <v>2114</v>
      </c>
      <c r="R681" s="7">
        <f t="shared" si="6"/>
        <v>-1.8000742652377943E-2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4.4" hidden="1">
      <c r="A682" s="3">
        <f>LOOKUP(D682,'AMFI DATA_2023H2'!F:L,'AMFI DATA_2023H2'!L:L)</f>
        <v>1726</v>
      </c>
      <c r="B682" s="4" t="s">
        <v>4373</v>
      </c>
      <c r="C682" s="4" t="s">
        <v>4374</v>
      </c>
      <c r="D682" s="5" t="s">
        <v>4375</v>
      </c>
      <c r="E682" s="5">
        <v>255.81</v>
      </c>
      <c r="F682" s="6">
        <f>LOOKUP(D682,'AMFI DATA_2023H2'!F:J,'AMFI DATA_2023H2'!J:J)</f>
        <v>316.4135</v>
      </c>
      <c r="G682" s="7">
        <f t="shared" si="5"/>
        <v>-7.7156948107460654E-2</v>
      </c>
      <c r="H682" s="9">
        <v>292</v>
      </c>
      <c r="I682" s="9">
        <v>274</v>
      </c>
      <c r="J682" s="9">
        <v>276</v>
      </c>
      <c r="K682" s="9">
        <v>273</v>
      </c>
      <c r="L682" s="9">
        <v>283</v>
      </c>
      <c r="M682" s="9">
        <v>238</v>
      </c>
      <c r="N682" s="9">
        <v>269</v>
      </c>
      <c r="O682" s="9">
        <v>278</v>
      </c>
      <c r="P682" s="9">
        <v>277</v>
      </c>
      <c r="Q682" s="9">
        <v>280</v>
      </c>
      <c r="R682" s="7">
        <f t="shared" si="6"/>
        <v>-0.13404453349809664</v>
      </c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4.4" hidden="1">
      <c r="A683" s="3">
        <f>LOOKUP(D683,'AMFI DATA_2023H2'!F:L,'AMFI DATA_2023H2'!L:L)</f>
        <v>414</v>
      </c>
      <c r="B683" s="4" t="s">
        <v>1242</v>
      </c>
      <c r="C683" s="4" t="s">
        <v>1243</v>
      </c>
      <c r="D683" s="5" t="s">
        <v>1244</v>
      </c>
      <c r="E683" s="5">
        <v>4420.34</v>
      </c>
      <c r="F683" s="6">
        <f>LOOKUP(D683,'AMFI DATA_2023H2'!F:J,'AMFI DATA_2023H2'!J:J)</f>
        <v>9830.2884000000013</v>
      </c>
      <c r="G683" s="7">
        <f t="shared" si="5"/>
        <v>0.73585955016335003</v>
      </c>
      <c r="H683" s="8">
        <v>17064</v>
      </c>
      <c r="I683" s="8">
        <v>16110</v>
      </c>
      <c r="J683" s="8">
        <v>14635</v>
      </c>
      <c r="K683" s="8">
        <v>14754</v>
      </c>
      <c r="L683" s="8">
        <v>14644</v>
      </c>
      <c r="M683" s="8">
        <v>13635</v>
      </c>
      <c r="N683" s="8">
        <v>13662</v>
      </c>
      <c r="O683" s="8">
        <v>13562</v>
      </c>
      <c r="P683" s="8">
        <v>13554</v>
      </c>
      <c r="Q683" s="8">
        <v>12628</v>
      </c>
      <c r="R683" s="7">
        <f t="shared" si="6"/>
        <v>0.46738319498337377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4.4" hidden="1">
      <c r="A684" s="3">
        <f>LOOKUP(D684,'AMFI DATA_2023H2'!F:L,'AMFI DATA_2023H2'!L:L)</f>
        <v>1060</v>
      </c>
      <c r="B684" s="4" t="s">
        <v>3017</v>
      </c>
      <c r="C684" s="4" t="s">
        <v>3018</v>
      </c>
      <c r="D684" s="5" t="s">
        <v>3019</v>
      </c>
      <c r="E684" s="5">
        <v>834.39</v>
      </c>
      <c r="F684" s="6">
        <f>LOOKUP(D684,'AMFI DATA_2023H2'!F:J,'AMFI DATA_2023H2'!J:J)</f>
        <v>1450.3062500000001</v>
      </c>
      <c r="G684" s="7">
        <f t="shared" si="5"/>
        <v>0.16940818534016522</v>
      </c>
      <c r="H684" s="8">
        <v>1696</v>
      </c>
      <c r="I684" s="8">
        <v>1701</v>
      </c>
      <c r="J684" s="8">
        <v>1706</v>
      </c>
      <c r="K684" s="8">
        <v>1662</v>
      </c>
      <c r="L684" s="8">
        <v>1693</v>
      </c>
      <c r="M684" s="8">
        <v>1655</v>
      </c>
      <c r="N684" s="8">
        <v>1644</v>
      </c>
      <c r="O684" s="8">
        <v>1652</v>
      </c>
      <c r="P684" s="8">
        <v>1662</v>
      </c>
      <c r="Q684" s="8">
        <v>1679</v>
      </c>
      <c r="R684" s="7">
        <f t="shared" si="6"/>
        <v>0.15492848493206179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4.4" hidden="1">
      <c r="A685" s="3">
        <f>LOOKUP(D685,'AMFI DATA_2023H2'!F:L,'AMFI DATA_2023H2'!L:L)</f>
        <v>1343</v>
      </c>
      <c r="B685" s="4" t="s">
        <v>3650</v>
      </c>
      <c r="C685" s="4" t="s">
        <v>3651</v>
      </c>
      <c r="D685" s="5" t="s">
        <v>3652</v>
      </c>
      <c r="E685" s="5">
        <v>379.6</v>
      </c>
      <c r="F685" s="6">
        <f>LOOKUP(D685,'AMFI DATA_2023H2'!F:J,'AMFI DATA_2023H2'!J:J)</f>
        <v>734.42525000000001</v>
      </c>
      <c r="G685" s="7">
        <f t="shared" si="5"/>
        <v>0.31122942736514037</v>
      </c>
      <c r="H685" s="9">
        <v>963</v>
      </c>
      <c r="I685" s="9">
        <v>920</v>
      </c>
      <c r="J685" s="9">
        <v>925</v>
      </c>
      <c r="K685" s="9">
        <v>914</v>
      </c>
      <c r="L685" s="9">
        <v>904</v>
      </c>
      <c r="M685" s="9">
        <v>932</v>
      </c>
      <c r="N685" s="9">
        <v>927</v>
      </c>
      <c r="O685" s="9">
        <v>953</v>
      </c>
      <c r="P685" s="9">
        <v>943</v>
      </c>
      <c r="Q685" s="9">
        <v>945</v>
      </c>
      <c r="R685" s="7">
        <f t="shared" si="6"/>
        <v>0.26983651501633421</v>
      </c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4.4">
      <c r="A686" s="3">
        <f>LOOKUP(D686,'AMFI DATA_2023H2'!F:L,'AMFI DATA_2023H2'!L:L)</f>
        <v>53</v>
      </c>
      <c r="B686" s="4" t="s">
        <v>168</v>
      </c>
      <c r="C686" s="4" t="s">
        <v>169</v>
      </c>
      <c r="D686" s="5" t="s">
        <v>170</v>
      </c>
      <c r="E686" s="5">
        <v>96624.21</v>
      </c>
      <c r="F686" s="6">
        <f>LOOKUP(D686,'AMFI DATA_2023H2'!F:J,'AMFI DATA_2023H2'!J:J)</f>
        <v>108103.6118</v>
      </c>
      <c r="G686" s="7">
        <f t="shared" si="5"/>
        <v>0.22044025914775212</v>
      </c>
      <c r="H686" s="8">
        <v>131934</v>
      </c>
      <c r="I686" s="8">
        <v>132698</v>
      </c>
      <c r="J686" s="8">
        <v>133294</v>
      </c>
      <c r="K686" s="8">
        <v>138867</v>
      </c>
      <c r="L686" s="8">
        <v>136900</v>
      </c>
      <c r="M686" s="8">
        <v>138181</v>
      </c>
      <c r="N686" s="8">
        <v>137900</v>
      </c>
      <c r="O686" s="8">
        <v>136069</v>
      </c>
      <c r="P686" s="8">
        <v>130408</v>
      </c>
      <c r="Q686" s="8">
        <v>128192</v>
      </c>
      <c r="R686" s="14">
        <f t="shared" si="6"/>
        <v>0.24366149993889463</v>
      </c>
      <c r="S686" s="8"/>
      <c r="T686" s="8">
        <v>587.95000000000005</v>
      </c>
      <c r="U686" s="15">
        <f ca="1">IFERROR(__xludf.DUMMYFUNCTION("GOOGLEFINANCE(C686,""PRICE"")"),560.4)</f>
        <v>560.4</v>
      </c>
      <c r="V686" s="13" t="s">
        <v>5787</v>
      </c>
      <c r="W686" s="7">
        <f ca="1">U686/T686-1</f>
        <v>-4.685772599710869E-2</v>
      </c>
      <c r="X686" s="8"/>
      <c r="Y686" s="8"/>
      <c r="Z686" s="8"/>
      <c r="AA686" s="8"/>
      <c r="AB686" s="8"/>
    </row>
    <row r="687" spans="1:28" ht="14.4" hidden="1">
      <c r="A687" s="3">
        <f>LOOKUP(D687,'AMFI DATA_2023H2'!F:L,'AMFI DATA_2023H2'!L:L)</f>
        <v>2146</v>
      </c>
      <c r="B687" s="4" t="s">
        <v>4949</v>
      </c>
      <c r="C687" s="4" t="s">
        <v>4950</v>
      </c>
      <c r="D687" s="5" t="s">
        <v>4951</v>
      </c>
      <c r="E687" s="5">
        <v>91.5</v>
      </c>
      <c r="F687" s="6">
        <f>LOOKUP(D687,'AMFI DATA_2023H2'!F:J,'AMFI DATA_2023H2'!J:J)</f>
        <v>146.77879999999999</v>
      </c>
      <c r="G687" s="7">
        <f t="shared" si="5"/>
        <v>1.0370789242043132</v>
      </c>
      <c r="H687" s="9">
        <v>299</v>
      </c>
      <c r="I687" s="9">
        <v>285</v>
      </c>
      <c r="J687" s="9">
        <v>281</v>
      </c>
      <c r="K687" s="9">
        <v>280</v>
      </c>
      <c r="L687" s="9">
        <v>282</v>
      </c>
      <c r="M687" s="9">
        <v>297</v>
      </c>
      <c r="N687" s="9">
        <v>283</v>
      </c>
      <c r="O687" s="9">
        <v>298</v>
      </c>
      <c r="P687" s="9">
        <v>314</v>
      </c>
      <c r="Q687" s="9">
        <v>327</v>
      </c>
      <c r="R687" s="7">
        <f t="shared" si="6"/>
        <v>1.0071018430454539</v>
      </c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4.4" hidden="1">
      <c r="A688" s="3">
        <f>LOOKUP(D688,'AMFI DATA_2023H2'!F:L,'AMFI DATA_2023H2'!L:L)</f>
        <v>2258</v>
      </c>
      <c r="B688" s="4" t="s">
        <v>5081</v>
      </c>
      <c r="C688" s="4" t="s">
        <v>5082</v>
      </c>
      <c r="D688" s="5" t="s">
        <v>5083</v>
      </c>
      <c r="E688" s="5">
        <v>95.56</v>
      </c>
      <c r="F688" s="6">
        <f>LOOKUP(D688,'AMFI DATA_2023H2'!F:J,'AMFI DATA_2023H2'!J:J)</f>
        <v>120.08</v>
      </c>
      <c r="G688" s="7">
        <f t="shared" si="5"/>
        <v>7.6615589606929824E-3</v>
      </c>
      <c r="H688" s="9">
        <v>121</v>
      </c>
      <c r="I688" s="9">
        <v>117</v>
      </c>
      <c r="J688" s="9">
        <v>119</v>
      </c>
      <c r="K688" s="9">
        <v>121</v>
      </c>
      <c r="L688" s="9">
        <v>124</v>
      </c>
      <c r="M688" s="9">
        <v>126</v>
      </c>
      <c r="N688" s="9">
        <v>117</v>
      </c>
      <c r="O688" s="9">
        <v>124</v>
      </c>
      <c r="P688" s="9">
        <v>119</v>
      </c>
      <c r="Q688" s="9">
        <v>119</v>
      </c>
      <c r="R688" s="7">
        <f t="shared" si="6"/>
        <v>5.1632245169888069E-3</v>
      </c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4.4" hidden="1">
      <c r="A689" s="3">
        <f>LOOKUP(D689,'AMFI DATA_2023H2'!F:L,'AMFI DATA_2023H2'!L:L)</f>
        <v>633</v>
      </c>
      <c r="B689" s="4" t="s">
        <v>1869</v>
      </c>
      <c r="C689" s="4" t="s">
        <v>1870</v>
      </c>
      <c r="D689" s="5" t="s">
        <v>1871</v>
      </c>
      <c r="E689" s="5">
        <v>6118.61</v>
      </c>
      <c r="F689" s="6">
        <f>LOOKUP(D689,'AMFI DATA_2023H2'!F:J,'AMFI DATA_2023H2'!J:J)</f>
        <v>4721.9142499999998</v>
      </c>
      <c r="G689" s="7">
        <f t="shared" si="5"/>
        <v>-2.7936604312541191E-2</v>
      </c>
      <c r="H689" s="8">
        <v>4590</v>
      </c>
      <c r="I689" s="8">
        <v>4576</v>
      </c>
      <c r="J689" s="8">
        <v>4578</v>
      </c>
      <c r="K689" s="8">
        <v>4610</v>
      </c>
      <c r="L689" s="8">
        <v>4615</v>
      </c>
      <c r="M689" s="8">
        <v>4607</v>
      </c>
      <c r="N689" s="8">
        <v>4601</v>
      </c>
      <c r="O689" s="8">
        <v>4616</v>
      </c>
      <c r="P689" s="8">
        <v>4644</v>
      </c>
      <c r="Q689" s="8">
        <v>4629</v>
      </c>
      <c r="R689" s="7">
        <f t="shared" si="6"/>
        <v>-2.4421080920730254E-2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4.4" hidden="1">
      <c r="A690" s="3">
        <f>LOOKUP(D690,'AMFI DATA_2023H2'!F:L,'AMFI DATA_2023H2'!L:L)</f>
        <v>40</v>
      </c>
      <c r="B690" s="4" t="s">
        <v>129</v>
      </c>
      <c r="C690" s="4" t="s">
        <v>130</v>
      </c>
      <c r="D690" s="5" t="s">
        <v>131</v>
      </c>
      <c r="E690" s="5">
        <v>95787.07</v>
      </c>
      <c r="F690" s="6">
        <f>LOOKUP(D690,'AMFI DATA_2023H2'!F:J,'AMFI DATA_2023H2'!J:J)</f>
        <v>139518.6684</v>
      </c>
      <c r="G690" s="7">
        <f t="shared" si="5"/>
        <v>0.43757822734495089</v>
      </c>
      <c r="H690" s="8">
        <v>200569</v>
      </c>
      <c r="I690" s="8">
        <v>194229</v>
      </c>
      <c r="J690" s="8">
        <v>191945</v>
      </c>
      <c r="K690" s="8">
        <v>186672</v>
      </c>
      <c r="L690" s="8">
        <v>189059</v>
      </c>
      <c r="M690" s="8">
        <v>187491</v>
      </c>
      <c r="N690" s="8">
        <v>187658</v>
      </c>
      <c r="O690" s="8">
        <v>187795</v>
      </c>
      <c r="P690" s="8">
        <v>188659</v>
      </c>
      <c r="Q690" s="8">
        <v>180817</v>
      </c>
      <c r="R690" s="7">
        <f t="shared" si="6"/>
        <v>0.35816519877278297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4.4" hidden="1">
      <c r="A691" s="3">
        <f>LOOKUP(D691,'AMFI DATA_2023H2'!F:L,'AMFI DATA_2023H2'!L:L)</f>
        <v>1424</v>
      </c>
      <c r="B691" s="4" t="s">
        <v>3821</v>
      </c>
      <c r="C691" s="4" t="s">
        <v>3822</v>
      </c>
      <c r="D691" s="5" t="s">
        <v>3823</v>
      </c>
      <c r="E691" s="5">
        <v>432.4</v>
      </c>
      <c r="F691" s="6">
        <f>LOOKUP(D691,'AMFI DATA_2023H2'!F:J,'AMFI DATA_2023H2'!J:J)</f>
        <v>613.48464999999999</v>
      </c>
      <c r="G691" s="7">
        <f t="shared" si="5"/>
        <v>9.2121864825794875E-2</v>
      </c>
      <c r="H691" s="9">
        <v>670</v>
      </c>
      <c r="I691" s="9">
        <v>671</v>
      </c>
      <c r="J691" s="9">
        <v>663</v>
      </c>
      <c r="K691" s="9">
        <v>664</v>
      </c>
      <c r="L691" s="9">
        <v>658</v>
      </c>
      <c r="M691" s="9">
        <v>668</v>
      </c>
      <c r="N691" s="9">
        <v>660</v>
      </c>
      <c r="O691" s="9">
        <v>649</v>
      </c>
      <c r="P691" s="9">
        <v>647</v>
      </c>
      <c r="Q691" s="9">
        <v>650</v>
      </c>
      <c r="R691" s="7">
        <f t="shared" si="6"/>
        <v>7.5821538485111306E-2</v>
      </c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4.4" hidden="1">
      <c r="A692" s="3">
        <f>LOOKUP(D692,'AMFI DATA_2023H2'!F:L,'AMFI DATA_2023H2'!L:L)</f>
        <v>687</v>
      </c>
      <c r="B692" s="4" t="s">
        <v>2013</v>
      </c>
      <c r="C692" s="4" t="s">
        <v>2014</v>
      </c>
      <c r="D692" s="5" t="s">
        <v>2015</v>
      </c>
      <c r="E692" s="5">
        <v>2539.38</v>
      </c>
      <c r="F692" s="6">
        <f>LOOKUP(D692,'AMFI DATA_2023H2'!F:J,'AMFI DATA_2023H2'!J:J)</f>
        <v>3996.6529</v>
      </c>
      <c r="G692" s="7">
        <f t="shared" si="5"/>
        <v>0.18048780268108855</v>
      </c>
      <c r="H692" s="8">
        <v>4718</v>
      </c>
      <c r="I692" s="8">
        <v>4698</v>
      </c>
      <c r="J692" s="8">
        <v>4448</v>
      </c>
      <c r="K692" s="8">
        <v>4355</v>
      </c>
      <c r="L692" s="8">
        <v>4386</v>
      </c>
      <c r="M692" s="8">
        <v>4324</v>
      </c>
      <c r="N692" s="8">
        <v>4303</v>
      </c>
      <c r="O692" s="8">
        <v>4348</v>
      </c>
      <c r="P692" s="8">
        <v>4320</v>
      </c>
      <c r="Q692" s="8">
        <v>4395</v>
      </c>
      <c r="R692" s="7">
        <f t="shared" si="6"/>
        <v>0.10830239974054279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4.4" hidden="1">
      <c r="A693" s="3">
        <f>LOOKUP(D693,'AMFI DATA_2023H2'!F:L,'AMFI DATA_2023H2'!L:L)</f>
        <v>312</v>
      </c>
      <c r="B693" s="4" t="s">
        <v>945</v>
      </c>
      <c r="C693" s="4" t="s">
        <v>946</v>
      </c>
      <c r="D693" s="5" t="s">
        <v>947</v>
      </c>
      <c r="E693" s="5">
        <v>10476.469999999999</v>
      </c>
      <c r="F693" s="6">
        <f>LOOKUP(D693,'AMFI DATA_2023H2'!F:J,'AMFI DATA_2023H2'!J:J)</f>
        <v>15126.9071</v>
      </c>
      <c r="G693" s="7">
        <f t="shared" si="5"/>
        <v>0.81041635404768231</v>
      </c>
      <c r="H693" s="8">
        <v>27386</v>
      </c>
      <c r="I693" s="8">
        <v>26888</v>
      </c>
      <c r="J693" s="8">
        <v>25670</v>
      </c>
      <c r="K693" s="8">
        <v>26085</v>
      </c>
      <c r="L693" s="8">
        <v>26240</v>
      </c>
      <c r="M693" s="8">
        <v>26458</v>
      </c>
      <c r="N693" s="8">
        <v>26148</v>
      </c>
      <c r="O693" s="8">
        <v>22744</v>
      </c>
      <c r="P693" s="8">
        <v>22556</v>
      </c>
      <c r="Q693" s="8">
        <v>21913</v>
      </c>
      <c r="R693" s="7">
        <f t="shared" si="6"/>
        <v>0.66648739450511996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4.4" hidden="1">
      <c r="A694" s="3">
        <f>LOOKUP(D694,'AMFI DATA_2023H2'!F:L,'AMFI DATA_2023H2'!L:L)</f>
        <v>557</v>
      </c>
      <c r="B694" s="4" t="s">
        <v>1650</v>
      </c>
      <c r="C694" s="4" t="s">
        <v>1651</v>
      </c>
      <c r="D694" s="5" t="s">
        <v>1652</v>
      </c>
      <c r="E694" s="5">
        <v>6399.34</v>
      </c>
      <c r="F694" s="6">
        <f>LOOKUP(D694,'AMFI DATA_2023H2'!F:J,'AMFI DATA_2023H2'!J:J)</f>
        <v>6199.6597999999994</v>
      </c>
      <c r="G694" s="7">
        <f t="shared" si="5"/>
        <v>1.829164884176393E-3</v>
      </c>
      <c r="H694" s="8">
        <v>6211</v>
      </c>
      <c r="I694" s="8">
        <v>6217</v>
      </c>
      <c r="J694" s="8">
        <v>6205</v>
      </c>
      <c r="K694" s="8">
        <v>6261</v>
      </c>
      <c r="L694" s="8">
        <v>6288</v>
      </c>
      <c r="M694" s="8">
        <v>6328</v>
      </c>
      <c r="N694" s="8">
        <v>6201</v>
      </c>
      <c r="O694" s="8">
        <v>6212</v>
      </c>
      <c r="P694" s="8">
        <v>6215</v>
      </c>
      <c r="Q694" s="8">
        <v>6251</v>
      </c>
      <c r="R694" s="7">
        <f t="shared" si="6"/>
        <v>6.3294118170806879E-3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4.4" hidden="1">
      <c r="A695" s="3">
        <f>LOOKUP(D695,'AMFI DATA_2023H2'!F:L,'AMFI DATA_2023H2'!L:L)</f>
        <v>1473</v>
      </c>
      <c r="B695" s="4" t="s">
        <v>3899</v>
      </c>
      <c r="C695" s="4" t="s">
        <v>3900</v>
      </c>
      <c r="D695" s="5" t="s">
        <v>3901</v>
      </c>
      <c r="E695" s="5">
        <v>393.82</v>
      </c>
      <c r="F695" s="6">
        <f>LOOKUP(D695,'AMFI DATA_2023H2'!F:J,'AMFI DATA_2023H2'!J:J)</f>
        <v>549.97114999999997</v>
      </c>
      <c r="G695" s="7">
        <f t="shared" si="5"/>
        <v>0.29279508570585944</v>
      </c>
      <c r="H695" s="9">
        <v>711</v>
      </c>
      <c r="I695" s="9">
        <v>689</v>
      </c>
      <c r="J695" s="9">
        <v>707</v>
      </c>
      <c r="K695" s="9">
        <v>683</v>
      </c>
      <c r="L695" s="9">
        <v>667</v>
      </c>
      <c r="M695" s="9">
        <v>673</v>
      </c>
      <c r="N695" s="9">
        <v>673</v>
      </c>
      <c r="O695" s="9">
        <v>697</v>
      </c>
      <c r="P695" s="9">
        <v>704</v>
      </c>
      <c r="Q695" s="9">
        <v>679</v>
      </c>
      <c r="R695" s="7">
        <f t="shared" si="6"/>
        <v>0.25152019337741627</v>
      </c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4.4" hidden="1">
      <c r="A696" s="3">
        <f>LOOKUP(D696,'AMFI DATA_2023H2'!F:L,'AMFI DATA_2023H2'!L:L)</f>
        <v>1704</v>
      </c>
      <c r="B696" s="4" t="s">
        <v>4340</v>
      </c>
      <c r="C696" s="4" t="s">
        <v>4341</v>
      </c>
      <c r="D696" s="5" t="s">
        <v>4342</v>
      </c>
      <c r="E696" s="5">
        <v>310.02</v>
      </c>
      <c r="F696" s="6">
        <f>LOOKUP(D696,'AMFI DATA_2023H2'!F:J,'AMFI DATA_2023H2'!J:J)</f>
        <v>329.78504999999996</v>
      </c>
      <c r="G696" s="7">
        <f t="shared" si="5"/>
        <v>7.9491019984077704E-2</v>
      </c>
      <c r="H696" s="9">
        <v>356</v>
      </c>
      <c r="I696" s="9">
        <v>356</v>
      </c>
      <c r="J696" s="9">
        <v>356</v>
      </c>
      <c r="K696" s="9">
        <v>360</v>
      </c>
      <c r="L696" s="9">
        <v>363</v>
      </c>
      <c r="M696" s="9">
        <v>353</v>
      </c>
      <c r="N696" s="9">
        <v>339</v>
      </c>
      <c r="O696" s="9">
        <v>343</v>
      </c>
      <c r="P696" s="9">
        <v>346</v>
      </c>
      <c r="Q696" s="9">
        <v>340</v>
      </c>
      <c r="R696" s="7">
        <f t="shared" si="6"/>
        <v>6.4936084883168599E-2</v>
      </c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4.4" hidden="1">
      <c r="A697" s="3">
        <f>LOOKUP(D697,'AMFI DATA_2023H2'!F:L,'AMFI DATA_2023H2'!L:L)</f>
        <v>866</v>
      </c>
      <c r="B697" s="4" t="s">
        <v>2510</v>
      </c>
      <c r="C697" s="4" t="s">
        <v>2511</v>
      </c>
      <c r="D697" s="5" t="s">
        <v>2512</v>
      </c>
      <c r="E697" s="5">
        <v>2022.18</v>
      </c>
      <c r="F697" s="6">
        <f>LOOKUP(D697,'AMFI DATA_2023H2'!F:J,'AMFI DATA_2023H2'!J:J)</f>
        <v>2398.1791499999999</v>
      </c>
      <c r="G697" s="7">
        <f t="shared" si="5"/>
        <v>-8.8313460652011955E-3</v>
      </c>
      <c r="H697" s="8">
        <v>2377</v>
      </c>
      <c r="I697" s="8">
        <v>2376</v>
      </c>
      <c r="J697" s="8">
        <v>2327</v>
      </c>
      <c r="K697" s="8">
        <v>2362</v>
      </c>
      <c r="L697" s="8">
        <v>2406</v>
      </c>
      <c r="M697" s="8">
        <v>2412</v>
      </c>
      <c r="N697" s="8">
        <v>2423</v>
      </c>
      <c r="O697" s="8">
        <v>2392</v>
      </c>
      <c r="P697" s="8">
        <v>2423</v>
      </c>
      <c r="Q697" s="8">
        <v>2397</v>
      </c>
      <c r="R697" s="7">
        <f t="shared" si="6"/>
        <v>-3.6190582342440214E-3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4.4" hidden="1">
      <c r="A698" s="3">
        <f>LOOKUP(D698,'AMFI DATA_2023H2'!F:L,'AMFI DATA_2023H2'!L:L)</f>
        <v>160</v>
      </c>
      <c r="B698" s="4" t="s">
        <v>489</v>
      </c>
      <c r="C698" s="4" t="s">
        <v>490</v>
      </c>
      <c r="D698" s="5" t="s">
        <v>491</v>
      </c>
      <c r="E698" s="5">
        <v>34806.959999999999</v>
      </c>
      <c r="F698" s="6">
        <f>LOOKUP(D698,'AMFI DATA_2023H2'!F:J,'AMFI DATA_2023H2'!J:J)</f>
        <v>41254.815699999999</v>
      </c>
      <c r="G698" s="7">
        <f t="shared" si="5"/>
        <v>0.44332240950963708</v>
      </c>
      <c r="H698" s="8">
        <v>59544</v>
      </c>
      <c r="I698" s="8">
        <v>58926</v>
      </c>
      <c r="J698" s="8">
        <v>59842</v>
      </c>
      <c r="K698" s="8">
        <v>57962</v>
      </c>
      <c r="L698" s="8">
        <v>56714</v>
      </c>
      <c r="M698" s="8">
        <v>56565</v>
      </c>
      <c r="N698" s="8">
        <v>59267</v>
      </c>
      <c r="O698" s="8">
        <v>54160</v>
      </c>
      <c r="P698" s="8">
        <v>54516</v>
      </c>
      <c r="Q698" s="8">
        <v>52387</v>
      </c>
      <c r="R698" s="7">
        <f t="shared" si="6"/>
        <v>0.38137327807769128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4.4" hidden="1">
      <c r="A699" s="3">
        <f>LOOKUP(D699,'AMFI DATA_2023H2'!F:L,'AMFI DATA_2023H2'!L:L)</f>
        <v>5</v>
      </c>
      <c r="B699" s="4" t="s">
        <v>19</v>
      </c>
      <c r="C699" s="4" t="s">
        <v>20</v>
      </c>
      <c r="D699" s="5" t="s">
        <v>21</v>
      </c>
      <c r="E699" s="5">
        <v>604267.54</v>
      </c>
      <c r="F699" s="6">
        <f>LOOKUP(D699,'AMFI DATA_2023H2'!F:J,'AMFI DATA_2023H2'!J:J)</f>
        <v>598299.63269999996</v>
      </c>
      <c r="G699" s="7">
        <f t="shared" si="5"/>
        <v>2.9021189970722228E-2</v>
      </c>
      <c r="H699" s="8">
        <v>615663</v>
      </c>
      <c r="I699" s="8">
        <v>609143</v>
      </c>
      <c r="J699" s="8">
        <v>612139</v>
      </c>
      <c r="K699" s="8">
        <v>614066</v>
      </c>
      <c r="L699" s="8">
        <v>623981</v>
      </c>
      <c r="M699" s="8">
        <v>625778</v>
      </c>
      <c r="N699" s="8">
        <v>618847</v>
      </c>
      <c r="O699" s="8">
        <v>613067</v>
      </c>
      <c r="P699" s="8">
        <v>607429</v>
      </c>
      <c r="Q699" s="8">
        <v>605161</v>
      </c>
      <c r="R699" s="7">
        <f t="shared" si="6"/>
        <v>2.7123144346199224E-2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4.4" hidden="1">
      <c r="A700" s="3">
        <f>LOOKUP(D700,'AMFI DATA_2023H2'!F:L,'AMFI DATA_2023H2'!L:L)</f>
        <v>45</v>
      </c>
      <c r="B700" s="4" t="s">
        <v>144</v>
      </c>
      <c r="C700" s="4" t="s">
        <v>145</v>
      </c>
      <c r="D700" s="5" t="s">
        <v>146</v>
      </c>
      <c r="E700" s="5">
        <v>134580.91</v>
      </c>
      <c r="F700" s="6">
        <f>LOOKUP(D700,'AMFI DATA_2023H2'!F:J,'AMFI DATA_2023H2'!J:J)</f>
        <v>132519.37780000002</v>
      </c>
      <c r="G700" s="7">
        <f t="shared" si="5"/>
        <v>1.520247252473883E-2</v>
      </c>
      <c r="H700" s="8">
        <v>134534</v>
      </c>
      <c r="I700" s="8">
        <v>134471</v>
      </c>
      <c r="J700" s="8">
        <v>134661</v>
      </c>
      <c r="K700" s="8">
        <v>134048</v>
      </c>
      <c r="L700" s="8">
        <v>134534</v>
      </c>
      <c r="M700" s="8">
        <v>134365</v>
      </c>
      <c r="N700" s="8">
        <v>132253</v>
      </c>
      <c r="O700" s="8">
        <v>131724</v>
      </c>
      <c r="P700" s="8">
        <v>131703</v>
      </c>
      <c r="Q700" s="8">
        <v>130943</v>
      </c>
      <c r="R700" s="7">
        <f t="shared" si="6"/>
        <v>6.068713974900497E-3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4.4" hidden="1">
      <c r="A701" s="3">
        <f>LOOKUP(D701,'AMFI DATA_2023H2'!F:L,'AMFI DATA_2023H2'!L:L)</f>
        <v>697</v>
      </c>
      <c r="B701" s="4" t="s">
        <v>2043</v>
      </c>
      <c r="C701" s="4" t="s">
        <v>2044</v>
      </c>
      <c r="D701" s="5" t="s">
        <v>2045</v>
      </c>
      <c r="E701" s="5">
        <v>3035.57</v>
      </c>
      <c r="F701" s="6">
        <f>LOOKUP(D701,'AMFI DATA_2023H2'!F:J,'AMFI DATA_2023H2'!J:J)</f>
        <v>3916.3403500000004</v>
      </c>
      <c r="G701" s="7">
        <f t="shared" si="5"/>
        <v>-8.0774478653266257E-2</v>
      </c>
      <c r="H701" s="8">
        <v>3600</v>
      </c>
      <c r="I701" s="8">
        <v>3641</v>
      </c>
      <c r="J701" s="8">
        <v>3655</v>
      </c>
      <c r="K701" s="8">
        <v>3633</v>
      </c>
      <c r="L701" s="8">
        <v>3654</v>
      </c>
      <c r="M701" s="8">
        <v>3677</v>
      </c>
      <c r="N701" s="8">
        <v>3590</v>
      </c>
      <c r="O701" s="8">
        <v>3625</v>
      </c>
      <c r="P701" s="8">
        <v>3623</v>
      </c>
      <c r="Q701" s="8">
        <v>3698</v>
      </c>
      <c r="R701" s="7">
        <f t="shared" si="6"/>
        <v>-7.0662997918452208E-2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4.4" hidden="1">
      <c r="A702" s="3">
        <f>LOOKUP(D702,'AMFI DATA_2023H2'!F:L,'AMFI DATA_2023H2'!L:L)</f>
        <v>2403</v>
      </c>
      <c r="B702" s="4" t="s">
        <v>5207</v>
      </c>
      <c r="C702" s="4" t="s">
        <v>5208</v>
      </c>
      <c r="D702" s="5" t="s">
        <v>5209</v>
      </c>
      <c r="E702" s="5">
        <v>77.349999999999994</v>
      </c>
      <c r="F702" s="6">
        <f>LOOKUP(D702,'AMFI DATA_2023H2'!F:J,'AMFI DATA_2023H2'!J:J)</f>
        <v>96.402799999999999</v>
      </c>
      <c r="G702" s="7">
        <f t="shared" si="5"/>
        <v>9.9553125012966426E-2</v>
      </c>
      <c r="H702" s="9">
        <v>106</v>
      </c>
      <c r="I702" s="9">
        <v>107</v>
      </c>
      <c r="J702" s="9">
        <v>108</v>
      </c>
      <c r="K702" s="9">
        <v>106</v>
      </c>
      <c r="L702" s="9">
        <v>107</v>
      </c>
      <c r="M702" s="9">
        <v>111</v>
      </c>
      <c r="N702" s="9">
        <v>111</v>
      </c>
      <c r="O702" s="9">
        <v>107</v>
      </c>
      <c r="P702" s="9">
        <v>108</v>
      </c>
      <c r="Q702" s="9">
        <v>108</v>
      </c>
      <c r="R702" s="7">
        <f t="shared" si="6"/>
        <v>0.11926209612168948</v>
      </c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4.4">
      <c r="A703" s="3">
        <f>LOOKUP(D703,'AMFI DATA_2023H2'!F:L,'AMFI DATA_2023H2'!L:L)</f>
        <v>279</v>
      </c>
      <c r="B703" s="4" t="s">
        <v>846</v>
      </c>
      <c r="C703" s="4" t="s">
        <v>847</v>
      </c>
      <c r="D703" s="5" t="s">
        <v>848</v>
      </c>
      <c r="E703" s="5">
        <v>14652.16</v>
      </c>
      <c r="F703" s="6">
        <f>LOOKUP(D703,'AMFI DATA_2023H2'!F:J,'AMFI DATA_2023H2'!J:J)</f>
        <v>18798.673849999999</v>
      </c>
      <c r="G703" s="7">
        <f t="shared" si="5"/>
        <v>0.26253586765643044</v>
      </c>
      <c r="H703" s="8">
        <v>23734</v>
      </c>
      <c r="I703" s="8">
        <v>23864</v>
      </c>
      <c r="J703" s="8">
        <v>22906</v>
      </c>
      <c r="K703" s="8">
        <v>23043</v>
      </c>
      <c r="L703" s="8">
        <v>22962</v>
      </c>
      <c r="M703" s="8">
        <v>22441</v>
      </c>
      <c r="N703" s="8">
        <v>22210</v>
      </c>
      <c r="O703" s="8">
        <v>22091</v>
      </c>
      <c r="P703" s="8">
        <v>21889</v>
      </c>
      <c r="Q703" s="8">
        <v>21746</v>
      </c>
      <c r="R703" s="14">
        <f t="shared" si="6"/>
        <v>0.20692556193265732</v>
      </c>
      <c r="S703" s="8"/>
      <c r="T703" s="8">
        <v>5617.6</v>
      </c>
      <c r="U703" s="15">
        <f ca="1">IFERROR(__xludf.DUMMYFUNCTION("GOOGLEFINANCE(C703,""PRICE"")"),6049)</f>
        <v>6049</v>
      </c>
      <c r="V703" s="13" t="s">
        <v>5787</v>
      </c>
      <c r="W703" s="7">
        <f ca="1">U703/T703-1</f>
        <v>7.6794360581031063E-2</v>
      </c>
      <c r="X703" s="8"/>
      <c r="Y703" s="8"/>
      <c r="Z703" s="8"/>
      <c r="AA703" s="8"/>
      <c r="AB703" s="8"/>
    </row>
    <row r="704" spans="1:28" ht="14.4" hidden="1">
      <c r="A704" s="3">
        <f>LOOKUP(D704,'AMFI DATA_2023H2'!F:L,'AMFI DATA_2023H2'!L:L)</f>
        <v>1580</v>
      </c>
      <c r="B704" s="4" t="s">
        <v>4109</v>
      </c>
      <c r="C704" s="4" t="s">
        <v>4110</v>
      </c>
      <c r="D704" s="5" t="s">
        <v>4111</v>
      </c>
      <c r="E704" s="5">
        <v>340.66</v>
      </c>
      <c r="F704" s="6">
        <f>LOOKUP(D704,'AMFI DATA_2023H2'!F:J,'AMFI DATA_2023H2'!J:J)</f>
        <v>427.87135000000001</v>
      </c>
      <c r="G704" s="7">
        <f t="shared" si="5"/>
        <v>3.5357941119450897E-2</v>
      </c>
      <c r="H704" s="9">
        <v>443</v>
      </c>
      <c r="I704" s="9">
        <v>437</v>
      </c>
      <c r="J704" s="9">
        <v>437</v>
      </c>
      <c r="K704" s="9">
        <v>448</v>
      </c>
      <c r="L704" s="9">
        <v>445</v>
      </c>
      <c r="M704" s="9">
        <v>443</v>
      </c>
      <c r="N704" s="9">
        <v>441</v>
      </c>
      <c r="O704" s="9">
        <v>443</v>
      </c>
      <c r="P704" s="9">
        <v>450</v>
      </c>
      <c r="Q704" s="9">
        <v>452</v>
      </c>
      <c r="R704" s="7">
        <f t="shared" si="6"/>
        <v>3.7461377117210537E-2</v>
      </c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4.4" hidden="1">
      <c r="A705" s="3">
        <f>LOOKUP(D705,'AMFI DATA_2023H2'!F:L,'AMFI DATA_2023H2'!L:L)</f>
        <v>1147</v>
      </c>
      <c r="B705" s="4" t="s">
        <v>3221</v>
      </c>
      <c r="C705" s="4" t="s">
        <v>3222</v>
      </c>
      <c r="D705" s="5" t="s">
        <v>3223</v>
      </c>
      <c r="E705" s="5">
        <v>1025.3499999999999</v>
      </c>
      <c r="F705" s="6">
        <f>LOOKUP(D705,'AMFI DATA_2023H2'!F:J,'AMFI DATA_2023H2'!J:J)</f>
        <v>1197.95155</v>
      </c>
      <c r="G705" s="7">
        <f t="shared" si="5"/>
        <v>0.55932850539740109</v>
      </c>
      <c r="H705" s="8">
        <v>1868</v>
      </c>
      <c r="I705" s="8">
        <v>1753</v>
      </c>
      <c r="J705" s="8">
        <v>1644</v>
      </c>
      <c r="K705" s="8">
        <v>1637</v>
      </c>
      <c r="L705" s="8">
        <v>1580</v>
      </c>
      <c r="M705" s="8">
        <v>1579</v>
      </c>
      <c r="N705" s="8">
        <v>1562</v>
      </c>
      <c r="O705" s="8">
        <v>1575</v>
      </c>
      <c r="P705" s="8">
        <v>1541</v>
      </c>
      <c r="Q705" s="8">
        <v>1370</v>
      </c>
      <c r="R705" s="7">
        <f t="shared" si="6"/>
        <v>0.34471214633012504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4.4" hidden="1">
      <c r="A706" s="3">
        <f>LOOKUP(D706,'AMFI DATA_2023H2'!F:L,'AMFI DATA_2023H2'!L:L)</f>
        <v>699</v>
      </c>
      <c r="B706" s="4" t="s">
        <v>2049</v>
      </c>
      <c r="C706" s="4" t="s">
        <v>2050</v>
      </c>
      <c r="D706" s="5" t="s">
        <v>2051</v>
      </c>
      <c r="E706" s="5">
        <v>4034.31</v>
      </c>
      <c r="F706" s="6">
        <f>LOOKUP(D706,'AMFI DATA_2023H2'!F:J,'AMFI DATA_2023H2'!J:J)</f>
        <v>3892.9881500000001</v>
      </c>
      <c r="G706" s="7">
        <f t="shared" si="5"/>
        <v>-7.1893745682221066E-3</v>
      </c>
      <c r="H706" s="8">
        <v>3865</v>
      </c>
      <c r="I706" s="8">
        <v>3855</v>
      </c>
      <c r="J706" s="8">
        <v>3773</v>
      </c>
      <c r="K706" s="8">
        <v>3662</v>
      </c>
      <c r="L706" s="8">
        <v>3664</v>
      </c>
      <c r="M706" s="8">
        <v>3693</v>
      </c>
      <c r="N706" s="8">
        <v>3692</v>
      </c>
      <c r="O706" s="8">
        <v>3685</v>
      </c>
      <c r="P706" s="8">
        <v>3700</v>
      </c>
      <c r="Q706" s="8">
        <v>3632</v>
      </c>
      <c r="R706" s="7">
        <f t="shared" si="6"/>
        <v>-4.3896396139813665E-2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4.4" hidden="1">
      <c r="A707" s="3">
        <f>LOOKUP(D707,'AMFI DATA_2023H2'!F:L,'AMFI DATA_2023H2'!L:L)</f>
        <v>1113</v>
      </c>
      <c r="B707" s="4" t="s">
        <v>3143</v>
      </c>
      <c r="C707" s="4" t="s">
        <v>3144</v>
      </c>
      <c r="D707" s="5" t="s">
        <v>3145</v>
      </c>
      <c r="E707" s="5">
        <v>723.97</v>
      </c>
      <c r="F707" s="6">
        <f>LOOKUP(D707,'AMFI DATA_2023H2'!F:J,'AMFI DATA_2023H2'!J:J)</f>
        <v>1296.8045</v>
      </c>
      <c r="G707" s="7">
        <f t="shared" si="5"/>
        <v>0.40961879759053899</v>
      </c>
      <c r="H707" s="8">
        <v>1828</v>
      </c>
      <c r="I707" s="8">
        <v>1876</v>
      </c>
      <c r="J707" s="8">
        <v>1885</v>
      </c>
      <c r="K707" s="8">
        <v>1909</v>
      </c>
      <c r="L707" s="8">
        <v>1892</v>
      </c>
      <c r="M707" s="8">
        <v>1776</v>
      </c>
      <c r="N707" s="8">
        <v>1798</v>
      </c>
      <c r="O707" s="8">
        <v>1810</v>
      </c>
      <c r="P707" s="8">
        <v>1870</v>
      </c>
      <c r="Q707" s="8">
        <v>1829</v>
      </c>
      <c r="R707" s="7">
        <f t="shared" si="6"/>
        <v>0.42450153434846971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4.4" hidden="1">
      <c r="A708" s="3">
        <f>LOOKUP(D708,'AMFI DATA_2023H2'!F:L,'AMFI DATA_2023H2'!L:L)</f>
        <v>742</v>
      </c>
      <c r="B708" s="4" t="s">
        <v>2171</v>
      </c>
      <c r="C708" s="4" t="s">
        <v>2172</v>
      </c>
      <c r="D708" s="5" t="s">
        <v>2173</v>
      </c>
      <c r="E708" s="5">
        <v>723.97</v>
      </c>
      <c r="F708" s="6">
        <f>LOOKUP(D708,'AMFI DATA_2023H2'!F:J,'AMFI DATA_2023H2'!J:J)</f>
        <v>3427.8427000000001</v>
      </c>
      <c r="G708" s="7">
        <f t="shared" si="5"/>
        <v>9.719153682285353E-2</v>
      </c>
      <c r="H708" s="8">
        <v>3761</v>
      </c>
      <c r="I708" s="8">
        <v>3753</v>
      </c>
      <c r="J708" s="8">
        <v>3772</v>
      </c>
      <c r="K708" s="8">
        <v>3808</v>
      </c>
      <c r="L708" s="8">
        <v>3859</v>
      </c>
      <c r="M708" s="8">
        <v>4206</v>
      </c>
      <c r="N708" s="8">
        <v>3829</v>
      </c>
      <c r="O708" s="8">
        <v>3826</v>
      </c>
      <c r="P708" s="8">
        <v>3896</v>
      </c>
      <c r="Q708" s="8">
        <v>3845</v>
      </c>
      <c r="R708" s="7">
        <f t="shared" si="6"/>
        <v>0.1247598963628056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4.4" hidden="1">
      <c r="A709" s="3">
        <f>LOOKUP(D709,'AMFI DATA_2023H2'!F:L,'AMFI DATA_2023H2'!L:L)</f>
        <v>941</v>
      </c>
      <c r="B709" s="4" t="s">
        <v>2714</v>
      </c>
      <c r="C709" s="4" t="s">
        <v>2715</v>
      </c>
      <c r="D709" s="5" t="s">
        <v>2716</v>
      </c>
      <c r="E709" s="5">
        <v>1342.35</v>
      </c>
      <c r="F709" s="6">
        <f>LOOKUP(D709,'AMFI DATA_2023H2'!F:J,'AMFI DATA_2023H2'!J:J)</f>
        <v>2004.6853000000001</v>
      </c>
      <c r="G709" s="7">
        <f t="shared" si="5"/>
        <v>-8.7138514957933788E-2</v>
      </c>
      <c r="H709" s="8">
        <v>1830</v>
      </c>
      <c r="I709" s="8">
        <v>1815</v>
      </c>
      <c r="J709" s="8">
        <v>1817</v>
      </c>
      <c r="K709" s="8">
        <v>1885</v>
      </c>
      <c r="L709" s="8">
        <v>1849</v>
      </c>
      <c r="M709" s="8">
        <v>1885</v>
      </c>
      <c r="N709" s="8">
        <v>1878</v>
      </c>
      <c r="O709" s="8">
        <v>1876</v>
      </c>
      <c r="P709" s="8">
        <v>1927</v>
      </c>
      <c r="Q709" s="8">
        <v>1942</v>
      </c>
      <c r="R709" s="7">
        <f t="shared" si="6"/>
        <v>-6.6985725889245562E-2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4.4" hidden="1">
      <c r="A710" s="3">
        <f>LOOKUP(D710,'AMFI DATA_2023H2'!F:L,'AMFI DATA_2023H2'!L:L)</f>
        <v>481</v>
      </c>
      <c r="B710" s="4" t="s">
        <v>1428</v>
      </c>
      <c r="C710" s="4" t="s">
        <v>1429</v>
      </c>
      <c r="D710" s="5" t="s">
        <v>1430</v>
      </c>
      <c r="E710" s="5">
        <v>6441.6</v>
      </c>
      <c r="F710" s="6">
        <f>LOOKUP(D710,'AMFI DATA_2023H2'!F:J,'AMFI DATA_2023H2'!J:J)</f>
        <v>7773.1472999999996</v>
      </c>
      <c r="G710" s="7">
        <f t="shared" si="5"/>
        <v>8.3216318311631676E-2</v>
      </c>
      <c r="H710" s="8">
        <v>8420</v>
      </c>
      <c r="I710" s="8">
        <v>8321</v>
      </c>
      <c r="J710" s="8">
        <v>8396</v>
      </c>
      <c r="K710" s="8">
        <v>8463</v>
      </c>
      <c r="L710" s="8">
        <v>8234</v>
      </c>
      <c r="M710" s="8">
        <v>8219</v>
      </c>
      <c r="N710" s="8">
        <v>8293</v>
      </c>
      <c r="O710" s="8">
        <v>8507</v>
      </c>
      <c r="P710" s="8">
        <v>8469</v>
      </c>
      <c r="Q710" s="8">
        <v>8787</v>
      </c>
      <c r="R710" s="7">
        <f t="shared" si="6"/>
        <v>8.2045621340534725E-2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4.4" hidden="1">
      <c r="A711" s="3">
        <f>LOOKUP(D711,'AMFI DATA_2023H2'!F:L,'AMFI DATA_2023H2'!L:L)</f>
        <v>350</v>
      </c>
      <c r="B711" s="4" t="s">
        <v>1056</v>
      </c>
      <c r="C711" s="4" t="s">
        <v>1057</v>
      </c>
      <c r="D711" s="5" t="s">
        <v>1058</v>
      </c>
      <c r="E711" s="5">
        <v>6441.6</v>
      </c>
      <c r="F711" s="6">
        <f>LOOKUP(D711,'AMFI DATA_2023H2'!F:J,'AMFI DATA_2023H2'!J:J)</f>
        <v>12474.859550000001</v>
      </c>
      <c r="G711" s="7">
        <f t="shared" si="5"/>
        <v>0.14646581331651132</v>
      </c>
      <c r="H711" s="8">
        <v>14302</v>
      </c>
      <c r="I711" s="8">
        <v>14615</v>
      </c>
      <c r="J711" s="8">
        <v>14229</v>
      </c>
      <c r="K711" s="8">
        <v>13867</v>
      </c>
      <c r="L711" s="8">
        <v>13771</v>
      </c>
      <c r="M711" s="8">
        <v>14150</v>
      </c>
      <c r="N711" s="8">
        <v>14796</v>
      </c>
      <c r="O711" s="8">
        <v>14844</v>
      </c>
      <c r="P711" s="8">
        <v>14053</v>
      </c>
      <c r="Q711" s="8">
        <v>13684</v>
      </c>
      <c r="R711" s="7">
        <f t="shared" si="6"/>
        <v>0.14078238259604281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4.4" hidden="1">
      <c r="A712" s="3">
        <f>LOOKUP(D712,'AMFI DATA_2023H2'!F:L,'AMFI DATA_2023H2'!L:L)</f>
        <v>839</v>
      </c>
      <c r="B712" s="4" t="s">
        <v>2435</v>
      </c>
      <c r="C712" s="4" t="s">
        <v>2436</v>
      </c>
      <c r="D712" s="5" t="s">
        <v>2437</v>
      </c>
      <c r="E712" s="5">
        <v>2190.7199999999998</v>
      </c>
      <c r="F712" s="6">
        <f>LOOKUP(D712,'AMFI DATA_2023H2'!F:J,'AMFI DATA_2023H2'!J:J)</f>
        <v>2572.2293500000001</v>
      </c>
      <c r="G712" s="7">
        <f t="shared" si="5"/>
        <v>-5.0240212833276288E-2</v>
      </c>
      <c r="H712" s="8">
        <v>2443</v>
      </c>
      <c r="I712" s="8">
        <v>2431</v>
      </c>
      <c r="J712" s="8">
        <v>2411</v>
      </c>
      <c r="K712" s="8">
        <v>2394</v>
      </c>
      <c r="L712" s="8">
        <v>2419</v>
      </c>
      <c r="M712" s="8">
        <v>2432</v>
      </c>
      <c r="N712" s="8">
        <v>2434</v>
      </c>
      <c r="O712" s="8">
        <v>2428</v>
      </c>
      <c r="P712" s="8">
        <v>2408</v>
      </c>
      <c r="Q712" s="8">
        <v>2404</v>
      </c>
      <c r="R712" s="7">
        <f t="shared" si="6"/>
        <v>-5.902636559216623E-2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4.4" hidden="1">
      <c r="A713" s="3">
        <f>LOOKUP(D713,'AMFI DATA_2023H2'!F:L,'AMFI DATA_2023H2'!L:L)</f>
        <v>178</v>
      </c>
      <c r="B713" s="4" t="s">
        <v>543</v>
      </c>
      <c r="C713" s="4" t="s">
        <v>544</v>
      </c>
      <c r="D713" s="5" t="s">
        <v>545</v>
      </c>
      <c r="E713" s="5">
        <v>33770.32</v>
      </c>
      <c r="F713" s="6">
        <f>LOOKUP(D713,'AMFI DATA_2023H2'!F:J,'AMFI DATA_2023H2'!J:J)</f>
        <v>34586.189700000003</v>
      </c>
      <c r="G713" s="7">
        <f t="shared" si="5"/>
        <v>-5.8786172100362966E-2</v>
      </c>
      <c r="H713" s="8">
        <v>32553</v>
      </c>
      <c r="I713" s="8">
        <v>32427</v>
      </c>
      <c r="J713" s="8">
        <v>32475</v>
      </c>
      <c r="K713" s="8">
        <v>32664</v>
      </c>
      <c r="L713" s="8">
        <v>32996</v>
      </c>
      <c r="M713" s="8">
        <v>32619</v>
      </c>
      <c r="N713" s="8">
        <v>32531</v>
      </c>
      <c r="O713" s="8">
        <v>31223</v>
      </c>
      <c r="P713" s="8">
        <v>31636</v>
      </c>
      <c r="Q713" s="8">
        <v>31037</v>
      </c>
      <c r="R713" s="7">
        <f t="shared" si="6"/>
        <v>-6.8527054311507629E-2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4.4" hidden="1">
      <c r="A714" s="3">
        <f>LOOKUP(D714,'AMFI DATA_2023H2'!F:L,'AMFI DATA_2023H2'!L:L)</f>
        <v>307</v>
      </c>
      <c r="B714" s="4" t="s">
        <v>930</v>
      </c>
      <c r="C714" s="4" t="s">
        <v>931</v>
      </c>
      <c r="D714" s="5" t="s">
        <v>932</v>
      </c>
      <c r="E714" s="5">
        <v>10115.35</v>
      </c>
      <c r="F714" s="6">
        <f>LOOKUP(D714,'AMFI DATA_2023H2'!F:J,'AMFI DATA_2023H2'!J:J)</f>
        <v>15784.30285</v>
      </c>
      <c r="G714" s="7">
        <f t="shared" si="5"/>
        <v>0.61958372459889799</v>
      </c>
      <c r="H714" s="8">
        <v>25564</v>
      </c>
      <c r="I714" s="8">
        <v>25744</v>
      </c>
      <c r="J714" s="8">
        <v>25384</v>
      </c>
      <c r="K714" s="8">
        <v>25434</v>
      </c>
      <c r="L714" s="8">
        <v>25854</v>
      </c>
      <c r="M714" s="8">
        <v>25188</v>
      </c>
      <c r="N714" s="8">
        <v>25632</v>
      </c>
      <c r="O714" s="8">
        <v>22838</v>
      </c>
      <c r="P714" s="8">
        <v>21094</v>
      </c>
      <c r="Q714" s="8">
        <v>21140</v>
      </c>
      <c r="R714" s="7">
        <f t="shared" si="6"/>
        <v>0.54502864217408242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4.4" hidden="1">
      <c r="A715" s="3">
        <f>LOOKUP(D715,'AMFI DATA_2023H2'!F:L,'AMFI DATA_2023H2'!L:L)</f>
        <v>2595</v>
      </c>
      <c r="B715" s="4" t="s">
        <v>5377</v>
      </c>
      <c r="C715" s="4" t="s">
        <v>5378</v>
      </c>
      <c r="D715" s="5" t="s">
        <v>5379</v>
      </c>
      <c r="E715" s="5">
        <v>56.35</v>
      </c>
      <c r="F715" s="6">
        <f>LOOKUP(D715,'AMFI DATA_2023H2'!F:J,'AMFI DATA_2023H2'!J:J)</f>
        <v>69.562649999999991</v>
      </c>
      <c r="G715" s="7">
        <f t="shared" si="5"/>
        <v>0.46630411578627351</v>
      </c>
      <c r="H715" s="9">
        <v>102</v>
      </c>
      <c r="I715" s="9">
        <v>104</v>
      </c>
      <c r="J715" s="9">
        <v>102</v>
      </c>
      <c r="K715" s="9">
        <v>100</v>
      </c>
      <c r="L715" s="9">
        <v>95.6</v>
      </c>
      <c r="M715" s="9">
        <v>90.8</v>
      </c>
      <c r="N715" s="9">
        <v>94.3</v>
      </c>
      <c r="O715" s="9">
        <v>99.2</v>
      </c>
      <c r="P715" s="9">
        <v>99.4</v>
      </c>
      <c r="Q715" s="9">
        <v>99.2</v>
      </c>
      <c r="R715" s="7">
        <f t="shared" si="6"/>
        <v>0.4181460884540773</v>
      </c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4.4" hidden="1">
      <c r="A716" s="3">
        <f>LOOKUP(D716,'AMFI DATA_2023H2'!F:L,'AMFI DATA_2023H2'!L:L)</f>
        <v>1262</v>
      </c>
      <c r="B716" s="4" t="s">
        <v>3482</v>
      </c>
      <c r="C716" s="4" t="s">
        <v>3483</v>
      </c>
      <c r="D716" s="5" t="s">
        <v>3484</v>
      </c>
      <c r="E716" s="5">
        <v>696.36</v>
      </c>
      <c r="F716" s="6">
        <f>LOOKUP(D716,'AMFI DATA_2023H2'!F:J,'AMFI DATA_2023H2'!J:J)</f>
        <v>882.60879999999997</v>
      </c>
      <c r="G716" s="7">
        <f t="shared" si="5"/>
        <v>5.1428447121759868E-2</v>
      </c>
      <c r="H716" s="9">
        <v>928</v>
      </c>
      <c r="I716" s="9">
        <v>939</v>
      </c>
      <c r="J716" s="9">
        <v>923</v>
      </c>
      <c r="K716" s="9">
        <v>928</v>
      </c>
      <c r="L716" s="9">
        <v>932</v>
      </c>
      <c r="M716" s="9">
        <v>927</v>
      </c>
      <c r="N716" s="9">
        <v>934</v>
      </c>
      <c r="O716" s="9">
        <v>950</v>
      </c>
      <c r="P716" s="9">
        <v>949</v>
      </c>
      <c r="Q716" s="9">
        <v>888</v>
      </c>
      <c r="R716" s="7">
        <f t="shared" si="6"/>
        <v>5.3467855747642679E-2</v>
      </c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4.4">
      <c r="A717" s="3">
        <f>LOOKUP(D717,'AMFI DATA_2023H2'!F:L,'AMFI DATA_2023H2'!L:L)</f>
        <v>1094</v>
      </c>
      <c r="B717" s="4" t="s">
        <v>3098</v>
      </c>
      <c r="C717" s="4" t="s">
        <v>3099</v>
      </c>
      <c r="D717" s="5" t="s">
        <v>3100</v>
      </c>
      <c r="E717" s="5">
        <v>612.20000000000005</v>
      </c>
      <c r="F717" s="6">
        <f>LOOKUP(D717,'AMFI DATA_2023H2'!F:J,'AMFI DATA_2023H2'!J:J)</f>
        <v>1347.6091000000001</v>
      </c>
      <c r="G717" s="7">
        <f t="shared" si="5"/>
        <v>0.4974668841283425</v>
      </c>
      <c r="H717" s="8">
        <v>2018</v>
      </c>
      <c r="I717" s="8">
        <v>1923</v>
      </c>
      <c r="J717" s="8">
        <v>1831</v>
      </c>
      <c r="K717" s="8">
        <v>1847</v>
      </c>
      <c r="L717" s="8">
        <v>1759</v>
      </c>
      <c r="M717" s="8">
        <v>1599</v>
      </c>
      <c r="N717" s="8">
        <v>1508</v>
      </c>
      <c r="O717" s="8">
        <v>1488</v>
      </c>
      <c r="P717" s="8">
        <v>1354</v>
      </c>
      <c r="Q717" s="8">
        <v>1377</v>
      </c>
      <c r="R717" s="14">
        <f t="shared" si="6"/>
        <v>0.23952858436470925</v>
      </c>
      <c r="S717" s="8"/>
      <c r="T717" s="8">
        <v>314.05</v>
      </c>
      <c r="U717" s="15">
        <f ca="1">IFERROR(__xludf.DUMMYFUNCTION("GOOGLEFINANCE(C717,""PRICE"")"),281.95)</f>
        <v>281.95</v>
      </c>
      <c r="V717" s="13" t="s">
        <v>5787</v>
      </c>
      <c r="W717" s="7">
        <f ca="1">U717/T717-1</f>
        <v>-0.10221302340391669</v>
      </c>
      <c r="X717" s="8"/>
      <c r="Y717" s="8"/>
      <c r="Z717" s="8"/>
      <c r="AA717" s="8"/>
      <c r="AB717" s="8"/>
    </row>
    <row r="718" spans="1:28" ht="14.4" hidden="1">
      <c r="A718" s="3">
        <f>LOOKUP(D718,'AMFI DATA_2023H2'!F:L,'AMFI DATA_2023H2'!L:L)</f>
        <v>1460</v>
      </c>
      <c r="B718" s="4" t="s">
        <v>3875</v>
      </c>
      <c r="C718" s="4" t="s">
        <v>3876</v>
      </c>
      <c r="D718" s="5" t="s">
        <v>3877</v>
      </c>
      <c r="E718" s="5">
        <v>433.99</v>
      </c>
      <c r="F718" s="6">
        <f>LOOKUP(D718,'AMFI DATA_2023H2'!F:J,'AMFI DATA_2023H2'!J:J)</f>
        <v>563.75825000000009</v>
      </c>
      <c r="G718" s="7">
        <f t="shared" si="5"/>
        <v>0.16007171513676277</v>
      </c>
      <c r="H718" s="9">
        <v>654</v>
      </c>
      <c r="I718" s="9">
        <v>654</v>
      </c>
      <c r="J718" s="9">
        <v>653</v>
      </c>
      <c r="K718" s="9">
        <v>672</v>
      </c>
      <c r="L718" s="9">
        <v>602</v>
      </c>
      <c r="M718" s="9">
        <v>593</v>
      </c>
      <c r="N718" s="9">
        <v>599</v>
      </c>
      <c r="O718" s="9">
        <v>607</v>
      </c>
      <c r="P718" s="9">
        <v>614</v>
      </c>
      <c r="Q718" s="9">
        <v>599</v>
      </c>
      <c r="R718" s="7">
        <f t="shared" si="6"/>
        <v>0.10809908325066631</v>
      </c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4.4" hidden="1">
      <c r="A719" s="3">
        <f>LOOKUP(D719,'AMFI DATA_2023H2'!F:L,'AMFI DATA_2023H2'!L:L)</f>
        <v>1547</v>
      </c>
      <c r="B719" s="4" t="s">
        <v>4052</v>
      </c>
      <c r="C719" s="4" t="s">
        <v>4053</v>
      </c>
      <c r="D719" s="5" t="s">
        <v>4054</v>
      </c>
      <c r="E719" s="5">
        <v>303.68</v>
      </c>
      <c r="F719" s="6">
        <f>LOOKUP(D719,'AMFI DATA_2023H2'!F:J,'AMFI DATA_2023H2'!J:J)</f>
        <v>457.32135</v>
      </c>
      <c r="G719" s="7">
        <f t="shared" si="5"/>
        <v>0.37540047058813242</v>
      </c>
      <c r="H719" s="9">
        <v>629</v>
      </c>
      <c r="I719" s="9">
        <v>620</v>
      </c>
      <c r="J719" s="9">
        <v>619</v>
      </c>
      <c r="K719" s="9">
        <v>615</v>
      </c>
      <c r="L719" s="9">
        <v>632</v>
      </c>
      <c r="M719" s="9">
        <v>633</v>
      </c>
      <c r="N719" s="9">
        <v>603</v>
      </c>
      <c r="O719" s="9">
        <v>615</v>
      </c>
      <c r="P719" s="9">
        <v>647</v>
      </c>
      <c r="Q719" s="9">
        <v>673</v>
      </c>
      <c r="R719" s="7">
        <f t="shared" si="6"/>
        <v>0.374525812101272</v>
      </c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4.4" hidden="1">
      <c r="A720" s="3">
        <f>LOOKUP(D720,'AMFI DATA_2023H2'!F:L,'AMFI DATA_2023H2'!L:L)</f>
        <v>923</v>
      </c>
      <c r="B720" s="4" t="s">
        <v>2666</v>
      </c>
      <c r="C720" s="4" t="s">
        <v>2667</v>
      </c>
      <c r="D720" s="5" t="s">
        <v>2668</v>
      </c>
      <c r="E720" s="5">
        <v>1680.74</v>
      </c>
      <c r="F720" s="6">
        <f>LOOKUP(D720,'AMFI DATA_2023H2'!F:J,'AMFI DATA_2023H2'!J:J)</f>
        <v>2078.9198999999999</v>
      </c>
      <c r="G720" s="7">
        <f t="shared" si="5"/>
        <v>0.11067290278956876</v>
      </c>
      <c r="H720" s="8">
        <v>2309</v>
      </c>
      <c r="I720" s="8">
        <v>2323</v>
      </c>
      <c r="J720" s="8">
        <v>2303</v>
      </c>
      <c r="K720" s="8">
        <v>2278</v>
      </c>
      <c r="L720" s="8">
        <v>2219</v>
      </c>
      <c r="M720" s="8">
        <v>2168</v>
      </c>
      <c r="N720" s="8">
        <v>2153</v>
      </c>
      <c r="O720" s="8">
        <v>2149</v>
      </c>
      <c r="P720" s="8">
        <v>2149</v>
      </c>
      <c r="Q720" s="8">
        <v>2174</v>
      </c>
      <c r="R720" s="7">
        <f t="shared" si="6"/>
        <v>6.9064758098664747E-2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4.4" hidden="1">
      <c r="A721" s="3">
        <f>LOOKUP(D721,'AMFI DATA_2023H2'!F:L,'AMFI DATA_2023H2'!L:L)</f>
        <v>3307</v>
      </c>
      <c r="B721" s="4" t="s">
        <v>5641</v>
      </c>
      <c r="C721" s="4" t="s">
        <v>5642</v>
      </c>
      <c r="D721" s="5" t="s">
        <v>5643</v>
      </c>
      <c r="E721" s="5">
        <v>32.18</v>
      </c>
      <c r="F721" s="6">
        <f>LOOKUP(D721,'AMFI DATA_2023H2'!F:J,'AMFI DATA_2023H2'!J:J)</f>
        <v>24.082999999999998</v>
      </c>
      <c r="G721" s="7">
        <f t="shared" si="5"/>
        <v>0.29967196777810079</v>
      </c>
      <c r="H721" s="9">
        <v>31.3</v>
      </c>
      <c r="I721" s="9">
        <v>31.9</v>
      </c>
      <c r="J721" s="9">
        <v>31.3</v>
      </c>
      <c r="K721" s="9">
        <v>29.8</v>
      </c>
      <c r="L721" s="9">
        <v>28.4</v>
      </c>
      <c r="M721" s="9">
        <v>27.1</v>
      </c>
      <c r="N721" s="9">
        <v>25.8</v>
      </c>
      <c r="O721" s="9">
        <v>24.7</v>
      </c>
      <c r="P721" s="9">
        <v>24.1</v>
      </c>
      <c r="Q721" s="9">
        <v>24</v>
      </c>
      <c r="R721" s="7">
        <f t="shared" si="6"/>
        <v>0.15600215919943516</v>
      </c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4.4" hidden="1">
      <c r="A722" s="3">
        <f>LOOKUP(D722,'AMFI DATA_2023H2'!F:L,'AMFI DATA_2023H2'!L:L)</f>
        <v>2969</v>
      </c>
      <c r="B722" s="4" t="s">
        <v>5539</v>
      </c>
      <c r="C722" s="4" t="s">
        <v>5540</v>
      </c>
      <c r="D722" s="5" t="s">
        <v>5541</v>
      </c>
      <c r="E722" s="5">
        <v>33.200000000000003</v>
      </c>
      <c r="F722" s="6">
        <f>LOOKUP(D722,'AMFI DATA_2023H2'!F:J,'AMFI DATA_2023H2'!J:J)</f>
        <v>39.950450000000004</v>
      </c>
      <c r="G722" s="7">
        <f t="shared" si="5"/>
        <v>0.65955577471592908</v>
      </c>
      <c r="H722" s="9">
        <v>66.3</v>
      </c>
      <c r="I722" s="9">
        <v>67.599999999999994</v>
      </c>
      <c r="J722" s="9">
        <v>69</v>
      </c>
      <c r="K722" s="9">
        <v>70.400000000000006</v>
      </c>
      <c r="L722" s="9">
        <v>71.8</v>
      </c>
      <c r="M722" s="9">
        <v>73.3</v>
      </c>
      <c r="N722" s="9">
        <v>74.8</v>
      </c>
      <c r="O722" s="9">
        <v>76.3</v>
      </c>
      <c r="P722" s="9">
        <v>75.099999999999994</v>
      </c>
      <c r="Q722" s="9">
        <v>78</v>
      </c>
      <c r="R722" s="7">
        <f t="shared" si="6"/>
        <v>0.80874057739024208</v>
      </c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4.4" hidden="1">
      <c r="A723" s="3">
        <f>LOOKUP(D723,'AMFI DATA_2023H2'!F:L,'AMFI DATA_2023H2'!L:L)</f>
        <v>1265</v>
      </c>
      <c r="B723" s="4" t="s">
        <v>3491</v>
      </c>
      <c r="C723" s="4" t="s">
        <v>3492</v>
      </c>
      <c r="D723" s="5" t="s">
        <v>3493</v>
      </c>
      <c r="E723" s="5">
        <v>490.53</v>
      </c>
      <c r="F723" s="6">
        <f>LOOKUP(D723,'AMFI DATA_2023H2'!F:J,'AMFI DATA_2023H2'!J:J)</f>
        <v>875.43740000000003</v>
      </c>
      <c r="G723" s="7">
        <f t="shared" si="5"/>
        <v>0.13429012742658686</v>
      </c>
      <c r="H723" s="8">
        <v>993</v>
      </c>
      <c r="I723" s="8">
        <v>965</v>
      </c>
      <c r="J723" s="8">
        <v>974</v>
      </c>
      <c r="K723" s="8">
        <v>965</v>
      </c>
      <c r="L723" s="8">
        <v>970</v>
      </c>
      <c r="M723" s="8">
        <v>973</v>
      </c>
      <c r="N723" s="8">
        <v>981</v>
      </c>
      <c r="O723" s="8">
        <v>990</v>
      </c>
      <c r="P723" s="8">
        <v>1000</v>
      </c>
      <c r="Q723" s="8">
        <v>1004</v>
      </c>
      <c r="R723" s="7">
        <f t="shared" si="6"/>
        <v>0.121153836927689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4.4" hidden="1">
      <c r="A724" s="3">
        <f>LOOKUP(D724,'AMFI DATA_2023H2'!F:L,'AMFI DATA_2023H2'!L:L)</f>
        <v>4</v>
      </c>
      <c r="B724" s="4" t="s">
        <v>16</v>
      </c>
      <c r="C724" s="4" t="s">
        <v>17</v>
      </c>
      <c r="D724" s="5" t="s">
        <v>18</v>
      </c>
      <c r="E724" s="5">
        <v>621984.89</v>
      </c>
      <c r="F724" s="6">
        <f>LOOKUP(D724,'AMFI DATA_2023H2'!F:J,'AMFI DATA_2023H2'!J:J)</f>
        <v>674293.85074999998</v>
      </c>
      <c r="G724" s="7">
        <f t="shared" si="5"/>
        <v>3.4203410314876059E-2</v>
      </c>
      <c r="H724" s="8">
        <v>697357</v>
      </c>
      <c r="I724" s="8">
        <v>692469</v>
      </c>
      <c r="J724" s="8">
        <v>690434</v>
      </c>
      <c r="K724" s="8">
        <v>688926</v>
      </c>
      <c r="L724" s="8">
        <v>702325</v>
      </c>
      <c r="M724" s="8">
        <v>698958</v>
      </c>
      <c r="N724" s="8">
        <v>705236</v>
      </c>
      <c r="O724" s="8">
        <v>702637</v>
      </c>
      <c r="P724" s="8">
        <v>698288</v>
      </c>
      <c r="Q724" s="8">
        <v>697411</v>
      </c>
      <c r="R724" s="7">
        <f t="shared" si="6"/>
        <v>3.4273261166915647E-2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4.4" hidden="1">
      <c r="A725" s="3">
        <f>LOOKUP(D725,'AMFI DATA_2023H2'!F:L,'AMFI DATA_2023H2'!L:L)</f>
        <v>98</v>
      </c>
      <c r="B725" s="4" t="s">
        <v>306</v>
      </c>
      <c r="C725" s="4" t="s">
        <v>307</v>
      </c>
      <c r="D725" s="5" t="s">
        <v>308</v>
      </c>
      <c r="E725" s="5">
        <v>56235</v>
      </c>
      <c r="F725" s="6">
        <f>LOOKUP(D725,'AMFI DATA_2023H2'!F:J,'AMFI DATA_2023H2'!J:J)</f>
        <v>67463.404150000002</v>
      </c>
      <c r="G725" s="7">
        <f t="shared" si="5"/>
        <v>1.6877236841894572E-2</v>
      </c>
      <c r="H725" s="8">
        <v>68602</v>
      </c>
      <c r="I725" s="8">
        <v>68585</v>
      </c>
      <c r="J725" s="8">
        <v>68058</v>
      </c>
      <c r="K725" s="8">
        <v>69840</v>
      </c>
      <c r="L725" s="8">
        <v>70776</v>
      </c>
      <c r="M725" s="8">
        <v>69813</v>
      </c>
      <c r="N725" s="8">
        <v>70791</v>
      </c>
      <c r="O725" s="8">
        <v>69474</v>
      </c>
      <c r="P725" s="8">
        <v>69714</v>
      </c>
      <c r="Q725" s="8">
        <v>70019</v>
      </c>
      <c r="R725" s="7">
        <f t="shared" si="6"/>
        <v>3.1184252803525325E-2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4.4" hidden="1">
      <c r="A726" s="3">
        <f>LOOKUP(D726,'AMFI DATA_2023H2'!F:L,'AMFI DATA_2023H2'!L:L)</f>
        <v>79</v>
      </c>
      <c r="B726" s="4" t="s">
        <v>249</v>
      </c>
      <c r="C726" s="4" t="s">
        <v>250</v>
      </c>
      <c r="D726" s="5" t="s">
        <v>251</v>
      </c>
      <c r="E726" s="5">
        <v>65035.29</v>
      </c>
      <c r="F726" s="6">
        <f>LOOKUP(D726,'AMFI DATA_2023H2'!F:J,'AMFI DATA_2023H2'!J:J)</f>
        <v>79455.182700000005</v>
      </c>
      <c r="G726" s="7">
        <f t="shared" si="5"/>
        <v>-1.5860295794147161E-2</v>
      </c>
      <c r="H726" s="8">
        <v>78195</v>
      </c>
      <c r="I726" s="8">
        <v>77741</v>
      </c>
      <c r="J726" s="8">
        <v>77158</v>
      </c>
      <c r="K726" s="8">
        <v>76971</v>
      </c>
      <c r="L726" s="8">
        <v>76654</v>
      </c>
      <c r="M726" s="8">
        <v>77043</v>
      </c>
      <c r="N726" s="8">
        <v>76280</v>
      </c>
      <c r="O726" s="8">
        <v>75826</v>
      </c>
      <c r="P726" s="8">
        <v>75408</v>
      </c>
      <c r="Q726" s="8">
        <v>74732</v>
      </c>
      <c r="R726" s="7">
        <f t="shared" si="6"/>
        <v>-3.5924436934181236E-2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4.4" hidden="1">
      <c r="A727" s="3">
        <f>LOOKUP(D727,'AMFI DATA_2023H2'!F:L,'AMFI DATA_2023H2'!L:L)</f>
        <v>258</v>
      </c>
      <c r="B727" s="4" t="s">
        <v>783</v>
      </c>
      <c r="C727" s="4" t="s">
        <v>784</v>
      </c>
      <c r="D727" s="5" t="s">
        <v>785</v>
      </c>
      <c r="E727" s="5">
        <v>15642.39</v>
      </c>
      <c r="F727" s="6">
        <f>LOOKUP(D727,'AMFI DATA_2023H2'!F:J,'AMFI DATA_2023H2'!J:J)</f>
        <v>20923.4748</v>
      </c>
      <c r="G727" s="7">
        <f t="shared" si="5"/>
        <v>0.17174610022232062</v>
      </c>
      <c r="H727" s="8">
        <v>24517</v>
      </c>
      <c r="I727" s="8">
        <v>23462</v>
      </c>
      <c r="J727" s="8">
        <v>23247</v>
      </c>
      <c r="K727" s="8">
        <v>23312</v>
      </c>
      <c r="L727" s="8">
        <v>22922</v>
      </c>
      <c r="M727" s="8">
        <v>23431</v>
      </c>
      <c r="N727" s="8">
        <v>23294</v>
      </c>
      <c r="O727" s="8">
        <v>23525</v>
      </c>
      <c r="P727" s="8">
        <v>23302</v>
      </c>
      <c r="Q727" s="8">
        <v>23644</v>
      </c>
      <c r="R727" s="7">
        <f t="shared" si="6"/>
        <v>0.12149632048688197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4.4" hidden="1">
      <c r="A728" s="3">
        <f>LOOKUP(D728,'AMFI DATA_2023H2'!F:L,'AMFI DATA_2023H2'!L:L)</f>
        <v>599</v>
      </c>
      <c r="B728" s="4" t="s">
        <v>1767</v>
      </c>
      <c r="C728" s="4" t="s">
        <v>1768</v>
      </c>
      <c r="D728" s="5" t="s">
        <v>1769</v>
      </c>
      <c r="E728" s="5">
        <v>4532.93</v>
      </c>
      <c r="F728" s="6">
        <f>LOOKUP(D728,'AMFI DATA_2023H2'!F:J,'AMFI DATA_2023H2'!J:J)</f>
        <v>5399.7213499999998</v>
      </c>
      <c r="G728" s="7">
        <f t="shared" si="5"/>
        <v>1.7089520739806296E-2</v>
      </c>
      <c r="H728" s="8">
        <v>5492</v>
      </c>
      <c r="I728" s="8">
        <v>5447</v>
      </c>
      <c r="J728" s="8">
        <v>5413</v>
      </c>
      <c r="K728" s="8">
        <v>5382</v>
      </c>
      <c r="L728" s="8">
        <v>5391</v>
      </c>
      <c r="M728" s="8">
        <v>5518</v>
      </c>
      <c r="N728" s="8">
        <v>5377</v>
      </c>
      <c r="O728" s="8">
        <v>5348</v>
      </c>
      <c r="P728" s="8">
        <v>5344</v>
      </c>
      <c r="Q728" s="8">
        <v>5377</v>
      </c>
      <c r="R728" s="7">
        <f t="shared" si="6"/>
        <v>1.6998377147738886E-3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4.4" hidden="1">
      <c r="A729" s="3">
        <f>LOOKUP(D729,'AMFI DATA_2023H2'!F:L,'AMFI DATA_2023H2'!L:L)</f>
        <v>94</v>
      </c>
      <c r="B729" s="4" t="s">
        <v>294</v>
      </c>
      <c r="C729" s="4" t="s">
        <v>295</v>
      </c>
      <c r="D729" s="5" t="s">
        <v>296</v>
      </c>
      <c r="E729" s="5">
        <v>55687.31</v>
      </c>
      <c r="F729" s="6">
        <f>LOOKUP(D729,'AMFI DATA_2023H2'!F:J,'AMFI DATA_2023H2'!J:J)</f>
        <v>68890.162799999991</v>
      </c>
      <c r="G729" s="7">
        <f t="shared" si="5"/>
        <v>7.0864068273039482E-2</v>
      </c>
      <c r="H729" s="8">
        <v>73772</v>
      </c>
      <c r="I729" s="8">
        <v>74514</v>
      </c>
      <c r="J729" s="8">
        <v>73020</v>
      </c>
      <c r="K729" s="8">
        <v>72428</v>
      </c>
      <c r="L729" s="8">
        <v>72611</v>
      </c>
      <c r="M729" s="8">
        <v>72482</v>
      </c>
      <c r="N729" s="8">
        <v>71235</v>
      </c>
      <c r="O729" s="8">
        <v>70805</v>
      </c>
      <c r="P729" s="8">
        <v>70417</v>
      </c>
      <c r="Q729" s="8">
        <v>70912</v>
      </c>
      <c r="R729" s="7">
        <f t="shared" si="6"/>
        <v>4.8329646275709015E-2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4.4" hidden="1">
      <c r="A730" s="3">
        <f>LOOKUP(D730,'AMFI DATA_2023H2'!F:L,'AMFI DATA_2023H2'!L:L)</f>
        <v>700</v>
      </c>
      <c r="B730" s="4" t="s">
        <v>2052</v>
      </c>
      <c r="C730" s="4" t="s">
        <v>2053</v>
      </c>
      <c r="D730" s="5" t="s">
        <v>2054</v>
      </c>
      <c r="E730" s="5">
        <v>30988.15</v>
      </c>
      <c r="F730" s="6">
        <f>LOOKUP(D730,'AMFI DATA_2023H2'!F:J,'AMFI DATA_2023H2'!J:J)</f>
        <v>3880.8414499999999</v>
      </c>
      <c r="G730" s="7">
        <f t="shared" si="5"/>
        <v>-8.2415490073679765E-2</v>
      </c>
      <c r="H730" s="8">
        <v>3561</v>
      </c>
      <c r="I730" s="8">
        <v>3579</v>
      </c>
      <c r="J730" s="8">
        <v>3606</v>
      </c>
      <c r="K730" s="8">
        <v>3594</v>
      </c>
      <c r="L730" s="8">
        <v>3575</v>
      </c>
      <c r="M730" s="8">
        <v>3582</v>
      </c>
      <c r="N730" s="8">
        <v>3543</v>
      </c>
      <c r="O730" s="8">
        <v>3566</v>
      </c>
      <c r="P730" s="8">
        <v>3512</v>
      </c>
      <c r="Q730" s="8">
        <v>3555</v>
      </c>
      <c r="R730" s="7">
        <f t="shared" si="6"/>
        <v>-8.0792130789058558E-2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4.4" hidden="1">
      <c r="A731" s="3">
        <f>LOOKUP(D731,'AMFI DATA_2023H2'!F:L,'AMFI DATA_2023H2'!L:L)</f>
        <v>107</v>
      </c>
      <c r="B731" s="4" t="s">
        <v>333</v>
      </c>
      <c r="C731" s="4" t="s">
        <v>334</v>
      </c>
      <c r="D731" s="5" t="s">
        <v>335</v>
      </c>
      <c r="E731" s="5">
        <v>39831.269999999997</v>
      </c>
      <c r="F731" s="6">
        <f>LOOKUP(D731,'AMFI DATA_2023H2'!F:J,'AMFI DATA_2023H2'!J:J)</f>
        <v>59484.290349999996</v>
      </c>
      <c r="G731" s="7">
        <f t="shared" si="5"/>
        <v>2.9532329286668713E-2</v>
      </c>
      <c r="H731" s="8">
        <v>61241</v>
      </c>
      <c r="I731" s="8">
        <v>61517</v>
      </c>
      <c r="J731" s="8">
        <v>60845</v>
      </c>
      <c r="K731" s="8">
        <v>60874</v>
      </c>
      <c r="L731" s="8">
        <v>62061</v>
      </c>
      <c r="M731" s="8">
        <v>62817</v>
      </c>
      <c r="N731" s="8">
        <v>62718</v>
      </c>
      <c r="O731" s="8">
        <v>62803</v>
      </c>
      <c r="P731" s="8">
        <v>62548</v>
      </c>
      <c r="Q731" s="8">
        <v>62506</v>
      </c>
      <c r="R731" s="7">
        <f t="shared" si="6"/>
        <v>4.2174322585660784E-2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4.4" hidden="1">
      <c r="A732" s="3">
        <f>LOOKUP(D732,'AMFI DATA_2023H2'!F:L,'AMFI DATA_2023H2'!L:L)</f>
        <v>275</v>
      </c>
      <c r="B732" s="4" t="s">
        <v>834</v>
      </c>
      <c r="C732" s="4" t="s">
        <v>835</v>
      </c>
      <c r="D732" s="5" t="s">
        <v>836</v>
      </c>
      <c r="E732" s="5">
        <v>13907.48</v>
      </c>
      <c r="F732" s="6">
        <f>LOOKUP(D732,'AMFI DATA_2023H2'!F:J,'AMFI DATA_2023H2'!J:J)</f>
        <v>19292.713900000002</v>
      </c>
      <c r="G732" s="7">
        <f t="shared" si="5"/>
        <v>3.6246123983624479E-2</v>
      </c>
      <c r="H732" s="8">
        <v>19992</v>
      </c>
      <c r="I732" s="8">
        <v>20136</v>
      </c>
      <c r="J732" s="8">
        <v>19816</v>
      </c>
      <c r="K732" s="8">
        <v>19752</v>
      </c>
      <c r="L732" s="8">
        <v>20072</v>
      </c>
      <c r="M732" s="8">
        <v>20248</v>
      </c>
      <c r="N732" s="8">
        <v>20024</v>
      </c>
      <c r="O732" s="8">
        <v>19992</v>
      </c>
      <c r="P732" s="8">
        <v>19912</v>
      </c>
      <c r="Q732" s="8">
        <v>19872</v>
      </c>
      <c r="R732" s="7">
        <f t="shared" si="6"/>
        <v>3.5707060373709076E-2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4.4" hidden="1">
      <c r="A733" s="3">
        <f>LOOKUP(D733,'AMFI DATA_2023H2'!F:L,'AMFI DATA_2023H2'!L:L)</f>
        <v>1525</v>
      </c>
      <c r="B733" s="4" t="s">
        <v>4010</v>
      </c>
      <c r="C733" s="4" t="s">
        <v>4011</v>
      </c>
      <c r="D733" s="5" t="s">
        <v>4012</v>
      </c>
      <c r="E733" s="5">
        <v>461.71</v>
      </c>
      <c r="F733" s="6">
        <f>LOOKUP(D733,'AMFI DATA_2023H2'!F:J,'AMFI DATA_2023H2'!J:J)</f>
        <v>478.06214999999997</v>
      </c>
      <c r="G733" s="7">
        <f t="shared" si="5"/>
        <v>-1.2680673422901134E-2</v>
      </c>
      <c r="H733" s="9">
        <v>472</v>
      </c>
      <c r="I733" s="9">
        <v>476</v>
      </c>
      <c r="J733" s="9">
        <v>482</v>
      </c>
      <c r="K733" s="9">
        <v>471</v>
      </c>
      <c r="L733" s="9">
        <v>488</v>
      </c>
      <c r="M733" s="9">
        <v>455</v>
      </c>
      <c r="N733" s="9">
        <v>457</v>
      </c>
      <c r="O733" s="9">
        <v>448</v>
      </c>
      <c r="P733" s="9">
        <v>446</v>
      </c>
      <c r="Q733" s="9">
        <v>450</v>
      </c>
      <c r="R733" s="7">
        <f t="shared" si="6"/>
        <v>-2.8369010179952525E-2</v>
      </c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4.4" hidden="1">
      <c r="A734" s="3">
        <f>LOOKUP(D734,'AMFI DATA_2023H2'!F:L,'AMFI DATA_2023H2'!L:L)</f>
        <v>715</v>
      </c>
      <c r="B734" s="4" t="s">
        <v>2090</v>
      </c>
      <c r="C734" s="4" t="s">
        <v>2091</v>
      </c>
      <c r="D734" s="5" t="s">
        <v>2092</v>
      </c>
      <c r="E734" s="5">
        <v>3361.56</v>
      </c>
      <c r="F734" s="6">
        <f>LOOKUP(D734,'AMFI DATA_2023H2'!F:J,'AMFI DATA_2023H2'!J:J)</f>
        <v>3679.4998999999998</v>
      </c>
      <c r="G734" s="7">
        <f t="shared" si="5"/>
        <v>8.7376031726485559E-2</v>
      </c>
      <c r="H734" s="8">
        <v>4001</v>
      </c>
      <c r="I734" s="8">
        <v>4045</v>
      </c>
      <c r="J734" s="8">
        <v>3974</v>
      </c>
      <c r="K734" s="8">
        <v>3859</v>
      </c>
      <c r="L734" s="8">
        <v>3870</v>
      </c>
      <c r="M734" s="8">
        <v>3781</v>
      </c>
      <c r="N734" s="8">
        <v>3822</v>
      </c>
      <c r="O734" s="8">
        <v>3782</v>
      </c>
      <c r="P734" s="8">
        <v>3783</v>
      </c>
      <c r="Q734" s="8">
        <v>3680</v>
      </c>
      <c r="R734" s="7">
        <f t="shared" si="6"/>
        <v>4.8974073895205139E-2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4.4" hidden="1">
      <c r="A735" s="3">
        <f>LOOKUP(D735,'AMFI DATA_2023H2'!F:L,'AMFI DATA_2023H2'!L:L)</f>
        <v>612</v>
      </c>
      <c r="B735" s="4" t="s">
        <v>1806</v>
      </c>
      <c r="C735" s="4" t="s">
        <v>1807</v>
      </c>
      <c r="D735" s="5" t="s">
        <v>1808</v>
      </c>
      <c r="E735" s="5">
        <v>2574.38</v>
      </c>
      <c r="F735" s="6">
        <f>LOOKUP(D735,'AMFI DATA_2023H2'!F:J,'AMFI DATA_2023H2'!J:J)</f>
        <v>5034.9104499999994</v>
      </c>
      <c r="G735" s="7">
        <f t="shared" si="5"/>
        <v>0.47450487426246091</v>
      </c>
      <c r="H735" s="8">
        <v>7424</v>
      </c>
      <c r="I735" s="8">
        <v>7382</v>
      </c>
      <c r="J735" s="8">
        <v>7225</v>
      </c>
      <c r="K735" s="8">
        <v>7163</v>
      </c>
      <c r="L735" s="8">
        <v>7220</v>
      </c>
      <c r="M735" s="8">
        <v>7260</v>
      </c>
      <c r="N735" s="8">
        <v>7163</v>
      </c>
      <c r="O735" s="8">
        <v>6971</v>
      </c>
      <c r="P735" s="8">
        <v>6998</v>
      </c>
      <c r="Q735" s="8">
        <v>7070</v>
      </c>
      <c r="R735" s="7">
        <f t="shared" si="6"/>
        <v>0.42755269857878031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4.4" hidden="1">
      <c r="A736" s="3">
        <f>LOOKUP(D736,'AMFI DATA_2023H2'!F:L,'AMFI DATA_2023H2'!L:L)</f>
        <v>937</v>
      </c>
      <c r="B736" s="4" t="s">
        <v>2702</v>
      </c>
      <c r="C736" s="4" t="s">
        <v>2703</v>
      </c>
      <c r="D736" s="5" t="s">
        <v>2704</v>
      </c>
      <c r="E736" s="5">
        <v>937.87</v>
      </c>
      <c r="F736" s="6">
        <f>LOOKUP(D736,'AMFI DATA_2023H2'!F:J,'AMFI DATA_2023H2'!J:J)</f>
        <v>2014.876</v>
      </c>
      <c r="G736" s="7">
        <f t="shared" si="5"/>
        <v>0.40058246760594707</v>
      </c>
      <c r="H736" s="8">
        <v>2822</v>
      </c>
      <c r="I736" s="8">
        <v>2925</v>
      </c>
      <c r="J736" s="8">
        <v>2835</v>
      </c>
      <c r="K736" s="8">
        <v>2856</v>
      </c>
      <c r="L736" s="8">
        <v>2872</v>
      </c>
      <c r="M736" s="8">
        <v>2863</v>
      </c>
      <c r="N736" s="8">
        <v>2889</v>
      </c>
      <c r="O736" s="8">
        <v>2926</v>
      </c>
      <c r="P736" s="8">
        <v>2854</v>
      </c>
      <c r="Q736" s="8">
        <v>2766</v>
      </c>
      <c r="R736" s="7">
        <f t="shared" si="6"/>
        <v>0.41983923576438453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4.4" hidden="1">
      <c r="A737" s="3">
        <f>LOOKUP(D737,'AMFI DATA_2023H2'!F:L,'AMFI DATA_2023H2'!L:L)</f>
        <v>1055</v>
      </c>
      <c r="B737" s="4" t="s">
        <v>3005</v>
      </c>
      <c r="C737" s="4" t="s">
        <v>3006</v>
      </c>
      <c r="D737" s="5" t="s">
        <v>3007</v>
      </c>
      <c r="E737" s="5">
        <v>1439.98</v>
      </c>
      <c r="F737" s="6">
        <f>LOOKUP(D737,'AMFI DATA_2023H2'!F:J,'AMFI DATA_2023H2'!J:J)</f>
        <v>1480.2743500000001</v>
      </c>
      <c r="G737" s="7">
        <f t="shared" si="5"/>
        <v>8.3582918261064121E-2</v>
      </c>
      <c r="H737" s="8">
        <v>1604</v>
      </c>
      <c r="I737" s="8">
        <v>1579</v>
      </c>
      <c r="J737" s="8">
        <v>1582</v>
      </c>
      <c r="K737" s="8">
        <v>1515</v>
      </c>
      <c r="L737" s="8">
        <v>1504</v>
      </c>
      <c r="M737" s="8">
        <v>1446</v>
      </c>
      <c r="N737" s="8">
        <v>1417</v>
      </c>
      <c r="O737" s="8">
        <v>1427</v>
      </c>
      <c r="P737" s="8">
        <v>1443</v>
      </c>
      <c r="Q737" s="8">
        <v>1407</v>
      </c>
      <c r="R737" s="7">
        <f t="shared" si="6"/>
        <v>8.191488287289328E-3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4.4" hidden="1">
      <c r="A738" s="3">
        <f>LOOKUP(D738,'AMFI DATA_2023H2'!F:L,'AMFI DATA_2023H2'!L:L)</f>
        <v>992</v>
      </c>
      <c r="B738" s="4" t="s">
        <v>2840</v>
      </c>
      <c r="C738" s="4" t="s">
        <v>2841</v>
      </c>
      <c r="D738" s="5" t="s">
        <v>2842</v>
      </c>
      <c r="E738" s="5">
        <v>1275.0899999999999</v>
      </c>
      <c r="F738" s="6">
        <f>LOOKUP(D738,'AMFI DATA_2023H2'!F:J,'AMFI DATA_2023H2'!J:J)</f>
        <v>1753.95325</v>
      </c>
      <c r="G738" s="7">
        <f t="shared" si="5"/>
        <v>-6.2448927871937565E-3</v>
      </c>
      <c r="H738" s="8">
        <v>1743</v>
      </c>
      <c r="I738" s="8">
        <v>1646</v>
      </c>
      <c r="J738" s="8">
        <v>1646</v>
      </c>
      <c r="K738" s="8">
        <v>1666</v>
      </c>
      <c r="L738" s="8">
        <v>1630</v>
      </c>
      <c r="M738" s="8">
        <v>1630</v>
      </c>
      <c r="N738" s="8">
        <v>1640</v>
      </c>
      <c r="O738" s="8">
        <v>1688</v>
      </c>
      <c r="P738" s="8">
        <v>1600</v>
      </c>
      <c r="Q738" s="8">
        <v>1626</v>
      </c>
      <c r="R738" s="7">
        <f t="shared" si="6"/>
        <v>-5.841275986118788E-2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4.4" hidden="1">
      <c r="A739" s="3">
        <f>LOOKUP(D739,'AMFI DATA_2023H2'!F:L,'AMFI DATA_2023H2'!L:L)</f>
        <v>244</v>
      </c>
      <c r="B739" s="4" t="s">
        <v>738</v>
      </c>
      <c r="C739" s="4" t="s">
        <v>739</v>
      </c>
      <c r="D739" s="5" t="s">
        <v>740</v>
      </c>
      <c r="E739" s="5">
        <v>17630.36</v>
      </c>
      <c r="F739" s="6">
        <f>LOOKUP(D739,'AMFI DATA_2023H2'!F:J,'AMFI DATA_2023H2'!J:J)</f>
        <v>22750.088400000001</v>
      </c>
      <c r="G739" s="7">
        <f t="shared" si="5"/>
        <v>7.5336480890333624E-2</v>
      </c>
      <c r="H739" s="8">
        <v>24464</v>
      </c>
      <c r="I739" s="8">
        <v>24201</v>
      </c>
      <c r="J739" s="8">
        <v>23066</v>
      </c>
      <c r="K739" s="8">
        <v>23419</v>
      </c>
      <c r="L739" s="8">
        <v>22933</v>
      </c>
      <c r="M739" s="8">
        <v>22744</v>
      </c>
      <c r="N739" s="8">
        <v>22769</v>
      </c>
      <c r="O739" s="8">
        <v>22326</v>
      </c>
      <c r="P739" s="8">
        <v>22589</v>
      </c>
      <c r="Q739" s="8">
        <v>21834</v>
      </c>
      <c r="R739" s="7">
        <f t="shared" si="6"/>
        <v>1.2501560213717733E-2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4.4" hidden="1">
      <c r="A740" s="3">
        <f>LOOKUP(D740,'AMFI DATA_2023H2'!F:L,'AMFI DATA_2023H2'!L:L)</f>
        <v>807</v>
      </c>
      <c r="B740" s="4" t="s">
        <v>2345</v>
      </c>
      <c r="C740" s="4" t="s">
        <v>2346</v>
      </c>
      <c r="D740" s="5" t="s">
        <v>2347</v>
      </c>
      <c r="E740" s="5">
        <v>1815.15</v>
      </c>
      <c r="F740" s="6">
        <f>LOOKUP(D740,'AMFI DATA_2023H2'!F:J,'AMFI DATA_2023H2'!J:J)</f>
        <v>2802.00065</v>
      </c>
      <c r="G740" s="7">
        <f t="shared" si="5"/>
        <v>0.74625227156888774</v>
      </c>
      <c r="H740" s="8">
        <v>4893</v>
      </c>
      <c r="I740" s="8">
        <v>4778</v>
      </c>
      <c r="J740" s="8">
        <v>4481</v>
      </c>
      <c r="K740" s="8">
        <v>4409</v>
      </c>
      <c r="L740" s="8">
        <v>4440</v>
      </c>
      <c r="M740" s="8">
        <v>4507</v>
      </c>
      <c r="N740" s="8">
        <v>4347</v>
      </c>
      <c r="O740" s="8">
        <v>4403</v>
      </c>
      <c r="P740" s="8">
        <v>4477</v>
      </c>
      <c r="Q740" s="8">
        <v>4222</v>
      </c>
      <c r="R740" s="7">
        <f t="shared" si="6"/>
        <v>0.60446072701660514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4.4" hidden="1">
      <c r="A741" s="3">
        <f>LOOKUP(D741,'AMFI DATA_2023H2'!F:L,'AMFI DATA_2023H2'!L:L)</f>
        <v>804</v>
      </c>
      <c r="B741" s="4" t="s">
        <v>2336</v>
      </c>
      <c r="C741" s="4" t="s">
        <v>2337</v>
      </c>
      <c r="D741" s="5" t="s">
        <v>2338</v>
      </c>
      <c r="E741" s="5">
        <v>3430.74</v>
      </c>
      <c r="F741" s="6">
        <f>LOOKUP(D741,'AMFI DATA_2023H2'!F:J,'AMFI DATA_2023H2'!J:J)</f>
        <v>2826.8918999999996</v>
      </c>
      <c r="G741" s="7">
        <f t="shared" si="5"/>
        <v>-0.12377264938924604</v>
      </c>
      <c r="H741" s="8">
        <v>2477</v>
      </c>
      <c r="I741" s="8">
        <v>2453</v>
      </c>
      <c r="J741" s="8">
        <v>2383</v>
      </c>
      <c r="K741" s="8">
        <v>2419</v>
      </c>
      <c r="L741" s="8">
        <v>2462</v>
      </c>
      <c r="M741" s="8">
        <v>2461</v>
      </c>
      <c r="N741" s="8">
        <v>2469</v>
      </c>
      <c r="O741" s="8">
        <v>2524</v>
      </c>
      <c r="P741" s="8">
        <v>2597</v>
      </c>
      <c r="Q741" s="8">
        <v>2650</v>
      </c>
      <c r="R741" s="7">
        <f t="shared" si="6"/>
        <v>-0.11935083191543328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4.4" hidden="1">
      <c r="A742" s="3">
        <f>LOOKUP(D742,'AMFI DATA_2023H2'!F:L,'AMFI DATA_2023H2'!L:L)</f>
        <v>1818</v>
      </c>
      <c r="B742" s="4" t="s">
        <v>4496</v>
      </c>
      <c r="C742" s="4" t="s">
        <v>4497</v>
      </c>
      <c r="D742" s="5" t="s">
        <v>4498</v>
      </c>
      <c r="E742" s="5">
        <v>166.43</v>
      </c>
      <c r="F742" s="6">
        <f>LOOKUP(D742,'AMFI DATA_2023H2'!F:J,'AMFI DATA_2023H2'!J:J)</f>
        <v>262.04835000000003</v>
      </c>
      <c r="G742" s="7">
        <f t="shared" si="5"/>
        <v>0.72487252829487359</v>
      </c>
      <c r="H742" s="9">
        <v>452</v>
      </c>
      <c r="I742" s="9">
        <v>444</v>
      </c>
      <c r="J742" s="9">
        <v>435</v>
      </c>
      <c r="K742" s="9">
        <v>427</v>
      </c>
      <c r="L742" s="9">
        <v>419</v>
      </c>
      <c r="M742" s="9">
        <v>411</v>
      </c>
      <c r="N742" s="9">
        <v>391</v>
      </c>
      <c r="O742" s="9">
        <v>372</v>
      </c>
      <c r="P742" s="9">
        <v>352</v>
      </c>
      <c r="Q742" s="9">
        <v>337</v>
      </c>
      <c r="R742" s="7">
        <f t="shared" si="6"/>
        <v>0.54170022440515253</v>
      </c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4.4" hidden="1">
      <c r="A743" s="3">
        <f>LOOKUP(D743,'AMFI DATA_2023H2'!F:L,'AMFI DATA_2023H2'!L:L)</f>
        <v>1785</v>
      </c>
      <c r="B743" s="4" t="s">
        <v>4454</v>
      </c>
      <c r="C743" s="4" t="s">
        <v>4455</v>
      </c>
      <c r="D743" s="5" t="s">
        <v>4456</v>
      </c>
      <c r="E743" s="5">
        <v>213.32</v>
      </c>
      <c r="F743" s="6">
        <f>LOOKUP(D743,'AMFI DATA_2023H2'!F:J,'AMFI DATA_2023H2'!J:J)</f>
        <v>277.71719999999999</v>
      </c>
      <c r="G743" s="7">
        <f t="shared" si="5"/>
        <v>0.34669368695925207</v>
      </c>
      <c r="H743" s="9">
        <v>374</v>
      </c>
      <c r="I743" s="9">
        <v>375</v>
      </c>
      <c r="J743" s="9">
        <v>377</v>
      </c>
      <c r="K743" s="9">
        <v>380</v>
      </c>
      <c r="L743" s="9">
        <v>375</v>
      </c>
      <c r="M743" s="9">
        <v>377</v>
      </c>
      <c r="N743" s="9">
        <v>381</v>
      </c>
      <c r="O743" s="9">
        <v>364</v>
      </c>
      <c r="P743" s="9">
        <v>375</v>
      </c>
      <c r="Q743" s="9">
        <v>386</v>
      </c>
      <c r="R743" s="7">
        <f t="shared" si="6"/>
        <v>0.35533557158145035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4.4" hidden="1">
      <c r="A744" s="3">
        <f>LOOKUP(D744,'AMFI DATA_2023H2'!F:L,'AMFI DATA_2023H2'!L:L)</f>
        <v>2203</v>
      </c>
      <c r="B744" s="4" t="s">
        <v>5021</v>
      </c>
      <c r="C744" s="4" t="s">
        <v>5022</v>
      </c>
      <c r="D744" s="5" t="s">
        <v>5023</v>
      </c>
      <c r="E744" s="5">
        <v>117.6</v>
      </c>
      <c r="F744" s="6">
        <f>LOOKUP(D744,'AMFI DATA_2023H2'!F:J,'AMFI DATA_2023H2'!J:J)</f>
        <v>131.10685000000001</v>
      </c>
      <c r="G744" s="7">
        <f t="shared" si="5"/>
        <v>0.47970910749514606</v>
      </c>
      <c r="H744" s="9">
        <v>194</v>
      </c>
      <c r="I744" s="9">
        <v>184</v>
      </c>
      <c r="J744" s="9">
        <v>177</v>
      </c>
      <c r="K744" s="9">
        <v>168</v>
      </c>
      <c r="L744" s="9">
        <v>165</v>
      </c>
      <c r="M744" s="9">
        <v>158</v>
      </c>
      <c r="N744" s="9">
        <v>166</v>
      </c>
      <c r="O744" s="9">
        <v>164</v>
      </c>
      <c r="P744" s="9">
        <v>164</v>
      </c>
      <c r="Q744" s="9">
        <v>166</v>
      </c>
      <c r="R744" s="7">
        <f t="shared" si="6"/>
        <v>0.30122873061171096</v>
      </c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4.4" hidden="1">
      <c r="A745" s="3">
        <f>LOOKUP(D745,'AMFI DATA_2023H2'!F:L,'AMFI DATA_2023H2'!L:L)</f>
        <v>841</v>
      </c>
      <c r="B745" s="4" t="s">
        <v>2441</v>
      </c>
      <c r="C745" s="4" t="s">
        <v>2442</v>
      </c>
      <c r="D745" s="5" t="s">
        <v>2443</v>
      </c>
      <c r="E745" s="5">
        <v>1743.08</v>
      </c>
      <c r="F745" s="6">
        <f>LOOKUP(D745,'AMFI DATA_2023H2'!F:J,'AMFI DATA_2023H2'!J:J)</f>
        <v>2559.05735</v>
      </c>
      <c r="G745" s="7">
        <f t="shared" si="5"/>
        <v>0.12346055863109129</v>
      </c>
      <c r="H745" s="8">
        <v>2875</v>
      </c>
      <c r="I745" s="8">
        <v>2942</v>
      </c>
      <c r="J745" s="8">
        <v>2957</v>
      </c>
      <c r="K745" s="8">
        <v>2882</v>
      </c>
      <c r="L745" s="8">
        <v>2898</v>
      </c>
      <c r="M745" s="8">
        <v>2858</v>
      </c>
      <c r="N745" s="8">
        <v>2800</v>
      </c>
      <c r="O745" s="8">
        <v>2934</v>
      </c>
      <c r="P745" s="8">
        <v>2853</v>
      </c>
      <c r="Q745" s="8">
        <v>2773</v>
      </c>
      <c r="R745" s="7">
        <f t="shared" si="6"/>
        <v>0.12432025018900017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4.4" hidden="1">
      <c r="A746" s="3">
        <f>LOOKUP(D746,'AMFI DATA_2023H2'!F:L,'AMFI DATA_2023H2'!L:L)</f>
        <v>3209</v>
      </c>
      <c r="B746" s="4" t="s">
        <v>5623</v>
      </c>
      <c r="C746" s="4" t="s">
        <v>5624</v>
      </c>
      <c r="D746" s="5" t="s">
        <v>5625</v>
      </c>
      <c r="E746" s="5">
        <v>27.71</v>
      </c>
      <c r="F746" s="6">
        <f>LOOKUP(D746,'AMFI DATA_2023H2'!F:J,'AMFI DATA_2023H2'!J:J)</f>
        <v>27.500149999999998</v>
      </c>
      <c r="G746" s="7">
        <f t="shared" si="5"/>
        <v>0.39999236367801649</v>
      </c>
      <c r="H746" s="9">
        <v>38.5</v>
      </c>
      <c r="I746" s="9">
        <v>35.200000000000003</v>
      </c>
      <c r="J746" s="9">
        <v>35.1</v>
      </c>
      <c r="K746" s="9">
        <v>33.4</v>
      </c>
      <c r="L746" s="9">
        <v>31.8</v>
      </c>
      <c r="M746" s="9">
        <v>30.3</v>
      </c>
      <c r="N746" s="9">
        <v>31.6</v>
      </c>
      <c r="O746" s="9">
        <v>32.1</v>
      </c>
      <c r="P746" s="9">
        <v>31.7</v>
      </c>
      <c r="Q746" s="9">
        <v>30.3</v>
      </c>
      <c r="R746" s="7">
        <f t="shared" si="6"/>
        <v>0.19999345458115725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4.4" hidden="1">
      <c r="A747" s="3">
        <f>LOOKUP(D747,'AMFI DATA_2023H2'!F:L,'AMFI DATA_2023H2'!L:L)</f>
        <v>2158</v>
      </c>
      <c r="B747" s="4" t="s">
        <v>4964</v>
      </c>
      <c r="C747" s="4" t="s">
        <v>4965</v>
      </c>
      <c r="D747" s="5" t="s">
        <v>4966</v>
      </c>
      <c r="E747" s="5">
        <v>102.05</v>
      </c>
      <c r="F747" s="6">
        <f>LOOKUP(D747,'AMFI DATA_2023H2'!F:J,'AMFI DATA_2023H2'!J:J)</f>
        <v>143.9649</v>
      </c>
      <c r="G747" s="7">
        <f t="shared" si="5"/>
        <v>0.34755068770234976</v>
      </c>
      <c r="H747" s="9">
        <v>194</v>
      </c>
      <c r="I747" s="9">
        <v>190</v>
      </c>
      <c r="J747" s="9">
        <v>177</v>
      </c>
      <c r="K747" s="9">
        <v>169</v>
      </c>
      <c r="L747" s="9">
        <v>161</v>
      </c>
      <c r="M747" s="9">
        <v>153</v>
      </c>
      <c r="N747" s="9">
        <v>150</v>
      </c>
      <c r="O747" s="9">
        <v>153</v>
      </c>
      <c r="P747" s="9">
        <v>146</v>
      </c>
      <c r="Q747" s="9">
        <v>145</v>
      </c>
      <c r="R747" s="7">
        <f t="shared" si="6"/>
        <v>0.13777733322497365</v>
      </c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4.4" hidden="1">
      <c r="A748" s="3">
        <f>LOOKUP(D748,'AMFI DATA_2023H2'!F:L,'AMFI DATA_2023H2'!L:L)</f>
        <v>2156</v>
      </c>
      <c r="B748" s="4" t="s">
        <v>4961</v>
      </c>
      <c r="C748" s="4" t="s">
        <v>4962</v>
      </c>
      <c r="D748" s="5" t="s">
        <v>4963</v>
      </c>
      <c r="E748" s="5">
        <v>115.26</v>
      </c>
      <c r="F748" s="6">
        <f>LOOKUP(D748,'AMFI DATA_2023H2'!F:J,'AMFI DATA_2023H2'!J:J)</f>
        <v>144.4889</v>
      </c>
      <c r="G748" s="7">
        <f t="shared" si="5"/>
        <v>0.21116570200202234</v>
      </c>
      <c r="H748" s="9">
        <v>175</v>
      </c>
      <c r="I748" s="9">
        <v>176</v>
      </c>
      <c r="J748" s="9">
        <v>168</v>
      </c>
      <c r="K748" s="9">
        <v>169</v>
      </c>
      <c r="L748" s="9">
        <v>174</v>
      </c>
      <c r="M748" s="9">
        <v>170</v>
      </c>
      <c r="N748" s="9">
        <v>167</v>
      </c>
      <c r="O748" s="9">
        <v>166</v>
      </c>
      <c r="P748" s="9">
        <v>176</v>
      </c>
      <c r="Q748" s="9">
        <v>178</v>
      </c>
      <c r="R748" s="7">
        <f t="shared" si="6"/>
        <v>0.18971076670941511</v>
      </c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4.4" hidden="1">
      <c r="A749" s="3">
        <f>LOOKUP(D749,'AMFI DATA_2023H2'!F:L,'AMFI DATA_2023H2'!L:L)</f>
        <v>903</v>
      </c>
      <c r="B749" s="4" t="s">
        <v>2615</v>
      </c>
      <c r="C749" s="4" t="s">
        <v>2616</v>
      </c>
      <c r="D749" s="5" t="s">
        <v>2617</v>
      </c>
      <c r="E749" s="5">
        <v>1933.83</v>
      </c>
      <c r="F749" s="6">
        <f>LOOKUP(D749,'AMFI DATA_2023H2'!F:J,'AMFI DATA_2023H2'!J:J)</f>
        <v>2148.7035000000001</v>
      </c>
      <c r="G749" s="7">
        <f t="shared" si="5"/>
        <v>0.35942441569997907</v>
      </c>
      <c r="H749" s="8">
        <v>2921</v>
      </c>
      <c r="I749" s="8">
        <v>2801</v>
      </c>
      <c r="J749" s="8">
        <v>2639</v>
      </c>
      <c r="K749" s="8">
        <v>2607</v>
      </c>
      <c r="L749" s="8">
        <v>2569</v>
      </c>
      <c r="M749" s="8">
        <v>2372</v>
      </c>
      <c r="N749" s="8">
        <v>2319</v>
      </c>
      <c r="O749" s="8">
        <v>2324</v>
      </c>
      <c r="P749" s="8">
        <v>2342</v>
      </c>
      <c r="Q749" s="8">
        <v>2292</v>
      </c>
      <c r="R749" s="7">
        <f t="shared" si="6"/>
        <v>0.17214869338650018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4.4">
      <c r="A750" s="3">
        <f>LOOKUP(D750,'AMFI DATA_2023H2'!F:L,'AMFI DATA_2023H2'!L:L)</f>
        <v>1199</v>
      </c>
      <c r="B750" s="4" t="s">
        <v>3347</v>
      </c>
      <c r="C750" s="4" t="s">
        <v>3348</v>
      </c>
      <c r="D750" s="5" t="s">
        <v>3349</v>
      </c>
      <c r="E750" s="5">
        <v>895.7</v>
      </c>
      <c r="F750" s="6">
        <f>LOOKUP(D750,'AMFI DATA_2023H2'!F:J,'AMFI DATA_2023H2'!J:J)</f>
        <v>1051.10095</v>
      </c>
      <c r="G750" s="7">
        <f t="shared" si="5"/>
        <v>0.27009684464655836</v>
      </c>
      <c r="H750" s="8">
        <v>1335</v>
      </c>
      <c r="I750" s="8">
        <v>1320</v>
      </c>
      <c r="J750" s="8">
        <v>1278</v>
      </c>
      <c r="K750" s="8">
        <v>1262</v>
      </c>
      <c r="L750" s="8">
        <v>1276</v>
      </c>
      <c r="M750" s="8">
        <v>1256</v>
      </c>
      <c r="N750" s="8">
        <v>1268</v>
      </c>
      <c r="O750" s="8">
        <v>1303</v>
      </c>
      <c r="P750" s="8">
        <v>1313</v>
      </c>
      <c r="Q750" s="8">
        <v>1307</v>
      </c>
      <c r="R750" s="14">
        <f t="shared" si="6"/>
        <v>0.22899708158383825</v>
      </c>
      <c r="S750" s="8"/>
      <c r="T750" s="8">
        <v>1086</v>
      </c>
      <c r="U750" s="15">
        <f ca="1">IFERROR(__xludf.DUMMYFUNCTION("GOOGLEFINANCE(C750,""PRICE"")"),1169.9)</f>
        <v>1169.9000000000001</v>
      </c>
      <c r="V750" s="13" t="s">
        <v>5787</v>
      </c>
      <c r="W750" s="7">
        <f ca="1">U750/T750-1</f>
        <v>7.7255985267035143E-2</v>
      </c>
      <c r="X750" s="8"/>
      <c r="Y750" s="8"/>
      <c r="Z750" s="8"/>
      <c r="AA750" s="8"/>
      <c r="AB750" s="8"/>
    </row>
    <row r="751" spans="1:28" ht="14.4" hidden="1">
      <c r="A751" s="3">
        <f>LOOKUP(D751,'AMFI DATA_2023H2'!F:L,'AMFI DATA_2023H2'!L:L)</f>
        <v>1169</v>
      </c>
      <c r="B751" s="4" t="s">
        <v>3272</v>
      </c>
      <c r="C751" s="4" t="s">
        <v>3273</v>
      </c>
      <c r="D751" s="5" t="s">
        <v>3274</v>
      </c>
      <c r="E751" s="5">
        <v>844.7</v>
      </c>
      <c r="F751" s="6">
        <f>LOOKUP(D751,'AMFI DATA_2023H2'!F:J,'AMFI DATA_2023H2'!J:J)</f>
        <v>1112.73595</v>
      </c>
      <c r="G751" s="7">
        <f t="shared" si="5"/>
        <v>7.3030847974310475E-2</v>
      </c>
      <c r="H751" s="8">
        <v>1194</v>
      </c>
      <c r="I751" s="8">
        <v>1235</v>
      </c>
      <c r="J751" s="8">
        <v>1196</v>
      </c>
      <c r="K751" s="8">
        <v>1181</v>
      </c>
      <c r="L751" s="8">
        <v>1205</v>
      </c>
      <c r="M751" s="8">
        <v>1207</v>
      </c>
      <c r="N751" s="8">
        <v>1219</v>
      </c>
      <c r="O751" s="8">
        <v>1209</v>
      </c>
      <c r="P751" s="8">
        <v>1228</v>
      </c>
      <c r="Q751" s="8">
        <v>1226</v>
      </c>
      <c r="R751" s="7">
        <f t="shared" si="6"/>
        <v>8.7409820811487293E-2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4.4" hidden="1">
      <c r="A752" s="3">
        <f>LOOKUP(D752,'AMFI DATA_2023H2'!F:L,'AMFI DATA_2023H2'!L:L)</f>
        <v>763</v>
      </c>
      <c r="B752" s="4" t="s">
        <v>2234</v>
      </c>
      <c r="C752" s="4" t="s">
        <v>2235</v>
      </c>
      <c r="D752" s="5" t="s">
        <v>2236</v>
      </c>
      <c r="E752" s="5">
        <v>2562.44</v>
      </c>
      <c r="F752" s="6">
        <f>LOOKUP(D752,'AMFI DATA_2023H2'!F:J,'AMFI DATA_2023H2'!J:J)</f>
        <v>3178.9614499999998</v>
      </c>
      <c r="G752" s="7">
        <f t="shared" si="5"/>
        <v>0.35987808219568063</v>
      </c>
      <c r="H752" s="8">
        <v>4323</v>
      </c>
      <c r="I752" s="8">
        <v>4254</v>
      </c>
      <c r="J752" s="8">
        <v>4186</v>
      </c>
      <c r="K752" s="8">
        <v>4098</v>
      </c>
      <c r="L752" s="8">
        <v>4136</v>
      </c>
      <c r="M752" s="8">
        <v>4189</v>
      </c>
      <c r="N752" s="8">
        <v>4247</v>
      </c>
      <c r="O752" s="8">
        <v>4282</v>
      </c>
      <c r="P752" s="8">
        <v>4256</v>
      </c>
      <c r="Q752" s="8">
        <v>4083</v>
      </c>
      <c r="R752" s="7">
        <f t="shared" si="6"/>
        <v>0.32288486857869891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4.4" hidden="1">
      <c r="A753" s="3">
        <f>LOOKUP(D753,'AMFI DATA_2023H2'!F:L,'AMFI DATA_2023H2'!L:L)</f>
        <v>745</v>
      </c>
      <c r="B753" s="4" t="s">
        <v>2180</v>
      </c>
      <c r="C753" s="4" t="s">
        <v>2181</v>
      </c>
      <c r="D753" s="5" t="s">
        <v>2182</v>
      </c>
      <c r="E753" s="5">
        <v>2786.2</v>
      </c>
      <c r="F753" s="6">
        <f>LOOKUP(D753,'AMFI DATA_2023H2'!F:J,'AMFI DATA_2023H2'!J:J)</f>
        <v>3394.1615999999999</v>
      </c>
      <c r="G753" s="7">
        <f t="shared" si="5"/>
        <v>0.1799673887065365</v>
      </c>
      <c r="H753" s="8">
        <v>4005</v>
      </c>
      <c r="I753" s="8">
        <v>4091</v>
      </c>
      <c r="J753" s="8">
        <v>3960</v>
      </c>
      <c r="K753" s="8">
        <v>3963</v>
      </c>
      <c r="L753" s="8">
        <v>3917</v>
      </c>
      <c r="M753" s="8">
        <v>3867</v>
      </c>
      <c r="N753" s="8">
        <v>3860</v>
      </c>
      <c r="O753" s="8">
        <v>3802</v>
      </c>
      <c r="P753" s="8">
        <v>3909</v>
      </c>
      <c r="Q753" s="8">
        <v>3777</v>
      </c>
      <c r="R753" s="7">
        <f t="shared" si="6"/>
        <v>0.15348072996877926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4.4" hidden="1">
      <c r="A754" s="3">
        <f>LOOKUP(D754,'AMFI DATA_2023H2'!F:L,'AMFI DATA_2023H2'!L:L)</f>
        <v>1920</v>
      </c>
      <c r="B754" s="4" t="s">
        <v>4631</v>
      </c>
      <c r="C754" s="4" t="s">
        <v>4632</v>
      </c>
      <c r="D754" s="5" t="s">
        <v>4633</v>
      </c>
      <c r="E754" s="5">
        <v>217.63</v>
      </c>
      <c r="F754" s="6">
        <f>LOOKUP(D754,'AMFI DATA_2023H2'!F:J,'AMFI DATA_2023H2'!J:J)</f>
        <v>210.9665</v>
      </c>
      <c r="G754" s="7">
        <f t="shared" si="5"/>
        <v>5.7039861779002887E-2</v>
      </c>
      <c r="H754" s="9">
        <v>223</v>
      </c>
      <c r="I754" s="9">
        <v>219</v>
      </c>
      <c r="J754" s="9">
        <v>215</v>
      </c>
      <c r="K754" s="9">
        <v>211</v>
      </c>
      <c r="L754" s="9">
        <v>207</v>
      </c>
      <c r="M754" s="9">
        <v>210</v>
      </c>
      <c r="N754" s="9">
        <v>214</v>
      </c>
      <c r="O754" s="9">
        <v>216</v>
      </c>
      <c r="P754" s="9">
        <v>220</v>
      </c>
      <c r="Q754" s="9">
        <v>222</v>
      </c>
      <c r="R754" s="7">
        <f t="shared" si="6"/>
        <v>2.2437211595205842E-2</v>
      </c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4.4" hidden="1">
      <c r="A755" s="3">
        <f>LOOKUP(D755,'AMFI DATA_2023H2'!F:L,'AMFI DATA_2023H2'!L:L)</f>
        <v>462</v>
      </c>
      <c r="B755" s="4" t="s">
        <v>1374</v>
      </c>
      <c r="C755" s="4" t="s">
        <v>1375</v>
      </c>
      <c r="D755" s="5" t="s">
        <v>1376</v>
      </c>
      <c r="E755" s="5">
        <v>5377.67</v>
      </c>
      <c r="F755" s="6">
        <f>LOOKUP(D755,'AMFI DATA_2023H2'!F:J,'AMFI DATA_2023H2'!J:J)</f>
        <v>8236.1290499999996</v>
      </c>
      <c r="G755" s="7">
        <f t="shared" si="5"/>
        <v>0.28907645030161344</v>
      </c>
      <c r="H755" s="8">
        <v>10617</v>
      </c>
      <c r="I755" s="8">
        <v>10539</v>
      </c>
      <c r="J755" s="8">
        <v>10467</v>
      </c>
      <c r="K755" s="8">
        <v>10435</v>
      </c>
      <c r="L755" s="8">
        <v>10632</v>
      </c>
      <c r="M755" s="8">
        <v>10674</v>
      </c>
      <c r="N755" s="8">
        <v>10851</v>
      </c>
      <c r="O755" s="8">
        <v>10528</v>
      </c>
      <c r="P755" s="8">
        <v>10430</v>
      </c>
      <c r="Q755" s="8">
        <v>10273</v>
      </c>
      <c r="R755" s="7">
        <f t="shared" si="6"/>
        <v>0.28028591295567429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4.4" hidden="1">
      <c r="A756" s="3">
        <f>LOOKUP(D756,'AMFI DATA_2023H2'!F:L,'AMFI DATA_2023H2'!L:L)</f>
        <v>672</v>
      </c>
      <c r="B756" s="4" t="s">
        <v>1971</v>
      </c>
      <c r="C756" s="4" t="s">
        <v>1972</v>
      </c>
      <c r="D756" s="5" t="s">
        <v>1973</v>
      </c>
      <c r="E756" s="5">
        <v>3420.95</v>
      </c>
      <c r="F756" s="6">
        <f>LOOKUP(D756,'AMFI DATA_2023H2'!F:J,'AMFI DATA_2023H2'!J:J)</f>
        <v>4139.6332000000002</v>
      </c>
      <c r="G756" s="7">
        <f t="shared" si="5"/>
        <v>0.27257651716582032</v>
      </c>
      <c r="H756" s="8">
        <v>5268</v>
      </c>
      <c r="I756" s="8">
        <v>5111</v>
      </c>
      <c r="J756" s="8">
        <v>4786</v>
      </c>
      <c r="K756" s="8">
        <v>4735</v>
      </c>
      <c r="L756" s="8">
        <v>4754</v>
      </c>
      <c r="M756" s="8">
        <v>4722</v>
      </c>
      <c r="N756" s="8">
        <v>4745</v>
      </c>
      <c r="O756" s="8">
        <v>4842</v>
      </c>
      <c r="P756" s="8">
        <v>4862</v>
      </c>
      <c r="Q756" s="8">
        <v>4843</v>
      </c>
      <c r="R756" s="7">
        <f t="shared" si="6"/>
        <v>0.17565971787065582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4.4" hidden="1">
      <c r="A757" s="3">
        <f>LOOKUP(D757,'AMFI DATA_2023H2'!F:L,'AMFI DATA_2023H2'!L:L)</f>
        <v>291</v>
      </c>
      <c r="B757" s="4" t="s">
        <v>882</v>
      </c>
      <c r="C757" s="4" t="s">
        <v>883</v>
      </c>
      <c r="D757" s="5" t="s">
        <v>884</v>
      </c>
      <c r="E757" s="5">
        <v>15736.82</v>
      </c>
      <c r="F757" s="6">
        <f>LOOKUP(D757,'AMFI DATA_2023H2'!F:J,'AMFI DATA_2023H2'!J:J)</f>
        <v>17522.569650000001</v>
      </c>
      <c r="G757" s="7">
        <f t="shared" si="5"/>
        <v>-4.1864273599848456E-2</v>
      </c>
      <c r="H757" s="8">
        <v>16789</v>
      </c>
      <c r="I757" s="8">
        <v>16711</v>
      </c>
      <c r="J757" s="8">
        <v>16627</v>
      </c>
      <c r="K757" s="8">
        <v>16579</v>
      </c>
      <c r="L757" s="8">
        <v>16620</v>
      </c>
      <c r="M757" s="8">
        <v>16664</v>
      </c>
      <c r="N757" s="8">
        <v>17058</v>
      </c>
      <c r="O757" s="8">
        <v>16991</v>
      </c>
      <c r="P757" s="8">
        <v>16858</v>
      </c>
      <c r="Q757" s="8">
        <v>16604</v>
      </c>
      <c r="R757" s="7">
        <f t="shared" si="6"/>
        <v>-4.40842676290919E-2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4.4" hidden="1">
      <c r="A758" s="3">
        <f>LOOKUP(D758,'AMFI DATA_2023H2'!F:L,'AMFI DATA_2023H2'!L:L)</f>
        <v>129</v>
      </c>
      <c r="B758" s="4" t="s">
        <v>399</v>
      </c>
      <c r="C758" s="4" t="s">
        <v>400</v>
      </c>
      <c r="D758" s="5" t="s">
        <v>401</v>
      </c>
      <c r="E758" s="5">
        <v>35864.720000000001</v>
      </c>
      <c r="F758" s="6">
        <f>LOOKUP(D758,'AMFI DATA_2023H2'!F:J,'AMFI DATA_2023H2'!J:J)</f>
        <v>49391.545749999997</v>
      </c>
      <c r="G758" s="7">
        <f t="shared" si="5"/>
        <v>0.18629613854512739</v>
      </c>
      <c r="H758" s="8">
        <v>58593</v>
      </c>
      <c r="I758" s="8">
        <v>58243</v>
      </c>
      <c r="J758" s="8">
        <v>56727</v>
      </c>
      <c r="K758" s="8">
        <v>56088</v>
      </c>
      <c r="L758" s="8">
        <v>56828</v>
      </c>
      <c r="M758" s="8">
        <v>56680</v>
      </c>
      <c r="N758" s="8">
        <v>56882</v>
      </c>
      <c r="O758" s="8">
        <v>56088</v>
      </c>
      <c r="P758" s="8">
        <v>55199</v>
      </c>
      <c r="Q758" s="8">
        <v>55522</v>
      </c>
      <c r="R758" s="7">
        <f t="shared" si="6"/>
        <v>0.14766604566126595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4.4" hidden="1">
      <c r="A759" s="3">
        <f>LOOKUP(D759,'AMFI DATA_2023H2'!F:L,'AMFI DATA_2023H2'!L:L)</f>
        <v>2160</v>
      </c>
      <c r="B759" s="4" t="s">
        <v>4967</v>
      </c>
      <c r="C759" s="4" t="s">
        <v>4968</v>
      </c>
      <c r="D759" s="5" t="s">
        <v>4969</v>
      </c>
      <c r="E759" s="5">
        <v>134.62</v>
      </c>
      <c r="F759" s="6">
        <f>LOOKUP(D759,'AMFI DATA_2023H2'!F:J,'AMFI DATA_2023H2'!J:J)</f>
        <v>143.58244999999999</v>
      </c>
      <c r="G759" s="7">
        <f t="shared" si="5"/>
        <v>0.14220087482836519</v>
      </c>
      <c r="H759" s="9">
        <v>164</v>
      </c>
      <c r="I759" s="9">
        <v>167</v>
      </c>
      <c r="J759" s="9">
        <v>169</v>
      </c>
      <c r="K759" s="9">
        <v>168</v>
      </c>
      <c r="L759" s="9">
        <v>161</v>
      </c>
      <c r="M759" s="9">
        <v>161</v>
      </c>
      <c r="N759" s="9">
        <v>158</v>
      </c>
      <c r="O759" s="9">
        <v>157</v>
      </c>
      <c r="P759" s="9">
        <v>159</v>
      </c>
      <c r="Q759" s="9">
        <v>162</v>
      </c>
      <c r="R759" s="7">
        <f t="shared" si="6"/>
        <v>0.13245037955544015</v>
      </c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4.4">
      <c r="A760" s="3">
        <f>LOOKUP(D760,'AMFI DATA_2023H2'!F:L,'AMFI DATA_2023H2'!L:L)</f>
        <v>364</v>
      </c>
      <c r="B760" s="4" t="s">
        <v>1098</v>
      </c>
      <c r="C760" s="4" t="s">
        <v>1099</v>
      </c>
      <c r="D760" s="5" t="s">
        <v>1100</v>
      </c>
      <c r="E760" s="5">
        <v>12913.07</v>
      </c>
      <c r="F760" s="6">
        <f>LOOKUP(D760,'AMFI DATA_2023H2'!F:J,'AMFI DATA_2023H2'!J:J)</f>
        <v>11973.47855</v>
      </c>
      <c r="G760" s="7">
        <f t="shared" si="5"/>
        <v>0.22211769444394247</v>
      </c>
      <c r="H760" s="8">
        <v>14633</v>
      </c>
      <c r="I760" s="8">
        <v>14798</v>
      </c>
      <c r="J760" s="8">
        <v>14543</v>
      </c>
      <c r="K760" s="8">
        <v>14793</v>
      </c>
      <c r="L760" s="8">
        <v>14963</v>
      </c>
      <c r="M760" s="8">
        <v>14972</v>
      </c>
      <c r="N760" s="8">
        <v>14401</v>
      </c>
      <c r="O760" s="8">
        <v>13790</v>
      </c>
      <c r="P760" s="8">
        <v>13942</v>
      </c>
      <c r="Q760" s="8">
        <v>13603</v>
      </c>
      <c r="R760" s="14">
        <f t="shared" si="6"/>
        <v>0.20631610435381775</v>
      </c>
      <c r="S760" s="8"/>
      <c r="T760" s="8">
        <v>163.65</v>
      </c>
      <c r="U760" s="15">
        <f ca="1">IFERROR(__xludf.DUMMYFUNCTION("GOOGLEFINANCE(C760,""PRICE"")"),142.6)</f>
        <v>142.6</v>
      </c>
      <c r="V760" s="13" t="s">
        <v>5787</v>
      </c>
      <c r="W760" s="7">
        <f ca="1">U760/T760-1</f>
        <v>-0.12862816987473269</v>
      </c>
      <c r="X760" s="8"/>
      <c r="Y760" s="8"/>
      <c r="Z760" s="8"/>
      <c r="AA760" s="8"/>
      <c r="AB760" s="8"/>
    </row>
    <row r="761" spans="1:28" ht="14.4" hidden="1">
      <c r="A761" s="3">
        <f>LOOKUP(D761,'AMFI DATA_2023H2'!F:L,'AMFI DATA_2023H2'!L:L)</f>
        <v>1099</v>
      </c>
      <c r="B761" s="4" t="s">
        <v>3110</v>
      </c>
      <c r="C761" s="4" t="s">
        <v>3111</v>
      </c>
      <c r="D761" s="5" t="s">
        <v>3112</v>
      </c>
      <c r="E761" s="5">
        <v>715.23</v>
      </c>
      <c r="F761" s="6">
        <f>LOOKUP(D761,'AMFI DATA_2023H2'!F:J,'AMFI DATA_2023H2'!J:J)</f>
        <v>1326.36825</v>
      </c>
      <c r="G761" s="7">
        <f t="shared" si="5"/>
        <v>2.30944535953721E-2</v>
      </c>
      <c r="H761" s="8">
        <v>1357</v>
      </c>
      <c r="I761" s="8">
        <v>1336</v>
      </c>
      <c r="J761" s="8">
        <v>1341</v>
      </c>
      <c r="K761" s="8">
        <v>1317</v>
      </c>
      <c r="L761" s="8">
        <v>1291</v>
      </c>
      <c r="M761" s="8">
        <v>1277</v>
      </c>
      <c r="N761" s="8">
        <v>1295</v>
      </c>
      <c r="O761" s="8">
        <v>1308</v>
      </c>
      <c r="P761" s="8">
        <v>1314</v>
      </c>
      <c r="Q761" s="8">
        <v>1322</v>
      </c>
      <c r="R761" s="7">
        <f t="shared" si="6"/>
        <v>-7.9678098446641643E-3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4.4">
      <c r="A762" s="3">
        <f>LOOKUP(D762,'AMFI DATA_2023H2'!F:L,'AMFI DATA_2023H2'!L:L)</f>
        <v>881</v>
      </c>
      <c r="B762" s="4" t="s">
        <v>2555</v>
      </c>
      <c r="C762" s="4" t="s">
        <v>2556</v>
      </c>
      <c r="D762" s="5" t="s">
        <v>2557</v>
      </c>
      <c r="E762" s="5">
        <v>1587.48</v>
      </c>
      <c r="F762" s="6">
        <f>LOOKUP(D762,'AMFI DATA_2023H2'!F:J,'AMFI DATA_2023H2'!J:J)</f>
        <v>2251.6712499999999</v>
      </c>
      <c r="G762" s="7">
        <f t="shared" si="5"/>
        <v>0.22664443133072831</v>
      </c>
      <c r="H762" s="8">
        <v>2762</v>
      </c>
      <c r="I762" s="8">
        <v>2747</v>
      </c>
      <c r="J762" s="8">
        <v>2739</v>
      </c>
      <c r="K762" s="8">
        <v>2796</v>
      </c>
      <c r="L762" s="8">
        <v>2784</v>
      </c>
      <c r="M762" s="8">
        <v>2691</v>
      </c>
      <c r="N762" s="8">
        <v>2723</v>
      </c>
      <c r="O762" s="8">
        <v>2741</v>
      </c>
      <c r="P762" s="8">
        <v>2662</v>
      </c>
      <c r="Q762" s="8">
        <v>2648</v>
      </c>
      <c r="R762" s="14">
        <f t="shared" si="6"/>
        <v>0.21212188502206986</v>
      </c>
      <c r="S762" s="8"/>
      <c r="T762" s="8">
        <v>507.8</v>
      </c>
      <c r="U762" s="15">
        <f ca="1">IFERROR(__xludf.DUMMYFUNCTION("GOOGLEFINANCE(C762,""PRICE"")"),499)</f>
        <v>499</v>
      </c>
      <c r="V762" s="13" t="s">
        <v>5787</v>
      </c>
      <c r="W762" s="7">
        <f ca="1">U762/T762-1</f>
        <v>-1.7329657345411587E-2</v>
      </c>
      <c r="X762" s="8"/>
      <c r="Y762" s="8"/>
      <c r="Z762" s="8"/>
      <c r="AA762" s="8"/>
      <c r="AB762" s="8"/>
    </row>
    <row r="763" spans="1:28" ht="14.4" hidden="1">
      <c r="A763" s="3">
        <f>LOOKUP(D763,'AMFI DATA_2023H2'!F:L,'AMFI DATA_2023H2'!L:L)</f>
        <v>39</v>
      </c>
      <c r="B763" s="4" t="s">
        <v>126</v>
      </c>
      <c r="C763" s="4" t="s">
        <v>127</v>
      </c>
      <c r="D763" s="5" t="s">
        <v>128</v>
      </c>
      <c r="E763" s="5">
        <v>116534.94</v>
      </c>
      <c r="F763" s="6">
        <f>LOOKUP(D763,'AMFI DATA_2023H2'!F:J,'AMFI DATA_2023H2'!J:J)</f>
        <v>139826.90594999999</v>
      </c>
      <c r="G763" s="7">
        <f t="shared" si="5"/>
        <v>0.33914141007280163</v>
      </c>
      <c r="H763" s="8">
        <v>187248</v>
      </c>
      <c r="I763" s="8">
        <v>185271</v>
      </c>
      <c r="J763" s="8">
        <v>187530</v>
      </c>
      <c r="K763" s="8">
        <v>184212</v>
      </c>
      <c r="L763" s="8">
        <v>184070</v>
      </c>
      <c r="M763" s="8">
        <v>183294</v>
      </c>
      <c r="N763" s="8">
        <v>188236</v>
      </c>
      <c r="O763" s="8">
        <v>178916</v>
      </c>
      <c r="P763" s="8">
        <v>180822</v>
      </c>
      <c r="Q763" s="8">
        <v>174680</v>
      </c>
      <c r="R763" s="7">
        <f t="shared" si="6"/>
        <v>0.3118212031780998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4.4" hidden="1">
      <c r="A764" s="3">
        <f>LOOKUP(D764,'AMFI DATA_2023H2'!F:L,'AMFI DATA_2023H2'!L:L)</f>
        <v>93</v>
      </c>
      <c r="B764" s="4" t="s">
        <v>291</v>
      </c>
      <c r="C764" s="4" t="s">
        <v>292</v>
      </c>
      <c r="D764" s="5" t="s">
        <v>293</v>
      </c>
      <c r="E764" s="5">
        <v>48161.8</v>
      </c>
      <c r="F764" s="6">
        <f>LOOKUP(D764,'AMFI DATA_2023H2'!F:J,'AMFI DATA_2023H2'!J:J)</f>
        <v>69083.438049999997</v>
      </c>
      <c r="G764" s="7">
        <f t="shared" si="5"/>
        <v>0.20063509201681962</v>
      </c>
      <c r="H764" s="8">
        <v>82944</v>
      </c>
      <c r="I764" s="8">
        <v>83360</v>
      </c>
      <c r="J764" s="8">
        <v>83019</v>
      </c>
      <c r="K764" s="8">
        <v>82301</v>
      </c>
      <c r="L764" s="8">
        <v>82358</v>
      </c>
      <c r="M764" s="8">
        <v>81885</v>
      </c>
      <c r="N764" s="8">
        <v>81810</v>
      </c>
      <c r="O764" s="8">
        <v>81847</v>
      </c>
      <c r="P764" s="8">
        <v>81129</v>
      </c>
      <c r="Q764" s="8">
        <v>81186</v>
      </c>
      <c r="R764" s="7">
        <f t="shared" si="6"/>
        <v>0.18963245489488201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4.4" hidden="1">
      <c r="A765" s="3">
        <f>LOOKUP(D765,'AMFI DATA_2023H2'!F:L,'AMFI DATA_2023H2'!L:L)</f>
        <v>114</v>
      </c>
      <c r="B765" s="4" t="s">
        <v>354</v>
      </c>
      <c r="C765" s="4" t="s">
        <v>355</v>
      </c>
      <c r="D765" s="5" t="s">
        <v>356</v>
      </c>
      <c r="E765" s="5">
        <v>49907.360000000001</v>
      </c>
      <c r="F765" s="6">
        <f>LOOKUP(D765,'AMFI DATA_2023H2'!F:J,'AMFI DATA_2023H2'!J:J)</f>
        <v>55227.836949999997</v>
      </c>
      <c r="G765" s="7">
        <f t="shared" si="5"/>
        <v>0.31259893567133457</v>
      </c>
      <c r="H765" s="8">
        <v>72492</v>
      </c>
      <c r="I765" s="8">
        <v>72124</v>
      </c>
      <c r="J765" s="8">
        <v>71924</v>
      </c>
      <c r="K765" s="8">
        <v>70856</v>
      </c>
      <c r="L765" s="8">
        <v>71352</v>
      </c>
      <c r="M765" s="8">
        <v>70932</v>
      </c>
      <c r="N765" s="8">
        <v>69100</v>
      </c>
      <c r="O765" s="8">
        <v>69420</v>
      </c>
      <c r="P765" s="8">
        <v>69580</v>
      </c>
      <c r="Q765" s="8">
        <v>68872</v>
      </c>
      <c r="R765" s="7">
        <f t="shared" si="6"/>
        <v>0.27952141352151938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4.4" hidden="1">
      <c r="A766" s="3">
        <f>LOOKUP(D766,'AMFI DATA_2023H2'!F:L,'AMFI DATA_2023H2'!L:L)</f>
        <v>71</v>
      </c>
      <c r="B766" s="4" t="s">
        <v>225</v>
      </c>
      <c r="C766" s="4" t="s">
        <v>226</v>
      </c>
      <c r="D766" s="5" t="s">
        <v>227</v>
      </c>
      <c r="E766" s="5">
        <v>40196.47</v>
      </c>
      <c r="F766" s="6">
        <f>LOOKUP(D766,'AMFI DATA_2023H2'!F:J,'AMFI DATA_2023H2'!J:J)</f>
        <v>85277.269499999995</v>
      </c>
      <c r="G766" s="7">
        <f t="shared" si="5"/>
        <v>0.54396359981952758</v>
      </c>
      <c r="H766" s="8">
        <v>131665</v>
      </c>
      <c r="I766" s="8">
        <v>132384</v>
      </c>
      <c r="J766" s="8">
        <v>131914</v>
      </c>
      <c r="K766" s="8">
        <v>130672</v>
      </c>
      <c r="L766" s="8">
        <v>131169</v>
      </c>
      <c r="M766" s="8">
        <v>129796</v>
      </c>
      <c r="N766" s="8">
        <v>126046</v>
      </c>
      <c r="O766" s="8">
        <v>126425</v>
      </c>
      <c r="P766" s="8">
        <v>127274</v>
      </c>
      <c r="Q766" s="8">
        <v>127745</v>
      </c>
      <c r="R766" s="7">
        <f t="shared" si="6"/>
        <v>0.5186813644402628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4.4" hidden="1">
      <c r="A767" s="3">
        <f>LOOKUP(D767,'AMFI DATA_2023H2'!F:L,'AMFI DATA_2023H2'!L:L)</f>
        <v>232</v>
      </c>
      <c r="B767" s="4" t="s">
        <v>705</v>
      </c>
      <c r="C767" s="4" t="s">
        <v>706</v>
      </c>
      <c r="D767" s="5" t="s">
        <v>707</v>
      </c>
      <c r="E767" s="5">
        <v>49907.360000000001</v>
      </c>
      <c r="F767" s="6">
        <f>LOOKUP(D767,'AMFI DATA_2023H2'!F:J,'AMFI DATA_2023H2'!J:J)</f>
        <v>24337.099300000002</v>
      </c>
      <c r="G767" s="7">
        <f t="shared" ref="G767:G1021" si="8">H767/F767-1</f>
        <v>0.16016291226621227</v>
      </c>
      <c r="H767" s="8">
        <v>28235</v>
      </c>
      <c r="I767" s="8">
        <v>28060</v>
      </c>
      <c r="J767" s="8">
        <v>27375</v>
      </c>
      <c r="K767" s="8">
        <v>27818</v>
      </c>
      <c r="L767" s="8">
        <v>28127</v>
      </c>
      <c r="M767" s="8">
        <v>27603</v>
      </c>
      <c r="N767" s="8">
        <v>26136</v>
      </c>
      <c r="O767" s="8">
        <v>26827</v>
      </c>
      <c r="P767" s="8">
        <v>27402</v>
      </c>
      <c r="Q767" s="8">
        <v>29525</v>
      </c>
      <c r="R767" s="7">
        <f t="shared" ref="R767:R1021" si="9">AVERAGE(H767:Q767)/F767-1</f>
        <v>0.13862378003281584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4.4" hidden="1">
      <c r="A768" s="3">
        <f>LOOKUP(D768,'AMFI DATA_2023H2'!F:L,'AMFI DATA_2023H2'!L:L)</f>
        <v>1820</v>
      </c>
      <c r="B768" s="4" t="s">
        <v>4499</v>
      </c>
      <c r="C768" s="4" t="s">
        <v>4500</v>
      </c>
      <c r="D768" s="5" t="s">
        <v>4501</v>
      </c>
      <c r="E768" s="5">
        <v>250.15</v>
      </c>
      <c r="F768" s="6">
        <f>LOOKUP(D768,'AMFI DATA_2023H2'!F:J,'AMFI DATA_2023H2'!J:J)</f>
        <v>261.3467</v>
      </c>
      <c r="G768" s="7">
        <f t="shared" si="8"/>
        <v>0.2435588434826228</v>
      </c>
      <c r="H768" s="9">
        <v>325</v>
      </c>
      <c r="I768" s="9">
        <v>328</v>
      </c>
      <c r="J768" s="9">
        <v>313</v>
      </c>
      <c r="K768" s="9">
        <v>307</v>
      </c>
      <c r="L768" s="9">
        <v>298</v>
      </c>
      <c r="M768" s="9">
        <v>300</v>
      </c>
      <c r="N768" s="9">
        <v>305</v>
      </c>
      <c r="O768" s="9">
        <v>311</v>
      </c>
      <c r="P768" s="9">
        <v>310</v>
      </c>
      <c r="Q768" s="9">
        <v>308</v>
      </c>
      <c r="R768" s="7">
        <f t="shared" si="9"/>
        <v>0.18807698738878287</v>
      </c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4.4" hidden="1">
      <c r="A769" s="3">
        <f>LOOKUP(D769,'AMFI DATA_2023H2'!F:L,'AMFI DATA_2023H2'!L:L)</f>
        <v>515</v>
      </c>
      <c r="B769" s="4" t="s">
        <v>1530</v>
      </c>
      <c r="C769" s="4" t="s">
        <v>1531</v>
      </c>
      <c r="D769" s="5" t="s">
        <v>1532</v>
      </c>
      <c r="E769" s="5">
        <v>5788.55</v>
      </c>
      <c r="F769" s="6">
        <f>LOOKUP(D769,'AMFI DATA_2023H2'!F:J,'AMFI DATA_2023H2'!J:J)</f>
        <v>7128.3402500000002</v>
      </c>
      <c r="G769" s="7">
        <f t="shared" si="8"/>
        <v>3.5996808654019663E-3</v>
      </c>
      <c r="H769" s="8">
        <v>7154</v>
      </c>
      <c r="I769" s="8">
        <v>7118</v>
      </c>
      <c r="J769" s="8">
        <v>7091</v>
      </c>
      <c r="K769" s="8">
        <v>7043</v>
      </c>
      <c r="L769" s="8">
        <v>7110</v>
      </c>
      <c r="M769" s="8">
        <v>7051</v>
      </c>
      <c r="N769" s="8">
        <v>7090</v>
      </c>
      <c r="O769" s="8">
        <v>7137</v>
      </c>
      <c r="P769" s="8">
        <v>6990</v>
      </c>
      <c r="Q769" s="8">
        <v>6977</v>
      </c>
      <c r="R769" s="7">
        <f t="shared" si="9"/>
        <v>-7.3285292463417528E-3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4.4" hidden="1">
      <c r="A770" s="3">
        <f>LOOKUP(D770,'AMFI DATA_2023H2'!F:L,'AMFI DATA_2023H2'!L:L)</f>
        <v>1294</v>
      </c>
      <c r="B770" s="4" t="s">
        <v>3557</v>
      </c>
      <c r="C770" s="4" t="s">
        <v>3558</v>
      </c>
      <c r="D770" s="5" t="s">
        <v>3559</v>
      </c>
      <c r="E770" s="5">
        <v>689.96</v>
      </c>
      <c r="F770" s="6">
        <f>LOOKUP(D770,'AMFI DATA_2023H2'!F:J,'AMFI DATA_2023H2'!J:J)</f>
        <v>821.01755000000003</v>
      </c>
      <c r="G770" s="7">
        <f t="shared" si="8"/>
        <v>0.37146885593371293</v>
      </c>
      <c r="H770" s="9">
        <v>1126</v>
      </c>
      <c r="I770" s="9">
        <v>1182</v>
      </c>
      <c r="J770" s="9">
        <v>1140</v>
      </c>
      <c r="K770" s="9">
        <v>1073</v>
      </c>
      <c r="L770" s="9">
        <v>990</v>
      </c>
      <c r="M770" s="9">
        <v>885</v>
      </c>
      <c r="N770" s="9">
        <v>872</v>
      </c>
      <c r="O770" s="9">
        <v>898</v>
      </c>
      <c r="P770" s="9">
        <v>916</v>
      </c>
      <c r="Q770" s="9">
        <v>830</v>
      </c>
      <c r="R770" s="7">
        <f t="shared" si="9"/>
        <v>0.20728235346491686</v>
      </c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4.4" hidden="1">
      <c r="A771" s="3">
        <f>LOOKUP(D771,'AMFI DATA_2023H2'!F:L,'AMFI DATA_2023H2'!L:L)</f>
        <v>1488</v>
      </c>
      <c r="B771" s="4" t="s">
        <v>3935</v>
      </c>
      <c r="C771" s="4" t="s">
        <v>3936</v>
      </c>
      <c r="D771" s="5" t="s">
        <v>3937</v>
      </c>
      <c r="E771" s="5">
        <v>389.95</v>
      </c>
      <c r="F771" s="6">
        <f>LOOKUP(D771,'AMFI DATA_2023H2'!F:J,'AMFI DATA_2023H2'!J:J)</f>
        <v>525.83420000000001</v>
      </c>
      <c r="G771" s="7">
        <f t="shared" si="8"/>
        <v>0.35974419313159922</v>
      </c>
      <c r="H771" s="9">
        <v>715</v>
      </c>
      <c r="I771" s="9">
        <v>718</v>
      </c>
      <c r="J771" s="9">
        <v>730</v>
      </c>
      <c r="K771" s="9">
        <v>720</v>
      </c>
      <c r="L771" s="9">
        <v>745</v>
      </c>
      <c r="M771" s="9">
        <v>731</v>
      </c>
      <c r="N771" s="9">
        <v>706</v>
      </c>
      <c r="O771" s="9">
        <v>682</v>
      </c>
      <c r="P771" s="9">
        <v>690</v>
      </c>
      <c r="Q771" s="9">
        <v>710</v>
      </c>
      <c r="R771" s="7">
        <f t="shared" si="9"/>
        <v>0.35917367109252307</v>
      </c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4.4" hidden="1">
      <c r="A772" s="3">
        <f>LOOKUP(D772,'AMFI DATA_2023H2'!F:L,'AMFI DATA_2023H2'!L:L)</f>
        <v>614</v>
      </c>
      <c r="B772" s="4" t="s">
        <v>1812</v>
      </c>
      <c r="C772" s="4" t="s">
        <v>1813</v>
      </c>
      <c r="D772" s="5" t="s">
        <v>1814</v>
      </c>
      <c r="E772" s="5">
        <v>2907.64</v>
      </c>
      <c r="F772" s="6">
        <f>LOOKUP(D772,'AMFI DATA_2023H2'!F:J,'AMFI DATA_2023H2'!J:J)</f>
        <v>4987.9485999999997</v>
      </c>
      <c r="G772" s="7">
        <f t="shared" si="8"/>
        <v>0.14957078747764174</v>
      </c>
      <c r="H772" s="8">
        <v>5734</v>
      </c>
      <c r="I772" s="8">
        <v>5770</v>
      </c>
      <c r="J772" s="8">
        <v>5803</v>
      </c>
      <c r="K772" s="8">
        <v>5821</v>
      </c>
      <c r="L772" s="8">
        <v>5951</v>
      </c>
      <c r="M772" s="8">
        <v>6086</v>
      </c>
      <c r="N772" s="8">
        <v>6097</v>
      </c>
      <c r="O772" s="8">
        <v>5902</v>
      </c>
      <c r="P772" s="8">
        <v>5849</v>
      </c>
      <c r="Q772" s="8">
        <v>5806</v>
      </c>
      <c r="R772" s="7">
        <f t="shared" si="9"/>
        <v>0.17922225581875484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4.4" hidden="1">
      <c r="A773" s="3">
        <f>LOOKUP(D773,'AMFI DATA_2023H2'!F:L,'AMFI DATA_2023H2'!L:L)</f>
        <v>1108</v>
      </c>
      <c r="B773" s="4" t="s">
        <v>3131</v>
      </c>
      <c r="C773" s="4" t="s">
        <v>3132</v>
      </c>
      <c r="D773" s="5" t="s">
        <v>3133</v>
      </c>
      <c r="E773" s="5">
        <v>1238.31</v>
      </c>
      <c r="F773" s="6">
        <f>LOOKUP(D773,'AMFI DATA_2023H2'!F:J,'AMFI DATA_2023H2'!J:J)</f>
        <v>1304.4780000000001</v>
      </c>
      <c r="G773" s="7">
        <f t="shared" si="8"/>
        <v>0.15755114306258888</v>
      </c>
      <c r="H773" s="8">
        <v>1510</v>
      </c>
      <c r="I773" s="8">
        <v>1418</v>
      </c>
      <c r="J773" s="8">
        <v>1387</v>
      </c>
      <c r="K773" s="8">
        <v>1389</v>
      </c>
      <c r="L773" s="8">
        <v>1371</v>
      </c>
      <c r="M773" s="8">
        <v>1362</v>
      </c>
      <c r="N773" s="8">
        <v>1374</v>
      </c>
      <c r="O773" s="8">
        <v>1369</v>
      </c>
      <c r="P773" s="8">
        <v>1407</v>
      </c>
      <c r="Q773" s="8">
        <v>1376</v>
      </c>
      <c r="R773" s="7">
        <f t="shared" si="9"/>
        <v>7.0389841760458927E-2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4.4" hidden="1">
      <c r="A774" s="3">
        <f>LOOKUP(D774,'AMFI DATA_2023H2'!F:L,'AMFI DATA_2023H2'!L:L)</f>
        <v>1491</v>
      </c>
      <c r="B774" s="4" t="s">
        <v>3941</v>
      </c>
      <c r="C774" s="4" t="s">
        <v>3942</v>
      </c>
      <c r="D774" s="5" t="s">
        <v>3943</v>
      </c>
      <c r="E774" s="5">
        <v>251.31</v>
      </c>
      <c r="F774" s="6">
        <f>LOOKUP(D774,'AMFI DATA_2023H2'!F:J,'AMFI DATA_2023H2'!J:J)</f>
        <v>521.45444999999995</v>
      </c>
      <c r="G774" s="7">
        <f t="shared" si="8"/>
        <v>0.35965854735730041</v>
      </c>
      <c r="H774" s="9">
        <v>709</v>
      </c>
      <c r="I774" s="9">
        <v>674</v>
      </c>
      <c r="J774" s="9">
        <v>704</v>
      </c>
      <c r="K774" s="9">
        <v>750</v>
      </c>
      <c r="L774" s="9">
        <v>761</v>
      </c>
      <c r="M774" s="9">
        <v>723</v>
      </c>
      <c r="N774" s="9">
        <v>690</v>
      </c>
      <c r="O774" s="9">
        <v>672</v>
      </c>
      <c r="P774" s="9">
        <v>668</v>
      </c>
      <c r="Q774" s="9">
        <v>636</v>
      </c>
      <c r="R774" s="7">
        <f t="shared" si="9"/>
        <v>0.33990610301628466</v>
      </c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4.4" hidden="1">
      <c r="A775" s="3">
        <f>LOOKUP(D775,'AMFI DATA_2023H2'!F:L,'AMFI DATA_2023H2'!L:L)</f>
        <v>1885</v>
      </c>
      <c r="B775" s="4" t="s">
        <v>4586</v>
      </c>
      <c r="C775" s="4" t="s">
        <v>4587</v>
      </c>
      <c r="D775" s="5" t="s">
        <v>4588</v>
      </c>
      <c r="E775" s="5">
        <v>294.99</v>
      </c>
      <c r="F775" s="6">
        <f>LOOKUP(D775,'AMFI DATA_2023H2'!F:J,'AMFI DATA_2023H2'!J:J)</f>
        <v>229.82155</v>
      </c>
      <c r="G775" s="7">
        <f t="shared" si="8"/>
        <v>9.4788761106170405E-3</v>
      </c>
      <c r="H775" s="9">
        <v>232</v>
      </c>
      <c r="I775" s="9">
        <v>239</v>
      </c>
      <c r="J775" s="9">
        <v>244</v>
      </c>
      <c r="K775" s="9">
        <v>230</v>
      </c>
      <c r="L775" s="9">
        <v>232</v>
      </c>
      <c r="M775" s="9">
        <v>229</v>
      </c>
      <c r="N775" s="9">
        <v>229</v>
      </c>
      <c r="O775" s="9">
        <v>224</v>
      </c>
      <c r="P775" s="9">
        <v>225</v>
      </c>
      <c r="Q775" s="9">
        <v>230</v>
      </c>
      <c r="R775" s="7">
        <f t="shared" si="9"/>
        <v>6.8681548792965952E-3</v>
      </c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4.4" hidden="1">
      <c r="A776" s="3">
        <f>LOOKUP(D776,'AMFI DATA_2023H2'!F:L,'AMFI DATA_2023H2'!L:L)</f>
        <v>767</v>
      </c>
      <c r="B776" s="4" t="s">
        <v>2246</v>
      </c>
      <c r="C776" s="4" t="s">
        <v>2247</v>
      </c>
      <c r="D776" s="5" t="s">
        <v>2248</v>
      </c>
      <c r="E776" s="5">
        <v>3180.82</v>
      </c>
      <c r="F776" s="6">
        <f>LOOKUP(D776,'AMFI DATA_2023H2'!F:J,'AMFI DATA_2023H2'!J:J)</f>
        <v>3151.81585</v>
      </c>
      <c r="G776" s="7">
        <f t="shared" si="8"/>
        <v>0.1418814332061944</v>
      </c>
      <c r="H776" s="8">
        <v>3599</v>
      </c>
      <c r="I776" s="8">
        <v>3642</v>
      </c>
      <c r="J776" s="8">
        <v>3594</v>
      </c>
      <c r="K776" s="8">
        <v>3601</v>
      </c>
      <c r="L776" s="8">
        <v>3677</v>
      </c>
      <c r="M776" s="8">
        <v>3624</v>
      </c>
      <c r="N776" s="8">
        <v>3667</v>
      </c>
      <c r="O776" s="8">
        <v>3797</v>
      </c>
      <c r="P776" s="8">
        <v>3669</v>
      </c>
      <c r="Q776" s="8">
        <v>3686</v>
      </c>
      <c r="R776" s="7">
        <f t="shared" si="9"/>
        <v>0.15983933515658921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4.4" hidden="1">
      <c r="A777" s="3">
        <f>LOOKUP(D777,'AMFI DATA_2023H2'!F:L,'AMFI DATA_2023H2'!L:L)</f>
        <v>1608</v>
      </c>
      <c r="B777" s="4" t="s">
        <v>4160</v>
      </c>
      <c r="C777" s="4" t="s">
        <v>4161</v>
      </c>
      <c r="D777" s="5" t="s">
        <v>4162</v>
      </c>
      <c r="E777" s="5">
        <v>265.12</v>
      </c>
      <c r="F777" s="6">
        <f>LOOKUP(D777,'AMFI DATA_2023H2'!F:J,'AMFI DATA_2023H2'!J:J)</f>
        <v>406.68185</v>
      </c>
      <c r="G777" s="7">
        <f t="shared" si="8"/>
        <v>0.35978529654077263</v>
      </c>
      <c r="H777" s="9">
        <v>553</v>
      </c>
      <c r="I777" s="9">
        <v>560</v>
      </c>
      <c r="J777" s="9">
        <v>559</v>
      </c>
      <c r="K777" s="9">
        <v>577</v>
      </c>
      <c r="L777" s="9">
        <v>578</v>
      </c>
      <c r="M777" s="9">
        <v>586</v>
      </c>
      <c r="N777" s="9">
        <v>596</v>
      </c>
      <c r="O777" s="9">
        <v>569</v>
      </c>
      <c r="P777" s="9">
        <v>613</v>
      </c>
      <c r="Q777" s="9">
        <v>519</v>
      </c>
      <c r="R777" s="7">
        <f t="shared" si="9"/>
        <v>0.40404593910448683</v>
      </c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4.4" hidden="1">
      <c r="A778" s="3">
        <f>LOOKUP(D778,'AMFI DATA_2023H2'!F:L,'AMFI DATA_2023H2'!L:L)</f>
        <v>912</v>
      </c>
      <c r="B778" s="4" t="s">
        <v>2642</v>
      </c>
      <c r="C778" s="4" t="s">
        <v>2643</v>
      </c>
      <c r="D778" s="5" t="s">
        <v>2644</v>
      </c>
      <c r="E778" s="5">
        <v>1751.67</v>
      </c>
      <c r="F778" s="6">
        <f>LOOKUP(D778,'AMFI DATA_2023H2'!F:J,'AMFI DATA_2023H2'!J:J)</f>
        <v>2108.5153499999997</v>
      </c>
      <c r="G778" s="7">
        <f t="shared" si="8"/>
        <v>0.10504293933643893</v>
      </c>
      <c r="H778" s="8">
        <v>2330</v>
      </c>
      <c r="I778" s="8">
        <v>2360</v>
      </c>
      <c r="J778" s="8">
        <v>2354</v>
      </c>
      <c r="K778" s="8">
        <v>2339</v>
      </c>
      <c r="L778" s="8">
        <v>2363</v>
      </c>
      <c r="M778" s="8">
        <v>2300</v>
      </c>
      <c r="N778" s="8">
        <v>2322</v>
      </c>
      <c r="O778" s="8">
        <v>2294</v>
      </c>
      <c r="P778" s="8">
        <v>2318</v>
      </c>
      <c r="Q778" s="8">
        <v>2241</v>
      </c>
      <c r="R778" s="7">
        <f t="shared" si="9"/>
        <v>0.10129622722452569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4.4" hidden="1">
      <c r="A779" s="3">
        <f>LOOKUP(D779,'AMFI DATA_2023H2'!F:L,'AMFI DATA_2023H2'!L:L)</f>
        <v>2085</v>
      </c>
      <c r="B779" s="4" t="s">
        <v>4853</v>
      </c>
      <c r="C779" s="4" t="s">
        <v>4854</v>
      </c>
      <c r="D779" s="5" t="s">
        <v>4855</v>
      </c>
      <c r="E779" s="5">
        <v>140.47999999999999</v>
      </c>
      <c r="F779" s="6">
        <f>LOOKUP(D779,'AMFI DATA_2023H2'!F:J,'AMFI DATA_2023H2'!J:J)</f>
        <v>165.40195</v>
      </c>
      <c r="G779" s="7">
        <f t="shared" si="8"/>
        <v>0.4691483383357935</v>
      </c>
      <c r="H779" s="9">
        <v>243</v>
      </c>
      <c r="I779" s="9">
        <v>238</v>
      </c>
      <c r="J779" s="9">
        <v>234</v>
      </c>
      <c r="K779" s="9">
        <v>229</v>
      </c>
      <c r="L779" s="9">
        <v>225</v>
      </c>
      <c r="M779" s="9">
        <v>221</v>
      </c>
      <c r="N779" s="9">
        <v>217</v>
      </c>
      <c r="O779" s="9">
        <v>217</v>
      </c>
      <c r="P779" s="9">
        <v>222</v>
      </c>
      <c r="Q779" s="9">
        <v>226</v>
      </c>
      <c r="R779" s="7">
        <f t="shared" si="9"/>
        <v>0.37362346695428927</v>
      </c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4.4" hidden="1">
      <c r="A780" s="3">
        <f>LOOKUP(D780,'AMFI DATA_2023H2'!F:L,'AMFI DATA_2023H2'!L:L)</f>
        <v>200</v>
      </c>
      <c r="B780" s="4" t="s">
        <v>609</v>
      </c>
      <c r="C780" s="4" t="s">
        <v>610</v>
      </c>
      <c r="D780" s="5" t="s">
        <v>611</v>
      </c>
      <c r="E780" s="5">
        <v>31715.4</v>
      </c>
      <c r="F780" s="6">
        <f>LOOKUP(D780,'AMFI DATA_2023H2'!F:J,'AMFI DATA_2023H2'!J:J)</f>
        <v>30698.762549999999</v>
      </c>
      <c r="G780" s="7">
        <f t="shared" si="8"/>
        <v>-1.8690087232848374E-2</v>
      </c>
      <c r="H780" s="8">
        <v>30125</v>
      </c>
      <c r="I780" s="8">
        <v>29708</v>
      </c>
      <c r="J780" s="8">
        <v>29547</v>
      </c>
      <c r="K780" s="8">
        <v>29750</v>
      </c>
      <c r="L780" s="8">
        <v>29435</v>
      </c>
      <c r="M780" s="8">
        <v>29267</v>
      </c>
      <c r="N780" s="8">
        <v>28970</v>
      </c>
      <c r="O780" s="8">
        <v>28753</v>
      </c>
      <c r="P780" s="8">
        <v>28822</v>
      </c>
      <c r="Q780" s="8">
        <v>28564</v>
      </c>
      <c r="R780" s="7">
        <f t="shared" si="9"/>
        <v>-4.5756324793619463E-2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4.4" hidden="1">
      <c r="A781" s="3">
        <f>LOOKUP(D781,'AMFI DATA_2023H2'!F:L,'AMFI DATA_2023H2'!L:L)</f>
        <v>1045</v>
      </c>
      <c r="B781" s="4" t="s">
        <v>2981</v>
      </c>
      <c r="C781" s="4" t="s">
        <v>2982</v>
      </c>
      <c r="D781" s="5" t="s">
        <v>2983</v>
      </c>
      <c r="E781" s="5">
        <v>775.12</v>
      </c>
      <c r="F781" s="6">
        <f>LOOKUP(D781,'AMFI DATA_2023H2'!F:J,'AMFI DATA_2023H2'!J:J)</f>
        <v>1505.0758000000001</v>
      </c>
      <c r="G781" s="7">
        <f t="shared" si="8"/>
        <v>0.11821610579347563</v>
      </c>
      <c r="H781" s="8">
        <v>1683</v>
      </c>
      <c r="I781" s="8">
        <v>1673</v>
      </c>
      <c r="J781" s="8">
        <v>1687</v>
      </c>
      <c r="K781" s="8">
        <v>1706</v>
      </c>
      <c r="L781" s="8">
        <v>1636</v>
      </c>
      <c r="M781" s="8">
        <v>1586</v>
      </c>
      <c r="N781" s="8">
        <v>1586</v>
      </c>
      <c r="O781" s="8">
        <v>1623</v>
      </c>
      <c r="P781" s="8">
        <v>1643</v>
      </c>
      <c r="Q781" s="8">
        <v>1646</v>
      </c>
      <c r="R781" s="7">
        <f t="shared" si="9"/>
        <v>9.4230602870632785E-2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4.4" hidden="1">
      <c r="A782" s="3">
        <f>LOOKUP(D782,'AMFI DATA_2023H2'!F:L,'AMFI DATA_2023H2'!L:L)</f>
        <v>1476</v>
      </c>
      <c r="B782" s="4" t="s">
        <v>3905</v>
      </c>
      <c r="C782" s="4" t="s">
        <v>3906</v>
      </c>
      <c r="D782" s="5" t="s">
        <v>3907</v>
      </c>
      <c r="E782" s="5">
        <v>393.85</v>
      </c>
      <c r="F782" s="6">
        <f>LOOKUP(D782,'AMFI DATA_2023H2'!F:J,'AMFI DATA_2023H2'!J:J)</f>
        <v>546.40885000000003</v>
      </c>
      <c r="G782" s="7">
        <f t="shared" si="8"/>
        <v>0.17311423488107835</v>
      </c>
      <c r="H782" s="9">
        <v>641</v>
      </c>
      <c r="I782" s="9">
        <v>653</v>
      </c>
      <c r="J782" s="9">
        <v>655</v>
      </c>
      <c r="K782" s="9">
        <v>635</v>
      </c>
      <c r="L782" s="9">
        <v>630</v>
      </c>
      <c r="M782" s="9">
        <v>614</v>
      </c>
      <c r="N782" s="9">
        <v>602</v>
      </c>
      <c r="O782" s="9">
        <v>595</v>
      </c>
      <c r="P782" s="9">
        <v>578</v>
      </c>
      <c r="Q782" s="9">
        <v>573</v>
      </c>
      <c r="R782" s="7">
        <f t="shared" si="9"/>
        <v>0.13028915984797829</v>
      </c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4.4" hidden="1">
      <c r="A783" s="3">
        <f>LOOKUP(D783,'AMFI DATA_2023H2'!F:L,'AMFI DATA_2023H2'!L:L)</f>
        <v>2454</v>
      </c>
      <c r="B783" s="4" t="s">
        <v>5260</v>
      </c>
      <c r="C783" s="4" t="s">
        <v>5261</v>
      </c>
      <c r="D783" s="5" t="s">
        <v>5262</v>
      </c>
      <c r="E783" s="5">
        <v>49.8</v>
      </c>
      <c r="F783" s="6">
        <f>LOOKUP(D783,'AMFI DATA_2023H2'!F:J,'AMFI DATA_2023H2'!J:J)</f>
        <v>89.699100000000001</v>
      </c>
      <c r="G783" s="7">
        <f t="shared" si="8"/>
        <v>0.18172869070035258</v>
      </c>
      <c r="H783" s="9">
        <v>106</v>
      </c>
      <c r="I783" s="9">
        <v>103</v>
      </c>
      <c r="J783" s="9">
        <v>97</v>
      </c>
      <c r="K783" s="9">
        <v>98.9</v>
      </c>
      <c r="L783" s="9">
        <v>97.5</v>
      </c>
      <c r="M783" s="9">
        <v>96.9</v>
      </c>
      <c r="N783" s="9">
        <v>102</v>
      </c>
      <c r="O783" s="9">
        <v>97.1</v>
      </c>
      <c r="P783" s="9">
        <v>90.8</v>
      </c>
      <c r="Q783" s="9">
        <v>87.8</v>
      </c>
      <c r="R783" s="7">
        <f t="shared" si="9"/>
        <v>8.9197104541739902E-2</v>
      </c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4.4" hidden="1">
      <c r="A784" s="3">
        <f>LOOKUP(D784,'AMFI DATA_2023H2'!F:L,'AMFI DATA_2023H2'!L:L)</f>
        <v>135</v>
      </c>
      <c r="B784" s="4" t="s">
        <v>414</v>
      </c>
      <c r="C784" s="4" t="s">
        <v>415</v>
      </c>
      <c r="D784" s="5" t="s">
        <v>416</v>
      </c>
      <c r="E784" s="5">
        <v>42619.1</v>
      </c>
      <c r="F784" s="6">
        <f>LOOKUP(D784,'AMFI DATA_2023H2'!F:J,'AMFI DATA_2023H2'!J:J)</f>
        <v>48506.2572</v>
      </c>
      <c r="G784" s="7">
        <f t="shared" si="8"/>
        <v>0.23505715464684429</v>
      </c>
      <c r="H784" s="8">
        <v>59908</v>
      </c>
      <c r="I784" s="8">
        <v>58332</v>
      </c>
      <c r="J784" s="8">
        <v>55960</v>
      </c>
      <c r="K784" s="8">
        <v>54532</v>
      </c>
      <c r="L784" s="8">
        <v>54680</v>
      </c>
      <c r="M784" s="8">
        <v>53683</v>
      </c>
      <c r="N784" s="8">
        <v>50395</v>
      </c>
      <c r="O784" s="8">
        <v>50234</v>
      </c>
      <c r="P784" s="8">
        <v>50018</v>
      </c>
      <c r="Q784" s="8">
        <v>50072</v>
      </c>
      <c r="R784" s="7">
        <f t="shared" si="9"/>
        <v>0.10875180037597287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4.4" hidden="1">
      <c r="A785" s="3">
        <f>LOOKUP(D785,'AMFI DATA_2023H2'!F:L,'AMFI DATA_2023H2'!L:L)</f>
        <v>52</v>
      </c>
      <c r="B785" s="4" t="s">
        <v>165</v>
      </c>
      <c r="C785" s="4" t="s">
        <v>166</v>
      </c>
      <c r="D785" s="5" t="s">
        <v>167</v>
      </c>
      <c r="E785" s="5">
        <v>90877.4</v>
      </c>
      <c r="F785" s="6">
        <f>LOOKUP(D785,'AMFI DATA_2023H2'!F:J,'AMFI DATA_2023H2'!J:J)</f>
        <v>112367.52875</v>
      </c>
      <c r="G785" s="7">
        <f t="shared" si="8"/>
        <v>0.1339930798291229</v>
      </c>
      <c r="H785" s="8">
        <v>127424</v>
      </c>
      <c r="I785" s="8">
        <v>128213</v>
      </c>
      <c r="J785" s="8">
        <v>124562</v>
      </c>
      <c r="K785" s="8">
        <v>122493</v>
      </c>
      <c r="L785" s="8">
        <v>124177</v>
      </c>
      <c r="M785" s="8">
        <v>123936</v>
      </c>
      <c r="N785" s="8">
        <v>125230</v>
      </c>
      <c r="O785" s="8">
        <v>124196</v>
      </c>
      <c r="P785" s="8">
        <v>122174</v>
      </c>
      <c r="Q785" s="8">
        <v>121509</v>
      </c>
      <c r="R785" s="7">
        <f t="shared" si="9"/>
        <v>0.10700485615155975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4.4" hidden="1">
      <c r="A786" s="3">
        <f>LOOKUP(D786,'AMFI DATA_2023H2'!F:L,'AMFI DATA_2023H2'!L:L)</f>
        <v>1753</v>
      </c>
      <c r="B786" s="4" t="s">
        <v>4415</v>
      </c>
      <c r="C786" s="4" t="s">
        <v>4416</v>
      </c>
      <c r="D786" s="5" t="s">
        <v>4417</v>
      </c>
      <c r="E786" s="5">
        <v>208.44</v>
      </c>
      <c r="F786" s="6">
        <f>LOOKUP(D786,'AMFI DATA_2023H2'!F:J,'AMFI DATA_2023H2'!J:J)</f>
        <v>297.62374999999997</v>
      </c>
      <c r="G786" s="7">
        <f t="shared" si="8"/>
        <v>0.49853632312609464</v>
      </c>
      <c r="H786" s="9">
        <v>446</v>
      </c>
      <c r="I786" s="9">
        <v>449</v>
      </c>
      <c r="J786" s="9">
        <v>440</v>
      </c>
      <c r="K786" s="9">
        <v>408</v>
      </c>
      <c r="L786" s="9">
        <v>412</v>
      </c>
      <c r="M786" s="9">
        <v>419</v>
      </c>
      <c r="N786" s="9">
        <v>400</v>
      </c>
      <c r="O786" s="9">
        <v>406</v>
      </c>
      <c r="P786" s="9">
        <v>396</v>
      </c>
      <c r="Q786" s="9">
        <v>405</v>
      </c>
      <c r="R786" s="7">
        <f t="shared" si="9"/>
        <v>0.40479380425789291</v>
      </c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4.4" hidden="1">
      <c r="A787" s="3">
        <f>LOOKUP(D787,'AMFI DATA_2023H2'!F:L,'AMFI DATA_2023H2'!L:L)</f>
        <v>624</v>
      </c>
      <c r="B787" s="4" t="s">
        <v>1842</v>
      </c>
      <c r="C787" s="4" t="s">
        <v>1843</v>
      </c>
      <c r="D787" s="5" t="s">
        <v>1844</v>
      </c>
      <c r="E787" s="5">
        <v>4091.18</v>
      </c>
      <c r="F787" s="6">
        <f>LOOKUP(D787,'AMFI DATA_2023H2'!F:J,'AMFI DATA_2023H2'!J:J)</f>
        <v>4861.5266499999998</v>
      </c>
      <c r="G787" s="7">
        <f t="shared" si="8"/>
        <v>0.32304118912934476</v>
      </c>
      <c r="H787" s="8">
        <v>6432</v>
      </c>
      <c r="I787" s="8">
        <v>6251</v>
      </c>
      <c r="J787" s="8">
        <v>6137</v>
      </c>
      <c r="K787" s="8">
        <v>6093</v>
      </c>
      <c r="L787" s="8">
        <v>6129</v>
      </c>
      <c r="M787" s="8">
        <v>5943</v>
      </c>
      <c r="N787" s="8">
        <v>6012</v>
      </c>
      <c r="O787" s="8">
        <v>6004</v>
      </c>
      <c r="P787" s="8">
        <v>6099</v>
      </c>
      <c r="Q787" s="8">
        <v>6029</v>
      </c>
      <c r="R787" s="7">
        <f t="shared" si="9"/>
        <v>0.25740337142860259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4.4" hidden="1">
      <c r="A788" s="3">
        <f>LOOKUP(D788,'AMFI DATA_2023H2'!F:L,'AMFI DATA_2023H2'!L:L)</f>
        <v>110</v>
      </c>
      <c r="B788" s="4" t="s">
        <v>342</v>
      </c>
      <c r="C788" s="4" t="s">
        <v>343</v>
      </c>
      <c r="D788" s="5" t="s">
        <v>344</v>
      </c>
      <c r="E788" s="5">
        <v>49101.91</v>
      </c>
      <c r="F788" s="6">
        <f>LOOKUP(D788,'AMFI DATA_2023H2'!F:J,'AMFI DATA_2023H2'!J:J)</f>
        <v>58124.204100000003</v>
      </c>
      <c r="G788" s="7">
        <f t="shared" si="8"/>
        <v>0.16891062943604251</v>
      </c>
      <c r="H788" s="8">
        <v>67942</v>
      </c>
      <c r="I788" s="8">
        <v>65798</v>
      </c>
      <c r="J788" s="8">
        <v>65831</v>
      </c>
      <c r="K788" s="8">
        <v>66263</v>
      </c>
      <c r="L788" s="8">
        <v>66567</v>
      </c>
      <c r="M788" s="8">
        <v>66326</v>
      </c>
      <c r="N788" s="8">
        <v>66516</v>
      </c>
      <c r="O788" s="8">
        <v>66632</v>
      </c>
      <c r="P788" s="8">
        <v>65762</v>
      </c>
      <c r="Q788" s="8">
        <v>64776</v>
      </c>
      <c r="R788" s="7">
        <f t="shared" si="9"/>
        <v>0.13965087394633247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4.4" hidden="1">
      <c r="A789" s="3">
        <f>LOOKUP(D789,'AMFI DATA_2023H2'!F:L,'AMFI DATA_2023H2'!L:L)</f>
        <v>1172</v>
      </c>
      <c r="B789" s="4" t="s">
        <v>3278</v>
      </c>
      <c r="C789" s="4" t="s">
        <v>3279</v>
      </c>
      <c r="D789" s="5" t="s">
        <v>3280</v>
      </c>
      <c r="E789" s="5">
        <v>1185.8699999999999</v>
      </c>
      <c r="F789" s="6">
        <f>LOOKUP(D789,'AMFI DATA_2023H2'!F:J,'AMFI DATA_2023H2'!J:J)</f>
        <v>1103.1792</v>
      </c>
      <c r="G789" s="7">
        <f t="shared" si="8"/>
        <v>-3.0075984028705482E-2</v>
      </c>
      <c r="H789" s="8">
        <v>1070</v>
      </c>
      <c r="I789" s="8">
        <v>1082</v>
      </c>
      <c r="J789" s="8">
        <v>1093</v>
      </c>
      <c r="K789" s="8">
        <v>1095</v>
      </c>
      <c r="L789" s="8">
        <v>1113</v>
      </c>
      <c r="M789" s="8">
        <v>1067</v>
      </c>
      <c r="N789" s="8">
        <v>1072</v>
      </c>
      <c r="O789" s="8">
        <v>1093</v>
      </c>
      <c r="P789" s="8">
        <v>1106</v>
      </c>
      <c r="Q789" s="8">
        <v>1118</v>
      </c>
      <c r="R789" s="7">
        <f t="shared" si="9"/>
        <v>-1.1130739230761355E-2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4.4" hidden="1">
      <c r="A790" s="3">
        <f>LOOKUP(D790,'AMFI DATA_2023H2'!F:L,'AMFI DATA_2023H2'!L:L)</f>
        <v>3232</v>
      </c>
      <c r="B790" s="4" t="s">
        <v>5632</v>
      </c>
      <c r="C790" s="4" t="s">
        <v>5633</v>
      </c>
      <c r="D790" s="5" t="s">
        <v>5634</v>
      </c>
      <c r="E790" s="5">
        <v>24.31</v>
      </c>
      <c r="F790" s="6">
        <f>LOOKUP(D790,'AMFI DATA_2023H2'!F:J,'AMFI DATA_2023H2'!J:J)</f>
        <v>26.661650000000002</v>
      </c>
      <c r="G790" s="7">
        <f t="shared" si="8"/>
        <v>0.14021450285334924</v>
      </c>
      <c r="H790" s="9">
        <v>30.4</v>
      </c>
      <c r="I790" s="9">
        <v>28.4</v>
      </c>
      <c r="J790" s="9">
        <v>30.1</v>
      </c>
      <c r="K790" s="9">
        <v>29.6</v>
      </c>
      <c r="L790" s="9">
        <v>31.1</v>
      </c>
      <c r="M790" s="9">
        <v>30.1</v>
      </c>
      <c r="N790" s="9">
        <v>31.4</v>
      </c>
      <c r="O790" s="9">
        <v>30.9</v>
      </c>
      <c r="P790" s="9">
        <v>27.5</v>
      </c>
      <c r="Q790" s="9">
        <v>28.9</v>
      </c>
      <c r="R790" s="7">
        <f t="shared" si="9"/>
        <v>0.11921055148499793</v>
      </c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4.4" hidden="1">
      <c r="A791" s="3">
        <f>LOOKUP(D791,'AMFI DATA_2023H2'!F:L,'AMFI DATA_2023H2'!L:L)</f>
        <v>6</v>
      </c>
      <c r="B791" s="4" t="s">
        <v>22</v>
      </c>
      <c r="C791" s="4" t="s">
        <v>23</v>
      </c>
      <c r="D791" s="5" t="s">
        <v>24</v>
      </c>
      <c r="E791" s="5">
        <v>585251.79</v>
      </c>
      <c r="F791" s="6">
        <f>LOOKUP(D791,'AMFI DATA_2023H2'!F:J,'AMFI DATA_2023H2'!J:J)</f>
        <v>594536.14959999989</v>
      </c>
      <c r="G791" s="7">
        <f t="shared" si="8"/>
        <v>7.0114912992331968E-2</v>
      </c>
      <c r="H791" s="8">
        <v>636222</v>
      </c>
      <c r="I791" s="8">
        <v>627838</v>
      </c>
      <c r="J791" s="8">
        <v>618500</v>
      </c>
      <c r="K791" s="8">
        <v>637073</v>
      </c>
      <c r="L791" s="8">
        <v>643838</v>
      </c>
      <c r="M791" s="8">
        <v>640352</v>
      </c>
      <c r="N791" s="8">
        <v>648715</v>
      </c>
      <c r="O791" s="8">
        <v>650168</v>
      </c>
      <c r="P791" s="8">
        <v>641176</v>
      </c>
      <c r="Q791" s="8">
        <v>648672</v>
      </c>
      <c r="R791" s="7">
        <f t="shared" si="9"/>
        <v>7.5217041772963622E-2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4.4" hidden="1">
      <c r="A792" s="3">
        <f>LOOKUP(D792,'AMFI DATA_2023H2'!F:L,'AMFI DATA_2023H2'!L:L)</f>
        <v>431</v>
      </c>
      <c r="B792" s="4" t="s">
        <v>1287</v>
      </c>
      <c r="C792" s="4" t="s">
        <v>1288</v>
      </c>
      <c r="D792" s="5" t="s">
        <v>1289</v>
      </c>
      <c r="E792" s="5">
        <v>7678.63</v>
      </c>
      <c r="F792" s="6">
        <f>LOOKUP(D792,'AMFI DATA_2023H2'!F:J,'AMFI DATA_2023H2'!J:J)</f>
        <v>9405.3298500000001</v>
      </c>
      <c r="G792" s="7">
        <f t="shared" si="8"/>
        <v>4.1537102497261058E-2</v>
      </c>
      <c r="H792" s="8">
        <v>9796</v>
      </c>
      <c r="I792" s="8">
        <v>9800</v>
      </c>
      <c r="J792" s="8">
        <v>9772</v>
      </c>
      <c r="K792" s="8">
        <v>9809</v>
      </c>
      <c r="L792" s="8">
        <v>9739</v>
      </c>
      <c r="M792" s="8">
        <v>9844</v>
      </c>
      <c r="N792" s="8">
        <v>9813</v>
      </c>
      <c r="O792" s="8">
        <v>9844</v>
      </c>
      <c r="P792" s="8">
        <v>9773</v>
      </c>
      <c r="Q792" s="8">
        <v>9760</v>
      </c>
      <c r="R792" s="7">
        <f t="shared" si="9"/>
        <v>4.1430779804070283E-2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4.4" hidden="1">
      <c r="A793" s="3">
        <f>LOOKUP(D793,'AMFI DATA_2023H2'!F:L,'AMFI DATA_2023H2'!L:L)</f>
        <v>925</v>
      </c>
      <c r="B793" s="4" t="s">
        <v>2672</v>
      </c>
      <c r="C793" s="4" t="s">
        <v>2673</v>
      </c>
      <c r="D793" s="5" t="s">
        <v>2674</v>
      </c>
      <c r="E793" s="5">
        <v>1356.87</v>
      </c>
      <c r="F793" s="6">
        <f>LOOKUP(D793,'AMFI DATA_2023H2'!F:J,'AMFI DATA_2023H2'!J:J)</f>
        <v>2072.6669499999998</v>
      </c>
      <c r="G793" s="7">
        <f t="shared" si="8"/>
        <v>1.0355416966531936</v>
      </c>
      <c r="H793" s="8">
        <v>4219</v>
      </c>
      <c r="I793" s="8">
        <v>4197</v>
      </c>
      <c r="J793" s="8">
        <v>3964</v>
      </c>
      <c r="K793" s="8">
        <v>3426</v>
      </c>
      <c r="L793" s="8">
        <v>3310</v>
      </c>
      <c r="M793" s="8">
        <v>3067</v>
      </c>
      <c r="N793" s="8">
        <v>2970</v>
      </c>
      <c r="O793" s="8">
        <v>3004</v>
      </c>
      <c r="P793" s="8">
        <v>3088</v>
      </c>
      <c r="Q793" s="8">
        <v>3064</v>
      </c>
      <c r="R793" s="7">
        <f t="shared" si="9"/>
        <v>0.65530694644404908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4.4" hidden="1">
      <c r="A794" s="3">
        <f>LOOKUP(D794,'AMFI DATA_2023H2'!F:L,'AMFI DATA_2023H2'!L:L)</f>
        <v>728</v>
      </c>
      <c r="B794" s="4" t="s">
        <v>2129</v>
      </c>
      <c r="C794" s="4" t="s">
        <v>2130</v>
      </c>
      <c r="D794" s="5" t="s">
        <v>2131</v>
      </c>
      <c r="E794" s="5">
        <v>1366.41</v>
      </c>
      <c r="F794" s="6">
        <f>LOOKUP(D794,'AMFI DATA_2023H2'!F:J,'AMFI DATA_2023H2'!J:J)</f>
        <v>3532.2736</v>
      </c>
      <c r="G794" s="7">
        <f t="shared" si="8"/>
        <v>1.1128034929117607</v>
      </c>
      <c r="H794" s="8">
        <v>7463</v>
      </c>
      <c r="I794" s="8">
        <v>7548</v>
      </c>
      <c r="J794" s="8">
        <v>7530</v>
      </c>
      <c r="K794" s="8">
        <v>7172</v>
      </c>
      <c r="L794" s="8">
        <v>6830</v>
      </c>
      <c r="M794" s="8">
        <v>6505</v>
      </c>
      <c r="N794" s="8">
        <v>6204</v>
      </c>
      <c r="O794" s="8">
        <v>6096</v>
      </c>
      <c r="P794" s="8">
        <v>6245</v>
      </c>
      <c r="Q794" s="8">
        <v>6167</v>
      </c>
      <c r="R794" s="7">
        <f t="shared" si="9"/>
        <v>0.91831119763769142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4.4" hidden="1">
      <c r="A795" s="3">
        <f>LOOKUP(D795,'AMFI DATA_2023H2'!F:L,'AMFI DATA_2023H2'!L:L)</f>
        <v>476</v>
      </c>
      <c r="B795" s="4" t="s">
        <v>1416</v>
      </c>
      <c r="C795" s="4" t="s">
        <v>1417</v>
      </c>
      <c r="D795" s="5" t="s">
        <v>1418</v>
      </c>
      <c r="E795" s="5">
        <v>3288.3</v>
      </c>
      <c r="F795" s="6">
        <f>LOOKUP(D795,'AMFI DATA_2023H2'!F:J,'AMFI DATA_2023H2'!J:J)</f>
        <v>7886.6739500000003</v>
      </c>
      <c r="G795" s="7">
        <f t="shared" si="8"/>
        <v>1.1083666074467295</v>
      </c>
      <c r="H795" s="8">
        <v>16628</v>
      </c>
      <c r="I795" s="8">
        <v>16887</v>
      </c>
      <c r="J795" s="8">
        <v>16747</v>
      </c>
      <c r="K795" s="8">
        <v>17204</v>
      </c>
      <c r="L795" s="8">
        <v>17065</v>
      </c>
      <c r="M795" s="8">
        <v>16167</v>
      </c>
      <c r="N795" s="8">
        <v>15833</v>
      </c>
      <c r="O795" s="8">
        <v>15419</v>
      </c>
      <c r="P795" s="8">
        <v>15213</v>
      </c>
      <c r="Q795" s="8">
        <v>14774</v>
      </c>
      <c r="R795" s="7">
        <f t="shared" si="9"/>
        <v>1.0532990336186017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4.4" hidden="1">
      <c r="A796" s="3">
        <f>LOOKUP(D796,'AMFI DATA_2023H2'!F:L,'AMFI DATA_2023H2'!L:L)</f>
        <v>1038</v>
      </c>
      <c r="B796" s="4" t="s">
        <v>2963</v>
      </c>
      <c r="C796" s="4" t="s">
        <v>2964</v>
      </c>
      <c r="D796" s="5" t="s">
        <v>2965</v>
      </c>
      <c r="E796" s="5">
        <v>1521.29</v>
      </c>
      <c r="F796" s="6">
        <f>LOOKUP(D796,'AMFI DATA_2023H2'!F:J,'AMFI DATA_2023H2'!J:J)</f>
        <v>1536.0399</v>
      </c>
      <c r="G796" s="7">
        <f t="shared" si="8"/>
        <v>0.29293516398890418</v>
      </c>
      <c r="H796" s="8">
        <v>1986</v>
      </c>
      <c r="I796" s="8">
        <v>2051</v>
      </c>
      <c r="J796" s="8">
        <v>1924</v>
      </c>
      <c r="K796" s="8">
        <v>1970</v>
      </c>
      <c r="L796" s="8">
        <v>2000</v>
      </c>
      <c r="M796" s="8">
        <v>2006</v>
      </c>
      <c r="N796" s="8">
        <v>2069</v>
      </c>
      <c r="O796" s="8">
        <v>2029</v>
      </c>
      <c r="P796" s="8">
        <v>2071</v>
      </c>
      <c r="Q796" s="8">
        <v>2048</v>
      </c>
      <c r="R796" s="7">
        <f t="shared" si="9"/>
        <v>0.31207529179417803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4.4" hidden="1">
      <c r="A797" s="3">
        <f>LOOKUP(D797,'AMFI DATA_2023H2'!F:L,'AMFI DATA_2023H2'!L:L)</f>
        <v>1762</v>
      </c>
      <c r="B797" s="4" t="s">
        <v>4421</v>
      </c>
      <c r="C797" s="4" t="s">
        <v>4422</v>
      </c>
      <c r="D797" s="5" t="s">
        <v>4423</v>
      </c>
      <c r="E797" s="5">
        <v>224.23</v>
      </c>
      <c r="F797" s="6">
        <f>LOOKUP(D797,'AMFI DATA_2023H2'!F:J,'AMFI DATA_2023H2'!J:J)</f>
        <v>293.32240000000002</v>
      </c>
      <c r="G797" s="7">
        <f t="shared" si="8"/>
        <v>0.28527517843846906</v>
      </c>
      <c r="H797" s="9">
        <v>377</v>
      </c>
      <c r="I797" s="9">
        <v>382</v>
      </c>
      <c r="J797" s="9">
        <v>372</v>
      </c>
      <c r="K797" s="9">
        <v>380</v>
      </c>
      <c r="L797" s="9">
        <v>370</v>
      </c>
      <c r="M797" s="9">
        <v>353</v>
      </c>
      <c r="N797" s="9">
        <v>346</v>
      </c>
      <c r="O797" s="9">
        <v>357</v>
      </c>
      <c r="P797" s="9">
        <v>342</v>
      </c>
      <c r="Q797" s="9">
        <v>355</v>
      </c>
      <c r="R797" s="7">
        <f t="shared" si="9"/>
        <v>0.23890981391124555</v>
      </c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4.4" hidden="1">
      <c r="A798" s="3">
        <f>LOOKUP(D798,'AMFI DATA_2023H2'!F:L,'AMFI DATA_2023H2'!L:L)</f>
        <v>1774</v>
      </c>
      <c r="B798" s="4" t="s">
        <v>4442</v>
      </c>
      <c r="C798" s="4" t="s">
        <v>4443</v>
      </c>
      <c r="D798" s="5" t="s">
        <v>4444</v>
      </c>
      <c r="E798" s="5">
        <v>319.66000000000003</v>
      </c>
      <c r="F798" s="6">
        <f>LOOKUP(D798,'AMFI DATA_2023H2'!F:J,'AMFI DATA_2023H2'!J:J)</f>
        <v>285.74765000000002</v>
      </c>
      <c r="G798" s="7">
        <f t="shared" si="8"/>
        <v>0.71130016292347453</v>
      </c>
      <c r="H798" s="9">
        <v>489</v>
      </c>
      <c r="I798" s="9">
        <v>532</v>
      </c>
      <c r="J798" s="9">
        <v>487</v>
      </c>
      <c r="K798" s="9">
        <v>406</v>
      </c>
      <c r="L798" s="9">
        <v>338</v>
      </c>
      <c r="M798" s="9">
        <v>320</v>
      </c>
      <c r="N798" s="9">
        <v>322</v>
      </c>
      <c r="O798" s="9">
        <v>317</v>
      </c>
      <c r="P798" s="9">
        <v>293</v>
      </c>
      <c r="Q798" s="9">
        <v>288</v>
      </c>
      <c r="R798" s="7">
        <f t="shared" si="9"/>
        <v>0.32704503431611753</v>
      </c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4.4" hidden="1">
      <c r="A799" s="3">
        <f>LOOKUP(D799,'AMFI DATA_2023H2'!F:L,'AMFI DATA_2023H2'!L:L)</f>
        <v>428</v>
      </c>
      <c r="B799" s="4" t="s">
        <v>1281</v>
      </c>
      <c r="C799" s="4" t="s">
        <v>1282</v>
      </c>
      <c r="D799" s="5" t="s">
        <v>1283</v>
      </c>
      <c r="E799" s="5">
        <v>6487.23</v>
      </c>
      <c r="F799" s="6">
        <f>LOOKUP(D799,'AMFI DATA_2023H2'!F:J,'AMFI DATA_2023H2'!J:J)</f>
        <v>9472.8122999999996</v>
      </c>
      <c r="G799" s="7">
        <f t="shared" si="8"/>
        <v>0.18613138782450078</v>
      </c>
      <c r="H799" s="8">
        <v>11236</v>
      </c>
      <c r="I799" s="8">
        <v>11190</v>
      </c>
      <c r="J799" s="8">
        <v>11318</v>
      </c>
      <c r="K799" s="8">
        <v>11162</v>
      </c>
      <c r="L799" s="8">
        <v>11307</v>
      </c>
      <c r="M799" s="8">
        <v>11431</v>
      </c>
      <c r="N799" s="8">
        <v>11448</v>
      </c>
      <c r="O799" s="8">
        <v>11405</v>
      </c>
      <c r="P799" s="8">
        <v>11257</v>
      </c>
      <c r="Q799" s="8">
        <v>11089</v>
      </c>
      <c r="R799" s="7">
        <f t="shared" si="9"/>
        <v>0.19123019042613132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4.4" hidden="1">
      <c r="A800" s="3">
        <f>LOOKUP(D800,'AMFI DATA_2023H2'!F:L,'AMFI DATA_2023H2'!L:L)</f>
        <v>1943</v>
      </c>
      <c r="B800" s="4" t="s">
        <v>4649</v>
      </c>
      <c r="C800" s="4" t="s">
        <v>4650</v>
      </c>
      <c r="D800" s="5" t="s">
        <v>4651</v>
      </c>
      <c r="E800" s="5">
        <v>148.79</v>
      </c>
      <c r="F800" s="6">
        <f>LOOKUP(D800,'AMFI DATA_2023H2'!F:J,'AMFI DATA_2023H2'!J:J)</f>
        <v>205.11955</v>
      </c>
      <c r="G800" s="7">
        <f t="shared" si="8"/>
        <v>0.18467498588018549</v>
      </c>
      <c r="H800" s="9">
        <v>243</v>
      </c>
      <c r="I800" s="9">
        <v>247</v>
      </c>
      <c r="J800" s="9">
        <v>248</v>
      </c>
      <c r="K800" s="9">
        <v>234</v>
      </c>
      <c r="L800" s="9">
        <v>237</v>
      </c>
      <c r="M800" s="9">
        <v>239</v>
      </c>
      <c r="N800" s="9">
        <v>237</v>
      </c>
      <c r="O800" s="9">
        <v>242</v>
      </c>
      <c r="P800" s="9">
        <v>244</v>
      </c>
      <c r="Q800" s="9">
        <v>242</v>
      </c>
      <c r="R800" s="7">
        <f t="shared" si="9"/>
        <v>0.17638713618472734</v>
      </c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4.4" hidden="1">
      <c r="A801" s="3">
        <f>LOOKUP(D801,'AMFI DATA_2023H2'!F:L,'AMFI DATA_2023H2'!L:L)</f>
        <v>57</v>
      </c>
      <c r="B801" s="4" t="s">
        <v>180</v>
      </c>
      <c r="C801" s="4" t="s">
        <v>181</v>
      </c>
      <c r="D801" s="5" t="s">
        <v>182</v>
      </c>
      <c r="E801" s="5">
        <v>80990.679999999993</v>
      </c>
      <c r="F801" s="6">
        <f>LOOKUP(D801,'AMFI DATA_2023H2'!F:J,'AMFI DATA_2023H2'!J:J)</f>
        <v>99904.481999999989</v>
      </c>
      <c r="G801" s="7">
        <f t="shared" si="8"/>
        <v>0.13848746045247506</v>
      </c>
      <c r="H801" s="8">
        <v>113740</v>
      </c>
      <c r="I801" s="8">
        <v>115623</v>
      </c>
      <c r="J801" s="8">
        <v>115689</v>
      </c>
      <c r="K801" s="8">
        <v>113132</v>
      </c>
      <c r="L801" s="8">
        <v>114844</v>
      </c>
      <c r="M801" s="8">
        <v>114058</v>
      </c>
      <c r="N801" s="8">
        <v>113095</v>
      </c>
      <c r="O801" s="8">
        <v>113314</v>
      </c>
      <c r="P801" s="8">
        <v>112790</v>
      </c>
      <c r="Q801" s="8">
        <v>110820</v>
      </c>
      <c r="R801" s="7">
        <f t="shared" si="9"/>
        <v>0.13819217840496889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4.4" hidden="1">
      <c r="A802" s="3">
        <f>LOOKUP(D802,'AMFI DATA_2023H2'!F:L,'AMFI DATA_2023H2'!L:L)</f>
        <v>1478</v>
      </c>
      <c r="B802" s="4" t="s">
        <v>3911</v>
      </c>
      <c r="C802" s="4" t="s">
        <v>3912</v>
      </c>
      <c r="D802" s="5" t="s">
        <v>3913</v>
      </c>
      <c r="E802" s="5">
        <v>382.02</v>
      </c>
      <c r="F802" s="6">
        <f>LOOKUP(D802,'AMFI DATA_2023H2'!F:J,'AMFI DATA_2023H2'!J:J)</f>
        <v>539.59224999999992</v>
      </c>
      <c r="G802" s="7">
        <f t="shared" si="8"/>
        <v>7.6738963541452154E-2</v>
      </c>
      <c r="H802" s="9">
        <v>581</v>
      </c>
      <c r="I802" s="9">
        <v>581</v>
      </c>
      <c r="J802" s="9">
        <v>581</v>
      </c>
      <c r="K802" s="9">
        <v>571</v>
      </c>
      <c r="L802" s="9">
        <v>583</v>
      </c>
      <c r="M802" s="9">
        <v>577</v>
      </c>
      <c r="N802" s="9">
        <v>582</v>
      </c>
      <c r="O802" s="9">
        <v>588</v>
      </c>
      <c r="P802" s="9">
        <v>598</v>
      </c>
      <c r="Q802" s="9">
        <v>601</v>
      </c>
      <c r="R802" s="7">
        <f t="shared" si="9"/>
        <v>8.2854692594269252E-2</v>
      </c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4.4" hidden="1">
      <c r="A803" s="3">
        <f>LOOKUP(D803,'AMFI DATA_2023H2'!F:L,'AMFI DATA_2023H2'!L:L)</f>
        <v>1992</v>
      </c>
      <c r="B803" s="4" t="s">
        <v>4718</v>
      </c>
      <c r="C803" s="4" t="s">
        <v>4719</v>
      </c>
      <c r="D803" s="5" t="s">
        <v>4720</v>
      </c>
      <c r="E803" s="5">
        <v>195.89</v>
      </c>
      <c r="F803" s="6">
        <f>LOOKUP(D803,'AMFI DATA_2023H2'!F:J,'AMFI DATA_2023H2'!J:J)</f>
        <v>190.82304999999999</v>
      </c>
      <c r="G803" s="7">
        <f t="shared" si="8"/>
        <v>-6.1958185869055105E-2</v>
      </c>
      <c r="H803" s="9">
        <v>179</v>
      </c>
      <c r="I803" s="9">
        <v>177</v>
      </c>
      <c r="J803" s="9">
        <v>176</v>
      </c>
      <c r="K803" s="9">
        <v>180</v>
      </c>
      <c r="L803" s="9">
        <v>180</v>
      </c>
      <c r="M803" s="9">
        <v>179</v>
      </c>
      <c r="N803" s="9">
        <v>175</v>
      </c>
      <c r="O803" s="9">
        <v>180</v>
      </c>
      <c r="P803" s="9">
        <v>175</v>
      </c>
      <c r="Q803" s="9">
        <v>180</v>
      </c>
      <c r="R803" s="7">
        <f t="shared" si="9"/>
        <v>-6.6674597225020782E-2</v>
      </c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4.4" hidden="1">
      <c r="A804" s="3">
        <f>LOOKUP(D804,'AMFI DATA_2023H2'!F:L,'AMFI DATA_2023H2'!L:L)</f>
        <v>2010</v>
      </c>
      <c r="B804" s="4" t="s">
        <v>4757</v>
      </c>
      <c r="C804" s="4" t="s">
        <v>4758</v>
      </c>
      <c r="D804" s="5" t="s">
        <v>4759</v>
      </c>
      <c r="E804" s="5">
        <v>174.24</v>
      </c>
      <c r="F804" s="6">
        <f>LOOKUP(D804,'AMFI DATA_2023H2'!F:J,'AMFI DATA_2023H2'!J:J)</f>
        <v>184.20240000000001</v>
      </c>
      <c r="G804" s="7">
        <f t="shared" si="8"/>
        <v>0.4929230020890063</v>
      </c>
      <c r="H804" s="9">
        <v>275</v>
      </c>
      <c r="I804" s="9">
        <v>277</v>
      </c>
      <c r="J804" s="9">
        <v>230</v>
      </c>
      <c r="K804" s="9">
        <v>227</v>
      </c>
      <c r="L804" s="9">
        <v>222</v>
      </c>
      <c r="M804" s="9">
        <v>218</v>
      </c>
      <c r="N804" s="9">
        <v>219</v>
      </c>
      <c r="O804" s="9">
        <v>222</v>
      </c>
      <c r="P804" s="9">
        <v>226</v>
      </c>
      <c r="Q804" s="9">
        <v>223</v>
      </c>
      <c r="R804" s="7">
        <f t="shared" si="9"/>
        <v>0.26979887341315845</v>
      </c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4.4" hidden="1">
      <c r="A805" s="3">
        <f>LOOKUP(D805,'AMFI DATA_2023H2'!F:L,'AMFI DATA_2023H2'!L:L)</f>
        <v>848</v>
      </c>
      <c r="B805" s="4" t="s">
        <v>2462</v>
      </c>
      <c r="C805" s="4" t="s">
        <v>2463</v>
      </c>
      <c r="D805" s="5" t="s">
        <v>2464</v>
      </c>
      <c r="E805" s="5">
        <v>2140.9299999999998</v>
      </c>
      <c r="F805" s="6">
        <f>LOOKUP(D805,'AMFI DATA_2023H2'!F:J,'AMFI DATA_2023H2'!J:J)</f>
        <v>2520.8296</v>
      </c>
      <c r="G805" s="7">
        <f t="shared" si="8"/>
        <v>0.10281155061016412</v>
      </c>
      <c r="H805" s="8">
        <v>2780</v>
      </c>
      <c r="I805" s="8">
        <v>2802</v>
      </c>
      <c r="J805" s="8">
        <v>2820</v>
      </c>
      <c r="K805" s="8">
        <v>2847</v>
      </c>
      <c r="L805" s="8">
        <v>2783</v>
      </c>
      <c r="M805" s="8">
        <v>2722</v>
      </c>
      <c r="N805" s="8">
        <v>2730</v>
      </c>
      <c r="O805" s="8">
        <v>2765</v>
      </c>
      <c r="P805" s="8">
        <v>2804</v>
      </c>
      <c r="Q805" s="8">
        <v>2751</v>
      </c>
      <c r="R805" s="7">
        <f t="shared" si="9"/>
        <v>0.10297022853111537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4.4" hidden="1">
      <c r="A806" s="3">
        <f>LOOKUP(D806,'AMFI DATA_2023H2'!F:L,'AMFI DATA_2023H2'!L:L)</f>
        <v>474</v>
      </c>
      <c r="B806" s="4" t="s">
        <v>1410</v>
      </c>
      <c r="C806" s="4" t="s">
        <v>1411</v>
      </c>
      <c r="D806" s="5" t="s">
        <v>1412</v>
      </c>
      <c r="E806" s="5">
        <v>4980</v>
      </c>
      <c r="F806" s="6">
        <f>LOOKUP(D806,'AMFI DATA_2023H2'!F:J,'AMFI DATA_2023H2'!J:J)</f>
        <v>7910.8922999999995</v>
      </c>
      <c r="G806" s="7">
        <f t="shared" si="8"/>
        <v>7.206616881890815E-2</v>
      </c>
      <c r="H806" s="8">
        <v>8481</v>
      </c>
      <c r="I806" s="8">
        <v>8111</v>
      </c>
      <c r="J806" s="8">
        <v>8186</v>
      </c>
      <c r="K806" s="8">
        <v>8110</v>
      </c>
      <c r="L806" s="8">
        <v>8242</v>
      </c>
      <c r="M806" s="8">
        <v>8242</v>
      </c>
      <c r="N806" s="8">
        <v>8081</v>
      </c>
      <c r="O806" s="8">
        <v>8433</v>
      </c>
      <c r="P806" s="8">
        <v>8506</v>
      </c>
      <c r="Q806" s="8">
        <v>8829</v>
      </c>
      <c r="R806" s="7">
        <f t="shared" si="9"/>
        <v>5.1979939102444916E-2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4.4" hidden="1">
      <c r="A807" s="3">
        <f>LOOKUP(D807,'AMFI DATA_2023H2'!F:L,'AMFI DATA_2023H2'!L:L)</f>
        <v>233</v>
      </c>
      <c r="B807" s="4" t="s">
        <v>708</v>
      </c>
      <c r="C807" s="4" t="s">
        <v>709</v>
      </c>
      <c r="D807" s="5" t="s">
        <v>710</v>
      </c>
      <c r="E807" s="5">
        <v>19906.990000000002</v>
      </c>
      <c r="F807" s="6">
        <f>LOOKUP(D807,'AMFI DATA_2023H2'!F:J,'AMFI DATA_2023H2'!J:J)</f>
        <v>24046.179349999999</v>
      </c>
      <c r="G807" s="7">
        <f t="shared" si="8"/>
        <v>0.17661103613119322</v>
      </c>
      <c r="H807" s="8">
        <v>28293</v>
      </c>
      <c r="I807" s="8">
        <v>28157</v>
      </c>
      <c r="J807" s="8">
        <v>28250</v>
      </c>
      <c r="K807" s="8">
        <v>28341</v>
      </c>
      <c r="L807" s="8">
        <v>28217</v>
      </c>
      <c r="M807" s="8">
        <v>28161</v>
      </c>
      <c r="N807" s="8">
        <v>28415</v>
      </c>
      <c r="O807" s="8">
        <v>26942</v>
      </c>
      <c r="P807" s="8">
        <v>26918</v>
      </c>
      <c r="Q807" s="8">
        <v>26960</v>
      </c>
      <c r="R807" s="7">
        <f t="shared" si="9"/>
        <v>0.15882858538190203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4.4" hidden="1">
      <c r="A808" s="3">
        <f>LOOKUP(D808,'AMFI DATA_2023H2'!F:L,'AMFI DATA_2023H2'!L:L)</f>
        <v>273</v>
      </c>
      <c r="B808" s="4" t="s">
        <v>828</v>
      </c>
      <c r="C808" s="4" t="s">
        <v>829</v>
      </c>
      <c r="D808" s="5" t="s">
        <v>830</v>
      </c>
      <c r="E808" s="5">
        <v>16921.72</v>
      </c>
      <c r="F808" s="6">
        <f>LOOKUP(D808,'AMFI DATA_2023H2'!F:J,'AMFI DATA_2023H2'!J:J)</f>
        <v>19372.480299999999</v>
      </c>
      <c r="G808" s="7">
        <f t="shared" si="8"/>
        <v>0.32424963673856477</v>
      </c>
      <c r="H808" s="8">
        <v>25654</v>
      </c>
      <c r="I808" s="8">
        <v>26058</v>
      </c>
      <c r="J808" s="8">
        <v>25092</v>
      </c>
      <c r="K808" s="8">
        <v>24959</v>
      </c>
      <c r="L808" s="8">
        <v>25273</v>
      </c>
      <c r="M808" s="8">
        <v>25074</v>
      </c>
      <c r="N808" s="8">
        <v>25001</v>
      </c>
      <c r="O808" s="8">
        <v>25219</v>
      </c>
      <c r="P808" s="8">
        <v>25267</v>
      </c>
      <c r="Q808" s="8">
        <v>25152</v>
      </c>
      <c r="R808" s="7">
        <f t="shared" si="9"/>
        <v>0.30468064019659891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4.4" hidden="1">
      <c r="A809" s="3">
        <f>LOOKUP(D809,'AMFI DATA_2023H2'!F:L,'AMFI DATA_2023H2'!L:L)</f>
        <v>349</v>
      </c>
      <c r="B809" s="4" t="s">
        <v>1053</v>
      </c>
      <c r="C809" s="4" t="s">
        <v>1054</v>
      </c>
      <c r="D809" s="5" t="s">
        <v>1055</v>
      </c>
      <c r="E809" s="5">
        <v>6238.77</v>
      </c>
      <c r="F809" s="6">
        <f>LOOKUP(D809,'AMFI DATA_2023H2'!F:J,'AMFI DATA_2023H2'!J:J)</f>
        <v>12485.500400000001</v>
      </c>
      <c r="G809" s="7">
        <f t="shared" si="8"/>
        <v>0.38792995433326793</v>
      </c>
      <c r="H809" s="8">
        <v>17329</v>
      </c>
      <c r="I809" s="8">
        <v>17484</v>
      </c>
      <c r="J809" s="8">
        <v>17597</v>
      </c>
      <c r="K809" s="8">
        <v>16374</v>
      </c>
      <c r="L809" s="8">
        <v>16389</v>
      </c>
      <c r="M809" s="8">
        <v>16111</v>
      </c>
      <c r="N809" s="8">
        <v>15909</v>
      </c>
      <c r="O809" s="8">
        <v>15899</v>
      </c>
      <c r="P809" s="8">
        <v>16106</v>
      </c>
      <c r="Q809" s="8">
        <v>15669</v>
      </c>
      <c r="R809" s="7">
        <f t="shared" si="9"/>
        <v>0.32046770027735527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4.4" hidden="1">
      <c r="A810" s="3">
        <f>LOOKUP(D810,'AMFI DATA_2023H2'!F:L,'AMFI DATA_2023H2'!L:L)</f>
        <v>1919</v>
      </c>
      <c r="B810" s="4" t="s">
        <v>4628</v>
      </c>
      <c r="C810" s="4" t="s">
        <v>4629</v>
      </c>
      <c r="D810" s="5" t="s">
        <v>4630</v>
      </c>
      <c r="E810" s="5">
        <v>151.04</v>
      </c>
      <c r="F810" s="6">
        <f>LOOKUP(D810,'AMFI DATA_2023H2'!F:J,'AMFI DATA_2023H2'!J:J)</f>
        <v>211.02085</v>
      </c>
      <c r="G810" s="7">
        <f t="shared" si="8"/>
        <v>0.21788913275631305</v>
      </c>
      <c r="H810" s="9">
        <v>257</v>
      </c>
      <c r="I810" s="9">
        <v>258</v>
      </c>
      <c r="J810" s="9">
        <v>257</v>
      </c>
      <c r="K810" s="9">
        <v>259</v>
      </c>
      <c r="L810" s="9">
        <v>262</v>
      </c>
      <c r="M810" s="9">
        <v>248</v>
      </c>
      <c r="N810" s="9">
        <v>251</v>
      </c>
      <c r="O810" s="9">
        <v>254</v>
      </c>
      <c r="P810" s="9">
        <v>255</v>
      </c>
      <c r="Q810" s="9">
        <v>255</v>
      </c>
      <c r="R810" s="7">
        <f t="shared" si="9"/>
        <v>0.21125471724713463</v>
      </c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4.4" hidden="1">
      <c r="A811" s="3">
        <f>LOOKUP(D811,'AMFI DATA_2023H2'!F:L,'AMFI DATA_2023H2'!L:L)</f>
        <v>1378</v>
      </c>
      <c r="B811" s="4" t="s">
        <v>3722</v>
      </c>
      <c r="C811" s="4" t="s">
        <v>3723</v>
      </c>
      <c r="D811" s="5" t="s">
        <v>3724</v>
      </c>
      <c r="E811" s="5">
        <v>547.08000000000004</v>
      </c>
      <c r="F811" s="6">
        <f>LOOKUP(D811,'AMFI DATA_2023H2'!F:J,'AMFI DATA_2023H2'!J:J)</f>
        <v>676.00019999999995</v>
      </c>
      <c r="G811" s="7">
        <f t="shared" si="8"/>
        <v>6.2129863275188546E-2</v>
      </c>
      <c r="H811" s="9">
        <v>718</v>
      </c>
      <c r="I811" s="9">
        <v>704</v>
      </c>
      <c r="J811" s="9">
        <v>693</v>
      </c>
      <c r="K811" s="9">
        <v>684</v>
      </c>
      <c r="L811" s="9">
        <v>679</v>
      </c>
      <c r="M811" s="9">
        <v>662</v>
      </c>
      <c r="N811" s="9">
        <v>652</v>
      </c>
      <c r="O811" s="9">
        <v>644</v>
      </c>
      <c r="P811" s="9">
        <v>655</v>
      </c>
      <c r="Q811" s="9">
        <v>643</v>
      </c>
      <c r="R811" s="7">
        <f t="shared" si="9"/>
        <v>-3.8464485661394709E-3</v>
      </c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4.4" hidden="1">
      <c r="A812" s="3">
        <f>LOOKUP(D812,'AMFI DATA_2023H2'!F:L,'AMFI DATA_2023H2'!L:L)</f>
        <v>954</v>
      </c>
      <c r="B812" s="4" t="s">
        <v>2741</v>
      </c>
      <c r="C812" s="4" t="s">
        <v>2742</v>
      </c>
      <c r="D812" s="5" t="s">
        <v>2743</v>
      </c>
      <c r="E812" s="5">
        <v>547.08000000000004</v>
      </c>
      <c r="F812" s="6">
        <f>LOOKUP(D812,'AMFI DATA_2023H2'!F:J,'AMFI DATA_2023H2'!J:J)</f>
        <v>1936.0578999999998</v>
      </c>
      <c r="G812" s="7">
        <f t="shared" si="8"/>
        <v>0.12806543647274204</v>
      </c>
      <c r="H812" s="8">
        <v>2184</v>
      </c>
      <c r="I812" s="8">
        <v>2185</v>
      </c>
      <c r="J812" s="8">
        <v>2194</v>
      </c>
      <c r="K812" s="8">
        <v>2139</v>
      </c>
      <c r="L812" s="8">
        <v>2158</v>
      </c>
      <c r="M812" s="8">
        <v>2211</v>
      </c>
      <c r="N812" s="8">
        <v>2239</v>
      </c>
      <c r="O812" s="8">
        <v>2264</v>
      </c>
      <c r="P812" s="8">
        <v>2241</v>
      </c>
      <c r="Q812" s="8">
        <v>2146</v>
      </c>
      <c r="R812" s="7">
        <f t="shared" si="9"/>
        <v>0.13431524955942709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4.4" hidden="1">
      <c r="A813" s="3">
        <f>LOOKUP(D813,'AMFI DATA_2023H2'!F:L,'AMFI DATA_2023H2'!L:L)</f>
        <v>590</v>
      </c>
      <c r="B813" s="4" t="s">
        <v>1740</v>
      </c>
      <c r="C813" s="4" t="s">
        <v>1741</v>
      </c>
      <c r="D813" s="5" t="s">
        <v>1742</v>
      </c>
      <c r="E813" s="5">
        <v>3681.95</v>
      </c>
      <c r="F813" s="6">
        <f>LOOKUP(D813,'AMFI DATA_2023H2'!F:J,'AMFI DATA_2023H2'!J:J)</f>
        <v>5635.9359999999997</v>
      </c>
      <c r="G813" s="7">
        <f t="shared" si="8"/>
        <v>0.26332165588821455</v>
      </c>
      <c r="H813" s="8">
        <v>7120</v>
      </c>
      <c r="I813" s="8">
        <v>7052</v>
      </c>
      <c r="J813" s="8">
        <v>7057</v>
      </c>
      <c r="K813" s="8">
        <v>7169</v>
      </c>
      <c r="L813" s="8">
        <v>7310</v>
      </c>
      <c r="M813" s="8">
        <v>7215</v>
      </c>
      <c r="N813" s="8">
        <v>7174</v>
      </c>
      <c r="O813" s="8">
        <v>7000</v>
      </c>
      <c r="P813" s="8">
        <v>6900</v>
      </c>
      <c r="Q813" s="8">
        <v>6829</v>
      </c>
      <c r="R813" s="7">
        <f t="shared" si="9"/>
        <v>0.25668566853846464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4.4" hidden="1">
      <c r="A814" s="3">
        <f>LOOKUP(D814,'AMFI DATA_2023H2'!F:L,'AMFI DATA_2023H2'!L:L)</f>
        <v>852</v>
      </c>
      <c r="B814" s="4" t="s">
        <v>2471</v>
      </c>
      <c r="C814" s="4" t="s">
        <v>2472</v>
      </c>
      <c r="D814" s="5" t="s">
        <v>2473</v>
      </c>
      <c r="E814" s="5">
        <v>2122.23</v>
      </c>
      <c r="F814" s="6">
        <f>LOOKUP(D814,'AMFI DATA_2023H2'!F:J,'AMFI DATA_2023H2'!J:J)</f>
        <v>2508.9935500000001</v>
      </c>
      <c r="G814" s="7">
        <f t="shared" si="8"/>
        <v>5.8193234494365198E-2</v>
      </c>
      <c r="H814" s="8">
        <v>2655</v>
      </c>
      <c r="I814" s="8">
        <v>2694</v>
      </c>
      <c r="J814" s="8">
        <v>2735</v>
      </c>
      <c r="K814" s="8">
        <v>2758</v>
      </c>
      <c r="L814" s="8">
        <v>2757</v>
      </c>
      <c r="M814" s="8">
        <v>2739</v>
      </c>
      <c r="N814" s="8">
        <v>2748</v>
      </c>
      <c r="O814" s="8">
        <v>2795</v>
      </c>
      <c r="P814" s="8">
        <v>2744</v>
      </c>
      <c r="Q814" s="8">
        <v>2769</v>
      </c>
      <c r="R814" s="7">
        <f t="shared" si="9"/>
        <v>9.1832220931775677E-2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4.4" hidden="1">
      <c r="A815" s="3">
        <f>LOOKUP(D815,'AMFI DATA_2023H2'!F:L,'AMFI DATA_2023H2'!L:L)</f>
        <v>7</v>
      </c>
      <c r="B815" s="4" t="s">
        <v>25</v>
      </c>
      <c r="C815" s="4" t="s">
        <v>26</v>
      </c>
      <c r="D815" s="5" t="s">
        <v>27</v>
      </c>
      <c r="E815" s="5">
        <v>491395.14</v>
      </c>
      <c r="F815" s="6">
        <f>LOOKUP(D815,'AMFI DATA_2023H2'!F:J,'AMFI DATA_2023H2'!J:J)</f>
        <v>560828.16244999995</v>
      </c>
      <c r="G815" s="7">
        <f t="shared" si="8"/>
        <v>5.4189214423962628E-2</v>
      </c>
      <c r="H815" s="8">
        <v>591219</v>
      </c>
      <c r="I815" s="8">
        <v>594338</v>
      </c>
      <c r="J815" s="8">
        <v>595461</v>
      </c>
      <c r="K815" s="8">
        <v>586541</v>
      </c>
      <c r="L815" s="8">
        <v>582923</v>
      </c>
      <c r="M815" s="8">
        <v>576810</v>
      </c>
      <c r="N815" s="8">
        <v>579118</v>
      </c>
      <c r="O815" s="8">
        <v>569886</v>
      </c>
      <c r="P815" s="8">
        <v>569574</v>
      </c>
      <c r="Q815" s="8">
        <v>567890</v>
      </c>
      <c r="R815" s="7">
        <f t="shared" si="9"/>
        <v>3.6638383957460441E-2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4.4" hidden="1">
      <c r="A816" s="3">
        <f>LOOKUP(D816,'AMFI DATA_2023H2'!F:L,'AMFI DATA_2023H2'!L:L)</f>
        <v>705</v>
      </c>
      <c r="B816" s="4" t="s">
        <v>2067</v>
      </c>
      <c r="C816" s="4" t="s">
        <v>2068</v>
      </c>
      <c r="D816" s="5" t="s">
        <v>2069</v>
      </c>
      <c r="E816" s="5">
        <v>2155.36</v>
      </c>
      <c r="F816" s="6">
        <f>LOOKUP(D816,'AMFI DATA_2023H2'!F:J,'AMFI DATA_2023H2'!J:J)</f>
        <v>3834.4483</v>
      </c>
      <c r="G816" s="7">
        <f t="shared" si="8"/>
        <v>0.28284426210675462</v>
      </c>
      <c r="H816" s="8">
        <v>4919</v>
      </c>
      <c r="I816" s="8">
        <v>4947</v>
      </c>
      <c r="J816" s="8">
        <v>4964</v>
      </c>
      <c r="K816" s="8">
        <v>4860</v>
      </c>
      <c r="L816" s="8">
        <v>4965</v>
      </c>
      <c r="M816" s="8">
        <v>4880</v>
      </c>
      <c r="N816" s="8">
        <v>5039</v>
      </c>
      <c r="O816" s="8">
        <v>4899</v>
      </c>
      <c r="P816" s="8">
        <v>4826</v>
      </c>
      <c r="Q816" s="8">
        <v>4833</v>
      </c>
      <c r="R816" s="7">
        <f t="shared" si="9"/>
        <v>0.28133165858566933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4.4" hidden="1">
      <c r="A817" s="3">
        <f>LOOKUP(D817,'AMFI DATA_2023H2'!F:L,'AMFI DATA_2023H2'!L:L)</f>
        <v>276</v>
      </c>
      <c r="B817" s="4" t="s">
        <v>837</v>
      </c>
      <c r="C817" s="4" t="s">
        <v>838</v>
      </c>
      <c r="D817" s="5" t="s">
        <v>839</v>
      </c>
      <c r="E817" s="5">
        <v>9546.0499999999993</v>
      </c>
      <c r="F817" s="6">
        <f>LOOKUP(D817,'AMFI DATA_2023H2'!F:J,'AMFI DATA_2023H2'!J:J)</f>
        <v>19248.443149999999</v>
      </c>
      <c r="G817" s="7">
        <f t="shared" si="8"/>
        <v>0.55503485485785897</v>
      </c>
      <c r="H817" s="8">
        <v>29932</v>
      </c>
      <c r="I817" s="8">
        <v>30157</v>
      </c>
      <c r="J817" s="8">
        <v>29936</v>
      </c>
      <c r="K817" s="8">
        <v>29922</v>
      </c>
      <c r="L817" s="8">
        <v>29504</v>
      </c>
      <c r="M817" s="8">
        <v>29249</v>
      </c>
      <c r="N817" s="8">
        <v>28927</v>
      </c>
      <c r="O817" s="8">
        <v>28879</v>
      </c>
      <c r="P817" s="8">
        <v>29091</v>
      </c>
      <c r="Q817" s="8">
        <v>29259</v>
      </c>
      <c r="R817" s="7">
        <f t="shared" si="9"/>
        <v>0.53184336884928785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4.4" hidden="1">
      <c r="A818" s="3">
        <f>LOOKUP(D818,'AMFI DATA_2023H2'!F:L,'AMFI DATA_2023H2'!L:L)</f>
        <v>2008</v>
      </c>
      <c r="B818" s="4" t="s">
        <v>4751</v>
      </c>
      <c r="C818" s="4" t="s">
        <v>4752</v>
      </c>
      <c r="D818" s="5" t="s">
        <v>4753</v>
      </c>
      <c r="E818" s="5">
        <v>149.04</v>
      </c>
      <c r="F818" s="6">
        <f>LOOKUP(D818,'AMFI DATA_2023H2'!F:J,'AMFI DATA_2023H2'!J:J)</f>
        <v>185.75604999999999</v>
      </c>
      <c r="G818" s="7">
        <f t="shared" si="8"/>
        <v>0.53965375555735617</v>
      </c>
      <c r="H818" s="9">
        <v>286</v>
      </c>
      <c r="I818" s="9">
        <v>251</v>
      </c>
      <c r="J818" s="9">
        <v>233</v>
      </c>
      <c r="K818" s="9">
        <v>231</v>
      </c>
      <c r="L818" s="9">
        <v>236</v>
      </c>
      <c r="M818" s="9">
        <v>232</v>
      </c>
      <c r="N818" s="9">
        <v>234</v>
      </c>
      <c r="O818" s="9">
        <v>241</v>
      </c>
      <c r="P818" s="9">
        <v>230</v>
      </c>
      <c r="Q818" s="9">
        <v>230</v>
      </c>
      <c r="R818" s="7">
        <f t="shared" si="9"/>
        <v>0.29417049942653284</v>
      </c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4.4" hidden="1">
      <c r="A819" s="3">
        <f>LOOKUP(D819,'AMFI DATA_2023H2'!F:L,'AMFI DATA_2023H2'!L:L)</f>
        <v>1786</v>
      </c>
      <c r="B819" s="4" t="s">
        <v>4457</v>
      </c>
      <c r="C819" s="4" t="s">
        <v>4458</v>
      </c>
      <c r="D819" s="5" t="s">
        <v>4459</v>
      </c>
      <c r="E819" s="5">
        <v>167.35</v>
      </c>
      <c r="F819" s="6">
        <f>LOOKUP(D819,'AMFI DATA_2023H2'!F:J,'AMFI DATA_2023H2'!J:J)</f>
        <v>277.68214999999998</v>
      </c>
      <c r="G819" s="7">
        <f t="shared" si="8"/>
        <v>0.28204135555706422</v>
      </c>
      <c r="H819" s="9">
        <v>356</v>
      </c>
      <c r="I819" s="9">
        <v>342</v>
      </c>
      <c r="J819" s="9">
        <v>340</v>
      </c>
      <c r="K819" s="9">
        <v>340</v>
      </c>
      <c r="L819" s="9">
        <v>343</v>
      </c>
      <c r="M819" s="9">
        <v>340</v>
      </c>
      <c r="N819" s="9">
        <v>358</v>
      </c>
      <c r="O819" s="9">
        <v>341</v>
      </c>
      <c r="P819" s="9">
        <v>320</v>
      </c>
      <c r="Q819" s="9">
        <v>307</v>
      </c>
      <c r="R819" s="7">
        <f t="shared" si="9"/>
        <v>0.21973990766061124</v>
      </c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4.4" hidden="1">
      <c r="A820" s="3">
        <f>LOOKUP(D820,'AMFI DATA_2023H2'!F:L,'AMFI DATA_2023H2'!L:L)</f>
        <v>774</v>
      </c>
      <c r="B820" s="4" t="s">
        <v>2264</v>
      </c>
      <c r="C820" s="4" t="s">
        <v>2265</v>
      </c>
      <c r="D820" s="5" t="s">
        <v>2266</v>
      </c>
      <c r="E820" s="5">
        <v>2029.92</v>
      </c>
      <c r="F820" s="6">
        <f>LOOKUP(D820,'AMFI DATA_2023H2'!F:J,'AMFI DATA_2023H2'!J:J)</f>
        <v>3109.3706999999999</v>
      </c>
      <c r="G820" s="7">
        <f t="shared" si="8"/>
        <v>0.40092656047733399</v>
      </c>
      <c r="H820" s="8">
        <v>4356</v>
      </c>
      <c r="I820" s="8">
        <v>4370</v>
      </c>
      <c r="J820" s="8">
        <v>4358</v>
      </c>
      <c r="K820" s="8">
        <v>4385</v>
      </c>
      <c r="L820" s="8">
        <v>4484</v>
      </c>
      <c r="M820" s="8">
        <v>4446</v>
      </c>
      <c r="N820" s="8">
        <v>4473</v>
      </c>
      <c r="O820" s="8">
        <v>4718</v>
      </c>
      <c r="P820" s="8">
        <v>4493</v>
      </c>
      <c r="Q820" s="8">
        <v>3742</v>
      </c>
      <c r="R820" s="7">
        <f t="shared" si="9"/>
        <v>0.40944918532872254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4.4" hidden="1">
      <c r="A821" s="3">
        <f>LOOKUP(D821,'AMFI DATA_2023H2'!F:L,'AMFI DATA_2023H2'!L:L)</f>
        <v>897</v>
      </c>
      <c r="B821" s="4" t="s">
        <v>2600</v>
      </c>
      <c r="C821" s="4" t="s">
        <v>2601</v>
      </c>
      <c r="D821" s="5" t="s">
        <v>2602</v>
      </c>
      <c r="E821" s="5">
        <v>1783.56</v>
      </c>
      <c r="F821" s="6">
        <f>LOOKUP(D821,'AMFI DATA_2023H2'!F:J,'AMFI DATA_2023H2'!J:J)</f>
        <v>2168.3476000000001</v>
      </c>
      <c r="G821" s="7">
        <f t="shared" si="8"/>
        <v>5.7948458079322585E-2</v>
      </c>
      <c r="H821" s="8">
        <v>2294</v>
      </c>
      <c r="I821" s="8">
        <v>2271</v>
      </c>
      <c r="J821" s="8">
        <v>2269</v>
      </c>
      <c r="K821" s="8">
        <v>2091</v>
      </c>
      <c r="L821" s="8">
        <v>2081</v>
      </c>
      <c r="M821" s="8">
        <v>2043</v>
      </c>
      <c r="N821" s="8">
        <v>2068</v>
      </c>
      <c r="O821" s="8">
        <v>2035</v>
      </c>
      <c r="P821" s="8">
        <v>2035</v>
      </c>
      <c r="Q821" s="8">
        <v>1993</v>
      </c>
      <c r="R821" s="7">
        <f t="shared" si="9"/>
        <v>-2.3219339925019455E-2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4.4" hidden="1">
      <c r="A822" s="3">
        <f>LOOKUP(D822,'AMFI DATA_2023H2'!F:L,'AMFI DATA_2023H2'!L:L)</f>
        <v>1186</v>
      </c>
      <c r="B822" s="4" t="s">
        <v>3311</v>
      </c>
      <c r="C822" s="4" t="s">
        <v>3312</v>
      </c>
      <c r="D822" s="5" t="s">
        <v>3313</v>
      </c>
      <c r="E822" s="5">
        <v>897.98</v>
      </c>
      <c r="F822" s="6">
        <f>LOOKUP(D822,'AMFI DATA_2023H2'!F:J,'AMFI DATA_2023H2'!J:J)</f>
        <v>1077.1323</v>
      </c>
      <c r="G822" s="7">
        <f t="shared" si="8"/>
        <v>-2.5189384813731786E-2</v>
      </c>
      <c r="H822" s="8">
        <v>1050</v>
      </c>
      <c r="I822" s="8">
        <v>1042</v>
      </c>
      <c r="J822" s="8">
        <v>1057</v>
      </c>
      <c r="K822" s="8">
        <v>1067</v>
      </c>
      <c r="L822" s="8">
        <v>1031</v>
      </c>
      <c r="M822" s="8">
        <v>1019</v>
      </c>
      <c r="N822" s="8">
        <v>1020</v>
      </c>
      <c r="O822" s="8">
        <v>1015</v>
      </c>
      <c r="P822" s="8">
        <v>1025</v>
      </c>
      <c r="Q822" s="8">
        <v>1024</v>
      </c>
      <c r="R822" s="7">
        <f t="shared" si="9"/>
        <v>-3.9115250744964136E-2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4.4" hidden="1">
      <c r="A823" s="3">
        <f>LOOKUP(D823,'AMFI DATA_2023H2'!F:L,'AMFI DATA_2023H2'!L:L)</f>
        <v>547</v>
      </c>
      <c r="B823" s="4" t="s">
        <v>1620</v>
      </c>
      <c r="C823" s="4" t="s">
        <v>1621</v>
      </c>
      <c r="D823" s="5" t="s">
        <v>1622</v>
      </c>
      <c r="E823" s="5">
        <v>882.71</v>
      </c>
      <c r="F823" s="6">
        <f>LOOKUP(D823,'AMFI DATA_2023H2'!F:J,'AMFI DATA_2023H2'!J:J)</f>
        <v>6497.5578000000005</v>
      </c>
      <c r="G823" s="7">
        <f t="shared" si="8"/>
        <v>1.1361872302236384</v>
      </c>
      <c r="H823" s="8">
        <v>13880</v>
      </c>
      <c r="I823" s="8">
        <v>13621</v>
      </c>
      <c r="J823" s="8">
        <v>12959</v>
      </c>
      <c r="K823" s="8">
        <v>12195</v>
      </c>
      <c r="L823" s="8">
        <v>12493</v>
      </c>
      <c r="M823" s="8">
        <v>12228</v>
      </c>
      <c r="N823" s="8">
        <v>12435</v>
      </c>
      <c r="O823" s="8">
        <v>12034</v>
      </c>
      <c r="P823" s="8">
        <v>11841</v>
      </c>
      <c r="Q823" s="8">
        <v>11987</v>
      </c>
      <c r="R823" s="7">
        <f t="shared" si="9"/>
        <v>0.93415747682921713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4.4" hidden="1">
      <c r="A824" s="3">
        <f>LOOKUP(D824,'AMFI DATA_2023H2'!F:L,'AMFI DATA_2023H2'!L:L)</f>
        <v>644</v>
      </c>
      <c r="B824" s="4" t="s">
        <v>1890</v>
      </c>
      <c r="C824" s="4" t="s">
        <v>1891</v>
      </c>
      <c r="D824" s="5" t="s">
        <v>1892</v>
      </c>
      <c r="E824" s="5">
        <v>2599.2399999999998</v>
      </c>
      <c r="F824" s="6">
        <f>LOOKUP(D824,'AMFI DATA_2023H2'!F:J,'AMFI DATA_2023H2'!J:J)</f>
        <v>4530.7784499999998</v>
      </c>
      <c r="G824" s="7">
        <f t="shared" si="8"/>
        <v>0.53991197693632542</v>
      </c>
      <c r="H824" s="8">
        <v>6977</v>
      </c>
      <c r="I824" s="8">
        <v>7204</v>
      </c>
      <c r="J824" s="8">
        <v>7064</v>
      </c>
      <c r="K824" s="8">
        <v>7122</v>
      </c>
      <c r="L824" s="8">
        <v>7286</v>
      </c>
      <c r="M824" s="8">
        <v>6946</v>
      </c>
      <c r="N824" s="8">
        <v>6938</v>
      </c>
      <c r="O824" s="8">
        <v>7194</v>
      </c>
      <c r="P824" s="8">
        <v>6905</v>
      </c>
      <c r="Q824" s="8">
        <v>6585</v>
      </c>
      <c r="R824" s="7">
        <f t="shared" si="9"/>
        <v>0.54986611627412518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4.4" hidden="1">
      <c r="A825" s="3">
        <f>LOOKUP(D825,'AMFI DATA_2023H2'!F:L,'AMFI DATA_2023H2'!L:L)</f>
        <v>38</v>
      </c>
      <c r="B825" s="4" t="s">
        <v>120</v>
      </c>
      <c r="C825" s="4" t="s">
        <v>121</v>
      </c>
      <c r="D825" s="5" t="s">
        <v>122</v>
      </c>
      <c r="E825" s="5">
        <v>7016.05</v>
      </c>
      <c r="F825" s="6">
        <f>LOOKUP(D825,'AMFI DATA_2023H2'!F:J,'AMFI DATA_2023H2'!J:J)</f>
        <v>146441.38039999999</v>
      </c>
      <c r="G825" s="7">
        <f t="shared" si="8"/>
        <v>-0.99955750212253536</v>
      </c>
      <c r="H825" s="9">
        <v>64.8</v>
      </c>
      <c r="I825" s="9">
        <v>64.099999999999994</v>
      </c>
      <c r="J825" s="9">
        <v>64.2</v>
      </c>
      <c r="K825" s="9">
        <v>64.099999999999994</v>
      </c>
      <c r="L825" s="9">
        <v>64.599999999999994</v>
      </c>
      <c r="M825" s="9">
        <v>63.7</v>
      </c>
      <c r="N825" s="9">
        <v>64.099999999999994</v>
      </c>
      <c r="O825" s="9">
        <v>65.3</v>
      </c>
      <c r="P825" s="9">
        <v>63.7</v>
      </c>
      <c r="Q825" s="9">
        <v>64.900000000000006</v>
      </c>
      <c r="R825" s="7">
        <f t="shared" si="9"/>
        <v>-0.99956057502446216</v>
      </c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4.4" hidden="1">
      <c r="A826" s="3">
        <f>LOOKUP(D826,'AMFI DATA_2023H2'!F:L,'AMFI DATA_2023H2'!L:L)</f>
        <v>707</v>
      </c>
      <c r="B826" s="4" t="s">
        <v>120</v>
      </c>
      <c r="C826" s="4" t="s">
        <v>2073</v>
      </c>
      <c r="D826" s="5" t="s">
        <v>2074</v>
      </c>
      <c r="E826" s="5">
        <v>2124.84</v>
      </c>
      <c r="F826" s="6">
        <f>LOOKUP(D826,'AMFI DATA_2023H2'!F:J,'AMFI DATA_2023H2'!J:J)</f>
        <v>3771.6407499999996</v>
      </c>
      <c r="G826" s="7">
        <f t="shared" si="8"/>
        <v>0.13425436926886536</v>
      </c>
      <c r="H826" s="8">
        <v>4278</v>
      </c>
      <c r="I826" s="8">
        <v>4199</v>
      </c>
      <c r="J826" s="8">
        <v>4178</v>
      </c>
      <c r="K826" s="8">
        <v>4225</v>
      </c>
      <c r="L826" s="8">
        <v>4278</v>
      </c>
      <c r="M826" s="8">
        <v>4313</v>
      </c>
      <c r="N826" s="8">
        <v>4268</v>
      </c>
      <c r="O826" s="8">
        <v>4369</v>
      </c>
      <c r="P826" s="8">
        <v>4322</v>
      </c>
      <c r="Q826" s="8">
        <v>4313</v>
      </c>
      <c r="R826" s="7">
        <f t="shared" si="9"/>
        <v>0.13327336385364918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4.4" hidden="1">
      <c r="A827" s="3">
        <f>LOOKUP(D827,'AMFI DATA_2023H2'!F:L,'AMFI DATA_2023H2'!L:L)</f>
        <v>758</v>
      </c>
      <c r="B827" s="4" t="s">
        <v>2219</v>
      </c>
      <c r="C827" s="4" t="s">
        <v>2220</v>
      </c>
      <c r="D827" s="5" t="s">
        <v>2221</v>
      </c>
      <c r="E827" s="5">
        <v>2016.15</v>
      </c>
      <c r="F827" s="6">
        <f>LOOKUP(D827,'AMFI DATA_2023H2'!F:J,'AMFI DATA_2023H2'!J:J)</f>
        <v>3252.6066499999997</v>
      </c>
      <c r="G827" s="7">
        <f t="shared" si="8"/>
        <v>0.71216522600419596</v>
      </c>
      <c r="H827" s="8">
        <v>5569</v>
      </c>
      <c r="I827" s="8">
        <v>5560</v>
      </c>
      <c r="J827" s="8">
        <v>5439</v>
      </c>
      <c r="K827" s="8">
        <v>5636</v>
      </c>
      <c r="L827" s="8">
        <v>5255</v>
      </c>
      <c r="M827" s="8">
        <v>4860</v>
      </c>
      <c r="N827" s="8">
        <v>4831</v>
      </c>
      <c r="O827" s="8">
        <v>4909</v>
      </c>
      <c r="P827" s="8">
        <v>5128</v>
      </c>
      <c r="Q827" s="8">
        <v>5179</v>
      </c>
      <c r="R827" s="7">
        <f t="shared" si="9"/>
        <v>0.60997026800028253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4.4" hidden="1">
      <c r="A828" s="3">
        <f>LOOKUP(D828,'AMFI DATA_2023H2'!F:L,'AMFI DATA_2023H2'!L:L)</f>
        <v>532</v>
      </c>
      <c r="B828" s="4" t="s">
        <v>1575</v>
      </c>
      <c r="C828" s="4" t="s">
        <v>1576</v>
      </c>
      <c r="D828" s="5" t="s">
        <v>1577</v>
      </c>
      <c r="E828" s="5">
        <v>4340.01</v>
      </c>
      <c r="F828" s="6">
        <f>LOOKUP(D828,'AMFI DATA_2023H2'!F:J,'AMFI DATA_2023H2'!J:J)</f>
        <v>6798.6299999999992</v>
      </c>
      <c r="G828" s="7">
        <f t="shared" si="8"/>
        <v>0.69754788832455961</v>
      </c>
      <c r="H828" s="8">
        <v>11541</v>
      </c>
      <c r="I828" s="8">
        <v>11651</v>
      </c>
      <c r="J828" s="8">
        <v>10876</v>
      </c>
      <c r="K828" s="8">
        <v>11075</v>
      </c>
      <c r="L828" s="8">
        <v>10095</v>
      </c>
      <c r="M828" s="8">
        <v>9561</v>
      </c>
      <c r="N828" s="8">
        <v>9218</v>
      </c>
      <c r="O828" s="8">
        <v>9458</v>
      </c>
      <c r="P828" s="8">
        <v>9561</v>
      </c>
      <c r="Q828" s="8">
        <v>9081</v>
      </c>
      <c r="R828" s="7">
        <f t="shared" si="9"/>
        <v>0.50202320173329062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4.4" hidden="1">
      <c r="A829" s="3">
        <f>LOOKUP(D829,'AMFI DATA_2023H2'!F:L,'AMFI DATA_2023H2'!L:L)</f>
        <v>646</v>
      </c>
      <c r="B829" s="4" t="s">
        <v>1896</v>
      </c>
      <c r="C829" s="4" t="s">
        <v>1897</v>
      </c>
      <c r="D829" s="5" t="s">
        <v>1898</v>
      </c>
      <c r="E829" s="5">
        <v>4071.97</v>
      </c>
      <c r="F829" s="6">
        <f>LOOKUP(D829,'AMFI DATA_2023H2'!F:J,'AMFI DATA_2023H2'!J:J)</f>
        <v>4497.0684000000001</v>
      </c>
      <c r="G829" s="7">
        <f t="shared" si="8"/>
        <v>-1.558090599644868E-2</v>
      </c>
      <c r="H829" s="8">
        <v>4427</v>
      </c>
      <c r="I829" s="8">
        <v>4425</v>
      </c>
      <c r="J829" s="8">
        <v>4437</v>
      </c>
      <c r="K829" s="8">
        <v>4401</v>
      </c>
      <c r="L829" s="8">
        <v>4459</v>
      </c>
      <c r="M829" s="8">
        <v>4459</v>
      </c>
      <c r="N829" s="8">
        <v>4427</v>
      </c>
      <c r="O829" s="8">
        <v>4367</v>
      </c>
      <c r="P829" s="8">
        <v>4325</v>
      </c>
      <c r="Q829" s="8">
        <v>4307</v>
      </c>
      <c r="R829" s="7">
        <f t="shared" si="9"/>
        <v>-2.0828769248873447E-2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4.4" hidden="1">
      <c r="A830" s="3">
        <f>LOOKUP(D830,'AMFI DATA_2023H2'!F:L,'AMFI DATA_2023H2'!L:L)</f>
        <v>1013</v>
      </c>
      <c r="B830" s="4" t="s">
        <v>2900</v>
      </c>
      <c r="C830" s="4" t="s">
        <v>2901</v>
      </c>
      <c r="D830" s="5" t="s">
        <v>2902</v>
      </c>
      <c r="E830" s="5">
        <v>1114.19</v>
      </c>
      <c r="F830" s="6">
        <f>LOOKUP(D830,'AMFI DATA_2023H2'!F:J,'AMFI DATA_2023H2'!J:J)</f>
        <v>1653.4682</v>
      </c>
      <c r="G830" s="7">
        <f t="shared" si="8"/>
        <v>0.10676455706859067</v>
      </c>
      <c r="H830" s="8">
        <v>1830</v>
      </c>
      <c r="I830" s="8">
        <v>1834</v>
      </c>
      <c r="J830" s="8">
        <v>1838</v>
      </c>
      <c r="K830" s="8">
        <v>1887</v>
      </c>
      <c r="L830" s="8">
        <v>1879</v>
      </c>
      <c r="M830" s="8">
        <v>1882</v>
      </c>
      <c r="N830" s="8">
        <v>1894</v>
      </c>
      <c r="O830" s="8">
        <v>1892</v>
      </c>
      <c r="P830" s="8">
        <v>1909</v>
      </c>
      <c r="Q830" s="8">
        <v>1830</v>
      </c>
      <c r="R830" s="7">
        <f t="shared" si="9"/>
        <v>0.12944415864786518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4.4" hidden="1">
      <c r="A831" s="3">
        <f>LOOKUP(D831,'AMFI DATA_2023H2'!F:L,'AMFI DATA_2023H2'!L:L)</f>
        <v>1143</v>
      </c>
      <c r="B831" s="4" t="s">
        <v>3212</v>
      </c>
      <c r="C831" s="4" t="s">
        <v>3213</v>
      </c>
      <c r="D831" s="5" t="s">
        <v>3214</v>
      </c>
      <c r="E831" s="5">
        <v>717.97</v>
      </c>
      <c r="F831" s="6">
        <f>LOOKUP(D831,'AMFI DATA_2023H2'!F:J,'AMFI DATA_2023H2'!J:J)</f>
        <v>1219.26675</v>
      </c>
      <c r="G831" s="7">
        <f t="shared" si="8"/>
        <v>0.15397225422574667</v>
      </c>
      <c r="H831" s="8">
        <v>1407</v>
      </c>
      <c r="I831" s="8">
        <v>1436</v>
      </c>
      <c r="J831" s="8">
        <v>1369</v>
      </c>
      <c r="K831" s="8">
        <v>1235</v>
      </c>
      <c r="L831" s="8">
        <v>1263</v>
      </c>
      <c r="M831" s="8">
        <v>1154</v>
      </c>
      <c r="N831" s="8">
        <v>1114</v>
      </c>
      <c r="O831" s="8">
        <v>1126</v>
      </c>
      <c r="P831" s="8">
        <v>1129</v>
      </c>
      <c r="Q831" s="8">
        <v>1121</v>
      </c>
      <c r="R831" s="7">
        <f t="shared" si="9"/>
        <v>1.3231928124013859E-2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4.4" hidden="1">
      <c r="A832" s="3">
        <f>LOOKUP(D832,'AMFI DATA_2023H2'!F:L,'AMFI DATA_2023H2'!L:L)</f>
        <v>1385</v>
      </c>
      <c r="B832" s="4" t="s">
        <v>3740</v>
      </c>
      <c r="C832" s="4" t="s">
        <v>3741</v>
      </c>
      <c r="D832" s="5" t="s">
        <v>3742</v>
      </c>
      <c r="E832" s="5">
        <v>537.4</v>
      </c>
      <c r="F832" s="6">
        <f>LOOKUP(D832,'AMFI DATA_2023H2'!F:J,'AMFI DATA_2023H2'!J:J)</f>
        <v>659.75324999999998</v>
      </c>
      <c r="G832" s="7">
        <f t="shared" si="8"/>
        <v>0.13678864029847526</v>
      </c>
      <c r="H832" s="9">
        <v>750</v>
      </c>
      <c r="I832" s="9">
        <v>754</v>
      </c>
      <c r="J832" s="9">
        <v>750</v>
      </c>
      <c r="K832" s="9">
        <v>745</v>
      </c>
      <c r="L832" s="9">
        <v>759</v>
      </c>
      <c r="M832" s="9">
        <v>752</v>
      </c>
      <c r="N832" s="9">
        <v>752</v>
      </c>
      <c r="O832" s="9">
        <v>771</v>
      </c>
      <c r="P832" s="9">
        <v>763</v>
      </c>
      <c r="Q832" s="9">
        <v>744</v>
      </c>
      <c r="R832" s="7">
        <f t="shared" si="9"/>
        <v>0.14285151304673382</v>
      </c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4.4" hidden="1">
      <c r="A833" s="3">
        <f>LOOKUP(D833,'AMFI DATA_2023H2'!F:L,'AMFI DATA_2023H2'!L:L)</f>
        <v>729</v>
      </c>
      <c r="B833" s="4" t="s">
        <v>2132</v>
      </c>
      <c r="C833" s="4" t="s">
        <v>2133</v>
      </c>
      <c r="D833" s="5" t="s">
        <v>2134</v>
      </c>
      <c r="E833" s="5">
        <v>2232.25</v>
      </c>
      <c r="F833" s="6">
        <f>LOOKUP(D833,'AMFI DATA_2023H2'!F:J,'AMFI DATA_2023H2'!J:J)</f>
        <v>3521.2194</v>
      </c>
      <c r="G833" s="7">
        <f t="shared" si="8"/>
        <v>0.36628805350782745</v>
      </c>
      <c r="H833" s="8">
        <v>4811</v>
      </c>
      <c r="I833" s="8">
        <v>4821</v>
      </c>
      <c r="J833" s="8">
        <v>4711</v>
      </c>
      <c r="K833" s="8">
        <v>4724</v>
      </c>
      <c r="L833" s="8">
        <v>4753</v>
      </c>
      <c r="M833" s="8">
        <v>4535</v>
      </c>
      <c r="N833" s="8">
        <v>4488</v>
      </c>
      <c r="O833" s="8">
        <v>4564</v>
      </c>
      <c r="P833" s="8">
        <v>4485</v>
      </c>
      <c r="Q833" s="8">
        <v>4603</v>
      </c>
      <c r="R833" s="7">
        <f t="shared" si="9"/>
        <v>0.32042326019219369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4.4" hidden="1">
      <c r="A834" s="3">
        <f>LOOKUP(D834,'AMFI DATA_2023H2'!F:L,'AMFI DATA_2023H2'!L:L)</f>
        <v>1778</v>
      </c>
      <c r="B834" s="4" t="s">
        <v>4445</v>
      </c>
      <c r="C834" s="4" t="s">
        <v>4446</v>
      </c>
      <c r="D834" s="5" t="s">
        <v>4447</v>
      </c>
      <c r="E834" s="5">
        <v>259.06</v>
      </c>
      <c r="F834" s="6">
        <f>LOOKUP(D834,'AMFI DATA_2023H2'!F:J,'AMFI DATA_2023H2'!J:J)</f>
        <v>283.71299999999997</v>
      </c>
      <c r="G834" s="7">
        <f t="shared" si="8"/>
        <v>0.13142506688096778</v>
      </c>
      <c r="H834" s="9">
        <v>321</v>
      </c>
      <c r="I834" s="9">
        <v>313</v>
      </c>
      <c r="J834" s="9">
        <v>309</v>
      </c>
      <c r="K834" s="9">
        <v>319</v>
      </c>
      <c r="L834" s="9">
        <v>318</v>
      </c>
      <c r="M834" s="9">
        <v>306</v>
      </c>
      <c r="N834" s="9">
        <v>307</v>
      </c>
      <c r="O834" s="9">
        <v>310</v>
      </c>
      <c r="P834" s="9">
        <v>320</v>
      </c>
      <c r="Q834" s="9">
        <v>320</v>
      </c>
      <c r="R834" s="7">
        <f t="shared" si="9"/>
        <v>0.10780965271242438</v>
      </c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4.4" hidden="1">
      <c r="A835" s="3">
        <f>LOOKUP(D835,'AMFI DATA_2023H2'!F:L,'AMFI DATA_2023H2'!L:L)</f>
        <v>253</v>
      </c>
      <c r="B835" s="4" t="s">
        <v>765</v>
      </c>
      <c r="C835" s="4" t="s">
        <v>766</v>
      </c>
      <c r="D835" s="5" t="s">
        <v>767</v>
      </c>
      <c r="E835" s="5">
        <v>15832.36</v>
      </c>
      <c r="F835" s="6">
        <f>LOOKUP(D835,'AMFI DATA_2023H2'!F:J,'AMFI DATA_2023H2'!J:J)</f>
        <v>21606.068749999999</v>
      </c>
      <c r="G835" s="7">
        <f t="shared" si="8"/>
        <v>0.21289996358083418</v>
      </c>
      <c r="H835" s="8">
        <v>26206</v>
      </c>
      <c r="I835" s="8">
        <v>25719</v>
      </c>
      <c r="J835" s="8">
        <v>26342</v>
      </c>
      <c r="K835" s="8">
        <v>25379</v>
      </c>
      <c r="L835" s="8">
        <v>25005</v>
      </c>
      <c r="M835" s="8">
        <v>25185</v>
      </c>
      <c r="N835" s="8">
        <v>24813</v>
      </c>
      <c r="O835" s="8">
        <v>25173</v>
      </c>
      <c r="P835" s="8">
        <v>25069</v>
      </c>
      <c r="Q835" s="8">
        <v>25099</v>
      </c>
      <c r="R835" s="7">
        <f t="shared" si="9"/>
        <v>0.17554934652330045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4.4" hidden="1">
      <c r="A836" s="3">
        <f>LOOKUP(D836,'AMFI DATA_2023H2'!F:L,'AMFI DATA_2023H2'!L:L)</f>
        <v>305</v>
      </c>
      <c r="B836" s="4" t="s">
        <v>924</v>
      </c>
      <c r="C836" s="4" t="s">
        <v>925</v>
      </c>
      <c r="D836" s="5" t="s">
        <v>926</v>
      </c>
      <c r="E836" s="5">
        <v>8314.08</v>
      </c>
      <c r="F836" s="6">
        <f>LOOKUP(D836,'AMFI DATA_2023H2'!F:J,'AMFI DATA_2023H2'!J:J)</f>
        <v>15986.46315</v>
      </c>
      <c r="G836" s="7">
        <f t="shared" si="8"/>
        <v>0.25712609546158438</v>
      </c>
      <c r="H836" s="8">
        <v>20097</v>
      </c>
      <c r="I836" s="8">
        <v>19883</v>
      </c>
      <c r="J836" s="8">
        <v>19806</v>
      </c>
      <c r="K836" s="8">
        <v>20360</v>
      </c>
      <c r="L836" s="8">
        <v>19155</v>
      </c>
      <c r="M836" s="8">
        <v>17334</v>
      </c>
      <c r="N836" s="8">
        <v>16509</v>
      </c>
      <c r="O836" s="8">
        <v>16797</v>
      </c>
      <c r="P836" s="8">
        <v>17024</v>
      </c>
      <c r="Q836" s="8">
        <v>17017</v>
      </c>
      <c r="R836" s="7">
        <f t="shared" si="9"/>
        <v>0.15086118970599194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4.4" hidden="1">
      <c r="A837" s="3">
        <f>LOOKUP(D837,'AMFI DATA_2023H2'!F:L,'AMFI DATA_2023H2'!L:L)</f>
        <v>1393</v>
      </c>
      <c r="B837" s="4" t="s">
        <v>3761</v>
      </c>
      <c r="C837" s="4" t="s">
        <v>3762</v>
      </c>
      <c r="D837" s="5" t="s">
        <v>3763</v>
      </c>
      <c r="E837" s="5">
        <v>706.36</v>
      </c>
      <c r="F837" s="6">
        <f>LOOKUP(D837,'AMFI DATA_2023H2'!F:J,'AMFI DATA_2023H2'!J:J)</f>
        <v>649.34465</v>
      </c>
      <c r="G837" s="7">
        <f t="shared" si="8"/>
        <v>2.1029433290934207E-2</v>
      </c>
      <c r="H837" s="9">
        <v>663</v>
      </c>
      <c r="I837" s="9">
        <v>665</v>
      </c>
      <c r="J837" s="9">
        <v>667</v>
      </c>
      <c r="K837" s="9">
        <v>658</v>
      </c>
      <c r="L837" s="9">
        <v>654</v>
      </c>
      <c r="M837" s="9">
        <v>657</v>
      </c>
      <c r="N837" s="9">
        <v>649</v>
      </c>
      <c r="O837" s="9">
        <v>666</v>
      </c>
      <c r="P837" s="9">
        <v>682</v>
      </c>
      <c r="Q837" s="9">
        <v>665</v>
      </c>
      <c r="R837" s="7">
        <f t="shared" si="9"/>
        <v>2.0413427599657696E-2</v>
      </c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4.4" hidden="1">
      <c r="A838" s="3">
        <f>LOOKUP(D838,'AMFI DATA_2023H2'!F:L,'AMFI DATA_2023H2'!L:L)</f>
        <v>2808</v>
      </c>
      <c r="B838" s="4" t="s">
        <v>5467</v>
      </c>
      <c r="C838" s="4" t="s">
        <v>5468</v>
      </c>
      <c r="D838" s="5" t="s">
        <v>5469</v>
      </c>
      <c r="E838" s="5">
        <v>60.67</v>
      </c>
      <c r="F838" s="6">
        <f>LOOKUP(D838,'AMFI DATA_2023H2'!F:J,'AMFI DATA_2023H2'!J:J)</f>
        <v>50.922250000000005</v>
      </c>
      <c r="G838" s="7">
        <f t="shared" si="8"/>
        <v>0.25485421402235753</v>
      </c>
      <c r="H838" s="9">
        <v>63.9</v>
      </c>
      <c r="I838" s="9">
        <v>64.7</v>
      </c>
      <c r="J838" s="9">
        <v>59.5</v>
      </c>
      <c r="K838" s="9">
        <v>59.1</v>
      </c>
      <c r="L838" s="9">
        <v>59.2</v>
      </c>
      <c r="M838" s="9">
        <v>59.2</v>
      </c>
      <c r="N838" s="9">
        <v>59.4</v>
      </c>
      <c r="O838" s="9">
        <v>61</v>
      </c>
      <c r="P838" s="9">
        <v>60.2</v>
      </c>
      <c r="Q838" s="9">
        <v>62.4</v>
      </c>
      <c r="R838" s="7">
        <f t="shared" si="9"/>
        <v>0.19515535939594164</v>
      </c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4.4" hidden="1">
      <c r="A839" s="3">
        <f>LOOKUP(D839,'AMFI DATA_2023H2'!F:L,'AMFI DATA_2023H2'!L:L)</f>
        <v>2111</v>
      </c>
      <c r="B839" s="4" t="s">
        <v>4895</v>
      </c>
      <c r="C839" s="4" t="s">
        <v>4896</v>
      </c>
      <c r="D839" s="5" t="s">
        <v>4897</v>
      </c>
      <c r="E839" s="5">
        <v>118.81</v>
      </c>
      <c r="F839" s="6">
        <f>LOOKUP(D839,'AMFI DATA_2023H2'!F:J,'AMFI DATA_2023H2'!J:J)</f>
        <v>155.5478</v>
      </c>
      <c r="G839" s="7">
        <f t="shared" si="8"/>
        <v>9.2911632308525061E-2</v>
      </c>
      <c r="H839" s="9">
        <v>170</v>
      </c>
      <c r="I839" s="9">
        <v>171</v>
      </c>
      <c r="J839" s="9">
        <v>169</v>
      </c>
      <c r="K839" s="9">
        <v>169</v>
      </c>
      <c r="L839" s="9">
        <v>163</v>
      </c>
      <c r="M839" s="9">
        <v>166</v>
      </c>
      <c r="N839" s="9">
        <v>171</v>
      </c>
      <c r="O839" s="9">
        <v>164</v>
      </c>
      <c r="P839" s="9">
        <v>169</v>
      </c>
      <c r="Q839" s="9">
        <v>167</v>
      </c>
      <c r="R839" s="7">
        <f t="shared" si="9"/>
        <v>7.9410959203537468E-2</v>
      </c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4.4" hidden="1">
      <c r="A840" s="3">
        <f>LOOKUP(D840,'AMFI DATA_2023H2'!F:L,'AMFI DATA_2023H2'!L:L)</f>
        <v>999</v>
      </c>
      <c r="B840" s="4" t="s">
        <v>2858</v>
      </c>
      <c r="C840" s="4" t="s">
        <v>2859</v>
      </c>
      <c r="D840" s="5" t="s">
        <v>2860</v>
      </c>
      <c r="E840" s="5">
        <v>847.32</v>
      </c>
      <c r="F840" s="6">
        <f>LOOKUP(D840,'AMFI DATA_2023H2'!F:J,'AMFI DATA_2023H2'!J:J)</f>
        <v>1718.1693500000001</v>
      </c>
      <c r="G840" s="7">
        <f t="shared" si="8"/>
        <v>0.25831600942014243</v>
      </c>
      <c r="H840" s="8">
        <v>2162</v>
      </c>
      <c r="I840" s="8">
        <v>2141</v>
      </c>
      <c r="J840" s="8">
        <v>2141</v>
      </c>
      <c r="K840" s="8">
        <v>2121</v>
      </c>
      <c r="L840" s="8">
        <v>2190</v>
      </c>
      <c r="M840" s="8">
        <v>2133</v>
      </c>
      <c r="N840" s="8">
        <v>2123</v>
      </c>
      <c r="O840" s="8">
        <v>2208</v>
      </c>
      <c r="P840" s="8">
        <v>2191</v>
      </c>
      <c r="Q840" s="8">
        <v>2234</v>
      </c>
      <c r="R840" s="7">
        <f t="shared" si="9"/>
        <v>0.25971284495326374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4.4" hidden="1">
      <c r="A841" s="3">
        <f>LOOKUP(D841,'AMFI DATA_2023H2'!F:L,'AMFI DATA_2023H2'!L:L)</f>
        <v>1487</v>
      </c>
      <c r="B841" s="4" t="s">
        <v>3932</v>
      </c>
      <c r="C841" s="4" t="s">
        <v>3933</v>
      </c>
      <c r="D841" s="5" t="s">
        <v>3934</v>
      </c>
      <c r="E841" s="5">
        <v>339.96</v>
      </c>
      <c r="F841" s="6">
        <f>LOOKUP(D841,'AMFI DATA_2023H2'!F:J,'AMFI DATA_2023H2'!J:J)</f>
        <v>526.80754999999999</v>
      </c>
      <c r="G841" s="7">
        <f t="shared" si="8"/>
        <v>0.23954184027924441</v>
      </c>
      <c r="H841" s="9">
        <v>653</v>
      </c>
      <c r="I841" s="9">
        <v>655</v>
      </c>
      <c r="J841" s="9">
        <v>639</v>
      </c>
      <c r="K841" s="9">
        <v>637</v>
      </c>
      <c r="L841" s="9">
        <v>616</v>
      </c>
      <c r="M841" s="9">
        <v>613</v>
      </c>
      <c r="N841" s="9">
        <v>610</v>
      </c>
      <c r="O841" s="9">
        <v>616</v>
      </c>
      <c r="P841" s="9">
        <v>619</v>
      </c>
      <c r="Q841" s="9">
        <v>627</v>
      </c>
      <c r="R841" s="7">
        <f t="shared" si="9"/>
        <v>0.19303529343875203</v>
      </c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4.4" hidden="1">
      <c r="A842" s="3">
        <f>LOOKUP(D842,'AMFI DATA_2023H2'!F:L,'AMFI DATA_2023H2'!L:L)</f>
        <v>803</v>
      </c>
      <c r="B842" s="4" t="s">
        <v>2333</v>
      </c>
      <c r="C842" s="4" t="s">
        <v>2334</v>
      </c>
      <c r="D842" s="5" t="s">
        <v>2335</v>
      </c>
      <c r="E842" s="5">
        <v>2850.34</v>
      </c>
      <c r="F842" s="6">
        <f>LOOKUP(D842,'AMFI DATA_2023H2'!F:J,'AMFI DATA_2023H2'!J:J)</f>
        <v>2845.0379000000003</v>
      </c>
      <c r="G842" s="7">
        <f t="shared" si="8"/>
        <v>4.3571335200841999E-2</v>
      </c>
      <c r="H842" s="8">
        <v>2969</v>
      </c>
      <c r="I842" s="8">
        <v>2910</v>
      </c>
      <c r="J842" s="8">
        <v>2849</v>
      </c>
      <c r="K842" s="8">
        <v>2868</v>
      </c>
      <c r="L842" s="8">
        <v>2880</v>
      </c>
      <c r="M842" s="8">
        <v>2781</v>
      </c>
      <c r="N842" s="8">
        <v>2793</v>
      </c>
      <c r="O842" s="8">
        <v>2780</v>
      </c>
      <c r="P842" s="8">
        <v>2739</v>
      </c>
      <c r="Q842" s="8">
        <v>2722</v>
      </c>
      <c r="R842" s="7">
        <f t="shared" si="9"/>
        <v>-5.6019991860215557E-3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4.4" hidden="1">
      <c r="A843" s="3">
        <f>LOOKUP(D843,'AMFI DATA_2023H2'!F:L,'AMFI DATA_2023H2'!L:L)</f>
        <v>1423</v>
      </c>
      <c r="B843" s="4" t="s">
        <v>3818</v>
      </c>
      <c r="C843" s="4" t="s">
        <v>3819</v>
      </c>
      <c r="D843" s="5" t="s">
        <v>3820</v>
      </c>
      <c r="E843" s="5">
        <v>534.46</v>
      </c>
      <c r="F843" s="6">
        <f>LOOKUP(D843,'AMFI DATA_2023H2'!F:J,'AMFI DATA_2023H2'!J:J)</f>
        <v>614.79330000000004</v>
      </c>
      <c r="G843" s="7">
        <f t="shared" si="8"/>
        <v>8.0037794816566699E-2</v>
      </c>
      <c r="H843" s="9">
        <v>664</v>
      </c>
      <c r="I843" s="9">
        <v>680</v>
      </c>
      <c r="J843" s="9">
        <v>670</v>
      </c>
      <c r="K843" s="9">
        <v>673</v>
      </c>
      <c r="L843" s="9">
        <v>654</v>
      </c>
      <c r="M843" s="9">
        <v>654</v>
      </c>
      <c r="N843" s="9">
        <v>652</v>
      </c>
      <c r="O843" s="9">
        <v>656</v>
      </c>
      <c r="P843" s="9">
        <v>657</v>
      </c>
      <c r="Q843" s="9">
        <v>657</v>
      </c>
      <c r="R843" s="7">
        <f t="shared" si="9"/>
        <v>7.6296700045364929E-2</v>
      </c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4.4" hidden="1">
      <c r="A844" s="3">
        <f>LOOKUP(D844,'AMFI DATA_2023H2'!F:L,'AMFI DATA_2023H2'!L:L)</f>
        <v>360</v>
      </c>
      <c r="B844" s="4" t="s">
        <v>1086</v>
      </c>
      <c r="C844" s="4" t="s">
        <v>1087</v>
      </c>
      <c r="D844" s="5" t="s">
        <v>1088</v>
      </c>
      <c r="E844" s="5">
        <v>5312.09</v>
      </c>
      <c r="F844" s="6">
        <f>LOOKUP(D844,'AMFI DATA_2023H2'!F:J,'AMFI DATA_2023H2'!J:J)</f>
        <v>12175.841899999999</v>
      </c>
      <c r="G844" s="7">
        <f t="shared" si="8"/>
        <v>0.17823474695413055</v>
      </c>
      <c r="H844" s="8">
        <v>14346</v>
      </c>
      <c r="I844" s="8">
        <v>14315</v>
      </c>
      <c r="J844" s="8">
        <v>14384</v>
      </c>
      <c r="K844" s="8">
        <v>14157</v>
      </c>
      <c r="L844" s="8">
        <v>13494</v>
      </c>
      <c r="M844" s="8">
        <v>13235</v>
      </c>
      <c r="N844" s="8">
        <v>13120</v>
      </c>
      <c r="O844" s="8">
        <v>13204</v>
      </c>
      <c r="P844" s="8">
        <v>13502</v>
      </c>
      <c r="Q844" s="8">
        <v>13570</v>
      </c>
      <c r="R844" s="7">
        <f t="shared" si="9"/>
        <v>0.12786451341816463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4.4" hidden="1">
      <c r="A845" s="3">
        <f>LOOKUP(D845,'AMFI DATA_2023H2'!F:L,'AMFI DATA_2023H2'!L:L)</f>
        <v>167</v>
      </c>
      <c r="B845" s="4" t="s">
        <v>510</v>
      </c>
      <c r="C845" s="4" t="s">
        <v>511</v>
      </c>
      <c r="D845" s="5" t="s">
        <v>512</v>
      </c>
      <c r="E845" s="5">
        <v>18441.79</v>
      </c>
      <c r="F845" s="6">
        <f>LOOKUP(D845,'AMFI DATA_2023H2'!F:J,'AMFI DATA_2023H2'!J:J)</f>
        <v>37726.519899999999</v>
      </c>
      <c r="G845" s="7">
        <f t="shared" si="8"/>
        <v>0.33118559923148383</v>
      </c>
      <c r="H845" s="8">
        <v>50221</v>
      </c>
      <c r="I845" s="8">
        <v>49521</v>
      </c>
      <c r="J845" s="8">
        <v>49151</v>
      </c>
      <c r="K845" s="8">
        <v>48941</v>
      </c>
      <c r="L845" s="8">
        <v>47216</v>
      </c>
      <c r="M845" s="8">
        <v>47142</v>
      </c>
      <c r="N845" s="8">
        <v>46816</v>
      </c>
      <c r="O845" s="8">
        <v>45989</v>
      </c>
      <c r="P845" s="8">
        <v>45911</v>
      </c>
      <c r="Q845" s="8">
        <v>45215</v>
      </c>
      <c r="R845" s="7">
        <f t="shared" si="9"/>
        <v>0.26203795436747934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4.4" hidden="1">
      <c r="A846" s="3">
        <f>LOOKUP(D846,'AMFI DATA_2023H2'!F:L,'AMFI DATA_2023H2'!L:L)</f>
        <v>96</v>
      </c>
      <c r="B846" s="4" t="s">
        <v>300</v>
      </c>
      <c r="C846" s="4" t="s">
        <v>301</v>
      </c>
      <c r="D846" s="5" t="s">
        <v>302</v>
      </c>
      <c r="E846" s="5">
        <v>57937.91</v>
      </c>
      <c r="F846" s="6">
        <f>LOOKUP(D846,'AMFI DATA_2023H2'!F:J,'AMFI DATA_2023H2'!J:J)</f>
        <v>68263.759649999993</v>
      </c>
      <c r="G846" s="7">
        <f t="shared" si="8"/>
        <v>9.9075122505357216E-2</v>
      </c>
      <c r="H846" s="8">
        <v>75027</v>
      </c>
      <c r="I846" s="8">
        <v>75991</v>
      </c>
      <c r="J846" s="8">
        <v>74650</v>
      </c>
      <c r="K846" s="8">
        <v>75854</v>
      </c>
      <c r="L846" s="8">
        <v>75808</v>
      </c>
      <c r="M846" s="8">
        <v>76277</v>
      </c>
      <c r="N846" s="8">
        <v>75145</v>
      </c>
      <c r="O846" s="8">
        <v>74803</v>
      </c>
      <c r="P846" s="8">
        <v>74390</v>
      </c>
      <c r="Q846" s="8">
        <v>74099</v>
      </c>
      <c r="R846" s="7">
        <f t="shared" si="9"/>
        <v>0.10167386598080519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4.4" hidden="1">
      <c r="A847" s="3">
        <f>LOOKUP(D847,'AMFI DATA_2023H2'!F:L,'AMFI DATA_2023H2'!L:L)</f>
        <v>524</v>
      </c>
      <c r="B847" s="4" t="s">
        <v>1557</v>
      </c>
      <c r="C847" s="4" t="s">
        <v>1558</v>
      </c>
      <c r="D847" s="5" t="s">
        <v>1559</v>
      </c>
      <c r="E847" s="5">
        <v>7016.05</v>
      </c>
      <c r="F847" s="6">
        <f>LOOKUP(D847,'AMFI DATA_2023H2'!F:J,'AMFI DATA_2023H2'!J:J)</f>
        <v>6985.59645</v>
      </c>
      <c r="G847" s="7">
        <f t="shared" si="8"/>
        <v>-0.10487242646259642</v>
      </c>
      <c r="H847" s="8">
        <v>6253</v>
      </c>
      <c r="I847" s="8">
        <v>6284</v>
      </c>
      <c r="J847" s="8">
        <v>6201</v>
      </c>
      <c r="K847" s="8">
        <v>6199</v>
      </c>
      <c r="L847" s="8">
        <v>6276</v>
      </c>
      <c r="M847" s="8">
        <v>6106</v>
      </c>
      <c r="N847" s="8">
        <v>5956</v>
      </c>
      <c r="O847" s="8">
        <v>6084</v>
      </c>
      <c r="P847" s="8">
        <v>6108</v>
      </c>
      <c r="Q847" s="8">
        <v>6126</v>
      </c>
      <c r="R847" s="7">
        <f t="shared" si="9"/>
        <v>-0.11828574065425723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4.4" hidden="1">
      <c r="A848" s="3">
        <f>LOOKUP(D848,'AMFI DATA_2023H2'!F:L,'AMFI DATA_2023H2'!L:L)</f>
        <v>38</v>
      </c>
      <c r="B848" s="4" t="s">
        <v>123</v>
      </c>
      <c r="C848" s="4" t="s">
        <v>124</v>
      </c>
      <c r="D848" s="5" t="s">
        <v>125</v>
      </c>
      <c r="E848" s="5">
        <v>7016.05</v>
      </c>
      <c r="F848" s="6">
        <f>LOOKUP(D848,'AMFI DATA_2023H2'!F:J,'AMFI DATA_2023H2'!J:J)</f>
        <v>146441.38039999999</v>
      </c>
      <c r="G848" s="7">
        <f t="shared" si="8"/>
        <v>5.706460549043002E-2</v>
      </c>
      <c r="H848" s="8">
        <v>154798</v>
      </c>
      <c r="I848" s="8">
        <v>153368</v>
      </c>
      <c r="J848" s="8">
        <v>148953</v>
      </c>
      <c r="K848" s="8">
        <v>149493</v>
      </c>
      <c r="L848" s="8">
        <v>149048</v>
      </c>
      <c r="M848" s="8">
        <v>148063</v>
      </c>
      <c r="N848" s="8">
        <v>148254</v>
      </c>
      <c r="O848" s="8">
        <v>148667</v>
      </c>
      <c r="P848" s="8">
        <v>149112</v>
      </c>
      <c r="Q848" s="8">
        <v>150414</v>
      </c>
      <c r="R848" s="7">
        <f t="shared" si="9"/>
        <v>2.4416729685511784E-2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4.4" hidden="1">
      <c r="A849" s="3">
        <f>LOOKUP(D849,'AMFI DATA_2023H2'!F:L,'AMFI DATA_2023H2'!L:L)</f>
        <v>1096</v>
      </c>
      <c r="B849" s="4" t="s">
        <v>3104</v>
      </c>
      <c r="C849" s="4" t="s">
        <v>3105</v>
      </c>
      <c r="D849" s="5" t="s">
        <v>3106</v>
      </c>
      <c r="E849" s="5">
        <v>402.79</v>
      </c>
      <c r="F849" s="6">
        <f>LOOKUP(D849,'AMFI DATA_2023H2'!F:J,'AMFI DATA_2023H2'!J:J)</f>
        <v>1335.5812999999998</v>
      </c>
      <c r="G849" s="7">
        <f t="shared" si="8"/>
        <v>7.8930949392598038E-2</v>
      </c>
      <c r="H849" s="8">
        <v>1441</v>
      </c>
      <c r="I849" s="8">
        <v>1464</v>
      </c>
      <c r="J849" s="8">
        <v>1480</v>
      </c>
      <c r="K849" s="8">
        <v>1470</v>
      </c>
      <c r="L849" s="8">
        <v>1478</v>
      </c>
      <c r="M849" s="8">
        <v>1436</v>
      </c>
      <c r="N849" s="8">
        <v>1374</v>
      </c>
      <c r="O849" s="8">
        <v>1351</v>
      </c>
      <c r="P849" s="8">
        <v>1348</v>
      </c>
      <c r="Q849" s="8">
        <v>1362</v>
      </c>
      <c r="R849" s="7">
        <f t="shared" si="9"/>
        <v>6.350695386346028E-2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4.4" hidden="1">
      <c r="A850" s="3">
        <f>LOOKUP(D850,'AMFI DATA_2023H2'!F:L,'AMFI DATA_2023H2'!L:L)</f>
        <v>221</v>
      </c>
      <c r="B850" s="4" t="s">
        <v>672</v>
      </c>
      <c r="C850" s="4" t="s">
        <v>673</v>
      </c>
      <c r="D850" s="5" t="s">
        <v>674</v>
      </c>
      <c r="E850" s="5">
        <v>22855.09</v>
      </c>
      <c r="F850" s="6">
        <f>LOOKUP(D850,'AMFI DATA_2023H2'!F:J,'AMFI DATA_2023H2'!J:J)</f>
        <v>25948.6204</v>
      </c>
      <c r="G850" s="7">
        <f t="shared" si="8"/>
        <v>0.16410813115906531</v>
      </c>
      <c r="H850" s="8">
        <v>30207</v>
      </c>
      <c r="I850" s="8">
        <v>30135</v>
      </c>
      <c r="J850" s="8">
        <v>29597</v>
      </c>
      <c r="K850" s="8">
        <v>29851</v>
      </c>
      <c r="L850" s="8">
        <v>29357</v>
      </c>
      <c r="M850" s="8">
        <v>29215</v>
      </c>
      <c r="N850" s="8">
        <v>29188</v>
      </c>
      <c r="O850" s="8">
        <v>29185</v>
      </c>
      <c r="P850" s="8">
        <v>29093</v>
      </c>
      <c r="Q850" s="8">
        <v>29224</v>
      </c>
      <c r="R850" s="7">
        <f t="shared" si="9"/>
        <v>0.13706237731236004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4.4">
      <c r="A851" s="3">
        <f>LOOKUP(D851,'AMFI DATA_2023H2'!F:L,'AMFI DATA_2023H2'!L:L)</f>
        <v>459</v>
      </c>
      <c r="B851" s="4" t="s">
        <v>1368</v>
      </c>
      <c r="C851" s="4" t="s">
        <v>1369</v>
      </c>
      <c r="D851" s="5" t="s">
        <v>1370</v>
      </c>
      <c r="E851" s="5">
        <v>8750.9599999999991</v>
      </c>
      <c r="F851" s="6">
        <f>LOOKUP(D851,'AMFI DATA_2023H2'!F:J,'AMFI DATA_2023H2'!J:J)</f>
        <v>8438.5986499999999</v>
      </c>
      <c r="G851" s="7">
        <f t="shared" si="8"/>
        <v>0.22295187009516093</v>
      </c>
      <c r="H851" s="8">
        <v>10320</v>
      </c>
      <c r="I851" s="8">
        <v>10522</v>
      </c>
      <c r="J851" s="8">
        <v>10372</v>
      </c>
      <c r="K851" s="8">
        <v>10484</v>
      </c>
      <c r="L851" s="8">
        <v>10546</v>
      </c>
      <c r="M851" s="8">
        <v>10614</v>
      </c>
      <c r="N851" s="8">
        <v>10600</v>
      </c>
      <c r="O851" s="8">
        <v>10403</v>
      </c>
      <c r="P851" s="8">
        <v>10426</v>
      </c>
      <c r="Q851" s="8">
        <v>10238</v>
      </c>
      <c r="R851" s="14">
        <f t="shared" si="9"/>
        <v>0.23865352928000672</v>
      </c>
      <c r="S851" s="8"/>
      <c r="T851" s="8">
        <v>879.95</v>
      </c>
      <c r="U851" s="15">
        <f ca="1">IFERROR(__xludf.DUMMYFUNCTION("GOOGLEFINANCE(C851,""PRICE"")"),890)</f>
        <v>890</v>
      </c>
      <c r="V851" s="13" t="s">
        <v>5787</v>
      </c>
      <c r="W851" s="7">
        <f ca="1">U851/T851-1</f>
        <v>1.1421103471788152E-2</v>
      </c>
      <c r="X851" s="8"/>
      <c r="Y851" s="8"/>
      <c r="Z851" s="8"/>
      <c r="AA851" s="8"/>
      <c r="AB851" s="8"/>
    </row>
    <row r="852" spans="1:28" ht="14.4" hidden="1">
      <c r="A852" s="3">
        <f>LOOKUP(D852,'AMFI DATA_2023H2'!F:L,'AMFI DATA_2023H2'!L:L)</f>
        <v>553</v>
      </c>
      <c r="B852" s="4" t="s">
        <v>1638</v>
      </c>
      <c r="C852" s="4" t="s">
        <v>1639</v>
      </c>
      <c r="D852" s="5" t="s">
        <v>1640</v>
      </c>
      <c r="E852" s="5">
        <v>6342.64</v>
      </c>
      <c r="F852" s="6">
        <f>LOOKUP(D852,'AMFI DATA_2023H2'!F:J,'AMFI DATA_2023H2'!J:J)</f>
        <v>6232.0686000000005</v>
      </c>
      <c r="G852" s="7">
        <f t="shared" si="8"/>
        <v>7.893549182048476E-2</v>
      </c>
      <c r="H852" s="8">
        <v>6724</v>
      </c>
      <c r="I852" s="8">
        <v>6791</v>
      </c>
      <c r="J852" s="8">
        <v>6744</v>
      </c>
      <c r="K852" s="8">
        <v>6727</v>
      </c>
      <c r="L852" s="8">
        <v>6862</v>
      </c>
      <c r="M852" s="8">
        <v>6899</v>
      </c>
      <c r="N852" s="8">
        <v>6949</v>
      </c>
      <c r="O852" s="8">
        <v>6990</v>
      </c>
      <c r="P852" s="8">
        <v>6687</v>
      </c>
      <c r="Q852" s="8">
        <v>6594</v>
      </c>
      <c r="R852" s="7">
        <f t="shared" si="9"/>
        <v>9.0600960329608515E-2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4.4" hidden="1">
      <c r="A853" s="3">
        <f>LOOKUP(D853,'AMFI DATA_2023H2'!F:L,'AMFI DATA_2023H2'!L:L)</f>
        <v>498</v>
      </c>
      <c r="B853" s="4" t="s">
        <v>1479</v>
      </c>
      <c r="C853" s="4" t="s">
        <v>1480</v>
      </c>
      <c r="D853" s="5" t="s">
        <v>1481</v>
      </c>
      <c r="E853" s="5">
        <v>4262.38</v>
      </c>
      <c r="F853" s="6">
        <f>LOOKUP(D853,'AMFI DATA_2023H2'!F:J,'AMFI DATA_2023H2'!J:J)</f>
        <v>7338.1307999999999</v>
      </c>
      <c r="G853" s="7">
        <f t="shared" si="8"/>
        <v>0.39626837940800952</v>
      </c>
      <c r="H853" s="8">
        <v>10246</v>
      </c>
      <c r="I853" s="8">
        <v>10370</v>
      </c>
      <c r="J853" s="8">
        <v>10347</v>
      </c>
      <c r="K853" s="8">
        <v>10419</v>
      </c>
      <c r="L853" s="8">
        <v>10253</v>
      </c>
      <c r="M853" s="8">
        <v>9784</v>
      </c>
      <c r="N853" s="8">
        <v>9470</v>
      </c>
      <c r="O853" s="8">
        <v>9278</v>
      </c>
      <c r="P853" s="8">
        <v>9288</v>
      </c>
      <c r="Q853" s="8">
        <v>9438</v>
      </c>
      <c r="R853" s="7">
        <f t="shared" si="9"/>
        <v>0.3476592703962158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4.4" hidden="1">
      <c r="A854" s="3">
        <f>LOOKUP(D854,'AMFI DATA_2023H2'!F:L,'AMFI DATA_2023H2'!L:L)</f>
        <v>473</v>
      </c>
      <c r="B854" s="4" t="s">
        <v>1407</v>
      </c>
      <c r="C854" s="4" t="s">
        <v>1408</v>
      </c>
      <c r="D854" s="5" t="s">
        <v>1409</v>
      </c>
      <c r="E854" s="5">
        <v>6332.41</v>
      </c>
      <c r="F854" s="6">
        <f>LOOKUP(D854,'AMFI DATA_2023H2'!F:J,'AMFI DATA_2023H2'!J:J)</f>
        <v>7968.1293999999998</v>
      </c>
      <c r="G854" s="7">
        <f t="shared" si="8"/>
        <v>0.21207870946473339</v>
      </c>
      <c r="H854" s="8">
        <v>9658</v>
      </c>
      <c r="I854" s="8">
        <v>9804</v>
      </c>
      <c r="J854" s="8">
        <v>9668</v>
      </c>
      <c r="K854" s="8">
        <v>9546</v>
      </c>
      <c r="L854" s="8">
        <v>9544</v>
      </c>
      <c r="M854" s="8">
        <v>9383</v>
      </c>
      <c r="N854" s="8">
        <v>9346</v>
      </c>
      <c r="O854" s="8">
        <v>9547</v>
      </c>
      <c r="P854" s="8">
        <v>9238</v>
      </c>
      <c r="Q854" s="8">
        <v>9308</v>
      </c>
      <c r="R854" s="7">
        <f t="shared" si="9"/>
        <v>0.19277681409139769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4.4" hidden="1">
      <c r="A855" s="3">
        <f>LOOKUP(D855,'AMFI DATA_2023H2'!F:L,'AMFI DATA_2023H2'!L:L)</f>
        <v>2032</v>
      </c>
      <c r="B855" s="4" t="s">
        <v>4787</v>
      </c>
      <c r="C855" s="4" t="s">
        <v>4788</v>
      </c>
      <c r="D855" s="5" t="s">
        <v>4789</v>
      </c>
      <c r="E855" s="5">
        <v>160.22</v>
      </c>
      <c r="F855" s="6">
        <f>LOOKUP(D855,'AMFI DATA_2023H2'!F:J,'AMFI DATA_2023H2'!J:J)</f>
        <v>179.97649999999999</v>
      </c>
      <c r="G855" s="7">
        <f t="shared" si="8"/>
        <v>0.17237528232852628</v>
      </c>
      <c r="H855" s="9">
        <v>211</v>
      </c>
      <c r="I855" s="9">
        <v>210</v>
      </c>
      <c r="J855" s="9">
        <v>208</v>
      </c>
      <c r="K855" s="9">
        <v>208</v>
      </c>
      <c r="L855" s="9">
        <v>206</v>
      </c>
      <c r="M855" s="9">
        <v>199</v>
      </c>
      <c r="N855" s="9">
        <v>202</v>
      </c>
      <c r="O855" s="9">
        <v>202</v>
      </c>
      <c r="P855" s="9">
        <v>206</v>
      </c>
      <c r="Q855" s="9">
        <v>208</v>
      </c>
      <c r="R855" s="7">
        <f t="shared" si="9"/>
        <v>0.14459387753401143</v>
      </c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4.4" hidden="1">
      <c r="A856" s="3">
        <f>LOOKUP(D856,'AMFI DATA_2023H2'!F:L,'AMFI DATA_2023H2'!L:L)</f>
        <v>770</v>
      </c>
      <c r="B856" s="4" t="s">
        <v>2252</v>
      </c>
      <c r="C856" s="4" t="s">
        <v>2253</v>
      </c>
      <c r="D856" s="5" t="s">
        <v>2254</v>
      </c>
      <c r="E856" s="5">
        <v>3019.75</v>
      </c>
      <c r="F856" s="6">
        <f>LOOKUP(D856,'AMFI DATA_2023H2'!F:J,'AMFI DATA_2023H2'!J:J)</f>
        <v>3119.0364500000001</v>
      </c>
      <c r="G856" s="7">
        <f t="shared" si="8"/>
        <v>5.9942726863611906E-2</v>
      </c>
      <c r="H856" s="8">
        <v>3306</v>
      </c>
      <c r="I856" s="8">
        <v>3185</v>
      </c>
      <c r="J856" s="8">
        <v>3038</v>
      </c>
      <c r="K856" s="8">
        <v>3035</v>
      </c>
      <c r="L856" s="8">
        <v>3053</v>
      </c>
      <c r="M856" s="8">
        <v>3047</v>
      </c>
      <c r="N856" s="8">
        <v>3038</v>
      </c>
      <c r="O856" s="8">
        <v>3015</v>
      </c>
      <c r="P856" s="8">
        <v>3056</v>
      </c>
      <c r="Q856" s="8">
        <v>3074</v>
      </c>
      <c r="R856" s="7">
        <f t="shared" si="9"/>
        <v>-1.100867224555846E-2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4.4" hidden="1">
      <c r="A857" s="3">
        <f>LOOKUP(D857,'AMFI DATA_2023H2'!F:L,'AMFI DATA_2023H2'!L:L)</f>
        <v>105</v>
      </c>
      <c r="B857" s="4" t="s">
        <v>327</v>
      </c>
      <c r="C857" s="4" t="s">
        <v>328</v>
      </c>
      <c r="D857" s="5" t="s">
        <v>329</v>
      </c>
      <c r="E857" s="5">
        <v>41406.97</v>
      </c>
      <c r="F857" s="6">
        <f>LOOKUP(D857,'AMFI DATA_2023H2'!F:J,'AMFI DATA_2023H2'!J:J)</f>
        <v>61813.476500000004</v>
      </c>
      <c r="G857" s="7">
        <f t="shared" si="8"/>
        <v>0.11749094066890087</v>
      </c>
      <c r="H857" s="8">
        <v>69076</v>
      </c>
      <c r="I857" s="8">
        <v>70113</v>
      </c>
      <c r="J857" s="8">
        <v>67555</v>
      </c>
      <c r="K857" s="8">
        <v>67317</v>
      </c>
      <c r="L857" s="8">
        <v>67440</v>
      </c>
      <c r="M857" s="8">
        <v>67284</v>
      </c>
      <c r="N857" s="8">
        <v>67103</v>
      </c>
      <c r="O857" s="8">
        <v>67572</v>
      </c>
      <c r="P857" s="8">
        <v>68237</v>
      </c>
      <c r="Q857" s="8">
        <v>67317</v>
      </c>
      <c r="R857" s="7">
        <f t="shared" si="9"/>
        <v>9.8488611945325433E-2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4.4" hidden="1">
      <c r="A858" s="3">
        <f>LOOKUP(D858,'AMFI DATA_2023H2'!F:L,'AMFI DATA_2023H2'!L:L)</f>
        <v>606</v>
      </c>
      <c r="B858" s="4" t="s">
        <v>1788</v>
      </c>
      <c r="C858" s="4" t="s">
        <v>1789</v>
      </c>
      <c r="D858" s="5" t="s">
        <v>1790</v>
      </c>
      <c r="E858" s="5">
        <v>4585.9799999999996</v>
      </c>
      <c r="F858" s="6">
        <f>LOOKUP(D858,'AMFI DATA_2023H2'!F:J,'AMFI DATA_2023H2'!J:J)</f>
        <v>5262.7739999999994</v>
      </c>
      <c r="G858" s="7">
        <f t="shared" si="8"/>
        <v>6.9398001890258021E-2</v>
      </c>
      <c r="H858" s="8">
        <v>5628</v>
      </c>
      <c r="I858" s="8">
        <v>5661</v>
      </c>
      <c r="J858" s="8">
        <v>5633</v>
      </c>
      <c r="K858" s="8">
        <v>5688</v>
      </c>
      <c r="L858" s="8">
        <v>5728</v>
      </c>
      <c r="M858" s="8">
        <v>5689</v>
      </c>
      <c r="N858" s="8">
        <v>5843</v>
      </c>
      <c r="O858" s="8">
        <v>5883</v>
      </c>
      <c r="P858" s="8">
        <v>5833</v>
      </c>
      <c r="Q858" s="8">
        <v>5608</v>
      </c>
      <c r="R858" s="7">
        <f t="shared" si="9"/>
        <v>8.6765268658695938E-2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4.4" hidden="1">
      <c r="A859" s="3">
        <f>LOOKUP(D859,'AMFI DATA_2023H2'!F:L,'AMFI DATA_2023H2'!L:L)</f>
        <v>159</v>
      </c>
      <c r="B859" s="4" t="s">
        <v>486</v>
      </c>
      <c r="C859" s="4" t="s">
        <v>487</v>
      </c>
      <c r="D859" s="5" t="s">
        <v>488</v>
      </c>
      <c r="E859" s="5">
        <v>4585.9799999999996</v>
      </c>
      <c r="F859" s="6">
        <f>LOOKUP(D859,'AMFI DATA_2023H2'!F:J,'AMFI DATA_2023H2'!J:J)</f>
        <v>41589.7552</v>
      </c>
      <c r="G859" s="7">
        <f t="shared" si="8"/>
        <v>0.10556072712830011</v>
      </c>
      <c r="H859" s="8">
        <v>45980</v>
      </c>
      <c r="I859" s="8">
        <v>45003</v>
      </c>
      <c r="J859" s="8">
        <v>44877</v>
      </c>
      <c r="K859" s="8">
        <v>44153</v>
      </c>
      <c r="L859" s="8">
        <v>44258</v>
      </c>
      <c r="M859" s="8">
        <v>43743</v>
      </c>
      <c r="N859" s="8">
        <v>44289</v>
      </c>
      <c r="O859" s="8">
        <v>44562</v>
      </c>
      <c r="P859" s="8">
        <v>46400</v>
      </c>
      <c r="Q859" s="8">
        <v>46305</v>
      </c>
      <c r="R859" s="7">
        <f t="shared" si="9"/>
        <v>8.0963323390756514E-2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4.4" hidden="1">
      <c r="A860" s="3">
        <f>LOOKUP(D860,'AMFI DATA_2023H2'!F:L,'AMFI DATA_2023H2'!L:L)</f>
        <v>30</v>
      </c>
      <c r="B860" s="4" t="s">
        <v>96</v>
      </c>
      <c r="C860" s="4" t="s">
        <v>97</v>
      </c>
      <c r="D860" s="5" t="s">
        <v>98</v>
      </c>
      <c r="E860" s="5">
        <v>173445.72</v>
      </c>
      <c r="F860" s="6">
        <f>LOOKUP(D860,'AMFI DATA_2023H2'!F:J,'AMFI DATA_2023H2'!J:J)</f>
        <v>193609.94409999999</v>
      </c>
      <c r="G860" s="7">
        <f t="shared" si="8"/>
        <v>4.5834711338052614E-2</v>
      </c>
      <c r="H860" s="8">
        <v>202484</v>
      </c>
      <c r="I860" s="8">
        <v>204709</v>
      </c>
      <c r="J860" s="8">
        <v>204770</v>
      </c>
      <c r="K860" s="8">
        <v>212779</v>
      </c>
      <c r="L860" s="8">
        <v>214552</v>
      </c>
      <c r="M860" s="8">
        <v>215298</v>
      </c>
      <c r="N860" s="8">
        <v>215298</v>
      </c>
      <c r="O860" s="8">
        <v>214197</v>
      </c>
      <c r="P860" s="8">
        <v>208536</v>
      </c>
      <c r="Q860" s="8">
        <v>209160</v>
      </c>
      <c r="R860" s="7">
        <f t="shared" si="9"/>
        <v>8.5575955186694364E-2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4.4" hidden="1">
      <c r="A861" s="3">
        <f>LOOKUP(D861,'AMFI DATA_2023H2'!F:L,'AMFI DATA_2023H2'!L:L)</f>
        <v>737</v>
      </c>
      <c r="B861" s="4" t="s">
        <v>2156</v>
      </c>
      <c r="C861" s="4" t="s">
        <v>2157</v>
      </c>
      <c r="D861" s="5" t="s">
        <v>2158</v>
      </c>
      <c r="E861" s="5">
        <v>2958.51</v>
      </c>
      <c r="F861" s="6">
        <f>LOOKUP(D861,'AMFI DATA_2023H2'!F:J,'AMFI DATA_2023H2'!J:J)</f>
        <v>3465.85475</v>
      </c>
      <c r="G861" s="7">
        <f t="shared" si="8"/>
        <v>0.19422200252333144</v>
      </c>
      <c r="H861" s="8">
        <v>4139</v>
      </c>
      <c r="I861" s="8">
        <v>4321</v>
      </c>
      <c r="J861" s="8">
        <v>4346</v>
      </c>
      <c r="K861" s="8">
        <v>4179</v>
      </c>
      <c r="L861" s="8">
        <v>3895</v>
      </c>
      <c r="M861" s="8">
        <v>3881</v>
      </c>
      <c r="N861" s="8">
        <v>3618</v>
      </c>
      <c r="O861" s="8">
        <v>3672</v>
      </c>
      <c r="P861" s="8">
        <v>3565</v>
      </c>
      <c r="Q861" s="8">
        <v>3590</v>
      </c>
      <c r="R861" s="7">
        <f t="shared" si="9"/>
        <v>0.13120724404275741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4.4" hidden="1">
      <c r="A862" s="3">
        <f>LOOKUP(D862,'AMFI DATA_2023H2'!F:L,'AMFI DATA_2023H2'!L:L)</f>
        <v>727</v>
      </c>
      <c r="B862" s="4" t="s">
        <v>2126</v>
      </c>
      <c r="C862" s="4" t="s">
        <v>2127</v>
      </c>
      <c r="D862" s="5" t="s">
        <v>2128</v>
      </c>
      <c r="E862" s="5">
        <v>2240.4699999999998</v>
      </c>
      <c r="F862" s="6">
        <f>LOOKUP(D862,'AMFI DATA_2023H2'!F:J,'AMFI DATA_2023H2'!J:J)</f>
        <v>3538.2624999999998</v>
      </c>
      <c r="G862" s="7">
        <f t="shared" si="8"/>
        <v>0.18843641476572204</v>
      </c>
      <c r="H862" s="8">
        <v>4205</v>
      </c>
      <c r="I862" s="8">
        <v>4256</v>
      </c>
      <c r="J862" s="8">
        <v>4268</v>
      </c>
      <c r="K862" s="8">
        <v>4230</v>
      </c>
      <c r="L862" s="8">
        <v>4067</v>
      </c>
      <c r="M862" s="8">
        <v>4082</v>
      </c>
      <c r="N862" s="8">
        <v>3992</v>
      </c>
      <c r="O862" s="8">
        <v>4063</v>
      </c>
      <c r="P862" s="8">
        <v>4111</v>
      </c>
      <c r="Q862" s="8">
        <v>4129</v>
      </c>
      <c r="R862" s="7">
        <f t="shared" si="9"/>
        <v>0.17015060358014722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4.4" hidden="1">
      <c r="A863" s="3">
        <f>LOOKUP(D863,'AMFI DATA_2023H2'!F:L,'AMFI DATA_2023H2'!L:L)</f>
        <v>179</v>
      </c>
      <c r="B863" s="4" t="s">
        <v>546</v>
      </c>
      <c r="C863" s="4" t="s">
        <v>547</v>
      </c>
      <c r="D863" s="5" t="s">
        <v>548</v>
      </c>
      <c r="E863" s="5">
        <v>30760.55</v>
      </c>
      <c r="F863" s="6">
        <f>LOOKUP(D863,'AMFI DATA_2023H2'!F:J,'AMFI DATA_2023H2'!J:J)</f>
        <v>34230.333400000003</v>
      </c>
      <c r="G863" s="7">
        <f t="shared" si="8"/>
        <v>7.0629361734466656E-2</v>
      </c>
      <c r="H863" s="8">
        <v>36648</v>
      </c>
      <c r="I863" s="8">
        <v>37027</v>
      </c>
      <c r="J863" s="8">
        <v>36536</v>
      </c>
      <c r="K863" s="8">
        <v>36753</v>
      </c>
      <c r="L863" s="8">
        <v>36994</v>
      </c>
      <c r="M863" s="8">
        <v>37166</v>
      </c>
      <c r="N863" s="8">
        <v>37614</v>
      </c>
      <c r="O863" s="8">
        <v>37413</v>
      </c>
      <c r="P863" s="8">
        <v>37654</v>
      </c>
      <c r="Q863" s="8">
        <v>38367</v>
      </c>
      <c r="R863" s="7">
        <f t="shared" si="9"/>
        <v>8.7257888057847399E-2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4.4" hidden="1">
      <c r="A864" s="3">
        <f>LOOKUP(D864,'AMFI DATA_2023H2'!F:L,'AMFI DATA_2023H2'!L:L)</f>
        <v>1249</v>
      </c>
      <c r="B864" s="4" t="s">
        <v>3455</v>
      </c>
      <c r="C864" s="4" t="s">
        <v>3456</v>
      </c>
      <c r="D864" s="5" t="s">
        <v>3457</v>
      </c>
      <c r="E864" s="5">
        <v>638.19000000000005</v>
      </c>
      <c r="F864" s="6">
        <f>LOOKUP(D864,'AMFI DATA_2023H2'!F:J,'AMFI DATA_2023H2'!J:J)</f>
        <v>920.80109999999991</v>
      </c>
      <c r="G864" s="7">
        <f t="shared" si="8"/>
        <v>-9.558090232515859E-3</v>
      </c>
      <c r="H864" s="9">
        <v>912</v>
      </c>
      <c r="I864" s="9">
        <v>920</v>
      </c>
      <c r="J864" s="9">
        <v>909</v>
      </c>
      <c r="K864" s="9">
        <v>921</v>
      </c>
      <c r="L864" s="9">
        <v>930</v>
      </c>
      <c r="M864" s="9">
        <v>911</v>
      </c>
      <c r="N864" s="9">
        <v>906</v>
      </c>
      <c r="O864" s="9">
        <v>906</v>
      </c>
      <c r="P864" s="9">
        <v>907</v>
      </c>
      <c r="Q864" s="9">
        <v>925</v>
      </c>
      <c r="R864" s="7">
        <f t="shared" si="9"/>
        <v>-6.6258608943884356E-3</v>
      </c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4.4" hidden="1">
      <c r="A865" s="3">
        <f>LOOKUP(D865,'AMFI DATA_2023H2'!F:L,'AMFI DATA_2023H2'!L:L)</f>
        <v>507</v>
      </c>
      <c r="B865" s="4" t="s">
        <v>1506</v>
      </c>
      <c r="C865" s="4" t="s">
        <v>1507</v>
      </c>
      <c r="D865" s="5" t="s">
        <v>1508</v>
      </c>
      <c r="E865" s="5">
        <v>6961.06</v>
      </c>
      <c r="F865" s="6">
        <f>LOOKUP(D865,'AMFI DATA_2023H2'!F:J,'AMFI DATA_2023H2'!J:J)</f>
        <v>7195.0286999999998</v>
      </c>
      <c r="G865" s="7">
        <f t="shared" si="8"/>
        <v>0.10479058964698784</v>
      </c>
      <c r="H865" s="8">
        <v>7949</v>
      </c>
      <c r="I865" s="8">
        <v>7961</v>
      </c>
      <c r="J865" s="8">
        <v>7848</v>
      </c>
      <c r="K865" s="8">
        <v>7900</v>
      </c>
      <c r="L865" s="8">
        <v>8095</v>
      </c>
      <c r="M865" s="8">
        <v>8126</v>
      </c>
      <c r="N865" s="8">
        <v>8084</v>
      </c>
      <c r="O865" s="8">
        <v>8044</v>
      </c>
      <c r="P865" s="8">
        <v>8013</v>
      </c>
      <c r="Q865" s="8">
        <v>7968</v>
      </c>
      <c r="R865" s="7">
        <f t="shared" si="9"/>
        <v>0.11171203528347284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4.4" hidden="1">
      <c r="A866" s="3">
        <f>LOOKUP(D866,'AMFI DATA_2023H2'!F:L,'AMFI DATA_2023H2'!L:L)</f>
        <v>531</v>
      </c>
      <c r="B866" s="4" t="s">
        <v>1572</v>
      </c>
      <c r="C866" s="4" t="s">
        <v>1573</v>
      </c>
      <c r="D866" s="5" t="s">
        <v>1574</v>
      </c>
      <c r="E866" s="5">
        <v>5302.89</v>
      </c>
      <c r="F866" s="6">
        <f>LOOKUP(D866,'AMFI DATA_2023H2'!F:J,'AMFI DATA_2023H2'!J:J)</f>
        <v>6804.1396500000001</v>
      </c>
      <c r="G866" s="7">
        <f t="shared" si="8"/>
        <v>0.36843164293372488</v>
      </c>
      <c r="H866" s="8">
        <v>9311</v>
      </c>
      <c r="I866" s="8">
        <v>9215</v>
      </c>
      <c r="J866" s="8">
        <v>9252</v>
      </c>
      <c r="K866" s="8">
        <v>9287</v>
      </c>
      <c r="L866" s="8">
        <v>9229</v>
      </c>
      <c r="M866" s="8">
        <v>8725</v>
      </c>
      <c r="N866" s="8">
        <v>8624</v>
      </c>
      <c r="O866" s="8">
        <v>8578</v>
      </c>
      <c r="P866" s="8">
        <v>8532</v>
      </c>
      <c r="Q866" s="8">
        <v>8485</v>
      </c>
      <c r="R866" s="7">
        <f t="shared" si="9"/>
        <v>0.31152510957061263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4.4" hidden="1">
      <c r="A867" s="3">
        <f>LOOKUP(D867,'AMFI DATA_2023H2'!F:L,'AMFI DATA_2023H2'!L:L)</f>
        <v>2047</v>
      </c>
      <c r="B867" s="4" t="s">
        <v>4796</v>
      </c>
      <c r="C867" s="4" t="s">
        <v>4797</v>
      </c>
      <c r="D867" s="5" t="s">
        <v>4798</v>
      </c>
      <c r="E867" s="5">
        <v>152.12</v>
      </c>
      <c r="F867" s="6">
        <f>LOOKUP(D867,'AMFI DATA_2023H2'!F:J,'AMFI DATA_2023H2'!J:J)</f>
        <v>175.2636</v>
      </c>
      <c r="G867" s="7">
        <f t="shared" si="8"/>
        <v>0.14113826259417239</v>
      </c>
      <c r="H867" s="9">
        <v>200</v>
      </c>
      <c r="I867" s="9">
        <v>201</v>
      </c>
      <c r="J867" s="9">
        <v>197</v>
      </c>
      <c r="K867" s="9">
        <v>195</v>
      </c>
      <c r="L867" s="9">
        <v>194</v>
      </c>
      <c r="M867" s="9">
        <v>188</v>
      </c>
      <c r="N867" s="9">
        <v>188</v>
      </c>
      <c r="O867" s="9">
        <v>188</v>
      </c>
      <c r="P867" s="9">
        <v>189</v>
      </c>
      <c r="Q867" s="9">
        <v>183</v>
      </c>
      <c r="R867" s="7">
        <f t="shared" si="9"/>
        <v>9.7204439484296801E-2</v>
      </c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4.4" hidden="1">
      <c r="A868" s="3">
        <f>LOOKUP(D868,'AMFI DATA_2023H2'!F:L,'AMFI DATA_2023H2'!L:L)</f>
        <v>522</v>
      </c>
      <c r="B868" s="4" t="s">
        <v>1551</v>
      </c>
      <c r="C868" s="4" t="s">
        <v>1552</v>
      </c>
      <c r="D868" s="5" t="s">
        <v>1553</v>
      </c>
      <c r="E868" s="5">
        <v>4262.38</v>
      </c>
      <c r="F868" s="6">
        <f>LOOKUP(D868,'AMFI DATA_2023H2'!F:J,'AMFI DATA_2023H2'!J:J)</f>
        <v>7013.2729999999992</v>
      </c>
      <c r="G868" s="7">
        <f t="shared" si="8"/>
        <v>5.4001462655168364E-2</v>
      </c>
      <c r="H868" s="8">
        <v>7392</v>
      </c>
      <c r="I868" s="8">
        <v>7465</v>
      </c>
      <c r="J868" s="8">
        <v>7212</v>
      </c>
      <c r="K868" s="8">
        <v>7294</v>
      </c>
      <c r="L868" s="8">
        <v>7242</v>
      </c>
      <c r="M868" s="8">
        <v>7152</v>
      </c>
      <c r="N868" s="8">
        <v>7376</v>
      </c>
      <c r="O868" s="8">
        <v>7376</v>
      </c>
      <c r="P868" s="8">
        <v>7337</v>
      </c>
      <c r="Q868" s="8">
        <v>7526</v>
      </c>
      <c r="R868" s="7">
        <f t="shared" si="9"/>
        <v>4.6187707223146912E-2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4.4" hidden="1">
      <c r="A869" s="3">
        <f>LOOKUP(D869,'AMFI DATA_2023H2'!F:L,'AMFI DATA_2023H2'!L:L)</f>
        <v>369</v>
      </c>
      <c r="B869" s="4" t="s">
        <v>1113</v>
      </c>
      <c r="C869" s="4" t="s">
        <v>1114</v>
      </c>
      <c r="D869" s="5" t="s">
        <v>1115</v>
      </c>
      <c r="E869" s="5">
        <v>4343.63</v>
      </c>
      <c r="F869" s="6">
        <f>LOOKUP(D869,'AMFI DATA_2023H2'!F:J,'AMFI DATA_2023H2'!J:J)</f>
        <v>11754.259249999999</v>
      </c>
      <c r="G869" s="7">
        <f t="shared" si="8"/>
        <v>0.20169205898704345</v>
      </c>
      <c r="H869" s="8">
        <v>14125</v>
      </c>
      <c r="I869" s="8">
        <v>13643</v>
      </c>
      <c r="J869" s="8">
        <v>13097</v>
      </c>
      <c r="K869" s="8">
        <v>13130</v>
      </c>
      <c r="L869" s="8">
        <v>13189</v>
      </c>
      <c r="M869" s="8">
        <v>13154</v>
      </c>
      <c r="N869" s="8">
        <v>13070</v>
      </c>
      <c r="O869" s="8">
        <v>13239</v>
      </c>
      <c r="P869" s="8">
        <v>13202</v>
      </c>
      <c r="Q869" s="8">
        <v>13346</v>
      </c>
      <c r="R869" s="7">
        <f t="shared" si="9"/>
        <v>0.13316370829578239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4.4" hidden="1">
      <c r="A870" s="3">
        <f>LOOKUP(D870,'AMFI DATA_2023H2'!F:L,'AMFI DATA_2023H2'!L:L)</f>
        <v>550</v>
      </c>
      <c r="B870" s="4" t="s">
        <v>1629</v>
      </c>
      <c r="C870" s="4" t="s">
        <v>1630</v>
      </c>
      <c r="D870" s="5" t="s">
        <v>1631</v>
      </c>
      <c r="E870" s="5">
        <v>5525.04</v>
      </c>
      <c r="F870" s="6">
        <f>LOOKUP(D870,'AMFI DATA_2023H2'!F:J,'AMFI DATA_2023H2'!J:J)</f>
        <v>6388.4168117131712</v>
      </c>
      <c r="G870" s="7">
        <f t="shared" si="8"/>
        <v>8.2740873657096259E-2</v>
      </c>
      <c r="H870" s="8">
        <v>6917</v>
      </c>
      <c r="I870" s="8">
        <v>6890</v>
      </c>
      <c r="J870" s="8">
        <v>6861</v>
      </c>
      <c r="K870" s="8">
        <v>6841</v>
      </c>
      <c r="L870" s="8">
        <v>6829</v>
      </c>
      <c r="M870" s="8">
        <v>6803</v>
      </c>
      <c r="N870" s="8">
        <v>6726</v>
      </c>
      <c r="O870" s="8">
        <v>6685</v>
      </c>
      <c r="P870" s="8">
        <v>6745</v>
      </c>
      <c r="Q870" s="8">
        <v>6695</v>
      </c>
      <c r="R870" s="7">
        <f t="shared" si="9"/>
        <v>6.4301250277479793E-2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4.4" hidden="1">
      <c r="A871" s="3">
        <f>LOOKUP(D871,'AMFI DATA_2023H2'!F:L,'AMFI DATA_2023H2'!L:L)</f>
        <v>338</v>
      </c>
      <c r="B871" s="4" t="s">
        <v>1023</v>
      </c>
      <c r="C871" s="4" t="s">
        <v>1024</v>
      </c>
      <c r="D871" s="5" t="s">
        <v>1025</v>
      </c>
      <c r="E871" s="5">
        <v>7367.95</v>
      </c>
      <c r="F871" s="6">
        <f>LOOKUP(D871,'AMFI DATA_2023H2'!F:J,'AMFI DATA_2023H2'!J:J)</f>
        <v>13342.221649999999</v>
      </c>
      <c r="G871" s="7">
        <f t="shared" si="8"/>
        <v>0.42495009442449194</v>
      </c>
      <c r="H871" s="8">
        <v>19012</v>
      </c>
      <c r="I871" s="8">
        <v>18452</v>
      </c>
      <c r="J871" s="8">
        <v>17940</v>
      </c>
      <c r="K871" s="8">
        <v>17753</v>
      </c>
      <c r="L871" s="8">
        <v>17663</v>
      </c>
      <c r="M871" s="8">
        <v>17630</v>
      </c>
      <c r="N871" s="8">
        <v>17749</v>
      </c>
      <c r="O871" s="8">
        <v>17786</v>
      </c>
      <c r="P871" s="8">
        <v>17554</v>
      </c>
      <c r="Q871" s="8">
        <v>17598</v>
      </c>
      <c r="R871" s="7">
        <f t="shared" si="9"/>
        <v>0.34263246930843794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4.4" hidden="1">
      <c r="A872" s="3">
        <f>LOOKUP(D872,'AMFI DATA_2023H2'!F:L,'AMFI DATA_2023H2'!L:L)</f>
        <v>1279</v>
      </c>
      <c r="B872" s="4" t="s">
        <v>3515</v>
      </c>
      <c r="C872" s="4" t="s">
        <v>3516</v>
      </c>
      <c r="D872" s="5" t="s">
        <v>3517</v>
      </c>
      <c r="E872" s="5">
        <v>496.47</v>
      </c>
      <c r="F872" s="6">
        <f>LOOKUP(D872,'AMFI DATA_2023H2'!F:J,'AMFI DATA_2023H2'!J:J)</f>
        <v>851.04015000000004</v>
      </c>
      <c r="G872" s="7">
        <f t="shared" si="8"/>
        <v>0.4217895595172565</v>
      </c>
      <c r="H872" s="8">
        <v>1210</v>
      </c>
      <c r="I872" s="8">
        <v>1234</v>
      </c>
      <c r="J872" s="8">
        <v>1217</v>
      </c>
      <c r="K872" s="8">
        <v>1238</v>
      </c>
      <c r="L872" s="8">
        <v>1249</v>
      </c>
      <c r="M872" s="8">
        <v>1228</v>
      </c>
      <c r="N872" s="8">
        <v>1212</v>
      </c>
      <c r="O872" s="8">
        <v>1188</v>
      </c>
      <c r="P872" s="8">
        <v>1191</v>
      </c>
      <c r="Q872" s="8">
        <v>1221</v>
      </c>
      <c r="R872" s="7">
        <f t="shared" si="9"/>
        <v>0.43212984722283654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4.4" hidden="1">
      <c r="A873" s="3">
        <f>LOOKUP(D873,'AMFI DATA_2023H2'!F:L,'AMFI DATA_2023H2'!L:L)</f>
        <v>1768</v>
      </c>
      <c r="B873" s="4" t="s">
        <v>4433</v>
      </c>
      <c r="C873" s="4" t="s">
        <v>4434</v>
      </c>
      <c r="D873" s="5" t="s">
        <v>4435</v>
      </c>
      <c r="E873" s="5">
        <v>252.01</v>
      </c>
      <c r="F873" s="6">
        <f>LOOKUP(D873,'AMFI DATA_2023H2'!F:J,'AMFI DATA_2023H2'!J:J)</f>
        <v>289.17939999999999</v>
      </c>
      <c r="G873" s="7">
        <f t="shared" si="8"/>
        <v>-6.2037614020915566E-4</v>
      </c>
      <c r="H873" s="9">
        <v>289</v>
      </c>
      <c r="I873" s="9">
        <v>289</v>
      </c>
      <c r="J873" s="9">
        <v>289</v>
      </c>
      <c r="K873" s="9">
        <v>289</v>
      </c>
      <c r="L873" s="9">
        <v>291</v>
      </c>
      <c r="M873" s="9">
        <v>290</v>
      </c>
      <c r="N873" s="9">
        <v>287</v>
      </c>
      <c r="O873" s="9">
        <v>288</v>
      </c>
      <c r="P873" s="9">
        <v>289</v>
      </c>
      <c r="Q873" s="9">
        <v>293</v>
      </c>
      <c r="R873" s="7">
        <f t="shared" si="9"/>
        <v>7.6284825267625145E-4</v>
      </c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4.4" hidden="1">
      <c r="A874" s="3">
        <f>LOOKUP(D874,'AMFI DATA_2023H2'!F:L,'AMFI DATA_2023H2'!L:L)</f>
        <v>226</v>
      </c>
      <c r="B874" s="4" t="s">
        <v>687</v>
      </c>
      <c r="C874" s="4" t="s">
        <v>688</v>
      </c>
      <c r="D874" s="5" t="s">
        <v>689</v>
      </c>
      <c r="E874" s="5">
        <v>19841.62</v>
      </c>
      <c r="F874" s="6">
        <f>LOOKUP(D874,'AMFI DATA_2023H2'!F:J,'AMFI DATA_2023H2'!J:J)</f>
        <v>25575.579149999998</v>
      </c>
      <c r="G874" s="7">
        <f t="shared" si="8"/>
        <v>1.3740484543436127E-2</v>
      </c>
      <c r="H874" s="8">
        <v>25927</v>
      </c>
      <c r="I874" s="8">
        <v>26128</v>
      </c>
      <c r="J874" s="8">
        <v>26491</v>
      </c>
      <c r="K874" s="8">
        <v>27104</v>
      </c>
      <c r="L874" s="8">
        <v>27721</v>
      </c>
      <c r="M874" s="8">
        <v>28234</v>
      </c>
      <c r="N874" s="8">
        <v>28196</v>
      </c>
      <c r="O874" s="8">
        <v>27943</v>
      </c>
      <c r="P874" s="8">
        <v>28221</v>
      </c>
      <c r="Q874" s="8">
        <v>28482</v>
      </c>
      <c r="R874" s="7">
        <f t="shared" si="9"/>
        <v>7.3082249244002195E-2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4.4" hidden="1">
      <c r="A875" s="3">
        <f>LOOKUP(D875,'AMFI DATA_2023H2'!F:L,'AMFI DATA_2023H2'!L:L)</f>
        <v>1044</v>
      </c>
      <c r="B875" s="4" t="s">
        <v>2978</v>
      </c>
      <c r="C875" s="4" t="s">
        <v>2979</v>
      </c>
      <c r="D875" s="5" t="s">
        <v>2980</v>
      </c>
      <c r="E875" s="5">
        <v>1679.45</v>
      </c>
      <c r="F875" s="6">
        <f>LOOKUP(D875,'AMFI DATA_2023H2'!F:J,'AMFI DATA_2023H2'!J:J)</f>
        <v>1506.1596</v>
      </c>
      <c r="G875" s="7">
        <f t="shared" si="8"/>
        <v>-8.7371882767270925E-3</v>
      </c>
      <c r="H875" s="8">
        <v>1493</v>
      </c>
      <c r="I875" s="8">
        <v>1481</v>
      </c>
      <c r="J875" s="8">
        <v>1480</v>
      </c>
      <c r="K875" s="8">
        <v>1488</v>
      </c>
      <c r="L875" s="8">
        <v>1471</v>
      </c>
      <c r="M875" s="8">
        <v>1489</v>
      </c>
      <c r="N875" s="8">
        <v>1496</v>
      </c>
      <c r="O875" s="8">
        <v>1513</v>
      </c>
      <c r="P875" s="8">
        <v>1544</v>
      </c>
      <c r="Q875" s="8">
        <v>1458</v>
      </c>
      <c r="R875" s="7">
        <f t="shared" si="9"/>
        <v>-9.8658867227616742E-3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4.4" hidden="1">
      <c r="A876" s="3">
        <f>LOOKUP(D876,'AMFI DATA_2023H2'!F:L,'AMFI DATA_2023H2'!L:L)</f>
        <v>254</v>
      </c>
      <c r="B876" s="4" t="s">
        <v>768</v>
      </c>
      <c r="C876" s="4" t="s">
        <v>769</v>
      </c>
      <c r="D876" s="5" t="s">
        <v>770</v>
      </c>
      <c r="E876" s="5">
        <v>18078.88</v>
      </c>
      <c r="F876" s="6">
        <f>LOOKUP(D876,'AMFI DATA_2023H2'!F:J,'AMFI DATA_2023H2'!J:J)</f>
        <v>21553.621899999998</v>
      </c>
      <c r="G876" s="7">
        <f t="shared" si="8"/>
        <v>-8.28732640985963E-3</v>
      </c>
      <c r="H876" s="8">
        <v>21375</v>
      </c>
      <c r="I876" s="8">
        <v>20742</v>
      </c>
      <c r="J876" s="8">
        <v>20581</v>
      </c>
      <c r="K876" s="8">
        <v>20700</v>
      </c>
      <c r="L876" s="8">
        <v>20823</v>
      </c>
      <c r="M876" s="8">
        <v>20744</v>
      </c>
      <c r="N876" s="8">
        <v>21147</v>
      </c>
      <c r="O876" s="8">
        <v>21532</v>
      </c>
      <c r="P876" s="8">
        <v>21643</v>
      </c>
      <c r="Q876" s="8">
        <v>22027</v>
      </c>
      <c r="R876" s="7">
        <f t="shared" si="9"/>
        <v>-1.9589371195195548E-2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4.4" hidden="1">
      <c r="A877" s="3">
        <f>LOOKUP(D877,'AMFI DATA_2023H2'!F:L,'AMFI DATA_2023H2'!L:L)</f>
        <v>2055</v>
      </c>
      <c r="B877" s="4" t="s">
        <v>4808</v>
      </c>
      <c r="C877" s="4" t="s">
        <v>4809</v>
      </c>
      <c r="D877" s="5" t="s">
        <v>4810</v>
      </c>
      <c r="E877" s="5">
        <v>156.49</v>
      </c>
      <c r="F877" s="6">
        <f>LOOKUP(D877,'AMFI DATA_2023H2'!F:J,'AMFI DATA_2023H2'!J:J)</f>
        <v>171.92384999999999</v>
      </c>
      <c r="G877" s="7">
        <f t="shared" si="8"/>
        <v>0.16912225965158423</v>
      </c>
      <c r="H877" s="9">
        <v>201</v>
      </c>
      <c r="I877" s="9">
        <v>202</v>
      </c>
      <c r="J877" s="9">
        <v>202</v>
      </c>
      <c r="K877" s="9">
        <v>199</v>
      </c>
      <c r="L877" s="9">
        <v>194</v>
      </c>
      <c r="M877" s="9">
        <v>191</v>
      </c>
      <c r="N877" s="9">
        <v>196</v>
      </c>
      <c r="O877" s="9">
        <v>194</v>
      </c>
      <c r="P877" s="9">
        <v>196</v>
      </c>
      <c r="Q877" s="9">
        <v>200</v>
      </c>
      <c r="R877" s="7">
        <f t="shared" si="9"/>
        <v>0.14876440935914359</v>
      </c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4.4" hidden="1">
      <c r="A878" s="3">
        <f>LOOKUP(D878,'AMFI DATA_2023H2'!F:L,'AMFI DATA_2023H2'!L:L)</f>
        <v>396</v>
      </c>
      <c r="B878" s="4" t="s">
        <v>1194</v>
      </c>
      <c r="C878" s="4" t="s">
        <v>1195</v>
      </c>
      <c r="D878" s="5" t="s">
        <v>1196</v>
      </c>
      <c r="E878" s="5">
        <v>8460.89</v>
      </c>
      <c r="F878" s="6">
        <f>LOOKUP(D878,'AMFI DATA_2023H2'!F:J,'AMFI DATA_2023H2'!J:J)</f>
        <v>10373.622799999999</v>
      </c>
      <c r="G878" s="7">
        <f t="shared" si="8"/>
        <v>0.17721650723602567</v>
      </c>
      <c r="H878" s="8">
        <v>12212</v>
      </c>
      <c r="I878" s="8">
        <v>12002</v>
      </c>
      <c r="J878" s="8">
        <v>11501</v>
      </c>
      <c r="K878" s="8">
        <v>11382</v>
      </c>
      <c r="L878" s="8">
        <v>11660</v>
      </c>
      <c r="M878" s="8">
        <v>11518</v>
      </c>
      <c r="N878" s="8">
        <v>10794</v>
      </c>
      <c r="O878" s="8">
        <v>10501</v>
      </c>
      <c r="P878" s="8">
        <v>10402</v>
      </c>
      <c r="Q878" s="8">
        <v>10253</v>
      </c>
      <c r="R878" s="7">
        <f t="shared" si="9"/>
        <v>8.183035149494744E-2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4.4" hidden="1">
      <c r="A879" s="3">
        <f>LOOKUP(D879,'AMFI DATA_2023H2'!F:L,'AMFI DATA_2023H2'!L:L)</f>
        <v>217</v>
      </c>
      <c r="B879" s="4" t="s">
        <v>660</v>
      </c>
      <c r="C879" s="4" t="s">
        <v>661</v>
      </c>
      <c r="D879" s="5" t="s">
        <v>662</v>
      </c>
      <c r="E879" s="5">
        <v>11685.06</v>
      </c>
      <c r="F879" s="6">
        <f>LOOKUP(D879,'AMFI DATA_2023H2'!F:J,'AMFI DATA_2023H2'!J:J)</f>
        <v>26220.7487</v>
      </c>
      <c r="G879" s="7">
        <f t="shared" si="8"/>
        <v>0.40754943431497059</v>
      </c>
      <c r="H879" s="8">
        <v>36907</v>
      </c>
      <c r="I879" s="8">
        <v>37473</v>
      </c>
      <c r="J879" s="8">
        <v>37066</v>
      </c>
      <c r="K879" s="8">
        <v>37489</v>
      </c>
      <c r="L879" s="8">
        <v>37252</v>
      </c>
      <c r="M879" s="8">
        <v>36510</v>
      </c>
      <c r="N879" s="8">
        <v>35733</v>
      </c>
      <c r="O879" s="8">
        <v>36273</v>
      </c>
      <c r="P879" s="8">
        <v>35341</v>
      </c>
      <c r="Q879" s="8">
        <v>34373</v>
      </c>
      <c r="R879" s="7">
        <f t="shared" si="9"/>
        <v>0.38980394560587039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4.4" hidden="1">
      <c r="A880" s="3">
        <f>LOOKUP(D880,'AMFI DATA_2023H2'!F:L,'AMFI DATA_2023H2'!L:L)</f>
        <v>3760</v>
      </c>
      <c r="B880" s="4" t="s">
        <v>5728</v>
      </c>
      <c r="C880" s="4" t="s">
        <v>5729</v>
      </c>
      <c r="D880" s="5" t="s">
        <v>5730</v>
      </c>
      <c r="E880" s="5">
        <v>11.93</v>
      </c>
      <c r="F880" s="6">
        <f>LOOKUP(D880,'AMFI DATA_2023H2'!F:J,'AMFI DATA_2023H2'!J:J)</f>
        <v>11.93</v>
      </c>
      <c r="G880" s="7">
        <f t="shared" si="8"/>
        <v>-2.5146689019278634E-3</v>
      </c>
      <c r="H880" s="9">
        <v>11.9</v>
      </c>
      <c r="I880" s="9">
        <v>11.9</v>
      </c>
      <c r="J880" s="9">
        <v>11.9</v>
      </c>
      <c r="K880" s="9">
        <v>11.9</v>
      </c>
      <c r="L880" s="9">
        <v>11.9</v>
      </c>
      <c r="M880" s="9">
        <v>11.9</v>
      </c>
      <c r="N880" s="9">
        <v>11.9</v>
      </c>
      <c r="O880" s="9">
        <v>11.9</v>
      </c>
      <c r="P880" s="9">
        <v>11.9</v>
      </c>
      <c r="Q880" s="9">
        <v>11.9</v>
      </c>
      <c r="R880" s="7">
        <f t="shared" si="9"/>
        <v>-2.5146689019277524E-3</v>
      </c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4.4" hidden="1">
      <c r="A881" s="3">
        <f>LOOKUP(D881,'AMFI DATA_2023H2'!F:L,'AMFI DATA_2023H2'!L:L)</f>
        <v>2171</v>
      </c>
      <c r="B881" s="4" t="s">
        <v>4976</v>
      </c>
      <c r="C881" s="4" t="s">
        <v>4977</v>
      </c>
      <c r="D881" s="5" t="s">
        <v>4978</v>
      </c>
      <c r="E881" s="5">
        <v>88.57</v>
      </c>
      <c r="F881" s="6">
        <f>LOOKUP(D881,'AMFI DATA_2023H2'!F:J,'AMFI DATA_2023H2'!J:J)</f>
        <v>141.03809999999999</v>
      </c>
      <c r="G881" s="7">
        <f t="shared" si="8"/>
        <v>0.14153551416248522</v>
      </c>
      <c r="H881" s="9">
        <v>161</v>
      </c>
      <c r="I881" s="9">
        <v>157</v>
      </c>
      <c r="J881" s="9">
        <v>156</v>
      </c>
      <c r="K881" s="9">
        <v>153</v>
      </c>
      <c r="L881" s="9">
        <v>155</v>
      </c>
      <c r="M881" s="9">
        <v>148</v>
      </c>
      <c r="N881" s="9">
        <v>151</v>
      </c>
      <c r="O881" s="9">
        <v>156</v>
      </c>
      <c r="P881" s="9">
        <v>151</v>
      </c>
      <c r="Q881" s="9">
        <v>146</v>
      </c>
      <c r="R881" s="7">
        <f t="shared" si="9"/>
        <v>8.7649365667858747E-2</v>
      </c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4.4" hidden="1">
      <c r="A882" s="3">
        <f>LOOKUP(D882,'AMFI DATA_2023H2'!F:L,'AMFI DATA_2023H2'!L:L)</f>
        <v>1160</v>
      </c>
      <c r="B882" s="4" t="s">
        <v>3251</v>
      </c>
      <c r="C882" s="4" t="s">
        <v>3252</v>
      </c>
      <c r="D882" s="5" t="s">
        <v>3253</v>
      </c>
      <c r="E882" s="5">
        <v>802.35</v>
      </c>
      <c r="F882" s="6">
        <f>LOOKUP(D882,'AMFI DATA_2023H2'!F:J,'AMFI DATA_2023H2'!J:J)</f>
        <v>1143.0684000000001</v>
      </c>
      <c r="G882" s="7">
        <f t="shared" si="8"/>
        <v>0.25539294061492712</v>
      </c>
      <c r="H882" s="8">
        <v>1435</v>
      </c>
      <c r="I882" s="8">
        <v>1436</v>
      </c>
      <c r="J882" s="8">
        <v>1434</v>
      </c>
      <c r="K882" s="8">
        <v>1442</v>
      </c>
      <c r="L882" s="8">
        <v>1433</v>
      </c>
      <c r="M882" s="8">
        <v>1433</v>
      </c>
      <c r="N882" s="8">
        <v>1427</v>
      </c>
      <c r="O882" s="8">
        <v>1459</v>
      </c>
      <c r="P882" s="8">
        <v>1483</v>
      </c>
      <c r="Q882" s="8">
        <v>1505</v>
      </c>
      <c r="R882" s="7">
        <f t="shared" si="9"/>
        <v>0.2673782251350838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4.4" hidden="1">
      <c r="A883" s="3">
        <f>LOOKUP(D883,'AMFI DATA_2023H2'!F:L,'AMFI DATA_2023H2'!L:L)</f>
        <v>936</v>
      </c>
      <c r="B883" s="4" t="s">
        <v>2699</v>
      </c>
      <c r="C883" s="4" t="s">
        <v>2700</v>
      </c>
      <c r="D883" s="5" t="s">
        <v>2701</v>
      </c>
      <c r="E883" s="5">
        <v>1441.72</v>
      </c>
      <c r="F883" s="6">
        <f>LOOKUP(D883,'AMFI DATA_2023H2'!F:J,'AMFI DATA_2023H2'!J:J)</f>
        <v>2016.19175</v>
      </c>
      <c r="G883" s="7">
        <f t="shared" si="8"/>
        <v>0.11794922283557607</v>
      </c>
      <c r="H883" s="8">
        <v>2254</v>
      </c>
      <c r="I883" s="8">
        <v>2302</v>
      </c>
      <c r="J883" s="8">
        <v>2283</v>
      </c>
      <c r="K883" s="8">
        <v>2340</v>
      </c>
      <c r="L883" s="8">
        <v>2403</v>
      </c>
      <c r="M883" s="8">
        <v>2126</v>
      </c>
      <c r="N883" s="8">
        <v>2135</v>
      </c>
      <c r="O883" s="8">
        <v>2118</v>
      </c>
      <c r="P883" s="8">
        <v>2110</v>
      </c>
      <c r="Q883" s="8">
        <v>1879</v>
      </c>
      <c r="R883" s="7">
        <f t="shared" si="9"/>
        <v>8.8686133151769875E-2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4.4" hidden="1">
      <c r="A884" s="3">
        <f>LOOKUP(D884,'AMFI DATA_2023H2'!F:L,'AMFI DATA_2023H2'!L:L)</f>
        <v>1479</v>
      </c>
      <c r="B884" s="4" t="s">
        <v>3914</v>
      </c>
      <c r="C884" s="4" t="s">
        <v>3915</v>
      </c>
      <c r="D884" s="5" t="s">
        <v>3916</v>
      </c>
      <c r="E884" s="5">
        <v>364.82</v>
      </c>
      <c r="F884" s="6">
        <f>LOOKUP(D884,'AMFI DATA_2023H2'!F:J,'AMFI DATA_2023H2'!J:J)</f>
        <v>539.11865</v>
      </c>
      <c r="G884" s="7">
        <f t="shared" si="8"/>
        <v>0.22793006697134288</v>
      </c>
      <c r="H884" s="9">
        <v>662</v>
      </c>
      <c r="I884" s="9">
        <v>669</v>
      </c>
      <c r="J884" s="9">
        <v>661</v>
      </c>
      <c r="K884" s="9">
        <v>686</v>
      </c>
      <c r="L884" s="9">
        <v>690</v>
      </c>
      <c r="M884" s="9">
        <v>670</v>
      </c>
      <c r="N884" s="9">
        <v>648</v>
      </c>
      <c r="O884" s="9">
        <v>649</v>
      </c>
      <c r="P884" s="9">
        <v>658</v>
      </c>
      <c r="Q884" s="9">
        <v>684</v>
      </c>
      <c r="R884" s="7">
        <f t="shared" si="9"/>
        <v>0.23850287872623221</v>
      </c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4.4" hidden="1">
      <c r="A885" s="3">
        <f>LOOKUP(D885,'AMFI DATA_2023H2'!F:L,'AMFI DATA_2023H2'!L:L)</f>
        <v>1299</v>
      </c>
      <c r="B885" s="4" t="s">
        <v>3569</v>
      </c>
      <c r="C885" s="4" t="s">
        <v>3570</v>
      </c>
      <c r="D885" s="5" t="s">
        <v>3571</v>
      </c>
      <c r="E885" s="5">
        <v>925.81</v>
      </c>
      <c r="F885" s="6">
        <f>LOOKUP(D885,'AMFI DATA_2023H2'!F:J,'AMFI DATA_2023H2'!J:J)</f>
        <v>807.93914999999993</v>
      </c>
      <c r="G885" s="7">
        <f t="shared" si="8"/>
        <v>0.16964254053043493</v>
      </c>
      <c r="H885" s="9">
        <v>945</v>
      </c>
      <c r="I885" s="9">
        <v>948</v>
      </c>
      <c r="J885" s="9">
        <v>929</v>
      </c>
      <c r="K885" s="9">
        <v>927</v>
      </c>
      <c r="L885" s="9">
        <v>980</v>
      </c>
      <c r="M885" s="9">
        <v>984</v>
      </c>
      <c r="N885" s="9">
        <v>1027</v>
      </c>
      <c r="O885" s="9">
        <v>981</v>
      </c>
      <c r="P885" s="9">
        <v>831</v>
      </c>
      <c r="Q885" s="9">
        <v>784</v>
      </c>
      <c r="R885" s="7">
        <f t="shared" si="9"/>
        <v>0.15553256702562335</v>
      </c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4.4" hidden="1">
      <c r="A886" s="3">
        <f>LOOKUP(D886,'AMFI DATA_2023H2'!F:L,'AMFI DATA_2023H2'!L:L)</f>
        <v>1207</v>
      </c>
      <c r="B886" s="4" t="s">
        <v>3368</v>
      </c>
      <c r="C886" s="4" t="s">
        <v>3369</v>
      </c>
      <c r="D886" s="5" t="s">
        <v>3370</v>
      </c>
      <c r="E886" s="5">
        <v>577.79</v>
      </c>
      <c r="F886" s="6">
        <f>LOOKUP(D886,'AMFI DATA_2023H2'!F:J,'AMFI DATA_2023H2'!J:J)</f>
        <v>1040.5576500000002</v>
      </c>
      <c r="G886" s="7">
        <f t="shared" si="8"/>
        <v>1.1957386503284928E-2</v>
      </c>
      <c r="H886" s="8">
        <v>1053</v>
      </c>
      <c r="I886" s="8">
        <v>1062</v>
      </c>
      <c r="J886" s="8">
        <v>1065</v>
      </c>
      <c r="K886" s="8">
        <v>1035</v>
      </c>
      <c r="L886" s="8">
        <v>1081</v>
      </c>
      <c r="M886" s="8">
        <v>1082</v>
      </c>
      <c r="N886" s="8">
        <v>1114</v>
      </c>
      <c r="O886" s="8">
        <v>1123</v>
      </c>
      <c r="P886" s="8">
        <v>1107</v>
      </c>
      <c r="Q886" s="8">
        <v>1113</v>
      </c>
      <c r="R886" s="7">
        <f t="shared" si="9"/>
        <v>4.1268592854994512E-2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4.4" hidden="1">
      <c r="A887" s="3">
        <f>LOOKUP(D887,'AMFI DATA_2023H2'!F:L,'AMFI DATA_2023H2'!L:L)</f>
        <v>2533</v>
      </c>
      <c r="B887" s="4" t="s">
        <v>5323</v>
      </c>
      <c r="C887" s="4" t="s">
        <v>5324</v>
      </c>
      <c r="D887" s="5" t="s">
        <v>5325</v>
      </c>
      <c r="E887" s="5">
        <v>77.27</v>
      </c>
      <c r="F887" s="6">
        <f>LOOKUP(D887,'AMFI DATA_2023H2'!F:J,'AMFI DATA_2023H2'!J:J)</f>
        <v>76.343350000000001</v>
      </c>
      <c r="G887" s="7">
        <f t="shared" si="8"/>
        <v>0.108151528587624</v>
      </c>
      <c r="H887" s="9">
        <v>84.6</v>
      </c>
      <c r="I887" s="9">
        <v>81.099999999999994</v>
      </c>
      <c r="J887" s="9">
        <v>78.400000000000006</v>
      </c>
      <c r="K887" s="9">
        <v>79.099999999999994</v>
      </c>
      <c r="L887" s="9">
        <v>76.7</v>
      </c>
      <c r="M887" s="9">
        <v>74.2</v>
      </c>
      <c r="N887" s="9">
        <v>71.400000000000006</v>
      </c>
      <c r="O887" s="9">
        <v>75.2</v>
      </c>
      <c r="P887" s="9">
        <v>75.2</v>
      </c>
      <c r="Q887" s="9">
        <v>74.2</v>
      </c>
      <c r="R887" s="7">
        <f t="shared" si="9"/>
        <v>8.7322602427064577E-3</v>
      </c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4.4" hidden="1">
      <c r="A888" s="3">
        <f>LOOKUP(D888,'AMFI DATA_2023H2'!F:L,'AMFI DATA_2023H2'!L:L)</f>
        <v>1472</v>
      </c>
      <c r="B888" s="4" t="s">
        <v>3896</v>
      </c>
      <c r="C888" s="4" t="s">
        <v>3897</v>
      </c>
      <c r="D888" s="5" t="s">
        <v>3898</v>
      </c>
      <c r="E888" s="5">
        <v>534.30999999999995</v>
      </c>
      <c r="F888" s="6">
        <f>LOOKUP(D888,'AMFI DATA_2023H2'!F:J,'AMFI DATA_2023H2'!J:J)</f>
        <v>550.58895000000007</v>
      </c>
      <c r="G888" s="7">
        <f t="shared" si="8"/>
        <v>8.4293464298547782E-2</v>
      </c>
      <c r="H888" s="9">
        <v>597</v>
      </c>
      <c r="I888" s="9">
        <v>603</v>
      </c>
      <c r="J888" s="9">
        <v>588</v>
      </c>
      <c r="K888" s="9">
        <v>590</v>
      </c>
      <c r="L888" s="9">
        <v>586</v>
      </c>
      <c r="M888" s="9">
        <v>588</v>
      </c>
      <c r="N888" s="9">
        <v>594</v>
      </c>
      <c r="O888" s="9">
        <v>600</v>
      </c>
      <c r="P888" s="9">
        <v>618</v>
      </c>
      <c r="Q888" s="9">
        <v>591</v>
      </c>
      <c r="R888" s="7">
        <f t="shared" si="9"/>
        <v>8.1569108860611861E-2</v>
      </c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4.4" hidden="1">
      <c r="A889" s="3">
        <f>LOOKUP(D889,'AMFI DATA_2023H2'!F:L,'AMFI DATA_2023H2'!L:L)</f>
        <v>1836</v>
      </c>
      <c r="B889" s="4" t="s">
        <v>4517</v>
      </c>
      <c r="C889" s="4" t="s">
        <v>4518</v>
      </c>
      <c r="D889" s="5" t="s">
        <v>4519</v>
      </c>
      <c r="E889" s="5">
        <v>196.25</v>
      </c>
      <c r="F889" s="6">
        <f>LOOKUP(D889,'AMFI DATA_2023H2'!F:J,'AMFI DATA_2023H2'!J:J)</f>
        <v>255.52179999999998</v>
      </c>
      <c r="G889" s="7">
        <f t="shared" si="8"/>
        <v>1.3612145812999188E-2</v>
      </c>
      <c r="H889" s="9">
        <v>259</v>
      </c>
      <c r="I889" s="9">
        <v>261</v>
      </c>
      <c r="J889" s="9">
        <v>264</v>
      </c>
      <c r="K889" s="9">
        <v>254</v>
      </c>
      <c r="L889" s="9">
        <v>252</v>
      </c>
      <c r="M889" s="9">
        <v>251</v>
      </c>
      <c r="N889" s="9">
        <v>253</v>
      </c>
      <c r="O889" s="9">
        <v>253</v>
      </c>
      <c r="P889" s="9">
        <v>254</v>
      </c>
      <c r="Q889" s="9">
        <v>255</v>
      </c>
      <c r="R889" s="7">
        <f t="shared" si="9"/>
        <v>3.0604042394810627E-4</v>
      </c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4.4" hidden="1">
      <c r="A890" s="3">
        <f>LOOKUP(D890,'AMFI DATA_2023H2'!F:L,'AMFI DATA_2023H2'!L:L)</f>
        <v>219</v>
      </c>
      <c r="B890" s="4" t="s">
        <v>666</v>
      </c>
      <c r="C890" s="4" t="s">
        <v>667</v>
      </c>
      <c r="D890" s="5" t="s">
        <v>668</v>
      </c>
      <c r="E890" s="5">
        <v>22182.83</v>
      </c>
      <c r="F890" s="6">
        <f>LOOKUP(D890,'AMFI DATA_2023H2'!F:J,'AMFI DATA_2023H2'!J:J)</f>
        <v>26083.642650000002</v>
      </c>
      <c r="G890" s="7">
        <f t="shared" si="8"/>
        <v>4.3949281370790461E-2</v>
      </c>
      <c r="H890" s="8">
        <v>27230</v>
      </c>
      <c r="I890" s="8">
        <v>26963</v>
      </c>
      <c r="J890" s="8">
        <v>27060</v>
      </c>
      <c r="K890" s="8">
        <v>27259</v>
      </c>
      <c r="L890" s="8">
        <v>26850</v>
      </c>
      <c r="M890" s="8">
        <v>26903</v>
      </c>
      <c r="N890" s="8">
        <v>26976</v>
      </c>
      <c r="O890" s="8">
        <v>27279</v>
      </c>
      <c r="P890" s="8">
        <v>26313</v>
      </c>
      <c r="Q890" s="8">
        <v>26066</v>
      </c>
      <c r="R890" s="7">
        <f t="shared" si="9"/>
        <v>3.0910458359618698E-2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4.4" hidden="1">
      <c r="A891" s="3">
        <f>LOOKUP(D891,'AMFI DATA_2023H2'!F:L,'AMFI DATA_2023H2'!L:L)</f>
        <v>1997</v>
      </c>
      <c r="B891" s="4" t="s">
        <v>4736</v>
      </c>
      <c r="C891" s="4" t="s">
        <v>4737</v>
      </c>
      <c r="D891" s="5" t="s">
        <v>4738</v>
      </c>
      <c r="E891" s="5">
        <v>143.11000000000001</v>
      </c>
      <c r="F891" s="6">
        <f>LOOKUP(D891,'AMFI DATA_2023H2'!F:J,'AMFI DATA_2023H2'!J:J)</f>
        <v>189.0873</v>
      </c>
      <c r="G891" s="7">
        <f t="shared" si="8"/>
        <v>0.35387199457605023</v>
      </c>
      <c r="H891" s="9">
        <v>256</v>
      </c>
      <c r="I891" s="9">
        <v>254</v>
      </c>
      <c r="J891" s="9">
        <v>250</v>
      </c>
      <c r="K891" s="9">
        <v>252</v>
      </c>
      <c r="L891" s="9">
        <v>252</v>
      </c>
      <c r="M891" s="9">
        <v>254</v>
      </c>
      <c r="N891" s="9">
        <v>251</v>
      </c>
      <c r="O891" s="9">
        <v>255</v>
      </c>
      <c r="P891" s="9">
        <v>250</v>
      </c>
      <c r="Q891" s="9">
        <v>238</v>
      </c>
      <c r="R891" s="7">
        <f t="shared" si="9"/>
        <v>0.32848689467774927</v>
      </c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4.4" hidden="1">
      <c r="A892" s="3">
        <f>LOOKUP(D892,'AMFI DATA_2023H2'!F:L,'AMFI DATA_2023H2'!L:L)</f>
        <v>2661</v>
      </c>
      <c r="B892" s="4" t="s">
        <v>5422</v>
      </c>
      <c r="C892" s="4" t="s">
        <v>5423</v>
      </c>
      <c r="D892" s="5" t="s">
        <v>5424</v>
      </c>
      <c r="E892" s="5">
        <v>37.729999999999997</v>
      </c>
      <c r="F892" s="6">
        <f>LOOKUP(D892,'AMFI DATA_2023H2'!F:J,'AMFI DATA_2023H2'!J:J)</f>
        <v>61.874300000000005</v>
      </c>
      <c r="G892" s="7">
        <f t="shared" si="8"/>
        <v>0.36567201568340968</v>
      </c>
      <c r="H892" s="9">
        <v>84.5</v>
      </c>
      <c r="I892" s="9">
        <v>82.8</v>
      </c>
      <c r="J892" s="9">
        <v>81.2</v>
      </c>
      <c r="K892" s="9">
        <v>82.9</v>
      </c>
      <c r="L892" s="9">
        <v>84.6</v>
      </c>
      <c r="M892" s="9">
        <v>86.3</v>
      </c>
      <c r="N892" s="9">
        <v>88</v>
      </c>
      <c r="O892" s="9">
        <v>89.8</v>
      </c>
      <c r="P892" s="9">
        <v>101</v>
      </c>
      <c r="Q892" s="9">
        <v>98.3</v>
      </c>
      <c r="R892" s="7">
        <f t="shared" si="9"/>
        <v>0.42126860425087598</v>
      </c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4.4">
      <c r="A893" s="3">
        <f>LOOKUP(D893,'AMFI DATA_2023H2'!F:L,'AMFI DATA_2023H2'!L:L)</f>
        <v>380</v>
      </c>
      <c r="B893" s="4" t="s">
        <v>1146</v>
      </c>
      <c r="C893" s="4" t="s">
        <v>1147</v>
      </c>
      <c r="D893" s="5" t="s">
        <v>1148</v>
      </c>
      <c r="E893" s="5">
        <v>8369.1</v>
      </c>
      <c r="F893" s="6">
        <f>LOOKUP(D893,'AMFI DATA_2023H2'!F:J,'AMFI DATA_2023H2'!J:J)</f>
        <v>11139.094499999999</v>
      </c>
      <c r="G893" s="7">
        <f t="shared" si="8"/>
        <v>0.20422714790686092</v>
      </c>
      <c r="H893" s="8">
        <v>13414</v>
      </c>
      <c r="I893" s="8">
        <v>13398</v>
      </c>
      <c r="J893" s="8">
        <v>13445</v>
      </c>
      <c r="K893" s="8">
        <v>13501</v>
      </c>
      <c r="L893" s="8">
        <v>13710</v>
      </c>
      <c r="M893" s="8">
        <v>13529</v>
      </c>
      <c r="N893" s="8">
        <v>13525</v>
      </c>
      <c r="O893" s="8">
        <v>13200</v>
      </c>
      <c r="P893" s="8">
        <v>13120</v>
      </c>
      <c r="Q893" s="8">
        <v>13405</v>
      </c>
      <c r="R893" s="14">
        <f t="shared" si="9"/>
        <v>0.2051877286793824</v>
      </c>
      <c r="S893" s="8"/>
      <c r="T893" s="8">
        <v>167.2</v>
      </c>
      <c r="U893" s="15">
        <f ca="1">IFERROR(__xludf.DUMMYFUNCTION("GOOGLEFINANCE(C893,""PRICE"")"),170)</f>
        <v>170</v>
      </c>
      <c r="V893" s="13" t="s">
        <v>5787</v>
      </c>
      <c r="W893" s="7">
        <f ca="1">U893/T893-1</f>
        <v>1.674641148325362E-2</v>
      </c>
      <c r="X893" s="8"/>
      <c r="Y893" s="8"/>
      <c r="Z893" s="8"/>
      <c r="AA893" s="8"/>
      <c r="AB893" s="8"/>
    </row>
    <row r="894" spans="1:28" ht="14.4" hidden="1">
      <c r="A894" s="3">
        <f>LOOKUP(D894,'AMFI DATA_2023H2'!F:L,'AMFI DATA_2023H2'!L:L)</f>
        <v>3338</v>
      </c>
      <c r="B894" s="4" t="s">
        <v>5650</v>
      </c>
      <c r="C894" s="4" t="s">
        <v>5651</v>
      </c>
      <c r="D894" s="5" t="s">
        <v>5652</v>
      </c>
      <c r="E894" s="5">
        <v>15.74</v>
      </c>
      <c r="F894" s="6">
        <f>LOOKUP(D894,'AMFI DATA_2023H2'!F:J,'AMFI DATA_2023H2'!J:J)</f>
        <v>23.1767</v>
      </c>
      <c r="G894" s="7">
        <f t="shared" si="8"/>
        <v>0.39795570551458992</v>
      </c>
      <c r="H894" s="9">
        <v>32.4</v>
      </c>
      <c r="I894" s="9">
        <v>31.8</v>
      </c>
      <c r="J894" s="9">
        <v>31.2</v>
      </c>
      <c r="K894" s="9">
        <v>30.6</v>
      </c>
      <c r="L894" s="9">
        <v>30</v>
      </c>
      <c r="M894" s="9">
        <v>29.4</v>
      </c>
      <c r="N894" s="9">
        <v>29.6</v>
      </c>
      <c r="O894" s="9">
        <v>29.1</v>
      </c>
      <c r="P894" s="9">
        <v>29.1</v>
      </c>
      <c r="Q894" s="9">
        <v>28.7</v>
      </c>
      <c r="R894" s="7">
        <f t="shared" si="9"/>
        <v>0.30260131942856394</v>
      </c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4.4" hidden="1">
      <c r="A895" s="3">
        <f>LOOKUP(D895,'AMFI DATA_2023H2'!F:L,'AMFI DATA_2023H2'!L:L)</f>
        <v>753</v>
      </c>
      <c r="B895" s="4" t="s">
        <v>2204</v>
      </c>
      <c r="C895" s="4" t="s">
        <v>2205</v>
      </c>
      <c r="D895" s="5" t="s">
        <v>2206</v>
      </c>
      <c r="E895" s="5">
        <v>2924.51</v>
      </c>
      <c r="F895" s="6">
        <f>LOOKUP(D895,'AMFI DATA_2023H2'!F:J,'AMFI DATA_2023H2'!J:J)</f>
        <v>3308.1291499999998</v>
      </c>
      <c r="G895" s="7">
        <f t="shared" si="8"/>
        <v>0.11996836641036235</v>
      </c>
      <c r="H895" s="8">
        <v>3705</v>
      </c>
      <c r="I895" s="8">
        <v>3663</v>
      </c>
      <c r="J895" s="8">
        <v>3629</v>
      </c>
      <c r="K895" s="8">
        <v>3598</v>
      </c>
      <c r="L895" s="8">
        <v>3613</v>
      </c>
      <c r="M895" s="8">
        <v>3432</v>
      </c>
      <c r="N895" s="8">
        <v>3422</v>
      </c>
      <c r="O895" s="8">
        <v>3462</v>
      </c>
      <c r="P895" s="8">
        <v>3445</v>
      </c>
      <c r="Q895" s="8">
        <v>3419</v>
      </c>
      <c r="R895" s="7">
        <f t="shared" si="9"/>
        <v>6.9728489892844747E-2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4.4" hidden="1">
      <c r="A896" s="3">
        <f>LOOKUP(D896,'AMFI DATA_2023H2'!F:L,'AMFI DATA_2023H2'!L:L)</f>
        <v>3422</v>
      </c>
      <c r="B896" s="4" t="s">
        <v>5674</v>
      </c>
      <c r="C896" s="4" t="s">
        <v>5675</v>
      </c>
      <c r="D896" s="5" t="s">
        <v>5676</v>
      </c>
      <c r="E896" s="5">
        <v>12.4</v>
      </c>
      <c r="F896" s="6">
        <f>LOOKUP(D896,'AMFI DATA_2023H2'!F:J,'AMFI DATA_2023H2'!J:J)</f>
        <v>20.170099999999998</v>
      </c>
      <c r="G896" s="7">
        <f t="shared" si="8"/>
        <v>0.45760308575564834</v>
      </c>
      <c r="H896" s="9">
        <v>29.4</v>
      </c>
      <c r="I896" s="9">
        <v>29.1</v>
      </c>
      <c r="J896" s="9">
        <v>29.1</v>
      </c>
      <c r="K896" s="9">
        <v>29.2</v>
      </c>
      <c r="L896" s="9">
        <v>29.4</v>
      </c>
      <c r="M896" s="9">
        <v>28.7</v>
      </c>
      <c r="N896" s="9">
        <v>30.1</v>
      </c>
      <c r="O896" s="9">
        <v>29.9</v>
      </c>
      <c r="P896" s="9">
        <v>30.1</v>
      </c>
      <c r="Q896" s="9">
        <v>29.2</v>
      </c>
      <c r="R896" s="7">
        <f t="shared" si="9"/>
        <v>0.45859465248065212</v>
      </c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4.4" hidden="1">
      <c r="A897" s="3">
        <f>LOOKUP(D897,'AMFI DATA_2023H2'!F:L,'AMFI DATA_2023H2'!L:L)</f>
        <v>1553</v>
      </c>
      <c r="B897" s="4" t="s">
        <v>4061</v>
      </c>
      <c r="C897" s="4" t="s">
        <v>4062</v>
      </c>
      <c r="D897" s="5" t="s">
        <v>4063</v>
      </c>
      <c r="E897" s="5">
        <v>403.41</v>
      </c>
      <c r="F897" s="6">
        <f>LOOKUP(D897,'AMFI DATA_2023H2'!F:J,'AMFI DATA_2023H2'!J:J)</f>
        <v>453.91515000000004</v>
      </c>
      <c r="G897" s="7">
        <f t="shared" si="8"/>
        <v>-1.3031400251787284E-2</v>
      </c>
      <c r="H897" s="9">
        <v>448</v>
      </c>
      <c r="I897" s="9">
        <v>448</v>
      </c>
      <c r="J897" s="9">
        <v>453</v>
      </c>
      <c r="K897" s="9">
        <v>438</v>
      </c>
      <c r="L897" s="9">
        <v>442</v>
      </c>
      <c r="M897" s="9">
        <v>439</v>
      </c>
      <c r="N897" s="9">
        <v>411</v>
      </c>
      <c r="O897" s="9">
        <v>412</v>
      </c>
      <c r="P897" s="9">
        <v>410</v>
      </c>
      <c r="Q897" s="9">
        <v>416</v>
      </c>
      <c r="R897" s="7">
        <f t="shared" si="9"/>
        <v>-4.8941195287269146E-2</v>
      </c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4.4" hidden="1">
      <c r="A898" s="3">
        <f>LOOKUP(D898,'AMFI DATA_2023H2'!F:L,'AMFI DATA_2023H2'!L:L)</f>
        <v>344</v>
      </c>
      <c r="B898" s="4" t="s">
        <v>1041</v>
      </c>
      <c r="C898" s="4" t="s">
        <v>1042</v>
      </c>
      <c r="D898" s="5" t="s">
        <v>1043</v>
      </c>
      <c r="E898" s="5">
        <v>6040.37</v>
      </c>
      <c r="F898" s="6">
        <f>LOOKUP(D898,'AMFI DATA_2023H2'!F:J,'AMFI DATA_2023H2'!J:J)</f>
        <v>12702.314200000001</v>
      </c>
      <c r="G898" s="7">
        <f t="shared" si="8"/>
        <v>0.2901586074764233</v>
      </c>
      <c r="H898" s="8">
        <v>16388</v>
      </c>
      <c r="I898" s="8">
        <v>16114</v>
      </c>
      <c r="J898" s="8">
        <v>16510</v>
      </c>
      <c r="K898" s="8">
        <v>17015</v>
      </c>
      <c r="L898" s="8">
        <v>17066</v>
      </c>
      <c r="M898" s="8">
        <v>16677</v>
      </c>
      <c r="N898" s="8">
        <v>16657</v>
      </c>
      <c r="O898" s="8">
        <v>16515</v>
      </c>
      <c r="P898" s="8">
        <v>15307</v>
      </c>
      <c r="Q898" s="8">
        <v>15951</v>
      </c>
      <c r="R898" s="7">
        <f t="shared" si="9"/>
        <v>0.29267783346124432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4.4" hidden="1">
      <c r="A899" s="3">
        <f>LOOKUP(D899,'AMFI DATA_2023H2'!F:L,'AMFI DATA_2023H2'!L:L)</f>
        <v>1989</v>
      </c>
      <c r="B899" s="4" t="s">
        <v>4712</v>
      </c>
      <c r="C899" s="4" t="s">
        <v>4713</v>
      </c>
      <c r="D899" s="5" t="s">
        <v>4714</v>
      </c>
      <c r="E899" s="5">
        <v>183.21</v>
      </c>
      <c r="F899" s="6">
        <f>LOOKUP(D899,'AMFI DATA_2023H2'!F:J,'AMFI DATA_2023H2'!J:J)</f>
        <v>191.25459999999998</v>
      </c>
      <c r="G899" s="7">
        <f t="shared" si="8"/>
        <v>0.13984186524141129</v>
      </c>
      <c r="H899" s="9">
        <v>218</v>
      </c>
      <c r="I899" s="9">
        <v>202</v>
      </c>
      <c r="J899" s="9">
        <v>190</v>
      </c>
      <c r="K899" s="9">
        <v>189</v>
      </c>
      <c r="L899" s="9">
        <v>191</v>
      </c>
      <c r="M899" s="9">
        <v>192</v>
      </c>
      <c r="N899" s="9">
        <v>192</v>
      </c>
      <c r="O899" s="9">
        <v>192</v>
      </c>
      <c r="P899" s="9">
        <v>192</v>
      </c>
      <c r="Q899" s="9">
        <v>192</v>
      </c>
      <c r="R899" s="7">
        <f t="shared" si="9"/>
        <v>1.9583319826033119E-2</v>
      </c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4.4">
      <c r="A900" s="3">
        <f>LOOKUP(D900,'AMFI DATA_2023H2'!F:L,'AMFI DATA_2023H2'!L:L)</f>
        <v>1012</v>
      </c>
      <c r="B900" s="4" t="s">
        <v>2897</v>
      </c>
      <c r="C900" s="4" t="s">
        <v>2898</v>
      </c>
      <c r="D900" s="5" t="s">
        <v>2899</v>
      </c>
      <c r="E900" s="5">
        <v>1341.17</v>
      </c>
      <c r="F900" s="6">
        <f>LOOKUP(D900,'AMFI DATA_2023H2'!F:J,'AMFI DATA_2023H2'!J:J)</f>
        <v>1658.8737000000001</v>
      </c>
      <c r="G900" s="7">
        <f t="shared" si="8"/>
        <v>0.41059563485755413</v>
      </c>
      <c r="H900" s="8">
        <v>2340</v>
      </c>
      <c r="I900" s="8">
        <v>2219</v>
      </c>
      <c r="J900" s="8">
        <v>2011</v>
      </c>
      <c r="K900" s="8">
        <v>1949</v>
      </c>
      <c r="L900" s="8">
        <v>1934</v>
      </c>
      <c r="M900" s="8">
        <v>1971</v>
      </c>
      <c r="N900" s="8">
        <v>1996</v>
      </c>
      <c r="O900" s="8">
        <v>1980</v>
      </c>
      <c r="P900" s="8">
        <v>2005</v>
      </c>
      <c r="Q900" s="8">
        <v>1983</v>
      </c>
      <c r="R900" s="14">
        <f t="shared" si="9"/>
        <v>0.22902665826819724</v>
      </c>
      <c r="S900" s="8"/>
      <c r="T900" s="8">
        <v>182.7</v>
      </c>
      <c r="U900" s="15">
        <f ca="1">IFERROR(__xludf.DUMMYFUNCTION("GOOGLEFINANCE(C900,""PRICE"")"),185.4)</f>
        <v>185.4</v>
      </c>
      <c r="V900" s="13" t="s">
        <v>5787</v>
      </c>
      <c r="W900" s="7">
        <f ca="1">U900/T900-1</f>
        <v>1.4778325123152802E-2</v>
      </c>
      <c r="X900" s="8"/>
      <c r="Y900" s="8"/>
      <c r="Z900" s="8"/>
      <c r="AA900" s="8"/>
      <c r="AB900" s="8"/>
    </row>
    <row r="901" spans="1:28" ht="14.4" hidden="1">
      <c r="A901" s="3">
        <f>LOOKUP(D901,'AMFI DATA_2023H2'!F:L,'AMFI DATA_2023H2'!L:L)</f>
        <v>1628</v>
      </c>
      <c r="B901" s="4" t="s">
        <v>4205</v>
      </c>
      <c r="C901" s="4" t="s">
        <v>4206</v>
      </c>
      <c r="D901" s="5" t="s">
        <v>4207</v>
      </c>
      <c r="E901" s="5">
        <v>291.92</v>
      </c>
      <c r="F901" s="6">
        <f>LOOKUP(D901,'AMFI DATA_2023H2'!F:J,'AMFI DATA_2023H2'!J:J)</f>
        <v>385.39274999999998</v>
      </c>
      <c r="G901" s="7">
        <f t="shared" si="8"/>
        <v>9.7581622902869869E-2</v>
      </c>
      <c r="H901" s="9">
        <v>423</v>
      </c>
      <c r="I901" s="9">
        <v>420</v>
      </c>
      <c r="J901" s="9">
        <v>419</v>
      </c>
      <c r="K901" s="9">
        <v>418</v>
      </c>
      <c r="L901" s="9">
        <v>410</v>
      </c>
      <c r="M901" s="9">
        <v>402</v>
      </c>
      <c r="N901" s="9">
        <v>403</v>
      </c>
      <c r="O901" s="9">
        <v>408</v>
      </c>
      <c r="P901" s="9">
        <v>416</v>
      </c>
      <c r="Q901" s="9">
        <v>419</v>
      </c>
      <c r="R901" s="7">
        <f t="shared" si="9"/>
        <v>7.3709871293635043E-2</v>
      </c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4.4" hidden="1">
      <c r="A902" s="3">
        <f>LOOKUP(D902,'AMFI DATA_2023H2'!F:L,'AMFI DATA_2023H2'!L:L)</f>
        <v>823</v>
      </c>
      <c r="B902" s="4" t="s">
        <v>2390</v>
      </c>
      <c r="C902" s="4" t="s">
        <v>2391</v>
      </c>
      <c r="D902" s="5" t="s">
        <v>2392</v>
      </c>
      <c r="E902" s="5">
        <v>1428.5</v>
      </c>
      <c r="F902" s="6">
        <f>LOOKUP(D902,'AMFI DATA_2023H2'!F:J,'AMFI DATA_2023H2'!J:J)</f>
        <v>2694.3303999999998</v>
      </c>
      <c r="G902" s="7">
        <f t="shared" si="8"/>
        <v>0.32017958896206644</v>
      </c>
      <c r="H902" s="8">
        <v>3557</v>
      </c>
      <c r="I902" s="8">
        <v>3572</v>
      </c>
      <c r="J902" s="8">
        <v>3661</v>
      </c>
      <c r="K902" s="8">
        <v>3548</v>
      </c>
      <c r="L902" s="8">
        <v>3492</v>
      </c>
      <c r="M902" s="8">
        <v>3553</v>
      </c>
      <c r="N902" s="8">
        <v>3546</v>
      </c>
      <c r="O902" s="8">
        <v>3556</v>
      </c>
      <c r="P902" s="8">
        <v>3483</v>
      </c>
      <c r="Q902" s="8">
        <v>3361</v>
      </c>
      <c r="R902" s="7">
        <f t="shared" si="9"/>
        <v>0.3112348804734566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4.4" hidden="1">
      <c r="A903" s="3">
        <f>LOOKUP(D903,'AMFI DATA_2023H2'!F:L,'AMFI DATA_2023H2'!L:L)</f>
        <v>303</v>
      </c>
      <c r="B903" s="4" t="s">
        <v>918</v>
      </c>
      <c r="C903" s="4" t="s">
        <v>919</v>
      </c>
      <c r="D903" s="5" t="s">
        <v>920</v>
      </c>
      <c r="E903" s="5">
        <v>12676.58</v>
      </c>
      <c r="F903" s="6">
        <f>LOOKUP(D903,'AMFI DATA_2023H2'!F:J,'AMFI DATA_2023H2'!J:J)</f>
        <v>16142.655849999999</v>
      </c>
      <c r="G903" s="7">
        <f t="shared" si="8"/>
        <v>-3.6899495072863053E-2</v>
      </c>
      <c r="H903" s="8">
        <v>15547</v>
      </c>
      <c r="I903" s="8">
        <v>15186</v>
      </c>
      <c r="J903" s="8">
        <v>15322</v>
      </c>
      <c r="K903" s="8">
        <v>15486</v>
      </c>
      <c r="L903" s="8">
        <v>15605</v>
      </c>
      <c r="M903" s="8">
        <v>15141</v>
      </c>
      <c r="N903" s="8">
        <v>15202</v>
      </c>
      <c r="O903" s="8">
        <v>15184</v>
      </c>
      <c r="P903" s="8">
        <v>15230</v>
      </c>
      <c r="Q903" s="8">
        <v>15393</v>
      </c>
      <c r="R903" s="7">
        <f t="shared" si="9"/>
        <v>-5.0366919641664731E-2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4.4">
      <c r="A904" s="3">
        <f>LOOKUP(D904,'AMFI DATA_2023H2'!F:L,'AMFI DATA_2023H2'!L:L)</f>
        <v>237</v>
      </c>
      <c r="B904" s="4" t="s">
        <v>720</v>
      </c>
      <c r="C904" s="4" t="s">
        <v>721</v>
      </c>
      <c r="D904" s="5" t="s">
        <v>722</v>
      </c>
      <c r="E904" s="5">
        <v>16238.87</v>
      </c>
      <c r="F904" s="6">
        <f>LOOKUP(D904,'AMFI DATA_2023H2'!F:J,'AMFI DATA_2023H2'!J:J)</f>
        <v>23723.8367</v>
      </c>
      <c r="G904" s="7">
        <f t="shared" si="8"/>
        <v>0.2822546531860084</v>
      </c>
      <c r="H904" s="8">
        <v>30420</v>
      </c>
      <c r="I904" s="8">
        <v>30194</v>
      </c>
      <c r="J904" s="8">
        <v>29220</v>
      </c>
      <c r="K904" s="8">
        <v>28727</v>
      </c>
      <c r="L904" s="8">
        <v>28875</v>
      </c>
      <c r="M904" s="8">
        <v>29354</v>
      </c>
      <c r="N904" s="8">
        <v>29676</v>
      </c>
      <c r="O904" s="8">
        <v>28154</v>
      </c>
      <c r="P904" s="8">
        <v>27717</v>
      </c>
      <c r="Q904" s="8">
        <v>27584</v>
      </c>
      <c r="R904" s="14">
        <f t="shared" si="9"/>
        <v>0.22206624361058758</v>
      </c>
      <c r="S904" s="8"/>
      <c r="T904" s="8">
        <v>3375</v>
      </c>
      <c r="U904" s="15">
        <f ca="1">IFERROR(__xludf.DUMMYFUNCTION("GOOGLEFINANCE(C904,""PRICE"")"),3035)</f>
        <v>3035</v>
      </c>
      <c r="V904" s="13" t="s">
        <v>5787</v>
      </c>
      <c r="W904" s="7">
        <f ca="1">U904/T904-1</f>
        <v>-0.10074074074074069</v>
      </c>
      <c r="X904" s="8"/>
      <c r="Y904" s="8"/>
      <c r="Z904" s="8"/>
      <c r="AA904" s="8"/>
      <c r="AB904" s="8"/>
    </row>
    <row r="905" spans="1:28" ht="14.4" hidden="1">
      <c r="A905" s="3">
        <f>LOOKUP(D905,'AMFI DATA_2023H2'!F:L,'AMFI DATA_2023H2'!L:L)</f>
        <v>1293</v>
      </c>
      <c r="B905" s="4" t="s">
        <v>3554</v>
      </c>
      <c r="C905" s="4" t="s">
        <v>3555</v>
      </c>
      <c r="D905" s="5" t="s">
        <v>3556</v>
      </c>
      <c r="E905" s="5">
        <v>544.79</v>
      </c>
      <c r="F905" s="6">
        <f>LOOKUP(D905,'AMFI DATA_2023H2'!F:J,'AMFI DATA_2023H2'!J:J)</f>
        <v>821.17695000000003</v>
      </c>
      <c r="G905" s="7">
        <f t="shared" si="8"/>
        <v>0.22994197535622485</v>
      </c>
      <c r="H905" s="9">
        <v>1010</v>
      </c>
      <c r="I905" s="9">
        <v>1010</v>
      </c>
      <c r="J905" s="9">
        <v>1026</v>
      </c>
      <c r="K905" s="9">
        <v>1002</v>
      </c>
      <c r="L905" s="9">
        <v>982</v>
      </c>
      <c r="M905" s="9">
        <v>980</v>
      </c>
      <c r="N905" s="9">
        <v>954</v>
      </c>
      <c r="O905" s="9">
        <v>980</v>
      </c>
      <c r="P905" s="9">
        <v>965</v>
      </c>
      <c r="Q905" s="9">
        <v>975</v>
      </c>
      <c r="R905" s="7">
        <f t="shared" si="9"/>
        <v>0.20363826578425015</v>
      </c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4.4" hidden="1">
      <c r="A906" s="3">
        <f>LOOKUP(D906,'AMFI DATA_2023H2'!F:L,'AMFI DATA_2023H2'!L:L)</f>
        <v>1331</v>
      </c>
      <c r="B906" s="4" t="s">
        <v>3632</v>
      </c>
      <c r="C906" s="4" t="s">
        <v>3633</v>
      </c>
      <c r="D906" s="5" t="s">
        <v>3634</v>
      </c>
      <c r="E906" s="5">
        <v>409.44</v>
      </c>
      <c r="F906" s="6">
        <f>LOOKUP(D906,'AMFI DATA_2023H2'!F:J,'AMFI DATA_2023H2'!J:J)</f>
        <v>748.75509999999997</v>
      </c>
      <c r="G906" s="7">
        <f t="shared" si="8"/>
        <v>0.25675270859590804</v>
      </c>
      <c r="H906" s="9">
        <v>941</v>
      </c>
      <c r="I906" s="9">
        <v>954</v>
      </c>
      <c r="J906" s="9">
        <v>972</v>
      </c>
      <c r="K906" s="9">
        <v>995</v>
      </c>
      <c r="L906" s="9">
        <v>949</v>
      </c>
      <c r="M906" s="9">
        <v>937</v>
      </c>
      <c r="N906" s="9">
        <v>951</v>
      </c>
      <c r="O906" s="9">
        <v>941</v>
      </c>
      <c r="P906" s="9">
        <v>933</v>
      </c>
      <c r="Q906" s="9">
        <v>959</v>
      </c>
      <c r="R906" s="7">
        <f t="shared" si="9"/>
        <v>0.27304642065209306</v>
      </c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4.4" hidden="1">
      <c r="A907" s="3">
        <f>LOOKUP(D907,'AMFI DATA_2023H2'!F:L,'AMFI DATA_2023H2'!L:L)</f>
        <v>772</v>
      </c>
      <c r="B907" s="4" t="s">
        <v>2258</v>
      </c>
      <c r="C907" s="4" t="s">
        <v>2259</v>
      </c>
      <c r="D907" s="5" t="s">
        <v>2260</v>
      </c>
      <c r="E907" s="5">
        <v>1885.75</v>
      </c>
      <c r="F907" s="6">
        <f>LOOKUP(D907,'AMFI DATA_2023H2'!F:J,'AMFI DATA_2023H2'!J:J)</f>
        <v>3117.5967500000002</v>
      </c>
      <c r="G907" s="7">
        <f t="shared" si="8"/>
        <v>0.70002743298985015</v>
      </c>
      <c r="H907" s="8">
        <v>5300</v>
      </c>
      <c r="I907" s="8">
        <v>5308</v>
      </c>
      <c r="J907" s="8">
        <v>5345</v>
      </c>
      <c r="K907" s="8">
        <v>5370</v>
      </c>
      <c r="L907" s="8">
        <v>5493</v>
      </c>
      <c r="M907" s="8">
        <v>5477</v>
      </c>
      <c r="N907" s="8">
        <v>5474</v>
      </c>
      <c r="O907" s="8">
        <v>5498</v>
      </c>
      <c r="P907" s="8">
        <v>5241</v>
      </c>
      <c r="Q907" s="8">
        <v>5190</v>
      </c>
      <c r="R907" s="7">
        <f t="shared" si="9"/>
        <v>0.72235232154383033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4.4" hidden="1">
      <c r="A908" s="3">
        <f>LOOKUP(D908,'AMFI DATA_2023H2'!F:L,'AMFI DATA_2023H2'!L:L)</f>
        <v>650</v>
      </c>
      <c r="B908" s="4" t="s">
        <v>1908</v>
      </c>
      <c r="C908" s="4" t="s">
        <v>1909</v>
      </c>
      <c r="D908" s="5" t="s">
        <v>1910</v>
      </c>
      <c r="E908" s="5">
        <v>2845.43</v>
      </c>
      <c r="F908" s="6">
        <f>LOOKUP(D908,'AMFI DATA_2023H2'!F:J,'AMFI DATA_2023H2'!J:J)</f>
        <v>4440.1033499999994</v>
      </c>
      <c r="G908" s="7">
        <f t="shared" si="8"/>
        <v>6.7542718346860209E-2</v>
      </c>
      <c r="H908" s="8">
        <v>4740</v>
      </c>
      <c r="I908" s="8">
        <v>4682</v>
      </c>
      <c r="J908" s="8">
        <v>4726</v>
      </c>
      <c r="K908" s="8">
        <v>4788</v>
      </c>
      <c r="L908" s="8">
        <v>4870</v>
      </c>
      <c r="M908" s="8">
        <v>4702</v>
      </c>
      <c r="N908" s="8">
        <v>4725</v>
      </c>
      <c r="O908" s="8">
        <v>4838</v>
      </c>
      <c r="P908" s="8">
        <v>4859</v>
      </c>
      <c r="Q908" s="8">
        <v>4755</v>
      </c>
      <c r="R908" s="7">
        <f t="shared" si="9"/>
        <v>7.3961487855907837E-2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4.4" hidden="1">
      <c r="A909" s="3">
        <f>LOOKUP(D909,'AMFI DATA_2023H2'!F:L,'AMFI DATA_2023H2'!L:L)</f>
        <v>2519</v>
      </c>
      <c r="B909" s="4" t="s">
        <v>5302</v>
      </c>
      <c r="C909" s="4" t="s">
        <v>5303</v>
      </c>
      <c r="D909" s="5" t="s">
        <v>5304</v>
      </c>
      <c r="E909" s="5">
        <v>67.64</v>
      </c>
      <c r="F909" s="6">
        <f>LOOKUP(D909,'AMFI DATA_2023H2'!F:J,'AMFI DATA_2023H2'!J:J)</f>
        <v>78.983599999999996</v>
      </c>
      <c r="G909" s="7">
        <f t="shared" si="8"/>
        <v>0.10149448746322021</v>
      </c>
      <c r="H909" s="9">
        <v>87</v>
      </c>
      <c r="I909" s="9">
        <v>87.1</v>
      </c>
      <c r="J909" s="9">
        <v>88.1</v>
      </c>
      <c r="K909" s="9">
        <v>87.7</v>
      </c>
      <c r="L909" s="9">
        <v>86</v>
      </c>
      <c r="M909" s="9">
        <v>86.6</v>
      </c>
      <c r="N909" s="9">
        <v>82.1</v>
      </c>
      <c r="O909" s="9">
        <v>84.2</v>
      </c>
      <c r="P909" s="9">
        <v>83.2</v>
      </c>
      <c r="Q909" s="9">
        <v>82.9</v>
      </c>
      <c r="R909" s="7">
        <f t="shared" si="9"/>
        <v>8.237659463483582E-2</v>
      </c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4.4" hidden="1">
      <c r="A910" s="3">
        <f>LOOKUP(D910,'AMFI DATA_2023H2'!F:L,'AMFI DATA_2023H2'!L:L)</f>
        <v>539</v>
      </c>
      <c r="B910" s="4" t="s">
        <v>1596</v>
      </c>
      <c r="C910" s="4" t="s">
        <v>1597</v>
      </c>
      <c r="D910" s="5" t="s">
        <v>1598</v>
      </c>
      <c r="E910" s="5">
        <v>5577.31</v>
      </c>
      <c r="F910" s="6">
        <f>LOOKUP(D910,'AMFI DATA_2023H2'!F:J,'AMFI DATA_2023H2'!J:J)</f>
        <v>6592.7456000000002</v>
      </c>
      <c r="G910" s="7">
        <f t="shared" si="8"/>
        <v>0.14019263840546192</v>
      </c>
      <c r="H910" s="8">
        <v>7517</v>
      </c>
      <c r="I910" s="8">
        <v>7704</v>
      </c>
      <c r="J910" s="8">
        <v>7237</v>
      </c>
      <c r="K910" s="8">
        <v>7455</v>
      </c>
      <c r="L910" s="8">
        <v>7243</v>
      </c>
      <c r="M910" s="8">
        <v>7282</v>
      </c>
      <c r="N910" s="8">
        <v>7029</v>
      </c>
      <c r="O910" s="8">
        <v>7032</v>
      </c>
      <c r="P910" s="8">
        <v>6974</v>
      </c>
      <c r="Q910" s="8">
        <v>6976</v>
      </c>
      <c r="R910" s="7">
        <f t="shared" si="9"/>
        <v>9.8920000796026475E-2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4.4" hidden="1">
      <c r="A911" s="3">
        <f>LOOKUP(D911,'AMFI DATA_2023H2'!F:L,'AMFI DATA_2023H2'!L:L)</f>
        <v>486</v>
      </c>
      <c r="B911" s="4" t="s">
        <v>1443</v>
      </c>
      <c r="C911" s="4" t="s">
        <v>1444</v>
      </c>
      <c r="D911" s="5" t="s">
        <v>1445</v>
      </c>
      <c r="E911" s="5">
        <v>5364.55</v>
      </c>
      <c r="F911" s="6">
        <f>LOOKUP(D911,'AMFI DATA_2023H2'!F:J,'AMFI DATA_2023H2'!J:J)</f>
        <v>7640.8702499999999</v>
      </c>
      <c r="G911" s="7">
        <f t="shared" si="8"/>
        <v>0.13246262753905547</v>
      </c>
      <c r="H911" s="8">
        <v>8653</v>
      </c>
      <c r="I911" s="8">
        <v>8473</v>
      </c>
      <c r="J911" s="8">
        <v>8379</v>
      </c>
      <c r="K911" s="8">
        <v>8219</v>
      </c>
      <c r="L911" s="8">
        <v>8251</v>
      </c>
      <c r="M911" s="8">
        <v>8226</v>
      </c>
      <c r="N911" s="8">
        <v>8413</v>
      </c>
      <c r="O911" s="8">
        <v>8582</v>
      </c>
      <c r="P911" s="8">
        <v>8584</v>
      </c>
      <c r="Q911" s="8">
        <v>8393</v>
      </c>
      <c r="R911" s="7">
        <f t="shared" si="9"/>
        <v>0.10161535592100912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4.4" hidden="1">
      <c r="A912" s="3">
        <f>LOOKUP(D912,'AMFI DATA_2023H2'!F:L,'AMFI DATA_2023H2'!L:L)</f>
        <v>1464</v>
      </c>
      <c r="B912" s="4" t="s">
        <v>3884</v>
      </c>
      <c r="C912" s="4" t="s">
        <v>3885</v>
      </c>
      <c r="D912" s="5" t="s">
        <v>3886</v>
      </c>
      <c r="E912" s="5">
        <v>387.47</v>
      </c>
      <c r="F912" s="6">
        <f>LOOKUP(D912,'AMFI DATA_2023H2'!F:J,'AMFI DATA_2023H2'!J:J)</f>
        <v>559.7016000000001</v>
      </c>
      <c r="G912" s="7">
        <f t="shared" si="8"/>
        <v>0.15597311138649572</v>
      </c>
      <c r="H912" s="9">
        <v>647</v>
      </c>
      <c r="I912" s="9">
        <v>629</v>
      </c>
      <c r="J912" s="9">
        <v>650</v>
      </c>
      <c r="K912" s="9">
        <v>632</v>
      </c>
      <c r="L912" s="9">
        <v>631</v>
      </c>
      <c r="M912" s="9">
        <v>647</v>
      </c>
      <c r="N912" s="9">
        <v>633</v>
      </c>
      <c r="O912" s="9">
        <v>654</v>
      </c>
      <c r="P912" s="9">
        <v>667</v>
      </c>
      <c r="Q912" s="9">
        <v>666</v>
      </c>
      <c r="R912" s="7">
        <f t="shared" si="9"/>
        <v>0.15347177853341831</v>
      </c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4.4" hidden="1">
      <c r="A913" s="3">
        <f>LOOKUP(D913,'AMFI DATA_2023H2'!F:L,'AMFI DATA_2023H2'!L:L)</f>
        <v>3230</v>
      </c>
      <c r="B913" s="4" t="s">
        <v>5629</v>
      </c>
      <c r="C913" s="4" t="s">
        <v>5630</v>
      </c>
      <c r="D913" s="5" t="s">
        <v>5631</v>
      </c>
      <c r="E913" s="5">
        <v>22.04</v>
      </c>
      <c r="F913" s="6">
        <f>LOOKUP(D913,'AMFI DATA_2023H2'!F:J,'AMFI DATA_2023H2'!J:J)</f>
        <v>26.681799999999999</v>
      </c>
      <c r="G913" s="7">
        <f t="shared" si="8"/>
        <v>3.4412970639162266E-2</v>
      </c>
      <c r="H913" s="9">
        <v>27.6</v>
      </c>
      <c r="I913" s="9">
        <v>27.6</v>
      </c>
      <c r="J913" s="9">
        <v>27.4</v>
      </c>
      <c r="K913" s="9">
        <v>28</v>
      </c>
      <c r="L913" s="9">
        <v>28.6</v>
      </c>
      <c r="M913" s="9">
        <v>28.5</v>
      </c>
      <c r="N913" s="9">
        <v>27.6</v>
      </c>
      <c r="O913" s="9">
        <v>29.2</v>
      </c>
      <c r="P913" s="9">
        <v>29.2</v>
      </c>
      <c r="Q913" s="9">
        <v>27.2</v>
      </c>
      <c r="R913" s="7">
        <f t="shared" si="9"/>
        <v>5.2777548741089308E-2</v>
      </c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4.4" hidden="1">
      <c r="A914" s="3">
        <f>LOOKUP(D914,'AMFI DATA_2023H2'!F:L,'AMFI DATA_2023H2'!L:L)</f>
        <v>1407</v>
      </c>
      <c r="B914" s="4" t="s">
        <v>3788</v>
      </c>
      <c r="C914" s="4" t="s">
        <v>3789</v>
      </c>
      <c r="D914" s="5" t="s">
        <v>3790</v>
      </c>
      <c r="E914" s="5">
        <v>676.38</v>
      </c>
      <c r="F914" s="6">
        <f>LOOKUP(D914,'AMFI DATA_2023H2'!F:J,'AMFI DATA_2023H2'!J:J)</f>
        <v>637.58075000000008</v>
      </c>
      <c r="G914" s="7">
        <f t="shared" si="8"/>
        <v>0.1277002952175077</v>
      </c>
      <c r="H914" s="9">
        <v>719</v>
      </c>
      <c r="I914" s="9">
        <v>742</v>
      </c>
      <c r="J914" s="9">
        <v>731</v>
      </c>
      <c r="K914" s="9">
        <v>744</v>
      </c>
      <c r="L914" s="9">
        <v>707</v>
      </c>
      <c r="M914" s="9">
        <v>669</v>
      </c>
      <c r="N914" s="9">
        <v>679</v>
      </c>
      <c r="O914" s="9">
        <v>677</v>
      </c>
      <c r="P914" s="9">
        <v>659</v>
      </c>
      <c r="Q914" s="9">
        <v>652</v>
      </c>
      <c r="R914" s="7">
        <f t="shared" si="9"/>
        <v>9.4606447889149514E-2</v>
      </c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4.4" hidden="1">
      <c r="A915" s="3">
        <f>LOOKUP(D915,'AMFI DATA_2023H2'!F:L,'AMFI DATA_2023H2'!L:L)</f>
        <v>2981</v>
      </c>
      <c r="B915" s="4" t="s">
        <v>5542</v>
      </c>
      <c r="C915" s="4" t="s">
        <v>5543</v>
      </c>
      <c r="D915" s="5" t="s">
        <v>5544</v>
      </c>
      <c r="E915" s="5">
        <v>47.41</v>
      </c>
      <c r="F915" s="6">
        <f>LOOKUP(D915,'AMFI DATA_2023H2'!F:J,'AMFI DATA_2023H2'!J:J)</f>
        <v>39.201899999999995</v>
      </c>
      <c r="G915" s="7">
        <f t="shared" si="8"/>
        <v>8.1580229529691239E-2</v>
      </c>
      <c r="H915" s="9">
        <v>42.4</v>
      </c>
      <c r="I915" s="9">
        <v>42.8</v>
      </c>
      <c r="J915" s="9">
        <v>39</v>
      </c>
      <c r="K915" s="9">
        <v>39.700000000000003</v>
      </c>
      <c r="L915" s="9">
        <v>39.1</v>
      </c>
      <c r="M915" s="9">
        <v>39.1</v>
      </c>
      <c r="N915" s="9">
        <v>38.6</v>
      </c>
      <c r="O915" s="9">
        <v>40.6</v>
      </c>
      <c r="P915" s="9">
        <v>42</v>
      </c>
      <c r="Q915" s="9">
        <v>38.700000000000003</v>
      </c>
      <c r="R915" s="7">
        <f t="shared" si="9"/>
        <v>2.546050063899985E-2</v>
      </c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4.4" hidden="1">
      <c r="A916" s="3">
        <f>LOOKUP(D916,'AMFI DATA_2023H2'!F:L,'AMFI DATA_2023H2'!L:L)</f>
        <v>1609</v>
      </c>
      <c r="B916" s="4" t="s">
        <v>4163</v>
      </c>
      <c r="C916" s="4" t="s">
        <v>4164</v>
      </c>
      <c r="D916" s="5" t="s">
        <v>4165</v>
      </c>
      <c r="E916" s="5">
        <v>264.70999999999998</v>
      </c>
      <c r="F916" s="6">
        <f>LOOKUP(D916,'AMFI DATA_2023H2'!F:J,'AMFI DATA_2023H2'!J:J)</f>
        <v>405.44484999999997</v>
      </c>
      <c r="G916" s="7">
        <f t="shared" si="8"/>
        <v>0.53411740215716152</v>
      </c>
      <c r="H916" s="9">
        <v>622</v>
      </c>
      <c r="I916" s="9">
        <v>586</v>
      </c>
      <c r="J916" s="9">
        <v>566</v>
      </c>
      <c r="K916" s="9">
        <v>561</v>
      </c>
      <c r="L916" s="9">
        <v>584</v>
      </c>
      <c r="M916" s="9">
        <v>600</v>
      </c>
      <c r="N916" s="9">
        <v>600</v>
      </c>
      <c r="O916" s="9">
        <v>603</v>
      </c>
      <c r="P916" s="9">
        <v>592</v>
      </c>
      <c r="Q916" s="9">
        <v>615</v>
      </c>
      <c r="R916" s="7">
        <f t="shared" si="9"/>
        <v>0.46234438543244538</v>
      </c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4.4" hidden="1">
      <c r="A917" s="3">
        <f>LOOKUP(D917,'AMFI DATA_2023H2'!F:L,'AMFI DATA_2023H2'!L:L)</f>
        <v>822</v>
      </c>
      <c r="B917" s="4" t="s">
        <v>2387</v>
      </c>
      <c r="C917" s="4" t="s">
        <v>2388</v>
      </c>
      <c r="D917" s="5" t="s">
        <v>2389</v>
      </c>
      <c r="E917" s="5">
        <v>1891.56</v>
      </c>
      <c r="F917" s="6">
        <f>LOOKUP(D917,'AMFI DATA_2023H2'!F:J,'AMFI DATA_2023H2'!J:J)</f>
        <v>2719.7538</v>
      </c>
      <c r="G917" s="7">
        <f t="shared" si="8"/>
        <v>6.7087690069593808E-3</v>
      </c>
      <c r="H917" s="8">
        <v>2738</v>
      </c>
      <c r="I917" s="8">
        <v>2734</v>
      </c>
      <c r="J917" s="8">
        <v>2761</v>
      </c>
      <c r="K917" s="8">
        <v>2781</v>
      </c>
      <c r="L917" s="8">
        <v>2794</v>
      </c>
      <c r="M917" s="8">
        <v>2886</v>
      </c>
      <c r="N917" s="8">
        <v>2811</v>
      </c>
      <c r="O917" s="8">
        <v>2804</v>
      </c>
      <c r="P917" s="8">
        <v>2762</v>
      </c>
      <c r="Q917" s="8">
        <v>2702</v>
      </c>
      <c r="R917" s="7">
        <f t="shared" si="9"/>
        <v>2.1158606341500574E-2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4.4" hidden="1">
      <c r="A918" s="3">
        <f>LOOKUP(D918,'AMFI DATA_2023H2'!F:L,'AMFI DATA_2023H2'!L:L)</f>
        <v>292</v>
      </c>
      <c r="B918" s="4" t="s">
        <v>885</v>
      </c>
      <c r="C918" s="4" t="s">
        <v>886</v>
      </c>
      <c r="D918" s="5" t="s">
        <v>887</v>
      </c>
      <c r="E918" s="5">
        <v>11854.88</v>
      </c>
      <c r="F918" s="6">
        <f>LOOKUP(D918,'AMFI DATA_2023H2'!F:J,'AMFI DATA_2023H2'!J:J)</f>
        <v>17362.437177861615</v>
      </c>
      <c r="G918" s="7">
        <f t="shared" si="8"/>
        <v>0.32648428121405781</v>
      </c>
      <c r="H918" s="8">
        <v>23031</v>
      </c>
      <c r="I918" s="8">
        <v>23295</v>
      </c>
      <c r="J918" s="8">
        <v>23171</v>
      </c>
      <c r="K918" s="8">
        <v>23769</v>
      </c>
      <c r="L918" s="8">
        <v>23815</v>
      </c>
      <c r="M918" s="8">
        <v>22399</v>
      </c>
      <c r="N918" s="8">
        <v>22775</v>
      </c>
      <c r="O918" s="8">
        <v>22912</v>
      </c>
      <c r="P918" s="8">
        <v>23198</v>
      </c>
      <c r="Q918" s="8">
        <v>22952</v>
      </c>
      <c r="R918" s="7">
        <f t="shared" si="9"/>
        <v>0.33228415821107316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4.4" hidden="1">
      <c r="A919" s="3">
        <f>LOOKUP(D919,'AMFI DATA_2023H2'!F:L,'AMFI DATA_2023H2'!L:L)</f>
        <v>1053</v>
      </c>
      <c r="B919" s="4" t="s">
        <v>3002</v>
      </c>
      <c r="C919" s="4" t="s">
        <v>3003</v>
      </c>
      <c r="D919" s="5" t="s">
        <v>3004</v>
      </c>
      <c r="E919" s="5">
        <v>1624.15</v>
      </c>
      <c r="F919" s="6">
        <f>LOOKUP(D919,'AMFI DATA_2023H2'!F:J,'AMFI DATA_2023H2'!J:J)</f>
        <v>1482.7413000000001</v>
      </c>
      <c r="G919" s="7">
        <f t="shared" si="8"/>
        <v>0.46013333546452095</v>
      </c>
      <c r="H919" s="8">
        <v>2165</v>
      </c>
      <c r="I919" s="8">
        <v>2168</v>
      </c>
      <c r="J919" s="8">
        <v>2151</v>
      </c>
      <c r="K919" s="8">
        <v>2101</v>
      </c>
      <c r="L919" s="8">
        <v>2148</v>
      </c>
      <c r="M919" s="8">
        <v>2072</v>
      </c>
      <c r="N919" s="8">
        <v>2133</v>
      </c>
      <c r="O919" s="8">
        <v>2136</v>
      </c>
      <c r="P919" s="8">
        <v>2106</v>
      </c>
      <c r="Q919" s="8">
        <v>2085</v>
      </c>
      <c r="R919" s="7">
        <f t="shared" si="9"/>
        <v>0.43416791587311954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4.4" hidden="1">
      <c r="A920" s="3">
        <f>LOOKUP(D920,'AMFI DATA_2023H2'!F:L,'AMFI DATA_2023H2'!L:L)</f>
        <v>533</v>
      </c>
      <c r="B920" s="4" t="s">
        <v>1578</v>
      </c>
      <c r="C920" s="4" t="s">
        <v>1579</v>
      </c>
      <c r="D920" s="5" t="s">
        <v>1580</v>
      </c>
      <c r="E920" s="5">
        <v>3438.39</v>
      </c>
      <c r="F920" s="6">
        <f>LOOKUP(D920,'AMFI DATA_2023H2'!F:J,'AMFI DATA_2023H2'!J:J)</f>
        <v>6774.9010500000004</v>
      </c>
      <c r="G920" s="7">
        <f t="shared" si="8"/>
        <v>6.7469465107538262E-2</v>
      </c>
      <c r="H920" s="8">
        <v>7232</v>
      </c>
      <c r="I920" s="8">
        <v>7252</v>
      </c>
      <c r="J920" s="8">
        <v>7099</v>
      </c>
      <c r="K920" s="8">
        <v>7135</v>
      </c>
      <c r="L920" s="8">
        <v>7129</v>
      </c>
      <c r="M920" s="8">
        <v>7185</v>
      </c>
      <c r="N920" s="8">
        <v>6978</v>
      </c>
      <c r="O920" s="8">
        <v>7147</v>
      </c>
      <c r="P920" s="8">
        <v>7158</v>
      </c>
      <c r="Q920" s="8">
        <v>7206</v>
      </c>
      <c r="R920" s="7">
        <f t="shared" si="9"/>
        <v>5.5675934927492454E-2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4.4" hidden="1">
      <c r="A921" s="3">
        <f>LOOKUP(D921,'AMFI DATA_2023H2'!F:L,'AMFI DATA_2023H2'!L:L)</f>
        <v>1315</v>
      </c>
      <c r="B921" s="4" t="s">
        <v>3611</v>
      </c>
      <c r="C921" s="4" t="s">
        <v>3612</v>
      </c>
      <c r="D921" s="5" t="s">
        <v>3613</v>
      </c>
      <c r="E921" s="5">
        <v>580.51</v>
      </c>
      <c r="F921" s="6">
        <f>LOOKUP(D921,'AMFI DATA_2023H2'!F:J,'AMFI DATA_2023H2'!J:J)</f>
        <v>777.76614999999993</v>
      </c>
      <c r="G921" s="7">
        <f t="shared" si="8"/>
        <v>-1.6413866815880196E-2</v>
      </c>
      <c r="H921" s="9">
        <v>765</v>
      </c>
      <c r="I921" s="9">
        <v>761</v>
      </c>
      <c r="J921" s="9">
        <v>726</v>
      </c>
      <c r="K921" s="9">
        <v>730</v>
      </c>
      <c r="L921" s="9">
        <v>740</v>
      </c>
      <c r="M921" s="9">
        <v>737</v>
      </c>
      <c r="N921" s="9">
        <v>731</v>
      </c>
      <c r="O921" s="9">
        <v>742</v>
      </c>
      <c r="P921" s="9">
        <v>743</v>
      </c>
      <c r="Q921" s="9">
        <v>740</v>
      </c>
      <c r="R921" s="7">
        <f t="shared" si="9"/>
        <v>-4.6628604240490423E-2</v>
      </c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4.4" hidden="1">
      <c r="A922" s="3">
        <f>LOOKUP(D922,'AMFI DATA_2023H2'!F:L,'AMFI DATA_2023H2'!L:L)</f>
        <v>754</v>
      </c>
      <c r="B922" s="4" t="s">
        <v>2207</v>
      </c>
      <c r="C922" s="4" t="s">
        <v>2208</v>
      </c>
      <c r="D922" s="5" t="s">
        <v>2209</v>
      </c>
      <c r="E922" s="5">
        <v>2404.89</v>
      </c>
      <c r="F922" s="6">
        <f>LOOKUP(D922,'AMFI DATA_2023H2'!F:J,'AMFI DATA_2023H2'!J:J)</f>
        <v>3299.9230499999999</v>
      </c>
      <c r="G922" s="7">
        <f t="shared" si="8"/>
        <v>4.9418409923225326E-2</v>
      </c>
      <c r="H922" s="8">
        <v>3463</v>
      </c>
      <c r="I922" s="8">
        <v>3465</v>
      </c>
      <c r="J922" s="8">
        <v>3497</v>
      </c>
      <c r="K922" s="8">
        <v>3531</v>
      </c>
      <c r="L922" s="8">
        <v>3515</v>
      </c>
      <c r="M922" s="8">
        <v>3486</v>
      </c>
      <c r="N922" s="8">
        <v>3507</v>
      </c>
      <c r="O922" s="8">
        <v>3449</v>
      </c>
      <c r="P922" s="8">
        <v>3446</v>
      </c>
      <c r="Q922" s="8">
        <v>3307</v>
      </c>
      <c r="R922" s="7">
        <f t="shared" si="9"/>
        <v>5.0509344452744243E-2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4.4" hidden="1">
      <c r="A923" s="3">
        <f>LOOKUP(D923,'AMFI DATA_2023H2'!F:L,'AMFI DATA_2023H2'!L:L)</f>
        <v>494</v>
      </c>
      <c r="B923" s="4" t="s">
        <v>1467</v>
      </c>
      <c r="C923" s="4" t="s">
        <v>1468</v>
      </c>
      <c r="D923" s="5" t="s">
        <v>1469</v>
      </c>
      <c r="E923" s="5">
        <v>5319.51</v>
      </c>
      <c r="F923" s="6">
        <f>LOOKUP(D923,'AMFI DATA_2023H2'!F:J,'AMFI DATA_2023H2'!J:J)</f>
        <v>7461.0482499999998</v>
      </c>
      <c r="G923" s="7">
        <f t="shared" si="8"/>
        <v>0.28922903025054159</v>
      </c>
      <c r="H923" s="8">
        <v>9619</v>
      </c>
      <c r="I923" s="8">
        <v>9724</v>
      </c>
      <c r="J923" s="8">
        <v>9616</v>
      </c>
      <c r="K923" s="8">
        <v>9620</v>
      </c>
      <c r="L923" s="8">
        <v>9582</v>
      </c>
      <c r="M923" s="8">
        <v>9468</v>
      </c>
      <c r="N923" s="8">
        <v>9568</v>
      </c>
      <c r="O923" s="8">
        <v>9560</v>
      </c>
      <c r="P923" s="8">
        <v>9716</v>
      </c>
      <c r="Q923" s="8">
        <v>9554</v>
      </c>
      <c r="R923" s="7">
        <f t="shared" si="9"/>
        <v>0.28704435063799516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4.4" hidden="1">
      <c r="A924" s="3">
        <f>LOOKUP(D924,'AMFI DATA_2023H2'!F:L,'AMFI DATA_2023H2'!L:L)</f>
        <v>686</v>
      </c>
      <c r="B924" s="4" t="s">
        <v>2010</v>
      </c>
      <c r="C924" s="4" t="s">
        <v>2011</v>
      </c>
      <c r="D924" s="5" t="s">
        <v>2012</v>
      </c>
      <c r="E924" s="5">
        <v>3862.02</v>
      </c>
      <c r="F924" s="6">
        <f>LOOKUP(D924,'AMFI DATA_2023H2'!F:J,'AMFI DATA_2023H2'!J:J)</f>
        <v>3998.8085000000001</v>
      </c>
      <c r="G924" s="7">
        <f t="shared" si="8"/>
        <v>-2.846060270202988E-2</v>
      </c>
      <c r="H924" s="8">
        <v>3885</v>
      </c>
      <c r="I924" s="8">
        <v>3909</v>
      </c>
      <c r="J924" s="8">
        <v>3960</v>
      </c>
      <c r="K924" s="8">
        <v>3942</v>
      </c>
      <c r="L924" s="8">
        <v>3932</v>
      </c>
      <c r="M924" s="8">
        <v>3873</v>
      </c>
      <c r="N924" s="8">
        <v>3866</v>
      </c>
      <c r="O924" s="8">
        <v>3989</v>
      </c>
      <c r="P924" s="8">
        <v>3877</v>
      </c>
      <c r="Q924" s="8">
        <v>3915</v>
      </c>
      <c r="R924" s="7">
        <f t="shared" si="9"/>
        <v>-2.1008382872047981E-2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4.4" hidden="1">
      <c r="A925" s="3">
        <f>LOOKUP(D925,'AMFI DATA_2023H2'!F:L,'AMFI DATA_2023H2'!L:L)</f>
        <v>1095</v>
      </c>
      <c r="B925" s="4" t="s">
        <v>3101</v>
      </c>
      <c r="C925" s="4" t="s">
        <v>3102</v>
      </c>
      <c r="D925" s="5" t="s">
        <v>3103</v>
      </c>
      <c r="E925" s="5">
        <v>1086.49</v>
      </c>
      <c r="F925" s="6">
        <f>LOOKUP(D925,'AMFI DATA_2023H2'!F:J,'AMFI DATA_2023H2'!J:J)</f>
        <v>1344.0871</v>
      </c>
      <c r="G925" s="7">
        <f t="shared" si="8"/>
        <v>0.15915106989718164</v>
      </c>
      <c r="H925" s="8">
        <v>1558</v>
      </c>
      <c r="I925" s="8">
        <v>1546</v>
      </c>
      <c r="J925" s="8">
        <v>1569</v>
      </c>
      <c r="K925" s="8">
        <v>1543</v>
      </c>
      <c r="L925" s="8">
        <v>1494</v>
      </c>
      <c r="M925" s="8">
        <v>1496</v>
      </c>
      <c r="N925" s="8">
        <v>1509</v>
      </c>
      <c r="O925" s="8">
        <v>1518</v>
      </c>
      <c r="P925" s="8">
        <v>1525</v>
      </c>
      <c r="Q925" s="8">
        <v>1505</v>
      </c>
      <c r="R925" s="7">
        <f t="shared" si="9"/>
        <v>0.13556628882160981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4.4" hidden="1">
      <c r="A926" s="3">
        <f>LOOKUP(D926,'AMFI DATA_2023H2'!F:L,'AMFI DATA_2023H2'!L:L)</f>
        <v>493</v>
      </c>
      <c r="B926" s="4" t="s">
        <v>1464</v>
      </c>
      <c r="C926" s="4" t="s">
        <v>1465</v>
      </c>
      <c r="D926" s="5" t="s">
        <v>1466</v>
      </c>
      <c r="E926" s="5">
        <v>7051.96</v>
      </c>
      <c r="F926" s="6">
        <f>LOOKUP(D926,'AMFI DATA_2023H2'!F:J,'AMFI DATA_2023H2'!J:J)</f>
        <v>7462.8188499999997</v>
      </c>
      <c r="G926" s="7">
        <f t="shared" si="8"/>
        <v>-2.4372157981555898E-4</v>
      </c>
      <c r="H926" s="8">
        <v>7461</v>
      </c>
      <c r="I926" s="8">
        <v>7298</v>
      </c>
      <c r="J926" s="8">
        <v>7304</v>
      </c>
      <c r="K926" s="8">
        <v>7377</v>
      </c>
      <c r="L926" s="8">
        <v>7263</v>
      </c>
      <c r="M926" s="8">
        <v>7254</v>
      </c>
      <c r="N926" s="8">
        <v>7256</v>
      </c>
      <c r="O926" s="8">
        <v>7316</v>
      </c>
      <c r="P926" s="8">
        <v>7474</v>
      </c>
      <c r="Q926" s="8">
        <v>7326</v>
      </c>
      <c r="R926" s="7">
        <f t="shared" si="9"/>
        <v>-1.7408817313045222E-2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4.4" hidden="1">
      <c r="A927" s="3">
        <f>LOOKUP(D927,'AMFI DATA_2023H2'!F:L,'AMFI DATA_2023H2'!L:L)</f>
        <v>2163</v>
      </c>
      <c r="B927" s="4" t="s">
        <v>4973</v>
      </c>
      <c r="C927" s="4" t="s">
        <v>4974</v>
      </c>
      <c r="D927" s="5" t="s">
        <v>4975</v>
      </c>
      <c r="E927" s="5">
        <v>172.79</v>
      </c>
      <c r="F927" s="6">
        <f>LOOKUP(D927,'AMFI DATA_2023H2'!F:J,'AMFI DATA_2023H2'!J:J)</f>
        <v>142.6669</v>
      </c>
      <c r="G927" s="7">
        <f t="shared" si="8"/>
        <v>0.27569884815608958</v>
      </c>
      <c r="H927" s="9">
        <v>182</v>
      </c>
      <c r="I927" s="9">
        <v>184</v>
      </c>
      <c r="J927" s="9">
        <v>181</v>
      </c>
      <c r="K927" s="9">
        <v>171</v>
      </c>
      <c r="L927" s="9">
        <v>171</v>
      </c>
      <c r="M927" s="9">
        <v>172</v>
      </c>
      <c r="N927" s="9">
        <v>173</v>
      </c>
      <c r="O927" s="9">
        <v>176</v>
      </c>
      <c r="P927" s="9">
        <v>172</v>
      </c>
      <c r="Q927" s="9">
        <v>178</v>
      </c>
      <c r="R927" s="7">
        <f t="shared" si="9"/>
        <v>0.23364284217292175</v>
      </c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4.4" hidden="1">
      <c r="A928" s="3">
        <f>LOOKUP(D928,'AMFI DATA_2023H2'!F:L,'AMFI DATA_2023H2'!L:L)</f>
        <v>1064</v>
      </c>
      <c r="B928" s="4" t="s">
        <v>3029</v>
      </c>
      <c r="C928" s="4" t="s">
        <v>3030</v>
      </c>
      <c r="D928" s="5" t="s">
        <v>3031</v>
      </c>
      <c r="E928" s="5">
        <v>850.05</v>
      </c>
      <c r="F928" s="6">
        <f>LOOKUP(D928,'AMFI DATA_2023H2'!F:J,'AMFI DATA_2023H2'!J:J)</f>
        <v>1431.7453999999998</v>
      </c>
      <c r="G928" s="7">
        <f t="shared" si="8"/>
        <v>4.4878509824442414E-2</v>
      </c>
      <c r="H928" s="8">
        <v>1496</v>
      </c>
      <c r="I928" s="8">
        <v>1489</v>
      </c>
      <c r="J928" s="8">
        <v>1521</v>
      </c>
      <c r="K928" s="8">
        <v>1513</v>
      </c>
      <c r="L928" s="8">
        <v>1445</v>
      </c>
      <c r="M928" s="8">
        <v>1451</v>
      </c>
      <c r="N928" s="8">
        <v>1438</v>
      </c>
      <c r="O928" s="8">
        <v>1455</v>
      </c>
      <c r="P928" s="8">
        <v>1485</v>
      </c>
      <c r="Q928" s="8">
        <v>1489</v>
      </c>
      <c r="R928" s="7">
        <f t="shared" si="9"/>
        <v>3.2446131833215874E-2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4.4" hidden="1">
      <c r="A929" s="3">
        <f>LOOKUP(D929,'AMFI DATA_2023H2'!F:L,'AMFI DATA_2023H2'!L:L)</f>
        <v>731</v>
      </c>
      <c r="B929" s="4" t="s">
        <v>2138</v>
      </c>
      <c r="C929" s="4" t="s">
        <v>2139</v>
      </c>
      <c r="D929" s="5" t="s">
        <v>2140</v>
      </c>
      <c r="E929" s="5">
        <v>2138.62</v>
      </c>
      <c r="F929" s="6">
        <f>LOOKUP(D929,'AMFI DATA_2023H2'!F:J,'AMFI DATA_2023H2'!J:J)</f>
        <v>3506.9679500000002</v>
      </c>
      <c r="G929" s="7">
        <f t="shared" si="8"/>
        <v>0.20930674601688337</v>
      </c>
      <c r="H929" s="8">
        <v>4241</v>
      </c>
      <c r="I929" s="8">
        <v>4309</v>
      </c>
      <c r="J929" s="8">
        <v>3975</v>
      </c>
      <c r="K929" s="8">
        <v>3914</v>
      </c>
      <c r="L929" s="8">
        <v>3945</v>
      </c>
      <c r="M929" s="8">
        <v>3815</v>
      </c>
      <c r="N929" s="8">
        <v>3677</v>
      </c>
      <c r="O929" s="8">
        <v>3728</v>
      </c>
      <c r="P929" s="8">
        <v>3699</v>
      </c>
      <c r="Q929" s="8">
        <v>3670</v>
      </c>
      <c r="R929" s="7">
        <f t="shared" si="9"/>
        <v>0.11130185834746498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4.4" hidden="1">
      <c r="A930" s="3">
        <f>LOOKUP(D930,'AMFI DATA_2023H2'!F:L,'AMFI DATA_2023H2'!L:L)</f>
        <v>1196</v>
      </c>
      <c r="B930" s="4" t="s">
        <v>3338</v>
      </c>
      <c r="C930" s="4" t="s">
        <v>3339</v>
      </c>
      <c r="D930" s="5" t="s">
        <v>3340</v>
      </c>
      <c r="E930" s="5">
        <v>678.95</v>
      </c>
      <c r="F930" s="6">
        <f>LOOKUP(D930,'AMFI DATA_2023H2'!F:J,'AMFI DATA_2023H2'!J:J)</f>
        <v>1056.8831500000001</v>
      </c>
      <c r="G930" s="7">
        <f t="shared" si="8"/>
        <v>0.24043987265763467</v>
      </c>
      <c r="H930" s="8">
        <v>1311</v>
      </c>
      <c r="I930" s="8">
        <v>1321</v>
      </c>
      <c r="J930" s="8">
        <v>1321</v>
      </c>
      <c r="K930" s="8">
        <v>1215</v>
      </c>
      <c r="L930" s="8">
        <v>1211</v>
      </c>
      <c r="M930" s="8">
        <v>1164</v>
      </c>
      <c r="N930" s="8">
        <v>1181</v>
      </c>
      <c r="O930" s="8">
        <v>1193</v>
      </c>
      <c r="P930" s="8">
        <v>1207</v>
      </c>
      <c r="Q930" s="8">
        <v>1188</v>
      </c>
      <c r="R930" s="7">
        <f t="shared" si="9"/>
        <v>0.16493483693064825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4.4" hidden="1">
      <c r="A931" s="3">
        <f>LOOKUP(D931,'AMFI DATA_2023H2'!F:L,'AMFI DATA_2023H2'!L:L)</f>
        <v>13</v>
      </c>
      <c r="B931" s="4" t="s">
        <v>43</v>
      </c>
      <c r="C931" s="4" t="s">
        <v>44</v>
      </c>
      <c r="D931" s="5" t="s">
        <v>45</v>
      </c>
      <c r="E931" s="5">
        <v>361214.52</v>
      </c>
      <c r="F931" s="6">
        <f>LOOKUP(D931,'AMFI DATA_2023H2'!F:J,'AMFI DATA_2023H2'!J:J)</f>
        <v>357596.08805000002</v>
      </c>
      <c r="G931" s="7">
        <f t="shared" si="8"/>
        <v>2.7069401130155768E-2</v>
      </c>
      <c r="H931" s="8">
        <v>367276</v>
      </c>
      <c r="I931" s="8">
        <v>370396</v>
      </c>
      <c r="J931" s="8">
        <v>370675</v>
      </c>
      <c r="K931" s="8">
        <v>370655</v>
      </c>
      <c r="L931" s="8">
        <v>379797</v>
      </c>
      <c r="M931" s="8">
        <v>378565</v>
      </c>
      <c r="N931" s="8">
        <v>381586</v>
      </c>
      <c r="O931" s="8">
        <v>378148</v>
      </c>
      <c r="P931" s="8">
        <v>374856</v>
      </c>
      <c r="Q931" s="8">
        <v>369780</v>
      </c>
      <c r="R931" s="7">
        <f t="shared" si="9"/>
        <v>4.6357643452973551E-2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4.4" hidden="1">
      <c r="A932" s="3">
        <f>LOOKUP(D932,'AMFI DATA_2023H2'!F:L,'AMFI DATA_2023H2'!L:L)</f>
        <v>1338</v>
      </c>
      <c r="B932" s="4" t="s">
        <v>3641</v>
      </c>
      <c r="C932" s="4" t="s">
        <v>3642</v>
      </c>
      <c r="D932" s="5" t="s">
        <v>3643</v>
      </c>
      <c r="E932" s="5">
        <v>390.38</v>
      </c>
      <c r="F932" s="6">
        <f>LOOKUP(D932,'AMFI DATA_2023H2'!F:J,'AMFI DATA_2023H2'!J:J)</f>
        <v>737.51149999999996</v>
      </c>
      <c r="G932" s="7">
        <f t="shared" si="8"/>
        <v>0.17557488934070875</v>
      </c>
      <c r="H932" s="9">
        <v>867</v>
      </c>
      <c r="I932" s="9">
        <v>868</v>
      </c>
      <c r="J932" s="9">
        <v>847</v>
      </c>
      <c r="K932" s="9">
        <v>846</v>
      </c>
      <c r="L932" s="9">
        <v>858</v>
      </c>
      <c r="M932" s="9">
        <v>855</v>
      </c>
      <c r="N932" s="9">
        <v>842</v>
      </c>
      <c r="O932" s="9">
        <v>872</v>
      </c>
      <c r="P932" s="9">
        <v>897</v>
      </c>
      <c r="Q932" s="9">
        <v>868</v>
      </c>
      <c r="R932" s="7">
        <f t="shared" si="9"/>
        <v>0.16879533403885905</v>
      </c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4.4" hidden="1">
      <c r="A933" s="3">
        <f>LOOKUP(D933,'AMFI DATA_2023H2'!F:L,'AMFI DATA_2023H2'!L:L)</f>
        <v>1661</v>
      </c>
      <c r="B933" s="4" t="s">
        <v>4259</v>
      </c>
      <c r="C933" s="4" t="s">
        <v>4260</v>
      </c>
      <c r="D933" s="5" t="s">
        <v>4261</v>
      </c>
      <c r="E933" s="5">
        <v>349.32</v>
      </c>
      <c r="F933" s="6">
        <f>LOOKUP(D933,'AMFI DATA_2023H2'!F:J,'AMFI DATA_2023H2'!J:J)</f>
        <v>357.85174999999998</v>
      </c>
      <c r="G933" s="7">
        <f t="shared" si="8"/>
        <v>0.45032125733631312</v>
      </c>
      <c r="H933" s="9">
        <v>519</v>
      </c>
      <c r="I933" s="9">
        <v>478</v>
      </c>
      <c r="J933" s="9">
        <v>399</v>
      </c>
      <c r="K933" s="9">
        <v>380</v>
      </c>
      <c r="L933" s="9">
        <v>383</v>
      </c>
      <c r="M933" s="9">
        <v>375</v>
      </c>
      <c r="N933" s="9">
        <v>373</v>
      </c>
      <c r="O933" s="9">
        <v>375</v>
      </c>
      <c r="P933" s="9">
        <v>374</v>
      </c>
      <c r="Q933" s="9">
        <v>370</v>
      </c>
      <c r="R933" s="7">
        <f t="shared" si="9"/>
        <v>0.12504689441926731</v>
      </c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4.4" hidden="1">
      <c r="A934" s="3">
        <f>LOOKUP(D934,'AMFI DATA_2023H2'!F:L,'AMFI DATA_2023H2'!L:L)</f>
        <v>1581</v>
      </c>
      <c r="B934" s="4" t="s">
        <v>4112</v>
      </c>
      <c r="C934" s="4" t="s">
        <v>4113</v>
      </c>
      <c r="D934" s="5" t="s">
        <v>4114</v>
      </c>
      <c r="E934" s="5">
        <v>324.08</v>
      </c>
      <c r="F934" s="6">
        <f>LOOKUP(D934,'AMFI DATA_2023H2'!F:J,'AMFI DATA_2023H2'!J:J)</f>
        <v>427.29059999999998</v>
      </c>
      <c r="G934" s="7">
        <f t="shared" si="8"/>
        <v>7.6550712793588271E-2</v>
      </c>
      <c r="H934" s="9">
        <v>460</v>
      </c>
      <c r="I934" s="9">
        <v>459</v>
      </c>
      <c r="J934" s="9">
        <v>439</v>
      </c>
      <c r="K934" s="9">
        <v>441</v>
      </c>
      <c r="L934" s="9">
        <v>443</v>
      </c>
      <c r="M934" s="9">
        <v>437</v>
      </c>
      <c r="N934" s="9">
        <v>436</v>
      </c>
      <c r="O934" s="9">
        <v>435</v>
      </c>
      <c r="P934" s="9">
        <v>438</v>
      </c>
      <c r="Q934" s="9">
        <v>434</v>
      </c>
      <c r="R934" s="7">
        <f t="shared" si="9"/>
        <v>3.489288086374942E-2</v>
      </c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4.4" hidden="1">
      <c r="A935" s="3">
        <f>LOOKUP(D935,'AMFI DATA_2023H2'!F:L,'AMFI DATA_2023H2'!L:L)</f>
        <v>738</v>
      </c>
      <c r="B935" s="4" t="s">
        <v>2159</v>
      </c>
      <c r="C935" s="4" t="s">
        <v>2160</v>
      </c>
      <c r="D935" s="5" t="s">
        <v>2161</v>
      </c>
      <c r="E935" s="5">
        <v>1793.94</v>
      </c>
      <c r="F935" s="6">
        <f>LOOKUP(D935,'AMFI DATA_2023H2'!F:J,'AMFI DATA_2023H2'!J:J)</f>
        <v>3459.4391000000001</v>
      </c>
      <c r="G935" s="7">
        <f t="shared" si="8"/>
        <v>0.65547068020362032</v>
      </c>
      <c r="H935" s="8">
        <v>5727</v>
      </c>
      <c r="I935" s="8">
        <v>5640</v>
      </c>
      <c r="J935" s="8">
        <v>5615</v>
      </c>
      <c r="K935" s="8">
        <v>5657</v>
      </c>
      <c r="L935" s="8">
        <v>5742</v>
      </c>
      <c r="M935" s="8">
        <v>5900</v>
      </c>
      <c r="N935" s="8">
        <v>5364</v>
      </c>
      <c r="O935" s="8">
        <v>5142</v>
      </c>
      <c r="P935" s="8">
        <v>5000</v>
      </c>
      <c r="Q935" s="8">
        <v>5054</v>
      </c>
      <c r="R935" s="7">
        <f t="shared" si="9"/>
        <v>0.58525698573505758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4.4">
      <c r="A936" s="3">
        <f>LOOKUP(D936,'AMFI DATA_2023H2'!F:L,'AMFI DATA_2023H2'!L:L)</f>
        <v>184</v>
      </c>
      <c r="B936" s="4" t="s">
        <v>561</v>
      </c>
      <c r="C936" s="4" t="s">
        <v>562</v>
      </c>
      <c r="D936" s="5" t="s">
        <v>563</v>
      </c>
      <c r="E936" s="5">
        <v>24090.03</v>
      </c>
      <c r="F936" s="6">
        <f>LOOKUP(D936,'AMFI DATA_2023H2'!F:J,'AMFI DATA_2023H2'!J:J)</f>
        <v>33820.351150000002</v>
      </c>
      <c r="G936" s="7">
        <f t="shared" si="8"/>
        <v>0.22139476958091842</v>
      </c>
      <c r="H936" s="8">
        <v>41308</v>
      </c>
      <c r="I936" s="8">
        <v>40365</v>
      </c>
      <c r="J936" s="8">
        <v>40113</v>
      </c>
      <c r="K936" s="8">
        <v>40228</v>
      </c>
      <c r="L936" s="8">
        <v>40876</v>
      </c>
      <c r="M936" s="8">
        <v>41498</v>
      </c>
      <c r="N936" s="8">
        <v>41283</v>
      </c>
      <c r="O936" s="8">
        <v>41592</v>
      </c>
      <c r="P936" s="8">
        <v>41870</v>
      </c>
      <c r="Q936" s="8">
        <v>42200</v>
      </c>
      <c r="R936" s="14">
        <f t="shared" si="9"/>
        <v>0.21622924071857241</v>
      </c>
      <c r="S936" s="8"/>
      <c r="T936" s="8">
        <v>1507</v>
      </c>
      <c r="U936" s="15">
        <f ca="1">IFERROR(__xludf.DUMMYFUNCTION("GOOGLEFINANCE(C936,""PRICE"")"),1525)</f>
        <v>1525</v>
      </c>
      <c r="V936" s="13" t="s">
        <v>5787</v>
      </c>
      <c r="W936" s="7">
        <f ca="1">U936/T936-1</f>
        <v>1.1944260119442607E-2</v>
      </c>
      <c r="X936" s="8"/>
      <c r="Y936" s="8"/>
      <c r="Z936" s="8"/>
      <c r="AA936" s="8"/>
      <c r="AB936" s="8"/>
    </row>
    <row r="937" spans="1:28" ht="14.4" hidden="1">
      <c r="A937" s="3">
        <f>LOOKUP(D937,'AMFI DATA_2023H2'!F:L,'AMFI DATA_2023H2'!L:L)</f>
        <v>445</v>
      </c>
      <c r="B937" s="4" t="s">
        <v>1326</v>
      </c>
      <c r="C937" s="4" t="s">
        <v>1327</v>
      </c>
      <c r="D937" s="5" t="s">
        <v>1328</v>
      </c>
      <c r="E937" s="5">
        <v>8762.49</v>
      </c>
      <c r="F937" s="6">
        <f>LOOKUP(D937,'AMFI DATA_2023H2'!F:J,'AMFI DATA_2023H2'!J:J)</f>
        <v>8919.3654999999999</v>
      </c>
      <c r="G937" s="7">
        <f t="shared" si="8"/>
        <v>-9.2344573164985233E-3</v>
      </c>
      <c r="H937" s="8">
        <v>8837</v>
      </c>
      <c r="I937" s="8">
        <v>8786</v>
      </c>
      <c r="J937" s="8">
        <v>8805</v>
      </c>
      <c r="K937" s="8">
        <v>8780</v>
      </c>
      <c r="L937" s="8">
        <v>8862</v>
      </c>
      <c r="M937" s="8">
        <v>8817</v>
      </c>
      <c r="N937" s="8">
        <v>8481</v>
      </c>
      <c r="O937" s="8">
        <v>8525</v>
      </c>
      <c r="P937" s="8">
        <v>8446</v>
      </c>
      <c r="Q937" s="8">
        <v>8330</v>
      </c>
      <c r="R937" s="7">
        <f t="shared" si="9"/>
        <v>-2.8305320597076133E-2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4.4" hidden="1">
      <c r="A938" s="3">
        <f>LOOKUP(D938,'AMFI DATA_2023H2'!F:L,'AMFI DATA_2023H2'!L:L)</f>
        <v>2107</v>
      </c>
      <c r="B938" s="4" t="s">
        <v>4889</v>
      </c>
      <c r="C938" s="4" t="s">
        <v>4890</v>
      </c>
      <c r="D938" s="5" t="s">
        <v>4891</v>
      </c>
      <c r="E938" s="5">
        <v>169.35</v>
      </c>
      <c r="F938" s="6">
        <f>LOOKUP(D938,'AMFI DATA_2023H2'!F:J,'AMFI DATA_2023H2'!J:J)</f>
        <v>157.82240000000002</v>
      </c>
      <c r="G938" s="7">
        <f t="shared" si="8"/>
        <v>7.7160149636553488E-2</v>
      </c>
      <c r="H938" s="9">
        <v>170</v>
      </c>
      <c r="I938" s="9">
        <v>173</v>
      </c>
      <c r="J938" s="9">
        <v>173</v>
      </c>
      <c r="K938" s="9">
        <v>174</v>
      </c>
      <c r="L938" s="9">
        <v>170</v>
      </c>
      <c r="M938" s="9">
        <v>169</v>
      </c>
      <c r="N938" s="9">
        <v>168</v>
      </c>
      <c r="O938" s="9">
        <v>170</v>
      </c>
      <c r="P938" s="9">
        <v>174</v>
      </c>
      <c r="Q938" s="9">
        <v>171</v>
      </c>
      <c r="R938" s="7">
        <f t="shared" si="9"/>
        <v>8.4763633045752407E-2</v>
      </c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4.4" hidden="1">
      <c r="A939" s="3">
        <f>LOOKUP(D939,'AMFI DATA_2023H2'!F:L,'AMFI DATA_2023H2'!L:L)</f>
        <v>3328</v>
      </c>
      <c r="B939" s="4" t="s">
        <v>5647</v>
      </c>
      <c r="C939" s="4" t="s">
        <v>5648</v>
      </c>
      <c r="D939" s="5" t="s">
        <v>5649</v>
      </c>
      <c r="E939" s="5">
        <v>25.73</v>
      </c>
      <c r="F939" s="6">
        <f>LOOKUP(D939,'AMFI DATA_2023H2'!F:J,'AMFI DATA_2023H2'!J:J)</f>
        <v>23.408200000000001</v>
      </c>
      <c r="G939" s="7">
        <f t="shared" si="8"/>
        <v>0.75579497782828242</v>
      </c>
      <c r="H939" s="9">
        <v>41.1</v>
      </c>
      <c r="I939" s="9">
        <v>37.9</v>
      </c>
      <c r="J939" s="9">
        <v>37.6</v>
      </c>
      <c r="K939" s="9">
        <v>35.9</v>
      </c>
      <c r="L939" s="9">
        <v>34.200000000000003</v>
      </c>
      <c r="M939" s="9">
        <v>32.6</v>
      </c>
      <c r="N939" s="9">
        <v>31.1</v>
      </c>
      <c r="O939" s="9">
        <v>29.6</v>
      </c>
      <c r="P939" s="9">
        <v>28.6</v>
      </c>
      <c r="Q939" s="9">
        <v>28.9</v>
      </c>
      <c r="R939" s="7">
        <f t="shared" si="9"/>
        <v>0.44180244529694712</v>
      </c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4.4" hidden="1">
      <c r="A940" s="3">
        <f>LOOKUP(D940,'AMFI DATA_2023H2'!F:L,'AMFI DATA_2023H2'!L:L)</f>
        <v>1081</v>
      </c>
      <c r="B940" s="4" t="s">
        <v>3068</v>
      </c>
      <c r="C940" s="4" t="s">
        <v>3069</v>
      </c>
      <c r="D940" s="5" t="s">
        <v>3070</v>
      </c>
      <c r="E940" s="5">
        <v>1386.29</v>
      </c>
      <c r="F940" s="6">
        <f>LOOKUP(D940,'AMFI DATA_2023H2'!F:J,'AMFI DATA_2023H2'!J:J)</f>
        <v>1379.8443</v>
      </c>
      <c r="G940" s="7">
        <f t="shared" si="8"/>
        <v>8.4180294834714342E-2</v>
      </c>
      <c r="H940" s="8">
        <v>1496</v>
      </c>
      <c r="I940" s="8">
        <v>1500</v>
      </c>
      <c r="J940" s="8">
        <v>1507</v>
      </c>
      <c r="K940" s="8">
        <v>1512</v>
      </c>
      <c r="L940" s="8">
        <v>1499</v>
      </c>
      <c r="M940" s="8">
        <v>1501</v>
      </c>
      <c r="N940" s="8">
        <v>1499</v>
      </c>
      <c r="O940" s="8">
        <v>1508</v>
      </c>
      <c r="P940" s="8">
        <v>1508</v>
      </c>
      <c r="Q940" s="8">
        <v>1511</v>
      </c>
      <c r="R940" s="7">
        <f t="shared" si="9"/>
        <v>9.0050522366907693E-2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4.4" hidden="1">
      <c r="A941" s="3">
        <f>LOOKUP(D941,'AMFI DATA_2023H2'!F:L,'AMFI DATA_2023H2'!L:L)</f>
        <v>310</v>
      </c>
      <c r="B941" s="4" t="s">
        <v>939</v>
      </c>
      <c r="C941" s="4" t="s">
        <v>940</v>
      </c>
      <c r="D941" s="5" t="s">
        <v>941</v>
      </c>
      <c r="E941" s="5">
        <v>11951.54</v>
      </c>
      <c r="F941" s="6">
        <f>LOOKUP(D941,'AMFI DATA_2023H2'!F:J,'AMFI DATA_2023H2'!J:J)</f>
        <v>15428.0054</v>
      </c>
      <c r="G941" s="7">
        <f t="shared" si="8"/>
        <v>3.6945449863531987E-2</v>
      </c>
      <c r="H941" s="8">
        <v>15998</v>
      </c>
      <c r="I941" s="8">
        <v>15834</v>
      </c>
      <c r="J941" s="8">
        <v>15565</v>
      </c>
      <c r="K941" s="8">
        <v>15525</v>
      </c>
      <c r="L941" s="8">
        <v>15645</v>
      </c>
      <c r="M941" s="8">
        <v>15830</v>
      </c>
      <c r="N941" s="8">
        <v>15948</v>
      </c>
      <c r="O941" s="8">
        <v>16025</v>
      </c>
      <c r="P941" s="8">
        <v>15978</v>
      </c>
      <c r="Q941" s="8">
        <v>15842</v>
      </c>
      <c r="R941" s="7">
        <f t="shared" si="9"/>
        <v>2.5343172358495591E-2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4.4" hidden="1">
      <c r="A942" s="3">
        <f>LOOKUP(D942,'AMFI DATA_2023H2'!F:L,'AMFI DATA_2023H2'!L:L)</f>
        <v>1485</v>
      </c>
      <c r="B942" s="4" t="s">
        <v>3926</v>
      </c>
      <c r="C942" s="4" t="s">
        <v>3927</v>
      </c>
      <c r="D942" s="5" t="s">
        <v>3928</v>
      </c>
      <c r="E942" s="5">
        <v>491.36</v>
      </c>
      <c r="F942" s="6">
        <f>LOOKUP(D942,'AMFI DATA_2023H2'!F:J,'AMFI DATA_2023H2'!J:J)</f>
        <v>530.88684999999998</v>
      </c>
      <c r="G942" s="7">
        <f t="shared" si="8"/>
        <v>3.6002304445853284E-2</v>
      </c>
      <c r="H942" s="9">
        <v>550</v>
      </c>
      <c r="I942" s="9">
        <v>538</v>
      </c>
      <c r="J942" s="9">
        <v>538</v>
      </c>
      <c r="K942" s="9">
        <v>541</v>
      </c>
      <c r="L942" s="9">
        <v>567</v>
      </c>
      <c r="M942" s="9">
        <v>558</v>
      </c>
      <c r="N942" s="9">
        <v>558</v>
      </c>
      <c r="O942" s="9">
        <v>572</v>
      </c>
      <c r="P942" s="9">
        <v>571</v>
      </c>
      <c r="Q942" s="9">
        <v>559</v>
      </c>
      <c r="R942" s="7">
        <f t="shared" si="9"/>
        <v>4.5797235324250396E-2</v>
      </c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4.4" hidden="1">
      <c r="A943" s="3">
        <f>LOOKUP(D943,'AMFI DATA_2023H2'!F:L,'AMFI DATA_2023H2'!L:L)</f>
        <v>1636</v>
      </c>
      <c r="B943" s="4" t="s">
        <v>4220</v>
      </c>
      <c r="C943" s="4" t="s">
        <v>4221</v>
      </c>
      <c r="D943" s="5" t="s">
        <v>4222</v>
      </c>
      <c r="E943" s="5">
        <v>237.58</v>
      </c>
      <c r="F943" s="6">
        <f>LOOKUP(D943,'AMFI DATA_2023H2'!F:J,'AMFI DATA_2023H2'!J:J)</f>
        <v>378.91925000000003</v>
      </c>
      <c r="G943" s="7">
        <f t="shared" si="8"/>
        <v>0.32745961045790084</v>
      </c>
      <c r="H943" s="9">
        <v>503</v>
      </c>
      <c r="I943" s="9">
        <v>434</v>
      </c>
      <c r="J943" s="9">
        <v>430</v>
      </c>
      <c r="K943" s="9">
        <v>433</v>
      </c>
      <c r="L943" s="9">
        <v>427</v>
      </c>
      <c r="M943" s="9">
        <v>431</v>
      </c>
      <c r="N943" s="9">
        <v>430</v>
      </c>
      <c r="O943" s="9">
        <v>432</v>
      </c>
      <c r="P943" s="9">
        <v>442</v>
      </c>
      <c r="Q943" s="9">
        <v>439</v>
      </c>
      <c r="R943" s="7">
        <f t="shared" si="9"/>
        <v>0.16146118203284732</v>
      </c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4.4" hidden="1">
      <c r="A944" s="3">
        <f>LOOKUP(D944,'AMFI DATA_2023H2'!F:L,'AMFI DATA_2023H2'!L:L)</f>
        <v>2003</v>
      </c>
      <c r="B944" s="4" t="s">
        <v>4745</v>
      </c>
      <c r="C944" s="4" t="s">
        <v>4746</v>
      </c>
      <c r="D944" s="5" t="s">
        <v>4747</v>
      </c>
      <c r="E944" s="5">
        <v>111.31</v>
      </c>
      <c r="F944" s="6">
        <f>LOOKUP(D944,'AMFI DATA_2023H2'!F:J,'AMFI DATA_2023H2'!J:J)</f>
        <v>187.416</v>
      </c>
      <c r="G944" s="7">
        <f t="shared" si="8"/>
        <v>0.71276731975925212</v>
      </c>
      <c r="H944" s="9">
        <v>321</v>
      </c>
      <c r="I944" s="9">
        <v>316</v>
      </c>
      <c r="J944" s="9">
        <v>310</v>
      </c>
      <c r="K944" s="9">
        <v>305</v>
      </c>
      <c r="L944" s="9">
        <v>300</v>
      </c>
      <c r="M944" s="9">
        <v>294</v>
      </c>
      <c r="N944" s="9">
        <v>289</v>
      </c>
      <c r="O944" s="9">
        <v>284</v>
      </c>
      <c r="P944" s="9">
        <v>284</v>
      </c>
      <c r="Q944" s="9">
        <v>278</v>
      </c>
      <c r="R944" s="7">
        <f t="shared" si="9"/>
        <v>0.59057924616895052</v>
      </c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4.4" hidden="1">
      <c r="A945" s="3">
        <f>LOOKUP(D945,'AMFI DATA_2023H2'!F:L,'AMFI DATA_2023H2'!L:L)</f>
        <v>947</v>
      </c>
      <c r="B945" s="4" t="s">
        <v>2729</v>
      </c>
      <c r="C945" s="4" t="s">
        <v>2730</v>
      </c>
      <c r="D945" s="5" t="s">
        <v>2731</v>
      </c>
      <c r="E945" s="5">
        <v>1492.61</v>
      </c>
      <c r="F945" s="6">
        <f>LOOKUP(D945,'AMFI DATA_2023H2'!F:J,'AMFI DATA_2023H2'!J:J)</f>
        <v>1972.0414000000001</v>
      </c>
      <c r="G945" s="7">
        <f t="shared" si="8"/>
        <v>0.17036082508206984</v>
      </c>
      <c r="H945" s="8">
        <v>2308</v>
      </c>
      <c r="I945" s="8">
        <v>2343</v>
      </c>
      <c r="J945" s="8">
        <v>2280</v>
      </c>
      <c r="K945" s="8">
        <v>2272</v>
      </c>
      <c r="L945" s="8">
        <v>2295</v>
      </c>
      <c r="M945" s="8">
        <v>2276</v>
      </c>
      <c r="N945" s="8">
        <v>2325</v>
      </c>
      <c r="O945" s="8">
        <v>2357</v>
      </c>
      <c r="P945" s="8">
        <v>2415</v>
      </c>
      <c r="Q945" s="8">
        <v>2348</v>
      </c>
      <c r="R945" s="7">
        <f t="shared" si="9"/>
        <v>0.17740935864733864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4.4">
      <c r="A946" s="3">
        <f>LOOKUP(D946,'AMFI DATA_2023H2'!F:L,'AMFI DATA_2023H2'!L:L)</f>
        <v>405</v>
      </c>
      <c r="B946" s="4" t="s">
        <v>1218</v>
      </c>
      <c r="C946" s="4" t="s">
        <v>1219</v>
      </c>
      <c r="D946" s="5" t="s">
        <v>1220</v>
      </c>
      <c r="E946" s="5">
        <v>7101.08</v>
      </c>
      <c r="F946" s="6">
        <f>LOOKUP(D946,'AMFI DATA_2023H2'!F:J,'AMFI DATA_2023H2'!J:J)</f>
        <v>9982.1510500000004</v>
      </c>
      <c r="G946" s="7">
        <f t="shared" si="8"/>
        <v>0.23620649879867317</v>
      </c>
      <c r="H946" s="8">
        <v>12340</v>
      </c>
      <c r="I946" s="8">
        <v>12155</v>
      </c>
      <c r="J946" s="8">
        <v>12084</v>
      </c>
      <c r="K946" s="8">
        <v>12207</v>
      </c>
      <c r="L946" s="8">
        <v>12121</v>
      </c>
      <c r="M946" s="8">
        <v>12009</v>
      </c>
      <c r="N946" s="8">
        <v>12121</v>
      </c>
      <c r="O946" s="8">
        <v>11830</v>
      </c>
      <c r="P946" s="8">
        <v>11998</v>
      </c>
      <c r="Q946" s="8">
        <v>12076</v>
      </c>
      <c r="R946" s="14">
        <f t="shared" si="9"/>
        <v>0.2115725297504889</v>
      </c>
      <c r="S946" s="8"/>
      <c r="T946" s="8">
        <v>3559</v>
      </c>
      <c r="U946" s="15">
        <f ca="1">IFERROR(__xludf.DUMMYFUNCTION("GOOGLEFINANCE(C946,""PRICE"")"),3251)</f>
        <v>3251</v>
      </c>
      <c r="V946" s="13" t="s">
        <v>5787</v>
      </c>
      <c r="W946" s="7">
        <f ca="1">U946/T946-1</f>
        <v>-8.6541163248103348E-2</v>
      </c>
      <c r="X946" s="8"/>
      <c r="Y946" s="8"/>
      <c r="Z946" s="8"/>
      <c r="AA946" s="8"/>
      <c r="AB946" s="8"/>
    </row>
    <row r="947" spans="1:28" ht="14.4" hidden="1">
      <c r="A947" s="3">
        <f>LOOKUP(D947,'AMFI DATA_2023H2'!F:L,'AMFI DATA_2023H2'!L:L)</f>
        <v>3112</v>
      </c>
      <c r="B947" s="4" t="s">
        <v>5584</v>
      </c>
      <c r="C947" s="4" t="s">
        <v>5585</v>
      </c>
      <c r="D947" s="5" t="s">
        <v>5586</v>
      </c>
      <c r="E947" s="5">
        <v>105.13</v>
      </c>
      <c r="F947" s="6">
        <f>LOOKUP(D947,'AMFI DATA_2023H2'!F:J,'AMFI DATA_2023H2'!J:J)</f>
        <v>32.344000000000001</v>
      </c>
      <c r="G947" s="7">
        <f t="shared" si="8"/>
        <v>7.2841949047736776E-2</v>
      </c>
      <c r="H947" s="9">
        <v>34.700000000000003</v>
      </c>
      <c r="I947" s="9">
        <v>34.4</v>
      </c>
      <c r="J947" s="9">
        <v>34.700000000000003</v>
      </c>
      <c r="K947" s="9">
        <v>34.5</v>
      </c>
      <c r="L947" s="9">
        <v>33.9</v>
      </c>
      <c r="M947" s="9">
        <v>34.200000000000003</v>
      </c>
      <c r="N947" s="9">
        <v>34.200000000000003</v>
      </c>
      <c r="O947" s="9">
        <v>33.4</v>
      </c>
      <c r="P947" s="9">
        <v>31.9</v>
      </c>
      <c r="Q947" s="9">
        <v>32.9</v>
      </c>
      <c r="R947" s="7">
        <f t="shared" si="9"/>
        <v>4.7489488003957359E-2</v>
      </c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4.4" hidden="1">
      <c r="A948" s="3">
        <f>LOOKUP(D948,'AMFI DATA_2023H2'!F:L,'AMFI DATA_2023H2'!L:L)</f>
        <v>1109</v>
      </c>
      <c r="B948" s="4" t="s">
        <v>3134</v>
      </c>
      <c r="C948" s="4" t="s">
        <v>3135</v>
      </c>
      <c r="D948" s="5" t="s">
        <v>3136</v>
      </c>
      <c r="E948" s="5">
        <v>703.37</v>
      </c>
      <c r="F948" s="6">
        <f>LOOKUP(D948,'AMFI DATA_2023H2'!F:J,'AMFI DATA_2023H2'!J:J)</f>
        <v>1304.3957</v>
      </c>
      <c r="G948" s="7">
        <f t="shared" si="8"/>
        <v>0.21435542910790018</v>
      </c>
      <c r="H948" s="8">
        <v>1584</v>
      </c>
      <c r="I948" s="8">
        <v>1588</v>
      </c>
      <c r="J948" s="8">
        <v>1578</v>
      </c>
      <c r="K948" s="8">
        <v>1625</v>
      </c>
      <c r="L948" s="8">
        <v>1594</v>
      </c>
      <c r="M948" s="8">
        <v>1410</v>
      </c>
      <c r="N948" s="8">
        <v>1387</v>
      </c>
      <c r="O948" s="8">
        <v>1416</v>
      </c>
      <c r="P948" s="8">
        <v>1433</v>
      </c>
      <c r="Q948" s="8">
        <v>1461</v>
      </c>
      <c r="R948" s="7">
        <f t="shared" si="9"/>
        <v>0.15578424553224135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4.4" hidden="1">
      <c r="A949" s="3">
        <f>LOOKUP(D949,'AMFI DATA_2023H2'!F:L,'AMFI DATA_2023H2'!L:L)</f>
        <v>1023</v>
      </c>
      <c r="B949" s="4" t="s">
        <v>2924</v>
      </c>
      <c r="C949" s="4" t="s">
        <v>2925</v>
      </c>
      <c r="D949" s="5" t="s">
        <v>2926</v>
      </c>
      <c r="E949" s="5">
        <v>1244.25</v>
      </c>
      <c r="F949" s="6">
        <f>LOOKUP(D949,'AMFI DATA_2023H2'!F:J,'AMFI DATA_2023H2'!J:J)</f>
        <v>1612.7871500000001</v>
      </c>
      <c r="G949" s="7">
        <f t="shared" si="8"/>
        <v>-3.087025463961568E-2</v>
      </c>
      <c r="H949" s="8">
        <v>1563</v>
      </c>
      <c r="I949" s="8">
        <v>1515</v>
      </c>
      <c r="J949" s="8">
        <v>1514</v>
      </c>
      <c r="K949" s="8">
        <v>1555</v>
      </c>
      <c r="L949" s="8">
        <v>1525</v>
      </c>
      <c r="M949" s="8">
        <v>1500</v>
      </c>
      <c r="N949" s="8">
        <v>1517</v>
      </c>
      <c r="O949" s="8">
        <v>1507</v>
      </c>
      <c r="P949" s="8">
        <v>1522</v>
      </c>
      <c r="Q949" s="8">
        <v>1506</v>
      </c>
      <c r="R949" s="7">
        <f t="shared" si="9"/>
        <v>-5.6044066323321151E-2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4.4" hidden="1">
      <c r="A950" s="3">
        <f>LOOKUP(D950,'AMFI DATA_2023H2'!F:L,'AMFI DATA_2023H2'!L:L)</f>
        <v>185</v>
      </c>
      <c r="B950" s="4" t="s">
        <v>564</v>
      </c>
      <c r="C950" s="4" t="s">
        <v>565</v>
      </c>
      <c r="D950" s="5" t="s">
        <v>566</v>
      </c>
      <c r="E950" s="5">
        <v>23582.639999999999</v>
      </c>
      <c r="F950" s="6">
        <f>LOOKUP(D950,'AMFI DATA_2023H2'!F:J,'AMFI DATA_2023H2'!J:J)</f>
        <v>33735.748250000004</v>
      </c>
      <c r="G950" s="7">
        <f t="shared" si="8"/>
        <v>0.25943553067627589</v>
      </c>
      <c r="H950" s="8">
        <v>42488</v>
      </c>
      <c r="I950" s="8">
        <v>42687</v>
      </c>
      <c r="J950" s="8">
        <v>41294</v>
      </c>
      <c r="K950" s="8">
        <v>40349</v>
      </c>
      <c r="L950" s="8">
        <v>40672</v>
      </c>
      <c r="M950" s="8">
        <v>41070</v>
      </c>
      <c r="N950" s="8">
        <v>40336</v>
      </c>
      <c r="O950" s="8">
        <v>38819</v>
      </c>
      <c r="P950" s="8">
        <v>38060</v>
      </c>
      <c r="Q950" s="8">
        <v>38010</v>
      </c>
      <c r="R950" s="7">
        <f t="shared" si="9"/>
        <v>0.19690542212888351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4.4" hidden="1">
      <c r="A951" s="3">
        <f>LOOKUP(D951,'AMFI DATA_2023H2'!F:L,'AMFI DATA_2023H2'!L:L)</f>
        <v>142</v>
      </c>
      <c r="B951" s="4" t="s">
        <v>435</v>
      </c>
      <c r="C951" s="4" t="s">
        <v>436</v>
      </c>
      <c r="D951" s="5" t="s">
        <v>437</v>
      </c>
      <c r="E951" s="5">
        <v>38548.230000000003</v>
      </c>
      <c r="F951" s="6">
        <f>LOOKUP(D951,'AMFI DATA_2023H2'!F:J,'AMFI DATA_2023H2'!J:J)</f>
        <v>47220.772599999997</v>
      </c>
      <c r="G951" s="7">
        <f t="shared" si="8"/>
        <v>0.16658404695394591</v>
      </c>
      <c r="H951" s="8">
        <v>55087</v>
      </c>
      <c r="I951" s="8">
        <v>55276</v>
      </c>
      <c r="J951" s="8">
        <v>54037</v>
      </c>
      <c r="K951" s="8">
        <v>54725</v>
      </c>
      <c r="L951" s="8">
        <v>55033</v>
      </c>
      <c r="M951" s="8">
        <v>55559</v>
      </c>
      <c r="N951" s="8">
        <v>54904</v>
      </c>
      <c r="O951" s="8">
        <v>55020</v>
      </c>
      <c r="P951" s="8">
        <v>55011</v>
      </c>
      <c r="Q951" s="8">
        <v>55012</v>
      </c>
      <c r="R951" s="7">
        <f t="shared" si="9"/>
        <v>0.16403008619981807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4.4" hidden="1">
      <c r="A952" s="3">
        <f>LOOKUP(D952,'AMFI DATA_2023H2'!F:L,'AMFI DATA_2023H2'!L:L)</f>
        <v>634</v>
      </c>
      <c r="B952" s="4" t="s">
        <v>1872</v>
      </c>
      <c r="C952" s="4" t="s">
        <v>1873</v>
      </c>
      <c r="D952" s="5" t="s">
        <v>1874</v>
      </c>
      <c r="E952" s="5">
        <v>4168.12</v>
      </c>
      <c r="F952" s="6">
        <f>LOOKUP(D952,'AMFI DATA_2023H2'!F:J,'AMFI DATA_2023H2'!J:J)</f>
        <v>4712.0503499999995</v>
      </c>
      <c r="G952" s="7">
        <f t="shared" si="8"/>
        <v>-0.13583266358773094</v>
      </c>
      <c r="H952" s="8">
        <v>4072</v>
      </c>
      <c r="I952" s="8">
        <v>3970</v>
      </c>
      <c r="J952" s="8">
        <v>3917</v>
      </c>
      <c r="K952" s="8">
        <v>4005</v>
      </c>
      <c r="L952" s="8">
        <v>4085</v>
      </c>
      <c r="M952" s="8">
        <v>4129</v>
      </c>
      <c r="N952" s="8">
        <v>4215</v>
      </c>
      <c r="O952" s="8">
        <v>4276</v>
      </c>
      <c r="P952" s="8">
        <v>4295</v>
      </c>
      <c r="Q952" s="8">
        <v>4342</v>
      </c>
      <c r="R952" s="7">
        <f t="shared" si="9"/>
        <v>-0.12339646370714163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4.4" hidden="1">
      <c r="A953" s="3">
        <f>LOOKUP(D953,'AMFI DATA_2023H2'!F:L,'AMFI DATA_2023H2'!L:L)</f>
        <v>2230</v>
      </c>
      <c r="B953" s="4" t="s">
        <v>5051</v>
      </c>
      <c r="C953" s="4" t="s">
        <v>5052</v>
      </c>
      <c r="D953" s="5" t="s">
        <v>5053</v>
      </c>
      <c r="E953" s="5">
        <v>94.6</v>
      </c>
      <c r="F953" s="6">
        <f>LOOKUP(D953,'AMFI DATA_2023H2'!F:J,'AMFI DATA_2023H2'!J:J)</f>
        <v>124.7367</v>
      </c>
      <c r="G953" s="7">
        <f t="shared" si="8"/>
        <v>0.24261744939540653</v>
      </c>
      <c r="H953" s="9">
        <v>155</v>
      </c>
      <c r="I953" s="9">
        <v>156</v>
      </c>
      <c r="J953" s="9">
        <v>158</v>
      </c>
      <c r="K953" s="9">
        <v>152</v>
      </c>
      <c r="L953" s="9">
        <v>153</v>
      </c>
      <c r="M953" s="9">
        <v>156</v>
      </c>
      <c r="N953" s="9">
        <v>170</v>
      </c>
      <c r="O953" s="9">
        <v>143</v>
      </c>
      <c r="P953" s="9">
        <v>145</v>
      </c>
      <c r="Q953" s="9">
        <v>147</v>
      </c>
      <c r="R953" s="7">
        <f t="shared" si="9"/>
        <v>0.23059211923996714</v>
      </c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4.4" hidden="1">
      <c r="A954" s="3">
        <f>LOOKUP(D954,'AMFI DATA_2023H2'!F:L,'AMFI DATA_2023H2'!L:L)</f>
        <v>2908</v>
      </c>
      <c r="B954" s="4" t="s">
        <v>5509</v>
      </c>
      <c r="C954" s="4" t="s">
        <v>5510</v>
      </c>
      <c r="D954" s="5" t="s">
        <v>5511</v>
      </c>
      <c r="E954" s="5">
        <v>35.79</v>
      </c>
      <c r="F954" s="6">
        <f>LOOKUP(D954,'AMFI DATA_2023H2'!F:J,'AMFI DATA_2023H2'!J:J)</f>
        <v>43.722099999999998</v>
      </c>
      <c r="G954" s="7">
        <f t="shared" si="8"/>
        <v>0.24422202959144235</v>
      </c>
      <c r="H954" s="9">
        <v>54.4</v>
      </c>
      <c r="I954" s="9">
        <v>54.6</v>
      </c>
      <c r="J954" s="9">
        <v>53.7</v>
      </c>
      <c r="K954" s="9">
        <v>55.2</v>
      </c>
      <c r="L954" s="9">
        <v>53.2</v>
      </c>
      <c r="M954" s="9">
        <v>54.7</v>
      </c>
      <c r="N954" s="9">
        <v>54.9</v>
      </c>
      <c r="O954" s="9">
        <v>55.8</v>
      </c>
      <c r="P954" s="9">
        <v>58</v>
      </c>
      <c r="Q954" s="9">
        <v>60.9</v>
      </c>
      <c r="R954" s="7">
        <f t="shared" si="9"/>
        <v>0.27029580006449838</v>
      </c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4.4" hidden="1">
      <c r="A955" s="3">
        <f>LOOKUP(D955,'AMFI DATA_2023H2'!F:L,'AMFI DATA_2023H2'!L:L)</f>
        <v>318</v>
      </c>
      <c r="B955" s="4" t="s">
        <v>963</v>
      </c>
      <c r="C955" s="4" t="s">
        <v>964</v>
      </c>
      <c r="D955" s="5" t="s">
        <v>965</v>
      </c>
      <c r="E955" s="5">
        <v>12029.39</v>
      </c>
      <c r="F955" s="6">
        <f>LOOKUP(D955,'AMFI DATA_2023H2'!F:J,'AMFI DATA_2023H2'!J:J)</f>
        <v>14689.051800000001</v>
      </c>
      <c r="G955" s="7">
        <f t="shared" si="8"/>
        <v>2.9542288086968238E-2</v>
      </c>
      <c r="H955" s="8">
        <v>15123</v>
      </c>
      <c r="I955" s="8">
        <v>14582</v>
      </c>
      <c r="J955" s="8">
        <v>14653</v>
      </c>
      <c r="K955" s="8">
        <v>14503</v>
      </c>
      <c r="L955" s="8">
        <v>14658</v>
      </c>
      <c r="M955" s="8">
        <v>14652</v>
      </c>
      <c r="N955" s="8">
        <v>14222</v>
      </c>
      <c r="O955" s="8">
        <v>14236</v>
      </c>
      <c r="P955" s="8">
        <v>14072</v>
      </c>
      <c r="Q955" s="8">
        <v>14226</v>
      </c>
      <c r="R955" s="7">
        <f t="shared" si="9"/>
        <v>-1.3367220884876962E-2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4.4" hidden="1">
      <c r="A956" s="3">
        <f>LOOKUP(D956,'AMFI DATA_2023H2'!F:L,'AMFI DATA_2023H2'!L:L)</f>
        <v>4226</v>
      </c>
      <c r="B956" s="4" t="s">
        <v>5776</v>
      </c>
      <c r="C956" s="4" t="s">
        <v>5777</v>
      </c>
      <c r="D956" s="5" t="s">
        <v>5778</v>
      </c>
      <c r="E956" s="5">
        <v>5.2</v>
      </c>
      <c r="F956" s="6">
        <f>LOOKUP(D956,'AMFI DATA_2023H2'!F:J,'AMFI DATA_2023H2'!J:J)</f>
        <v>5.9620499999999996</v>
      </c>
      <c r="G956" s="7">
        <f t="shared" si="8"/>
        <v>0.19254283342139034</v>
      </c>
      <c r="H956" s="9">
        <v>7.11</v>
      </c>
      <c r="I956" s="9">
        <v>6.89</v>
      </c>
      <c r="J956" s="9">
        <v>6.59</v>
      </c>
      <c r="K956" s="9">
        <v>6.27</v>
      </c>
      <c r="L956" s="9">
        <v>5.98</v>
      </c>
      <c r="M956" s="9">
        <v>5.91</v>
      </c>
      <c r="N956" s="9">
        <v>5.91</v>
      </c>
      <c r="O956" s="9">
        <v>5.71</v>
      </c>
      <c r="P956" s="9">
        <v>5.8</v>
      </c>
      <c r="Q956" s="9">
        <v>5.8</v>
      </c>
      <c r="R956" s="7">
        <f t="shared" si="9"/>
        <v>3.9407586316786869E-2</v>
      </c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4.4" hidden="1">
      <c r="A957" s="3">
        <f>LOOKUP(D957,'AMFI DATA_2023H2'!F:L,'AMFI DATA_2023H2'!L:L)</f>
        <v>2134</v>
      </c>
      <c r="B957" s="4" t="s">
        <v>4931</v>
      </c>
      <c r="C957" s="4" t="s">
        <v>4932</v>
      </c>
      <c r="D957" s="5" t="s">
        <v>4933</v>
      </c>
      <c r="E957" s="5">
        <v>161.85</v>
      </c>
      <c r="F957" s="6">
        <f>LOOKUP(D957,'AMFI DATA_2023H2'!F:J,'AMFI DATA_2023H2'!J:J)</f>
        <v>150.3117</v>
      </c>
      <c r="G957" s="7">
        <f t="shared" si="8"/>
        <v>0.1243303082860483</v>
      </c>
      <c r="H957" s="9">
        <v>169</v>
      </c>
      <c r="I957" s="9">
        <v>167</v>
      </c>
      <c r="J957" s="9">
        <v>164</v>
      </c>
      <c r="K957" s="9">
        <v>166</v>
      </c>
      <c r="L957" s="9">
        <v>164</v>
      </c>
      <c r="M957" s="9">
        <v>163</v>
      </c>
      <c r="N957" s="9">
        <v>162</v>
      </c>
      <c r="O957" s="9">
        <v>162</v>
      </c>
      <c r="P957" s="9">
        <v>165</v>
      </c>
      <c r="Q957" s="9">
        <v>169</v>
      </c>
      <c r="R957" s="7">
        <f t="shared" si="9"/>
        <v>9.8384224248677876E-2</v>
      </c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4.4" hidden="1">
      <c r="A958" s="3">
        <f>LOOKUP(D958,'AMFI DATA_2023H2'!F:L,'AMFI DATA_2023H2'!L:L)</f>
        <v>784</v>
      </c>
      <c r="B958" s="4" t="s">
        <v>2282</v>
      </c>
      <c r="C958" s="4" t="s">
        <v>2283</v>
      </c>
      <c r="D958" s="5" t="s">
        <v>2284</v>
      </c>
      <c r="E958" s="5">
        <v>2402.14</v>
      </c>
      <c r="F958" s="6">
        <f>LOOKUP(D958,'AMFI DATA_2023H2'!F:J,'AMFI DATA_2023H2'!J:J)</f>
        <v>3037.0920500000002</v>
      </c>
      <c r="G958" s="7">
        <f t="shared" si="8"/>
        <v>6.9444042698672881E-2</v>
      </c>
      <c r="H958" s="8">
        <v>3248</v>
      </c>
      <c r="I958" s="8">
        <v>3278</v>
      </c>
      <c r="J958" s="8">
        <v>3293</v>
      </c>
      <c r="K958" s="8">
        <v>3329</v>
      </c>
      <c r="L958" s="8">
        <v>3375</v>
      </c>
      <c r="M958" s="8">
        <v>3417</v>
      </c>
      <c r="N958" s="8">
        <v>3367</v>
      </c>
      <c r="O958" s="8">
        <v>3241</v>
      </c>
      <c r="P958" s="8">
        <v>3238</v>
      </c>
      <c r="Q958" s="8">
        <v>3335</v>
      </c>
      <c r="R958" s="7">
        <f t="shared" si="9"/>
        <v>9.0549757950207477E-2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4.4" hidden="1">
      <c r="A959" s="3">
        <f>LOOKUP(D959,'AMFI DATA_2023H2'!F:L,'AMFI DATA_2023H2'!L:L)</f>
        <v>2420</v>
      </c>
      <c r="B959" s="4" t="s">
        <v>5219</v>
      </c>
      <c r="C959" s="4" t="s">
        <v>5220</v>
      </c>
      <c r="D959" s="5" t="s">
        <v>5221</v>
      </c>
      <c r="E959" s="5">
        <v>85.92</v>
      </c>
      <c r="F959" s="6">
        <f>LOOKUP(D959,'AMFI DATA_2023H2'!F:J,'AMFI DATA_2023H2'!J:J)</f>
        <v>94.366299999999995</v>
      </c>
      <c r="G959" s="7">
        <f t="shared" si="8"/>
        <v>0.11268535483535969</v>
      </c>
      <c r="H959" s="9">
        <v>105</v>
      </c>
      <c r="I959" s="9">
        <v>105</v>
      </c>
      <c r="J959" s="9">
        <v>102</v>
      </c>
      <c r="K959" s="9">
        <v>106</v>
      </c>
      <c r="L959" s="9">
        <v>104</v>
      </c>
      <c r="M959" s="9">
        <v>99.2</v>
      </c>
      <c r="N959" s="9">
        <v>101</v>
      </c>
      <c r="O959" s="9">
        <v>98.6</v>
      </c>
      <c r="P959" s="9">
        <v>99.8</v>
      </c>
      <c r="Q959" s="9">
        <v>99.3</v>
      </c>
      <c r="R959" s="7">
        <f t="shared" si="9"/>
        <v>8.0788374663412599E-2</v>
      </c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4.4" hidden="1">
      <c r="A960" s="3">
        <f>LOOKUP(D960,'AMFI DATA_2023H2'!F:L,'AMFI DATA_2023H2'!L:L)</f>
        <v>12</v>
      </c>
      <c r="B960" s="4" t="s">
        <v>40</v>
      </c>
      <c r="C960" s="4" t="s">
        <v>41</v>
      </c>
      <c r="D960" s="5" t="s">
        <v>42</v>
      </c>
      <c r="E960" s="5">
        <v>312871.87</v>
      </c>
      <c r="F960" s="6">
        <f>LOOKUP(D960,'AMFI DATA_2023H2'!F:J,'AMFI DATA_2023H2'!J:J)</f>
        <v>409898.5551</v>
      </c>
      <c r="G960" s="7">
        <f t="shared" si="8"/>
        <v>0.17873311332392161</v>
      </c>
      <c r="H960" s="8">
        <v>483161</v>
      </c>
      <c r="I960" s="8">
        <v>475415</v>
      </c>
      <c r="J960" s="8">
        <v>472989</v>
      </c>
      <c r="K960" s="8">
        <v>472721</v>
      </c>
      <c r="L960" s="8">
        <v>484164</v>
      </c>
      <c r="M960" s="8">
        <v>484810</v>
      </c>
      <c r="N960" s="8">
        <v>483573</v>
      </c>
      <c r="O960" s="8">
        <v>487016</v>
      </c>
      <c r="P960" s="8">
        <v>479952</v>
      </c>
      <c r="Q960" s="8">
        <v>478061</v>
      </c>
      <c r="R960" s="7">
        <f t="shared" si="9"/>
        <v>0.17147570789277955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4.4" hidden="1">
      <c r="A961" s="3">
        <f>LOOKUP(D961,'AMFI DATA_2023H2'!F:L,'AMFI DATA_2023H2'!L:L)</f>
        <v>2204</v>
      </c>
      <c r="B961" s="4" t="s">
        <v>5024</v>
      </c>
      <c r="C961" s="4" t="s">
        <v>5025</v>
      </c>
      <c r="D961" s="5" t="s">
        <v>5026</v>
      </c>
      <c r="E961" s="5">
        <v>115.72</v>
      </c>
      <c r="F961" s="6">
        <f>LOOKUP(D961,'AMFI DATA_2023H2'!F:J,'AMFI DATA_2023H2'!J:J)</f>
        <v>131.01535000000001</v>
      </c>
      <c r="G961" s="7">
        <f t="shared" si="8"/>
        <v>0.36625212236581417</v>
      </c>
      <c r="H961" s="9">
        <v>179</v>
      </c>
      <c r="I961" s="9">
        <v>165</v>
      </c>
      <c r="J961" s="9">
        <v>156</v>
      </c>
      <c r="K961" s="9">
        <v>157</v>
      </c>
      <c r="L961" s="9">
        <v>143</v>
      </c>
      <c r="M961" s="9">
        <v>150</v>
      </c>
      <c r="N961" s="9">
        <v>153</v>
      </c>
      <c r="O961" s="9">
        <v>165</v>
      </c>
      <c r="P961" s="9">
        <v>150</v>
      </c>
      <c r="Q961" s="9">
        <v>139</v>
      </c>
      <c r="R961" s="7">
        <f t="shared" si="9"/>
        <v>0.18841036565562708</v>
      </c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4.4" hidden="1">
      <c r="A962" s="3">
        <f>LOOKUP(D962,'AMFI DATA_2023H2'!F:L,'AMFI DATA_2023H2'!L:L)</f>
        <v>454</v>
      </c>
      <c r="B962" s="4" t="s">
        <v>1353</v>
      </c>
      <c r="C962" s="4" t="s">
        <v>1354</v>
      </c>
      <c r="D962" s="5" t="s">
        <v>1355</v>
      </c>
      <c r="E962" s="5">
        <v>7147.52</v>
      </c>
      <c r="F962" s="6">
        <f>LOOKUP(D962,'AMFI DATA_2023H2'!F:J,'AMFI DATA_2023H2'!J:J)</f>
        <v>8626.0047000000013</v>
      </c>
      <c r="G962" s="7">
        <f t="shared" si="8"/>
        <v>7.5584853321491785E-2</v>
      </c>
      <c r="H962" s="8">
        <v>9278</v>
      </c>
      <c r="I962" s="8">
        <v>9343</v>
      </c>
      <c r="J962" s="8">
        <v>9386</v>
      </c>
      <c r="K962" s="8">
        <v>9385</v>
      </c>
      <c r="L962" s="8">
        <v>9372</v>
      </c>
      <c r="M962" s="8">
        <v>9378</v>
      </c>
      <c r="N962" s="8">
        <v>9305</v>
      </c>
      <c r="O962" s="8">
        <v>9333</v>
      </c>
      <c r="P962" s="8">
        <v>9348</v>
      </c>
      <c r="Q962" s="8">
        <v>9416</v>
      </c>
      <c r="R962" s="7">
        <f t="shared" si="9"/>
        <v>8.4441792618081823E-2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4.4" hidden="1">
      <c r="A963" s="3">
        <f>LOOKUP(D963,'AMFI DATA_2023H2'!F:L,'AMFI DATA_2023H2'!L:L)</f>
        <v>1918</v>
      </c>
      <c r="B963" s="4" t="s">
        <v>4625</v>
      </c>
      <c r="C963" s="4" t="s">
        <v>4626</v>
      </c>
      <c r="D963" s="5" t="s">
        <v>4627</v>
      </c>
      <c r="E963" s="5">
        <v>242.56</v>
      </c>
      <c r="F963" s="6">
        <f>LOOKUP(D963,'AMFI DATA_2023H2'!F:J,'AMFI DATA_2023H2'!J:J)</f>
        <v>211.6472</v>
      </c>
      <c r="G963" s="7">
        <f t="shared" si="8"/>
        <v>-0.21095105439618378</v>
      </c>
      <c r="H963" s="9">
        <v>167</v>
      </c>
      <c r="I963" s="9">
        <v>185</v>
      </c>
      <c r="J963" s="9">
        <v>206</v>
      </c>
      <c r="K963" s="9">
        <v>189</v>
      </c>
      <c r="L963" s="9">
        <v>194</v>
      </c>
      <c r="M963" s="9">
        <v>201</v>
      </c>
      <c r="N963" s="9">
        <v>202</v>
      </c>
      <c r="O963" s="9">
        <v>186</v>
      </c>
      <c r="P963" s="9">
        <v>184</v>
      </c>
      <c r="Q963" s="9">
        <v>172</v>
      </c>
      <c r="R963" s="7">
        <f t="shared" si="9"/>
        <v>-0.10889442430610941</v>
      </c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4.4" hidden="1">
      <c r="A964" s="3">
        <f>LOOKUP(D964,'AMFI DATA_2023H2'!F:L,'AMFI DATA_2023H2'!L:L)</f>
        <v>261</v>
      </c>
      <c r="B964" s="4" t="s">
        <v>792</v>
      </c>
      <c r="C964" s="4" t="s">
        <v>793</v>
      </c>
      <c r="D964" s="5" t="s">
        <v>794</v>
      </c>
      <c r="E964" s="5">
        <v>17765.009999999998</v>
      </c>
      <c r="F964" s="6">
        <f>LOOKUP(D964,'AMFI DATA_2023H2'!F:J,'AMFI DATA_2023H2'!J:J)</f>
        <v>20568.2484</v>
      </c>
      <c r="G964" s="7">
        <f t="shared" si="8"/>
        <v>0.11876322924999294</v>
      </c>
      <c r="H964" s="8">
        <v>23011</v>
      </c>
      <c r="I964" s="8">
        <v>23205</v>
      </c>
      <c r="J964" s="8">
        <v>23228</v>
      </c>
      <c r="K964" s="8">
        <v>23473</v>
      </c>
      <c r="L964" s="8">
        <v>23352</v>
      </c>
      <c r="M964" s="8">
        <v>23186</v>
      </c>
      <c r="N964" s="8">
        <v>22982</v>
      </c>
      <c r="O964" s="8">
        <v>23286</v>
      </c>
      <c r="P964" s="8">
        <v>23416</v>
      </c>
      <c r="Q964" s="8">
        <v>22330</v>
      </c>
      <c r="R964" s="7">
        <f t="shared" si="9"/>
        <v>0.12537050067909528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4.4" hidden="1">
      <c r="A965" s="3">
        <f>LOOKUP(D965,'AMFI DATA_2023H2'!F:L,'AMFI DATA_2023H2'!L:L)</f>
        <v>3015</v>
      </c>
      <c r="B965" s="4" t="s">
        <v>5551</v>
      </c>
      <c r="C965" s="4" t="s">
        <v>5552</v>
      </c>
      <c r="D965" s="5" t="s">
        <v>5553</v>
      </c>
      <c r="E965" s="5">
        <v>35.65</v>
      </c>
      <c r="F965" s="6">
        <f>LOOKUP(D965,'AMFI DATA_2023H2'!F:J,'AMFI DATA_2023H2'!J:J)</f>
        <v>37.4559</v>
      </c>
      <c r="G965" s="7">
        <f t="shared" si="8"/>
        <v>0.19874305516620883</v>
      </c>
      <c r="H965" s="9">
        <v>44.9</v>
      </c>
      <c r="I965" s="9">
        <v>45</v>
      </c>
      <c r="J965" s="9">
        <v>43.6</v>
      </c>
      <c r="K965" s="9">
        <v>44.4</v>
      </c>
      <c r="L965" s="9">
        <v>43</v>
      </c>
      <c r="M965" s="9">
        <v>43.1</v>
      </c>
      <c r="N965" s="9">
        <v>43.1</v>
      </c>
      <c r="O965" s="9">
        <v>44.7</v>
      </c>
      <c r="P965" s="9">
        <v>48.2</v>
      </c>
      <c r="Q965" s="9">
        <v>41.8</v>
      </c>
      <c r="R965" s="7">
        <f t="shared" si="9"/>
        <v>0.17952044938180634</v>
      </c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4.4" hidden="1">
      <c r="A966" s="3">
        <f>LOOKUP(D966,'AMFI DATA_2023H2'!F:L,'AMFI DATA_2023H2'!L:L)</f>
        <v>1714</v>
      </c>
      <c r="B966" s="4" t="s">
        <v>4358</v>
      </c>
      <c r="C966" s="4" t="s">
        <v>4359</v>
      </c>
      <c r="D966" s="5" t="s">
        <v>4360</v>
      </c>
      <c r="E966" s="5">
        <v>225.65</v>
      </c>
      <c r="F966" s="6">
        <f>LOOKUP(D966,'AMFI DATA_2023H2'!F:J,'AMFI DATA_2023H2'!J:J)</f>
        <v>324.63780000000003</v>
      </c>
      <c r="G966" s="7">
        <f t="shared" si="8"/>
        <v>0.12432994555778776</v>
      </c>
      <c r="H966" s="9">
        <v>365</v>
      </c>
      <c r="I966" s="9">
        <v>357</v>
      </c>
      <c r="J966" s="9">
        <v>365</v>
      </c>
      <c r="K966" s="9">
        <v>348</v>
      </c>
      <c r="L966" s="9">
        <v>332</v>
      </c>
      <c r="M966" s="9">
        <v>317</v>
      </c>
      <c r="N966" s="9">
        <v>333</v>
      </c>
      <c r="O966" s="9">
        <v>317</v>
      </c>
      <c r="P966" s="9">
        <v>317</v>
      </c>
      <c r="Q966" s="9">
        <v>330</v>
      </c>
      <c r="R966" s="7">
        <f t="shared" si="9"/>
        <v>4.146836874818649E-2</v>
      </c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4.4" hidden="1">
      <c r="A967" s="3">
        <f>LOOKUP(D967,'AMFI DATA_2023H2'!F:L,'AMFI DATA_2023H2'!L:L)</f>
        <v>499</v>
      </c>
      <c r="B967" s="4" t="s">
        <v>1482</v>
      </c>
      <c r="C967" s="4" t="s">
        <v>1483</v>
      </c>
      <c r="D967" s="5" t="s">
        <v>1484</v>
      </c>
      <c r="E967" s="5">
        <v>7052.45</v>
      </c>
      <c r="F967" s="6">
        <f>LOOKUP(D967,'AMFI DATA_2023H2'!F:J,'AMFI DATA_2023H2'!J:J)</f>
        <v>7335.6044499999998</v>
      </c>
      <c r="G967" s="7">
        <f t="shared" si="8"/>
        <v>8.3482629710221135E-2</v>
      </c>
      <c r="H967" s="8">
        <v>7948</v>
      </c>
      <c r="I967" s="8">
        <v>8092</v>
      </c>
      <c r="J967" s="8">
        <v>7857</v>
      </c>
      <c r="K967" s="8">
        <v>7946</v>
      </c>
      <c r="L967" s="8">
        <v>8036</v>
      </c>
      <c r="M967" s="8">
        <v>7994</v>
      </c>
      <c r="N967" s="8">
        <v>8034</v>
      </c>
      <c r="O967" s="8">
        <v>8103</v>
      </c>
      <c r="P967" s="8">
        <v>7961</v>
      </c>
      <c r="Q967" s="8">
        <v>7671</v>
      </c>
      <c r="R967" s="7">
        <f t="shared" si="9"/>
        <v>8.5691036680692445E-2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4.4" hidden="1">
      <c r="A968" s="3">
        <f>LOOKUP(D968,'AMFI DATA_2023H2'!F:L,'AMFI DATA_2023H2'!L:L)</f>
        <v>3373</v>
      </c>
      <c r="B968" s="4" t="s">
        <v>5665</v>
      </c>
      <c r="C968" s="4" t="s">
        <v>5666</v>
      </c>
      <c r="D968" s="5" t="s">
        <v>5667</v>
      </c>
      <c r="E968" s="5">
        <v>22.31</v>
      </c>
      <c r="F968" s="6">
        <f>LOOKUP(D968,'AMFI DATA_2023H2'!F:J,'AMFI DATA_2023H2'!J:J)</f>
        <v>22.1586</v>
      </c>
      <c r="G968" s="7">
        <f t="shared" si="8"/>
        <v>0.48475084165967153</v>
      </c>
      <c r="H968" s="9">
        <v>32.9</v>
      </c>
      <c r="I968" s="9">
        <v>31</v>
      </c>
      <c r="J968" s="9">
        <v>29.8</v>
      </c>
      <c r="K968" s="9">
        <v>29.6</v>
      </c>
      <c r="L968" s="9">
        <v>29.9</v>
      </c>
      <c r="M968" s="9">
        <v>28.5</v>
      </c>
      <c r="N968" s="9">
        <v>29.1</v>
      </c>
      <c r="O968" s="9">
        <v>30.4</v>
      </c>
      <c r="P968" s="9">
        <v>30.1</v>
      </c>
      <c r="Q968" s="9">
        <v>30.4</v>
      </c>
      <c r="R968" s="7">
        <f t="shared" si="9"/>
        <v>0.36154811224535832</v>
      </c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4.4" hidden="1">
      <c r="A969" s="3">
        <f>LOOKUP(D969,'AMFI DATA_2023H2'!F:L,'AMFI DATA_2023H2'!L:L)</f>
        <v>453</v>
      </c>
      <c r="B969" s="4" t="s">
        <v>1350</v>
      </c>
      <c r="C969" s="4" t="s">
        <v>1351</v>
      </c>
      <c r="D969" s="5" t="s">
        <v>1352</v>
      </c>
      <c r="E969" s="5">
        <v>6604.7</v>
      </c>
      <c r="F969" s="6">
        <f>LOOKUP(D969,'AMFI DATA_2023H2'!F:J,'AMFI DATA_2023H2'!J:J)</f>
        <v>8645.6372999999985</v>
      </c>
      <c r="G969" s="7">
        <f t="shared" si="8"/>
        <v>0.18533771940675803</v>
      </c>
      <c r="H969" s="8">
        <v>10248</v>
      </c>
      <c r="I969" s="8">
        <v>10268</v>
      </c>
      <c r="J969" s="8">
        <v>10216</v>
      </c>
      <c r="K969" s="8">
        <v>10287</v>
      </c>
      <c r="L969" s="8">
        <v>9404</v>
      </c>
      <c r="M969" s="8">
        <v>9491</v>
      </c>
      <c r="N969" s="8">
        <v>9475</v>
      </c>
      <c r="O969" s="8">
        <v>9388</v>
      </c>
      <c r="P969" s="8">
        <v>9550</v>
      </c>
      <c r="Q969" s="8">
        <v>9622</v>
      </c>
      <c r="R969" s="7">
        <f t="shared" si="9"/>
        <v>0.13292978413517309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4.4" hidden="1">
      <c r="A970" s="3">
        <f>LOOKUP(D970,'AMFI DATA_2023H2'!F:L,'AMFI DATA_2023H2'!L:L)</f>
        <v>2526</v>
      </c>
      <c r="B970" s="4" t="s">
        <v>5311</v>
      </c>
      <c r="C970" s="4" t="s">
        <v>5312</v>
      </c>
      <c r="D970" s="5" t="s">
        <v>5313</v>
      </c>
      <c r="E970" s="5">
        <v>129.02000000000001</v>
      </c>
      <c r="F970" s="6">
        <f>LOOKUP(D970,'AMFI DATA_2023H2'!F:J,'AMFI DATA_2023H2'!J:J)</f>
        <v>77.573899999999995</v>
      </c>
      <c r="G970" s="7">
        <f t="shared" si="8"/>
        <v>0.12924579014333437</v>
      </c>
      <c r="H970" s="9">
        <v>87.6</v>
      </c>
      <c r="I970" s="9">
        <v>86.6</v>
      </c>
      <c r="J970" s="9">
        <v>84.8</v>
      </c>
      <c r="K970" s="9">
        <v>88.4</v>
      </c>
      <c r="L970" s="9">
        <v>90.4</v>
      </c>
      <c r="M970" s="9">
        <v>89.9</v>
      </c>
      <c r="N970" s="9">
        <v>94.6</v>
      </c>
      <c r="O970" s="9">
        <v>99.3</v>
      </c>
      <c r="P970" s="9">
        <v>104</v>
      </c>
      <c r="Q970" s="9">
        <v>104</v>
      </c>
      <c r="R970" s="7">
        <f t="shared" si="9"/>
        <v>0.1983411946543876</v>
      </c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4.4" hidden="1">
      <c r="A971" s="3">
        <f>LOOKUP(D971,'AMFI DATA_2023H2'!F:L,'AMFI DATA_2023H2'!L:L)</f>
        <v>735</v>
      </c>
      <c r="B971" s="4" t="s">
        <v>2150</v>
      </c>
      <c r="C971" s="4" t="s">
        <v>2151</v>
      </c>
      <c r="D971" s="5" t="s">
        <v>2152</v>
      </c>
      <c r="E971" s="5">
        <v>2419.67</v>
      </c>
      <c r="F971" s="6">
        <f>LOOKUP(D971,'AMFI DATA_2023H2'!F:J,'AMFI DATA_2023H2'!J:J)</f>
        <v>3470.9472999999998</v>
      </c>
      <c r="G971" s="7">
        <f t="shared" si="8"/>
        <v>0.14435618195643607</v>
      </c>
      <c r="H971" s="8">
        <v>3972</v>
      </c>
      <c r="I971" s="8">
        <v>4002</v>
      </c>
      <c r="J971" s="8">
        <v>4006</v>
      </c>
      <c r="K971" s="8">
        <v>3879</v>
      </c>
      <c r="L971" s="8">
        <v>3924</v>
      </c>
      <c r="M971" s="8">
        <v>3944</v>
      </c>
      <c r="N971" s="8">
        <v>4013</v>
      </c>
      <c r="O971" s="8">
        <v>3990</v>
      </c>
      <c r="P971" s="8">
        <v>4011</v>
      </c>
      <c r="Q971" s="8">
        <v>4119</v>
      </c>
      <c r="R971" s="7">
        <f t="shared" si="9"/>
        <v>0.14838966296031053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4.4" hidden="1">
      <c r="A972" s="3">
        <f>LOOKUP(D972,'AMFI DATA_2023H2'!F:L,'AMFI DATA_2023H2'!L:L)</f>
        <v>1866</v>
      </c>
      <c r="B972" s="4" t="s">
        <v>4553</v>
      </c>
      <c r="C972" s="4" t="s">
        <v>4554</v>
      </c>
      <c r="D972" s="5" t="s">
        <v>4555</v>
      </c>
      <c r="E972" s="5">
        <v>225.65</v>
      </c>
      <c r="F972" s="6">
        <f>LOOKUP(D972,'AMFI DATA_2023H2'!F:J,'AMFI DATA_2023H2'!J:J)</f>
        <v>239.42310000000001</v>
      </c>
      <c r="G972" s="7">
        <f t="shared" si="8"/>
        <v>0.30313240451735868</v>
      </c>
      <c r="H972" s="9">
        <v>312</v>
      </c>
      <c r="I972" s="9">
        <v>317</v>
      </c>
      <c r="J972" s="9">
        <v>319</v>
      </c>
      <c r="K972" s="9">
        <v>320</v>
      </c>
      <c r="L972" s="9">
        <v>306</v>
      </c>
      <c r="M972" s="9">
        <v>311</v>
      </c>
      <c r="N972" s="9">
        <v>310</v>
      </c>
      <c r="O972" s="9">
        <v>295</v>
      </c>
      <c r="P972" s="9">
        <v>298</v>
      </c>
      <c r="Q972" s="9">
        <v>303</v>
      </c>
      <c r="R972" s="7">
        <f t="shared" si="9"/>
        <v>0.29101995588562679</v>
      </c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4.4" hidden="1">
      <c r="A973" s="3">
        <f>LOOKUP(D973,'AMFI DATA_2023H2'!F:L,'AMFI DATA_2023H2'!L:L)</f>
        <v>3002</v>
      </c>
      <c r="B973" s="4" t="s">
        <v>5548</v>
      </c>
      <c r="C973" s="4" t="s">
        <v>5549</v>
      </c>
      <c r="D973" s="5" t="s">
        <v>5550</v>
      </c>
      <c r="E973" s="5">
        <v>36.74</v>
      </c>
      <c r="F973" s="6">
        <f>LOOKUP(D973,'AMFI DATA_2023H2'!F:J,'AMFI DATA_2023H2'!J:J)</f>
        <v>38.158200000000001</v>
      </c>
      <c r="G973" s="7">
        <f t="shared" si="8"/>
        <v>0.32343768836056208</v>
      </c>
      <c r="H973" s="9">
        <v>50.5</v>
      </c>
      <c r="I973" s="9">
        <v>49.5</v>
      </c>
      <c r="J973" s="9">
        <v>49.9</v>
      </c>
      <c r="K973" s="9">
        <v>50.6</v>
      </c>
      <c r="L973" s="9">
        <v>50.1</v>
      </c>
      <c r="M973" s="9">
        <v>47.4</v>
      </c>
      <c r="N973" s="9">
        <v>47</v>
      </c>
      <c r="O973" s="9">
        <v>47.8</v>
      </c>
      <c r="P973" s="9">
        <v>48.7</v>
      </c>
      <c r="Q973" s="9">
        <v>46.9</v>
      </c>
      <c r="R973" s="7">
        <f t="shared" si="9"/>
        <v>0.27993458810950189</v>
      </c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4.4" hidden="1">
      <c r="A974" s="3">
        <f>LOOKUP(D974,'AMFI DATA_2023H2'!F:L,'AMFI DATA_2023H2'!L:L)</f>
        <v>1551</v>
      </c>
      <c r="B974" s="4" t="s">
        <v>4058</v>
      </c>
      <c r="C974" s="4" t="s">
        <v>4059</v>
      </c>
      <c r="D974" s="5" t="s">
        <v>4060</v>
      </c>
      <c r="E974" s="5">
        <v>400.84</v>
      </c>
      <c r="F974" s="6">
        <f>LOOKUP(D974,'AMFI DATA_2023H2'!F:J,'AMFI DATA_2023H2'!J:J)</f>
        <v>454.3843</v>
      </c>
      <c r="G974" s="7">
        <f t="shared" si="8"/>
        <v>8.0583109935796537E-2</v>
      </c>
      <c r="H974" s="9">
        <v>491</v>
      </c>
      <c r="I974" s="9">
        <v>484</v>
      </c>
      <c r="J974" s="9">
        <v>480</v>
      </c>
      <c r="K974" s="9">
        <v>477</v>
      </c>
      <c r="L974" s="9">
        <v>479</v>
      </c>
      <c r="M974" s="9">
        <v>475</v>
      </c>
      <c r="N974" s="9">
        <v>480</v>
      </c>
      <c r="O974" s="9">
        <v>482</v>
      </c>
      <c r="P974" s="9">
        <v>488</v>
      </c>
      <c r="Q974" s="9">
        <v>478</v>
      </c>
      <c r="R974" s="7">
        <f t="shared" si="9"/>
        <v>5.9455619395300419E-2</v>
      </c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4.4">
      <c r="A975" s="3">
        <f>LOOKUP(D975,'AMFI DATA_2023H2'!F:L,'AMFI DATA_2023H2'!L:L)</f>
        <v>228</v>
      </c>
      <c r="B975" s="4" t="s">
        <v>693</v>
      </c>
      <c r="C975" s="4" t="s">
        <v>694</v>
      </c>
      <c r="D975" s="5" t="s">
        <v>695</v>
      </c>
      <c r="E975" s="5">
        <v>20270.96</v>
      </c>
      <c r="F975" s="6">
        <f>LOOKUP(D975,'AMFI DATA_2023H2'!F:J,'AMFI DATA_2023H2'!J:J)</f>
        <v>24843.195350000002</v>
      </c>
      <c r="G975" s="7">
        <f t="shared" si="8"/>
        <v>0.27278313254498476</v>
      </c>
      <c r="H975" s="8">
        <v>31620</v>
      </c>
      <c r="I975" s="8">
        <v>31464</v>
      </c>
      <c r="J975" s="8">
        <v>30652</v>
      </c>
      <c r="K975" s="8">
        <v>30768</v>
      </c>
      <c r="L975" s="8">
        <v>30927</v>
      </c>
      <c r="M975" s="8">
        <v>29478</v>
      </c>
      <c r="N975" s="8">
        <v>29065</v>
      </c>
      <c r="O975" s="8">
        <v>28818</v>
      </c>
      <c r="P975" s="8">
        <v>28270</v>
      </c>
      <c r="Q975" s="8">
        <v>28455</v>
      </c>
      <c r="R975" s="14">
        <f t="shared" si="9"/>
        <v>0.20562993520074691</v>
      </c>
      <c r="S975" s="8"/>
      <c r="T975" s="8">
        <v>574.5</v>
      </c>
      <c r="U975" s="15">
        <f ca="1">IFERROR(__xludf.DUMMYFUNCTION("GOOGLEFINANCE(C975,""PRICE"")"),579.2)</f>
        <v>579.20000000000005</v>
      </c>
      <c r="V975" s="13" t="s">
        <v>5787</v>
      </c>
      <c r="W975" s="7">
        <f ca="1">U975/T975-1</f>
        <v>8.1810269799826862E-3</v>
      </c>
      <c r="X975" s="8"/>
      <c r="Y975" s="8"/>
      <c r="Z975" s="8"/>
      <c r="AA975" s="8"/>
      <c r="AB975" s="8"/>
    </row>
    <row r="976" spans="1:28" ht="14.4" hidden="1">
      <c r="A976" s="3">
        <f>LOOKUP(D976,'AMFI DATA_2023H2'!F:L,'AMFI DATA_2023H2'!L:L)</f>
        <v>11</v>
      </c>
      <c r="B976" s="4" t="s">
        <v>37</v>
      </c>
      <c r="C976" s="4" t="s">
        <v>38</v>
      </c>
      <c r="D976" s="5" t="s">
        <v>39</v>
      </c>
      <c r="E976" s="5">
        <v>381651.79</v>
      </c>
      <c r="F976" s="6">
        <f>LOOKUP(D976,'AMFI DATA_2023H2'!F:J,'AMFI DATA_2023H2'!J:J)</f>
        <v>417589.6115</v>
      </c>
      <c r="G976" s="7">
        <f t="shared" si="8"/>
        <v>0.2789662034013507</v>
      </c>
      <c r="H976" s="8">
        <v>534083</v>
      </c>
      <c r="I976" s="8">
        <v>528295</v>
      </c>
      <c r="J976" s="8">
        <v>530446</v>
      </c>
      <c r="K976" s="8">
        <v>529845</v>
      </c>
      <c r="L976" s="8">
        <v>543159</v>
      </c>
      <c r="M976" s="8">
        <v>527062</v>
      </c>
      <c r="N976" s="8">
        <v>522951</v>
      </c>
      <c r="O976" s="8">
        <v>518840</v>
      </c>
      <c r="P976" s="8">
        <v>493985</v>
      </c>
      <c r="Q976" s="8">
        <v>501446</v>
      </c>
      <c r="R976" s="7">
        <f t="shared" si="9"/>
        <v>0.25245261279685827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4.4" hidden="1">
      <c r="A977" s="3">
        <f>LOOKUP(D977,'AMFI DATA_2023H2'!F:L,'AMFI DATA_2023H2'!L:L)</f>
        <v>1153</v>
      </c>
      <c r="B977" s="4" t="s">
        <v>3233</v>
      </c>
      <c r="C977" s="4" t="s">
        <v>3234</v>
      </c>
      <c r="D977" s="5" t="s">
        <v>3235</v>
      </c>
      <c r="E977" s="5">
        <v>998.59</v>
      </c>
      <c r="F977" s="6">
        <f>LOOKUP(D977,'AMFI DATA_2023H2'!F:J,'AMFI DATA_2023H2'!J:J)</f>
        <v>1169.6332</v>
      </c>
      <c r="G977" s="7">
        <f t="shared" si="8"/>
        <v>-4.8419624203553724E-2</v>
      </c>
      <c r="H977" s="8">
        <v>1113</v>
      </c>
      <c r="I977" s="8">
        <v>1102</v>
      </c>
      <c r="J977" s="8">
        <v>1105</v>
      </c>
      <c r="K977" s="8">
        <v>1112</v>
      </c>
      <c r="L977" s="8">
        <v>1108</v>
      </c>
      <c r="M977" s="8">
        <v>1105</v>
      </c>
      <c r="N977" s="8">
        <v>1109</v>
      </c>
      <c r="O977" s="8">
        <v>1102</v>
      </c>
      <c r="P977" s="8">
        <v>1107</v>
      </c>
      <c r="Q977" s="8">
        <v>1112</v>
      </c>
      <c r="R977" s="7">
        <f t="shared" si="9"/>
        <v>-5.3121953104614317E-2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4.4" hidden="1">
      <c r="A978" s="3">
        <f>LOOKUP(D978,'AMFI DATA_2023H2'!F:L,'AMFI DATA_2023H2'!L:L)</f>
        <v>1202</v>
      </c>
      <c r="B978" s="4" t="s">
        <v>3353</v>
      </c>
      <c r="C978" s="4" t="s">
        <v>3354</v>
      </c>
      <c r="D978" s="5" t="s">
        <v>3355</v>
      </c>
      <c r="E978" s="5">
        <v>868.35</v>
      </c>
      <c r="F978" s="6">
        <f>LOOKUP(D978,'AMFI DATA_2023H2'!F:J,'AMFI DATA_2023H2'!J:J)</f>
        <v>1045.7835500000001</v>
      </c>
      <c r="G978" s="7">
        <f t="shared" si="8"/>
        <v>-3.8998079478301362E-2</v>
      </c>
      <c r="H978" s="9">
        <v>1005</v>
      </c>
      <c r="I978" s="9">
        <v>998</v>
      </c>
      <c r="J978" s="9">
        <v>1006</v>
      </c>
      <c r="K978" s="9">
        <v>973</v>
      </c>
      <c r="L978" s="9">
        <v>996</v>
      </c>
      <c r="M978" s="9">
        <v>996</v>
      </c>
      <c r="N978" s="9">
        <v>965</v>
      </c>
      <c r="O978" s="9">
        <v>977</v>
      </c>
      <c r="P978" s="9">
        <v>985</v>
      </c>
      <c r="Q978" s="9">
        <v>996</v>
      </c>
      <c r="R978" s="7">
        <f t="shared" si="9"/>
        <v>-5.3628257969825621E-2</v>
      </c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4.4">
      <c r="A979" s="3">
        <f>LOOKUP(D979,'AMFI DATA_2023H2'!F:L,'AMFI DATA_2023H2'!L:L)</f>
        <v>1204</v>
      </c>
      <c r="B979" s="4" t="s">
        <v>3362</v>
      </c>
      <c r="C979" s="4" t="s">
        <v>3363</v>
      </c>
      <c r="D979" s="5" t="s">
        <v>3364</v>
      </c>
      <c r="E979" s="5">
        <v>730.7</v>
      </c>
      <c r="F979" s="6">
        <f>LOOKUP(D979,'AMFI DATA_2023H2'!F:J,'AMFI DATA_2023H2'!J:J)</f>
        <v>1044.6053999999999</v>
      </c>
      <c r="G979" s="7">
        <f t="shared" si="8"/>
        <v>0.24544636663758412</v>
      </c>
      <c r="H979" s="8">
        <v>1301</v>
      </c>
      <c r="I979" s="8">
        <v>1300</v>
      </c>
      <c r="J979" s="8">
        <v>1306</v>
      </c>
      <c r="K979" s="8">
        <v>1287</v>
      </c>
      <c r="L979" s="8">
        <v>1288</v>
      </c>
      <c r="M979" s="8">
        <v>1225</v>
      </c>
      <c r="N979" s="8">
        <v>1234</v>
      </c>
      <c r="O979" s="8">
        <v>1241</v>
      </c>
      <c r="P979" s="8">
        <v>1248</v>
      </c>
      <c r="Q979" s="8">
        <v>1242</v>
      </c>
      <c r="R979" s="14">
        <f t="shared" si="9"/>
        <v>0.21308965088635401</v>
      </c>
      <c r="S979" s="8"/>
      <c r="T979" s="8">
        <v>646</v>
      </c>
      <c r="U979" s="15">
        <f ca="1">IFERROR(__xludf.DUMMYFUNCTION("GOOGLEFINANCE(C979,""PRICE"")"),661)</f>
        <v>661</v>
      </c>
      <c r="V979" s="13" t="s">
        <v>5787</v>
      </c>
      <c r="W979" s="7">
        <f ca="1">U979/T979-1</f>
        <v>2.3219814241486114E-2</v>
      </c>
      <c r="X979" s="8"/>
      <c r="Y979" s="8"/>
      <c r="Z979" s="8"/>
      <c r="AA979" s="8"/>
      <c r="AB979" s="8"/>
    </row>
    <row r="980" spans="1:28" ht="14.4" hidden="1">
      <c r="A980" s="3">
        <f>LOOKUP(D980,'AMFI DATA_2023H2'!F:L,'AMFI DATA_2023H2'!L:L)</f>
        <v>137</v>
      </c>
      <c r="B980" s="4" t="s">
        <v>420</v>
      </c>
      <c r="C980" s="4" t="s">
        <v>421</v>
      </c>
      <c r="D980" s="5" t="s">
        <v>422</v>
      </c>
      <c r="E980" s="5">
        <v>32821.410000000003</v>
      </c>
      <c r="F980" s="6">
        <f>LOOKUP(D980,'AMFI DATA_2023H2'!F:J,'AMFI DATA_2023H2'!J:J)</f>
        <v>48135.842550000001</v>
      </c>
      <c r="G980" s="7">
        <f t="shared" si="8"/>
        <v>-1.0965686316837919E-2</v>
      </c>
      <c r="H980" s="8">
        <v>47608</v>
      </c>
      <c r="I980" s="8">
        <v>47877</v>
      </c>
      <c r="J980" s="8">
        <v>47006</v>
      </c>
      <c r="K980" s="8">
        <v>47757</v>
      </c>
      <c r="L980" s="8">
        <v>48114</v>
      </c>
      <c r="M980" s="8">
        <v>48158</v>
      </c>
      <c r="N980" s="8">
        <v>48784</v>
      </c>
      <c r="O980" s="8">
        <v>47534</v>
      </c>
      <c r="P980" s="8">
        <v>48503</v>
      </c>
      <c r="Q980" s="8">
        <v>48784</v>
      </c>
      <c r="R980" s="7">
        <f t="shared" si="9"/>
        <v>-2.5623847732982874E-3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4.4" hidden="1">
      <c r="A981" s="3">
        <f>LOOKUP(D981,'AMFI DATA_2023H2'!F:L,'AMFI DATA_2023H2'!L:L)</f>
        <v>637</v>
      </c>
      <c r="B981" s="4" t="s">
        <v>1878</v>
      </c>
      <c r="C981" s="4" t="s">
        <v>1879</v>
      </c>
      <c r="D981" s="5" t="s">
        <v>1880</v>
      </c>
      <c r="E981" s="5">
        <v>32821.410000000003</v>
      </c>
      <c r="F981" s="6">
        <f>LOOKUP(D981,'AMFI DATA_2023H2'!F:J,'AMFI DATA_2023H2'!J:J)</f>
        <v>4680.6961000000001</v>
      </c>
      <c r="G981" s="7">
        <f t="shared" si="8"/>
        <v>5.1339350999523248E-2</v>
      </c>
      <c r="H981" s="8">
        <v>4921</v>
      </c>
      <c r="I981" s="8">
        <v>4866</v>
      </c>
      <c r="J981" s="8">
        <v>4902</v>
      </c>
      <c r="K981" s="8">
        <v>4894</v>
      </c>
      <c r="L981" s="8">
        <v>4978</v>
      </c>
      <c r="M981" s="8">
        <v>4739</v>
      </c>
      <c r="N981" s="8">
        <v>4703</v>
      </c>
      <c r="O981" s="8">
        <v>4950</v>
      </c>
      <c r="P981" s="8">
        <v>5213</v>
      </c>
      <c r="Q981" s="8">
        <v>5232</v>
      </c>
      <c r="R981" s="7">
        <f t="shared" si="9"/>
        <v>5.5355847605658592E-2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4.4" hidden="1">
      <c r="A982" s="3">
        <f>LOOKUP(D982,'AMFI DATA_2023H2'!F:L,'AMFI DATA_2023H2'!L:L)</f>
        <v>211</v>
      </c>
      <c r="B982" s="4" t="s">
        <v>642</v>
      </c>
      <c r="C982" s="4" t="s">
        <v>643</v>
      </c>
      <c r="D982" s="5" t="s">
        <v>644</v>
      </c>
      <c r="E982" s="5">
        <v>32821.410000000003</v>
      </c>
      <c r="F982" s="6">
        <f>LOOKUP(D982,'AMFI DATA_2023H2'!F:J,'AMFI DATA_2023H2'!J:J)</f>
        <v>28528.964500000002</v>
      </c>
      <c r="G982" s="7">
        <f t="shared" si="8"/>
        <v>5.1983502590849273E-2</v>
      </c>
      <c r="H982" s="8">
        <v>30012</v>
      </c>
      <c r="I982" s="8">
        <v>29727</v>
      </c>
      <c r="J982" s="8">
        <v>30290</v>
      </c>
      <c r="K982" s="8">
        <v>30363</v>
      </c>
      <c r="L982" s="8">
        <v>30517</v>
      </c>
      <c r="M982" s="8">
        <v>30229</v>
      </c>
      <c r="N982" s="8">
        <v>30492</v>
      </c>
      <c r="O982" s="8">
        <v>31149</v>
      </c>
      <c r="P982" s="8">
        <v>31614</v>
      </c>
      <c r="Q982" s="8">
        <v>31136</v>
      </c>
      <c r="R982" s="7">
        <f t="shared" si="9"/>
        <v>7.0943181271090339E-2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4.4" hidden="1">
      <c r="A983" s="3">
        <f>LOOKUP(D983,'AMFI DATA_2023H2'!F:L,'AMFI DATA_2023H2'!L:L)</f>
        <v>1595</v>
      </c>
      <c r="B983" s="4" t="s">
        <v>4133</v>
      </c>
      <c r="C983" s="4" t="s">
        <v>4134</v>
      </c>
      <c r="D983" s="5" t="s">
        <v>4135</v>
      </c>
      <c r="E983" s="5">
        <v>238.62</v>
      </c>
      <c r="F983" s="6">
        <f>LOOKUP(D983,'AMFI DATA_2023H2'!F:J,'AMFI DATA_2023H2'!J:J)</f>
        <v>416.32639999999998</v>
      </c>
      <c r="G983" s="7">
        <f t="shared" si="8"/>
        <v>0.54446126885059432</v>
      </c>
      <c r="H983" s="9">
        <v>643</v>
      </c>
      <c r="I983" s="9">
        <v>645</v>
      </c>
      <c r="J983" s="9">
        <v>644</v>
      </c>
      <c r="K983" s="9">
        <v>652</v>
      </c>
      <c r="L983" s="9">
        <v>642</v>
      </c>
      <c r="M983" s="9">
        <v>651</v>
      </c>
      <c r="N983" s="9">
        <v>662</v>
      </c>
      <c r="O983" s="9">
        <v>680</v>
      </c>
      <c r="P983" s="9">
        <v>688</v>
      </c>
      <c r="Q983" s="9">
        <v>670</v>
      </c>
      <c r="R983" s="7">
        <f t="shared" si="9"/>
        <v>0.57977010345728752</v>
      </c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4.4" hidden="1">
      <c r="A984" s="3">
        <f>LOOKUP(D984,'AMFI DATA_2023H2'!F:L,'AMFI DATA_2023H2'!L:L)</f>
        <v>1612</v>
      </c>
      <c r="B984" s="4" t="s">
        <v>4172</v>
      </c>
      <c r="C984" s="4" t="s">
        <v>4173</v>
      </c>
      <c r="D984" s="5" t="s">
        <v>4174</v>
      </c>
      <c r="E984" s="5">
        <v>238.62</v>
      </c>
      <c r="F984" s="6">
        <f>LOOKUP(D984,'AMFI DATA_2023H2'!F:J,'AMFI DATA_2023H2'!J:J)</f>
        <v>404.22410000000002</v>
      </c>
      <c r="G984" s="7">
        <f t="shared" si="8"/>
        <v>-3.5188649068672584E-2</v>
      </c>
      <c r="H984" s="9">
        <v>390</v>
      </c>
      <c r="I984" s="9">
        <v>401</v>
      </c>
      <c r="J984" s="9">
        <v>413</v>
      </c>
      <c r="K984" s="9">
        <v>431</v>
      </c>
      <c r="L984" s="9">
        <v>417</v>
      </c>
      <c r="M984" s="9">
        <v>428</v>
      </c>
      <c r="N984" s="9">
        <v>402</v>
      </c>
      <c r="O984" s="9">
        <v>418</v>
      </c>
      <c r="P984" s="9">
        <v>437</v>
      </c>
      <c r="Q984" s="9">
        <v>428</v>
      </c>
      <c r="R984" s="7">
        <f t="shared" si="9"/>
        <v>3.0369045289481589E-2</v>
      </c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4.4" hidden="1">
      <c r="A985" s="3">
        <f>LOOKUP(D985,'AMFI DATA_2023H2'!F:L,'AMFI DATA_2023H2'!L:L)</f>
        <v>1873</v>
      </c>
      <c r="B985" s="4" t="s">
        <v>4559</v>
      </c>
      <c r="C985" s="4" t="s">
        <v>4560</v>
      </c>
      <c r="D985" s="5" t="s">
        <v>4561</v>
      </c>
      <c r="E985" s="5">
        <v>154.47</v>
      </c>
      <c r="F985" s="6">
        <f>LOOKUP(D985,'AMFI DATA_2023H2'!F:J,'AMFI DATA_2023H2'!J:J)</f>
        <v>236.2225</v>
      </c>
      <c r="G985" s="7">
        <f t="shared" si="8"/>
        <v>2.0224576405719175E-2</v>
      </c>
      <c r="H985" s="9">
        <v>241</v>
      </c>
      <c r="I985" s="9">
        <v>241</v>
      </c>
      <c r="J985" s="9">
        <v>247</v>
      </c>
      <c r="K985" s="9">
        <v>244</v>
      </c>
      <c r="L985" s="9">
        <v>253</v>
      </c>
      <c r="M985" s="9">
        <v>243</v>
      </c>
      <c r="N985" s="9">
        <v>255</v>
      </c>
      <c r="O985" s="9">
        <v>250</v>
      </c>
      <c r="P985" s="9">
        <v>254</v>
      </c>
      <c r="Q985" s="9">
        <v>247</v>
      </c>
      <c r="R985" s="7">
        <f t="shared" si="9"/>
        <v>4.7741006889690851E-2</v>
      </c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4.4" hidden="1">
      <c r="A986" s="3">
        <f>LOOKUP(D986,'AMFI DATA_2023H2'!F:L,'AMFI DATA_2023H2'!L:L)</f>
        <v>2024</v>
      </c>
      <c r="B986" s="4" t="s">
        <v>4778</v>
      </c>
      <c r="C986" s="4" t="s">
        <v>4779</v>
      </c>
      <c r="D986" s="5" t="s">
        <v>4780</v>
      </c>
      <c r="E986" s="5">
        <v>146.84</v>
      </c>
      <c r="F986" s="6">
        <f>LOOKUP(D986,'AMFI DATA_2023H2'!F:J,'AMFI DATA_2023H2'!J:J)</f>
        <v>182.65370000000001</v>
      </c>
      <c r="G986" s="7">
        <f t="shared" si="8"/>
        <v>-1.4528586062039883E-2</v>
      </c>
      <c r="H986" s="9">
        <v>180</v>
      </c>
      <c r="I986" s="9">
        <v>189</v>
      </c>
      <c r="J986" s="9">
        <v>188</v>
      </c>
      <c r="K986" s="9">
        <v>174</v>
      </c>
      <c r="L986" s="9">
        <v>174</v>
      </c>
      <c r="M986" s="9">
        <v>174</v>
      </c>
      <c r="N986" s="9">
        <v>175</v>
      </c>
      <c r="O986" s="9">
        <v>175</v>
      </c>
      <c r="P986" s="9">
        <v>173</v>
      </c>
      <c r="Q986" s="9">
        <v>173</v>
      </c>
      <c r="R986" s="7">
        <f t="shared" si="9"/>
        <v>-2.8215689033400437E-2</v>
      </c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4.4" hidden="1">
      <c r="A987" s="3">
        <f>LOOKUP(D987,'AMFI DATA_2023H2'!F:L,'AMFI DATA_2023H2'!L:L)</f>
        <v>1954</v>
      </c>
      <c r="B987" s="4" t="s">
        <v>4670</v>
      </c>
      <c r="C987" s="4" t="s">
        <v>4671</v>
      </c>
      <c r="D987" s="5" t="s">
        <v>4672</v>
      </c>
      <c r="E987" s="5">
        <v>165.46</v>
      </c>
      <c r="F987" s="6">
        <f>LOOKUP(D987,'AMFI DATA_2023H2'!F:J,'AMFI DATA_2023H2'!J:J)</f>
        <v>201.67335</v>
      </c>
      <c r="G987" s="7">
        <f t="shared" si="8"/>
        <v>8.5914425480610124E-2</v>
      </c>
      <c r="H987" s="9">
        <v>219</v>
      </c>
      <c r="I987" s="9">
        <v>221</v>
      </c>
      <c r="J987" s="9">
        <v>223</v>
      </c>
      <c r="K987" s="9">
        <v>223</v>
      </c>
      <c r="L987" s="9">
        <v>219</v>
      </c>
      <c r="M987" s="9">
        <v>216</v>
      </c>
      <c r="N987" s="9">
        <v>219</v>
      </c>
      <c r="O987" s="9">
        <v>222</v>
      </c>
      <c r="P987" s="9">
        <v>224</v>
      </c>
      <c r="Q987" s="9">
        <v>227</v>
      </c>
      <c r="R987" s="7">
        <f t="shared" si="9"/>
        <v>9.731900620483569E-2</v>
      </c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4.4" hidden="1">
      <c r="A988" s="3">
        <f>LOOKUP(D988,'AMFI DATA_2023H2'!F:L,'AMFI DATA_2023H2'!L:L)</f>
        <v>1733</v>
      </c>
      <c r="B988" s="4" t="s">
        <v>4382</v>
      </c>
      <c r="C988" s="4" t="s">
        <v>4383</v>
      </c>
      <c r="D988" s="5" t="s">
        <v>4384</v>
      </c>
      <c r="E988" s="5">
        <v>320.27999999999997</v>
      </c>
      <c r="F988" s="6">
        <f>LOOKUP(D988,'AMFI DATA_2023H2'!F:J,'AMFI DATA_2023H2'!J:J)</f>
        <v>311.10554999999999</v>
      </c>
      <c r="G988" s="7">
        <f t="shared" si="8"/>
        <v>4.7875873638384192E-2</v>
      </c>
      <c r="H988" s="9">
        <v>326</v>
      </c>
      <c r="I988" s="9">
        <v>322</v>
      </c>
      <c r="J988" s="9">
        <v>323</v>
      </c>
      <c r="K988" s="9">
        <v>320</v>
      </c>
      <c r="L988" s="9">
        <v>314</v>
      </c>
      <c r="M988" s="9">
        <v>326</v>
      </c>
      <c r="N988" s="9">
        <v>318</v>
      </c>
      <c r="O988" s="9">
        <v>327</v>
      </c>
      <c r="P988" s="9">
        <v>325</v>
      </c>
      <c r="Q988" s="9">
        <v>325</v>
      </c>
      <c r="R988" s="7">
        <f t="shared" si="9"/>
        <v>3.6947106858106649E-2</v>
      </c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4.4" hidden="1">
      <c r="A989" s="3">
        <f>LOOKUP(D989,'AMFI DATA_2023H2'!F:L,'AMFI DATA_2023H2'!L:L)</f>
        <v>559</v>
      </c>
      <c r="B989" s="4" t="s">
        <v>1656</v>
      </c>
      <c r="C989" s="4" t="s">
        <v>1657</v>
      </c>
      <c r="D989" s="5" t="s">
        <v>1658</v>
      </c>
      <c r="E989" s="5">
        <v>312871.87</v>
      </c>
      <c r="F989" s="6">
        <f>LOOKUP(D989,'AMFI DATA_2023H2'!F:J,'AMFI DATA_2023H2'!J:J)</f>
        <v>6178.0210000000006</v>
      </c>
      <c r="G989" s="7">
        <f t="shared" si="8"/>
        <v>0.13531501430636106</v>
      </c>
      <c r="H989" s="8">
        <v>7014</v>
      </c>
      <c r="I989" s="8">
        <v>7011</v>
      </c>
      <c r="J989" s="8">
        <v>6994</v>
      </c>
      <c r="K989" s="8">
        <v>7037</v>
      </c>
      <c r="L989" s="8">
        <v>7072</v>
      </c>
      <c r="M989" s="8">
        <v>7020</v>
      </c>
      <c r="N989" s="8">
        <v>6933</v>
      </c>
      <c r="O989" s="8">
        <v>6990</v>
      </c>
      <c r="P989" s="8">
        <v>7065</v>
      </c>
      <c r="Q989" s="8">
        <v>6968</v>
      </c>
      <c r="R989" s="7">
        <f t="shared" si="9"/>
        <v>0.13473230343503184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4.4" hidden="1">
      <c r="A990" s="3">
        <f>LOOKUP(D990,'AMFI DATA_2023H2'!F:L,'AMFI DATA_2023H2'!L:L)</f>
        <v>35</v>
      </c>
      <c r="B990" s="4" t="s">
        <v>111</v>
      </c>
      <c r="C990" s="4" t="s">
        <v>112</v>
      </c>
      <c r="D990" s="5" t="s">
        <v>113</v>
      </c>
      <c r="E990" s="5">
        <v>137613.41</v>
      </c>
      <c r="F990" s="6">
        <f>LOOKUP(D990,'AMFI DATA_2023H2'!F:J,'AMFI DATA_2023H2'!J:J)</f>
        <v>157662.45144999999</v>
      </c>
      <c r="G990" s="7">
        <f t="shared" si="8"/>
        <v>0.11548436791733008</v>
      </c>
      <c r="H990" s="8">
        <v>175870</v>
      </c>
      <c r="I990" s="8">
        <v>173630</v>
      </c>
      <c r="J990" s="8">
        <v>176400</v>
      </c>
      <c r="K990" s="8">
        <v>181806</v>
      </c>
      <c r="L990" s="8">
        <v>185395</v>
      </c>
      <c r="M990" s="8">
        <v>186175</v>
      </c>
      <c r="N990" s="8">
        <v>184794</v>
      </c>
      <c r="O990" s="8">
        <v>186011</v>
      </c>
      <c r="P990" s="8">
        <v>185322</v>
      </c>
      <c r="Q990" s="8">
        <v>184329</v>
      </c>
      <c r="R990" s="7">
        <f t="shared" si="9"/>
        <v>0.15419491658551165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4.4" hidden="1">
      <c r="A991" s="3">
        <f>LOOKUP(D991,'AMFI DATA_2023H2'!F:L,'AMFI DATA_2023H2'!L:L)</f>
        <v>843</v>
      </c>
      <c r="B991" s="4" t="s">
        <v>2447</v>
      </c>
      <c r="C991" s="4" t="s">
        <v>2448</v>
      </c>
      <c r="D991" s="5" t="s">
        <v>2449</v>
      </c>
      <c r="E991" s="5">
        <v>1923.04</v>
      </c>
      <c r="F991" s="6">
        <f>LOOKUP(D991,'AMFI DATA_2023H2'!F:J,'AMFI DATA_2023H2'!J:J)</f>
        <v>2552.8649</v>
      </c>
      <c r="G991" s="7">
        <f t="shared" si="8"/>
        <v>3.6090864032797043E-2</v>
      </c>
      <c r="H991" s="8">
        <v>2645</v>
      </c>
      <c r="I991" s="8">
        <v>2623</v>
      </c>
      <c r="J991" s="8">
        <v>2638</v>
      </c>
      <c r="K991" s="8">
        <v>2626</v>
      </c>
      <c r="L991" s="8">
        <v>2634</v>
      </c>
      <c r="M991" s="8">
        <v>2625</v>
      </c>
      <c r="N991" s="8">
        <v>2632</v>
      </c>
      <c r="O991" s="8">
        <v>2625</v>
      </c>
      <c r="P991" s="8">
        <v>2654</v>
      </c>
      <c r="Q991" s="8">
        <v>2619</v>
      </c>
      <c r="R991" s="7">
        <f t="shared" si="9"/>
        <v>3.1037717663790154E-2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4.4" hidden="1">
      <c r="A992" s="3">
        <f>LOOKUP(D992,'AMFI DATA_2023H2'!F:L,'AMFI DATA_2023H2'!L:L)</f>
        <v>899</v>
      </c>
      <c r="B992" s="4" t="s">
        <v>2606</v>
      </c>
      <c r="C992" s="4" t="s">
        <v>2607</v>
      </c>
      <c r="D992" s="5" t="s">
        <v>2608</v>
      </c>
      <c r="E992" s="5">
        <v>1732.8</v>
      </c>
      <c r="F992" s="6">
        <f>LOOKUP(D992,'AMFI DATA_2023H2'!F:J,'AMFI DATA_2023H2'!J:J)</f>
        <v>2163.5086499999998</v>
      </c>
      <c r="G992" s="7">
        <f t="shared" si="8"/>
        <v>4.4137262866963844E-2</v>
      </c>
      <c r="H992" s="8">
        <v>2259</v>
      </c>
      <c r="I992" s="8">
        <v>2263</v>
      </c>
      <c r="J992" s="8">
        <v>2280</v>
      </c>
      <c r="K992" s="8">
        <v>2295</v>
      </c>
      <c r="L992" s="8">
        <v>2318</v>
      </c>
      <c r="M992" s="8">
        <v>2309</v>
      </c>
      <c r="N992" s="8">
        <v>2370</v>
      </c>
      <c r="O992" s="8">
        <v>2324</v>
      </c>
      <c r="P992" s="8">
        <v>2336</v>
      </c>
      <c r="Q992" s="8">
        <v>2334</v>
      </c>
      <c r="R992" s="7">
        <f t="shared" si="9"/>
        <v>6.7155428290060382E-2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4.4" hidden="1">
      <c r="A993" s="3">
        <f>LOOKUP(D993,'AMFI DATA_2023H2'!F:L,'AMFI DATA_2023H2'!L:L)</f>
        <v>126</v>
      </c>
      <c r="B993" s="4" t="s">
        <v>390</v>
      </c>
      <c r="C993" s="4" t="s">
        <v>391</v>
      </c>
      <c r="D993" s="5" t="s">
        <v>392</v>
      </c>
      <c r="E993" s="5">
        <v>33373.42</v>
      </c>
      <c r="F993" s="6">
        <f>LOOKUP(D993,'AMFI DATA_2023H2'!F:J,'AMFI DATA_2023H2'!J:J)</f>
        <v>51259.703649999996</v>
      </c>
      <c r="G993" s="7">
        <f t="shared" si="8"/>
        <v>0.23469305308791033</v>
      </c>
      <c r="H993" s="8">
        <v>63290</v>
      </c>
      <c r="I993" s="8">
        <v>63700</v>
      </c>
      <c r="J993" s="8">
        <v>64021</v>
      </c>
      <c r="K993" s="8">
        <v>63523</v>
      </c>
      <c r="L993" s="8">
        <v>59768</v>
      </c>
      <c r="M993" s="8">
        <v>60242</v>
      </c>
      <c r="N993" s="8">
        <v>60977</v>
      </c>
      <c r="O993" s="8">
        <v>58687</v>
      </c>
      <c r="P993" s="8">
        <v>58444</v>
      </c>
      <c r="Q993" s="8">
        <v>57599</v>
      </c>
      <c r="R993" s="7">
        <f t="shared" si="9"/>
        <v>0.19050824828559088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4.4" hidden="1">
      <c r="A994" s="3">
        <f>LOOKUP(D994,'AMFI DATA_2023H2'!F:L,'AMFI DATA_2023H2'!L:L)</f>
        <v>662</v>
      </c>
      <c r="B994" s="4" t="s">
        <v>1941</v>
      </c>
      <c r="C994" s="4" t="s">
        <v>1942</v>
      </c>
      <c r="D994" s="5" t="s">
        <v>1943</v>
      </c>
      <c r="E994" s="5">
        <v>4247.07</v>
      </c>
      <c r="F994" s="6">
        <f>LOOKUP(D994,'AMFI DATA_2023H2'!F:J,'AMFI DATA_2023H2'!J:J)</f>
        <v>4326.1466999999993</v>
      </c>
      <c r="G994" s="7">
        <f t="shared" si="8"/>
        <v>-9.6655691310699066E-2</v>
      </c>
      <c r="H994" s="8">
        <v>3908</v>
      </c>
      <c r="I994" s="8">
        <v>3906</v>
      </c>
      <c r="J994" s="8">
        <v>3936</v>
      </c>
      <c r="K994" s="8">
        <v>3887</v>
      </c>
      <c r="L994" s="8">
        <v>3912</v>
      </c>
      <c r="M994" s="8">
        <v>3921</v>
      </c>
      <c r="N994" s="8">
        <v>3925</v>
      </c>
      <c r="O994" s="8">
        <v>3947</v>
      </c>
      <c r="P994" s="8">
        <v>4012</v>
      </c>
      <c r="Q994" s="8">
        <v>3975</v>
      </c>
      <c r="R994" s="7">
        <f t="shared" si="9"/>
        <v>-9.0899991902724686E-2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4.4" hidden="1">
      <c r="A995" s="3">
        <f>LOOKUP(D995,'AMFI DATA_2023H2'!F:L,'AMFI DATA_2023H2'!L:L)</f>
        <v>1639</v>
      </c>
      <c r="B995" s="4" t="s">
        <v>4226</v>
      </c>
      <c r="C995" s="4" t="s">
        <v>4227</v>
      </c>
      <c r="D995" s="5" t="s">
        <v>4228</v>
      </c>
      <c r="E995" s="5">
        <v>327.12</v>
      </c>
      <c r="F995" s="6">
        <f>LOOKUP(D995,'AMFI DATA_2023H2'!F:J,'AMFI DATA_2023H2'!J:J)</f>
        <v>373.22829999999999</v>
      </c>
      <c r="G995" s="7">
        <f t="shared" si="8"/>
        <v>0.1708651246435493</v>
      </c>
      <c r="H995" s="9">
        <v>437</v>
      </c>
      <c r="I995" s="9">
        <v>449</v>
      </c>
      <c r="J995" s="9">
        <v>429</v>
      </c>
      <c r="K995" s="9">
        <v>409</v>
      </c>
      <c r="L995" s="9">
        <v>406</v>
      </c>
      <c r="M995" s="9">
        <v>412</v>
      </c>
      <c r="N995" s="9">
        <v>401</v>
      </c>
      <c r="O995" s="9">
        <v>406</v>
      </c>
      <c r="P995" s="9">
        <v>420</v>
      </c>
      <c r="Q995" s="9">
        <v>404</v>
      </c>
      <c r="R995" s="7">
        <f t="shared" si="9"/>
        <v>0.1180824176516091</v>
      </c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4.4" hidden="1">
      <c r="A996" s="3">
        <f>LOOKUP(D996,'AMFI DATA_2023H2'!F:L,'AMFI DATA_2023H2'!L:L)</f>
        <v>3582</v>
      </c>
      <c r="B996" s="4" t="s">
        <v>5710</v>
      </c>
      <c r="C996" s="4" t="s">
        <v>5711</v>
      </c>
      <c r="D996" s="5" t="s">
        <v>5712</v>
      </c>
      <c r="E996" s="5">
        <v>14.1</v>
      </c>
      <c r="F996" s="6">
        <f>LOOKUP(D996,'AMFI DATA_2023H2'!F:J,'AMFI DATA_2023H2'!J:J)</f>
        <v>15.941599999999999</v>
      </c>
      <c r="G996" s="7">
        <f t="shared" si="8"/>
        <v>0.31103527876750126</v>
      </c>
      <c r="H996" s="9">
        <v>20.9</v>
      </c>
      <c r="I996" s="9">
        <v>20.8</v>
      </c>
      <c r="J996" s="9">
        <v>20.7</v>
      </c>
      <c r="K996" s="9">
        <v>20.7</v>
      </c>
      <c r="L996" s="9">
        <v>20.399999999999999</v>
      </c>
      <c r="M996" s="9">
        <v>20.9</v>
      </c>
      <c r="N996" s="9">
        <v>21.5</v>
      </c>
      <c r="O996" s="9">
        <v>21.5</v>
      </c>
      <c r="P996" s="9">
        <v>20.5</v>
      </c>
      <c r="Q996" s="9">
        <v>21.5</v>
      </c>
      <c r="R996" s="7">
        <f t="shared" si="9"/>
        <v>0.31354443719576475</v>
      </c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4.4" hidden="1">
      <c r="A997" s="3">
        <f>LOOKUP(D997,'AMFI DATA_2023H2'!F:L,'AMFI DATA_2023H2'!L:L)</f>
        <v>1212</v>
      </c>
      <c r="B997" s="4" t="s">
        <v>3380</v>
      </c>
      <c r="C997" s="4" t="s">
        <v>3381</v>
      </c>
      <c r="D997" s="5" t="s">
        <v>3382</v>
      </c>
      <c r="E997" s="5">
        <v>775.45</v>
      </c>
      <c r="F997" s="6">
        <f>LOOKUP(D997,'AMFI DATA_2023H2'!F:J,'AMFI DATA_2023H2'!J:J)</f>
        <v>1010.3362</v>
      </c>
      <c r="G997" s="7">
        <f t="shared" si="8"/>
        <v>-0.16760381346328079</v>
      </c>
      <c r="H997" s="8">
        <v>841</v>
      </c>
      <c r="I997" s="8">
        <v>883</v>
      </c>
      <c r="J997" s="8">
        <v>906</v>
      </c>
      <c r="K997" s="8">
        <v>887</v>
      </c>
      <c r="L997" s="8">
        <v>898</v>
      </c>
      <c r="M997" s="8">
        <v>1044</v>
      </c>
      <c r="N997" s="8">
        <v>1047</v>
      </c>
      <c r="O997" s="8">
        <v>983</v>
      </c>
      <c r="P997" s="8">
        <v>985</v>
      </c>
      <c r="Q997" s="8">
        <v>1016</v>
      </c>
      <c r="R997" s="7">
        <f t="shared" si="9"/>
        <v>-6.0708702707079065E-2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4.4" hidden="1">
      <c r="A998" s="3">
        <f>LOOKUP(D998,'AMFI DATA_2023H2'!F:L,'AMFI DATA_2023H2'!L:L)</f>
        <v>1467</v>
      </c>
      <c r="B998" s="4" t="s">
        <v>3890</v>
      </c>
      <c r="C998" s="4" t="s">
        <v>3891</v>
      </c>
      <c r="D998" s="5" t="s">
        <v>3892</v>
      </c>
      <c r="E998" s="5">
        <v>292.73</v>
      </c>
      <c r="F998" s="6">
        <f>LOOKUP(D998,'AMFI DATA_2023H2'!F:J,'AMFI DATA_2023H2'!J:J)</f>
        <v>555.58330000000001</v>
      </c>
      <c r="G998" s="7">
        <f t="shared" si="8"/>
        <v>0.43092853942874099</v>
      </c>
      <c r="H998" s="9">
        <v>795</v>
      </c>
      <c r="I998" s="9">
        <v>797</v>
      </c>
      <c r="J998" s="9">
        <v>822</v>
      </c>
      <c r="K998" s="9">
        <v>783</v>
      </c>
      <c r="L998" s="9">
        <v>746</v>
      </c>
      <c r="M998" s="9">
        <v>765</v>
      </c>
      <c r="N998" s="9">
        <v>729</v>
      </c>
      <c r="O998" s="9">
        <v>705</v>
      </c>
      <c r="P998" s="9">
        <v>709</v>
      </c>
      <c r="Q998" s="9">
        <v>706</v>
      </c>
      <c r="R998" s="7">
        <f t="shared" si="9"/>
        <v>0.36019207200792391</v>
      </c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4.4" hidden="1">
      <c r="A999" s="3">
        <f>LOOKUP(D999,'AMFI DATA_2023H2'!F:L,'AMFI DATA_2023H2'!L:L)</f>
        <v>1610</v>
      </c>
      <c r="B999" s="4" t="s">
        <v>4166</v>
      </c>
      <c r="C999" s="4" t="s">
        <v>4167</v>
      </c>
      <c r="D999" s="5" t="s">
        <v>4168</v>
      </c>
      <c r="E999" s="5">
        <v>309.01</v>
      </c>
      <c r="F999" s="6">
        <f>LOOKUP(D999,'AMFI DATA_2023H2'!F:J,'AMFI DATA_2023H2'!J:J)</f>
        <v>404.89659999999998</v>
      </c>
      <c r="G999" s="7">
        <f t="shared" si="8"/>
        <v>0.83009686917598224</v>
      </c>
      <c r="H999" s="9">
        <v>741</v>
      </c>
      <c r="I999" s="9">
        <v>716</v>
      </c>
      <c r="J999" s="9">
        <v>692</v>
      </c>
      <c r="K999" s="9">
        <v>659</v>
      </c>
      <c r="L999" s="9">
        <v>627</v>
      </c>
      <c r="M999" s="9">
        <v>610</v>
      </c>
      <c r="N999" s="9">
        <v>623</v>
      </c>
      <c r="O999" s="9">
        <v>635</v>
      </c>
      <c r="P999" s="9">
        <v>635</v>
      </c>
      <c r="Q999" s="9">
        <v>648</v>
      </c>
      <c r="R999" s="7">
        <f t="shared" si="9"/>
        <v>0.62658812151052889</v>
      </c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4.4" hidden="1">
      <c r="A1000" s="3">
        <f>LOOKUP(D1000,'AMFI DATA_2023H2'!F:L,'AMFI DATA_2023H2'!L:L)</f>
        <v>81</v>
      </c>
      <c r="B1000" s="4" t="s">
        <v>255</v>
      </c>
      <c r="C1000" s="4" t="s">
        <v>256</v>
      </c>
      <c r="D1000" s="5" t="s">
        <v>257</v>
      </c>
      <c r="E1000" s="5">
        <v>48506.9</v>
      </c>
      <c r="F1000" s="6">
        <f>LOOKUP(D1000,'AMFI DATA_2023H2'!F:J,'AMFI DATA_2023H2'!J:J)</f>
        <v>76089.048750000002</v>
      </c>
      <c r="G1000" s="7">
        <f t="shared" si="8"/>
        <v>0.38506134235250244</v>
      </c>
      <c r="H1000" s="8">
        <v>105388</v>
      </c>
      <c r="I1000" s="8">
        <v>105812</v>
      </c>
      <c r="J1000" s="8">
        <v>96770</v>
      </c>
      <c r="K1000" s="8">
        <v>97788</v>
      </c>
      <c r="L1000" s="8">
        <v>101293</v>
      </c>
      <c r="M1000" s="8">
        <v>98618</v>
      </c>
      <c r="N1000" s="8">
        <v>94901</v>
      </c>
      <c r="O1000" s="8">
        <v>93261</v>
      </c>
      <c r="P1000" s="8">
        <v>91838</v>
      </c>
      <c r="Q1000" s="8">
        <v>90387</v>
      </c>
      <c r="R1000" s="7">
        <f t="shared" si="9"/>
        <v>0.28278118340913028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4.4" hidden="1">
      <c r="A1001" s="3">
        <f>LOOKUP(D1001,'AMFI DATA_2023H2'!F:L,'AMFI DATA_2023H2'!L:L)</f>
        <v>2493</v>
      </c>
      <c r="B1001" s="4" t="s">
        <v>5287</v>
      </c>
      <c r="C1001" s="4" t="s">
        <v>5288</v>
      </c>
      <c r="D1001" s="5" t="s">
        <v>5289</v>
      </c>
      <c r="E1001" s="5">
        <v>77.41</v>
      </c>
      <c r="F1001" s="6">
        <f>LOOKUP(D1001,'AMFI DATA_2023H2'!F:J,'AMFI DATA_2023H2'!J:J)</f>
        <v>82.912499999999994</v>
      </c>
      <c r="G1001" s="7">
        <f t="shared" si="8"/>
        <v>0.49555254032865981</v>
      </c>
      <c r="H1001" s="9">
        <v>124</v>
      </c>
      <c r="I1001" s="9">
        <v>112</v>
      </c>
      <c r="J1001" s="9">
        <v>102</v>
      </c>
      <c r="K1001" s="9">
        <v>103</v>
      </c>
      <c r="L1001" s="9">
        <v>103</v>
      </c>
      <c r="M1001" s="9">
        <v>106</v>
      </c>
      <c r="N1001" s="9">
        <v>102</v>
      </c>
      <c r="O1001" s="9">
        <v>95.7</v>
      </c>
      <c r="P1001" s="9">
        <v>94.7</v>
      </c>
      <c r="Q1001" s="9">
        <v>90.7</v>
      </c>
      <c r="R1001" s="7">
        <f t="shared" si="9"/>
        <v>0.24601236243027325</v>
      </c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 spans="1:28" ht="14.4" hidden="1">
      <c r="A1002" s="3">
        <f>LOOKUP(D1002,'AMFI DATA_2023H2'!F:L,'AMFI DATA_2023H2'!L:L)</f>
        <v>2907</v>
      </c>
      <c r="B1002" s="4" t="s">
        <v>5506</v>
      </c>
      <c r="C1002" s="4" t="s">
        <v>5507</v>
      </c>
      <c r="D1002" s="5" t="s">
        <v>5508</v>
      </c>
      <c r="E1002" s="5">
        <v>37.24</v>
      </c>
      <c r="F1002" s="6">
        <f>LOOKUP(D1002,'AMFI DATA_2023H2'!F:J,'AMFI DATA_2023H2'!J:J)</f>
        <v>43.730899999999998</v>
      </c>
      <c r="G1002" s="7">
        <f t="shared" si="8"/>
        <v>0.46578277602336104</v>
      </c>
      <c r="H1002" s="9">
        <v>64.099999999999994</v>
      </c>
      <c r="I1002" s="9">
        <v>53.5</v>
      </c>
      <c r="J1002" s="9">
        <v>54.2</v>
      </c>
      <c r="K1002" s="9">
        <v>54.3</v>
      </c>
      <c r="L1002" s="9">
        <v>53.7</v>
      </c>
      <c r="M1002" s="9">
        <v>55.5</v>
      </c>
      <c r="N1002" s="9">
        <v>54.8</v>
      </c>
      <c r="O1002" s="9">
        <v>55.6</v>
      </c>
      <c r="P1002" s="9">
        <v>53</v>
      </c>
      <c r="Q1002" s="9">
        <v>47.6</v>
      </c>
      <c r="R1002" s="7">
        <f t="shared" si="9"/>
        <v>0.24923109288855283</v>
      </c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 spans="1:28" ht="14.4" hidden="1">
      <c r="A1003" s="3">
        <f>LOOKUP(D1003,'AMFI DATA_2023H2'!F:L,'AMFI DATA_2023H2'!L:L)</f>
        <v>2884</v>
      </c>
      <c r="B1003" s="4" t="s">
        <v>5491</v>
      </c>
      <c r="C1003" s="4" t="s">
        <v>5492</v>
      </c>
      <c r="D1003" s="5" t="s">
        <v>5493</v>
      </c>
      <c r="E1003" s="5">
        <v>35.020000000000003</v>
      </c>
      <c r="F1003" s="6">
        <f>LOOKUP(D1003,'AMFI DATA_2023H2'!F:J,'AMFI DATA_2023H2'!J:J)</f>
        <v>45.255549999999999</v>
      </c>
      <c r="G1003" s="7">
        <f t="shared" si="8"/>
        <v>0.23520761541954527</v>
      </c>
      <c r="H1003" s="9">
        <v>55.9</v>
      </c>
      <c r="I1003" s="9">
        <v>54.9</v>
      </c>
      <c r="J1003" s="9">
        <v>53.9</v>
      </c>
      <c r="K1003" s="9">
        <v>52.8</v>
      </c>
      <c r="L1003" s="9">
        <v>51.8</v>
      </c>
      <c r="M1003" s="9">
        <v>51.4</v>
      </c>
      <c r="N1003" s="9">
        <v>52.4</v>
      </c>
      <c r="O1003" s="9">
        <v>53.2</v>
      </c>
      <c r="P1003" s="9">
        <v>55.7</v>
      </c>
      <c r="Q1003" s="9">
        <v>56.1</v>
      </c>
      <c r="R1003" s="7">
        <f t="shared" si="9"/>
        <v>0.18902543444947617</v>
      </c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 spans="1:28" ht="14.4" hidden="1">
      <c r="A1004" s="3">
        <f>LOOKUP(D1004,'AMFI DATA_2023H2'!F:L,'AMFI DATA_2023H2'!L:L)</f>
        <v>835</v>
      </c>
      <c r="B1004" s="4" t="s">
        <v>2423</v>
      </c>
      <c r="C1004" s="4" t="s">
        <v>2424</v>
      </c>
      <c r="D1004" s="5" t="s">
        <v>2425</v>
      </c>
      <c r="E1004" s="5">
        <v>2656.17</v>
      </c>
      <c r="F1004" s="6">
        <f>LOOKUP(D1004,'AMFI DATA_2023H2'!F:J,'AMFI DATA_2023H2'!J:J)</f>
        <v>2623.9180999999999</v>
      </c>
      <c r="G1004" s="7">
        <f t="shared" si="8"/>
        <v>-2.5503120695725912E-2</v>
      </c>
      <c r="H1004" s="8">
        <v>2557</v>
      </c>
      <c r="I1004" s="8">
        <v>2567</v>
      </c>
      <c r="J1004" s="8">
        <v>2555</v>
      </c>
      <c r="K1004" s="8">
        <v>2586</v>
      </c>
      <c r="L1004" s="8">
        <v>2581</v>
      </c>
      <c r="M1004" s="8">
        <v>2591</v>
      </c>
      <c r="N1004" s="8">
        <v>2594</v>
      </c>
      <c r="O1004" s="8">
        <v>2588</v>
      </c>
      <c r="P1004" s="8">
        <v>2603</v>
      </c>
      <c r="Q1004" s="8">
        <v>2595</v>
      </c>
      <c r="R1004" s="7">
        <f t="shared" si="9"/>
        <v>-1.6089717129509462E-2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</row>
    <row r="1005" spans="1:28" ht="14.4" hidden="1">
      <c r="A1005" s="3">
        <f>LOOKUP(D1005,'AMFI DATA_2023H2'!F:L,'AMFI DATA_2023H2'!L:L)</f>
        <v>1102</v>
      </c>
      <c r="B1005" s="4" t="s">
        <v>3116</v>
      </c>
      <c r="C1005" s="4" t="s">
        <v>3117</v>
      </c>
      <c r="D1005" s="5" t="s">
        <v>3118</v>
      </c>
      <c r="E1005" s="5">
        <v>1066.6199999999999</v>
      </c>
      <c r="F1005" s="6">
        <f>LOOKUP(D1005,'AMFI DATA_2023H2'!F:J,'AMFI DATA_2023H2'!J:J)</f>
        <v>1318.8732500000001</v>
      </c>
      <c r="G1005" s="7">
        <f t="shared" si="8"/>
        <v>0.37465825468823466</v>
      </c>
      <c r="H1005" s="8">
        <v>1813</v>
      </c>
      <c r="I1005" s="8">
        <v>1862</v>
      </c>
      <c r="J1005" s="8">
        <v>1860</v>
      </c>
      <c r="K1005" s="8">
        <v>1882</v>
      </c>
      <c r="L1005" s="8">
        <v>1858</v>
      </c>
      <c r="M1005" s="8">
        <v>1782</v>
      </c>
      <c r="N1005" s="8">
        <v>1767</v>
      </c>
      <c r="O1005" s="8">
        <v>1684</v>
      </c>
      <c r="P1005" s="8">
        <v>1732</v>
      </c>
      <c r="Q1005" s="8">
        <v>1711</v>
      </c>
      <c r="R1005" s="7">
        <f t="shared" si="9"/>
        <v>0.36108606342573091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</row>
    <row r="1006" spans="1:28" ht="14.4" hidden="1">
      <c r="A1006" s="3">
        <f>LOOKUP(D1006,'AMFI DATA_2023H2'!F:L,'AMFI DATA_2023H2'!L:L)</f>
        <v>1271</v>
      </c>
      <c r="B1006" s="4" t="s">
        <v>3497</v>
      </c>
      <c r="C1006" s="4" t="s">
        <v>3498</v>
      </c>
      <c r="D1006" s="5" t="s">
        <v>3499</v>
      </c>
      <c r="E1006" s="5">
        <v>489.74</v>
      </c>
      <c r="F1006" s="6">
        <f>LOOKUP(D1006,'AMFI DATA_2023H2'!F:J,'AMFI DATA_2023H2'!J:J)</f>
        <v>869.48270000000002</v>
      </c>
      <c r="G1006" s="7">
        <f t="shared" si="8"/>
        <v>9.0303464347249118E-2</v>
      </c>
      <c r="H1006" s="9">
        <v>948</v>
      </c>
      <c r="I1006" s="9">
        <v>952</v>
      </c>
      <c r="J1006" s="9">
        <v>952</v>
      </c>
      <c r="K1006" s="9">
        <v>974</v>
      </c>
      <c r="L1006" s="9">
        <v>972</v>
      </c>
      <c r="M1006" s="9">
        <v>954</v>
      </c>
      <c r="N1006" s="9">
        <v>932</v>
      </c>
      <c r="O1006" s="9">
        <v>931</v>
      </c>
      <c r="P1006" s="9">
        <v>927</v>
      </c>
      <c r="Q1006" s="9">
        <v>941</v>
      </c>
      <c r="R1006" s="7">
        <f t="shared" si="9"/>
        <v>9.0648497089131252E-2</v>
      </c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 spans="1:28" ht="14.4" hidden="1">
      <c r="A1007" s="3">
        <f>LOOKUP(D1007,'AMFI DATA_2023H2'!F:L,'AMFI DATA_2023H2'!L:L)</f>
        <v>1955</v>
      </c>
      <c r="B1007" s="4" t="s">
        <v>4673</v>
      </c>
      <c r="C1007" s="4" t="s">
        <v>4674</v>
      </c>
      <c r="D1007" s="5" t="s">
        <v>4675</v>
      </c>
      <c r="E1007" s="5">
        <v>123.77</v>
      </c>
      <c r="F1007" s="6">
        <f>LOOKUP(D1007,'AMFI DATA_2023H2'!F:J,'AMFI DATA_2023H2'!J:J)</f>
        <v>200.35095000000001</v>
      </c>
      <c r="G1007" s="7">
        <f t="shared" si="8"/>
        <v>0.39754765325544983</v>
      </c>
      <c r="H1007" s="9">
        <v>280</v>
      </c>
      <c r="I1007" s="9">
        <v>278</v>
      </c>
      <c r="J1007" s="9">
        <v>285</v>
      </c>
      <c r="K1007" s="9">
        <v>259</v>
      </c>
      <c r="L1007" s="9">
        <v>237</v>
      </c>
      <c r="M1007" s="9">
        <v>227</v>
      </c>
      <c r="N1007" s="9">
        <v>231</v>
      </c>
      <c r="O1007" s="9">
        <v>229</v>
      </c>
      <c r="P1007" s="9">
        <v>229</v>
      </c>
      <c r="Q1007" s="9">
        <v>232</v>
      </c>
      <c r="R1007" s="7">
        <f t="shared" si="9"/>
        <v>0.24132179058796566</v>
      </c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 spans="1:28" ht="14.4" hidden="1">
      <c r="A1008" s="3">
        <f>LOOKUP(D1008,'AMFI DATA_2023H2'!F:L,'AMFI DATA_2023H2'!L:L)</f>
        <v>1945</v>
      </c>
      <c r="B1008" s="4" t="s">
        <v>4655</v>
      </c>
      <c r="C1008" s="4" t="s">
        <v>4656</v>
      </c>
      <c r="D1008" s="5" t="s">
        <v>4657</v>
      </c>
      <c r="E1008" s="5">
        <v>153.91999999999999</v>
      </c>
      <c r="F1008" s="6">
        <f>LOOKUP(D1008,'AMFI DATA_2023H2'!F:J,'AMFI DATA_2023H2'!J:J)</f>
        <v>204.49725000000001</v>
      </c>
      <c r="G1008" s="7">
        <f t="shared" si="8"/>
        <v>1.2238550885158572E-2</v>
      </c>
      <c r="H1008" s="9">
        <v>207</v>
      </c>
      <c r="I1008" s="9">
        <v>211</v>
      </c>
      <c r="J1008" s="9">
        <v>205</v>
      </c>
      <c r="K1008" s="9">
        <v>210</v>
      </c>
      <c r="L1008" s="9">
        <v>215</v>
      </c>
      <c r="M1008" s="9">
        <v>215</v>
      </c>
      <c r="N1008" s="9">
        <v>219</v>
      </c>
      <c r="O1008" s="9">
        <v>211</v>
      </c>
      <c r="P1008" s="9">
        <v>197</v>
      </c>
      <c r="Q1008" s="9">
        <v>197</v>
      </c>
      <c r="R1008" s="7">
        <f t="shared" si="9"/>
        <v>2.0551621109819118E-2</v>
      </c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 spans="1:28" ht="14.4" hidden="1">
      <c r="A1009" s="3">
        <f>LOOKUP(D1009,'AMFI DATA_2023H2'!F:L,'AMFI DATA_2023H2'!L:L)</f>
        <v>1927</v>
      </c>
      <c r="B1009" s="4" t="s">
        <v>4637</v>
      </c>
      <c r="C1009" s="4" t="s">
        <v>4638</v>
      </c>
      <c r="D1009" s="5" t="s">
        <v>4639</v>
      </c>
      <c r="E1009" s="5">
        <v>277.56</v>
      </c>
      <c r="F1009" s="6">
        <f>LOOKUP(D1009,'AMFI DATA_2023H2'!F:J,'AMFI DATA_2023H2'!J:J)</f>
        <v>209.4513</v>
      </c>
      <c r="G1009" s="7">
        <f t="shared" si="8"/>
        <v>0.56599648701153926</v>
      </c>
      <c r="H1009" s="9">
        <v>328</v>
      </c>
      <c r="I1009" s="9">
        <v>327</v>
      </c>
      <c r="J1009" s="9">
        <v>329</v>
      </c>
      <c r="K1009" s="9">
        <v>333</v>
      </c>
      <c r="L1009" s="9">
        <v>337</v>
      </c>
      <c r="M1009" s="9">
        <v>325</v>
      </c>
      <c r="N1009" s="9">
        <v>328</v>
      </c>
      <c r="O1009" s="9">
        <v>329</v>
      </c>
      <c r="P1009" s="9">
        <v>328</v>
      </c>
      <c r="Q1009" s="9">
        <v>331</v>
      </c>
      <c r="R1009" s="7">
        <f t="shared" si="9"/>
        <v>0.57315805631189676</v>
      </c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  <row r="1010" spans="1:28" ht="14.4" hidden="1">
      <c r="A1010" s="3">
        <f>LOOKUP(D1010,'AMFI DATA_2023H2'!F:L,'AMFI DATA_2023H2'!L:L)</f>
        <v>2243</v>
      </c>
      <c r="B1010" s="4" t="s">
        <v>5063</v>
      </c>
      <c r="C1010" s="4" t="s">
        <v>5064</v>
      </c>
      <c r="D1010" s="5" t="s">
        <v>5065</v>
      </c>
      <c r="E1010" s="5">
        <v>106.06</v>
      </c>
      <c r="F1010" s="6">
        <f>LOOKUP(D1010,'AMFI DATA_2023H2'!F:J,'AMFI DATA_2023H2'!J:J)</f>
        <v>122.75635</v>
      </c>
      <c r="G1010" s="7">
        <f t="shared" si="8"/>
        <v>0.48261169381461744</v>
      </c>
      <c r="H1010" s="9">
        <v>182</v>
      </c>
      <c r="I1010" s="9">
        <v>189</v>
      </c>
      <c r="J1010" s="9">
        <v>174</v>
      </c>
      <c r="K1010" s="9">
        <v>146</v>
      </c>
      <c r="L1010" s="9">
        <v>138</v>
      </c>
      <c r="M1010" s="9">
        <v>138</v>
      </c>
      <c r="N1010" s="9">
        <v>137</v>
      </c>
      <c r="O1010" s="9">
        <v>138</v>
      </c>
      <c r="P1010" s="9">
        <v>136</v>
      </c>
      <c r="Q1010" s="9">
        <v>137</v>
      </c>
      <c r="R1010" s="7">
        <f t="shared" si="9"/>
        <v>0.23415204182920069</v>
      </c>
      <c r="S1010" s="9"/>
      <c r="T1010" s="9"/>
      <c r="U1010" s="9"/>
      <c r="V1010" s="9"/>
      <c r="W1010" s="9"/>
      <c r="X1010" s="9"/>
      <c r="Y1010" s="9"/>
      <c r="Z1010" s="9"/>
      <c r="AA1010" s="9"/>
      <c r="AB1010" s="9"/>
    </row>
    <row r="1011" spans="1:28" ht="14.4" hidden="1">
      <c r="A1011" s="3">
        <f>LOOKUP(D1011,'AMFI DATA_2023H2'!F:L,'AMFI DATA_2023H2'!L:L)</f>
        <v>393</v>
      </c>
      <c r="B1011" s="4" t="s">
        <v>1185</v>
      </c>
      <c r="C1011" s="4" t="s">
        <v>1186</v>
      </c>
      <c r="D1011" s="5" t="s">
        <v>1187</v>
      </c>
      <c r="E1011" s="5">
        <v>9529.49</v>
      </c>
      <c r="F1011" s="6">
        <f>LOOKUP(D1011,'AMFI DATA_2023H2'!F:J,'AMFI DATA_2023H2'!J:J)</f>
        <v>10585.9277</v>
      </c>
      <c r="G1011" s="7">
        <f t="shared" si="8"/>
        <v>0.15530734259596346</v>
      </c>
      <c r="H1011" s="8">
        <v>12230</v>
      </c>
      <c r="I1011" s="8">
        <v>12133</v>
      </c>
      <c r="J1011" s="8">
        <v>12071</v>
      </c>
      <c r="K1011" s="8">
        <v>11987</v>
      </c>
      <c r="L1011" s="8">
        <v>11853</v>
      </c>
      <c r="M1011" s="8">
        <v>11846</v>
      </c>
      <c r="N1011" s="8">
        <v>11797</v>
      </c>
      <c r="O1011" s="8">
        <v>11666</v>
      </c>
      <c r="P1011" s="8">
        <v>11755</v>
      </c>
      <c r="Q1011" s="8">
        <v>11801</v>
      </c>
      <c r="R1011" s="7">
        <f t="shared" si="9"/>
        <v>0.12544694594881833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</row>
    <row r="1012" spans="1:28" ht="14.4" hidden="1">
      <c r="A1012" s="3">
        <f>LOOKUP(D1012,'AMFI DATA_2023H2'!F:L,'AMFI DATA_2023H2'!L:L)</f>
        <v>1014</v>
      </c>
      <c r="B1012" s="4" t="s">
        <v>2903</v>
      </c>
      <c r="C1012" s="4" t="s">
        <v>2904</v>
      </c>
      <c r="D1012" s="5" t="s">
        <v>2905</v>
      </c>
      <c r="E1012" s="5">
        <v>1315.69</v>
      </c>
      <c r="F1012" s="6">
        <f>LOOKUP(D1012,'AMFI DATA_2023H2'!F:J,'AMFI DATA_2023H2'!J:J)</f>
        <v>1643.9213500000001</v>
      </c>
      <c r="G1012" s="7">
        <f t="shared" si="8"/>
        <v>0.34799636247804666</v>
      </c>
      <c r="H1012" s="8">
        <v>2216</v>
      </c>
      <c r="I1012" s="8">
        <v>2249</v>
      </c>
      <c r="J1012" s="8">
        <v>2075</v>
      </c>
      <c r="K1012" s="8">
        <v>2094</v>
      </c>
      <c r="L1012" s="8">
        <v>2093</v>
      </c>
      <c r="M1012" s="8">
        <v>2119</v>
      </c>
      <c r="N1012" s="8">
        <v>1991</v>
      </c>
      <c r="O1012" s="8">
        <v>2054</v>
      </c>
      <c r="P1012" s="8">
        <v>2090</v>
      </c>
      <c r="Q1012" s="8">
        <v>2057</v>
      </c>
      <c r="R1012" s="7">
        <f t="shared" si="9"/>
        <v>0.27974492210348156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</row>
    <row r="1013" spans="1:28" ht="14.4" hidden="1">
      <c r="A1013" s="3">
        <f>LOOKUP(D1013,'AMFI DATA_2023H2'!F:L,'AMFI DATA_2023H2'!L:L)</f>
        <v>467</v>
      </c>
      <c r="B1013" s="4" t="s">
        <v>1389</v>
      </c>
      <c r="C1013" s="4" t="s">
        <v>1390</v>
      </c>
      <c r="D1013" s="5" t="s">
        <v>1391</v>
      </c>
      <c r="E1013" s="5">
        <v>5399</v>
      </c>
      <c r="F1013" s="6">
        <f>LOOKUP(D1013,'AMFI DATA_2023H2'!F:J,'AMFI DATA_2023H2'!J:J)</f>
        <v>8125.1433500000003</v>
      </c>
      <c r="G1013" s="7">
        <f t="shared" si="8"/>
        <v>5.5612144984494405E-2</v>
      </c>
      <c r="H1013" s="8">
        <v>8577</v>
      </c>
      <c r="I1013" s="8">
        <v>8642</v>
      </c>
      <c r="J1013" s="8">
        <v>8384</v>
      </c>
      <c r="K1013" s="8">
        <v>8315</v>
      </c>
      <c r="L1013" s="8">
        <v>8344</v>
      </c>
      <c r="M1013" s="8">
        <v>8495</v>
      </c>
      <c r="N1013" s="8">
        <v>8509</v>
      </c>
      <c r="O1013" s="8">
        <v>8470</v>
      </c>
      <c r="P1013" s="8">
        <v>8594</v>
      </c>
      <c r="Q1013" s="8">
        <v>8683</v>
      </c>
      <c r="R1013" s="7">
        <f t="shared" si="9"/>
        <v>4.6295386283861539E-2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</row>
    <row r="1014" spans="1:28" ht="14.4" hidden="1">
      <c r="A1014" s="3">
        <f>LOOKUP(D1014,'AMFI DATA_2023H2'!F:L,'AMFI DATA_2023H2'!L:L)</f>
        <v>444</v>
      </c>
      <c r="B1014" s="4" t="s">
        <v>1323</v>
      </c>
      <c r="C1014" s="4" t="s">
        <v>1324</v>
      </c>
      <c r="D1014" s="5" t="s">
        <v>1325</v>
      </c>
      <c r="E1014" s="5">
        <v>5133.1899999999996</v>
      </c>
      <c r="F1014" s="6">
        <f>LOOKUP(D1014,'AMFI DATA_2023H2'!F:J,'AMFI DATA_2023H2'!J:J)</f>
        <v>8931.4604999999992</v>
      </c>
      <c r="G1014" s="7">
        <f t="shared" si="8"/>
        <v>0.38779094415745341</v>
      </c>
      <c r="H1014" s="8">
        <v>12395</v>
      </c>
      <c r="I1014" s="8">
        <v>12103</v>
      </c>
      <c r="J1014" s="8">
        <v>12015</v>
      </c>
      <c r="K1014" s="8">
        <v>12127</v>
      </c>
      <c r="L1014" s="8">
        <v>12282</v>
      </c>
      <c r="M1014" s="8">
        <v>12328</v>
      </c>
      <c r="N1014" s="8">
        <v>12328</v>
      </c>
      <c r="O1014" s="8">
        <v>12604</v>
      </c>
      <c r="P1014" s="8">
        <v>12424</v>
      </c>
      <c r="Q1014" s="8">
        <v>12469</v>
      </c>
      <c r="R1014" s="7">
        <f t="shared" si="9"/>
        <v>0.3779941141765113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</row>
    <row r="1015" spans="1:28" ht="14.4" hidden="1">
      <c r="A1015" s="3">
        <f>LOOKUP(D1015,'AMFI DATA_2023H2'!F:L,'AMFI DATA_2023H2'!L:L)</f>
        <v>1886</v>
      </c>
      <c r="B1015" s="4" t="s">
        <v>4589</v>
      </c>
      <c r="C1015" s="4" t="s">
        <v>4590</v>
      </c>
      <c r="D1015" s="5" t="s">
        <v>4591</v>
      </c>
      <c r="E1015" s="5">
        <v>216.56</v>
      </c>
      <c r="F1015" s="6">
        <f>LOOKUP(D1015,'AMFI DATA_2023H2'!F:J,'AMFI DATA_2023H2'!J:J)</f>
        <v>229.0274</v>
      </c>
      <c r="G1015" s="7">
        <f t="shared" si="8"/>
        <v>4.3543261635943908E-2</v>
      </c>
      <c r="H1015" s="9">
        <v>239</v>
      </c>
      <c r="I1015" s="9">
        <v>244</v>
      </c>
      <c r="J1015" s="9">
        <v>240</v>
      </c>
      <c r="K1015" s="9">
        <v>240</v>
      </c>
      <c r="L1015" s="9">
        <v>240</v>
      </c>
      <c r="M1015" s="9">
        <v>236</v>
      </c>
      <c r="N1015" s="9">
        <v>233</v>
      </c>
      <c r="O1015" s="9">
        <v>231</v>
      </c>
      <c r="P1015" s="9">
        <v>234</v>
      </c>
      <c r="Q1015" s="9">
        <v>253</v>
      </c>
      <c r="R1015" s="7">
        <f t="shared" si="9"/>
        <v>4.3543261635943908E-2</v>
      </c>
      <c r="S1015" s="9"/>
      <c r="T1015" s="9"/>
      <c r="U1015" s="9"/>
      <c r="V1015" s="9"/>
      <c r="W1015" s="9"/>
      <c r="X1015" s="9"/>
      <c r="Y1015" s="9"/>
      <c r="Z1015" s="9"/>
      <c r="AA1015" s="9"/>
      <c r="AB1015" s="9"/>
    </row>
    <row r="1016" spans="1:28" ht="14.4" hidden="1">
      <c r="A1016" s="3">
        <f>LOOKUP(D1016,'AMFI DATA_2023H2'!F:L,'AMFI DATA_2023H2'!L:L)</f>
        <v>172</v>
      </c>
      <c r="B1016" s="4" t="s">
        <v>525</v>
      </c>
      <c r="C1016" s="4" t="s">
        <v>526</v>
      </c>
      <c r="D1016" s="5" t="s">
        <v>527</v>
      </c>
      <c r="E1016" s="5">
        <v>32421.47</v>
      </c>
      <c r="F1016" s="6">
        <f>LOOKUP(D1016,'AMFI DATA_2023H2'!F:J,'AMFI DATA_2023H2'!J:J)</f>
        <v>35725.22135</v>
      </c>
      <c r="G1016" s="7">
        <f t="shared" si="8"/>
        <v>-4.3168979553432463E-2</v>
      </c>
      <c r="H1016" s="8">
        <v>34183</v>
      </c>
      <c r="I1016" s="8">
        <v>34349</v>
      </c>
      <c r="J1016" s="8">
        <v>34022</v>
      </c>
      <c r="K1016" s="8">
        <v>33756</v>
      </c>
      <c r="L1016" s="8">
        <v>33997</v>
      </c>
      <c r="M1016" s="8">
        <v>34244</v>
      </c>
      <c r="N1016" s="8">
        <v>33849</v>
      </c>
      <c r="O1016" s="8">
        <v>34201</v>
      </c>
      <c r="P1016" s="8">
        <v>33429</v>
      </c>
      <c r="Q1016" s="8">
        <v>33040</v>
      </c>
      <c r="R1016" s="7">
        <f t="shared" si="9"/>
        <v>-5.0894613981167125E-2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</row>
    <row r="1017" spans="1:28" ht="14.4" hidden="1">
      <c r="A1017" s="3">
        <f>LOOKUP(D1017,'AMFI DATA_2023H2'!F:L,'AMFI DATA_2023H2'!L:L)</f>
        <v>29</v>
      </c>
      <c r="B1017" s="4" t="s">
        <v>93</v>
      </c>
      <c r="C1017" s="4" t="s">
        <v>94</v>
      </c>
      <c r="D1017" s="5" t="s">
        <v>95</v>
      </c>
      <c r="E1017" s="5">
        <v>159795.85</v>
      </c>
      <c r="F1017" s="6">
        <f>LOOKUP(D1017,'AMFI DATA_2023H2'!F:J,'AMFI DATA_2023H2'!J:J)</f>
        <v>194699.63430000001</v>
      </c>
      <c r="G1017" s="7">
        <f t="shared" si="8"/>
        <v>4.8728215305127609E-2</v>
      </c>
      <c r="H1017" s="8">
        <v>204187</v>
      </c>
      <c r="I1017" s="8">
        <v>204150</v>
      </c>
      <c r="J1017" s="8">
        <v>205860</v>
      </c>
      <c r="K1017" s="8">
        <v>205966</v>
      </c>
      <c r="L1017" s="8">
        <v>211586</v>
      </c>
      <c r="M1017" s="8">
        <v>214652</v>
      </c>
      <c r="N1017" s="8">
        <v>215703</v>
      </c>
      <c r="O1017" s="8">
        <v>209162</v>
      </c>
      <c r="P1017" s="8">
        <v>206636</v>
      </c>
      <c r="Q1017" s="8">
        <v>203224</v>
      </c>
      <c r="R1017" s="7">
        <f t="shared" si="9"/>
        <v>6.8890554151390004E-2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</row>
    <row r="1018" spans="1:28" ht="14.4" hidden="1">
      <c r="A1018" s="3">
        <f>LOOKUP(D1018,'AMFI DATA_2023H2'!F:L,'AMFI DATA_2023H2'!L:L)</f>
        <v>1700</v>
      </c>
      <c r="B1018" s="4" t="s">
        <v>4334</v>
      </c>
      <c r="C1018" s="4" t="s">
        <v>4335</v>
      </c>
      <c r="D1018" s="5" t="s">
        <v>4336</v>
      </c>
      <c r="E1018" s="5">
        <v>274.86</v>
      </c>
      <c r="F1018" s="6">
        <f>LOOKUP(D1018,'AMFI DATA_2023H2'!F:J,'AMFI DATA_2023H2'!J:J)</f>
        <v>330.26274999999998</v>
      </c>
      <c r="G1018" s="7">
        <f t="shared" si="8"/>
        <v>0.15059903062031665</v>
      </c>
      <c r="H1018" s="9">
        <v>380</v>
      </c>
      <c r="I1018" s="9">
        <v>375</v>
      </c>
      <c r="J1018" s="9">
        <v>380</v>
      </c>
      <c r="K1018" s="9">
        <v>366</v>
      </c>
      <c r="L1018" s="9">
        <v>366</v>
      </c>
      <c r="M1018" s="9">
        <v>365</v>
      </c>
      <c r="N1018" s="9">
        <v>367</v>
      </c>
      <c r="O1018" s="9">
        <v>334</v>
      </c>
      <c r="P1018" s="9">
        <v>332</v>
      </c>
      <c r="Q1018" s="9">
        <v>335</v>
      </c>
      <c r="R1018" s="7">
        <f t="shared" si="9"/>
        <v>9.0041186903458081E-2</v>
      </c>
      <c r="S1018" s="9"/>
      <c r="T1018" s="9"/>
      <c r="U1018" s="9"/>
      <c r="V1018" s="9"/>
      <c r="W1018" s="9"/>
      <c r="X1018" s="9"/>
      <c r="Y1018" s="9"/>
      <c r="Z1018" s="9"/>
      <c r="AA1018" s="9"/>
      <c r="AB1018" s="9"/>
    </row>
    <row r="1019" spans="1:28" ht="14.4" hidden="1">
      <c r="A1019" s="3">
        <f>LOOKUP(D1019,'AMFI DATA_2023H2'!F:L,'AMFI DATA_2023H2'!L:L)</f>
        <v>483</v>
      </c>
      <c r="B1019" s="4" t="s">
        <v>1434</v>
      </c>
      <c r="C1019" s="4" t="s">
        <v>1435</v>
      </c>
      <c r="D1019" s="5" t="s">
        <v>1436</v>
      </c>
      <c r="E1019" s="5">
        <v>5646.99</v>
      </c>
      <c r="F1019" s="6">
        <f>LOOKUP(D1019,'AMFI DATA_2023H2'!F:J,'AMFI DATA_2023H2'!J:J)</f>
        <v>7713.8304499999995</v>
      </c>
      <c r="G1019" s="7">
        <f t="shared" si="8"/>
        <v>1.5967365474049311E-2</v>
      </c>
      <c r="H1019" s="8">
        <v>7837</v>
      </c>
      <c r="I1019" s="8">
        <v>7920</v>
      </c>
      <c r="J1019" s="8">
        <v>7852</v>
      </c>
      <c r="K1019" s="8">
        <v>7885</v>
      </c>
      <c r="L1019" s="8">
        <v>7815</v>
      </c>
      <c r="M1019" s="8">
        <v>7684</v>
      </c>
      <c r="N1019" s="8">
        <v>7593</v>
      </c>
      <c r="O1019" s="8">
        <v>7583</v>
      </c>
      <c r="P1019" s="8">
        <v>7343</v>
      </c>
      <c r="Q1019" s="8">
        <v>7395</v>
      </c>
      <c r="R1019" s="7">
        <f t="shared" si="9"/>
        <v>-2.998568629415499E-3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</row>
    <row r="1020" spans="1:28" ht="14.4" hidden="1">
      <c r="A1020" s="3">
        <f>LOOKUP(D1020,'AMFI DATA_2023H2'!F:L,'AMFI DATA_2023H2'!L:L)</f>
        <v>469</v>
      </c>
      <c r="B1020" s="4" t="s">
        <v>1395</v>
      </c>
      <c r="C1020" s="4" t="s">
        <v>1396</v>
      </c>
      <c r="D1020" s="5" t="s">
        <v>1397</v>
      </c>
      <c r="E1020" s="5">
        <v>5961.89</v>
      </c>
      <c r="F1020" s="6">
        <f>LOOKUP(D1020,'AMFI DATA_2023H2'!F:J,'AMFI DATA_2023H2'!J:J)</f>
        <v>8088.4504500000003</v>
      </c>
      <c r="G1020" s="7">
        <f t="shared" si="8"/>
        <v>9.9716200894820251E-2</v>
      </c>
      <c r="H1020" s="8">
        <v>8895</v>
      </c>
      <c r="I1020" s="8">
        <v>8860</v>
      </c>
      <c r="J1020" s="8">
        <v>8468</v>
      </c>
      <c r="K1020" s="8">
        <v>8481</v>
      </c>
      <c r="L1020" s="8">
        <v>8437</v>
      </c>
      <c r="M1020" s="8">
        <v>8388</v>
      </c>
      <c r="N1020" s="8">
        <v>8394</v>
      </c>
      <c r="O1020" s="8">
        <v>8321</v>
      </c>
      <c r="P1020" s="8">
        <v>8374</v>
      </c>
      <c r="Q1020" s="8">
        <v>8250</v>
      </c>
      <c r="R1020" s="7">
        <f t="shared" si="9"/>
        <v>4.9249179736274407E-2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</row>
    <row r="1021" spans="1:28" ht="14.4" hidden="1">
      <c r="A1021" s="3">
        <f>LOOKUP(D1021,'AMFI DATA_2023H2'!F:L,'AMFI DATA_2023H2'!L:L)</f>
        <v>821</v>
      </c>
      <c r="B1021" s="4" t="s">
        <v>2384</v>
      </c>
      <c r="C1021" s="4" t="s">
        <v>2385</v>
      </c>
      <c r="D1021" s="5" t="s">
        <v>2386</v>
      </c>
      <c r="E1021" s="5">
        <v>2830.14</v>
      </c>
      <c r="F1021" s="6">
        <f>LOOKUP(D1021,'AMFI DATA_2023H2'!F:J,'AMFI DATA_2023H2'!J:J)</f>
        <v>2728.2390999999998</v>
      </c>
      <c r="G1021" s="7">
        <f t="shared" si="8"/>
        <v>0.18061499815027227</v>
      </c>
      <c r="H1021" s="8">
        <v>3221</v>
      </c>
      <c r="I1021" s="8">
        <v>3139</v>
      </c>
      <c r="J1021" s="8">
        <v>3193</v>
      </c>
      <c r="K1021" s="8">
        <v>3128</v>
      </c>
      <c r="L1021" s="8">
        <v>2818</v>
      </c>
      <c r="M1021" s="8">
        <v>2770</v>
      </c>
      <c r="N1021" s="8">
        <v>2754</v>
      </c>
      <c r="O1021" s="8">
        <v>2764</v>
      </c>
      <c r="P1021" s="8">
        <v>2774</v>
      </c>
      <c r="Q1021" s="8">
        <v>2803</v>
      </c>
      <c r="R1021" s="7">
        <f t="shared" si="9"/>
        <v>7.6298627931840945E-2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</row>
    <row r="1022" spans="1:28" ht="14.4" hidden="1">
      <c r="A1022" s="3">
        <f>LOOKUP(D1022,'AMFI DATA_2023H2'!F:L,'AMFI DATA_2023H2'!L:L)</f>
        <v>769</v>
      </c>
      <c r="B1022" s="4" t="s">
        <v>2249</v>
      </c>
      <c r="C1022" s="4" t="s">
        <v>2250</v>
      </c>
      <c r="D1022" s="5" t="s">
        <v>2251</v>
      </c>
      <c r="E1022" s="5">
        <v>2780.16</v>
      </c>
      <c r="F1022" s="6">
        <f>LOOKUP(D1022,'AMFI DATA_2023H2'!F:J,'AMFI DATA_2023H2'!J:J)</f>
        <v>3140.3746000000001</v>
      </c>
      <c r="G1022" s="7">
        <f t="shared" ref="G1022:G1276" si="10">H1022/F1022-1</f>
        <v>8.0125918735936663E-2</v>
      </c>
      <c r="H1022" s="8">
        <v>3392</v>
      </c>
      <c r="I1022" s="8">
        <v>3409</v>
      </c>
      <c r="J1022" s="8">
        <v>3408</v>
      </c>
      <c r="K1022" s="8">
        <v>3469</v>
      </c>
      <c r="L1022" s="8">
        <v>3499</v>
      </c>
      <c r="M1022" s="8">
        <v>3471</v>
      </c>
      <c r="N1022" s="8">
        <v>3503</v>
      </c>
      <c r="O1022" s="8">
        <v>3602</v>
      </c>
      <c r="P1022" s="8">
        <v>3364</v>
      </c>
      <c r="Q1022" s="8">
        <v>3350</v>
      </c>
      <c r="R1022" s="7">
        <f t="shared" ref="R1022:R1276" si="11">AVERAGE(H1022:Q1022)/F1022-1</f>
        <v>9.7544222908948486E-2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</row>
    <row r="1023" spans="1:28" ht="14.4" hidden="1">
      <c r="A1023" s="3">
        <f>LOOKUP(D1023,'AMFI DATA_2023H2'!F:L,'AMFI DATA_2023H2'!L:L)</f>
        <v>1382</v>
      </c>
      <c r="B1023" s="4" t="s">
        <v>3734</v>
      </c>
      <c r="C1023" s="4" t="s">
        <v>3735</v>
      </c>
      <c r="D1023" s="5" t="s">
        <v>3736</v>
      </c>
      <c r="E1023" s="5">
        <v>498.9</v>
      </c>
      <c r="F1023" s="6">
        <f>LOOKUP(D1023,'AMFI DATA_2023H2'!F:J,'AMFI DATA_2023H2'!J:J)</f>
        <v>666.37954999999999</v>
      </c>
      <c r="G1023" s="7">
        <f t="shared" si="10"/>
        <v>2.0439477772089543E-2</v>
      </c>
      <c r="H1023" s="9">
        <v>680</v>
      </c>
      <c r="I1023" s="9">
        <v>684</v>
      </c>
      <c r="J1023" s="9">
        <v>687</v>
      </c>
      <c r="K1023" s="9">
        <v>690</v>
      </c>
      <c r="L1023" s="9">
        <v>688</v>
      </c>
      <c r="M1023" s="9">
        <v>687</v>
      </c>
      <c r="N1023" s="9">
        <v>682</v>
      </c>
      <c r="O1023" s="9">
        <v>685</v>
      </c>
      <c r="P1023" s="9">
        <v>684</v>
      </c>
      <c r="Q1023" s="9">
        <v>688</v>
      </c>
      <c r="R1023" s="7">
        <f t="shared" si="11"/>
        <v>2.869303237171672E-2</v>
      </c>
      <c r="S1023" s="9"/>
      <c r="T1023" s="9"/>
      <c r="U1023" s="9"/>
      <c r="V1023" s="9"/>
      <c r="W1023" s="9"/>
      <c r="X1023" s="9"/>
      <c r="Y1023" s="9"/>
      <c r="Z1023" s="9"/>
      <c r="AA1023" s="9"/>
      <c r="AB1023" s="9"/>
    </row>
    <row r="1024" spans="1:28" ht="14.4" hidden="1">
      <c r="A1024" s="3">
        <f>LOOKUP(D1024,'AMFI DATA_2023H2'!F:L,'AMFI DATA_2023H2'!L:L)</f>
        <v>2641</v>
      </c>
      <c r="B1024" s="4" t="s">
        <v>5407</v>
      </c>
      <c r="C1024" s="4" t="s">
        <v>5408</v>
      </c>
      <c r="D1024" s="5" t="s">
        <v>5409</v>
      </c>
      <c r="E1024" s="5">
        <v>55.57</v>
      </c>
      <c r="F1024" s="6">
        <f>LOOKUP(D1024,'AMFI DATA_2023H2'!F:J,'AMFI DATA_2023H2'!J:J)</f>
        <v>63.299199999999999</v>
      </c>
      <c r="G1024" s="7">
        <f t="shared" si="10"/>
        <v>0.22908346393003387</v>
      </c>
      <c r="H1024" s="9">
        <v>77.8</v>
      </c>
      <c r="I1024" s="9">
        <v>77.5</v>
      </c>
      <c r="J1024" s="9">
        <v>79.400000000000006</v>
      </c>
      <c r="K1024" s="9">
        <v>79.099999999999994</v>
      </c>
      <c r="L1024" s="9">
        <v>74.099999999999994</v>
      </c>
      <c r="M1024" s="9">
        <v>67.900000000000006</v>
      </c>
      <c r="N1024" s="9">
        <v>67.8</v>
      </c>
      <c r="O1024" s="9">
        <v>68.8</v>
      </c>
      <c r="P1024" s="9">
        <v>68.400000000000006</v>
      </c>
      <c r="Q1024" s="9">
        <v>67</v>
      </c>
      <c r="R1024" s="7">
        <f t="shared" si="11"/>
        <v>0.14977756432940681</v>
      </c>
      <c r="S1024" s="9"/>
      <c r="T1024" s="9"/>
      <c r="U1024" s="9"/>
      <c r="V1024" s="9"/>
      <c r="W1024" s="9"/>
      <c r="X1024" s="9"/>
      <c r="Y1024" s="9"/>
      <c r="Z1024" s="9"/>
      <c r="AA1024" s="9"/>
      <c r="AB1024" s="9"/>
    </row>
    <row r="1025" spans="1:28" ht="14.4" hidden="1">
      <c r="A1025" s="3">
        <f>LOOKUP(D1025,'AMFI DATA_2023H2'!F:L,'AMFI DATA_2023H2'!L:L)</f>
        <v>1148</v>
      </c>
      <c r="B1025" s="4" t="s">
        <v>3224</v>
      </c>
      <c r="C1025" s="4" t="s">
        <v>3225</v>
      </c>
      <c r="D1025" s="5" t="s">
        <v>3226</v>
      </c>
      <c r="E1025" s="5">
        <v>616.62</v>
      </c>
      <c r="F1025" s="6">
        <f>LOOKUP(D1025,'AMFI DATA_2023H2'!F:J,'AMFI DATA_2023H2'!J:J)</f>
        <v>1189.6684500000001</v>
      </c>
      <c r="G1025" s="7">
        <f t="shared" si="10"/>
        <v>0.58531563983225721</v>
      </c>
      <c r="H1025" s="8">
        <v>1886</v>
      </c>
      <c r="I1025" s="8">
        <v>1796</v>
      </c>
      <c r="J1025" s="8">
        <v>1773</v>
      </c>
      <c r="K1025" s="8">
        <v>1681</v>
      </c>
      <c r="L1025" s="8">
        <v>1678</v>
      </c>
      <c r="M1025" s="8">
        <v>1714</v>
      </c>
      <c r="N1025" s="8">
        <v>1604</v>
      </c>
      <c r="O1025" s="8">
        <v>1523</v>
      </c>
      <c r="P1025" s="8">
        <v>1511</v>
      </c>
      <c r="Q1025" s="8">
        <v>1509</v>
      </c>
      <c r="R1025" s="7">
        <f t="shared" si="11"/>
        <v>0.40165102302242262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</row>
    <row r="1026" spans="1:28" ht="14.4" hidden="1">
      <c r="A1026" s="3">
        <f>LOOKUP(D1026,'AMFI DATA_2023H2'!F:L,'AMFI DATA_2023H2'!L:L)</f>
        <v>585</v>
      </c>
      <c r="B1026" s="4" t="s">
        <v>1728</v>
      </c>
      <c r="C1026" s="4" t="s">
        <v>1729</v>
      </c>
      <c r="D1026" s="5" t="s">
        <v>1730</v>
      </c>
      <c r="E1026" s="5">
        <v>3146.46</v>
      </c>
      <c r="F1026" s="6">
        <f>LOOKUP(D1026,'AMFI DATA_2023H2'!F:J,'AMFI DATA_2023H2'!J:J)</f>
        <v>5695.98945</v>
      </c>
      <c r="G1026" s="7">
        <f t="shared" si="10"/>
        <v>0.42310656842947636</v>
      </c>
      <c r="H1026" s="8">
        <v>8106</v>
      </c>
      <c r="I1026" s="8">
        <v>8231</v>
      </c>
      <c r="J1026" s="8">
        <v>8082</v>
      </c>
      <c r="K1026" s="8">
        <v>8071</v>
      </c>
      <c r="L1026" s="8">
        <v>8093</v>
      </c>
      <c r="M1026" s="8">
        <v>8058</v>
      </c>
      <c r="N1026" s="8">
        <v>7713</v>
      </c>
      <c r="O1026" s="8">
        <v>7800</v>
      </c>
      <c r="P1026" s="8">
        <v>7646</v>
      </c>
      <c r="Q1026" s="8">
        <v>7520</v>
      </c>
      <c r="R1026" s="7">
        <f t="shared" si="11"/>
        <v>0.39255875904053861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</row>
    <row r="1027" spans="1:28" ht="14.4" hidden="1">
      <c r="A1027" s="3">
        <f>LOOKUP(D1027,'AMFI DATA_2023H2'!F:L,'AMFI DATA_2023H2'!L:L)</f>
        <v>2084</v>
      </c>
      <c r="B1027" s="4" t="s">
        <v>4850</v>
      </c>
      <c r="C1027" s="4" t="s">
        <v>4851</v>
      </c>
      <c r="D1027" s="5" t="s">
        <v>4852</v>
      </c>
      <c r="E1027" s="5">
        <v>142.47</v>
      </c>
      <c r="F1027" s="6">
        <f>LOOKUP(D1027,'AMFI DATA_2023H2'!F:J,'AMFI DATA_2023H2'!J:J)</f>
        <v>165.62664999999998</v>
      </c>
      <c r="G1027" s="7">
        <f t="shared" si="10"/>
        <v>1.4329517622918786E-2</v>
      </c>
      <c r="H1027" s="9">
        <v>168</v>
      </c>
      <c r="I1027" s="9">
        <v>170</v>
      </c>
      <c r="J1027" s="9">
        <v>167</v>
      </c>
      <c r="K1027" s="9">
        <v>168</v>
      </c>
      <c r="L1027" s="9">
        <v>165</v>
      </c>
      <c r="M1027" s="9">
        <v>159</v>
      </c>
      <c r="N1027" s="9">
        <v>161</v>
      </c>
      <c r="O1027" s="9">
        <v>160</v>
      </c>
      <c r="P1027" s="9">
        <v>161</v>
      </c>
      <c r="Q1027" s="9">
        <v>157</v>
      </c>
      <c r="R1027" s="7">
        <f t="shared" si="11"/>
        <v>-1.2236255457681366E-2</v>
      </c>
      <c r="S1027" s="9"/>
      <c r="T1027" s="9"/>
      <c r="U1027" s="9"/>
      <c r="V1027" s="9"/>
      <c r="W1027" s="9"/>
      <c r="X1027" s="9"/>
      <c r="Y1027" s="9"/>
      <c r="Z1027" s="9"/>
      <c r="AA1027" s="9"/>
      <c r="AB1027" s="9"/>
    </row>
    <row r="1028" spans="1:28" ht="14.4" hidden="1">
      <c r="A1028" s="3">
        <f>LOOKUP(D1028,'AMFI DATA_2023H2'!F:L,'AMFI DATA_2023H2'!L:L)</f>
        <v>2117</v>
      </c>
      <c r="B1028" s="4" t="s">
        <v>4907</v>
      </c>
      <c r="C1028" s="4" t="s">
        <v>4908</v>
      </c>
      <c r="D1028" s="5" t="s">
        <v>4909</v>
      </c>
      <c r="E1028" s="5">
        <v>111.71</v>
      </c>
      <c r="F1028" s="6">
        <f>LOOKUP(D1028,'AMFI DATA_2023H2'!F:J,'AMFI DATA_2023H2'!J:J)</f>
        <v>154.03145000000001</v>
      </c>
      <c r="G1028" s="7">
        <f t="shared" si="10"/>
        <v>0.31791267302878734</v>
      </c>
      <c r="H1028" s="9">
        <v>203</v>
      </c>
      <c r="I1028" s="9">
        <v>199</v>
      </c>
      <c r="J1028" s="9">
        <v>196</v>
      </c>
      <c r="K1028" s="9">
        <v>193</v>
      </c>
      <c r="L1028" s="9">
        <v>189</v>
      </c>
      <c r="M1028" s="9">
        <v>185</v>
      </c>
      <c r="N1028" s="9">
        <v>189</v>
      </c>
      <c r="O1028" s="9">
        <v>193</v>
      </c>
      <c r="P1028" s="9">
        <v>187</v>
      </c>
      <c r="Q1028" s="9">
        <v>196</v>
      </c>
      <c r="R1028" s="7">
        <f t="shared" si="11"/>
        <v>0.25299086647564506</v>
      </c>
      <c r="S1028" s="9"/>
      <c r="T1028" s="9"/>
      <c r="U1028" s="9"/>
      <c r="V1028" s="9"/>
      <c r="W1028" s="9"/>
      <c r="X1028" s="9"/>
      <c r="Y1028" s="9"/>
      <c r="Z1028" s="9"/>
      <c r="AA1028" s="9"/>
      <c r="AB1028" s="9"/>
    </row>
    <row r="1029" spans="1:28" ht="14.4" hidden="1">
      <c r="A1029" s="3">
        <f>LOOKUP(D1029,'AMFI DATA_2023H2'!F:L,'AMFI DATA_2023H2'!L:L)</f>
        <v>1255</v>
      </c>
      <c r="B1029" s="4" t="s">
        <v>3470</v>
      </c>
      <c r="C1029" s="4" t="s">
        <v>3471</v>
      </c>
      <c r="D1029" s="5" t="s">
        <v>3472</v>
      </c>
      <c r="E1029" s="5">
        <v>838.56</v>
      </c>
      <c r="F1029" s="6">
        <f>LOOKUP(D1029,'AMFI DATA_2023H2'!F:J,'AMFI DATA_2023H2'!J:J)</f>
        <v>910.02874999999995</v>
      </c>
      <c r="G1029" s="7">
        <f t="shared" si="10"/>
        <v>-3.8491915777386088E-2</v>
      </c>
      <c r="H1029" s="9">
        <v>875</v>
      </c>
      <c r="I1029" s="9">
        <v>881</v>
      </c>
      <c r="J1029" s="9">
        <v>871</v>
      </c>
      <c r="K1029" s="9">
        <v>865</v>
      </c>
      <c r="L1029" s="9">
        <v>860</v>
      </c>
      <c r="M1029" s="9">
        <v>860</v>
      </c>
      <c r="N1029" s="9">
        <v>869</v>
      </c>
      <c r="O1029" s="9">
        <v>875</v>
      </c>
      <c r="P1029" s="9">
        <v>871</v>
      </c>
      <c r="Q1029" s="9">
        <v>858</v>
      </c>
      <c r="R1029" s="7">
        <f t="shared" si="11"/>
        <v>-4.5634547260182678E-2</v>
      </c>
      <c r="S1029" s="9"/>
      <c r="T1029" s="9"/>
      <c r="U1029" s="9"/>
      <c r="V1029" s="9"/>
      <c r="W1029" s="9"/>
      <c r="X1029" s="9"/>
      <c r="Y1029" s="9"/>
      <c r="Z1029" s="9"/>
      <c r="AA1029" s="9"/>
      <c r="AB1029" s="9"/>
    </row>
    <row r="1030" spans="1:28" ht="14.4" hidden="1">
      <c r="A1030" s="3">
        <f>LOOKUP(D1030,'AMFI DATA_2023H2'!F:L,'AMFI DATA_2023H2'!L:L)</f>
        <v>1745</v>
      </c>
      <c r="B1030" s="4" t="s">
        <v>4406</v>
      </c>
      <c r="C1030" s="4" t="s">
        <v>4407</v>
      </c>
      <c r="D1030" s="5" t="s">
        <v>4408</v>
      </c>
      <c r="E1030" s="5">
        <v>261.25</v>
      </c>
      <c r="F1030" s="6">
        <f>LOOKUP(D1030,'AMFI DATA_2023H2'!F:J,'AMFI DATA_2023H2'!J:J)</f>
        <v>301.00445000000002</v>
      </c>
      <c r="G1030" s="7">
        <f t="shared" si="10"/>
        <v>5.3140576493138081E-2</v>
      </c>
      <c r="H1030" s="9">
        <v>317</v>
      </c>
      <c r="I1030" s="9">
        <v>320</v>
      </c>
      <c r="J1030" s="9">
        <v>321</v>
      </c>
      <c r="K1030" s="9">
        <v>322</v>
      </c>
      <c r="L1030" s="9">
        <v>317</v>
      </c>
      <c r="M1030" s="9">
        <v>311</v>
      </c>
      <c r="N1030" s="9">
        <v>315</v>
      </c>
      <c r="O1030" s="9">
        <v>321</v>
      </c>
      <c r="P1030" s="9">
        <v>321</v>
      </c>
      <c r="Q1030" s="9">
        <v>294</v>
      </c>
      <c r="R1030" s="7">
        <f t="shared" si="11"/>
        <v>4.9486145470606591E-2</v>
      </c>
      <c r="S1030" s="9"/>
      <c r="T1030" s="9"/>
      <c r="U1030" s="9"/>
      <c r="V1030" s="9"/>
      <c r="W1030" s="9"/>
      <c r="X1030" s="9"/>
      <c r="Y1030" s="9"/>
      <c r="Z1030" s="9"/>
      <c r="AA1030" s="9"/>
      <c r="AB1030" s="9"/>
    </row>
    <row r="1031" spans="1:28" ht="14.4" hidden="1">
      <c r="A1031" s="3">
        <f>LOOKUP(D1031,'AMFI DATA_2023H2'!F:L,'AMFI DATA_2023H2'!L:L)</f>
        <v>1156</v>
      </c>
      <c r="B1031" s="4" t="s">
        <v>3242</v>
      </c>
      <c r="C1031" s="4" t="s">
        <v>3243</v>
      </c>
      <c r="D1031" s="5" t="s">
        <v>3244</v>
      </c>
      <c r="E1031" s="5">
        <v>1213.82</v>
      </c>
      <c r="F1031" s="6">
        <f>LOOKUP(D1031,'AMFI DATA_2023H2'!F:J,'AMFI DATA_2023H2'!J:J)</f>
        <v>1157.26055</v>
      </c>
      <c r="G1031" s="7">
        <f t="shared" si="10"/>
        <v>0.20629706076129528</v>
      </c>
      <c r="H1031" s="8">
        <v>1396</v>
      </c>
      <c r="I1031" s="8">
        <v>1372</v>
      </c>
      <c r="J1031" s="8">
        <v>1353</v>
      </c>
      <c r="K1031" s="8">
        <v>1345</v>
      </c>
      <c r="L1031" s="8">
        <v>1332</v>
      </c>
      <c r="M1031" s="8">
        <v>1363</v>
      </c>
      <c r="N1031" s="8">
        <v>1391</v>
      </c>
      <c r="O1031" s="8">
        <v>1365</v>
      </c>
      <c r="P1031" s="8">
        <v>1391</v>
      </c>
      <c r="Q1031" s="8">
        <v>1386</v>
      </c>
      <c r="R1031" s="7">
        <f t="shared" si="11"/>
        <v>0.18331174427400998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</row>
    <row r="1032" spans="1:28" ht="14.4" hidden="1">
      <c r="A1032" s="3">
        <f>LOOKUP(D1032,'AMFI DATA_2023H2'!F:L,'AMFI DATA_2023H2'!L:L)</f>
        <v>353</v>
      </c>
      <c r="B1032" s="4" t="s">
        <v>1065</v>
      </c>
      <c r="C1032" s="4" t="s">
        <v>1066</v>
      </c>
      <c r="D1032" s="5" t="s">
        <v>1067</v>
      </c>
      <c r="E1032" s="5">
        <v>9901.92</v>
      </c>
      <c r="F1032" s="6">
        <f>LOOKUP(D1032,'AMFI DATA_2023H2'!F:J,'AMFI DATA_2023H2'!J:J)</f>
        <v>12335.100849999999</v>
      </c>
      <c r="G1032" s="7">
        <f t="shared" si="10"/>
        <v>0.20598932922384661</v>
      </c>
      <c r="H1032" s="8">
        <v>14876</v>
      </c>
      <c r="I1032" s="8">
        <v>14923</v>
      </c>
      <c r="J1032" s="8">
        <v>14719</v>
      </c>
      <c r="K1032" s="8">
        <v>14267</v>
      </c>
      <c r="L1032" s="8">
        <v>14495</v>
      </c>
      <c r="M1032" s="8">
        <v>14554</v>
      </c>
      <c r="N1032" s="8">
        <v>14631</v>
      </c>
      <c r="O1032" s="8">
        <v>14516</v>
      </c>
      <c r="P1032" s="8">
        <v>14550</v>
      </c>
      <c r="Q1032" s="8">
        <v>14952</v>
      </c>
      <c r="R1032" s="7">
        <f t="shared" si="11"/>
        <v>0.18752981253493362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</row>
    <row r="1033" spans="1:28" ht="14.4" hidden="1">
      <c r="A1033" s="3">
        <f>LOOKUP(D1033,'AMFI DATA_2023H2'!F:L,'AMFI DATA_2023H2'!L:L)</f>
        <v>1174</v>
      </c>
      <c r="B1033" s="4" t="s">
        <v>3281</v>
      </c>
      <c r="C1033" s="4" t="s">
        <v>3282</v>
      </c>
      <c r="D1033" s="5" t="s">
        <v>3283</v>
      </c>
      <c r="E1033" s="5">
        <v>786.2</v>
      </c>
      <c r="F1033" s="6">
        <f>LOOKUP(D1033,'AMFI DATA_2023H2'!F:J,'AMFI DATA_2023H2'!J:J)</f>
        <v>1097.0986499999999</v>
      </c>
      <c r="G1033" s="7">
        <f t="shared" si="10"/>
        <v>0.84486600179482507</v>
      </c>
      <c r="H1033" s="8">
        <v>2024</v>
      </c>
      <c r="I1033" s="8">
        <v>2112</v>
      </c>
      <c r="J1033" s="8">
        <v>2151</v>
      </c>
      <c r="K1033" s="8">
        <v>2096</v>
      </c>
      <c r="L1033" s="8">
        <v>2060</v>
      </c>
      <c r="M1033" s="8">
        <v>2041</v>
      </c>
      <c r="N1033" s="8">
        <v>2025</v>
      </c>
      <c r="O1033" s="8">
        <v>1913</v>
      </c>
      <c r="P1033" s="8">
        <v>1896</v>
      </c>
      <c r="Q1033" s="8">
        <v>1919</v>
      </c>
      <c r="R1033" s="7">
        <f t="shared" si="11"/>
        <v>0.84459255327677263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</row>
    <row r="1034" spans="1:28" ht="14.4" hidden="1">
      <c r="A1034" s="3">
        <f>LOOKUP(D1034,'AMFI DATA_2023H2'!F:L,'AMFI DATA_2023H2'!L:L)</f>
        <v>2097</v>
      </c>
      <c r="B1034" s="4" t="s">
        <v>4871</v>
      </c>
      <c r="C1034" s="4" t="s">
        <v>4872</v>
      </c>
      <c r="D1034" s="5" t="s">
        <v>4873</v>
      </c>
      <c r="E1034" s="5">
        <v>178.54</v>
      </c>
      <c r="F1034" s="6">
        <f>LOOKUP(D1034,'AMFI DATA_2023H2'!F:J,'AMFI DATA_2023H2'!J:J)</f>
        <v>163.02654999999999</v>
      </c>
      <c r="G1034" s="7">
        <f t="shared" si="10"/>
        <v>-2.4698737720941666E-2</v>
      </c>
      <c r="H1034" s="9">
        <v>159</v>
      </c>
      <c r="I1034" s="9">
        <v>158</v>
      </c>
      <c r="J1034" s="9">
        <v>158</v>
      </c>
      <c r="K1034" s="9">
        <v>156</v>
      </c>
      <c r="L1034" s="9">
        <v>158</v>
      </c>
      <c r="M1034" s="9">
        <v>155</v>
      </c>
      <c r="N1034" s="9">
        <v>155</v>
      </c>
      <c r="O1034" s="9">
        <v>155</v>
      </c>
      <c r="P1034" s="9">
        <v>156</v>
      </c>
      <c r="Q1034" s="9">
        <v>156</v>
      </c>
      <c r="R1034" s="7">
        <f t="shared" si="11"/>
        <v>-3.9420266208172738E-2</v>
      </c>
      <c r="S1034" s="9"/>
      <c r="T1034" s="9"/>
      <c r="U1034" s="9"/>
      <c r="V1034" s="9"/>
      <c r="W1034" s="9"/>
      <c r="X1034" s="9"/>
      <c r="Y1034" s="9"/>
      <c r="Z1034" s="9"/>
      <c r="AA1034" s="9"/>
      <c r="AB1034" s="9"/>
    </row>
    <row r="1035" spans="1:28" ht="14.4" hidden="1">
      <c r="A1035" s="3">
        <f>LOOKUP(D1035,'AMFI DATA_2023H2'!F:L,'AMFI DATA_2023H2'!L:L)</f>
        <v>1856</v>
      </c>
      <c r="B1035" s="4" t="s">
        <v>4547</v>
      </c>
      <c r="C1035" s="4" t="s">
        <v>4548</v>
      </c>
      <c r="D1035" s="5" t="s">
        <v>4549</v>
      </c>
      <c r="E1035" s="5">
        <v>315.99</v>
      </c>
      <c r="F1035" s="6">
        <f>LOOKUP(D1035,'AMFI DATA_2023H2'!F:J,'AMFI DATA_2023H2'!J:J)</f>
        <v>245.7756</v>
      </c>
      <c r="G1035" s="7">
        <f t="shared" si="10"/>
        <v>-2.7568237042244981E-2</v>
      </c>
      <c r="H1035" s="9">
        <v>239</v>
      </c>
      <c r="I1035" s="9">
        <v>239</v>
      </c>
      <c r="J1035" s="9">
        <v>236</v>
      </c>
      <c r="K1035" s="9">
        <v>238</v>
      </c>
      <c r="L1035" s="9">
        <v>240</v>
      </c>
      <c r="M1035" s="9">
        <v>239</v>
      </c>
      <c r="N1035" s="9">
        <v>242</v>
      </c>
      <c r="O1035" s="9">
        <v>247</v>
      </c>
      <c r="P1035" s="9">
        <v>244</v>
      </c>
      <c r="Q1035" s="9">
        <v>243</v>
      </c>
      <c r="R1035" s="7">
        <f t="shared" si="11"/>
        <v>-2.0651358393591557E-2</v>
      </c>
      <c r="S1035" s="9"/>
      <c r="T1035" s="9"/>
      <c r="U1035" s="9"/>
      <c r="V1035" s="9"/>
      <c r="W1035" s="9"/>
      <c r="X1035" s="9"/>
      <c r="Y1035" s="9"/>
      <c r="Z1035" s="9"/>
      <c r="AA1035" s="9"/>
      <c r="AB1035" s="9"/>
    </row>
    <row r="1036" spans="1:28" ht="14.4" hidden="1">
      <c r="A1036" s="3">
        <f>LOOKUP(D1036,'AMFI DATA_2023H2'!F:L,'AMFI DATA_2023H2'!L:L)</f>
        <v>1683</v>
      </c>
      <c r="B1036" s="4" t="s">
        <v>4301</v>
      </c>
      <c r="C1036" s="4" t="s">
        <v>4302</v>
      </c>
      <c r="D1036" s="5" t="s">
        <v>4303</v>
      </c>
      <c r="E1036" s="5">
        <v>373.25</v>
      </c>
      <c r="F1036" s="6">
        <f>LOOKUP(D1036,'AMFI DATA_2023H2'!F:J,'AMFI DATA_2023H2'!J:J)</f>
        <v>338.95265000000001</v>
      </c>
      <c r="G1036" s="7">
        <f t="shared" si="10"/>
        <v>5.619472218317223E-2</v>
      </c>
      <c r="H1036" s="9">
        <v>358</v>
      </c>
      <c r="I1036" s="9">
        <v>361</v>
      </c>
      <c r="J1036" s="9">
        <v>334</v>
      </c>
      <c r="K1036" s="9">
        <v>337</v>
      </c>
      <c r="L1036" s="9">
        <v>328</v>
      </c>
      <c r="M1036" s="9">
        <v>323</v>
      </c>
      <c r="N1036" s="9">
        <v>328</v>
      </c>
      <c r="O1036" s="9">
        <v>325</v>
      </c>
      <c r="P1036" s="9">
        <v>313</v>
      </c>
      <c r="Q1036" s="9">
        <v>313</v>
      </c>
      <c r="R1036" s="7">
        <f t="shared" si="11"/>
        <v>-2.0512157081527427E-2</v>
      </c>
      <c r="S1036" s="9"/>
      <c r="T1036" s="9"/>
      <c r="U1036" s="9"/>
      <c r="V1036" s="9"/>
      <c r="W1036" s="9"/>
      <c r="X1036" s="9"/>
      <c r="Y1036" s="9"/>
      <c r="Z1036" s="9"/>
      <c r="AA1036" s="9"/>
      <c r="AB1036" s="9"/>
    </row>
    <row r="1037" spans="1:28" ht="14.4" hidden="1">
      <c r="A1037" s="3">
        <f>LOOKUP(D1037,'AMFI DATA_2023H2'!F:L,'AMFI DATA_2023H2'!L:L)</f>
        <v>1107</v>
      </c>
      <c r="B1037" s="4" t="s">
        <v>3128</v>
      </c>
      <c r="C1037" s="4" t="s">
        <v>3129</v>
      </c>
      <c r="D1037" s="5" t="s">
        <v>3130</v>
      </c>
      <c r="E1037" s="5">
        <v>1088.6600000000001</v>
      </c>
      <c r="F1037" s="6">
        <f>LOOKUP(D1037,'AMFI DATA_2023H2'!F:J,'AMFI DATA_2023H2'!J:J)</f>
        <v>1304.5520999999999</v>
      </c>
      <c r="G1037" s="7">
        <f t="shared" si="10"/>
        <v>0.14598719361227519</v>
      </c>
      <c r="H1037" s="8">
        <v>1495</v>
      </c>
      <c r="I1037" s="8">
        <v>1502</v>
      </c>
      <c r="J1037" s="8">
        <v>1481</v>
      </c>
      <c r="K1037" s="8">
        <v>1492</v>
      </c>
      <c r="L1037" s="8">
        <v>1509</v>
      </c>
      <c r="M1037" s="8">
        <v>1445</v>
      </c>
      <c r="N1037" s="8">
        <v>1476</v>
      </c>
      <c r="O1037" s="8">
        <v>1454</v>
      </c>
      <c r="P1037" s="8">
        <v>1465</v>
      </c>
      <c r="Q1037" s="8">
        <v>1448</v>
      </c>
      <c r="R1037" s="7">
        <f t="shared" si="11"/>
        <v>0.1319593905065195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</row>
    <row r="1038" spans="1:28" ht="14.4" hidden="1">
      <c r="A1038" s="3">
        <f>LOOKUP(D1038,'AMFI DATA_2023H2'!F:L,'AMFI DATA_2023H2'!L:L)</f>
        <v>289</v>
      </c>
      <c r="B1038" s="4" t="s">
        <v>876</v>
      </c>
      <c r="C1038" s="4" t="s">
        <v>877</v>
      </c>
      <c r="D1038" s="5" t="s">
        <v>878</v>
      </c>
      <c r="E1038" s="5">
        <v>10407.950000000001</v>
      </c>
      <c r="F1038" s="6">
        <f>LOOKUP(D1038,'AMFI DATA_2023H2'!F:J,'AMFI DATA_2023H2'!J:J)</f>
        <v>17789.328150000001</v>
      </c>
      <c r="G1038" s="7">
        <f t="shared" si="10"/>
        <v>0.32163507254207335</v>
      </c>
      <c r="H1038" s="8">
        <v>23511</v>
      </c>
      <c r="I1038" s="8">
        <v>23529</v>
      </c>
      <c r="J1038" s="8">
        <v>23248</v>
      </c>
      <c r="K1038" s="8">
        <v>22705</v>
      </c>
      <c r="L1038" s="8">
        <v>23257</v>
      </c>
      <c r="M1038" s="8">
        <v>23353</v>
      </c>
      <c r="N1038" s="8">
        <v>23336</v>
      </c>
      <c r="O1038" s="8">
        <v>22968</v>
      </c>
      <c r="P1038" s="8">
        <v>22731</v>
      </c>
      <c r="Q1038" s="8">
        <v>22775</v>
      </c>
      <c r="R1038" s="7">
        <f t="shared" si="11"/>
        <v>0.30085294986252742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</row>
    <row r="1039" spans="1:28" ht="14.4" hidden="1">
      <c r="A1039" s="3">
        <f>LOOKUP(D1039,'AMFI DATA_2023H2'!F:L,'AMFI DATA_2023H2'!L:L)</f>
        <v>89</v>
      </c>
      <c r="B1039" s="4" t="s">
        <v>279</v>
      </c>
      <c r="C1039" s="4" t="s">
        <v>280</v>
      </c>
      <c r="D1039" s="5" t="s">
        <v>281</v>
      </c>
      <c r="E1039" s="5">
        <v>59524.41</v>
      </c>
      <c r="F1039" s="6">
        <f>LOOKUP(D1039,'AMFI DATA_2023H2'!F:J,'AMFI DATA_2023H2'!J:J)</f>
        <v>73114.383600000001</v>
      </c>
      <c r="G1039" s="7">
        <f t="shared" si="10"/>
        <v>0.12455300792551571</v>
      </c>
      <c r="H1039" s="8">
        <v>82221</v>
      </c>
      <c r="I1039" s="8">
        <v>83084</v>
      </c>
      <c r="J1039" s="8">
        <v>86347</v>
      </c>
      <c r="K1039" s="8">
        <v>84250</v>
      </c>
      <c r="L1039" s="8">
        <v>79052</v>
      </c>
      <c r="M1039" s="8">
        <v>79477</v>
      </c>
      <c r="N1039" s="8">
        <v>79317</v>
      </c>
      <c r="O1039" s="8">
        <v>80118</v>
      </c>
      <c r="P1039" s="8">
        <v>77205</v>
      </c>
      <c r="Q1039" s="8">
        <v>77446</v>
      </c>
      <c r="R1039" s="7">
        <f t="shared" si="11"/>
        <v>0.10582481885274353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</row>
    <row r="1040" spans="1:28" ht="14.4" hidden="1">
      <c r="A1040" s="3">
        <f>LOOKUP(D1040,'AMFI DATA_2023H2'!F:L,'AMFI DATA_2023H2'!L:L)</f>
        <v>1051</v>
      </c>
      <c r="B1040" s="4" t="s">
        <v>2996</v>
      </c>
      <c r="C1040" s="4" t="s">
        <v>2997</v>
      </c>
      <c r="D1040" s="5" t="s">
        <v>2998</v>
      </c>
      <c r="E1040" s="5">
        <v>42091.62</v>
      </c>
      <c r="F1040" s="6">
        <f>LOOKUP(D1040,'AMFI DATA_2023H2'!F:J,'AMFI DATA_2023H2'!J:J)</f>
        <v>1490.3137999999999</v>
      </c>
      <c r="G1040" s="7">
        <f t="shared" si="10"/>
        <v>8.5006392613421466E-2</v>
      </c>
      <c r="H1040" s="8">
        <v>1617</v>
      </c>
      <c r="I1040" s="8">
        <v>1583</v>
      </c>
      <c r="J1040" s="8">
        <v>1578</v>
      </c>
      <c r="K1040" s="8">
        <v>1563</v>
      </c>
      <c r="L1040" s="8">
        <v>1556</v>
      </c>
      <c r="M1040" s="8">
        <v>1556</v>
      </c>
      <c r="N1040" s="8">
        <v>1586</v>
      </c>
      <c r="O1040" s="8">
        <v>1634</v>
      </c>
      <c r="P1040" s="8">
        <v>1635</v>
      </c>
      <c r="Q1040" s="8">
        <v>1606</v>
      </c>
      <c r="R1040" s="7">
        <f t="shared" si="11"/>
        <v>6.7828802229436658E-2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</row>
    <row r="1041" spans="1:28" ht="14.4" hidden="1">
      <c r="A1041" s="3">
        <f>LOOKUP(D1041,'AMFI DATA_2023H2'!F:L,'AMFI DATA_2023H2'!L:L)</f>
        <v>1862</v>
      </c>
      <c r="B1041" s="4" t="s">
        <v>4550</v>
      </c>
      <c r="C1041" s="4" t="s">
        <v>4551</v>
      </c>
      <c r="D1041" s="5" t="s">
        <v>4552</v>
      </c>
      <c r="E1041" s="5">
        <v>206.8</v>
      </c>
      <c r="F1041" s="6">
        <f>LOOKUP(D1041,'AMFI DATA_2023H2'!F:J,'AMFI DATA_2023H2'!J:J)</f>
        <v>241.46084999999999</v>
      </c>
      <c r="G1041" s="7">
        <f t="shared" si="10"/>
        <v>0.18445702481375359</v>
      </c>
      <c r="H1041" s="9">
        <v>286</v>
      </c>
      <c r="I1041" s="9">
        <v>291</v>
      </c>
      <c r="J1041" s="9">
        <v>289</v>
      </c>
      <c r="K1041" s="9">
        <v>295</v>
      </c>
      <c r="L1041" s="9">
        <v>290</v>
      </c>
      <c r="M1041" s="9">
        <v>274</v>
      </c>
      <c r="N1041" s="9">
        <v>280</v>
      </c>
      <c r="O1041" s="9">
        <v>290</v>
      </c>
      <c r="P1041" s="9">
        <v>295</v>
      </c>
      <c r="Q1041" s="9">
        <v>314</v>
      </c>
      <c r="R1041" s="7">
        <f t="shared" si="11"/>
        <v>0.20267944058011889</v>
      </c>
      <c r="S1041" s="9"/>
      <c r="T1041" s="9"/>
      <c r="U1041" s="9"/>
      <c r="V1041" s="9"/>
      <c r="W1041" s="9"/>
      <c r="X1041" s="9"/>
      <c r="Y1041" s="9"/>
      <c r="Z1041" s="9"/>
      <c r="AA1041" s="9"/>
      <c r="AB1041" s="9"/>
    </row>
    <row r="1042" spans="1:28" ht="14.4" hidden="1">
      <c r="A1042" s="3">
        <f>LOOKUP(D1042,'AMFI DATA_2023H2'!F:L,'AMFI DATA_2023H2'!L:L)</f>
        <v>876</v>
      </c>
      <c r="B1042" s="4" t="s">
        <v>2540</v>
      </c>
      <c r="C1042" s="4" t="s">
        <v>2541</v>
      </c>
      <c r="D1042" s="5" t="s">
        <v>2542</v>
      </c>
      <c r="E1042" s="5">
        <v>1387.94</v>
      </c>
      <c r="F1042" s="6">
        <f>LOOKUP(D1042,'AMFI DATA_2023H2'!F:J,'AMFI DATA_2023H2'!J:J)</f>
        <v>2308.1107000000002</v>
      </c>
      <c r="G1042" s="7">
        <f t="shared" si="10"/>
        <v>0.11043200830878686</v>
      </c>
      <c r="H1042" s="8">
        <v>2563</v>
      </c>
      <c r="I1042" s="8">
        <v>2572</v>
      </c>
      <c r="J1042" s="8">
        <v>2460</v>
      </c>
      <c r="K1042" s="8">
        <v>2453</v>
      </c>
      <c r="L1042" s="8">
        <v>2384</v>
      </c>
      <c r="M1042" s="8">
        <v>2259</v>
      </c>
      <c r="N1042" s="8">
        <v>2239</v>
      </c>
      <c r="O1042" s="8">
        <v>2241</v>
      </c>
      <c r="P1042" s="8">
        <v>2264</v>
      </c>
      <c r="Q1042" s="8">
        <v>2205</v>
      </c>
      <c r="R1042" s="7">
        <f t="shared" si="11"/>
        <v>2.4214306532178043E-2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</row>
    <row r="1043" spans="1:28" ht="14.4" hidden="1">
      <c r="A1043" s="3">
        <f>LOOKUP(D1043,'AMFI DATA_2023H2'!F:L,'AMFI DATA_2023H2'!L:L)</f>
        <v>2621</v>
      </c>
      <c r="B1043" s="4" t="s">
        <v>5392</v>
      </c>
      <c r="C1043" s="4" t="s">
        <v>5393</v>
      </c>
      <c r="D1043" s="5" t="s">
        <v>5394</v>
      </c>
      <c r="E1043" s="5">
        <v>52.09</v>
      </c>
      <c r="F1043" s="6">
        <f>LOOKUP(D1043,'AMFI DATA_2023H2'!F:J,'AMFI DATA_2023H2'!J:J)</f>
        <v>66.362799999999993</v>
      </c>
      <c r="G1043" s="7">
        <f t="shared" si="10"/>
        <v>0.12111001946873867</v>
      </c>
      <c r="H1043" s="9">
        <v>74.400000000000006</v>
      </c>
      <c r="I1043" s="9">
        <v>73</v>
      </c>
      <c r="J1043" s="9">
        <v>71.8</v>
      </c>
      <c r="K1043" s="9">
        <v>70.5</v>
      </c>
      <c r="L1043" s="9">
        <v>71.5</v>
      </c>
      <c r="M1043" s="9">
        <v>72.2</v>
      </c>
      <c r="N1043" s="9">
        <v>72.2</v>
      </c>
      <c r="O1043" s="9">
        <v>70.8</v>
      </c>
      <c r="P1043" s="9">
        <v>70.900000000000006</v>
      </c>
      <c r="Q1043" s="9">
        <v>72.400000000000006</v>
      </c>
      <c r="R1043" s="7">
        <f t="shared" si="11"/>
        <v>8.4493119639316161E-2</v>
      </c>
      <c r="S1043" s="9"/>
      <c r="T1043" s="9"/>
      <c r="U1043" s="9"/>
      <c r="V1043" s="9"/>
      <c r="W1043" s="9"/>
      <c r="X1043" s="9"/>
      <c r="Y1043" s="9"/>
      <c r="Z1043" s="9"/>
      <c r="AA1043" s="9"/>
      <c r="AB1043" s="9"/>
    </row>
    <row r="1044" spans="1:28" ht="14.4" hidden="1">
      <c r="A1044" s="3">
        <f>LOOKUP(D1044,'AMFI DATA_2023H2'!F:L,'AMFI DATA_2023H2'!L:L)</f>
        <v>1796</v>
      </c>
      <c r="B1044" s="4" t="s">
        <v>4469</v>
      </c>
      <c r="C1044" s="4" t="s">
        <v>4470</v>
      </c>
      <c r="D1044" s="5" t="s">
        <v>4471</v>
      </c>
      <c r="E1044" s="5">
        <v>230.56</v>
      </c>
      <c r="F1044" s="6">
        <f>LOOKUP(D1044,'AMFI DATA_2023H2'!F:J,'AMFI DATA_2023H2'!J:J)</f>
        <v>272.52070000000003</v>
      </c>
      <c r="G1044" s="7">
        <f t="shared" si="10"/>
        <v>0.12651993041262544</v>
      </c>
      <c r="H1044" s="9">
        <v>307</v>
      </c>
      <c r="I1044" s="9">
        <v>301</v>
      </c>
      <c r="J1044" s="9">
        <v>293</v>
      </c>
      <c r="K1044" s="9">
        <v>290</v>
      </c>
      <c r="L1044" s="9">
        <v>288</v>
      </c>
      <c r="M1044" s="9">
        <v>288</v>
      </c>
      <c r="N1044" s="9">
        <v>297</v>
      </c>
      <c r="O1044" s="9">
        <v>288</v>
      </c>
      <c r="P1044" s="9">
        <v>288</v>
      </c>
      <c r="Q1044" s="9">
        <v>292</v>
      </c>
      <c r="R1044" s="7">
        <f t="shared" si="11"/>
        <v>7.5881575234468146E-2</v>
      </c>
      <c r="S1044" s="9"/>
      <c r="T1044" s="9"/>
      <c r="U1044" s="9"/>
      <c r="V1044" s="9"/>
      <c r="W1044" s="9"/>
      <c r="X1044" s="9"/>
      <c r="Y1044" s="9"/>
      <c r="Z1044" s="9"/>
      <c r="AA1044" s="9"/>
      <c r="AB1044" s="9"/>
    </row>
    <row r="1045" spans="1:28" ht="14.4" hidden="1">
      <c r="A1045" s="3">
        <f>LOOKUP(D1045,'AMFI DATA_2023H2'!F:L,'AMFI DATA_2023H2'!L:L)</f>
        <v>961</v>
      </c>
      <c r="B1045" s="4" t="s">
        <v>2759</v>
      </c>
      <c r="C1045" s="4" t="s">
        <v>2760</v>
      </c>
      <c r="D1045" s="5" t="s">
        <v>2761</v>
      </c>
      <c r="E1045" s="5">
        <v>1301.75</v>
      </c>
      <c r="F1045" s="6">
        <f>LOOKUP(D1045,'AMFI DATA_2023H2'!F:J,'AMFI DATA_2023H2'!J:J)</f>
        <v>1893.5306500000002</v>
      </c>
      <c r="G1045" s="7">
        <f t="shared" si="10"/>
        <v>5.7284179688350978E-2</v>
      </c>
      <c r="H1045" s="8">
        <v>2002</v>
      </c>
      <c r="I1045" s="8">
        <v>1994</v>
      </c>
      <c r="J1045" s="8">
        <v>1998</v>
      </c>
      <c r="K1045" s="8">
        <v>1945</v>
      </c>
      <c r="L1045" s="8">
        <v>1990</v>
      </c>
      <c r="M1045" s="8">
        <v>1953</v>
      </c>
      <c r="N1045" s="8">
        <v>1974</v>
      </c>
      <c r="O1045" s="8">
        <v>1984</v>
      </c>
      <c r="P1045" s="8">
        <v>1976</v>
      </c>
      <c r="Q1045" s="8">
        <v>1962</v>
      </c>
      <c r="R1045" s="7">
        <f t="shared" si="11"/>
        <v>4.450382147233789E-2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</row>
    <row r="1046" spans="1:28" ht="14.4" hidden="1">
      <c r="A1046" s="3">
        <f>LOOKUP(D1046,'AMFI DATA_2023H2'!F:L,'AMFI DATA_2023H2'!L:L)</f>
        <v>92</v>
      </c>
      <c r="B1046" s="4" t="s">
        <v>288</v>
      </c>
      <c r="C1046" s="4" t="s">
        <v>289</v>
      </c>
      <c r="D1046" s="5" t="s">
        <v>290</v>
      </c>
      <c r="E1046" s="5">
        <v>65586.350000000006</v>
      </c>
      <c r="F1046" s="6">
        <f>LOOKUP(D1046,'AMFI DATA_2023H2'!F:J,'AMFI DATA_2023H2'!J:J)</f>
        <v>70881.733600000007</v>
      </c>
      <c r="G1046" s="7">
        <f t="shared" si="10"/>
        <v>-3.7207554980005497E-3</v>
      </c>
      <c r="H1046" s="8">
        <v>70618</v>
      </c>
      <c r="I1046" s="8">
        <v>71647</v>
      </c>
      <c r="J1046" s="8">
        <v>70450</v>
      </c>
      <c r="K1046" s="8">
        <v>70767</v>
      </c>
      <c r="L1046" s="8">
        <v>70237</v>
      </c>
      <c r="M1046" s="8">
        <v>70754</v>
      </c>
      <c r="N1046" s="8">
        <v>70321</v>
      </c>
      <c r="O1046" s="8">
        <v>68942</v>
      </c>
      <c r="P1046" s="8">
        <v>68489</v>
      </c>
      <c r="Q1046" s="8">
        <v>67648</v>
      </c>
      <c r="R1046" s="7">
        <f t="shared" si="11"/>
        <v>-1.261867556805929E-2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</row>
    <row r="1047" spans="1:28" ht="14.4" hidden="1">
      <c r="A1047" s="3">
        <f>LOOKUP(D1047,'AMFI DATA_2023H2'!F:L,'AMFI DATA_2023H2'!L:L)</f>
        <v>1248</v>
      </c>
      <c r="B1047" s="4" t="s">
        <v>3452</v>
      </c>
      <c r="C1047" s="4" t="s">
        <v>3453</v>
      </c>
      <c r="D1047" s="5" t="s">
        <v>3454</v>
      </c>
      <c r="E1047" s="5">
        <v>529.14</v>
      </c>
      <c r="F1047" s="6">
        <f>LOOKUP(D1047,'AMFI DATA_2023H2'!F:J,'AMFI DATA_2023H2'!J:J)</f>
        <v>920.84960000000001</v>
      </c>
      <c r="G1047" s="7">
        <f t="shared" si="10"/>
        <v>0.40088023060443301</v>
      </c>
      <c r="H1047" s="8">
        <v>1290</v>
      </c>
      <c r="I1047" s="8">
        <v>1309</v>
      </c>
      <c r="J1047" s="8">
        <v>1298</v>
      </c>
      <c r="K1047" s="8">
        <v>1325</v>
      </c>
      <c r="L1047" s="8">
        <v>1336</v>
      </c>
      <c r="M1047" s="8">
        <v>1316</v>
      </c>
      <c r="N1047" s="8">
        <v>1254</v>
      </c>
      <c r="O1047" s="8">
        <v>1278</v>
      </c>
      <c r="P1047" s="8">
        <v>1289</v>
      </c>
      <c r="Q1047" s="8">
        <v>1266</v>
      </c>
      <c r="R1047" s="7">
        <f t="shared" si="11"/>
        <v>0.40750454797395785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</row>
    <row r="1048" spans="1:28" ht="14.4" hidden="1">
      <c r="A1048" s="3">
        <f>LOOKUP(D1048,'AMFI DATA_2023H2'!F:L,'AMFI DATA_2023H2'!L:L)</f>
        <v>595</v>
      </c>
      <c r="B1048" s="4" t="s">
        <v>1755</v>
      </c>
      <c r="C1048" s="4" t="s">
        <v>1756</v>
      </c>
      <c r="D1048" s="5" t="s">
        <v>1757</v>
      </c>
      <c r="E1048" s="5">
        <v>3242.88</v>
      </c>
      <c r="F1048" s="6">
        <f>LOOKUP(D1048,'AMFI DATA_2023H2'!F:J,'AMFI DATA_2023H2'!J:J)</f>
        <v>5475.5110500000001</v>
      </c>
      <c r="G1048" s="7">
        <f t="shared" si="10"/>
        <v>0.41904562497412901</v>
      </c>
      <c r="H1048" s="8">
        <v>7770</v>
      </c>
      <c r="I1048" s="8">
        <v>7842</v>
      </c>
      <c r="J1048" s="8">
        <v>7958</v>
      </c>
      <c r="K1048" s="8">
        <v>7488</v>
      </c>
      <c r="L1048" s="8">
        <v>7291</v>
      </c>
      <c r="M1048" s="8">
        <v>7319</v>
      </c>
      <c r="N1048" s="8">
        <v>7411</v>
      </c>
      <c r="O1048" s="8">
        <v>7239</v>
      </c>
      <c r="P1048" s="8">
        <v>7201</v>
      </c>
      <c r="Q1048" s="8">
        <v>7253</v>
      </c>
      <c r="R1048" s="7">
        <f t="shared" si="11"/>
        <v>0.36557116435734338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</row>
    <row r="1049" spans="1:28" ht="14.4" hidden="1">
      <c r="A1049" s="3">
        <f>LOOKUP(D1049,'AMFI DATA_2023H2'!F:L,'AMFI DATA_2023H2'!L:L)</f>
        <v>2322</v>
      </c>
      <c r="B1049" s="4" t="s">
        <v>5153</v>
      </c>
      <c r="C1049" s="4" t="s">
        <v>5154</v>
      </c>
      <c r="D1049" s="5" t="s">
        <v>5155</v>
      </c>
      <c r="E1049" s="5">
        <v>71.430000000000007</v>
      </c>
      <c r="F1049" s="6">
        <f>LOOKUP(D1049,'AMFI DATA_2023H2'!F:J,'AMFI DATA_2023H2'!J:J)</f>
        <v>108.6754</v>
      </c>
      <c r="G1049" s="7">
        <f t="shared" si="10"/>
        <v>5.8197163295465204E-2</v>
      </c>
      <c r="H1049" s="9">
        <v>115</v>
      </c>
      <c r="I1049" s="9">
        <v>115</v>
      </c>
      <c r="J1049" s="9">
        <v>116</v>
      </c>
      <c r="K1049" s="9">
        <v>118</v>
      </c>
      <c r="L1049" s="9">
        <v>119</v>
      </c>
      <c r="M1049" s="9">
        <v>109</v>
      </c>
      <c r="N1049" s="9">
        <v>114</v>
      </c>
      <c r="O1049" s="9">
        <v>116</v>
      </c>
      <c r="P1049" s="9">
        <v>117</v>
      </c>
      <c r="Q1049" s="9">
        <v>118</v>
      </c>
      <c r="R1049" s="7">
        <f t="shared" si="11"/>
        <v>6.4638363419872391E-2</v>
      </c>
      <c r="S1049" s="9"/>
      <c r="T1049" s="9"/>
      <c r="U1049" s="9"/>
      <c r="V1049" s="9"/>
      <c r="W1049" s="9"/>
      <c r="X1049" s="9"/>
      <c r="Y1049" s="9"/>
      <c r="Z1049" s="9"/>
      <c r="AA1049" s="9"/>
      <c r="AB1049" s="9"/>
    </row>
    <row r="1050" spans="1:28" ht="14.4" hidden="1">
      <c r="A1050" s="3">
        <f>LOOKUP(D1050,'AMFI DATA_2023H2'!F:L,'AMFI DATA_2023H2'!L:L)</f>
        <v>17</v>
      </c>
      <c r="B1050" s="4" t="s">
        <v>55</v>
      </c>
      <c r="C1050" s="4" t="s">
        <v>56</v>
      </c>
      <c r="D1050" s="5" t="s">
        <v>57</v>
      </c>
      <c r="E1050" s="5">
        <v>266990.65999999997</v>
      </c>
      <c r="F1050" s="6">
        <f>LOOKUP(D1050,'AMFI DATA_2023H2'!F:J,'AMFI DATA_2023H2'!J:J)</f>
        <v>307283.98135000002</v>
      </c>
      <c r="G1050" s="7">
        <f t="shared" si="10"/>
        <v>2.4905361536835535E-2</v>
      </c>
      <c r="H1050" s="8">
        <v>314937</v>
      </c>
      <c r="I1050" s="8">
        <v>314884</v>
      </c>
      <c r="J1050" s="8">
        <v>316775</v>
      </c>
      <c r="K1050" s="8">
        <v>320587</v>
      </c>
      <c r="L1050" s="8">
        <v>322954</v>
      </c>
      <c r="M1050" s="8">
        <v>323816</v>
      </c>
      <c r="N1050" s="8">
        <v>323927</v>
      </c>
      <c r="O1050" s="8">
        <v>323376</v>
      </c>
      <c r="P1050" s="8">
        <v>310324</v>
      </c>
      <c r="Q1050" s="8">
        <v>308640</v>
      </c>
      <c r="R1050" s="7">
        <f t="shared" si="11"/>
        <v>3.4944934658892146E-2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</row>
    <row r="1051" spans="1:28" ht="14.4" hidden="1">
      <c r="A1051" s="3">
        <f>LOOKUP(D1051,'AMFI DATA_2023H2'!F:L,'AMFI DATA_2023H2'!L:L)</f>
        <v>638</v>
      </c>
      <c r="B1051" s="4" t="s">
        <v>1881</v>
      </c>
      <c r="C1051" s="4" t="s">
        <v>1882</v>
      </c>
      <c r="D1051" s="5" t="s">
        <v>1883</v>
      </c>
      <c r="E1051" s="5">
        <v>4233.5</v>
      </c>
      <c r="F1051" s="6">
        <f>LOOKUP(D1051,'AMFI DATA_2023H2'!F:J,'AMFI DATA_2023H2'!J:J)</f>
        <v>4660.1907499999998</v>
      </c>
      <c r="G1051" s="7">
        <f t="shared" si="10"/>
        <v>4.8669520662861343E-2</v>
      </c>
      <c r="H1051" s="8">
        <v>4887</v>
      </c>
      <c r="I1051" s="8">
        <v>4832</v>
      </c>
      <c r="J1051" s="8">
        <v>4838</v>
      </c>
      <c r="K1051" s="8">
        <v>4793</v>
      </c>
      <c r="L1051" s="8">
        <v>4762</v>
      </c>
      <c r="M1051" s="8">
        <v>4761</v>
      </c>
      <c r="N1051" s="8">
        <v>4575</v>
      </c>
      <c r="O1051" s="8">
        <v>4695</v>
      </c>
      <c r="P1051" s="8">
        <v>4694</v>
      </c>
      <c r="Q1051" s="8">
        <v>4789</v>
      </c>
      <c r="R1051" s="7">
        <f t="shared" si="11"/>
        <v>2.1975334378748546E-2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</row>
    <row r="1052" spans="1:28" ht="14.4" hidden="1">
      <c r="A1052" s="3">
        <f>LOOKUP(D1052,'AMFI DATA_2023H2'!F:L,'AMFI DATA_2023H2'!L:L)</f>
        <v>3486</v>
      </c>
      <c r="B1052" s="4" t="s">
        <v>5695</v>
      </c>
      <c r="C1052" s="4" t="s">
        <v>5696</v>
      </c>
      <c r="D1052" s="5" t="s">
        <v>5697</v>
      </c>
      <c r="E1052" s="5">
        <v>18.73</v>
      </c>
      <c r="F1052" s="6">
        <f>LOOKUP(D1052,'AMFI DATA_2023H2'!F:J,'AMFI DATA_2023H2'!J:J)</f>
        <v>18.390599999999999</v>
      </c>
      <c r="G1052" s="7">
        <f t="shared" si="10"/>
        <v>0.2180135504007481</v>
      </c>
      <c r="H1052" s="9">
        <v>22.4</v>
      </c>
      <c r="I1052" s="9">
        <v>22.9</v>
      </c>
      <c r="J1052" s="9">
        <v>23.2</v>
      </c>
      <c r="K1052" s="9">
        <v>22.9</v>
      </c>
      <c r="L1052" s="9">
        <v>23.1</v>
      </c>
      <c r="M1052" s="9">
        <v>23.2</v>
      </c>
      <c r="N1052" s="9">
        <v>22.7</v>
      </c>
      <c r="O1052" s="9">
        <v>22.3</v>
      </c>
      <c r="P1052" s="9">
        <v>22.3</v>
      </c>
      <c r="Q1052" s="9">
        <v>22.3</v>
      </c>
      <c r="R1052" s="7">
        <f t="shared" si="11"/>
        <v>0.23595750002718785</v>
      </c>
      <c r="S1052" s="9"/>
      <c r="T1052" s="9"/>
      <c r="U1052" s="9"/>
      <c r="V1052" s="9"/>
      <c r="W1052" s="9"/>
      <c r="X1052" s="9"/>
      <c r="Y1052" s="9"/>
      <c r="Z1052" s="9"/>
      <c r="AA1052" s="9"/>
      <c r="AB1052" s="9"/>
    </row>
    <row r="1053" spans="1:28" ht="14.4">
      <c r="A1053" s="3">
        <f>LOOKUP(D1053,'AMFI DATA_2023H2'!F:L,'AMFI DATA_2023H2'!L:L)</f>
        <v>521</v>
      </c>
      <c r="B1053" s="4" t="s">
        <v>1548</v>
      </c>
      <c r="C1053" s="4" t="s">
        <v>1549</v>
      </c>
      <c r="D1053" s="5" t="s">
        <v>1550</v>
      </c>
      <c r="E1053" s="5">
        <v>5271.41</v>
      </c>
      <c r="F1053" s="6">
        <f>LOOKUP(D1053,'AMFI DATA_2023H2'!F:J,'AMFI DATA_2023H2'!J:J)</f>
        <v>7023.1711999999998</v>
      </c>
      <c r="G1053" s="7">
        <f t="shared" si="10"/>
        <v>0.19689521451506131</v>
      </c>
      <c r="H1053" s="8">
        <v>8406</v>
      </c>
      <c r="I1053" s="8">
        <v>8239</v>
      </c>
      <c r="J1053" s="8">
        <v>8187</v>
      </c>
      <c r="K1053" s="8">
        <v>8304</v>
      </c>
      <c r="L1053" s="8">
        <v>8515</v>
      </c>
      <c r="M1053" s="8">
        <v>8554</v>
      </c>
      <c r="N1053" s="8">
        <v>8524</v>
      </c>
      <c r="O1053" s="8">
        <v>8605</v>
      </c>
      <c r="P1053" s="8">
        <v>8488</v>
      </c>
      <c r="Q1053" s="8">
        <v>8596</v>
      </c>
      <c r="R1053" s="14">
        <f t="shared" si="11"/>
        <v>0.20199262692044284</v>
      </c>
      <c r="S1053" s="8"/>
      <c r="T1053" s="8">
        <v>2739</v>
      </c>
      <c r="U1053" s="15">
        <f ca="1">IFERROR(__xludf.DUMMYFUNCTION("GOOGLEFINANCE(C1053,""PRICE"")"),2802.9)</f>
        <v>2802.9</v>
      </c>
      <c r="V1053" s="13" t="s">
        <v>5787</v>
      </c>
      <c r="W1053" s="7">
        <f ca="1">U1053/T1053-1</f>
        <v>2.3329682365826887E-2</v>
      </c>
      <c r="X1053" s="8"/>
      <c r="Y1053" s="8"/>
      <c r="Z1053" s="8"/>
      <c r="AA1053" s="8"/>
      <c r="AB1053" s="8"/>
    </row>
    <row r="1054" spans="1:28" ht="14.4" hidden="1">
      <c r="A1054" s="3">
        <f>LOOKUP(D1054,'AMFI DATA_2023H2'!F:L,'AMFI DATA_2023H2'!L:L)</f>
        <v>1097</v>
      </c>
      <c r="B1054" s="4" t="s">
        <v>3107</v>
      </c>
      <c r="C1054" s="4" t="s">
        <v>3108</v>
      </c>
      <c r="D1054" s="5" t="s">
        <v>3109</v>
      </c>
      <c r="E1054" s="5">
        <v>1248.75</v>
      </c>
      <c r="F1054" s="6">
        <f>LOOKUP(D1054,'AMFI DATA_2023H2'!F:J,'AMFI DATA_2023H2'!J:J)</f>
        <v>1331.3768500000001</v>
      </c>
      <c r="G1054" s="7">
        <f t="shared" si="10"/>
        <v>-4.6100283326993452E-2</v>
      </c>
      <c r="H1054" s="8">
        <v>1270</v>
      </c>
      <c r="I1054" s="8">
        <v>1288</v>
      </c>
      <c r="J1054" s="8">
        <v>1294</v>
      </c>
      <c r="K1054" s="8">
        <v>1279</v>
      </c>
      <c r="L1054" s="8">
        <v>1279</v>
      </c>
      <c r="M1054" s="8">
        <v>1287</v>
      </c>
      <c r="N1054" s="8">
        <v>1243</v>
      </c>
      <c r="O1054" s="8">
        <v>1265</v>
      </c>
      <c r="P1054" s="8">
        <v>1200</v>
      </c>
      <c r="Q1054" s="8">
        <v>1203</v>
      </c>
      <c r="R1054" s="7">
        <f t="shared" si="11"/>
        <v>-5.3010423006829455E-2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</row>
    <row r="1055" spans="1:28" ht="14.4" hidden="1">
      <c r="A1055" s="3">
        <f>LOOKUP(D1055,'AMFI DATA_2023H2'!F:L,'AMFI DATA_2023H2'!L:L)</f>
        <v>1615</v>
      </c>
      <c r="B1055" s="4" t="s">
        <v>4181</v>
      </c>
      <c r="C1055" s="4" t="s">
        <v>4182</v>
      </c>
      <c r="D1055" s="5" t="s">
        <v>4183</v>
      </c>
      <c r="E1055" s="5">
        <v>357.21</v>
      </c>
      <c r="F1055" s="6">
        <f>LOOKUP(D1055,'AMFI DATA_2023H2'!F:J,'AMFI DATA_2023H2'!J:J)</f>
        <v>398.77109999999999</v>
      </c>
      <c r="G1055" s="7">
        <f t="shared" si="10"/>
        <v>-4.7072368082842542E-2</v>
      </c>
      <c r="H1055" s="9">
        <v>380</v>
      </c>
      <c r="I1055" s="9">
        <v>380</v>
      </c>
      <c r="J1055" s="9">
        <v>381</v>
      </c>
      <c r="K1055" s="9">
        <v>381</v>
      </c>
      <c r="L1055" s="9">
        <v>383</v>
      </c>
      <c r="M1055" s="9">
        <v>378</v>
      </c>
      <c r="N1055" s="9">
        <v>376</v>
      </c>
      <c r="O1055" s="9">
        <v>377</v>
      </c>
      <c r="P1055" s="9">
        <v>373</v>
      </c>
      <c r="Q1055" s="9">
        <v>376</v>
      </c>
      <c r="R1055" s="7">
        <f t="shared" si="11"/>
        <v>-5.0833924524620766E-2</v>
      </c>
      <c r="S1055" s="9"/>
      <c r="T1055" s="9"/>
      <c r="U1055" s="9"/>
      <c r="V1055" s="9"/>
      <c r="W1055" s="9"/>
      <c r="X1055" s="9"/>
      <c r="Y1055" s="9"/>
      <c r="Z1055" s="9"/>
      <c r="AA1055" s="9"/>
      <c r="AB1055" s="9"/>
    </row>
    <row r="1056" spans="1:28" ht="14.4" hidden="1">
      <c r="A1056" s="3">
        <f>LOOKUP(D1056,'AMFI DATA_2023H2'!F:L,'AMFI DATA_2023H2'!L:L)</f>
        <v>656</v>
      </c>
      <c r="B1056" s="4" t="s">
        <v>1920</v>
      </c>
      <c r="C1056" s="4" t="s">
        <v>1921</v>
      </c>
      <c r="D1056" s="5" t="s">
        <v>1922</v>
      </c>
      <c r="E1056" s="5">
        <v>357.21</v>
      </c>
      <c r="F1056" s="6">
        <f>LOOKUP(D1056,'AMFI DATA_2023H2'!F:J,'AMFI DATA_2023H2'!J:J)</f>
        <v>4385.6630000000005</v>
      </c>
      <c r="G1056" s="7">
        <f t="shared" si="10"/>
        <v>7.3497895301120941E-2</v>
      </c>
      <c r="H1056" s="8">
        <v>4708</v>
      </c>
      <c r="I1056" s="8">
        <v>4628</v>
      </c>
      <c r="J1056" s="8">
        <v>4600</v>
      </c>
      <c r="K1056" s="8">
        <v>4521</v>
      </c>
      <c r="L1056" s="8">
        <v>4605</v>
      </c>
      <c r="M1056" s="8">
        <v>4555</v>
      </c>
      <c r="N1056" s="8">
        <v>4782</v>
      </c>
      <c r="O1056" s="8">
        <v>4697</v>
      </c>
      <c r="P1056" s="8">
        <v>4772</v>
      </c>
      <c r="Q1056" s="8">
        <v>4774</v>
      </c>
      <c r="R1056" s="7">
        <f t="shared" si="11"/>
        <v>6.3510807829967542E-2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</row>
    <row r="1057" spans="1:28" ht="14.4" hidden="1">
      <c r="A1057" s="3">
        <f>LOOKUP(D1057,'AMFI DATA_2023H2'!F:L,'AMFI DATA_2023H2'!L:L)</f>
        <v>199</v>
      </c>
      <c r="B1057" s="4" t="s">
        <v>606</v>
      </c>
      <c r="C1057" s="4" t="s">
        <v>607</v>
      </c>
      <c r="D1057" s="5" t="s">
        <v>608</v>
      </c>
      <c r="E1057" s="5">
        <v>24125.99</v>
      </c>
      <c r="F1057" s="6">
        <f>LOOKUP(D1057,'AMFI DATA_2023H2'!F:J,'AMFI DATA_2023H2'!J:J)</f>
        <v>31263.3187</v>
      </c>
      <c r="G1057" s="7">
        <f t="shared" si="10"/>
        <v>4.6178120558902691E-2</v>
      </c>
      <c r="H1057" s="8">
        <v>32707</v>
      </c>
      <c r="I1057" s="8">
        <v>32430</v>
      </c>
      <c r="J1057" s="8">
        <v>32356</v>
      </c>
      <c r="K1057" s="8">
        <v>32244</v>
      </c>
      <c r="L1057" s="8">
        <v>32915</v>
      </c>
      <c r="M1057" s="8">
        <v>32941</v>
      </c>
      <c r="N1057" s="8">
        <v>32903</v>
      </c>
      <c r="O1057" s="8">
        <v>32957</v>
      </c>
      <c r="P1057" s="8">
        <v>32111</v>
      </c>
      <c r="Q1057" s="8">
        <v>32418</v>
      </c>
      <c r="R1057" s="7">
        <f t="shared" si="11"/>
        <v>4.2698003779106264E-2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</row>
    <row r="1058" spans="1:28" ht="14.4" hidden="1">
      <c r="A1058" s="3">
        <f>LOOKUP(D1058,'AMFI DATA_2023H2'!F:L,'AMFI DATA_2023H2'!L:L)</f>
        <v>109</v>
      </c>
      <c r="B1058" s="4" t="s">
        <v>339</v>
      </c>
      <c r="C1058" s="4" t="s">
        <v>340</v>
      </c>
      <c r="D1058" s="5" t="s">
        <v>341</v>
      </c>
      <c r="E1058" s="5">
        <v>46649.13</v>
      </c>
      <c r="F1058" s="6">
        <f>LOOKUP(D1058,'AMFI DATA_2023H2'!F:J,'AMFI DATA_2023H2'!J:J)</f>
        <v>58145.257550000002</v>
      </c>
      <c r="G1058" s="7">
        <f t="shared" si="10"/>
        <v>0.19387208733758543</v>
      </c>
      <c r="H1058" s="8">
        <v>69418</v>
      </c>
      <c r="I1058" s="8">
        <v>71696</v>
      </c>
      <c r="J1058" s="8">
        <v>67129</v>
      </c>
      <c r="K1058" s="8">
        <v>65900</v>
      </c>
      <c r="L1058" s="8">
        <v>66886</v>
      </c>
      <c r="M1058" s="8">
        <v>66823</v>
      </c>
      <c r="N1058" s="8">
        <v>65987</v>
      </c>
      <c r="O1058" s="8">
        <v>66055</v>
      </c>
      <c r="P1058" s="8">
        <v>65589</v>
      </c>
      <c r="Q1058" s="8">
        <v>63062</v>
      </c>
      <c r="R1058" s="7">
        <f t="shared" si="11"/>
        <v>0.14978422689951598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</row>
    <row r="1059" spans="1:28" ht="14.4" hidden="1">
      <c r="A1059" s="3">
        <f>LOOKUP(D1059,'AMFI DATA_2023H2'!F:L,'AMFI DATA_2023H2'!L:L)</f>
        <v>1400</v>
      </c>
      <c r="B1059" s="4" t="s">
        <v>3776</v>
      </c>
      <c r="C1059" s="4" t="s">
        <v>3777</v>
      </c>
      <c r="D1059" s="5" t="s">
        <v>3778</v>
      </c>
      <c r="E1059" s="5">
        <v>403.56</v>
      </c>
      <c r="F1059" s="6">
        <f>LOOKUP(D1059,'AMFI DATA_2023H2'!F:J,'AMFI DATA_2023H2'!J:J)</f>
        <v>644.05645000000004</v>
      </c>
      <c r="G1059" s="7">
        <f t="shared" si="10"/>
        <v>0.44863078383890098</v>
      </c>
      <c r="H1059" s="9">
        <v>933</v>
      </c>
      <c r="I1059" s="9">
        <v>937</v>
      </c>
      <c r="J1059" s="9">
        <v>985</v>
      </c>
      <c r="K1059" s="9">
        <v>894</v>
      </c>
      <c r="L1059" s="9">
        <v>815</v>
      </c>
      <c r="M1059" s="9">
        <v>706</v>
      </c>
      <c r="N1059" s="9">
        <v>717</v>
      </c>
      <c r="O1059" s="9">
        <v>687</v>
      </c>
      <c r="P1059" s="9">
        <v>692</v>
      </c>
      <c r="Q1059" s="9">
        <v>626</v>
      </c>
      <c r="R1059" s="7">
        <f t="shared" si="11"/>
        <v>0.24088501869673062</v>
      </c>
      <c r="S1059" s="9"/>
      <c r="T1059" s="9"/>
      <c r="U1059" s="9"/>
      <c r="V1059" s="9"/>
      <c r="W1059" s="9"/>
      <c r="X1059" s="9"/>
      <c r="Y1059" s="9"/>
      <c r="Z1059" s="9"/>
      <c r="AA1059" s="9"/>
      <c r="AB1059" s="9"/>
    </row>
    <row r="1060" spans="1:28" ht="14.4" hidden="1">
      <c r="A1060" s="3">
        <f>LOOKUP(D1060,'AMFI DATA_2023H2'!F:L,'AMFI DATA_2023H2'!L:L)</f>
        <v>874</v>
      </c>
      <c r="B1060" s="4" t="s">
        <v>2534</v>
      </c>
      <c r="C1060" s="4" t="s">
        <v>2535</v>
      </c>
      <c r="D1060" s="5" t="s">
        <v>2536</v>
      </c>
      <c r="E1060" s="5">
        <v>2047.12</v>
      </c>
      <c r="F1060" s="6">
        <f>LOOKUP(D1060,'AMFI DATA_2023H2'!F:J,'AMFI DATA_2023H2'!J:J)</f>
        <v>2330.46135</v>
      </c>
      <c r="G1060" s="7">
        <f t="shared" si="10"/>
        <v>5.3439483130668597E-2</v>
      </c>
      <c r="H1060" s="8">
        <v>2455</v>
      </c>
      <c r="I1060" s="8">
        <v>2499</v>
      </c>
      <c r="J1060" s="8">
        <v>2536</v>
      </c>
      <c r="K1060" s="8">
        <v>2574</v>
      </c>
      <c r="L1060" s="8">
        <v>2442</v>
      </c>
      <c r="M1060" s="8">
        <v>2466</v>
      </c>
      <c r="N1060" s="8">
        <v>2438</v>
      </c>
      <c r="O1060" s="8">
        <v>2476</v>
      </c>
      <c r="P1060" s="8">
        <v>2401</v>
      </c>
      <c r="Q1060" s="8">
        <v>2370</v>
      </c>
      <c r="R1060" s="7">
        <f t="shared" si="11"/>
        <v>5.8030848698692017E-2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</row>
    <row r="1061" spans="1:28" ht="14.4" hidden="1">
      <c r="A1061" s="3">
        <f>LOOKUP(D1061,'AMFI DATA_2023H2'!F:L,'AMFI DATA_2023H2'!L:L)</f>
        <v>164</v>
      </c>
      <c r="B1061" s="4" t="s">
        <v>501</v>
      </c>
      <c r="C1061" s="4" t="s">
        <v>502</v>
      </c>
      <c r="D1061" s="5" t="s">
        <v>503</v>
      </c>
      <c r="E1061" s="5">
        <v>16168.62</v>
      </c>
      <c r="F1061" s="6">
        <f>LOOKUP(D1061,'AMFI DATA_2023H2'!F:J,'AMFI DATA_2023H2'!J:J)</f>
        <v>39643.818400000004</v>
      </c>
      <c r="G1061" s="7">
        <f t="shared" si="10"/>
        <v>0.15014148082163548</v>
      </c>
      <c r="H1061" s="8">
        <v>45596</v>
      </c>
      <c r="I1061" s="8">
        <v>45508</v>
      </c>
      <c r="J1061" s="8">
        <v>46038</v>
      </c>
      <c r="K1061" s="8">
        <v>45316</v>
      </c>
      <c r="L1061" s="8">
        <v>46127</v>
      </c>
      <c r="M1061" s="8">
        <v>45991</v>
      </c>
      <c r="N1061" s="8">
        <v>46078</v>
      </c>
      <c r="O1061" s="8">
        <v>47227</v>
      </c>
      <c r="P1061" s="8">
        <v>46177</v>
      </c>
      <c r="Q1061" s="8">
        <v>42787</v>
      </c>
      <c r="R1061" s="7">
        <f t="shared" si="11"/>
        <v>0.15237385912351953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</row>
    <row r="1062" spans="1:28" ht="14.4" hidden="1">
      <c r="A1062" s="3">
        <f>LOOKUP(D1062,'AMFI DATA_2023H2'!F:L,'AMFI DATA_2023H2'!L:L)</f>
        <v>1562</v>
      </c>
      <c r="B1062" s="4" t="s">
        <v>4082</v>
      </c>
      <c r="C1062" s="4" t="s">
        <v>4083</v>
      </c>
      <c r="D1062" s="5" t="s">
        <v>4084</v>
      </c>
      <c r="E1062" s="5">
        <v>282.33999999999997</v>
      </c>
      <c r="F1062" s="6">
        <f>LOOKUP(D1062,'AMFI DATA_2023H2'!F:J,'AMFI DATA_2023H2'!J:J)</f>
        <v>446.57585</v>
      </c>
      <c r="G1062" s="7">
        <f t="shared" si="10"/>
        <v>0.17113363832818096</v>
      </c>
      <c r="H1062" s="9">
        <v>523</v>
      </c>
      <c r="I1062" s="9">
        <v>522</v>
      </c>
      <c r="J1062" s="9">
        <v>519</v>
      </c>
      <c r="K1062" s="9">
        <v>522</v>
      </c>
      <c r="L1062" s="9">
        <v>525</v>
      </c>
      <c r="M1062" s="9">
        <v>525</v>
      </c>
      <c r="N1062" s="9">
        <v>528</v>
      </c>
      <c r="O1062" s="9">
        <v>545</v>
      </c>
      <c r="P1062" s="9">
        <v>500</v>
      </c>
      <c r="Q1062" s="9">
        <v>503</v>
      </c>
      <c r="R1062" s="7">
        <f t="shared" si="11"/>
        <v>0.16710296806242453</v>
      </c>
      <c r="S1062" s="9"/>
      <c r="T1062" s="9"/>
      <c r="U1062" s="9"/>
      <c r="V1062" s="9"/>
      <c r="W1062" s="9"/>
      <c r="X1062" s="9"/>
      <c r="Y1062" s="9"/>
      <c r="Z1062" s="9"/>
      <c r="AA1062" s="9"/>
      <c r="AB1062" s="9"/>
    </row>
    <row r="1063" spans="1:28" ht="14.4" hidden="1">
      <c r="A1063" s="3">
        <f>LOOKUP(D1063,'AMFI DATA_2023H2'!F:L,'AMFI DATA_2023H2'!L:L)</f>
        <v>1694</v>
      </c>
      <c r="B1063" s="4" t="s">
        <v>4328</v>
      </c>
      <c r="C1063" s="4" t="s">
        <v>4329</v>
      </c>
      <c r="D1063" s="5" t="s">
        <v>4330</v>
      </c>
      <c r="E1063" s="5">
        <v>204.69</v>
      </c>
      <c r="F1063" s="6">
        <f>LOOKUP(D1063,'AMFI DATA_2023H2'!F:J,'AMFI DATA_2023H2'!J:J)</f>
        <v>334.36554999999998</v>
      </c>
      <c r="G1063" s="7">
        <f t="shared" si="10"/>
        <v>0.40863794131901443</v>
      </c>
      <c r="H1063" s="9">
        <v>471</v>
      </c>
      <c r="I1063" s="9">
        <v>467</v>
      </c>
      <c r="J1063" s="9">
        <v>467</v>
      </c>
      <c r="K1063" s="9">
        <v>459</v>
      </c>
      <c r="L1063" s="9">
        <v>468</v>
      </c>
      <c r="M1063" s="9">
        <v>477</v>
      </c>
      <c r="N1063" s="9">
        <v>487</v>
      </c>
      <c r="O1063" s="9">
        <v>487</v>
      </c>
      <c r="P1063" s="9">
        <v>474</v>
      </c>
      <c r="Q1063" s="9">
        <v>474</v>
      </c>
      <c r="R1063" s="7">
        <f t="shared" si="11"/>
        <v>0.41491849264973624</v>
      </c>
      <c r="S1063" s="9"/>
      <c r="T1063" s="9"/>
      <c r="U1063" s="9"/>
      <c r="V1063" s="9"/>
      <c r="W1063" s="9"/>
      <c r="X1063" s="9"/>
      <c r="Y1063" s="9"/>
      <c r="Z1063" s="9"/>
      <c r="AA1063" s="9"/>
      <c r="AB1063" s="9"/>
    </row>
    <row r="1064" spans="1:28" ht="14.4" hidden="1">
      <c r="A1064" s="3">
        <f>LOOKUP(D1064,'AMFI DATA_2023H2'!F:L,'AMFI DATA_2023H2'!L:L)</f>
        <v>1898</v>
      </c>
      <c r="B1064" s="4" t="s">
        <v>4604</v>
      </c>
      <c r="C1064" s="4" t="s">
        <v>4605</v>
      </c>
      <c r="D1064" s="5" t="s">
        <v>4606</v>
      </c>
      <c r="E1064" s="5">
        <v>221</v>
      </c>
      <c r="F1064" s="6">
        <f>LOOKUP(D1064,'AMFI DATA_2023H2'!F:J,'AMFI DATA_2023H2'!J:J)</f>
        <v>221.54939999999999</v>
      </c>
      <c r="G1064" s="7">
        <f t="shared" si="10"/>
        <v>0.30444948169573016</v>
      </c>
      <c r="H1064" s="9">
        <v>289</v>
      </c>
      <c r="I1064" s="9">
        <v>291</v>
      </c>
      <c r="J1064" s="9">
        <v>292</v>
      </c>
      <c r="K1064" s="9">
        <v>294</v>
      </c>
      <c r="L1064" s="9">
        <v>300</v>
      </c>
      <c r="M1064" s="9">
        <v>286</v>
      </c>
      <c r="N1064" s="9">
        <v>290</v>
      </c>
      <c r="O1064" s="9">
        <v>306</v>
      </c>
      <c r="P1064" s="9">
        <v>315</v>
      </c>
      <c r="Q1064" s="9">
        <v>315</v>
      </c>
      <c r="R1064" s="7">
        <f t="shared" si="11"/>
        <v>0.34416974273006384</v>
      </c>
      <c r="S1064" s="9"/>
      <c r="T1064" s="9"/>
      <c r="U1064" s="9"/>
      <c r="V1064" s="9"/>
      <c r="W1064" s="9"/>
      <c r="X1064" s="9"/>
      <c r="Y1064" s="9"/>
      <c r="Z1064" s="9"/>
      <c r="AA1064" s="9"/>
      <c r="AB1064" s="9"/>
    </row>
    <row r="1065" spans="1:28" ht="14.4" hidden="1">
      <c r="A1065" s="3">
        <f>LOOKUP(D1065,'AMFI DATA_2023H2'!F:L,'AMFI DATA_2023H2'!L:L)</f>
        <v>1275</v>
      </c>
      <c r="B1065" s="4" t="s">
        <v>3506</v>
      </c>
      <c r="C1065" s="4" t="s">
        <v>3507</v>
      </c>
      <c r="D1065" s="5" t="s">
        <v>3508</v>
      </c>
      <c r="E1065" s="5">
        <v>893.43</v>
      </c>
      <c r="F1065" s="6">
        <f>LOOKUP(D1065,'AMFI DATA_2023H2'!F:J,'AMFI DATA_2023H2'!J:J)</f>
        <v>859.82209999999998</v>
      </c>
      <c r="G1065" s="7">
        <f t="shared" si="10"/>
        <v>-0.14168291324449556</v>
      </c>
      <c r="H1065" s="9">
        <v>738</v>
      </c>
      <c r="I1065" s="9">
        <v>744</v>
      </c>
      <c r="J1065" s="9">
        <v>746</v>
      </c>
      <c r="K1065" s="9">
        <v>746</v>
      </c>
      <c r="L1065" s="9">
        <v>748</v>
      </c>
      <c r="M1065" s="9">
        <v>769</v>
      </c>
      <c r="N1065" s="9">
        <v>735</v>
      </c>
      <c r="O1065" s="9">
        <v>737</v>
      </c>
      <c r="P1065" s="9">
        <v>736</v>
      </c>
      <c r="Q1065" s="9">
        <v>703</v>
      </c>
      <c r="R1065" s="7">
        <f t="shared" si="11"/>
        <v>-0.13912424442218907</v>
      </c>
      <c r="S1065" s="9"/>
      <c r="T1065" s="9"/>
      <c r="U1065" s="9"/>
      <c r="V1065" s="9"/>
      <c r="W1065" s="9"/>
      <c r="X1065" s="9"/>
      <c r="Y1065" s="9"/>
      <c r="Z1065" s="9"/>
      <c r="AA1065" s="9"/>
      <c r="AB1065" s="9"/>
    </row>
    <row r="1066" spans="1:28" ht="14.4" hidden="1">
      <c r="A1066" s="3">
        <f>LOOKUP(D1066,'AMFI DATA_2023H2'!F:L,'AMFI DATA_2023H2'!L:L)</f>
        <v>1406</v>
      </c>
      <c r="B1066" s="4" t="s">
        <v>3785</v>
      </c>
      <c r="C1066" s="4" t="s">
        <v>3786</v>
      </c>
      <c r="D1066" s="5" t="s">
        <v>3787</v>
      </c>
      <c r="E1066" s="5">
        <v>624.39</v>
      </c>
      <c r="F1066" s="6">
        <f>LOOKUP(D1066,'AMFI DATA_2023H2'!F:J,'AMFI DATA_2023H2'!J:J)</f>
        <v>639.90920000000006</v>
      </c>
      <c r="G1066" s="7">
        <f t="shared" si="10"/>
        <v>0.12203418860050763</v>
      </c>
      <c r="H1066" s="9">
        <v>718</v>
      </c>
      <c r="I1066" s="9">
        <v>699</v>
      </c>
      <c r="J1066" s="9">
        <v>705</v>
      </c>
      <c r="K1066" s="9">
        <v>689</v>
      </c>
      <c r="L1066" s="9">
        <v>701</v>
      </c>
      <c r="M1066" s="9">
        <v>696</v>
      </c>
      <c r="N1066" s="9">
        <v>697</v>
      </c>
      <c r="O1066" s="9">
        <v>705</v>
      </c>
      <c r="P1066" s="9">
        <v>713</v>
      </c>
      <c r="Q1066" s="9">
        <v>732</v>
      </c>
      <c r="R1066" s="7">
        <f t="shared" si="11"/>
        <v>0.1025001672112229</v>
      </c>
      <c r="S1066" s="9"/>
      <c r="T1066" s="9"/>
      <c r="U1066" s="9"/>
      <c r="V1066" s="9"/>
      <c r="W1066" s="9"/>
      <c r="X1066" s="9"/>
      <c r="Y1066" s="9"/>
      <c r="Z1066" s="9"/>
      <c r="AA1066" s="9"/>
      <c r="AB1066" s="9"/>
    </row>
    <row r="1067" spans="1:28" ht="14.4" hidden="1">
      <c r="A1067" s="3">
        <f>LOOKUP(D1067,'AMFI DATA_2023H2'!F:L,'AMFI DATA_2023H2'!L:L)</f>
        <v>416</v>
      </c>
      <c r="B1067" s="4" t="s">
        <v>1248</v>
      </c>
      <c r="C1067" s="4" t="s">
        <v>1249</v>
      </c>
      <c r="D1067" s="5" t="s">
        <v>1250</v>
      </c>
      <c r="E1067" s="5">
        <v>8354.81</v>
      </c>
      <c r="F1067" s="6">
        <f>LOOKUP(D1067,'AMFI DATA_2023H2'!F:J,'AMFI DATA_2023H2'!J:J)</f>
        <v>9800.5118500000008</v>
      </c>
      <c r="G1067" s="7">
        <f t="shared" si="10"/>
        <v>-8.6170177938206471E-2</v>
      </c>
      <c r="H1067" s="8">
        <v>8956</v>
      </c>
      <c r="I1067" s="8">
        <v>8948</v>
      </c>
      <c r="J1067" s="8">
        <v>8892</v>
      </c>
      <c r="K1067" s="8">
        <v>8904</v>
      </c>
      <c r="L1067" s="8">
        <v>8845</v>
      </c>
      <c r="M1067" s="8">
        <v>8949</v>
      </c>
      <c r="N1067" s="8">
        <v>8908</v>
      </c>
      <c r="O1067" s="8">
        <v>8635</v>
      </c>
      <c r="P1067" s="8">
        <v>8679</v>
      </c>
      <c r="Q1067" s="8">
        <v>8672</v>
      </c>
      <c r="R1067" s="7">
        <f t="shared" si="11"/>
        <v>-9.8128737021015988E-2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</row>
    <row r="1068" spans="1:28" ht="14.4" hidden="1">
      <c r="A1068" s="3">
        <f>LOOKUP(D1068,'AMFI DATA_2023H2'!F:L,'AMFI DATA_2023H2'!L:L)</f>
        <v>1682</v>
      </c>
      <c r="B1068" s="4" t="s">
        <v>4298</v>
      </c>
      <c r="C1068" s="4" t="s">
        <v>4299</v>
      </c>
      <c r="D1068" s="5" t="s">
        <v>4300</v>
      </c>
      <c r="E1068" s="5">
        <v>221.25</v>
      </c>
      <c r="F1068" s="6">
        <f>LOOKUP(D1068,'AMFI DATA_2023H2'!F:J,'AMFI DATA_2023H2'!J:J)</f>
        <v>339.52284999999995</v>
      </c>
      <c r="G1068" s="7">
        <f t="shared" si="10"/>
        <v>0.4903267924382706</v>
      </c>
      <c r="H1068" s="9">
        <v>506</v>
      </c>
      <c r="I1068" s="9">
        <v>496</v>
      </c>
      <c r="J1068" s="9">
        <v>487</v>
      </c>
      <c r="K1068" s="9">
        <v>477</v>
      </c>
      <c r="L1068" s="9">
        <v>487</v>
      </c>
      <c r="M1068" s="9">
        <v>497</v>
      </c>
      <c r="N1068" s="9">
        <v>487</v>
      </c>
      <c r="O1068" s="9">
        <v>477</v>
      </c>
      <c r="P1068" s="9">
        <v>454</v>
      </c>
      <c r="Q1068" s="9">
        <v>433</v>
      </c>
      <c r="R1068" s="7">
        <f t="shared" si="11"/>
        <v>0.41404326689646975</v>
      </c>
      <c r="S1068" s="9"/>
      <c r="T1068" s="9"/>
      <c r="U1068" s="9"/>
      <c r="V1068" s="9"/>
      <c r="W1068" s="9"/>
      <c r="X1068" s="9"/>
      <c r="Y1068" s="9"/>
      <c r="Z1068" s="9"/>
      <c r="AA1068" s="9"/>
      <c r="AB1068" s="9"/>
    </row>
    <row r="1069" spans="1:28" ht="14.4" hidden="1">
      <c r="A1069" s="3">
        <f>LOOKUP(D1069,'AMFI DATA_2023H2'!F:L,'AMFI DATA_2023H2'!L:L)</f>
        <v>1732</v>
      </c>
      <c r="B1069" s="4" t="s">
        <v>4379</v>
      </c>
      <c r="C1069" s="4" t="s">
        <v>4380</v>
      </c>
      <c r="D1069" s="5" t="s">
        <v>4381</v>
      </c>
      <c r="E1069" s="5">
        <v>251.15</v>
      </c>
      <c r="F1069" s="6">
        <f>LOOKUP(D1069,'AMFI DATA_2023H2'!F:J,'AMFI DATA_2023H2'!J:J)</f>
        <v>311.98389999999995</v>
      </c>
      <c r="G1069" s="7">
        <f t="shared" si="10"/>
        <v>0.16993216637140596</v>
      </c>
      <c r="H1069" s="9">
        <v>365</v>
      </c>
      <c r="I1069" s="9">
        <v>369</v>
      </c>
      <c r="J1069" s="9">
        <v>370</v>
      </c>
      <c r="K1069" s="9">
        <v>367</v>
      </c>
      <c r="L1069" s="9">
        <v>367</v>
      </c>
      <c r="M1069" s="9">
        <v>369</v>
      </c>
      <c r="N1069" s="9">
        <v>375</v>
      </c>
      <c r="O1069" s="9">
        <v>361</v>
      </c>
      <c r="P1069" s="9">
        <v>365</v>
      </c>
      <c r="Q1069" s="9">
        <v>363</v>
      </c>
      <c r="R1069" s="7">
        <f t="shared" si="11"/>
        <v>0.17666328294504963</v>
      </c>
      <c r="S1069" s="9"/>
      <c r="T1069" s="9"/>
      <c r="U1069" s="9"/>
      <c r="V1069" s="9"/>
      <c r="W1069" s="9"/>
      <c r="X1069" s="9"/>
      <c r="Y1069" s="9"/>
      <c r="Z1069" s="9"/>
      <c r="AA1069" s="9"/>
      <c r="AB1069" s="9"/>
    </row>
    <row r="1070" spans="1:28" ht="14.4" hidden="1">
      <c r="A1070" s="3">
        <f>LOOKUP(D1070,'AMFI DATA_2023H2'!F:L,'AMFI DATA_2023H2'!L:L)</f>
        <v>934</v>
      </c>
      <c r="B1070" s="4" t="s">
        <v>2696</v>
      </c>
      <c r="C1070" s="4" t="s">
        <v>2697</v>
      </c>
      <c r="D1070" s="5" t="s">
        <v>2698</v>
      </c>
      <c r="E1070" s="5">
        <v>2328.67</v>
      </c>
      <c r="F1070" s="6">
        <f>LOOKUP(D1070,'AMFI DATA_2023H2'!F:J,'AMFI DATA_2023H2'!J:J)</f>
        <v>2025.8795500000001</v>
      </c>
      <c r="G1070" s="7">
        <f t="shared" si="10"/>
        <v>0.12247542061422156</v>
      </c>
      <c r="H1070" s="8">
        <v>2274</v>
      </c>
      <c r="I1070" s="8">
        <v>2299</v>
      </c>
      <c r="J1070" s="8">
        <v>2301</v>
      </c>
      <c r="K1070" s="8">
        <v>2310</v>
      </c>
      <c r="L1070" s="8">
        <v>1994</v>
      </c>
      <c r="M1070" s="8">
        <v>1973</v>
      </c>
      <c r="N1070" s="8">
        <v>1955</v>
      </c>
      <c r="O1070" s="8">
        <v>1995</v>
      </c>
      <c r="P1070" s="8">
        <v>2035</v>
      </c>
      <c r="Q1070" s="8">
        <v>2045</v>
      </c>
      <c r="R1070" s="7">
        <f t="shared" si="11"/>
        <v>4.5521191030335251E-2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</row>
    <row r="1071" spans="1:28" ht="14.4" hidden="1">
      <c r="A1071" s="3">
        <f>LOOKUP(D1071,'AMFI DATA_2023H2'!F:L,'AMFI DATA_2023H2'!L:L)</f>
        <v>4488</v>
      </c>
      <c r="B1071" s="4" t="s">
        <v>5782</v>
      </c>
      <c r="C1071" s="4" t="s">
        <v>5783</v>
      </c>
      <c r="D1071" s="5" t="s">
        <v>5784</v>
      </c>
      <c r="E1071" s="5">
        <v>3.65</v>
      </c>
      <c r="F1071" s="6">
        <f>LOOKUP(D1071,'AMFI DATA_2023H2'!F:J,'AMFI DATA_2023H2'!J:J)</f>
        <v>3.7217000000000002</v>
      </c>
      <c r="G1071" s="7">
        <f t="shared" si="10"/>
        <v>0.62022731547411136</v>
      </c>
      <c r="H1071" s="9">
        <v>6.03</v>
      </c>
      <c r="I1071" s="9">
        <v>5.93</v>
      </c>
      <c r="J1071" s="9">
        <v>5.83</v>
      </c>
      <c r="K1071" s="9">
        <v>5.71</v>
      </c>
      <c r="L1071" s="9">
        <v>5.83</v>
      </c>
      <c r="M1071" s="9">
        <v>5.94</v>
      </c>
      <c r="N1071" s="9">
        <v>6.05</v>
      </c>
      <c r="O1071" s="9">
        <v>6.17</v>
      </c>
      <c r="P1071" s="9">
        <v>6.15</v>
      </c>
      <c r="Q1071" s="9">
        <v>6.28</v>
      </c>
      <c r="R1071" s="7">
        <f t="shared" si="11"/>
        <v>0.61001692774807181</v>
      </c>
      <c r="S1071" s="9"/>
      <c r="T1071" s="9"/>
      <c r="U1071" s="9"/>
      <c r="V1071" s="9"/>
      <c r="W1071" s="9"/>
      <c r="X1071" s="9"/>
      <c r="Y1071" s="9"/>
      <c r="Z1071" s="9"/>
      <c r="AA1071" s="9"/>
      <c r="AB1071" s="9"/>
    </row>
    <row r="1072" spans="1:28" ht="14.4" hidden="1">
      <c r="A1072" s="3">
        <f>LOOKUP(D1072,'AMFI DATA_2023H2'!F:L,'AMFI DATA_2023H2'!L:L)</f>
        <v>1312</v>
      </c>
      <c r="B1072" s="4" t="s">
        <v>3602</v>
      </c>
      <c r="C1072" s="4" t="s">
        <v>3603</v>
      </c>
      <c r="D1072" s="5" t="s">
        <v>3604</v>
      </c>
      <c r="E1072" s="5">
        <v>630.66999999999996</v>
      </c>
      <c r="F1072" s="6">
        <f>LOOKUP(D1072,'AMFI DATA_2023H2'!F:J,'AMFI DATA_2023H2'!J:J)</f>
        <v>789.2527</v>
      </c>
      <c r="G1072" s="7">
        <f t="shared" si="10"/>
        <v>-1.2990389516564171E-2</v>
      </c>
      <c r="H1072" s="9">
        <v>779</v>
      </c>
      <c r="I1072" s="9">
        <v>786</v>
      </c>
      <c r="J1072" s="9">
        <v>790</v>
      </c>
      <c r="K1072" s="9">
        <v>780</v>
      </c>
      <c r="L1072" s="9">
        <v>790</v>
      </c>
      <c r="M1072" s="9">
        <v>769</v>
      </c>
      <c r="N1072" s="9">
        <v>751</v>
      </c>
      <c r="O1072" s="9">
        <v>748</v>
      </c>
      <c r="P1072" s="9">
        <v>746</v>
      </c>
      <c r="Q1072" s="9">
        <v>740</v>
      </c>
      <c r="R1072" s="7">
        <f t="shared" si="11"/>
        <v>-2.7054326199961065E-2</v>
      </c>
      <c r="S1072" s="9"/>
      <c r="T1072" s="9"/>
      <c r="U1072" s="9"/>
      <c r="V1072" s="9"/>
      <c r="W1072" s="9"/>
      <c r="X1072" s="9"/>
      <c r="Y1072" s="9"/>
      <c r="Z1072" s="9"/>
      <c r="AA1072" s="9"/>
      <c r="AB1072" s="9"/>
    </row>
    <row r="1073" spans="1:28" ht="14.4" hidden="1">
      <c r="A1073" s="3">
        <f>LOOKUP(D1073,'AMFI DATA_2023H2'!F:L,'AMFI DATA_2023H2'!L:L)</f>
        <v>1883</v>
      </c>
      <c r="B1073" s="4" t="s">
        <v>4580</v>
      </c>
      <c r="C1073" s="4" t="s">
        <v>4581</v>
      </c>
      <c r="D1073" s="5" t="s">
        <v>4582</v>
      </c>
      <c r="E1073" s="5">
        <v>269.93</v>
      </c>
      <c r="F1073" s="6">
        <f>LOOKUP(D1073,'AMFI DATA_2023H2'!F:J,'AMFI DATA_2023H2'!J:J)</f>
        <v>230.55444999999997</v>
      </c>
      <c r="G1073" s="7">
        <f t="shared" si="10"/>
        <v>0.25783735685865117</v>
      </c>
      <c r="H1073" s="9">
        <v>290</v>
      </c>
      <c r="I1073" s="9">
        <v>286</v>
      </c>
      <c r="J1073" s="9">
        <v>275</v>
      </c>
      <c r="K1073" s="9">
        <v>270</v>
      </c>
      <c r="L1073" s="9">
        <v>281</v>
      </c>
      <c r="M1073" s="9">
        <v>284</v>
      </c>
      <c r="N1073" s="9">
        <v>289</v>
      </c>
      <c r="O1073" s="9">
        <v>282</v>
      </c>
      <c r="P1073" s="9">
        <v>295</v>
      </c>
      <c r="Q1073" s="9">
        <v>295</v>
      </c>
      <c r="R1073" s="7">
        <f t="shared" si="11"/>
        <v>0.23484929481951022</v>
      </c>
      <c r="S1073" s="9"/>
      <c r="T1073" s="9"/>
      <c r="U1073" s="9"/>
      <c r="V1073" s="9"/>
      <c r="W1073" s="9"/>
      <c r="X1073" s="9"/>
      <c r="Y1073" s="9"/>
      <c r="Z1073" s="9"/>
      <c r="AA1073" s="9"/>
      <c r="AB1073" s="9"/>
    </row>
    <row r="1074" spans="1:28" ht="14.4" hidden="1">
      <c r="A1074" s="3">
        <f>LOOKUP(D1074,'AMFI DATA_2023H2'!F:L,'AMFI DATA_2023H2'!L:L)</f>
        <v>197</v>
      </c>
      <c r="B1074" s="4" t="s">
        <v>600</v>
      </c>
      <c r="C1074" s="4" t="s">
        <v>601</v>
      </c>
      <c r="D1074" s="5" t="s">
        <v>602</v>
      </c>
      <c r="E1074" s="5">
        <v>23416.06</v>
      </c>
      <c r="F1074" s="6">
        <f>LOOKUP(D1074,'AMFI DATA_2023H2'!F:J,'AMFI DATA_2023H2'!J:J)</f>
        <v>31544.63895</v>
      </c>
      <c r="G1074" s="7">
        <f t="shared" si="10"/>
        <v>8.5921447834482079E-2</v>
      </c>
      <c r="H1074" s="8">
        <v>34255</v>
      </c>
      <c r="I1074" s="8">
        <v>34261</v>
      </c>
      <c r="J1074" s="8">
        <v>34391</v>
      </c>
      <c r="K1074" s="8">
        <v>33789</v>
      </c>
      <c r="L1074" s="8">
        <v>33766</v>
      </c>
      <c r="M1074" s="8">
        <v>34123</v>
      </c>
      <c r="N1074" s="8">
        <v>34092</v>
      </c>
      <c r="O1074" s="8">
        <v>34751</v>
      </c>
      <c r="P1074" s="8">
        <v>35300</v>
      </c>
      <c r="Q1074" s="8">
        <v>35332</v>
      </c>
      <c r="R1074" s="7">
        <f t="shared" si="11"/>
        <v>9.0708315112923543E-2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</row>
    <row r="1075" spans="1:28" ht="14.4" hidden="1">
      <c r="A1075" s="3">
        <f>LOOKUP(D1075,'AMFI DATA_2023H2'!F:L,'AMFI DATA_2023H2'!L:L)</f>
        <v>487</v>
      </c>
      <c r="B1075" s="4" t="s">
        <v>1446</v>
      </c>
      <c r="C1075" s="4" t="s">
        <v>1447</v>
      </c>
      <c r="D1075" s="5" t="s">
        <v>1448</v>
      </c>
      <c r="E1075" s="5">
        <v>6686.11</v>
      </c>
      <c r="F1075" s="6">
        <f>LOOKUP(D1075,'AMFI DATA_2023H2'!F:J,'AMFI DATA_2023H2'!J:J)</f>
        <v>7628.7255000000005</v>
      </c>
      <c r="G1075" s="7">
        <f t="shared" si="10"/>
        <v>0.12128821518089739</v>
      </c>
      <c r="H1075" s="8">
        <v>8554</v>
      </c>
      <c r="I1075" s="8">
        <v>8687</v>
      </c>
      <c r="J1075" s="8">
        <v>8730</v>
      </c>
      <c r="K1075" s="8">
        <v>8813</v>
      </c>
      <c r="L1075" s="8">
        <v>8575</v>
      </c>
      <c r="M1075" s="8">
        <v>8577</v>
      </c>
      <c r="N1075" s="8">
        <v>8534</v>
      </c>
      <c r="O1075" s="8">
        <v>8515</v>
      </c>
      <c r="P1075" s="8">
        <v>8687</v>
      </c>
      <c r="Q1075" s="8">
        <v>8783</v>
      </c>
      <c r="R1075" s="7">
        <f t="shared" si="11"/>
        <v>0.13328235496217555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</row>
    <row r="1076" spans="1:28" ht="14.4" hidden="1">
      <c r="A1076" s="3">
        <f>LOOKUP(D1076,'AMFI DATA_2023H2'!F:L,'AMFI DATA_2023H2'!L:L)</f>
        <v>1363</v>
      </c>
      <c r="B1076" s="4" t="s">
        <v>3689</v>
      </c>
      <c r="C1076" s="4" t="s">
        <v>3690</v>
      </c>
      <c r="D1076" s="5" t="s">
        <v>3691</v>
      </c>
      <c r="E1076" s="5">
        <v>331.91</v>
      </c>
      <c r="F1076" s="6">
        <f>LOOKUP(D1076,'AMFI DATA_2023H2'!F:J,'AMFI DATA_2023H2'!J:J)</f>
        <v>702.8305499999999</v>
      </c>
      <c r="G1076" s="7">
        <f t="shared" si="10"/>
        <v>8.1341725967944978E-2</v>
      </c>
      <c r="H1076" s="9">
        <v>760</v>
      </c>
      <c r="I1076" s="9">
        <v>750</v>
      </c>
      <c r="J1076" s="9">
        <v>752</v>
      </c>
      <c r="K1076" s="9">
        <v>755</v>
      </c>
      <c r="L1076" s="9">
        <v>747</v>
      </c>
      <c r="M1076" s="9">
        <v>755</v>
      </c>
      <c r="N1076" s="9">
        <v>742</v>
      </c>
      <c r="O1076" s="9">
        <v>746</v>
      </c>
      <c r="P1076" s="9">
        <v>751</v>
      </c>
      <c r="Q1076" s="9">
        <v>755</v>
      </c>
      <c r="R1076" s="7">
        <f t="shared" si="11"/>
        <v>6.8963208841732904E-2</v>
      </c>
      <c r="S1076" s="9"/>
      <c r="T1076" s="9"/>
      <c r="U1076" s="9"/>
      <c r="V1076" s="9"/>
      <c r="W1076" s="9"/>
      <c r="X1076" s="9"/>
      <c r="Y1076" s="9"/>
      <c r="Z1076" s="9"/>
      <c r="AA1076" s="9"/>
      <c r="AB1076" s="9"/>
    </row>
    <row r="1077" spans="1:28" ht="14.4" hidden="1">
      <c r="A1077" s="3">
        <f>LOOKUP(D1077,'AMFI DATA_2023H2'!F:L,'AMFI DATA_2023H2'!L:L)</f>
        <v>472</v>
      </c>
      <c r="B1077" s="4" t="s">
        <v>1404</v>
      </c>
      <c r="C1077" s="4" t="s">
        <v>1405</v>
      </c>
      <c r="D1077" s="5" t="s">
        <v>1406</v>
      </c>
      <c r="E1077" s="5">
        <v>5772.14</v>
      </c>
      <c r="F1077" s="6">
        <f>LOOKUP(D1077,'AMFI DATA_2023H2'!F:J,'AMFI DATA_2023H2'!J:J)</f>
        <v>7988.14905</v>
      </c>
      <c r="G1077" s="7">
        <f t="shared" si="10"/>
        <v>0.13981348407613892</v>
      </c>
      <c r="H1077" s="8">
        <v>9105</v>
      </c>
      <c r="I1077" s="8">
        <v>9087</v>
      </c>
      <c r="J1077" s="8">
        <v>9228</v>
      </c>
      <c r="K1077" s="8">
        <v>9036</v>
      </c>
      <c r="L1077" s="8">
        <v>9202</v>
      </c>
      <c r="M1077" s="8">
        <v>9206</v>
      </c>
      <c r="N1077" s="8">
        <v>9037</v>
      </c>
      <c r="O1077" s="8">
        <v>9169</v>
      </c>
      <c r="P1077" s="8">
        <v>9234</v>
      </c>
      <c r="Q1077" s="8">
        <v>9181</v>
      </c>
      <c r="R1077" s="7">
        <f t="shared" si="11"/>
        <v>0.14525905096875968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</row>
    <row r="1078" spans="1:28" ht="14.4" hidden="1">
      <c r="A1078" s="3">
        <f>LOOKUP(D1078,'AMFI DATA_2023H2'!F:L,'AMFI DATA_2023H2'!L:L)</f>
        <v>1569</v>
      </c>
      <c r="B1078" s="4" t="s">
        <v>4094</v>
      </c>
      <c r="C1078" s="4" t="s">
        <v>4095</v>
      </c>
      <c r="D1078" s="5" t="s">
        <v>4096</v>
      </c>
      <c r="E1078" s="5">
        <v>322.88</v>
      </c>
      <c r="F1078" s="6">
        <f>LOOKUP(D1078,'AMFI DATA_2023H2'!F:J,'AMFI DATA_2023H2'!J:J)</f>
        <v>438.24194999999997</v>
      </c>
      <c r="G1078" s="7">
        <f t="shared" si="10"/>
        <v>0.38279779012483872</v>
      </c>
      <c r="H1078" s="9">
        <v>606</v>
      </c>
      <c r="I1078" s="9">
        <v>594</v>
      </c>
      <c r="J1078" s="9">
        <v>606</v>
      </c>
      <c r="K1078" s="9">
        <v>600</v>
      </c>
      <c r="L1078" s="9">
        <v>607</v>
      </c>
      <c r="M1078" s="9">
        <v>593</v>
      </c>
      <c r="N1078" s="9">
        <v>597</v>
      </c>
      <c r="O1078" s="9">
        <v>606</v>
      </c>
      <c r="P1078" s="9">
        <v>603</v>
      </c>
      <c r="Q1078" s="9">
        <v>623</v>
      </c>
      <c r="R1078" s="7">
        <f t="shared" si="11"/>
        <v>0.37709317877943915</v>
      </c>
      <c r="S1078" s="9"/>
      <c r="T1078" s="9"/>
      <c r="U1078" s="9"/>
      <c r="V1078" s="9"/>
      <c r="W1078" s="9"/>
      <c r="X1078" s="9"/>
      <c r="Y1078" s="9"/>
      <c r="Z1078" s="9"/>
      <c r="AA1078" s="9"/>
      <c r="AB1078" s="9"/>
    </row>
    <row r="1079" spans="1:28" ht="14.4" hidden="1">
      <c r="A1079" s="3">
        <f>LOOKUP(D1079,'AMFI DATA_2023H2'!F:L,'AMFI DATA_2023H2'!L:L)</f>
        <v>1555</v>
      </c>
      <c r="B1079" s="4" t="s">
        <v>4067</v>
      </c>
      <c r="C1079" s="4" t="s">
        <v>4068</v>
      </c>
      <c r="D1079" s="5" t="s">
        <v>4069</v>
      </c>
      <c r="E1079" s="5">
        <v>336.81</v>
      </c>
      <c r="F1079" s="6">
        <f>LOOKUP(D1079,'AMFI DATA_2023H2'!F:J,'AMFI DATA_2023H2'!J:J)</f>
        <v>451.98609999999996</v>
      </c>
      <c r="G1079" s="7">
        <f t="shared" si="10"/>
        <v>-0.15484126613628157</v>
      </c>
      <c r="H1079" s="9">
        <v>382</v>
      </c>
      <c r="I1079" s="9">
        <v>378</v>
      </c>
      <c r="J1079" s="9">
        <v>371</v>
      </c>
      <c r="K1079" s="9">
        <v>368</v>
      </c>
      <c r="L1079" s="9">
        <v>370</v>
      </c>
      <c r="M1079" s="9">
        <v>367</v>
      </c>
      <c r="N1079" s="9">
        <v>374</v>
      </c>
      <c r="O1079" s="9">
        <v>377</v>
      </c>
      <c r="P1079" s="9">
        <v>385</v>
      </c>
      <c r="Q1079" s="9">
        <v>378</v>
      </c>
      <c r="R1079" s="7">
        <f t="shared" si="11"/>
        <v>-0.17032846806572144</v>
      </c>
      <c r="S1079" s="9"/>
      <c r="T1079" s="9"/>
      <c r="U1079" s="9"/>
      <c r="V1079" s="9"/>
      <c r="W1079" s="9"/>
      <c r="X1079" s="9"/>
      <c r="Y1079" s="9"/>
      <c r="Z1079" s="9"/>
      <c r="AA1079" s="9"/>
      <c r="AB1079" s="9"/>
    </row>
    <row r="1080" spans="1:28" ht="14.4" hidden="1">
      <c r="A1080" s="3">
        <f>LOOKUP(D1080,'AMFI DATA_2023H2'!F:L,'AMFI DATA_2023H2'!L:L)</f>
        <v>1398</v>
      </c>
      <c r="B1080" s="4" t="s">
        <v>3773</v>
      </c>
      <c r="C1080" s="4" t="s">
        <v>3774</v>
      </c>
      <c r="D1080" s="5" t="s">
        <v>3775</v>
      </c>
      <c r="E1080" s="5">
        <v>728.06</v>
      </c>
      <c r="F1080" s="6">
        <f>LOOKUP(D1080,'AMFI DATA_2023H2'!F:J,'AMFI DATA_2023H2'!J:J)</f>
        <v>645.80975000000001</v>
      </c>
      <c r="G1080" s="7">
        <f t="shared" si="10"/>
        <v>0.20159226459495239</v>
      </c>
      <c r="H1080" s="9">
        <v>776</v>
      </c>
      <c r="I1080" s="9">
        <v>652</v>
      </c>
      <c r="J1080" s="9">
        <v>651</v>
      </c>
      <c r="K1080" s="9">
        <v>654</v>
      </c>
      <c r="L1080" s="9">
        <v>650</v>
      </c>
      <c r="M1080" s="9">
        <v>642</v>
      </c>
      <c r="N1080" s="9">
        <v>648</v>
      </c>
      <c r="O1080" s="9">
        <v>645</v>
      </c>
      <c r="P1080" s="9">
        <v>650</v>
      </c>
      <c r="Q1080" s="9">
        <v>654</v>
      </c>
      <c r="R1080" s="7">
        <f t="shared" si="11"/>
        <v>2.5379378369558614E-2</v>
      </c>
      <c r="S1080" s="9"/>
      <c r="T1080" s="9"/>
      <c r="U1080" s="9"/>
      <c r="V1080" s="9"/>
      <c r="W1080" s="9"/>
      <c r="X1080" s="9"/>
      <c r="Y1080" s="9"/>
      <c r="Z1080" s="9"/>
      <c r="AA1080" s="9"/>
      <c r="AB1080" s="9"/>
    </row>
    <row r="1081" spans="1:28" ht="14.4" hidden="1">
      <c r="A1081" s="3">
        <f>LOOKUP(D1081,'AMFI DATA_2023H2'!F:L,'AMFI DATA_2023H2'!L:L)</f>
        <v>511</v>
      </c>
      <c r="B1081" s="4" t="s">
        <v>1518</v>
      </c>
      <c r="C1081" s="4" t="s">
        <v>1519</v>
      </c>
      <c r="D1081" s="5" t="s">
        <v>1520</v>
      </c>
      <c r="E1081" s="5">
        <v>4017.15</v>
      </c>
      <c r="F1081" s="6">
        <f>LOOKUP(D1081,'AMFI DATA_2023H2'!F:J,'AMFI DATA_2023H2'!J:J)</f>
        <v>7162.2813000000006</v>
      </c>
      <c r="G1081" s="7">
        <f t="shared" si="10"/>
        <v>6.8793542079951475E-2</v>
      </c>
      <c r="H1081" s="8">
        <v>7655</v>
      </c>
      <c r="I1081" s="8">
        <v>7688</v>
      </c>
      <c r="J1081" s="8">
        <v>7634</v>
      </c>
      <c r="K1081" s="8">
        <v>7706</v>
      </c>
      <c r="L1081" s="8">
        <v>7800</v>
      </c>
      <c r="M1081" s="8">
        <v>7835</v>
      </c>
      <c r="N1081" s="8">
        <v>7938</v>
      </c>
      <c r="O1081" s="8">
        <v>7717</v>
      </c>
      <c r="P1081" s="8">
        <v>7702</v>
      </c>
      <c r="Q1081" s="8">
        <v>7521</v>
      </c>
      <c r="R1081" s="7">
        <f t="shared" si="11"/>
        <v>7.7813014688490334E-2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</row>
    <row r="1082" spans="1:28" ht="14.4" hidden="1">
      <c r="A1082" s="3">
        <f>LOOKUP(D1082,'AMFI DATA_2023H2'!F:L,'AMFI DATA_2023H2'!L:L)</f>
        <v>2302</v>
      </c>
      <c r="B1082" s="4" t="s">
        <v>5135</v>
      </c>
      <c r="C1082" s="4" t="s">
        <v>5136</v>
      </c>
      <c r="D1082" s="5" t="s">
        <v>5137</v>
      </c>
      <c r="E1082" s="5">
        <v>93.26</v>
      </c>
      <c r="F1082" s="6">
        <f>LOOKUP(D1082,'AMFI DATA_2023H2'!F:J,'AMFI DATA_2023H2'!J:J)</f>
        <v>111.48220000000001</v>
      </c>
      <c r="G1082" s="7">
        <f t="shared" si="10"/>
        <v>0.12125523177691133</v>
      </c>
      <c r="H1082" s="9">
        <v>125</v>
      </c>
      <c r="I1082" s="9">
        <v>126</v>
      </c>
      <c r="J1082" s="9">
        <v>126</v>
      </c>
      <c r="K1082" s="9">
        <v>126</v>
      </c>
      <c r="L1082" s="9">
        <v>123</v>
      </c>
      <c r="M1082" s="9">
        <v>124</v>
      </c>
      <c r="N1082" s="9">
        <v>122</v>
      </c>
      <c r="O1082" s="9">
        <v>122</v>
      </c>
      <c r="P1082" s="9">
        <v>123</v>
      </c>
      <c r="Q1082" s="9">
        <v>124</v>
      </c>
      <c r="R1082" s="7">
        <f t="shared" si="11"/>
        <v>0.1131821941081177</v>
      </c>
      <c r="S1082" s="9"/>
      <c r="T1082" s="9"/>
      <c r="U1082" s="9"/>
      <c r="V1082" s="9"/>
      <c r="W1082" s="9"/>
      <c r="X1082" s="9"/>
      <c r="Y1082" s="9"/>
      <c r="Z1082" s="9"/>
      <c r="AA1082" s="9"/>
      <c r="AB1082" s="9"/>
    </row>
    <row r="1083" spans="1:28" ht="14.4" hidden="1">
      <c r="A1083" s="3">
        <f>LOOKUP(D1083,'AMFI DATA_2023H2'!F:L,'AMFI DATA_2023H2'!L:L)</f>
        <v>3271</v>
      </c>
      <c r="B1083" s="4" t="s">
        <v>5638</v>
      </c>
      <c r="C1083" s="4" t="s">
        <v>5639</v>
      </c>
      <c r="D1083" s="5" t="s">
        <v>5640</v>
      </c>
      <c r="E1083" s="5">
        <v>18.149999999999999</v>
      </c>
      <c r="F1083" s="6">
        <f>LOOKUP(D1083,'AMFI DATA_2023H2'!F:J,'AMFI DATA_2023H2'!J:J)</f>
        <v>25.026</v>
      </c>
      <c r="G1083" s="7">
        <f t="shared" si="10"/>
        <v>1.7211699832174538</v>
      </c>
      <c r="H1083" s="9">
        <v>68.099999999999994</v>
      </c>
      <c r="I1083" s="9">
        <v>66.599999999999994</v>
      </c>
      <c r="J1083" s="9">
        <v>65.099999999999994</v>
      </c>
      <c r="K1083" s="9">
        <v>65.099999999999994</v>
      </c>
      <c r="L1083" s="9">
        <v>62.2</v>
      </c>
      <c r="M1083" s="9">
        <v>60.7</v>
      </c>
      <c r="N1083" s="9">
        <v>59.2</v>
      </c>
      <c r="O1083" s="9">
        <v>60.7</v>
      </c>
      <c r="P1083" s="9">
        <v>60.7</v>
      </c>
      <c r="Q1083" s="9">
        <v>59.2</v>
      </c>
      <c r="R1083" s="7">
        <f t="shared" si="11"/>
        <v>1.5077918964277153</v>
      </c>
      <c r="S1083" s="9"/>
      <c r="T1083" s="9"/>
      <c r="U1083" s="9"/>
      <c r="V1083" s="9"/>
      <c r="W1083" s="9"/>
      <c r="X1083" s="9"/>
      <c r="Y1083" s="9"/>
      <c r="Z1083" s="9"/>
      <c r="AA1083" s="9"/>
      <c r="AB1083" s="9"/>
    </row>
    <row r="1084" spans="1:28" ht="14.4" hidden="1">
      <c r="A1084" s="3">
        <f>LOOKUP(D1084,'AMFI DATA_2023H2'!F:L,'AMFI DATA_2023H2'!L:L)</f>
        <v>886</v>
      </c>
      <c r="B1084" s="4" t="s">
        <v>2570</v>
      </c>
      <c r="C1084" s="4" t="s">
        <v>2571</v>
      </c>
      <c r="D1084" s="5" t="s">
        <v>2572</v>
      </c>
      <c r="E1084" s="5">
        <v>2064.87</v>
      </c>
      <c r="F1084" s="6">
        <f>LOOKUP(D1084,'AMFI DATA_2023H2'!F:J,'AMFI DATA_2023H2'!J:J)</f>
        <v>2229.8462</v>
      </c>
      <c r="G1084" s="7">
        <f t="shared" si="10"/>
        <v>6.5544341129895045E-2</v>
      </c>
      <c r="H1084" s="8">
        <v>2376</v>
      </c>
      <c r="I1084" s="8">
        <v>2371</v>
      </c>
      <c r="J1084" s="8">
        <v>2351</v>
      </c>
      <c r="K1084" s="8">
        <v>2375</v>
      </c>
      <c r="L1084" s="8">
        <v>2355</v>
      </c>
      <c r="M1084" s="8">
        <v>2331</v>
      </c>
      <c r="N1084" s="8">
        <v>2376</v>
      </c>
      <c r="O1084" s="8">
        <v>2431</v>
      </c>
      <c r="P1084" s="8">
        <v>2497</v>
      </c>
      <c r="Q1084" s="8">
        <v>2471</v>
      </c>
      <c r="R1084" s="7">
        <f t="shared" si="11"/>
        <v>7.3347569890694686E-2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</row>
    <row r="1085" spans="1:28" ht="14.4" hidden="1">
      <c r="A1085" s="3">
        <f>LOOKUP(D1085,'AMFI DATA_2023H2'!F:L,'AMFI DATA_2023H2'!L:L)</f>
        <v>1477</v>
      </c>
      <c r="B1085" s="4" t="s">
        <v>3908</v>
      </c>
      <c r="C1085" s="4" t="s">
        <v>3909</v>
      </c>
      <c r="D1085" s="5" t="s">
        <v>3910</v>
      </c>
      <c r="E1085" s="5">
        <v>381.5</v>
      </c>
      <c r="F1085" s="6">
        <f>LOOKUP(D1085,'AMFI DATA_2023H2'!F:J,'AMFI DATA_2023H2'!J:J)</f>
        <v>541.77419999999995</v>
      </c>
      <c r="G1085" s="7">
        <f t="shared" si="10"/>
        <v>-8.0797867451052441E-2</v>
      </c>
      <c r="H1085" s="9">
        <v>498</v>
      </c>
      <c r="I1085" s="9">
        <v>503</v>
      </c>
      <c r="J1085" s="9">
        <v>517</v>
      </c>
      <c r="K1085" s="9">
        <v>532</v>
      </c>
      <c r="L1085" s="9">
        <v>524</v>
      </c>
      <c r="M1085" s="9">
        <v>529</v>
      </c>
      <c r="N1085" s="9">
        <v>527</v>
      </c>
      <c r="O1085" s="9">
        <v>526</v>
      </c>
      <c r="P1085" s="9">
        <v>525</v>
      </c>
      <c r="Q1085" s="9">
        <v>508</v>
      </c>
      <c r="R1085" s="7">
        <f t="shared" si="11"/>
        <v>-4.2220910482632767E-2</v>
      </c>
      <c r="S1085" s="9"/>
      <c r="T1085" s="9"/>
      <c r="U1085" s="9"/>
      <c r="V1085" s="9"/>
      <c r="W1085" s="9"/>
      <c r="X1085" s="9"/>
      <c r="Y1085" s="9"/>
      <c r="Z1085" s="9"/>
      <c r="AA1085" s="9"/>
      <c r="AB1085" s="9"/>
    </row>
    <row r="1086" spans="1:28" ht="14.4" hidden="1">
      <c r="A1086" s="3">
        <f>LOOKUP(D1086,'AMFI DATA_2023H2'!F:L,'AMFI DATA_2023H2'!L:L)</f>
        <v>488</v>
      </c>
      <c r="B1086" s="4" t="s">
        <v>1449</v>
      </c>
      <c r="C1086" s="4" t="s">
        <v>1450</v>
      </c>
      <c r="D1086" s="5" t="s">
        <v>1451</v>
      </c>
      <c r="E1086" s="5">
        <v>4754.8</v>
      </c>
      <c r="F1086" s="6">
        <f>LOOKUP(D1086,'AMFI DATA_2023H2'!F:J,'AMFI DATA_2023H2'!J:J)</f>
        <v>7605.84195</v>
      </c>
      <c r="G1086" s="7">
        <f t="shared" si="10"/>
        <v>0.25640265243744653</v>
      </c>
      <c r="H1086" s="8">
        <v>9556</v>
      </c>
      <c r="I1086" s="8">
        <v>9705</v>
      </c>
      <c r="J1086" s="8">
        <v>8931</v>
      </c>
      <c r="K1086" s="8">
        <v>9000</v>
      </c>
      <c r="L1086" s="8">
        <v>9022</v>
      </c>
      <c r="M1086" s="8">
        <v>8976</v>
      </c>
      <c r="N1086" s="8">
        <v>8908</v>
      </c>
      <c r="O1086" s="8">
        <v>9050</v>
      </c>
      <c r="P1086" s="8">
        <v>8958</v>
      </c>
      <c r="Q1086" s="8">
        <v>8805</v>
      </c>
      <c r="R1086" s="7">
        <f t="shared" si="11"/>
        <v>0.19527858450963476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</row>
    <row r="1087" spans="1:28" ht="14.4" hidden="1">
      <c r="A1087" s="3">
        <f>LOOKUP(D1087,'AMFI DATA_2023H2'!F:L,'AMFI DATA_2023H2'!L:L)</f>
        <v>1971</v>
      </c>
      <c r="B1087" s="4" t="s">
        <v>4682</v>
      </c>
      <c r="C1087" s="4" t="s">
        <v>4683</v>
      </c>
      <c r="D1087" s="5" t="s">
        <v>4684</v>
      </c>
      <c r="E1087" s="5">
        <v>162</v>
      </c>
      <c r="F1087" s="6">
        <f>LOOKUP(D1087,'AMFI DATA_2023H2'!F:J,'AMFI DATA_2023H2'!J:J)</f>
        <v>197.13135</v>
      </c>
      <c r="G1087" s="7">
        <f t="shared" si="10"/>
        <v>0.12107992970169379</v>
      </c>
      <c r="H1087" s="9">
        <v>221</v>
      </c>
      <c r="I1087" s="9">
        <v>226</v>
      </c>
      <c r="J1087" s="9">
        <v>218</v>
      </c>
      <c r="K1087" s="9">
        <v>213</v>
      </c>
      <c r="L1087" s="9">
        <v>212</v>
      </c>
      <c r="M1087" s="9">
        <v>210</v>
      </c>
      <c r="N1087" s="9">
        <v>214</v>
      </c>
      <c r="O1087" s="9">
        <v>208</v>
      </c>
      <c r="P1087" s="9">
        <v>211</v>
      </c>
      <c r="Q1087" s="9">
        <v>210</v>
      </c>
      <c r="R1087" s="7">
        <f t="shared" si="11"/>
        <v>8.7092438620239854E-2</v>
      </c>
      <c r="S1087" s="9"/>
      <c r="T1087" s="9"/>
      <c r="U1087" s="9"/>
      <c r="V1087" s="9"/>
      <c r="W1087" s="9"/>
      <c r="X1087" s="9"/>
      <c r="Y1087" s="9"/>
      <c r="Z1087" s="9"/>
      <c r="AA1087" s="9"/>
      <c r="AB1087" s="9"/>
    </row>
    <row r="1088" spans="1:28" ht="14.4" hidden="1">
      <c r="A1088" s="3">
        <f>LOOKUP(D1088,'AMFI DATA_2023H2'!F:L,'AMFI DATA_2023H2'!L:L)</f>
        <v>1746</v>
      </c>
      <c r="B1088" s="4" t="s">
        <v>4409</v>
      </c>
      <c r="C1088" s="4" t="s">
        <v>4410</v>
      </c>
      <c r="D1088" s="5" t="s">
        <v>4411</v>
      </c>
      <c r="E1088" s="5">
        <v>210.18</v>
      </c>
      <c r="F1088" s="6">
        <f>LOOKUP(D1088,'AMFI DATA_2023H2'!F:J,'AMFI DATA_2023H2'!J:J)</f>
        <v>300.74929999999995</v>
      </c>
      <c r="G1088" s="7">
        <f t="shared" si="10"/>
        <v>0.50623791975575694</v>
      </c>
      <c r="H1088" s="9">
        <v>453</v>
      </c>
      <c r="I1088" s="9">
        <v>452</v>
      </c>
      <c r="J1088" s="9">
        <v>440</v>
      </c>
      <c r="K1088" s="9">
        <v>440</v>
      </c>
      <c r="L1088" s="9">
        <v>444</v>
      </c>
      <c r="M1088" s="9">
        <v>454</v>
      </c>
      <c r="N1088" s="9">
        <v>445</v>
      </c>
      <c r="O1088" s="9">
        <v>440</v>
      </c>
      <c r="P1088" s="9">
        <v>423</v>
      </c>
      <c r="Q1088" s="9">
        <v>429</v>
      </c>
      <c r="R1088" s="7">
        <f t="shared" si="11"/>
        <v>0.4696626060310034</v>
      </c>
      <c r="S1088" s="9"/>
      <c r="T1088" s="9"/>
      <c r="U1088" s="9"/>
      <c r="V1088" s="9"/>
      <c r="W1088" s="9"/>
      <c r="X1088" s="9"/>
      <c r="Y1088" s="9"/>
      <c r="Z1088" s="9"/>
      <c r="AA1088" s="9"/>
      <c r="AB1088" s="9"/>
    </row>
    <row r="1089" spans="1:28" ht="14.4" hidden="1">
      <c r="A1089" s="3">
        <f>LOOKUP(D1089,'AMFI DATA_2023H2'!F:L,'AMFI DATA_2023H2'!L:L)</f>
        <v>3325</v>
      </c>
      <c r="B1089" s="4" t="s">
        <v>5644</v>
      </c>
      <c r="C1089" s="4" t="s">
        <v>5645</v>
      </c>
      <c r="D1089" s="5" t="s">
        <v>5646</v>
      </c>
      <c r="E1089" s="5">
        <v>20.97</v>
      </c>
      <c r="F1089" s="6">
        <f>LOOKUP(D1089,'AMFI DATA_2023H2'!F:J,'AMFI DATA_2023H2'!J:J)</f>
        <v>23.517949999999999</v>
      </c>
      <c r="G1089" s="7">
        <f t="shared" si="10"/>
        <v>0.13530303449067627</v>
      </c>
      <c r="H1089" s="9">
        <v>26.7</v>
      </c>
      <c r="I1089" s="9">
        <v>25.6</v>
      </c>
      <c r="J1089" s="9">
        <v>24.6</v>
      </c>
      <c r="K1089" s="9">
        <v>24.8</v>
      </c>
      <c r="L1089" s="9">
        <v>24.8</v>
      </c>
      <c r="M1089" s="9">
        <v>24.6</v>
      </c>
      <c r="N1089" s="9">
        <v>24.6</v>
      </c>
      <c r="O1089" s="9">
        <v>24.7</v>
      </c>
      <c r="P1089" s="9">
        <v>23.3</v>
      </c>
      <c r="Q1089" s="9">
        <v>23.7</v>
      </c>
      <c r="R1089" s="7">
        <f t="shared" si="11"/>
        <v>5.1962437202222045E-2</v>
      </c>
      <c r="S1089" s="9"/>
      <c r="T1089" s="9"/>
      <c r="U1089" s="9"/>
      <c r="V1089" s="9"/>
      <c r="W1089" s="9"/>
      <c r="X1089" s="9"/>
      <c r="Y1089" s="9"/>
      <c r="Z1089" s="9"/>
      <c r="AA1089" s="9"/>
      <c r="AB1089" s="9"/>
    </row>
    <row r="1090" spans="1:28" ht="14.4" hidden="1">
      <c r="A1090" s="3">
        <f>LOOKUP(D1090,'AMFI DATA_2023H2'!F:L,'AMFI DATA_2023H2'!L:L)</f>
        <v>625</v>
      </c>
      <c r="B1090" s="4" t="s">
        <v>1845</v>
      </c>
      <c r="C1090" s="4" t="s">
        <v>1846</v>
      </c>
      <c r="D1090" s="5" t="s">
        <v>1847</v>
      </c>
      <c r="E1090" s="5">
        <v>3211.2</v>
      </c>
      <c r="F1090" s="6">
        <f>LOOKUP(D1090,'AMFI DATA_2023H2'!F:J,'AMFI DATA_2023H2'!J:J)</f>
        <v>4852.7162499999995</v>
      </c>
      <c r="G1090" s="7">
        <f t="shared" si="10"/>
        <v>0.31287297088512034</v>
      </c>
      <c r="H1090" s="8">
        <v>6371</v>
      </c>
      <c r="I1090" s="8">
        <v>6400</v>
      </c>
      <c r="J1090" s="8">
        <v>6427</v>
      </c>
      <c r="K1090" s="8">
        <v>6424</v>
      </c>
      <c r="L1090" s="8">
        <v>6379</v>
      </c>
      <c r="M1090" s="8">
        <v>6288</v>
      </c>
      <c r="N1090" s="8">
        <v>6360</v>
      </c>
      <c r="O1090" s="8">
        <v>6270</v>
      </c>
      <c r="P1090" s="8">
        <v>6234</v>
      </c>
      <c r="Q1090" s="8">
        <v>6233</v>
      </c>
      <c r="R1090" s="7">
        <f t="shared" si="11"/>
        <v>0.3061962977950754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</row>
    <row r="1091" spans="1:28" ht="14.4" hidden="1">
      <c r="A1091" s="3">
        <f>LOOKUP(D1091,'AMFI DATA_2023H2'!F:L,'AMFI DATA_2023H2'!L:L)</f>
        <v>2535</v>
      </c>
      <c r="B1091" s="4" t="s">
        <v>5326</v>
      </c>
      <c r="C1091" s="4" t="s">
        <v>5327</v>
      </c>
      <c r="D1091" s="5" t="s">
        <v>5328</v>
      </c>
      <c r="E1091" s="5">
        <v>56.46</v>
      </c>
      <c r="F1091" s="6">
        <f>LOOKUP(D1091,'AMFI DATA_2023H2'!F:J,'AMFI DATA_2023H2'!J:J)</f>
        <v>75.708299999999994</v>
      </c>
      <c r="G1091" s="7">
        <f t="shared" si="10"/>
        <v>2.762841062340593E-2</v>
      </c>
      <c r="H1091" s="9">
        <v>77.8</v>
      </c>
      <c r="I1091" s="9">
        <v>76.5</v>
      </c>
      <c r="J1091" s="9">
        <v>75.099999999999994</v>
      </c>
      <c r="K1091" s="9">
        <v>75.7</v>
      </c>
      <c r="L1091" s="9">
        <v>75.099999999999994</v>
      </c>
      <c r="M1091" s="9">
        <v>75.099999999999994</v>
      </c>
      <c r="N1091" s="9">
        <v>75.900000000000006</v>
      </c>
      <c r="O1091" s="9">
        <v>77</v>
      </c>
      <c r="P1091" s="9">
        <v>77</v>
      </c>
      <c r="Q1091" s="9">
        <v>77</v>
      </c>
      <c r="R1091" s="7">
        <f t="shared" si="11"/>
        <v>6.7588362174293426E-3</v>
      </c>
      <c r="S1091" s="9"/>
      <c r="T1091" s="9"/>
      <c r="U1091" s="9"/>
      <c r="V1091" s="9"/>
      <c r="W1091" s="9"/>
      <c r="X1091" s="9"/>
      <c r="Y1091" s="9"/>
      <c r="Z1091" s="9"/>
      <c r="AA1091" s="9"/>
      <c r="AB1091" s="9"/>
    </row>
    <row r="1092" spans="1:28" ht="14.4" hidden="1">
      <c r="A1092" s="3">
        <f>LOOKUP(D1092,'AMFI DATA_2023H2'!F:L,'AMFI DATA_2023H2'!L:L)</f>
        <v>773</v>
      </c>
      <c r="B1092" s="4" t="s">
        <v>2261</v>
      </c>
      <c r="C1092" s="4" t="s">
        <v>2262</v>
      </c>
      <c r="D1092" s="5" t="s">
        <v>2263</v>
      </c>
      <c r="E1092" s="5">
        <v>3212.33</v>
      </c>
      <c r="F1092" s="6">
        <f>LOOKUP(D1092,'AMFI DATA_2023H2'!F:J,'AMFI DATA_2023H2'!J:J)</f>
        <v>3115.0886878000001</v>
      </c>
      <c r="G1092" s="7">
        <f t="shared" si="10"/>
        <v>-4.8823228820304099E-2</v>
      </c>
      <c r="H1092" s="8">
        <v>2963</v>
      </c>
      <c r="I1092" s="8">
        <v>3019</v>
      </c>
      <c r="J1092" s="8">
        <v>3088</v>
      </c>
      <c r="K1092" s="8">
        <v>3071</v>
      </c>
      <c r="L1092" s="8">
        <v>3054</v>
      </c>
      <c r="M1092" s="8">
        <v>3039</v>
      </c>
      <c r="N1092" s="8">
        <v>2968</v>
      </c>
      <c r="O1092" s="8">
        <v>2915</v>
      </c>
      <c r="P1092" s="8">
        <v>2886</v>
      </c>
      <c r="Q1092" s="8">
        <v>2897</v>
      </c>
      <c r="R1092" s="7">
        <f t="shared" si="11"/>
        <v>-4.0155738836553878E-2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</row>
    <row r="1093" spans="1:28" ht="14.4" hidden="1">
      <c r="A1093" s="3">
        <f>LOOKUP(D1093,'AMFI DATA_2023H2'!F:L,'AMFI DATA_2023H2'!L:L)</f>
        <v>1277</v>
      </c>
      <c r="B1093" s="4" t="s">
        <v>3509</v>
      </c>
      <c r="C1093" s="4" t="s">
        <v>3510</v>
      </c>
      <c r="D1093" s="5" t="s">
        <v>3511</v>
      </c>
      <c r="E1093" s="5">
        <v>722.34</v>
      </c>
      <c r="F1093" s="6">
        <f>LOOKUP(D1093,'AMFI DATA_2023H2'!F:J,'AMFI DATA_2023H2'!J:J)</f>
        <v>856.72829999999999</v>
      </c>
      <c r="G1093" s="7">
        <f t="shared" si="10"/>
        <v>-7.6720122353843068E-2</v>
      </c>
      <c r="H1093" s="9">
        <v>791</v>
      </c>
      <c r="I1093" s="9">
        <v>785</v>
      </c>
      <c r="J1093" s="9">
        <v>792</v>
      </c>
      <c r="K1093" s="9">
        <v>803</v>
      </c>
      <c r="L1093" s="9">
        <v>787</v>
      </c>
      <c r="M1093" s="9">
        <v>792</v>
      </c>
      <c r="N1093" s="9">
        <v>784</v>
      </c>
      <c r="O1093" s="9">
        <v>769</v>
      </c>
      <c r="P1093" s="9">
        <v>770</v>
      </c>
      <c r="Q1093" s="9">
        <v>765</v>
      </c>
      <c r="R1093" s="7">
        <f t="shared" si="11"/>
        <v>-8.5124186979699479E-2</v>
      </c>
      <c r="S1093" s="9"/>
      <c r="T1093" s="9"/>
      <c r="U1093" s="9"/>
      <c r="V1093" s="9"/>
      <c r="W1093" s="9"/>
      <c r="X1093" s="9"/>
      <c r="Y1093" s="9"/>
      <c r="Z1093" s="9"/>
      <c r="AA1093" s="9"/>
      <c r="AB1093" s="9"/>
    </row>
    <row r="1094" spans="1:28" ht="14.4" hidden="1">
      <c r="A1094" s="3">
        <f>LOOKUP(D1094,'AMFI DATA_2023H2'!F:L,'AMFI DATA_2023H2'!L:L)</f>
        <v>1122</v>
      </c>
      <c r="B1094" s="4" t="s">
        <v>3164</v>
      </c>
      <c r="C1094" s="4" t="s">
        <v>3165</v>
      </c>
      <c r="D1094" s="5" t="s">
        <v>3166</v>
      </c>
      <c r="E1094" s="5">
        <v>766.4</v>
      </c>
      <c r="F1094" s="6">
        <f>LOOKUP(D1094,'AMFI DATA_2023H2'!F:J,'AMFI DATA_2023H2'!J:J)</f>
        <v>1275.2889</v>
      </c>
      <c r="G1094" s="7">
        <f t="shared" si="10"/>
        <v>0.21305846855563471</v>
      </c>
      <c r="H1094" s="8">
        <v>1547</v>
      </c>
      <c r="I1094" s="8">
        <v>1530</v>
      </c>
      <c r="J1094" s="8">
        <v>1536</v>
      </c>
      <c r="K1094" s="8">
        <v>1520</v>
      </c>
      <c r="L1094" s="8">
        <v>1473</v>
      </c>
      <c r="M1094" s="8">
        <v>1480</v>
      </c>
      <c r="N1094" s="8">
        <v>1469</v>
      </c>
      <c r="O1094" s="8">
        <v>1486</v>
      </c>
      <c r="P1094" s="8">
        <v>1519</v>
      </c>
      <c r="Q1094" s="8">
        <v>1504</v>
      </c>
      <c r="R1094" s="7">
        <f t="shared" si="11"/>
        <v>0.18122254494648238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</row>
    <row r="1095" spans="1:28" ht="14.4" hidden="1">
      <c r="A1095" s="3">
        <f>LOOKUP(D1095,'AMFI DATA_2023H2'!F:L,'AMFI DATA_2023H2'!L:L)</f>
        <v>1028</v>
      </c>
      <c r="B1095" s="4" t="s">
        <v>2936</v>
      </c>
      <c r="C1095" s="4" t="s">
        <v>2937</v>
      </c>
      <c r="D1095" s="5" t="s">
        <v>2938</v>
      </c>
      <c r="E1095" s="5">
        <v>1411.89</v>
      </c>
      <c r="F1095" s="6">
        <f>LOOKUP(D1095,'AMFI DATA_2023H2'!F:J,'AMFI DATA_2023H2'!J:J)</f>
        <v>1585.5700999999999</v>
      </c>
      <c r="G1095" s="7">
        <f t="shared" si="10"/>
        <v>-7.16272967054562E-2</v>
      </c>
      <c r="H1095" s="8">
        <v>1472</v>
      </c>
      <c r="I1095" s="8">
        <v>1458</v>
      </c>
      <c r="J1095" s="8">
        <v>1468</v>
      </c>
      <c r="K1095" s="8">
        <v>1470</v>
      </c>
      <c r="L1095" s="8">
        <v>1459</v>
      </c>
      <c r="M1095" s="8">
        <v>1463</v>
      </c>
      <c r="N1095" s="8">
        <v>1482</v>
      </c>
      <c r="O1095" s="8">
        <v>1476</v>
      </c>
      <c r="P1095" s="8">
        <v>1434</v>
      </c>
      <c r="Q1095" s="8">
        <v>1429</v>
      </c>
      <c r="R1095" s="7">
        <f t="shared" si="11"/>
        <v>-7.8501795663275975E-2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</row>
    <row r="1096" spans="1:28" ht="14.4" hidden="1">
      <c r="A1096" s="3">
        <f>LOOKUP(D1096,'AMFI DATA_2023H2'!F:L,'AMFI DATA_2023H2'!L:L)</f>
        <v>2521</v>
      </c>
      <c r="B1096" s="4" t="s">
        <v>5308</v>
      </c>
      <c r="C1096" s="4" t="s">
        <v>5309</v>
      </c>
      <c r="D1096" s="5" t="s">
        <v>5310</v>
      </c>
      <c r="E1096" s="5">
        <v>71.34</v>
      </c>
      <c r="F1096" s="6">
        <f>LOOKUP(D1096,'AMFI DATA_2023H2'!F:J,'AMFI DATA_2023H2'!J:J)</f>
        <v>78.355549999999994</v>
      </c>
      <c r="G1096" s="7">
        <f t="shared" si="10"/>
        <v>9.5008585862775607E-2</v>
      </c>
      <c r="H1096" s="9">
        <v>85.8</v>
      </c>
      <c r="I1096" s="9">
        <v>86.5</v>
      </c>
      <c r="J1096" s="9">
        <v>84.4</v>
      </c>
      <c r="K1096" s="9">
        <v>83.7</v>
      </c>
      <c r="L1096" s="9">
        <v>85.1</v>
      </c>
      <c r="M1096" s="9">
        <v>83.8</v>
      </c>
      <c r="N1096" s="9">
        <v>83.5</v>
      </c>
      <c r="O1096" s="9">
        <v>84.7</v>
      </c>
      <c r="P1096" s="9">
        <v>83</v>
      </c>
      <c r="Q1096" s="9">
        <v>82.5</v>
      </c>
      <c r="R1096" s="7">
        <f t="shared" si="11"/>
        <v>7.5865079116922862E-2</v>
      </c>
      <c r="S1096" s="9"/>
      <c r="T1096" s="9"/>
      <c r="U1096" s="9"/>
      <c r="V1096" s="9"/>
      <c r="W1096" s="9"/>
      <c r="X1096" s="9"/>
      <c r="Y1096" s="9"/>
      <c r="Z1096" s="9"/>
      <c r="AA1096" s="9"/>
      <c r="AB1096" s="9"/>
    </row>
    <row r="1097" spans="1:28" ht="14.4" hidden="1">
      <c r="A1097" s="3">
        <f>LOOKUP(D1097,'AMFI DATA_2023H2'!F:L,'AMFI DATA_2023H2'!L:L)</f>
        <v>959</v>
      </c>
      <c r="B1097" s="4" t="s">
        <v>2753</v>
      </c>
      <c r="C1097" s="4" t="s">
        <v>2754</v>
      </c>
      <c r="D1097" s="5" t="s">
        <v>2755</v>
      </c>
      <c r="E1097" s="5">
        <v>1423.7</v>
      </c>
      <c r="F1097" s="6">
        <f>LOOKUP(D1097,'AMFI DATA_2023H2'!F:J,'AMFI DATA_2023H2'!J:J)</f>
        <v>1905.70875</v>
      </c>
      <c r="G1097" s="7">
        <f t="shared" si="10"/>
        <v>0.34175802047401005</v>
      </c>
      <c r="H1097" s="8">
        <v>2557</v>
      </c>
      <c r="I1097" s="8">
        <v>2592</v>
      </c>
      <c r="J1097" s="8">
        <v>2621</v>
      </c>
      <c r="K1097" s="8">
        <v>2517</v>
      </c>
      <c r="L1097" s="8">
        <v>2510</v>
      </c>
      <c r="M1097" s="8">
        <v>2481</v>
      </c>
      <c r="N1097" s="8">
        <v>2512</v>
      </c>
      <c r="O1097" s="8">
        <v>2553</v>
      </c>
      <c r="P1097" s="8">
        <v>2653</v>
      </c>
      <c r="Q1097" s="8">
        <v>2518</v>
      </c>
      <c r="R1097" s="7">
        <f t="shared" si="11"/>
        <v>0.33881948120351546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</row>
    <row r="1098" spans="1:28" ht="14.4" hidden="1">
      <c r="A1098" s="3">
        <f>LOOKUP(D1098,'AMFI DATA_2023H2'!F:L,'AMFI DATA_2023H2'!L:L)</f>
        <v>215</v>
      </c>
      <c r="B1098" s="4" t="s">
        <v>654</v>
      </c>
      <c r="C1098" s="4" t="s">
        <v>655</v>
      </c>
      <c r="D1098" s="5" t="s">
        <v>656</v>
      </c>
      <c r="E1098" s="5">
        <v>23358.9</v>
      </c>
      <c r="F1098" s="6">
        <f>LOOKUP(D1098,'AMFI DATA_2023H2'!F:J,'AMFI DATA_2023H2'!J:J)</f>
        <v>26966.243699999999</v>
      </c>
      <c r="G1098" s="7">
        <f t="shared" si="10"/>
        <v>7.6345683251390462E-2</v>
      </c>
      <c r="H1098" s="8">
        <v>29025</v>
      </c>
      <c r="I1098" s="8">
        <v>27411</v>
      </c>
      <c r="J1098" s="8">
        <v>27221</v>
      </c>
      <c r="K1098" s="8">
        <v>27230</v>
      </c>
      <c r="L1098" s="8">
        <v>27490</v>
      </c>
      <c r="M1098" s="8">
        <v>27323</v>
      </c>
      <c r="N1098" s="8">
        <v>27022</v>
      </c>
      <c r="O1098" s="8">
        <v>27004</v>
      </c>
      <c r="P1098" s="8">
        <v>26867</v>
      </c>
      <c r="Q1098" s="8">
        <v>27168</v>
      </c>
      <c r="R1098" s="7">
        <f t="shared" si="11"/>
        <v>1.5198865090728209E-2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</row>
    <row r="1099" spans="1:28" ht="14.4" hidden="1">
      <c r="A1099" s="3">
        <f>LOOKUP(D1099,'AMFI DATA_2023H2'!F:L,'AMFI DATA_2023H2'!L:L)</f>
        <v>324</v>
      </c>
      <c r="B1099" s="4" t="s">
        <v>981</v>
      </c>
      <c r="C1099" s="4" t="s">
        <v>982</v>
      </c>
      <c r="D1099" s="5" t="s">
        <v>983</v>
      </c>
      <c r="E1099" s="5">
        <v>9582.75</v>
      </c>
      <c r="F1099" s="6">
        <f>LOOKUP(D1099,'AMFI DATA_2023H2'!F:J,'AMFI DATA_2023H2'!J:J)</f>
        <v>14329.0247</v>
      </c>
      <c r="G1099" s="7">
        <f t="shared" si="10"/>
        <v>0.34175217103226863</v>
      </c>
      <c r="H1099" s="8">
        <v>19226</v>
      </c>
      <c r="I1099" s="8">
        <v>19126</v>
      </c>
      <c r="J1099" s="8">
        <v>18388</v>
      </c>
      <c r="K1099" s="8">
        <v>18407</v>
      </c>
      <c r="L1099" s="8">
        <v>18715</v>
      </c>
      <c r="M1099" s="8">
        <v>18416</v>
      </c>
      <c r="N1099" s="8">
        <v>18121</v>
      </c>
      <c r="O1099" s="8">
        <v>17980</v>
      </c>
      <c r="P1099" s="8">
        <v>18613</v>
      </c>
      <c r="Q1099" s="8">
        <v>18811</v>
      </c>
      <c r="R1099" s="7">
        <f t="shared" si="11"/>
        <v>0.29668978796582013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</row>
    <row r="1100" spans="1:28" ht="14.4" hidden="1">
      <c r="A1100" s="3">
        <f>LOOKUP(D1100,'AMFI DATA_2023H2'!F:L,'AMFI DATA_2023H2'!L:L)</f>
        <v>151</v>
      </c>
      <c r="B1100" s="4" t="s">
        <v>462</v>
      </c>
      <c r="C1100" s="4" t="s">
        <v>463</v>
      </c>
      <c r="D1100" s="5" t="s">
        <v>464</v>
      </c>
      <c r="E1100" s="5">
        <v>36649.31</v>
      </c>
      <c r="F1100" s="6">
        <f>LOOKUP(D1100,'AMFI DATA_2023H2'!F:J,'AMFI DATA_2023H2'!J:J)</f>
        <v>43968.6299</v>
      </c>
      <c r="G1100" s="7">
        <f t="shared" si="10"/>
        <v>0.12953258068202844</v>
      </c>
      <c r="H1100" s="8">
        <v>49664</v>
      </c>
      <c r="I1100" s="8">
        <v>49053</v>
      </c>
      <c r="J1100" s="8">
        <v>48655</v>
      </c>
      <c r="K1100" s="8">
        <v>50452</v>
      </c>
      <c r="L1100" s="8">
        <v>51579</v>
      </c>
      <c r="M1100" s="8">
        <v>51593</v>
      </c>
      <c r="N1100" s="8">
        <v>51469</v>
      </c>
      <c r="O1100" s="8">
        <v>51609</v>
      </c>
      <c r="P1100" s="8">
        <v>51203</v>
      </c>
      <c r="Q1100" s="8">
        <v>51691</v>
      </c>
      <c r="R1100" s="7">
        <f t="shared" si="11"/>
        <v>0.1530220549355803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</row>
    <row r="1101" spans="1:28" ht="14.4" hidden="1">
      <c r="A1101" s="3">
        <f>LOOKUP(D1101,'AMFI DATA_2023H2'!F:L,'AMFI DATA_2023H2'!L:L)</f>
        <v>836</v>
      </c>
      <c r="B1101" s="4" t="s">
        <v>2426</v>
      </c>
      <c r="C1101" s="4" t="s">
        <v>2427</v>
      </c>
      <c r="D1101" s="5" t="s">
        <v>2428</v>
      </c>
      <c r="E1101" s="5">
        <v>1738.28</v>
      </c>
      <c r="F1101" s="6">
        <f>LOOKUP(D1101,'AMFI DATA_2023H2'!F:J,'AMFI DATA_2023H2'!J:J)</f>
        <v>2600.8553499999998</v>
      </c>
      <c r="G1101" s="7">
        <f t="shared" si="10"/>
        <v>0.16384788565807784</v>
      </c>
      <c r="H1101" s="8">
        <v>3027</v>
      </c>
      <c r="I1101" s="8">
        <v>3002</v>
      </c>
      <c r="J1101" s="8">
        <v>2989</v>
      </c>
      <c r="K1101" s="8">
        <v>2991</v>
      </c>
      <c r="L1101" s="8">
        <v>2919</v>
      </c>
      <c r="M1101" s="8">
        <v>2911</v>
      </c>
      <c r="N1101" s="8">
        <v>2908</v>
      </c>
      <c r="O1101" s="8">
        <v>2901</v>
      </c>
      <c r="P1101" s="8">
        <v>2906</v>
      </c>
      <c r="Q1101" s="8">
        <v>2948</v>
      </c>
      <c r="R1101" s="7">
        <f t="shared" si="11"/>
        <v>0.13431913850956767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</row>
    <row r="1102" spans="1:28" ht="14.4" hidden="1">
      <c r="A1102" s="3">
        <f>LOOKUP(D1102,'AMFI DATA_2023H2'!F:L,'AMFI DATA_2023H2'!L:L)</f>
        <v>145</v>
      </c>
      <c r="B1102" s="4" t="s">
        <v>444</v>
      </c>
      <c r="C1102" s="4" t="s">
        <v>445</v>
      </c>
      <c r="D1102" s="5" t="s">
        <v>446</v>
      </c>
      <c r="E1102" s="5">
        <v>38623.360000000001</v>
      </c>
      <c r="F1102" s="6">
        <f>LOOKUP(D1102,'AMFI DATA_2023H2'!F:J,'AMFI DATA_2023H2'!J:J)</f>
        <v>46269.675900000002</v>
      </c>
      <c r="G1102" s="7">
        <f t="shared" si="10"/>
        <v>0.21684448626103303</v>
      </c>
      <c r="H1102" s="8">
        <v>56303</v>
      </c>
      <c r="I1102" s="8">
        <v>55760</v>
      </c>
      <c r="J1102" s="8">
        <v>55296</v>
      </c>
      <c r="K1102" s="8">
        <v>54993</v>
      </c>
      <c r="L1102" s="8">
        <v>54697</v>
      </c>
      <c r="M1102" s="8">
        <v>54806</v>
      </c>
      <c r="N1102" s="8">
        <v>53594</v>
      </c>
      <c r="O1102" s="8">
        <v>50995</v>
      </c>
      <c r="P1102" s="8">
        <v>50983</v>
      </c>
      <c r="Q1102" s="8">
        <v>50687</v>
      </c>
      <c r="R1102" s="7">
        <f t="shared" si="11"/>
        <v>0.16299496275486125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</row>
    <row r="1103" spans="1:28" ht="14.4" hidden="1">
      <c r="A1103" s="3">
        <f>LOOKUP(D1103,'AMFI DATA_2023H2'!F:L,'AMFI DATA_2023H2'!L:L)</f>
        <v>2309</v>
      </c>
      <c r="B1103" s="4" t="s">
        <v>5141</v>
      </c>
      <c r="C1103" s="4" t="s">
        <v>5142</v>
      </c>
      <c r="D1103" s="5" t="s">
        <v>5143</v>
      </c>
      <c r="E1103" s="5">
        <v>107.89</v>
      </c>
      <c r="F1103" s="6">
        <f>LOOKUP(D1103,'AMFI DATA_2023H2'!F:J,'AMFI DATA_2023H2'!J:J)</f>
        <v>110.39870000000001</v>
      </c>
      <c r="G1103" s="7">
        <f t="shared" si="10"/>
        <v>5.9795088166799015E-2</v>
      </c>
      <c r="H1103" s="9">
        <v>117</v>
      </c>
      <c r="I1103" s="9">
        <v>111</v>
      </c>
      <c r="J1103" s="9">
        <v>113</v>
      </c>
      <c r="K1103" s="9">
        <v>113</v>
      </c>
      <c r="L1103" s="9">
        <v>109</v>
      </c>
      <c r="M1103" s="9">
        <v>106</v>
      </c>
      <c r="N1103" s="9">
        <v>108</v>
      </c>
      <c r="O1103" s="9">
        <v>108</v>
      </c>
      <c r="P1103" s="9">
        <v>109</v>
      </c>
      <c r="Q1103" s="9">
        <v>109</v>
      </c>
      <c r="R1103" s="7">
        <f t="shared" si="11"/>
        <v>-8.9403226668438585E-4</v>
      </c>
      <c r="S1103" s="9"/>
      <c r="T1103" s="9"/>
      <c r="U1103" s="9"/>
      <c r="V1103" s="9"/>
      <c r="W1103" s="9"/>
      <c r="X1103" s="9"/>
      <c r="Y1103" s="9"/>
      <c r="Z1103" s="9"/>
      <c r="AA1103" s="9"/>
      <c r="AB1103" s="9"/>
    </row>
    <row r="1104" spans="1:28" ht="14.4" hidden="1">
      <c r="A1104" s="3">
        <f>LOOKUP(D1104,'AMFI DATA_2023H2'!F:L,'AMFI DATA_2023H2'!L:L)</f>
        <v>556</v>
      </c>
      <c r="B1104" s="4" t="s">
        <v>1647</v>
      </c>
      <c r="C1104" s="4" t="s">
        <v>1648</v>
      </c>
      <c r="D1104" s="5" t="s">
        <v>1649</v>
      </c>
      <c r="E1104" s="5">
        <v>3483.6</v>
      </c>
      <c r="F1104" s="6">
        <f>LOOKUP(D1104,'AMFI DATA_2023H2'!F:J,'AMFI DATA_2023H2'!J:J)</f>
        <v>6201.8824000000004</v>
      </c>
      <c r="G1104" s="7">
        <f t="shared" si="10"/>
        <v>0.13691288309497773</v>
      </c>
      <c r="H1104" s="8">
        <v>7051</v>
      </c>
      <c r="I1104" s="8">
        <v>7040</v>
      </c>
      <c r="J1104" s="8">
        <v>6949</v>
      </c>
      <c r="K1104" s="8">
        <v>7116</v>
      </c>
      <c r="L1104" s="8">
        <v>6640</v>
      </c>
      <c r="M1104" s="8">
        <v>6567</v>
      </c>
      <c r="N1104" s="8">
        <v>6685</v>
      </c>
      <c r="O1104" s="8">
        <v>6803</v>
      </c>
      <c r="P1104" s="8">
        <v>6818</v>
      </c>
      <c r="Q1104" s="8">
        <v>6751</v>
      </c>
      <c r="R1104" s="7">
        <f t="shared" si="11"/>
        <v>0.10321343726220933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</row>
    <row r="1105" spans="1:28" ht="14.4" hidden="1">
      <c r="A1105" s="3">
        <f>LOOKUP(D1105,'AMFI DATA_2023H2'!F:L,'AMFI DATA_2023H2'!L:L)</f>
        <v>1420</v>
      </c>
      <c r="B1105" s="4" t="s">
        <v>3815</v>
      </c>
      <c r="C1105" s="4" t="s">
        <v>3816</v>
      </c>
      <c r="D1105" s="5" t="s">
        <v>3817</v>
      </c>
      <c r="E1105" s="5">
        <v>340.01</v>
      </c>
      <c r="F1105" s="6">
        <f>LOOKUP(D1105,'AMFI DATA_2023H2'!F:J,'AMFI DATA_2023H2'!J:J)</f>
        <v>621.31134999999995</v>
      </c>
      <c r="G1105" s="7">
        <f t="shared" si="10"/>
        <v>0.55155704140927098</v>
      </c>
      <c r="H1105" s="9">
        <v>964</v>
      </c>
      <c r="I1105" s="9">
        <v>953</v>
      </c>
      <c r="J1105" s="9">
        <v>935</v>
      </c>
      <c r="K1105" s="9">
        <v>938</v>
      </c>
      <c r="L1105" s="9">
        <v>957</v>
      </c>
      <c r="M1105" s="9">
        <v>952</v>
      </c>
      <c r="N1105" s="9">
        <v>972</v>
      </c>
      <c r="O1105" s="9">
        <v>991</v>
      </c>
      <c r="P1105" s="9">
        <v>949</v>
      </c>
      <c r="Q1105" s="9">
        <v>942</v>
      </c>
      <c r="R1105" s="7">
        <f t="shared" si="11"/>
        <v>0.53755440006045285</v>
      </c>
      <c r="S1105" s="9"/>
      <c r="T1105" s="9"/>
      <c r="U1105" s="9"/>
      <c r="V1105" s="9"/>
      <c r="W1105" s="9"/>
      <c r="X1105" s="9"/>
      <c r="Y1105" s="9"/>
      <c r="Z1105" s="9"/>
      <c r="AA1105" s="9"/>
      <c r="AB1105" s="9"/>
    </row>
    <row r="1106" spans="1:28" ht="14.4" hidden="1">
      <c r="A1106" s="3">
        <f>LOOKUP(D1106,'AMFI DATA_2023H2'!F:L,'AMFI DATA_2023H2'!L:L)</f>
        <v>779</v>
      </c>
      <c r="B1106" s="4" t="s">
        <v>2270</v>
      </c>
      <c r="C1106" s="4" t="s">
        <v>2271</v>
      </c>
      <c r="D1106" s="5" t="s">
        <v>2272</v>
      </c>
      <c r="E1106" s="5">
        <v>2063.67</v>
      </c>
      <c r="F1106" s="6">
        <f>LOOKUP(D1106,'AMFI DATA_2023H2'!F:J,'AMFI DATA_2023H2'!J:J)</f>
        <v>3058.0002500000001</v>
      </c>
      <c r="G1106" s="7">
        <f t="shared" si="10"/>
        <v>0.43982983650835217</v>
      </c>
      <c r="H1106" s="8">
        <v>4403</v>
      </c>
      <c r="I1106" s="8">
        <v>4554</v>
      </c>
      <c r="J1106" s="8">
        <v>4540</v>
      </c>
      <c r="K1106" s="8">
        <v>4548</v>
      </c>
      <c r="L1106" s="8">
        <v>4637</v>
      </c>
      <c r="M1106" s="8">
        <v>4715</v>
      </c>
      <c r="N1106" s="8">
        <v>4530</v>
      </c>
      <c r="O1106" s="8">
        <v>4368</v>
      </c>
      <c r="P1106" s="8">
        <v>4533</v>
      </c>
      <c r="Q1106" s="8">
        <v>3999</v>
      </c>
      <c r="R1106" s="7">
        <f t="shared" si="11"/>
        <v>0.46589262051237568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</row>
    <row r="1107" spans="1:28" ht="14.4" hidden="1">
      <c r="A1107" s="3">
        <f>LOOKUP(D1107,'AMFI DATA_2023H2'!F:L,'AMFI DATA_2023H2'!L:L)</f>
        <v>3161</v>
      </c>
      <c r="B1107" s="4" t="s">
        <v>5596</v>
      </c>
      <c r="C1107" s="4" t="s">
        <v>5597</v>
      </c>
      <c r="D1107" s="5" t="s">
        <v>5598</v>
      </c>
      <c r="E1107" s="5">
        <v>35.71</v>
      </c>
      <c r="F1107" s="6">
        <f>LOOKUP(D1107,'AMFI DATA_2023H2'!F:J,'AMFI DATA_2023H2'!J:J)</f>
        <v>30.017299999999999</v>
      </c>
      <c r="G1107" s="7">
        <f t="shared" si="10"/>
        <v>-4.3884693160277544E-2</v>
      </c>
      <c r="H1107" s="9">
        <v>28.7</v>
      </c>
      <c r="I1107" s="9">
        <v>28.9</v>
      </c>
      <c r="J1107" s="9">
        <v>28.5</v>
      </c>
      <c r="K1107" s="9">
        <v>28.2</v>
      </c>
      <c r="L1107" s="9">
        <v>28.5</v>
      </c>
      <c r="M1107" s="9">
        <v>28.9</v>
      </c>
      <c r="N1107" s="9">
        <v>28.2</v>
      </c>
      <c r="O1107" s="9">
        <v>27.8</v>
      </c>
      <c r="P1107" s="9">
        <v>28.5</v>
      </c>
      <c r="Q1107" s="9">
        <v>28.2</v>
      </c>
      <c r="R1107" s="7">
        <f t="shared" si="11"/>
        <v>-5.254636492955711E-2</v>
      </c>
      <c r="S1107" s="9"/>
      <c r="T1107" s="9"/>
      <c r="U1107" s="9"/>
      <c r="V1107" s="9"/>
      <c r="W1107" s="9"/>
      <c r="X1107" s="9"/>
      <c r="Y1107" s="9"/>
      <c r="Z1107" s="9"/>
      <c r="AA1107" s="9"/>
      <c r="AB1107" s="9"/>
    </row>
    <row r="1108" spans="1:28" ht="14.4" hidden="1">
      <c r="A1108" s="3">
        <f>LOOKUP(D1108,'AMFI DATA_2023H2'!F:L,'AMFI DATA_2023H2'!L:L)</f>
        <v>509</v>
      </c>
      <c r="B1108" s="4" t="s">
        <v>1512</v>
      </c>
      <c r="C1108" s="4" t="s">
        <v>1513</v>
      </c>
      <c r="D1108" s="5" t="s">
        <v>1514</v>
      </c>
      <c r="E1108" s="5">
        <v>5415.27</v>
      </c>
      <c r="F1108" s="6">
        <f>LOOKUP(D1108,'AMFI DATA_2023H2'!F:J,'AMFI DATA_2023H2'!J:J)</f>
        <v>7180.7134000000005</v>
      </c>
      <c r="G1108" s="7">
        <f t="shared" si="10"/>
        <v>-6.2210169814046701E-2</v>
      </c>
      <c r="H1108" s="8">
        <v>6734</v>
      </c>
      <c r="I1108" s="8">
        <v>6732</v>
      </c>
      <c r="J1108" s="8">
        <v>6732</v>
      </c>
      <c r="K1108" s="8">
        <v>6706</v>
      </c>
      <c r="L1108" s="8">
        <v>6808</v>
      </c>
      <c r="M1108" s="8">
        <v>6790</v>
      </c>
      <c r="N1108" s="8">
        <v>6782</v>
      </c>
      <c r="O1108" s="8">
        <v>6569</v>
      </c>
      <c r="P1108" s="8">
        <v>6692</v>
      </c>
      <c r="Q1108" s="8">
        <v>6880</v>
      </c>
      <c r="R1108" s="7">
        <f t="shared" si="11"/>
        <v>-6.1026443417168119E-2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</row>
    <row r="1109" spans="1:28" ht="14.4" hidden="1">
      <c r="A1109" s="3">
        <f>LOOKUP(D1109,'AMFI DATA_2023H2'!F:L,'AMFI DATA_2023H2'!L:L)</f>
        <v>1019</v>
      </c>
      <c r="B1109" s="4" t="s">
        <v>2918</v>
      </c>
      <c r="C1109" s="4" t="s">
        <v>2919</v>
      </c>
      <c r="D1109" s="5" t="s">
        <v>2920</v>
      </c>
      <c r="E1109" s="5">
        <v>1315.69</v>
      </c>
      <c r="F1109" s="6">
        <f>LOOKUP(D1109,'AMFI DATA_2023H2'!F:J,'AMFI DATA_2023H2'!J:J)</f>
        <v>1629.1961999999999</v>
      </c>
      <c r="G1109" s="7">
        <f t="shared" si="10"/>
        <v>0.60815499078625401</v>
      </c>
      <c r="H1109" s="8">
        <v>2620</v>
      </c>
      <c r="I1109" s="8">
        <v>2649</v>
      </c>
      <c r="J1109" s="8">
        <v>2657</v>
      </c>
      <c r="K1109" s="8">
        <v>2525</v>
      </c>
      <c r="L1109" s="8">
        <v>2526</v>
      </c>
      <c r="M1109" s="8">
        <v>2481</v>
      </c>
      <c r="N1109" s="8">
        <v>2571</v>
      </c>
      <c r="O1109" s="8">
        <v>2602</v>
      </c>
      <c r="P1109" s="8">
        <v>2726</v>
      </c>
      <c r="Q1109" s="8">
        <v>2594</v>
      </c>
      <c r="R1109" s="7">
        <f t="shared" si="11"/>
        <v>0.59287138037763665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</row>
    <row r="1110" spans="1:28" ht="14.4">
      <c r="A1110" s="3">
        <f>LOOKUP(D1110,'AMFI DATA_2023H2'!F:L,'AMFI DATA_2023H2'!L:L)</f>
        <v>871</v>
      </c>
      <c r="B1110" s="4" t="s">
        <v>2525</v>
      </c>
      <c r="C1110" s="4" t="s">
        <v>2526</v>
      </c>
      <c r="D1110" s="5" t="s">
        <v>2527</v>
      </c>
      <c r="E1110" s="5">
        <v>1882.15</v>
      </c>
      <c r="F1110" s="6">
        <f>LOOKUP(D1110,'AMFI DATA_2023H2'!F:J,'AMFI DATA_2023H2'!J:J)</f>
        <v>2372.1661999999997</v>
      </c>
      <c r="G1110" s="7">
        <f t="shared" si="10"/>
        <v>0.21829575010385049</v>
      </c>
      <c r="H1110" s="8">
        <v>2890</v>
      </c>
      <c r="I1110" s="8">
        <v>2975</v>
      </c>
      <c r="J1110" s="8">
        <v>2966</v>
      </c>
      <c r="K1110" s="8">
        <v>2888</v>
      </c>
      <c r="L1110" s="8">
        <v>2818</v>
      </c>
      <c r="M1110" s="8">
        <v>2871</v>
      </c>
      <c r="N1110" s="8">
        <v>2813</v>
      </c>
      <c r="O1110" s="8">
        <v>2896</v>
      </c>
      <c r="P1110" s="8">
        <v>2860</v>
      </c>
      <c r="Q1110" s="8">
        <v>2828</v>
      </c>
      <c r="R1110" s="14">
        <f t="shared" si="11"/>
        <v>0.21429097168655398</v>
      </c>
      <c r="S1110" s="8"/>
      <c r="T1110" s="8">
        <v>199.8</v>
      </c>
      <c r="U1110" s="15">
        <f ca="1">IFERROR(__xludf.DUMMYFUNCTION("GOOGLEFINANCE(C1110,""PRICE"")"),186)</f>
        <v>186</v>
      </c>
      <c r="V1110" s="13" t="s">
        <v>5787</v>
      </c>
      <c r="W1110" s="7">
        <f ca="1">U1110/T1110-1</f>
        <v>-6.9069069069069067E-2</v>
      </c>
      <c r="X1110" s="8"/>
      <c r="Y1110" s="8"/>
      <c r="Z1110" s="8"/>
      <c r="AA1110" s="8"/>
      <c r="AB1110" s="8"/>
    </row>
    <row r="1111" spans="1:28" ht="14.4" hidden="1">
      <c r="A1111" s="3">
        <f>LOOKUP(D1111,'AMFI DATA_2023H2'!F:L,'AMFI DATA_2023H2'!L:L)</f>
        <v>2140</v>
      </c>
      <c r="B1111" s="4" t="s">
        <v>4937</v>
      </c>
      <c r="C1111" s="4" t="s">
        <v>4938</v>
      </c>
      <c r="D1111" s="5" t="s">
        <v>4939</v>
      </c>
      <c r="E1111" s="5">
        <v>116.95</v>
      </c>
      <c r="F1111" s="6">
        <f>LOOKUP(D1111,'AMFI DATA_2023H2'!F:J,'AMFI DATA_2023H2'!J:J)</f>
        <v>147.97469999999998</v>
      </c>
      <c r="G1111" s="7">
        <f t="shared" si="10"/>
        <v>0.22993998298357776</v>
      </c>
      <c r="H1111" s="9">
        <v>182</v>
      </c>
      <c r="I1111" s="9">
        <v>182</v>
      </c>
      <c r="J1111" s="9">
        <v>182</v>
      </c>
      <c r="K1111" s="9">
        <v>180</v>
      </c>
      <c r="L1111" s="9">
        <v>177</v>
      </c>
      <c r="M1111" s="9">
        <v>173</v>
      </c>
      <c r="N1111" s="9">
        <v>172</v>
      </c>
      <c r="O1111" s="9">
        <v>174</v>
      </c>
      <c r="P1111" s="9">
        <v>170</v>
      </c>
      <c r="Q1111" s="9">
        <v>171</v>
      </c>
      <c r="R1111" s="7">
        <f t="shared" si="11"/>
        <v>0.19141988461541071</v>
      </c>
      <c r="S1111" s="9"/>
      <c r="T1111" s="9"/>
      <c r="U1111" s="9"/>
      <c r="V1111" s="9"/>
      <c r="W1111" s="9"/>
      <c r="X1111" s="9"/>
      <c r="Y1111" s="9"/>
      <c r="Z1111" s="9"/>
      <c r="AA1111" s="9"/>
      <c r="AB1111" s="9"/>
    </row>
    <row r="1112" spans="1:28" ht="14.4" hidden="1">
      <c r="A1112" s="3">
        <f>LOOKUP(D1112,'AMFI DATA_2023H2'!F:L,'AMFI DATA_2023H2'!L:L)</f>
        <v>1898</v>
      </c>
      <c r="B1112" s="4" t="s">
        <v>4607</v>
      </c>
      <c r="C1112" s="4" t="s">
        <v>4608</v>
      </c>
      <c r="D1112" s="5" t="s">
        <v>4609</v>
      </c>
      <c r="E1112" s="5">
        <v>221</v>
      </c>
      <c r="F1112" s="6">
        <f>LOOKUP(D1112,'AMFI DATA_2023H2'!F:J,'AMFI DATA_2023H2'!J:J)</f>
        <v>221.54939999999999</v>
      </c>
      <c r="G1112" s="7">
        <f t="shared" si="10"/>
        <v>71.372121070966571</v>
      </c>
      <c r="H1112" s="8">
        <v>16034</v>
      </c>
      <c r="I1112" s="8">
        <v>16226</v>
      </c>
      <c r="J1112" s="8">
        <v>16175</v>
      </c>
      <c r="K1112" s="8">
        <v>16208</v>
      </c>
      <c r="L1112" s="8">
        <v>16148</v>
      </c>
      <c r="M1112" s="8">
        <v>16311</v>
      </c>
      <c r="N1112" s="8">
        <v>16239</v>
      </c>
      <c r="O1112" s="8">
        <v>16260</v>
      </c>
      <c r="P1112" s="8">
        <v>16038</v>
      </c>
      <c r="Q1112" s="8">
        <v>16136</v>
      </c>
      <c r="R1112" s="7">
        <f t="shared" si="11"/>
        <v>72.019832145787802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</row>
    <row r="1113" spans="1:28" ht="14.4" hidden="1">
      <c r="A1113" s="3">
        <f>LOOKUP(D1113,'AMFI DATA_2023H2'!F:L,'AMFI DATA_2023H2'!L:L)</f>
        <v>1414</v>
      </c>
      <c r="B1113" s="4" t="s">
        <v>3800</v>
      </c>
      <c r="C1113" s="4" t="s">
        <v>3801</v>
      </c>
      <c r="D1113" s="5" t="s">
        <v>3802</v>
      </c>
      <c r="E1113" s="5">
        <v>454.19</v>
      </c>
      <c r="F1113" s="6">
        <f>LOOKUP(D1113,'AMFI DATA_2023H2'!F:J,'AMFI DATA_2023H2'!J:J)</f>
        <v>625.4701</v>
      </c>
      <c r="G1113" s="7">
        <f t="shared" si="10"/>
        <v>0.4229297291749039</v>
      </c>
      <c r="H1113" s="9">
        <v>890</v>
      </c>
      <c r="I1113" s="9">
        <v>903</v>
      </c>
      <c r="J1113" s="9">
        <v>905</v>
      </c>
      <c r="K1113" s="9">
        <v>878</v>
      </c>
      <c r="L1113" s="9">
        <v>894</v>
      </c>
      <c r="M1113" s="9">
        <v>870</v>
      </c>
      <c r="N1113" s="9">
        <v>870</v>
      </c>
      <c r="O1113" s="9">
        <v>872</v>
      </c>
      <c r="P1113" s="9">
        <v>793</v>
      </c>
      <c r="Q1113" s="9">
        <v>807</v>
      </c>
      <c r="R1113" s="7">
        <f t="shared" si="11"/>
        <v>0.38807594479736118</v>
      </c>
      <c r="S1113" s="9"/>
      <c r="T1113" s="9"/>
      <c r="U1113" s="9"/>
      <c r="V1113" s="9"/>
      <c r="W1113" s="9"/>
      <c r="X1113" s="9"/>
      <c r="Y1113" s="9"/>
      <c r="Z1113" s="9"/>
      <c r="AA1113" s="9"/>
      <c r="AB1113" s="9"/>
    </row>
    <row r="1114" spans="1:28" ht="14.4" hidden="1">
      <c r="A1114" s="3">
        <f>LOOKUP(D1114,'AMFI DATA_2023H2'!F:L,'AMFI DATA_2023H2'!L:L)</f>
        <v>1458</v>
      </c>
      <c r="B1114" s="4" t="s">
        <v>3872</v>
      </c>
      <c r="C1114" s="4" t="s">
        <v>3873</v>
      </c>
      <c r="D1114" s="5" t="s">
        <v>3874</v>
      </c>
      <c r="E1114" s="5">
        <v>402.46</v>
      </c>
      <c r="F1114" s="6">
        <f>LOOKUP(D1114,'AMFI DATA_2023H2'!F:J,'AMFI DATA_2023H2'!J:J)</f>
        <v>566.82555000000002</v>
      </c>
      <c r="G1114" s="7">
        <f t="shared" si="10"/>
        <v>2.1478301392729993E-2</v>
      </c>
      <c r="H1114" s="9">
        <v>579</v>
      </c>
      <c r="I1114" s="9">
        <v>579</v>
      </c>
      <c r="J1114" s="9">
        <v>584</v>
      </c>
      <c r="K1114" s="9">
        <v>574</v>
      </c>
      <c r="L1114" s="9">
        <v>579</v>
      </c>
      <c r="M1114" s="9">
        <v>578</v>
      </c>
      <c r="N1114" s="9">
        <v>582</v>
      </c>
      <c r="O1114" s="9">
        <v>595</v>
      </c>
      <c r="P1114" s="9">
        <v>542</v>
      </c>
      <c r="Q1114" s="9">
        <v>546</v>
      </c>
      <c r="R1114" s="7">
        <f t="shared" si="11"/>
        <v>1.2304403003710718E-2</v>
      </c>
      <c r="S1114" s="9"/>
      <c r="T1114" s="9"/>
      <c r="U1114" s="9"/>
      <c r="V1114" s="9"/>
      <c r="W1114" s="9"/>
      <c r="X1114" s="9"/>
      <c r="Y1114" s="9"/>
      <c r="Z1114" s="9"/>
      <c r="AA1114" s="9"/>
      <c r="AB1114" s="9"/>
    </row>
    <row r="1115" spans="1:28" ht="14.4" hidden="1">
      <c r="A1115" s="3">
        <f>LOOKUP(D1115,'AMFI DATA_2023H2'!F:L,'AMFI DATA_2023H2'!L:L)</f>
        <v>1770</v>
      </c>
      <c r="B1115" s="4" t="s">
        <v>4439</v>
      </c>
      <c r="C1115" s="4" t="s">
        <v>4440</v>
      </c>
      <c r="D1115" s="5" t="s">
        <v>4441</v>
      </c>
      <c r="E1115" s="5">
        <v>218.54</v>
      </c>
      <c r="F1115" s="6">
        <f>LOOKUP(D1115,'AMFI DATA_2023H2'!F:J,'AMFI DATA_2023H2'!J:J)</f>
        <v>286.87995000000001</v>
      </c>
      <c r="G1115" s="7">
        <f t="shared" si="10"/>
        <v>0.21653674298256109</v>
      </c>
      <c r="H1115" s="9">
        <v>349</v>
      </c>
      <c r="I1115" s="9">
        <v>330</v>
      </c>
      <c r="J1115" s="9">
        <v>317</v>
      </c>
      <c r="K1115" s="9">
        <v>306</v>
      </c>
      <c r="L1115" s="9">
        <v>313</v>
      </c>
      <c r="M1115" s="9">
        <v>308</v>
      </c>
      <c r="N1115" s="9">
        <v>302</v>
      </c>
      <c r="O1115" s="9">
        <v>306</v>
      </c>
      <c r="P1115" s="9">
        <v>307</v>
      </c>
      <c r="Q1115" s="9">
        <v>311</v>
      </c>
      <c r="R1115" s="7">
        <f t="shared" si="11"/>
        <v>9.7671691590855314E-2</v>
      </c>
      <c r="S1115" s="9"/>
      <c r="T1115" s="9"/>
      <c r="U1115" s="9"/>
      <c r="V1115" s="9"/>
      <c r="W1115" s="9"/>
      <c r="X1115" s="9"/>
      <c r="Y1115" s="9"/>
      <c r="Z1115" s="9"/>
      <c r="AA1115" s="9"/>
      <c r="AB1115" s="9"/>
    </row>
    <row r="1116" spans="1:28" ht="14.4" hidden="1">
      <c r="A1116" s="3">
        <f>LOOKUP(D1116,'AMFI DATA_2023H2'!F:L,'AMFI DATA_2023H2'!L:L)</f>
        <v>1507</v>
      </c>
      <c r="B1116" s="4" t="s">
        <v>3974</v>
      </c>
      <c r="C1116" s="4" t="s">
        <v>3975</v>
      </c>
      <c r="D1116" s="5" t="s">
        <v>3976</v>
      </c>
      <c r="E1116" s="5">
        <v>452.75</v>
      </c>
      <c r="F1116" s="6">
        <f>LOOKUP(D1116,'AMFI DATA_2023H2'!F:J,'AMFI DATA_2023H2'!J:J)</f>
        <v>500.95769999999999</v>
      </c>
      <c r="G1116" s="7">
        <f t="shared" si="10"/>
        <v>0.22565238542096466</v>
      </c>
      <c r="H1116" s="9">
        <v>614</v>
      </c>
      <c r="I1116" s="9">
        <v>614</v>
      </c>
      <c r="J1116" s="9">
        <v>599</v>
      </c>
      <c r="K1116" s="9">
        <v>589</v>
      </c>
      <c r="L1116" s="9">
        <v>595</v>
      </c>
      <c r="M1116" s="9">
        <v>590</v>
      </c>
      <c r="N1116" s="9">
        <v>581</v>
      </c>
      <c r="O1116" s="9">
        <v>583</v>
      </c>
      <c r="P1116" s="9">
        <v>576</v>
      </c>
      <c r="Q1116" s="9">
        <v>589</v>
      </c>
      <c r="R1116" s="7">
        <f t="shared" si="11"/>
        <v>0.18373267842773955</v>
      </c>
      <c r="S1116" s="9"/>
      <c r="T1116" s="9"/>
      <c r="U1116" s="9"/>
      <c r="V1116" s="9"/>
      <c r="W1116" s="9"/>
      <c r="X1116" s="9"/>
      <c r="Y1116" s="9"/>
      <c r="Z1116" s="9"/>
      <c r="AA1116" s="9"/>
      <c r="AB1116" s="9"/>
    </row>
    <row r="1117" spans="1:28" ht="14.4" hidden="1">
      <c r="A1117" s="3">
        <f>LOOKUP(D1117,'AMFI DATA_2023H2'!F:L,'AMFI DATA_2023H2'!L:L)</f>
        <v>1389</v>
      </c>
      <c r="B1117" s="4" t="s">
        <v>3752</v>
      </c>
      <c r="C1117" s="4" t="s">
        <v>3753</v>
      </c>
      <c r="D1117" s="5" t="s">
        <v>3754</v>
      </c>
      <c r="E1117" s="5">
        <v>486.61</v>
      </c>
      <c r="F1117" s="6">
        <f>LOOKUP(D1117,'AMFI DATA_2023H2'!F:J,'AMFI DATA_2023H2'!J:J)</f>
        <v>654.82455000000004</v>
      </c>
      <c r="G1117" s="7">
        <f t="shared" si="10"/>
        <v>-4.707299077287197E-2</v>
      </c>
      <c r="H1117" s="9">
        <v>624</v>
      </c>
      <c r="I1117" s="9">
        <v>632</v>
      </c>
      <c r="J1117" s="9">
        <v>635</v>
      </c>
      <c r="K1117" s="9">
        <v>630</v>
      </c>
      <c r="L1117" s="9">
        <v>624</v>
      </c>
      <c r="M1117" s="9">
        <v>616</v>
      </c>
      <c r="N1117" s="9">
        <v>612</v>
      </c>
      <c r="O1117" s="9">
        <v>605</v>
      </c>
      <c r="P1117" s="9">
        <v>646</v>
      </c>
      <c r="Q1117" s="9">
        <v>637</v>
      </c>
      <c r="R1117" s="7">
        <f t="shared" si="11"/>
        <v>-4.386602487643454E-2</v>
      </c>
      <c r="S1117" s="9"/>
      <c r="T1117" s="9"/>
      <c r="U1117" s="9"/>
      <c r="V1117" s="9"/>
      <c r="W1117" s="9"/>
      <c r="X1117" s="9"/>
      <c r="Y1117" s="9"/>
      <c r="Z1117" s="9"/>
      <c r="AA1117" s="9"/>
      <c r="AB1117" s="9"/>
    </row>
    <row r="1118" spans="1:28" ht="14.4" hidden="1">
      <c r="A1118" s="3">
        <f>LOOKUP(D1118,'AMFI DATA_2023H2'!F:L,'AMFI DATA_2023H2'!L:L)</f>
        <v>120</v>
      </c>
      <c r="B1118" s="4" t="s">
        <v>372</v>
      </c>
      <c r="C1118" s="4" t="s">
        <v>373</v>
      </c>
      <c r="D1118" s="5" t="s">
        <v>374</v>
      </c>
      <c r="E1118" s="5">
        <v>42091.62</v>
      </c>
      <c r="F1118" s="6">
        <f>LOOKUP(D1118,'AMFI DATA_2023H2'!F:J,'AMFI DATA_2023H2'!J:J)</f>
        <v>52908.412349999999</v>
      </c>
      <c r="G1118" s="7">
        <f t="shared" si="10"/>
        <v>0.13749396980346162</v>
      </c>
      <c r="H1118" s="8">
        <v>60183</v>
      </c>
      <c r="I1118" s="8">
        <v>60933</v>
      </c>
      <c r="J1118" s="8">
        <v>59203</v>
      </c>
      <c r="K1118" s="8">
        <v>58308</v>
      </c>
      <c r="L1118" s="8">
        <v>58930</v>
      </c>
      <c r="M1118" s="8">
        <v>59468</v>
      </c>
      <c r="N1118" s="8">
        <v>60179</v>
      </c>
      <c r="O1118" s="8">
        <v>59165</v>
      </c>
      <c r="P1118" s="8">
        <v>58265</v>
      </c>
      <c r="Q1118" s="8">
        <v>59219</v>
      </c>
      <c r="R1118" s="7">
        <f t="shared" si="11"/>
        <v>0.12241697231725768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</row>
    <row r="1119" spans="1:28" ht="14.4" hidden="1">
      <c r="A1119" s="3">
        <f>LOOKUP(D1119,'AMFI DATA_2023H2'!F:L,'AMFI DATA_2023H2'!L:L)</f>
        <v>1437</v>
      </c>
      <c r="B1119" s="4" t="s">
        <v>3842</v>
      </c>
      <c r="C1119" s="4" t="s">
        <v>3843</v>
      </c>
      <c r="D1119" s="5" t="s">
        <v>3844</v>
      </c>
      <c r="E1119" s="5">
        <v>439.51</v>
      </c>
      <c r="F1119" s="6">
        <f>LOOKUP(D1119,'AMFI DATA_2023H2'!F:J,'AMFI DATA_2023H2'!J:J)</f>
        <v>589.99029999999993</v>
      </c>
      <c r="G1119" s="7">
        <f t="shared" si="10"/>
        <v>0.25595285210621266</v>
      </c>
      <c r="H1119" s="9">
        <v>741</v>
      </c>
      <c r="I1119" s="9">
        <v>741</v>
      </c>
      <c r="J1119" s="9">
        <v>751</v>
      </c>
      <c r="K1119" s="9">
        <v>725</v>
      </c>
      <c r="L1119" s="9">
        <v>695</v>
      </c>
      <c r="M1119" s="9">
        <v>670</v>
      </c>
      <c r="N1119" s="9">
        <v>694</v>
      </c>
      <c r="O1119" s="9">
        <v>687</v>
      </c>
      <c r="P1119" s="9">
        <v>690</v>
      </c>
      <c r="Q1119" s="9">
        <v>696</v>
      </c>
      <c r="R1119" s="7">
        <f t="shared" si="11"/>
        <v>0.20171467225817108</v>
      </c>
      <c r="S1119" s="9"/>
      <c r="T1119" s="9"/>
      <c r="U1119" s="9"/>
      <c r="V1119" s="9"/>
      <c r="W1119" s="9"/>
      <c r="X1119" s="9"/>
      <c r="Y1119" s="9"/>
      <c r="Z1119" s="9"/>
      <c r="AA1119" s="9"/>
      <c r="AB1119" s="9"/>
    </row>
    <row r="1120" spans="1:28" ht="14.4" hidden="1">
      <c r="A1120" s="3">
        <f>LOOKUP(D1120,'AMFI DATA_2023H2'!F:L,'AMFI DATA_2023H2'!L:L)</f>
        <v>1585</v>
      </c>
      <c r="B1120" s="4" t="s">
        <v>4118</v>
      </c>
      <c r="C1120" s="4" t="s">
        <v>4119</v>
      </c>
      <c r="D1120" s="5" t="s">
        <v>4120</v>
      </c>
      <c r="E1120" s="5">
        <v>377.71</v>
      </c>
      <c r="F1120" s="6">
        <f>LOOKUP(D1120,'AMFI DATA_2023H2'!F:J,'AMFI DATA_2023H2'!J:J)</f>
        <v>423.63290000000001</v>
      </c>
      <c r="G1120" s="7">
        <f t="shared" si="10"/>
        <v>9.2927390672443044E-2</v>
      </c>
      <c r="H1120" s="9">
        <v>463</v>
      </c>
      <c r="I1120" s="9">
        <v>465</v>
      </c>
      <c r="J1120" s="9">
        <v>466</v>
      </c>
      <c r="K1120" s="9">
        <v>468</v>
      </c>
      <c r="L1120" s="9">
        <v>464</v>
      </c>
      <c r="M1120" s="9">
        <v>455</v>
      </c>
      <c r="N1120" s="9">
        <v>465</v>
      </c>
      <c r="O1120" s="9">
        <v>469</v>
      </c>
      <c r="P1120" s="9">
        <v>460</v>
      </c>
      <c r="Q1120" s="9">
        <v>457</v>
      </c>
      <c r="R1120" s="7">
        <f t="shared" si="11"/>
        <v>9.3399497536664322E-2</v>
      </c>
      <c r="S1120" s="9"/>
      <c r="T1120" s="9"/>
      <c r="U1120" s="9"/>
      <c r="V1120" s="9"/>
      <c r="W1120" s="9"/>
      <c r="X1120" s="9"/>
      <c r="Y1120" s="9"/>
      <c r="Z1120" s="9"/>
      <c r="AA1120" s="9"/>
      <c r="AB1120" s="9"/>
    </row>
    <row r="1121" spans="1:28" ht="14.4" hidden="1">
      <c r="A1121" s="3">
        <f>LOOKUP(D1121,'AMFI DATA_2023H2'!F:L,'AMFI DATA_2023H2'!L:L)</f>
        <v>1030</v>
      </c>
      <c r="B1121" s="4" t="s">
        <v>2942</v>
      </c>
      <c r="C1121" s="4" t="s">
        <v>2943</v>
      </c>
      <c r="D1121" s="5" t="s">
        <v>2944</v>
      </c>
      <c r="E1121" s="5">
        <v>1822.58</v>
      </c>
      <c r="F1121" s="6">
        <f>LOOKUP(D1121,'AMFI DATA_2023H2'!F:J,'AMFI DATA_2023H2'!J:J)</f>
        <v>1581.9113499999999</v>
      </c>
      <c r="G1121" s="7">
        <f t="shared" si="10"/>
        <v>-3.2815587295710213E-2</v>
      </c>
      <c r="H1121" s="8">
        <v>1530</v>
      </c>
      <c r="I1121" s="8">
        <v>1524</v>
      </c>
      <c r="J1121" s="8">
        <v>1523</v>
      </c>
      <c r="K1121" s="8">
        <v>1516</v>
      </c>
      <c r="L1121" s="8">
        <v>1520</v>
      </c>
      <c r="M1121" s="8">
        <v>1472</v>
      </c>
      <c r="N1121" s="8">
        <v>1475</v>
      </c>
      <c r="O1121" s="8">
        <v>1486</v>
      </c>
      <c r="P1121" s="8">
        <v>1487</v>
      </c>
      <c r="Q1121" s="8">
        <v>1473</v>
      </c>
      <c r="R1121" s="7">
        <f t="shared" si="11"/>
        <v>-5.1400699539831951E-2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</row>
    <row r="1122" spans="1:28" ht="14.4" hidden="1">
      <c r="A1122" s="3">
        <f>LOOKUP(D1122,'AMFI DATA_2023H2'!F:L,'AMFI DATA_2023H2'!L:L)</f>
        <v>1990</v>
      </c>
      <c r="B1122" s="4" t="s">
        <v>4715</v>
      </c>
      <c r="C1122" s="4" t="s">
        <v>4716</v>
      </c>
      <c r="D1122" s="5" t="s">
        <v>4717</v>
      </c>
      <c r="E1122" s="5">
        <v>148.65</v>
      </c>
      <c r="F1122" s="6">
        <f>LOOKUP(D1122,'AMFI DATA_2023H2'!F:J,'AMFI DATA_2023H2'!J:J)</f>
        <v>191.05629999999999</v>
      </c>
      <c r="G1122" s="7">
        <f t="shared" si="10"/>
        <v>0.25617422717806226</v>
      </c>
      <c r="H1122" s="9">
        <v>240</v>
      </c>
      <c r="I1122" s="9">
        <v>243</v>
      </c>
      <c r="J1122" s="9">
        <v>240</v>
      </c>
      <c r="K1122" s="9">
        <v>240</v>
      </c>
      <c r="L1122" s="9">
        <v>240</v>
      </c>
      <c r="M1122" s="9">
        <v>238</v>
      </c>
      <c r="N1122" s="9">
        <v>239</v>
      </c>
      <c r="O1122" s="9">
        <v>243</v>
      </c>
      <c r="P1122" s="9">
        <v>246</v>
      </c>
      <c r="Q1122" s="9">
        <v>234</v>
      </c>
      <c r="R1122" s="7">
        <f t="shared" si="11"/>
        <v>0.25774444496203475</v>
      </c>
      <c r="S1122" s="9"/>
      <c r="T1122" s="9"/>
      <c r="U1122" s="9"/>
      <c r="V1122" s="9"/>
      <c r="W1122" s="9"/>
      <c r="X1122" s="9"/>
      <c r="Y1122" s="9"/>
      <c r="Z1122" s="9"/>
      <c r="AA1122" s="9"/>
      <c r="AB1122" s="9"/>
    </row>
    <row r="1123" spans="1:28" ht="14.4" hidden="1">
      <c r="A1123" s="3">
        <f>LOOKUP(D1123,'AMFI DATA_2023H2'!F:L,'AMFI DATA_2023H2'!L:L)</f>
        <v>1474</v>
      </c>
      <c r="B1123" s="4" t="s">
        <v>3902</v>
      </c>
      <c r="C1123" s="4" t="s">
        <v>3903</v>
      </c>
      <c r="D1123" s="5" t="s">
        <v>3904</v>
      </c>
      <c r="E1123" s="5">
        <v>619.48</v>
      </c>
      <c r="F1123" s="6">
        <f>LOOKUP(D1123,'AMFI DATA_2023H2'!F:J,'AMFI DATA_2023H2'!J:J)</f>
        <v>547.45090000000005</v>
      </c>
      <c r="G1123" s="7">
        <f t="shared" si="10"/>
        <v>0.50150451848741118</v>
      </c>
      <c r="H1123" s="9">
        <v>822</v>
      </c>
      <c r="I1123" s="9">
        <v>837</v>
      </c>
      <c r="J1123" s="9">
        <v>879</v>
      </c>
      <c r="K1123" s="9">
        <v>893</v>
      </c>
      <c r="L1123" s="9">
        <v>850</v>
      </c>
      <c r="M1123" s="9">
        <v>773</v>
      </c>
      <c r="N1123" s="9">
        <v>753</v>
      </c>
      <c r="O1123" s="9">
        <v>748</v>
      </c>
      <c r="P1123" s="9">
        <v>733</v>
      </c>
      <c r="Q1123" s="9">
        <v>670</v>
      </c>
      <c r="R1123" s="7">
        <f t="shared" si="11"/>
        <v>0.45364634527041581</v>
      </c>
      <c r="S1123" s="9"/>
      <c r="T1123" s="9"/>
      <c r="U1123" s="9"/>
      <c r="V1123" s="9"/>
      <c r="W1123" s="9"/>
      <c r="X1123" s="9"/>
      <c r="Y1123" s="9"/>
      <c r="Z1123" s="9"/>
      <c r="AA1123" s="9"/>
      <c r="AB1123" s="9"/>
    </row>
    <row r="1124" spans="1:28" ht="14.4" hidden="1">
      <c r="A1124" s="3">
        <f>LOOKUP(D1124,'AMFI DATA_2023H2'!F:L,'AMFI DATA_2023H2'!L:L)</f>
        <v>3353</v>
      </c>
      <c r="B1124" s="4" t="s">
        <v>5659</v>
      </c>
      <c r="C1124" s="4" t="s">
        <v>5660</v>
      </c>
      <c r="D1124" s="5" t="s">
        <v>5661</v>
      </c>
      <c r="E1124" s="5">
        <v>24.63</v>
      </c>
      <c r="F1124" s="6">
        <f>LOOKUP(D1124,'AMFI DATA_2023H2'!F:J,'AMFI DATA_2023H2'!J:J)</f>
        <v>22.600250000000003</v>
      </c>
      <c r="G1124" s="7">
        <f t="shared" si="10"/>
        <v>-6.1957279233636919E-2</v>
      </c>
      <c r="H1124" s="9">
        <v>21.2</v>
      </c>
      <c r="I1124" s="9">
        <v>21</v>
      </c>
      <c r="J1124" s="9">
        <v>19.2</v>
      </c>
      <c r="K1124" s="9">
        <v>20.2</v>
      </c>
      <c r="L1124" s="9">
        <v>19.3</v>
      </c>
      <c r="M1124" s="9">
        <v>20.2</v>
      </c>
      <c r="N1124" s="9">
        <v>20.2</v>
      </c>
      <c r="O1124" s="9">
        <v>19.899999999999999</v>
      </c>
      <c r="P1124" s="9">
        <v>19.899999999999999</v>
      </c>
      <c r="Q1124" s="9">
        <v>19.100000000000001</v>
      </c>
      <c r="R1124" s="7">
        <f t="shared" si="11"/>
        <v>-0.11416909104987771</v>
      </c>
      <c r="S1124" s="9"/>
      <c r="T1124" s="9"/>
      <c r="U1124" s="9"/>
      <c r="V1124" s="9"/>
      <c r="W1124" s="9"/>
      <c r="X1124" s="9"/>
      <c r="Y1124" s="9"/>
      <c r="Z1124" s="9"/>
      <c r="AA1124" s="9"/>
      <c r="AB1124" s="9"/>
    </row>
    <row r="1125" spans="1:28" ht="14.4" hidden="1">
      <c r="A1125" s="3">
        <f>LOOKUP(D1125,'AMFI DATA_2023H2'!F:L,'AMFI DATA_2023H2'!L:L)</f>
        <v>2633</v>
      </c>
      <c r="B1125" s="4" t="s">
        <v>5398</v>
      </c>
      <c r="C1125" s="4" t="s">
        <v>5399</v>
      </c>
      <c r="D1125" s="5" t="s">
        <v>5400</v>
      </c>
      <c r="E1125" s="5">
        <v>47.59</v>
      </c>
      <c r="F1125" s="6">
        <f>LOOKUP(D1125,'AMFI DATA_2023H2'!F:J,'AMFI DATA_2023H2'!J:J)</f>
        <v>64.534150000000011</v>
      </c>
      <c r="G1125" s="7">
        <f t="shared" si="10"/>
        <v>0.24895113672373426</v>
      </c>
      <c r="H1125" s="9">
        <v>80.599999999999994</v>
      </c>
      <c r="I1125" s="9">
        <v>81</v>
      </c>
      <c r="J1125" s="9">
        <v>81.2</v>
      </c>
      <c r="K1125" s="9">
        <v>80.599999999999994</v>
      </c>
      <c r="L1125" s="9">
        <v>82</v>
      </c>
      <c r="M1125" s="9">
        <v>79.7</v>
      </c>
      <c r="N1125" s="9">
        <v>80.8</v>
      </c>
      <c r="O1125" s="9">
        <v>82.4</v>
      </c>
      <c r="P1125" s="9">
        <v>85.9</v>
      </c>
      <c r="Q1125" s="9">
        <v>82.4</v>
      </c>
      <c r="R1125" s="7">
        <f t="shared" si="11"/>
        <v>0.26537654869553529</v>
      </c>
      <c r="S1125" s="9"/>
      <c r="T1125" s="9"/>
      <c r="U1125" s="9"/>
      <c r="V1125" s="9"/>
      <c r="W1125" s="9"/>
      <c r="X1125" s="9"/>
      <c r="Y1125" s="9"/>
      <c r="Z1125" s="9"/>
      <c r="AA1125" s="9"/>
      <c r="AB1125" s="9"/>
    </row>
    <row r="1126" spans="1:28" ht="14.4" hidden="1">
      <c r="A1126" s="3">
        <f>LOOKUP(D1126,'AMFI DATA_2023H2'!F:L,'AMFI DATA_2023H2'!L:L)</f>
        <v>1512</v>
      </c>
      <c r="B1126" s="4" t="s">
        <v>3986</v>
      </c>
      <c r="C1126" s="4" t="s">
        <v>3987</v>
      </c>
      <c r="D1126" s="5" t="s">
        <v>3988</v>
      </c>
      <c r="E1126" s="5">
        <v>466.79</v>
      </c>
      <c r="F1126" s="6">
        <f>LOOKUP(D1126,'AMFI DATA_2023H2'!F:J,'AMFI DATA_2023H2'!J:J)</f>
        <v>494.59024999999997</v>
      </c>
      <c r="G1126" s="7">
        <f t="shared" si="10"/>
        <v>5.3397231344532337E-2</v>
      </c>
      <c r="H1126" s="9">
        <v>521</v>
      </c>
      <c r="I1126" s="9">
        <v>523</v>
      </c>
      <c r="J1126" s="9">
        <v>526</v>
      </c>
      <c r="K1126" s="9">
        <v>544</v>
      </c>
      <c r="L1126" s="9">
        <v>534</v>
      </c>
      <c r="M1126" s="9">
        <v>513</v>
      </c>
      <c r="N1126" s="9">
        <v>499</v>
      </c>
      <c r="O1126" s="9">
        <v>505</v>
      </c>
      <c r="P1126" s="9">
        <v>499</v>
      </c>
      <c r="Q1126" s="9">
        <v>496</v>
      </c>
      <c r="R1126" s="7">
        <f t="shared" si="11"/>
        <v>4.328785292471915E-2</v>
      </c>
      <c r="S1126" s="9"/>
      <c r="T1126" s="9"/>
      <c r="U1126" s="9"/>
      <c r="V1126" s="9"/>
      <c r="W1126" s="9"/>
      <c r="X1126" s="9"/>
      <c r="Y1126" s="9"/>
      <c r="Z1126" s="9"/>
      <c r="AA1126" s="9"/>
      <c r="AB1126" s="9"/>
    </row>
    <row r="1127" spans="1:28" ht="14.4" hidden="1">
      <c r="A1127" s="3">
        <f>LOOKUP(D1127,'AMFI DATA_2023H2'!F:L,'AMFI DATA_2023H2'!L:L)</f>
        <v>1461</v>
      </c>
      <c r="B1127" s="4" t="s">
        <v>3878</v>
      </c>
      <c r="C1127" s="4" t="s">
        <v>3879</v>
      </c>
      <c r="D1127" s="5" t="s">
        <v>3880</v>
      </c>
      <c r="E1127" s="5">
        <v>416.97</v>
      </c>
      <c r="F1127" s="6">
        <f>LOOKUP(D1127,'AMFI DATA_2023H2'!F:J,'AMFI DATA_2023H2'!J:J)</f>
        <v>562.79050000000007</v>
      </c>
      <c r="G1127" s="7">
        <f t="shared" si="10"/>
        <v>-1.7396349085494589E-2</v>
      </c>
      <c r="H1127" s="9">
        <v>553</v>
      </c>
      <c r="I1127" s="9">
        <v>566</v>
      </c>
      <c r="J1127" s="9">
        <v>569</v>
      </c>
      <c r="K1127" s="9">
        <v>557</v>
      </c>
      <c r="L1127" s="9">
        <v>549</v>
      </c>
      <c r="M1127" s="9">
        <v>547</v>
      </c>
      <c r="N1127" s="9">
        <v>546</v>
      </c>
      <c r="O1127" s="9">
        <v>550</v>
      </c>
      <c r="P1127" s="9">
        <v>550</v>
      </c>
      <c r="Q1127" s="9">
        <v>562</v>
      </c>
      <c r="R1127" s="7">
        <f t="shared" si="11"/>
        <v>-1.4020314841846293E-2</v>
      </c>
      <c r="S1127" s="9"/>
      <c r="T1127" s="9"/>
      <c r="U1127" s="9"/>
      <c r="V1127" s="9"/>
      <c r="W1127" s="9"/>
      <c r="X1127" s="9"/>
      <c r="Y1127" s="9"/>
      <c r="Z1127" s="9"/>
      <c r="AA1127" s="9"/>
      <c r="AB1127" s="9"/>
    </row>
    <row r="1128" spans="1:28" ht="14.4" hidden="1">
      <c r="A1128" s="3">
        <f>LOOKUP(D1128,'AMFI DATA_2023H2'!F:L,'AMFI DATA_2023H2'!L:L)</f>
        <v>1443</v>
      </c>
      <c r="B1128" s="4" t="s">
        <v>3851</v>
      </c>
      <c r="C1128" s="4" t="s">
        <v>3852</v>
      </c>
      <c r="D1128" s="5" t="s">
        <v>3853</v>
      </c>
      <c r="E1128" s="5">
        <v>605.99</v>
      </c>
      <c r="F1128" s="6">
        <f>LOOKUP(D1128,'AMFI DATA_2023H2'!F:J,'AMFI DATA_2023H2'!J:J)</f>
        <v>578.96440000000007</v>
      </c>
      <c r="G1128" s="7">
        <f t="shared" si="10"/>
        <v>-4.6573502619504881E-2</v>
      </c>
      <c r="H1128" s="9">
        <v>552</v>
      </c>
      <c r="I1128" s="9">
        <v>560</v>
      </c>
      <c r="J1128" s="9">
        <v>569</v>
      </c>
      <c r="K1128" s="9">
        <v>563</v>
      </c>
      <c r="L1128" s="9">
        <v>560</v>
      </c>
      <c r="M1128" s="9">
        <v>555</v>
      </c>
      <c r="N1128" s="9">
        <v>558</v>
      </c>
      <c r="O1128" s="9">
        <v>558</v>
      </c>
      <c r="P1128" s="9">
        <v>543</v>
      </c>
      <c r="Q1128" s="9">
        <v>554</v>
      </c>
      <c r="R1128" s="7">
        <f t="shared" si="11"/>
        <v>-3.759194865867399E-2</v>
      </c>
      <c r="S1128" s="9"/>
      <c r="T1128" s="9"/>
      <c r="U1128" s="9"/>
      <c r="V1128" s="9"/>
      <c r="W1128" s="9"/>
      <c r="X1128" s="9"/>
      <c r="Y1128" s="9"/>
      <c r="Z1128" s="9"/>
      <c r="AA1128" s="9"/>
      <c r="AB1128" s="9"/>
    </row>
    <row r="1129" spans="1:28" ht="14.4" hidden="1">
      <c r="A1129" s="3">
        <f>LOOKUP(D1129,'AMFI DATA_2023H2'!F:L,'AMFI DATA_2023H2'!L:L)</f>
        <v>1226</v>
      </c>
      <c r="B1129" s="4" t="s">
        <v>3413</v>
      </c>
      <c r="C1129" s="4" t="s">
        <v>3414</v>
      </c>
      <c r="D1129" s="5" t="s">
        <v>3415</v>
      </c>
      <c r="E1129" s="5">
        <v>940.32</v>
      </c>
      <c r="F1129" s="6">
        <f>LOOKUP(D1129,'AMFI DATA_2023H2'!F:J,'AMFI DATA_2023H2'!J:J)</f>
        <v>981.53005000000007</v>
      </c>
      <c r="G1129" s="7">
        <f t="shared" si="10"/>
        <v>5.4476121235411901E-2</v>
      </c>
      <c r="H1129" s="8">
        <v>1035</v>
      </c>
      <c r="I1129" s="8">
        <v>1039</v>
      </c>
      <c r="J1129" s="8">
        <v>1042</v>
      </c>
      <c r="K1129" s="8">
        <v>1039</v>
      </c>
      <c r="L1129" s="8">
        <v>1040</v>
      </c>
      <c r="M1129" s="8">
        <v>1017</v>
      </c>
      <c r="N1129" s="8">
        <v>1006</v>
      </c>
      <c r="O1129" s="8">
        <v>1027</v>
      </c>
      <c r="P1129" s="8">
        <v>1021</v>
      </c>
      <c r="Q1129" s="8">
        <v>1008</v>
      </c>
      <c r="R1129" s="7">
        <f t="shared" si="11"/>
        <v>4.6733108171267856E-2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</row>
    <row r="1130" spans="1:28" ht="14.4" hidden="1">
      <c r="A1130" s="3">
        <f>LOOKUP(D1130,'AMFI DATA_2023H2'!F:L,'AMFI DATA_2023H2'!L:L)</f>
        <v>2650</v>
      </c>
      <c r="B1130" s="4" t="s">
        <v>5416</v>
      </c>
      <c r="C1130" s="4" t="s">
        <v>5417</v>
      </c>
      <c r="D1130" s="5" t="s">
        <v>5418</v>
      </c>
      <c r="E1130" s="5">
        <v>84.81</v>
      </c>
      <c r="F1130" s="6">
        <f>LOOKUP(D1130,'AMFI DATA_2023H2'!F:J,'AMFI DATA_2023H2'!J:J)</f>
        <v>62.888850000000005</v>
      </c>
      <c r="G1130" s="7">
        <f t="shared" si="10"/>
        <v>-2.6854521906506501E-2</v>
      </c>
      <c r="H1130" s="9">
        <v>61.2</v>
      </c>
      <c r="I1130" s="9">
        <v>63.1</v>
      </c>
      <c r="J1130" s="9">
        <v>58.8</v>
      </c>
      <c r="K1130" s="9">
        <v>60.5</v>
      </c>
      <c r="L1130" s="9">
        <v>60.5</v>
      </c>
      <c r="M1130" s="9">
        <v>62.3</v>
      </c>
      <c r="N1130" s="9">
        <v>66.099999999999994</v>
      </c>
      <c r="O1130" s="9">
        <v>57.5</v>
      </c>
      <c r="P1130" s="9">
        <v>58.6</v>
      </c>
      <c r="Q1130" s="9">
        <v>55</v>
      </c>
      <c r="R1130" s="7">
        <f t="shared" si="11"/>
        <v>-4.0211420625436922E-2</v>
      </c>
      <c r="S1130" s="9"/>
      <c r="T1130" s="9"/>
      <c r="U1130" s="9"/>
      <c r="V1130" s="9"/>
      <c r="W1130" s="9"/>
      <c r="X1130" s="9"/>
      <c r="Y1130" s="9"/>
      <c r="Z1130" s="9"/>
      <c r="AA1130" s="9"/>
      <c r="AB1130" s="9"/>
    </row>
    <row r="1131" spans="1:28" ht="14.4">
      <c r="A1131" s="3">
        <f>LOOKUP(D1131,'AMFI DATA_2023H2'!F:L,'AMFI DATA_2023H2'!L:L)</f>
        <v>1079</v>
      </c>
      <c r="B1131" s="4" t="s">
        <v>3062</v>
      </c>
      <c r="C1131" s="4" t="s">
        <v>3063</v>
      </c>
      <c r="D1131" s="5" t="s">
        <v>3064</v>
      </c>
      <c r="E1131" s="5">
        <v>1115.9000000000001</v>
      </c>
      <c r="F1131" s="6">
        <f>LOOKUP(D1131,'AMFI DATA_2023H2'!F:J,'AMFI DATA_2023H2'!J:J)</f>
        <v>1386.8881000000001</v>
      </c>
      <c r="G1131" s="7">
        <f t="shared" si="10"/>
        <v>0.17385101220494992</v>
      </c>
      <c r="H1131" s="8">
        <v>1628</v>
      </c>
      <c r="I1131" s="8">
        <v>1640</v>
      </c>
      <c r="J1131" s="8">
        <v>1623</v>
      </c>
      <c r="K1131" s="8">
        <v>1636</v>
      </c>
      <c r="L1131" s="8">
        <v>1647</v>
      </c>
      <c r="M1131" s="8">
        <v>1683</v>
      </c>
      <c r="N1131" s="8">
        <v>1691</v>
      </c>
      <c r="O1131" s="8">
        <v>1713</v>
      </c>
      <c r="P1131" s="8">
        <v>1699</v>
      </c>
      <c r="Q1131" s="8">
        <v>1683</v>
      </c>
      <c r="R1131" s="14">
        <f t="shared" si="11"/>
        <v>0.20002471720681703</v>
      </c>
      <c r="S1131" s="8"/>
      <c r="T1131" s="8">
        <v>3165</v>
      </c>
      <c r="U1131" s="15">
        <f ca="1">IFERROR(__xludf.DUMMYFUNCTION("GOOGLEFINANCE(C1131,""PRICE"")"),3195)</f>
        <v>3195</v>
      </c>
      <c r="V1131" s="13" t="s">
        <v>5787</v>
      </c>
      <c r="W1131" s="7">
        <f ca="1">U1131/T1131-1</f>
        <v>9.4786729857820884E-3</v>
      </c>
      <c r="X1131" s="8"/>
      <c r="Y1131" s="8"/>
      <c r="Z1131" s="8"/>
      <c r="AA1131" s="8"/>
      <c r="AB1131" s="8"/>
    </row>
    <row r="1132" spans="1:28" ht="14.4" hidden="1">
      <c r="A1132" s="3">
        <f>LOOKUP(D1132,'AMFI DATA_2023H2'!F:L,'AMFI DATA_2023H2'!L:L)</f>
        <v>1690</v>
      </c>
      <c r="B1132" s="4" t="s">
        <v>4322</v>
      </c>
      <c r="C1132" s="4" t="s">
        <v>4323</v>
      </c>
      <c r="D1132" s="5" t="s">
        <v>4324</v>
      </c>
      <c r="E1132" s="5">
        <v>305.57</v>
      </c>
      <c r="F1132" s="6">
        <f>LOOKUP(D1132,'AMFI DATA_2023H2'!F:J,'AMFI DATA_2023H2'!J:J)</f>
        <v>335.24350000000004</v>
      </c>
      <c r="G1132" s="7">
        <f t="shared" si="10"/>
        <v>0.23492327218872244</v>
      </c>
      <c r="H1132" s="9">
        <v>414</v>
      </c>
      <c r="I1132" s="9">
        <v>425</v>
      </c>
      <c r="J1132" s="9">
        <v>427</v>
      </c>
      <c r="K1132" s="9">
        <v>419</v>
      </c>
      <c r="L1132" s="9">
        <v>406</v>
      </c>
      <c r="M1132" s="9">
        <v>389</v>
      </c>
      <c r="N1132" s="9">
        <v>379</v>
      </c>
      <c r="O1132" s="9">
        <v>382</v>
      </c>
      <c r="P1132" s="9">
        <v>398</v>
      </c>
      <c r="Q1132" s="9">
        <v>398</v>
      </c>
      <c r="R1132" s="7">
        <f t="shared" si="11"/>
        <v>0.20419933570673243</v>
      </c>
      <c r="S1132" s="9"/>
      <c r="T1132" s="9"/>
      <c r="U1132" s="9"/>
      <c r="V1132" s="9"/>
      <c r="W1132" s="9"/>
      <c r="X1132" s="9"/>
      <c r="Y1132" s="9"/>
      <c r="Z1132" s="9"/>
      <c r="AA1132" s="9"/>
      <c r="AB1132" s="9"/>
    </row>
    <row r="1133" spans="1:28" ht="14.4" hidden="1">
      <c r="A1133" s="3">
        <f>LOOKUP(D1133,'AMFI DATA_2023H2'!F:L,'AMFI DATA_2023H2'!L:L)</f>
        <v>2425</v>
      </c>
      <c r="B1133" s="4" t="s">
        <v>5227</v>
      </c>
      <c r="C1133" s="4" t="s">
        <v>5228</v>
      </c>
      <c r="D1133" s="5" t="s">
        <v>5229</v>
      </c>
      <c r="E1133" s="5">
        <v>101.36</v>
      </c>
      <c r="F1133" s="6">
        <f>LOOKUP(D1133,'AMFI DATA_2023H2'!F:J,'AMFI DATA_2023H2'!J:J)</f>
        <v>93.914199999999994</v>
      </c>
      <c r="G1133" s="7">
        <f t="shared" si="10"/>
        <v>-0.12047379416531256</v>
      </c>
      <c r="H1133" s="9">
        <v>82.6</v>
      </c>
      <c r="I1133" s="9">
        <v>85.5</v>
      </c>
      <c r="J1133" s="9">
        <v>81.7</v>
      </c>
      <c r="K1133" s="9">
        <v>81.099999999999994</v>
      </c>
      <c r="L1133" s="9">
        <v>82</v>
      </c>
      <c r="M1133" s="9">
        <v>77</v>
      </c>
      <c r="N1133" s="9">
        <v>76.599999999999994</v>
      </c>
      <c r="O1133" s="9">
        <v>75.599999999999994</v>
      </c>
      <c r="P1133" s="9">
        <v>76</v>
      </c>
      <c r="Q1133" s="9">
        <v>75.5</v>
      </c>
      <c r="R1133" s="7">
        <f t="shared" si="11"/>
        <v>-0.15497336930943351</v>
      </c>
      <c r="S1133" s="9"/>
      <c r="T1133" s="9"/>
      <c r="U1133" s="9"/>
      <c r="V1133" s="9"/>
      <c r="W1133" s="9"/>
      <c r="X1133" s="9"/>
      <c r="Y1133" s="9"/>
      <c r="Z1133" s="9"/>
      <c r="AA1133" s="9"/>
      <c r="AB1133" s="9"/>
    </row>
    <row r="1134" spans="1:28" ht="14.4" hidden="1">
      <c r="A1134" s="3">
        <f>LOOKUP(D1134,'AMFI DATA_2023H2'!F:L,'AMFI DATA_2023H2'!L:L)</f>
        <v>249</v>
      </c>
      <c r="B1134" s="4" t="s">
        <v>753</v>
      </c>
      <c r="C1134" s="4" t="s">
        <v>754</v>
      </c>
      <c r="D1134" s="5" t="s">
        <v>755</v>
      </c>
      <c r="E1134" s="5">
        <v>16292.51</v>
      </c>
      <c r="F1134" s="6">
        <f>LOOKUP(D1134,'AMFI DATA_2023H2'!F:J,'AMFI DATA_2023H2'!J:J)</f>
        <v>22013.266299999999</v>
      </c>
      <c r="G1134" s="7">
        <f t="shared" si="10"/>
        <v>0.13050011119885463</v>
      </c>
      <c r="H1134" s="8">
        <v>24886</v>
      </c>
      <c r="I1134" s="8">
        <v>24113</v>
      </c>
      <c r="J1134" s="8">
        <v>23915</v>
      </c>
      <c r="K1134" s="8">
        <v>24442</v>
      </c>
      <c r="L1134" s="8">
        <v>24682</v>
      </c>
      <c r="M1134" s="8">
        <v>24544</v>
      </c>
      <c r="N1134" s="8">
        <v>24498</v>
      </c>
      <c r="O1134" s="8">
        <v>24258</v>
      </c>
      <c r="P1134" s="8">
        <v>24204</v>
      </c>
      <c r="Q1134" s="8">
        <v>24023</v>
      </c>
      <c r="R1134" s="7">
        <f t="shared" si="11"/>
        <v>0.10644643407598275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</row>
    <row r="1135" spans="1:28" ht="14.4" hidden="1">
      <c r="A1135" s="3">
        <f>LOOKUP(D1135,'AMFI DATA_2023H2'!F:L,'AMFI DATA_2023H2'!L:L)</f>
        <v>3222</v>
      </c>
      <c r="B1135" s="4" t="s">
        <v>5626</v>
      </c>
      <c r="C1135" s="4" t="s">
        <v>5627</v>
      </c>
      <c r="D1135" s="5" t="s">
        <v>5628</v>
      </c>
      <c r="E1135" s="5">
        <v>29.36</v>
      </c>
      <c r="F1135" s="6">
        <f>LOOKUP(D1135,'AMFI DATA_2023H2'!F:J,'AMFI DATA_2023H2'!J:J)</f>
        <v>27.036549999999998</v>
      </c>
      <c r="G1135" s="7">
        <f t="shared" si="10"/>
        <v>0.1502946936646874</v>
      </c>
      <c r="H1135" s="9">
        <v>31.1</v>
      </c>
      <c r="I1135" s="9">
        <v>30.9</v>
      </c>
      <c r="J1135" s="9">
        <v>30.9</v>
      </c>
      <c r="K1135" s="9">
        <v>30.6</v>
      </c>
      <c r="L1135" s="9">
        <v>29.6</v>
      </c>
      <c r="M1135" s="9">
        <v>30.3</v>
      </c>
      <c r="N1135" s="9">
        <v>27.8</v>
      </c>
      <c r="O1135" s="9">
        <v>29.2</v>
      </c>
      <c r="P1135" s="9">
        <v>28.5</v>
      </c>
      <c r="Q1135" s="9">
        <v>29.6</v>
      </c>
      <c r="R1135" s="7">
        <f t="shared" si="11"/>
        <v>0.10406098411224818</v>
      </c>
      <c r="S1135" s="9"/>
      <c r="T1135" s="9"/>
      <c r="U1135" s="9"/>
      <c r="V1135" s="9"/>
      <c r="W1135" s="9"/>
      <c r="X1135" s="9"/>
      <c r="Y1135" s="9"/>
      <c r="Z1135" s="9"/>
      <c r="AA1135" s="9"/>
      <c r="AB1135" s="9"/>
    </row>
    <row r="1136" spans="1:28" ht="14.4" hidden="1">
      <c r="A1136" s="3">
        <f>LOOKUP(D1136,'AMFI DATA_2023H2'!F:L,'AMFI DATA_2023H2'!L:L)</f>
        <v>320</v>
      </c>
      <c r="B1136" s="4" t="s">
        <v>969</v>
      </c>
      <c r="C1136" s="4" t="s">
        <v>970</v>
      </c>
      <c r="D1136" s="5" t="s">
        <v>971</v>
      </c>
      <c r="E1136" s="5">
        <v>10544.66</v>
      </c>
      <c r="F1136" s="6">
        <f>LOOKUP(D1136,'AMFI DATA_2023H2'!F:J,'AMFI DATA_2023H2'!J:J)</f>
        <v>14621.6224</v>
      </c>
      <c r="G1136" s="7">
        <f t="shared" si="10"/>
        <v>4.058219968804555E-2</v>
      </c>
      <c r="H1136" s="8">
        <v>15215</v>
      </c>
      <c r="I1136" s="8">
        <v>15020</v>
      </c>
      <c r="J1136" s="8">
        <v>14942</v>
      </c>
      <c r="K1136" s="8">
        <v>14696</v>
      </c>
      <c r="L1136" s="8">
        <v>14653</v>
      </c>
      <c r="M1136" s="8">
        <v>14539</v>
      </c>
      <c r="N1136" s="8">
        <v>14422</v>
      </c>
      <c r="O1136" s="8">
        <v>14400</v>
      </c>
      <c r="P1136" s="8">
        <v>14409</v>
      </c>
      <c r="Q1136" s="8">
        <v>14189</v>
      </c>
      <c r="R1136" s="7">
        <f t="shared" si="11"/>
        <v>1.8382091442874504E-3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</row>
    <row r="1137" spans="1:28" ht="14.4" hidden="1">
      <c r="A1137" s="3">
        <f>LOOKUP(D1137,'AMFI DATA_2023H2'!F:L,'AMFI DATA_2023H2'!L:L)</f>
        <v>1619</v>
      </c>
      <c r="B1137" s="4" t="s">
        <v>4184</v>
      </c>
      <c r="C1137" s="4" t="s">
        <v>4185</v>
      </c>
      <c r="D1137" s="5" t="s">
        <v>4186</v>
      </c>
      <c r="E1137" s="5">
        <v>305.57</v>
      </c>
      <c r="F1137" s="6">
        <f>LOOKUP(D1137,'AMFI DATA_2023H2'!F:J,'AMFI DATA_2023H2'!J:J)</f>
        <v>393.8621</v>
      </c>
      <c r="G1137" s="7">
        <f t="shared" si="10"/>
        <v>4.0973477773058153E-2</v>
      </c>
      <c r="H1137" s="9">
        <v>410</v>
      </c>
      <c r="I1137" s="9">
        <v>410</v>
      </c>
      <c r="J1137" s="9">
        <v>410</v>
      </c>
      <c r="K1137" s="9">
        <v>398</v>
      </c>
      <c r="L1137" s="9">
        <v>404</v>
      </c>
      <c r="M1137" s="9">
        <v>394</v>
      </c>
      <c r="N1137" s="9">
        <v>392</v>
      </c>
      <c r="O1137" s="9">
        <v>389</v>
      </c>
      <c r="P1137" s="9">
        <v>394</v>
      </c>
      <c r="Q1137" s="9">
        <v>399</v>
      </c>
      <c r="R1137" s="7">
        <f t="shared" si="11"/>
        <v>1.5583880754203028E-2</v>
      </c>
      <c r="S1137" s="9"/>
      <c r="T1137" s="9"/>
      <c r="U1137" s="9"/>
      <c r="V1137" s="9"/>
      <c r="W1137" s="9"/>
      <c r="X1137" s="9"/>
      <c r="Y1137" s="9"/>
      <c r="Z1137" s="9"/>
      <c r="AA1137" s="9"/>
      <c r="AB1137" s="9"/>
    </row>
    <row r="1138" spans="1:28" ht="14.4" hidden="1">
      <c r="A1138" s="3">
        <f>LOOKUP(D1138,'AMFI DATA_2023H2'!F:L,'AMFI DATA_2023H2'!L:L)</f>
        <v>290</v>
      </c>
      <c r="B1138" s="4" t="s">
        <v>879</v>
      </c>
      <c r="C1138" s="4" t="s">
        <v>880</v>
      </c>
      <c r="D1138" s="5" t="s">
        <v>881</v>
      </c>
      <c r="E1138" s="5">
        <v>15027.96</v>
      </c>
      <c r="F1138" s="6">
        <f>LOOKUP(D1138,'AMFI DATA_2023H2'!F:J,'AMFI DATA_2023H2'!J:J)</f>
        <v>17525.97755</v>
      </c>
      <c r="G1138" s="7">
        <f t="shared" si="10"/>
        <v>0.34240728843110957</v>
      </c>
      <c r="H1138" s="8">
        <v>23527</v>
      </c>
      <c r="I1138" s="8">
        <v>23968</v>
      </c>
      <c r="J1138" s="8">
        <v>23849</v>
      </c>
      <c r="K1138" s="8">
        <v>25538</v>
      </c>
      <c r="L1138" s="8">
        <v>24997</v>
      </c>
      <c r="M1138" s="8">
        <v>24247</v>
      </c>
      <c r="N1138" s="8">
        <v>23685</v>
      </c>
      <c r="O1138" s="8">
        <v>21645</v>
      </c>
      <c r="P1138" s="8">
        <v>21173</v>
      </c>
      <c r="Q1138" s="8">
        <v>21140</v>
      </c>
      <c r="R1138" s="7">
        <f t="shared" si="11"/>
        <v>0.33384285888235676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</row>
    <row r="1139" spans="1:28" ht="14.4" hidden="1">
      <c r="A1139" s="3">
        <f>LOOKUP(D1139,'AMFI DATA_2023H2'!F:L,'AMFI DATA_2023H2'!L:L)</f>
        <v>725</v>
      </c>
      <c r="B1139" s="4" t="s">
        <v>2120</v>
      </c>
      <c r="C1139" s="4" t="s">
        <v>2121</v>
      </c>
      <c r="D1139" s="5" t="s">
        <v>2122</v>
      </c>
      <c r="E1139" s="5">
        <v>3472.85</v>
      </c>
      <c r="F1139" s="6">
        <f>LOOKUP(D1139,'AMFI DATA_2023H2'!F:J,'AMFI DATA_2023H2'!J:J)</f>
        <v>3551.8573999999999</v>
      </c>
      <c r="G1139" s="7">
        <f t="shared" si="10"/>
        <v>0.38153068870388784</v>
      </c>
      <c r="H1139" s="8">
        <v>4907</v>
      </c>
      <c r="I1139" s="8">
        <v>5014</v>
      </c>
      <c r="J1139" s="8">
        <v>4996</v>
      </c>
      <c r="K1139" s="8">
        <v>5041</v>
      </c>
      <c r="L1139" s="8">
        <v>4889</v>
      </c>
      <c r="M1139" s="8">
        <v>4469</v>
      </c>
      <c r="N1139" s="8">
        <v>4489</v>
      </c>
      <c r="O1139" s="8">
        <v>4202</v>
      </c>
      <c r="P1139" s="8">
        <v>4214</v>
      </c>
      <c r="Q1139" s="8">
        <v>4133</v>
      </c>
      <c r="R1139" s="7">
        <f t="shared" si="11"/>
        <v>0.30506365486407194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</row>
    <row r="1140" spans="1:28" ht="14.4" hidden="1">
      <c r="A1140" s="3">
        <f>LOOKUP(D1140,'AMFI DATA_2023H2'!F:L,'AMFI DATA_2023H2'!L:L)</f>
        <v>572</v>
      </c>
      <c r="B1140" s="4" t="s">
        <v>1695</v>
      </c>
      <c r="C1140" s="4" t="s">
        <v>1696</v>
      </c>
      <c r="D1140" s="5" t="s">
        <v>1697</v>
      </c>
      <c r="E1140" s="5">
        <v>3772.59</v>
      </c>
      <c r="F1140" s="6">
        <f>LOOKUP(D1140,'AMFI DATA_2023H2'!F:J,'AMFI DATA_2023H2'!J:J)</f>
        <v>6021.0965500000002</v>
      </c>
      <c r="G1140" s="7">
        <f t="shared" si="10"/>
        <v>0.10710730921596001</v>
      </c>
      <c r="H1140" s="8">
        <v>6666</v>
      </c>
      <c r="I1140" s="8">
        <v>6601</v>
      </c>
      <c r="J1140" s="8">
        <v>6660</v>
      </c>
      <c r="K1140" s="8">
        <v>6834</v>
      </c>
      <c r="L1140" s="8">
        <v>6496</v>
      </c>
      <c r="M1140" s="8">
        <v>6319</v>
      </c>
      <c r="N1140" s="8">
        <v>6312</v>
      </c>
      <c r="O1140" s="8">
        <v>6468</v>
      </c>
      <c r="P1140" s="8">
        <v>6556</v>
      </c>
      <c r="Q1140" s="8">
        <v>6618</v>
      </c>
      <c r="R1140" s="7">
        <f t="shared" si="11"/>
        <v>8.8339963590186921E-2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</row>
    <row r="1141" spans="1:28" ht="14.4" hidden="1">
      <c r="A1141" s="3">
        <f>LOOKUP(D1141,'AMFI DATA_2023H2'!F:L,'AMFI DATA_2023H2'!L:L)</f>
        <v>264</v>
      </c>
      <c r="B1141" s="4" t="s">
        <v>801</v>
      </c>
      <c r="C1141" s="4" t="s">
        <v>802</v>
      </c>
      <c r="D1141" s="5" t="s">
        <v>803</v>
      </c>
      <c r="E1141" s="5">
        <v>21601.33</v>
      </c>
      <c r="F1141" s="6">
        <f>LOOKUP(D1141,'AMFI DATA_2023H2'!F:J,'AMFI DATA_2023H2'!J:J)</f>
        <v>20240.739949999999</v>
      </c>
      <c r="G1141" s="7">
        <f t="shared" si="10"/>
        <v>-6.6042049515091961E-2</v>
      </c>
      <c r="H1141" s="8">
        <v>18904</v>
      </c>
      <c r="I1141" s="8">
        <v>18821</v>
      </c>
      <c r="J1141" s="8">
        <v>19253</v>
      </c>
      <c r="K1141" s="8">
        <v>19144</v>
      </c>
      <c r="L1141" s="8">
        <v>19127</v>
      </c>
      <c r="M1141" s="8">
        <v>19097</v>
      </c>
      <c r="N1141" s="8">
        <v>19033</v>
      </c>
      <c r="O1141" s="8">
        <v>19069</v>
      </c>
      <c r="P1141" s="8">
        <v>18817</v>
      </c>
      <c r="Q1141" s="8">
        <v>18659</v>
      </c>
      <c r="R1141" s="7">
        <f t="shared" si="11"/>
        <v>-6.1674620250234402E-2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</row>
    <row r="1142" spans="1:28" ht="14.4" hidden="1">
      <c r="A1142" s="3">
        <f>LOOKUP(D1142,'AMFI DATA_2023H2'!F:L,'AMFI DATA_2023H2'!L:L)</f>
        <v>1216</v>
      </c>
      <c r="B1142" s="4" t="s">
        <v>3392</v>
      </c>
      <c r="C1142" s="4" t="s">
        <v>3393</v>
      </c>
      <c r="D1142" s="5" t="s">
        <v>3394</v>
      </c>
      <c r="E1142" s="5">
        <v>846.16</v>
      </c>
      <c r="F1142" s="6">
        <f>LOOKUP(D1142,'AMFI DATA_2023H2'!F:J,'AMFI DATA_2023H2'!J:J)</f>
        <v>1005.4855</v>
      </c>
      <c r="G1142" s="7">
        <f t="shared" si="10"/>
        <v>0.65094374806996225</v>
      </c>
      <c r="H1142" s="8">
        <v>1660</v>
      </c>
      <c r="I1142" s="8">
        <v>1593</v>
      </c>
      <c r="J1142" s="8">
        <v>1596</v>
      </c>
      <c r="K1142" s="8">
        <v>1505</v>
      </c>
      <c r="L1142" s="8">
        <v>1537</v>
      </c>
      <c r="M1142" s="8">
        <v>1534</v>
      </c>
      <c r="N1142" s="8">
        <v>1596</v>
      </c>
      <c r="O1142" s="8">
        <v>1501</v>
      </c>
      <c r="P1142" s="8">
        <v>1561</v>
      </c>
      <c r="Q1142" s="8">
        <v>1569</v>
      </c>
      <c r="R1142" s="7">
        <f t="shared" si="11"/>
        <v>0.55666093643319581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</row>
    <row r="1143" spans="1:28" ht="14.4" hidden="1">
      <c r="A1143" s="3">
        <f>LOOKUP(D1143,'AMFI DATA_2023H2'!F:L,'AMFI DATA_2023H2'!L:L)</f>
        <v>748</v>
      </c>
      <c r="B1143" s="4" t="s">
        <v>2189</v>
      </c>
      <c r="C1143" s="4" t="s">
        <v>2190</v>
      </c>
      <c r="D1143" s="5" t="s">
        <v>2191</v>
      </c>
      <c r="E1143" s="5">
        <v>2504.42</v>
      </c>
      <c r="F1143" s="6">
        <f>LOOKUP(D1143,'AMFI DATA_2023H2'!F:J,'AMFI DATA_2023H2'!J:J)</f>
        <v>3360.2757499999998</v>
      </c>
      <c r="G1143" s="7">
        <f t="shared" si="10"/>
        <v>4.4557131955614171E-2</v>
      </c>
      <c r="H1143" s="8">
        <v>3510</v>
      </c>
      <c r="I1143" s="8">
        <v>3548</v>
      </c>
      <c r="J1143" s="8">
        <v>3619</v>
      </c>
      <c r="K1143" s="8">
        <v>3451</v>
      </c>
      <c r="L1143" s="8">
        <v>3445</v>
      </c>
      <c r="M1143" s="8">
        <v>3429</v>
      </c>
      <c r="N1143" s="8">
        <v>3350</v>
      </c>
      <c r="O1143" s="8">
        <v>3347</v>
      </c>
      <c r="P1143" s="8">
        <v>3302</v>
      </c>
      <c r="Q1143" s="8">
        <v>3225</v>
      </c>
      <c r="R1143" s="7">
        <f t="shared" si="11"/>
        <v>1.8547361775294924E-2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</row>
    <row r="1144" spans="1:28" ht="14.4" hidden="1">
      <c r="A1144" s="3">
        <f>LOOKUP(D1144,'AMFI DATA_2023H2'!F:L,'AMFI DATA_2023H2'!L:L)</f>
        <v>604</v>
      </c>
      <c r="B1144" s="4" t="s">
        <v>1782</v>
      </c>
      <c r="C1144" s="4" t="s">
        <v>1783</v>
      </c>
      <c r="D1144" s="5" t="s">
        <v>1784</v>
      </c>
      <c r="E1144" s="5">
        <v>3813.17</v>
      </c>
      <c r="F1144" s="6">
        <f>LOOKUP(D1144,'AMFI DATA_2023H2'!F:J,'AMFI DATA_2023H2'!J:J)</f>
        <v>5275.5699000000004</v>
      </c>
      <c r="G1144" s="7">
        <f t="shared" si="10"/>
        <v>6.6045964057835693E-2</v>
      </c>
      <c r="H1144" s="8">
        <v>5624</v>
      </c>
      <c r="I1144" s="8">
        <v>5614</v>
      </c>
      <c r="J1144" s="8">
        <v>5583</v>
      </c>
      <c r="K1144" s="8">
        <v>5618</v>
      </c>
      <c r="L1144" s="8">
        <v>5664</v>
      </c>
      <c r="M1144" s="8">
        <v>5666</v>
      </c>
      <c r="N1144" s="8">
        <v>5638</v>
      </c>
      <c r="O1144" s="8">
        <v>5671</v>
      </c>
      <c r="P1144" s="8">
        <v>5680</v>
      </c>
      <c r="Q1144" s="8">
        <v>5795</v>
      </c>
      <c r="R1144" s="7">
        <f t="shared" si="11"/>
        <v>7.197897235709072E-2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</row>
    <row r="1145" spans="1:28" ht="14.4" hidden="1">
      <c r="A1145" s="3">
        <f>LOOKUP(D1145,'AMFI DATA_2023H2'!F:L,'AMFI DATA_2023H2'!L:L)</f>
        <v>389</v>
      </c>
      <c r="B1145" s="4" t="s">
        <v>1170</v>
      </c>
      <c r="C1145" s="4" t="s">
        <v>1171</v>
      </c>
      <c r="D1145" s="5" t="s">
        <v>1172</v>
      </c>
      <c r="E1145" s="5">
        <v>6859.91</v>
      </c>
      <c r="F1145" s="6">
        <f>LOOKUP(D1145,'AMFI DATA_2023H2'!F:J,'AMFI DATA_2023H2'!J:J)</f>
        <v>10709.453399999999</v>
      </c>
      <c r="G1145" s="7">
        <f t="shared" si="10"/>
        <v>0.45553647023666044</v>
      </c>
      <c r="H1145" s="8">
        <v>15588</v>
      </c>
      <c r="I1145" s="8">
        <v>15768</v>
      </c>
      <c r="J1145" s="8">
        <v>15840</v>
      </c>
      <c r="K1145" s="8">
        <v>14508</v>
      </c>
      <c r="L1145" s="8">
        <v>14722</v>
      </c>
      <c r="M1145" s="8">
        <v>14679</v>
      </c>
      <c r="N1145" s="8">
        <v>14913</v>
      </c>
      <c r="O1145" s="8">
        <v>14384</v>
      </c>
      <c r="P1145" s="8">
        <v>14090</v>
      </c>
      <c r="Q1145" s="8">
        <v>14112</v>
      </c>
      <c r="R1145" s="7">
        <f t="shared" si="11"/>
        <v>0.38759649488740489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</row>
    <row r="1146" spans="1:28" ht="14.4" hidden="1">
      <c r="A1146" s="3">
        <f>LOOKUP(D1146,'AMFI DATA_2023H2'!F:L,'AMFI DATA_2023H2'!L:L)</f>
        <v>419</v>
      </c>
      <c r="B1146" s="4" t="s">
        <v>1257</v>
      </c>
      <c r="C1146" s="4" t="s">
        <v>1258</v>
      </c>
      <c r="D1146" s="5" t="s">
        <v>1259</v>
      </c>
      <c r="E1146" s="5">
        <v>6626.1</v>
      </c>
      <c r="F1146" s="6">
        <f>LOOKUP(D1146,'AMFI DATA_2023H2'!F:J,'AMFI DATA_2023H2'!J:J)</f>
        <v>9711.1790499999988</v>
      </c>
      <c r="G1146" s="7">
        <f t="shared" si="10"/>
        <v>0.12818432690724624</v>
      </c>
      <c r="H1146" s="8">
        <v>10956</v>
      </c>
      <c r="I1146" s="8">
        <v>11034</v>
      </c>
      <c r="J1146" s="8">
        <v>10717</v>
      </c>
      <c r="K1146" s="8">
        <v>10498</v>
      </c>
      <c r="L1146" s="8">
        <v>10460</v>
      </c>
      <c r="M1146" s="8">
        <v>10466</v>
      </c>
      <c r="N1146" s="8">
        <v>10485</v>
      </c>
      <c r="O1146" s="8">
        <v>10576</v>
      </c>
      <c r="P1146" s="8">
        <v>10516</v>
      </c>
      <c r="Q1146" s="8">
        <v>10297</v>
      </c>
      <c r="R1146" s="7">
        <f t="shared" si="11"/>
        <v>9.1577031524302965E-2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</row>
    <row r="1147" spans="1:28" ht="14.4" hidden="1">
      <c r="A1147" s="3">
        <f>LOOKUP(D1147,'AMFI DATA_2023H2'!F:L,'AMFI DATA_2023H2'!L:L)</f>
        <v>1227</v>
      </c>
      <c r="B1147" s="4" t="s">
        <v>3416</v>
      </c>
      <c r="C1147" s="4" t="s">
        <v>3417</v>
      </c>
      <c r="D1147" s="5" t="s">
        <v>3418</v>
      </c>
      <c r="E1147" s="5">
        <v>819.24</v>
      </c>
      <c r="F1147" s="6">
        <f>LOOKUP(D1147,'AMFI DATA_2023H2'!F:J,'AMFI DATA_2023H2'!J:J)</f>
        <v>979.97720000000004</v>
      </c>
      <c r="G1147" s="7">
        <f t="shared" si="10"/>
        <v>5.8187884371187382E-2</v>
      </c>
      <c r="H1147" s="8">
        <v>1037</v>
      </c>
      <c r="I1147" s="8">
        <v>1033</v>
      </c>
      <c r="J1147" s="8">
        <v>1025</v>
      </c>
      <c r="K1147" s="8">
        <v>1063</v>
      </c>
      <c r="L1147" s="8">
        <v>1022</v>
      </c>
      <c r="M1147" s="8">
        <v>1005</v>
      </c>
      <c r="N1147" s="8">
        <v>1011</v>
      </c>
      <c r="O1147" s="8">
        <v>1031</v>
      </c>
      <c r="P1147" s="8">
        <v>1030</v>
      </c>
      <c r="Q1147" s="8">
        <v>1027</v>
      </c>
      <c r="R1147" s="7">
        <f t="shared" si="11"/>
        <v>4.9412169997424371E-2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</row>
    <row r="1148" spans="1:28" ht="14.4" hidden="1">
      <c r="A1148" s="3">
        <f>LOOKUP(D1148,'AMFI DATA_2023H2'!F:L,'AMFI DATA_2023H2'!L:L)</f>
        <v>1540</v>
      </c>
      <c r="B1148" s="4" t="s">
        <v>4037</v>
      </c>
      <c r="C1148" s="4" t="s">
        <v>4038</v>
      </c>
      <c r="D1148" s="5" t="s">
        <v>4039</v>
      </c>
      <c r="E1148" s="5">
        <v>402.5</v>
      </c>
      <c r="F1148" s="6">
        <f>LOOKUP(D1148,'AMFI DATA_2023H2'!F:J,'AMFI DATA_2023H2'!J:J)</f>
        <v>466.63729999999998</v>
      </c>
      <c r="G1148" s="7">
        <f t="shared" si="10"/>
        <v>3.7208127168574023E-2</v>
      </c>
      <c r="H1148" s="9">
        <v>484</v>
      </c>
      <c r="I1148" s="9">
        <v>475</v>
      </c>
      <c r="J1148" s="9">
        <v>476</v>
      </c>
      <c r="K1148" s="9">
        <v>479</v>
      </c>
      <c r="L1148" s="9">
        <v>478</v>
      </c>
      <c r="M1148" s="9">
        <v>480</v>
      </c>
      <c r="N1148" s="9">
        <v>482</v>
      </c>
      <c r="O1148" s="9">
        <v>492</v>
      </c>
      <c r="P1148" s="9">
        <v>491</v>
      </c>
      <c r="Q1148" s="9">
        <v>499</v>
      </c>
      <c r="R1148" s="7">
        <f t="shared" si="11"/>
        <v>3.6350930369261292E-2</v>
      </c>
      <c r="S1148" s="9"/>
      <c r="T1148" s="9"/>
      <c r="U1148" s="9"/>
      <c r="V1148" s="9"/>
      <c r="W1148" s="9"/>
      <c r="X1148" s="9"/>
      <c r="Y1148" s="9"/>
      <c r="Z1148" s="9"/>
      <c r="AA1148" s="9"/>
      <c r="AB1148" s="9"/>
    </row>
    <row r="1149" spans="1:28" ht="14.4" hidden="1">
      <c r="A1149" s="3">
        <f>LOOKUP(D1149,'AMFI DATA_2023H2'!F:L,'AMFI DATA_2023H2'!L:L)</f>
        <v>1362</v>
      </c>
      <c r="B1149" s="4" t="s">
        <v>3686</v>
      </c>
      <c r="C1149" s="4" t="s">
        <v>3687</v>
      </c>
      <c r="D1149" s="5" t="s">
        <v>3688</v>
      </c>
      <c r="E1149" s="5">
        <v>379.9</v>
      </c>
      <c r="F1149" s="6">
        <f>LOOKUP(D1149,'AMFI DATA_2023H2'!F:J,'AMFI DATA_2023H2'!J:J)</f>
        <v>704.73050000000001</v>
      </c>
      <c r="G1149" s="7">
        <f t="shared" si="10"/>
        <v>0.3579659174677412</v>
      </c>
      <c r="H1149" s="9">
        <v>957</v>
      </c>
      <c r="I1149" s="9">
        <v>975</v>
      </c>
      <c r="J1149" s="9">
        <v>979</v>
      </c>
      <c r="K1149" s="9">
        <v>999</v>
      </c>
      <c r="L1149" s="9">
        <v>993</v>
      </c>
      <c r="M1149" s="9">
        <v>1010</v>
      </c>
      <c r="N1149" s="9">
        <v>1018</v>
      </c>
      <c r="O1149" s="9">
        <v>974</v>
      </c>
      <c r="P1149" s="9">
        <v>922</v>
      </c>
      <c r="Q1149" s="9">
        <v>888</v>
      </c>
      <c r="R1149" s="7">
        <f t="shared" si="11"/>
        <v>0.37854115864149485</v>
      </c>
      <c r="S1149" s="9"/>
      <c r="T1149" s="9"/>
      <c r="U1149" s="9"/>
      <c r="V1149" s="9"/>
      <c r="W1149" s="9"/>
      <c r="X1149" s="9"/>
      <c r="Y1149" s="9"/>
      <c r="Z1149" s="9"/>
      <c r="AA1149" s="9"/>
      <c r="AB1149" s="9"/>
    </row>
    <row r="1150" spans="1:28" ht="14.4" hidden="1">
      <c r="A1150" s="3">
        <f>LOOKUP(D1150,'AMFI DATA_2023H2'!F:L,'AMFI DATA_2023H2'!L:L)</f>
        <v>1448</v>
      </c>
      <c r="B1150" s="4" t="s">
        <v>3857</v>
      </c>
      <c r="C1150" s="4" t="s">
        <v>3858</v>
      </c>
      <c r="D1150" s="5" t="s">
        <v>3859</v>
      </c>
      <c r="E1150" s="5">
        <v>413.65</v>
      </c>
      <c r="F1150" s="6">
        <f>LOOKUP(D1150,'AMFI DATA_2023H2'!F:J,'AMFI DATA_2023H2'!J:J)</f>
        <v>576.18020000000001</v>
      </c>
      <c r="G1150" s="7">
        <f t="shared" si="10"/>
        <v>0.31903178901322882</v>
      </c>
      <c r="H1150" s="9">
        <v>760</v>
      </c>
      <c r="I1150" s="9">
        <v>756</v>
      </c>
      <c r="J1150" s="9">
        <v>767</v>
      </c>
      <c r="K1150" s="9">
        <v>776</v>
      </c>
      <c r="L1150" s="9">
        <v>729</v>
      </c>
      <c r="M1150" s="9">
        <v>722</v>
      </c>
      <c r="N1150" s="9">
        <v>734</v>
      </c>
      <c r="O1150" s="9">
        <v>743</v>
      </c>
      <c r="P1150" s="9">
        <v>762</v>
      </c>
      <c r="Q1150" s="9">
        <v>755</v>
      </c>
      <c r="R1150" s="7">
        <f t="shared" si="11"/>
        <v>0.30237033483621967</v>
      </c>
      <c r="S1150" s="9"/>
      <c r="T1150" s="9"/>
      <c r="U1150" s="9"/>
      <c r="V1150" s="9"/>
      <c r="W1150" s="9"/>
      <c r="X1150" s="9"/>
      <c r="Y1150" s="9"/>
      <c r="Z1150" s="9"/>
      <c r="AA1150" s="9"/>
      <c r="AB1150" s="9"/>
    </row>
    <row r="1151" spans="1:28" ht="14.4" hidden="1">
      <c r="A1151" s="3">
        <f>LOOKUP(D1151,'AMFI DATA_2023H2'!F:L,'AMFI DATA_2023H2'!L:L)</f>
        <v>1129</v>
      </c>
      <c r="B1151" s="4" t="s">
        <v>3182</v>
      </c>
      <c r="C1151" s="4" t="s">
        <v>3183</v>
      </c>
      <c r="D1151" s="5" t="s">
        <v>3184</v>
      </c>
      <c r="E1151" s="5">
        <v>875.82</v>
      </c>
      <c r="F1151" s="6">
        <f>LOOKUP(D1151,'AMFI DATA_2023H2'!F:J,'AMFI DATA_2023H2'!J:J)</f>
        <v>1251.7778499999999</v>
      </c>
      <c r="G1151" s="7">
        <f t="shared" si="10"/>
        <v>0.188709322504788</v>
      </c>
      <c r="H1151" s="8">
        <v>1488</v>
      </c>
      <c r="I1151" s="8">
        <v>1500</v>
      </c>
      <c r="J1151" s="8">
        <v>1513</v>
      </c>
      <c r="K1151" s="8">
        <v>1478</v>
      </c>
      <c r="L1151" s="8">
        <v>1405</v>
      </c>
      <c r="M1151" s="8">
        <v>1369</v>
      </c>
      <c r="N1151" s="8">
        <v>1412</v>
      </c>
      <c r="O1151" s="8">
        <v>1422</v>
      </c>
      <c r="P1151" s="8">
        <v>1427</v>
      </c>
      <c r="Q1151" s="8">
        <v>1439</v>
      </c>
      <c r="R1151" s="7">
        <f t="shared" si="11"/>
        <v>0.15459783858613574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</row>
    <row r="1152" spans="1:28" ht="14.4" hidden="1">
      <c r="A1152" s="3">
        <f>LOOKUP(D1152,'AMFI DATA_2023H2'!F:L,'AMFI DATA_2023H2'!L:L)</f>
        <v>984</v>
      </c>
      <c r="B1152" s="4" t="s">
        <v>2819</v>
      </c>
      <c r="C1152" s="4" t="s">
        <v>2820</v>
      </c>
      <c r="D1152" s="5" t="s">
        <v>2821</v>
      </c>
      <c r="E1152" s="5">
        <v>1406.97</v>
      </c>
      <c r="F1152" s="6">
        <f>LOOKUP(D1152,'AMFI DATA_2023H2'!F:J,'AMFI DATA_2023H2'!J:J)</f>
        <v>1775.8650499999999</v>
      </c>
      <c r="G1152" s="7">
        <f t="shared" si="10"/>
        <v>3.8930294844194524E-2</v>
      </c>
      <c r="H1152" s="8">
        <v>1845</v>
      </c>
      <c r="I1152" s="8">
        <v>1818</v>
      </c>
      <c r="J1152" s="8">
        <v>1810</v>
      </c>
      <c r="K1152" s="8">
        <v>1817</v>
      </c>
      <c r="L1152" s="8">
        <v>1834</v>
      </c>
      <c r="M1152" s="8">
        <v>1813</v>
      </c>
      <c r="N1152" s="8">
        <v>1807</v>
      </c>
      <c r="O1152" s="8">
        <v>1836</v>
      </c>
      <c r="P1152" s="8">
        <v>1840</v>
      </c>
      <c r="Q1152" s="8">
        <v>1832</v>
      </c>
      <c r="R1152" s="7">
        <f t="shared" si="11"/>
        <v>2.7780798997085965E-2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</row>
    <row r="1153" spans="1:28" ht="14.4" hidden="1">
      <c r="A1153" s="3">
        <f>LOOKUP(D1153,'AMFI DATA_2023H2'!F:L,'AMFI DATA_2023H2'!L:L)</f>
        <v>680</v>
      </c>
      <c r="B1153" s="4" t="s">
        <v>1995</v>
      </c>
      <c r="C1153" s="4" t="s">
        <v>1996</v>
      </c>
      <c r="D1153" s="5" t="s">
        <v>1997</v>
      </c>
      <c r="E1153" s="5">
        <v>3527.76</v>
      </c>
      <c r="F1153" s="6">
        <f>LOOKUP(D1153,'AMFI DATA_2023H2'!F:J,'AMFI DATA_2023H2'!J:J)</f>
        <v>4051.1513</v>
      </c>
      <c r="G1153" s="7">
        <f t="shared" si="10"/>
        <v>-4.7678125475096422E-2</v>
      </c>
      <c r="H1153" s="8">
        <v>3858</v>
      </c>
      <c r="I1153" s="8">
        <v>3848</v>
      </c>
      <c r="J1153" s="8">
        <v>3904</v>
      </c>
      <c r="K1153" s="8">
        <v>3907</v>
      </c>
      <c r="L1153" s="8">
        <v>3891</v>
      </c>
      <c r="M1153" s="8">
        <v>3891</v>
      </c>
      <c r="N1153" s="8">
        <v>3927</v>
      </c>
      <c r="O1153" s="8">
        <v>3947</v>
      </c>
      <c r="P1153" s="8">
        <v>3924</v>
      </c>
      <c r="Q1153" s="8">
        <v>3890</v>
      </c>
      <c r="R1153" s="7">
        <f t="shared" si="11"/>
        <v>-3.7631598701337143E-2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</row>
    <row r="1154" spans="1:28" ht="14.4">
      <c r="A1154" s="3">
        <f>LOOKUP(D1154,'AMFI DATA_2023H2'!F:L,'AMFI DATA_2023H2'!L:L)</f>
        <v>611</v>
      </c>
      <c r="B1154" s="4" t="s">
        <v>1803</v>
      </c>
      <c r="C1154" s="4" t="s">
        <v>1804</v>
      </c>
      <c r="D1154" s="5" t="s">
        <v>1805</v>
      </c>
      <c r="E1154" s="5">
        <v>4060.08</v>
      </c>
      <c r="F1154" s="6">
        <f>LOOKUP(D1154,'AMFI DATA_2023H2'!F:J,'AMFI DATA_2023H2'!J:J)</f>
        <v>5041.2752</v>
      </c>
      <c r="G1154" s="7">
        <f t="shared" si="10"/>
        <v>0.24016240970141833</v>
      </c>
      <c r="H1154" s="8">
        <v>6252</v>
      </c>
      <c r="I1154" s="8">
        <v>6410</v>
      </c>
      <c r="J1154" s="8">
        <v>6179</v>
      </c>
      <c r="K1154" s="8">
        <v>6179</v>
      </c>
      <c r="L1154" s="8">
        <v>6278</v>
      </c>
      <c r="M1154" s="8">
        <v>6222</v>
      </c>
      <c r="N1154" s="8">
        <v>6291</v>
      </c>
      <c r="O1154" s="8">
        <v>6364</v>
      </c>
      <c r="P1154" s="8">
        <v>6375</v>
      </c>
      <c r="Q1154" s="8">
        <v>6082</v>
      </c>
      <c r="R1154" s="14">
        <f t="shared" si="11"/>
        <v>0.24238406980836902</v>
      </c>
      <c r="S1154" s="8"/>
      <c r="T1154" s="8">
        <v>888.65</v>
      </c>
      <c r="U1154" s="15">
        <f ca="1">IFERROR(__xludf.DUMMYFUNCTION("GOOGLEFINANCE(C1154,""PRICE"")"),848)</f>
        <v>848</v>
      </c>
      <c r="V1154" s="13" t="s">
        <v>5787</v>
      </c>
      <c r="W1154" s="7">
        <f ca="1">U1154/T1154-1</f>
        <v>-4.5743543577336343E-2</v>
      </c>
      <c r="X1154" s="8"/>
      <c r="Y1154" s="8"/>
      <c r="Z1154" s="8"/>
      <c r="AA1154" s="8"/>
      <c r="AB1154" s="8"/>
    </row>
    <row r="1155" spans="1:28" ht="14.4" hidden="1">
      <c r="A1155" s="3">
        <f>LOOKUP(D1155,'AMFI DATA_2023H2'!F:L,'AMFI DATA_2023H2'!L:L)</f>
        <v>27</v>
      </c>
      <c r="B1155" s="4" t="s">
        <v>87</v>
      </c>
      <c r="C1155" s="4" t="s">
        <v>88</v>
      </c>
      <c r="D1155" s="5" t="s">
        <v>89</v>
      </c>
      <c r="E1155" s="5">
        <v>4060.08</v>
      </c>
      <c r="F1155" s="6">
        <f>LOOKUP(D1155,'AMFI DATA_2023H2'!F:J,'AMFI DATA_2023H2'!J:J)</f>
        <v>224983.16574999999</v>
      </c>
      <c r="G1155" s="7">
        <f t="shared" si="10"/>
        <v>0.14267660490504941</v>
      </c>
      <c r="H1155" s="8">
        <v>257083</v>
      </c>
      <c r="I1155" s="8">
        <v>261445</v>
      </c>
      <c r="J1155" s="8">
        <v>256855</v>
      </c>
      <c r="K1155" s="8">
        <v>262549</v>
      </c>
      <c r="L1155" s="8">
        <v>263845</v>
      </c>
      <c r="M1155" s="8">
        <v>256422</v>
      </c>
      <c r="N1155" s="8">
        <v>253001</v>
      </c>
      <c r="O1155" s="8">
        <v>248174</v>
      </c>
      <c r="P1155" s="8">
        <v>246504</v>
      </c>
      <c r="Q1155" s="8">
        <v>244592</v>
      </c>
      <c r="R1155" s="7">
        <f t="shared" si="11"/>
        <v>0.13362703893769012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</row>
    <row r="1156" spans="1:28" ht="14.4" hidden="1">
      <c r="A1156" s="3">
        <f>LOOKUP(D1156,'AMFI DATA_2023H2'!F:L,'AMFI DATA_2023H2'!L:L)</f>
        <v>615</v>
      </c>
      <c r="B1156" s="4" t="s">
        <v>1815</v>
      </c>
      <c r="C1156" s="4" t="s">
        <v>1816</v>
      </c>
      <c r="D1156" s="5" t="s">
        <v>1817</v>
      </c>
      <c r="E1156" s="5">
        <v>4060.08</v>
      </c>
      <c r="F1156" s="6">
        <f>LOOKUP(D1156,'AMFI DATA_2023H2'!F:J,'AMFI DATA_2023H2'!J:J)</f>
        <v>4977.04025</v>
      </c>
      <c r="G1156" s="7">
        <f t="shared" si="10"/>
        <v>0.33995299716533345</v>
      </c>
      <c r="H1156" s="8">
        <v>6669</v>
      </c>
      <c r="I1156" s="8">
        <v>6652</v>
      </c>
      <c r="J1156" s="8">
        <v>6660</v>
      </c>
      <c r="K1156" s="8">
        <v>6626</v>
      </c>
      <c r="L1156" s="8">
        <v>6631</v>
      </c>
      <c r="M1156" s="8">
        <v>6649</v>
      </c>
      <c r="N1156" s="8">
        <v>6747</v>
      </c>
      <c r="O1156" s="8">
        <v>6852</v>
      </c>
      <c r="P1156" s="8">
        <v>6887</v>
      </c>
      <c r="Q1156" s="8">
        <v>6844</v>
      </c>
      <c r="R1156" s="7">
        <f t="shared" si="11"/>
        <v>0.35054161959007657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</row>
    <row r="1157" spans="1:28" ht="14.4">
      <c r="A1157" s="3">
        <f>LOOKUP(D1157,'AMFI DATA_2023H2'!F:L,'AMFI DATA_2023H2'!L:L)</f>
        <v>491</v>
      </c>
      <c r="B1157" s="4" t="s">
        <v>1458</v>
      </c>
      <c r="C1157" s="4" t="s">
        <v>1459</v>
      </c>
      <c r="D1157" s="5" t="s">
        <v>1460</v>
      </c>
      <c r="E1157" s="5">
        <v>6272.74</v>
      </c>
      <c r="F1157" s="6">
        <f>LOOKUP(D1157,'AMFI DATA_2023H2'!F:J,'AMFI DATA_2023H2'!J:J)</f>
        <v>7514.9492</v>
      </c>
      <c r="G1157" s="7">
        <f t="shared" si="10"/>
        <v>0.29515180222375959</v>
      </c>
      <c r="H1157" s="8">
        <v>9733</v>
      </c>
      <c r="I1157" s="8">
        <v>9449</v>
      </c>
      <c r="J1157" s="8">
        <v>9395</v>
      </c>
      <c r="K1157" s="8">
        <v>9382</v>
      </c>
      <c r="L1157" s="8">
        <v>9262</v>
      </c>
      <c r="M1157" s="8">
        <v>9140</v>
      </c>
      <c r="N1157" s="8">
        <v>9227</v>
      </c>
      <c r="O1157" s="8">
        <v>9299</v>
      </c>
      <c r="P1157" s="8">
        <v>9296</v>
      </c>
      <c r="Q1157" s="8">
        <v>9014</v>
      </c>
      <c r="R1157" s="14">
        <f t="shared" si="11"/>
        <v>0.24015475713395373</v>
      </c>
      <c r="S1157" s="8"/>
      <c r="T1157" s="8">
        <v>93.35</v>
      </c>
      <c r="U1157" s="15">
        <f ca="1">IFERROR(__xludf.DUMMYFUNCTION("GOOGLEFINANCE(C1157,""PRICE"")"),128.45)</f>
        <v>128.44999999999999</v>
      </c>
      <c r="V1157" s="13" t="s">
        <v>5787</v>
      </c>
      <c r="W1157" s="7">
        <f ca="1">U1157/T1157-1</f>
        <v>0.37600428494911609</v>
      </c>
      <c r="X1157" s="8"/>
      <c r="Y1157" s="8"/>
      <c r="Z1157" s="8"/>
      <c r="AA1157" s="8"/>
      <c r="AB1157" s="8"/>
    </row>
    <row r="1158" spans="1:28" ht="14.4" hidden="1">
      <c r="A1158" s="3">
        <f>LOOKUP(D1158,'AMFI DATA_2023H2'!F:L,'AMFI DATA_2023H2'!L:L)</f>
        <v>603</v>
      </c>
      <c r="B1158" s="4" t="s">
        <v>1779</v>
      </c>
      <c r="C1158" s="4" t="s">
        <v>1780</v>
      </c>
      <c r="D1158" s="5" t="s">
        <v>1781</v>
      </c>
      <c r="E1158" s="5">
        <v>2646.13</v>
      </c>
      <c r="F1158" s="6">
        <f>LOOKUP(D1158,'AMFI DATA_2023H2'!F:J,'AMFI DATA_2023H2'!J:J)</f>
        <v>5278.5077999999994</v>
      </c>
      <c r="G1158" s="7">
        <f t="shared" si="10"/>
        <v>0.35094997870420896</v>
      </c>
      <c r="H1158" s="8">
        <v>7131</v>
      </c>
      <c r="I1158" s="8">
        <v>7261</v>
      </c>
      <c r="J1158" s="8">
        <v>7140</v>
      </c>
      <c r="K1158" s="8">
        <v>6995</v>
      </c>
      <c r="L1158" s="8">
        <v>6735</v>
      </c>
      <c r="M1158" s="8">
        <v>6769</v>
      </c>
      <c r="N1158" s="8">
        <v>6808</v>
      </c>
      <c r="O1158" s="8">
        <v>6783</v>
      </c>
      <c r="P1158" s="8">
        <v>6838</v>
      </c>
      <c r="Q1158" s="8">
        <v>6563</v>
      </c>
      <c r="R1158" s="7">
        <f t="shared" si="11"/>
        <v>0.30762334006591807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</row>
    <row r="1159" spans="1:28" ht="14.4">
      <c r="A1159" s="3">
        <f>LOOKUP(D1159,'AMFI DATA_2023H2'!F:L,'AMFI DATA_2023H2'!L:L)</f>
        <v>1062</v>
      </c>
      <c r="B1159" s="4" t="s">
        <v>3023</v>
      </c>
      <c r="C1159" s="4" t="s">
        <v>3024</v>
      </c>
      <c r="D1159" s="5" t="s">
        <v>3025</v>
      </c>
      <c r="E1159" s="5">
        <v>1430.13</v>
      </c>
      <c r="F1159" s="6">
        <f>LOOKUP(D1159,'AMFI DATA_2023H2'!F:J,'AMFI DATA_2023H2'!J:J)</f>
        <v>1435.62195</v>
      </c>
      <c r="G1159" s="7">
        <f t="shared" si="10"/>
        <v>0.2614741645598273</v>
      </c>
      <c r="H1159" s="8">
        <v>1811</v>
      </c>
      <c r="I1159" s="8">
        <v>1817</v>
      </c>
      <c r="J1159" s="8">
        <v>1816</v>
      </c>
      <c r="K1159" s="8">
        <v>1743</v>
      </c>
      <c r="L1159" s="8">
        <v>1778</v>
      </c>
      <c r="M1159" s="8">
        <v>1693</v>
      </c>
      <c r="N1159" s="8">
        <v>1702</v>
      </c>
      <c r="O1159" s="8">
        <v>1731</v>
      </c>
      <c r="P1159" s="8">
        <v>1727</v>
      </c>
      <c r="Q1159" s="8">
        <v>1722</v>
      </c>
      <c r="R1159" s="14">
        <f t="shared" si="11"/>
        <v>0.22177011851901551</v>
      </c>
      <c r="S1159" s="8"/>
      <c r="T1159" s="8">
        <v>280.10000000000002</v>
      </c>
      <c r="U1159" s="15">
        <f ca="1">IFERROR(__xludf.DUMMYFUNCTION("GOOGLEFINANCE(C1159,""PRICE"")"),274.95)</f>
        <v>274.95</v>
      </c>
      <c r="V1159" s="13" t="s">
        <v>5787</v>
      </c>
      <c r="W1159" s="7">
        <f ca="1">U1159/T1159-1</f>
        <v>-1.8386290610496347E-2</v>
      </c>
      <c r="X1159" s="8"/>
      <c r="Y1159" s="8"/>
      <c r="Z1159" s="8"/>
      <c r="AA1159" s="8"/>
      <c r="AB1159" s="8"/>
    </row>
    <row r="1160" spans="1:28" ht="14.4" hidden="1">
      <c r="A1160" s="3">
        <f>LOOKUP(D1160,'AMFI DATA_2023H2'!F:L,'AMFI DATA_2023H2'!L:L)</f>
        <v>510</v>
      </c>
      <c r="B1160" s="4" t="s">
        <v>1515</v>
      </c>
      <c r="C1160" s="4" t="s">
        <v>1516</v>
      </c>
      <c r="D1160" s="5" t="s">
        <v>1517</v>
      </c>
      <c r="E1160" s="5">
        <v>3508.28</v>
      </c>
      <c r="F1160" s="6">
        <f>LOOKUP(D1160,'AMFI DATA_2023H2'!F:J,'AMFI DATA_2023H2'!J:J)</f>
        <v>7177.5290500000001</v>
      </c>
      <c r="G1160" s="7">
        <f t="shared" si="10"/>
        <v>0.58341400234388452</v>
      </c>
      <c r="H1160" s="8">
        <v>11365</v>
      </c>
      <c r="I1160" s="8">
        <v>11262</v>
      </c>
      <c r="J1160" s="8">
        <v>11048</v>
      </c>
      <c r="K1160" s="8">
        <v>11176</v>
      </c>
      <c r="L1160" s="8">
        <v>11197</v>
      </c>
      <c r="M1160" s="8">
        <v>10994</v>
      </c>
      <c r="N1160" s="8">
        <v>10735</v>
      </c>
      <c r="O1160" s="8">
        <v>10756</v>
      </c>
      <c r="P1160" s="8">
        <v>10586</v>
      </c>
      <c r="Q1160" s="8">
        <v>10080</v>
      </c>
      <c r="R1160" s="7">
        <f t="shared" si="11"/>
        <v>0.52140101752705537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</row>
    <row r="1161" spans="1:28" ht="14.4" hidden="1">
      <c r="A1161" s="3">
        <f>LOOKUP(D1161,'AMFI DATA_2023H2'!F:L,'AMFI DATA_2023H2'!L:L)</f>
        <v>2961</v>
      </c>
      <c r="B1161" s="4" t="s">
        <v>5536</v>
      </c>
      <c r="C1161" s="4" t="s">
        <v>5537</v>
      </c>
      <c r="D1161" s="5" t="s">
        <v>5538</v>
      </c>
      <c r="E1161" s="5">
        <v>35.950000000000003</v>
      </c>
      <c r="F1161" s="6">
        <f>LOOKUP(D1161,'AMFI DATA_2023H2'!F:J,'AMFI DATA_2023H2'!J:J)</f>
        <v>40.488749999999996</v>
      </c>
      <c r="G1161" s="7">
        <f t="shared" si="10"/>
        <v>0.1558766323978884</v>
      </c>
      <c r="H1161" s="9">
        <v>46.8</v>
      </c>
      <c r="I1161" s="9">
        <v>46.2</v>
      </c>
      <c r="J1161" s="9">
        <v>45.8</v>
      </c>
      <c r="K1161" s="9">
        <v>45.4</v>
      </c>
      <c r="L1161" s="9">
        <v>43.4</v>
      </c>
      <c r="M1161" s="9">
        <v>42.3</v>
      </c>
      <c r="N1161" s="9">
        <v>43.8</v>
      </c>
      <c r="O1161" s="9">
        <v>42.3</v>
      </c>
      <c r="P1161" s="9">
        <v>43.8</v>
      </c>
      <c r="Q1161" s="9">
        <v>43.8</v>
      </c>
      <c r="R1161" s="7">
        <f t="shared" si="11"/>
        <v>9.5612978913896196E-2</v>
      </c>
      <c r="S1161" s="9"/>
      <c r="T1161" s="9"/>
      <c r="U1161" s="9"/>
      <c r="V1161" s="9"/>
      <c r="W1161" s="9"/>
      <c r="X1161" s="9"/>
      <c r="Y1161" s="9"/>
      <c r="Z1161" s="9"/>
      <c r="AA1161" s="9"/>
      <c r="AB1161" s="9"/>
    </row>
    <row r="1162" spans="1:28" ht="14.4" hidden="1">
      <c r="A1162" s="3">
        <f>LOOKUP(D1162,'AMFI DATA_2023H2'!F:L,'AMFI DATA_2023H2'!L:L)</f>
        <v>1142</v>
      </c>
      <c r="B1162" s="4" t="s">
        <v>3209</v>
      </c>
      <c r="C1162" s="4" t="s">
        <v>3210</v>
      </c>
      <c r="D1162" s="5" t="s">
        <v>3211</v>
      </c>
      <c r="E1162" s="5">
        <v>910.59</v>
      </c>
      <c r="F1162" s="6">
        <f>LOOKUP(D1162,'AMFI DATA_2023H2'!F:J,'AMFI DATA_2023H2'!J:J)</f>
        <v>1225.4454999999998</v>
      </c>
      <c r="G1162" s="7">
        <f t="shared" si="10"/>
        <v>6.4918839719922516E-2</v>
      </c>
      <c r="H1162" s="8">
        <v>1305</v>
      </c>
      <c r="I1162" s="8">
        <v>1305</v>
      </c>
      <c r="J1162" s="8">
        <v>1316</v>
      </c>
      <c r="K1162" s="8">
        <v>1316</v>
      </c>
      <c r="L1162" s="8">
        <v>1331</v>
      </c>
      <c r="M1162" s="8">
        <v>1385</v>
      </c>
      <c r="N1162" s="8">
        <v>1332</v>
      </c>
      <c r="O1162" s="8">
        <v>1260</v>
      </c>
      <c r="P1162" s="8">
        <v>1265</v>
      </c>
      <c r="Q1162" s="8">
        <v>1212</v>
      </c>
      <c r="R1162" s="7">
        <f t="shared" si="11"/>
        <v>6.3041971266776242E-2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</row>
    <row r="1163" spans="1:28" ht="14.4">
      <c r="A1163" s="3">
        <f>LOOKUP(D1163,'AMFI DATA_2023H2'!F:L,'AMFI DATA_2023H2'!L:L)</f>
        <v>117</v>
      </c>
      <c r="B1163" s="4" t="s">
        <v>363</v>
      </c>
      <c r="C1163" s="4" t="s">
        <v>364</v>
      </c>
      <c r="D1163" s="5" t="s">
        <v>365</v>
      </c>
      <c r="E1163" s="5">
        <v>42350.98</v>
      </c>
      <c r="F1163" s="6">
        <f>LOOKUP(D1163,'AMFI DATA_2023H2'!F:J,'AMFI DATA_2023H2'!J:J)</f>
        <v>53617.984949999998</v>
      </c>
      <c r="G1163" s="7">
        <f t="shared" si="10"/>
        <v>0.3479432333646475</v>
      </c>
      <c r="H1163" s="8">
        <v>72274</v>
      </c>
      <c r="I1163" s="8">
        <v>69361</v>
      </c>
      <c r="J1163" s="8">
        <v>67804</v>
      </c>
      <c r="K1163" s="8">
        <v>68346</v>
      </c>
      <c r="L1163" s="8">
        <v>66448</v>
      </c>
      <c r="M1163" s="8">
        <v>64911</v>
      </c>
      <c r="N1163" s="8">
        <v>65283</v>
      </c>
      <c r="O1163" s="8">
        <v>64459</v>
      </c>
      <c r="P1163" s="8">
        <v>64831</v>
      </c>
      <c r="Q1163" s="8">
        <v>64991</v>
      </c>
      <c r="R1163" s="14">
        <f t="shared" si="11"/>
        <v>0.24717107631625024</v>
      </c>
      <c r="S1163" s="8"/>
      <c r="T1163" s="8">
        <v>72</v>
      </c>
      <c r="U1163" s="15">
        <f ca="1">IFERROR(__xludf.DUMMYFUNCTION("GOOGLEFINANCE(C1163,""PRICE"")"),81.4)</f>
        <v>81.400000000000006</v>
      </c>
      <c r="V1163" s="13" t="s">
        <v>5787</v>
      </c>
      <c r="W1163" s="7">
        <f ca="1">U1163/T1163-1</f>
        <v>0.13055555555555554</v>
      </c>
      <c r="X1163" s="8"/>
      <c r="Y1163" s="8"/>
      <c r="Z1163" s="8"/>
      <c r="AA1163" s="8"/>
      <c r="AB1163" s="8"/>
    </row>
    <row r="1164" spans="1:28" ht="14.4" hidden="1">
      <c r="A1164" s="3">
        <f>LOOKUP(D1164,'AMFI DATA_2023H2'!F:L,'AMFI DATA_2023H2'!L:L)</f>
        <v>600</v>
      </c>
      <c r="B1164" s="4" t="s">
        <v>1770</v>
      </c>
      <c r="C1164" s="4" t="s">
        <v>1771</v>
      </c>
      <c r="D1164" s="5" t="s">
        <v>1772</v>
      </c>
      <c r="E1164" s="5">
        <v>1192.04</v>
      </c>
      <c r="F1164" s="6">
        <f>LOOKUP(D1164,'AMFI DATA_2023H2'!F:J,'AMFI DATA_2023H2'!J:J)</f>
        <v>5379.0776499999993</v>
      </c>
      <c r="G1164" s="7">
        <f t="shared" si="10"/>
        <v>0.12788853308336257</v>
      </c>
      <c r="H1164" s="8">
        <v>6067</v>
      </c>
      <c r="I1164" s="8">
        <v>6148</v>
      </c>
      <c r="J1164" s="8">
        <v>5949</v>
      </c>
      <c r="K1164" s="8">
        <v>6049</v>
      </c>
      <c r="L1164" s="8">
        <v>5886</v>
      </c>
      <c r="M1164" s="8">
        <v>5884</v>
      </c>
      <c r="N1164" s="8">
        <v>5830</v>
      </c>
      <c r="O1164" s="8">
        <v>5874</v>
      </c>
      <c r="P1164" s="8">
        <v>5902</v>
      </c>
      <c r="Q1164" s="8">
        <v>5880</v>
      </c>
      <c r="R1164" s="7">
        <f t="shared" si="11"/>
        <v>0.1055612852140182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</row>
    <row r="1165" spans="1:28" ht="14.4" hidden="1">
      <c r="A1165" s="3">
        <f>LOOKUP(D1165,'AMFI DATA_2023H2'!F:L,'AMFI DATA_2023H2'!L:L)</f>
        <v>1073</v>
      </c>
      <c r="B1165" s="4" t="s">
        <v>3047</v>
      </c>
      <c r="C1165" s="4" t="s">
        <v>3048</v>
      </c>
      <c r="D1165" s="5" t="s">
        <v>3049</v>
      </c>
      <c r="E1165" s="5">
        <v>1192.04</v>
      </c>
      <c r="F1165" s="6">
        <f>LOOKUP(D1165,'AMFI DATA_2023H2'!F:J,'AMFI DATA_2023H2'!J:J)</f>
        <v>1401.7530499999998</v>
      </c>
      <c r="G1165" s="7">
        <f t="shared" si="10"/>
        <v>0.1243064532657876</v>
      </c>
      <c r="H1165" s="8">
        <v>1576</v>
      </c>
      <c r="I1165" s="8">
        <v>1585</v>
      </c>
      <c r="J1165" s="8">
        <v>1570</v>
      </c>
      <c r="K1165" s="8">
        <v>1551</v>
      </c>
      <c r="L1165" s="8">
        <v>1556</v>
      </c>
      <c r="M1165" s="8">
        <v>1549</v>
      </c>
      <c r="N1165" s="8">
        <v>1544</v>
      </c>
      <c r="O1165" s="8">
        <v>1553</v>
      </c>
      <c r="P1165" s="8">
        <v>1555</v>
      </c>
      <c r="Q1165" s="8">
        <v>1572</v>
      </c>
      <c r="R1165" s="7">
        <f t="shared" si="11"/>
        <v>0.11367690621397264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</row>
    <row r="1166" spans="1:28" ht="14.4" hidden="1">
      <c r="A1166" s="3">
        <f>LOOKUP(D1166,'AMFI DATA_2023H2'!F:L,'AMFI DATA_2023H2'!L:L)</f>
        <v>1841</v>
      </c>
      <c r="B1166" s="4" t="s">
        <v>4523</v>
      </c>
      <c r="C1166" s="4" t="s">
        <v>4524</v>
      </c>
      <c r="D1166" s="5" t="s">
        <v>4525</v>
      </c>
      <c r="E1166" s="5">
        <v>220.4</v>
      </c>
      <c r="F1166" s="6">
        <f>LOOKUP(D1166,'AMFI DATA_2023H2'!F:J,'AMFI DATA_2023H2'!J:J)</f>
        <v>253.69515000000001</v>
      </c>
      <c r="G1166" s="7">
        <f t="shared" si="10"/>
        <v>0.42296768385205619</v>
      </c>
      <c r="H1166" s="9">
        <v>361</v>
      </c>
      <c r="I1166" s="9">
        <v>356</v>
      </c>
      <c r="J1166" s="9">
        <v>358</v>
      </c>
      <c r="K1166" s="9">
        <v>358</v>
      </c>
      <c r="L1166" s="9">
        <v>351</v>
      </c>
      <c r="M1166" s="9">
        <v>357</v>
      </c>
      <c r="N1166" s="9">
        <v>375</v>
      </c>
      <c r="O1166" s="9">
        <v>354</v>
      </c>
      <c r="P1166" s="9">
        <v>323</v>
      </c>
      <c r="Q1166" s="9">
        <v>309</v>
      </c>
      <c r="R1166" s="7">
        <f t="shared" si="11"/>
        <v>0.3803969054985874</v>
      </c>
      <c r="S1166" s="9"/>
      <c r="T1166" s="9"/>
      <c r="U1166" s="9"/>
      <c r="V1166" s="9"/>
      <c r="W1166" s="9"/>
      <c r="X1166" s="9"/>
      <c r="Y1166" s="9"/>
      <c r="Z1166" s="9"/>
      <c r="AA1166" s="9"/>
      <c r="AB1166" s="9"/>
    </row>
    <row r="1167" spans="1:28" ht="14.4" hidden="1">
      <c r="A1167" s="3">
        <f>LOOKUP(D1167,'AMFI DATA_2023H2'!F:L,'AMFI DATA_2023H2'!L:L)</f>
        <v>2178</v>
      </c>
      <c r="B1167" s="4" t="s">
        <v>4985</v>
      </c>
      <c r="C1167" s="4" t="s">
        <v>4986</v>
      </c>
      <c r="D1167" s="5" t="s">
        <v>4987</v>
      </c>
      <c r="E1167" s="5">
        <v>116.36</v>
      </c>
      <c r="F1167" s="6">
        <f>LOOKUP(D1167,'AMFI DATA_2023H2'!F:J,'AMFI DATA_2023H2'!J:J)</f>
        <v>137.72</v>
      </c>
      <c r="G1167" s="7">
        <f t="shared" si="10"/>
        <v>0.43043857101365091</v>
      </c>
      <c r="H1167" s="9">
        <v>197</v>
      </c>
      <c r="I1167" s="9">
        <v>189</v>
      </c>
      <c r="J1167" s="9">
        <v>183</v>
      </c>
      <c r="K1167" s="9">
        <v>183</v>
      </c>
      <c r="L1167" s="9">
        <v>183</v>
      </c>
      <c r="M1167" s="9">
        <v>189</v>
      </c>
      <c r="N1167" s="9">
        <v>189</v>
      </c>
      <c r="O1167" s="9">
        <v>195</v>
      </c>
      <c r="P1167" s="9">
        <v>185</v>
      </c>
      <c r="Q1167" s="9">
        <v>179</v>
      </c>
      <c r="R1167" s="7">
        <f t="shared" si="11"/>
        <v>0.35927969793784476</v>
      </c>
      <c r="S1167" s="9"/>
      <c r="T1167" s="9"/>
      <c r="U1167" s="9"/>
      <c r="V1167" s="9"/>
      <c r="W1167" s="9"/>
      <c r="X1167" s="9"/>
      <c r="Y1167" s="9"/>
      <c r="Z1167" s="9"/>
      <c r="AA1167" s="9"/>
      <c r="AB1167" s="9"/>
    </row>
    <row r="1168" spans="1:28" ht="14.4" hidden="1">
      <c r="A1168" s="3">
        <f>LOOKUP(D1168,'AMFI DATA_2023H2'!F:L,'AMFI DATA_2023H2'!L:L)</f>
        <v>730</v>
      </c>
      <c r="B1168" s="4" t="s">
        <v>2135</v>
      </c>
      <c r="C1168" s="4" t="s">
        <v>2136</v>
      </c>
      <c r="D1168" s="5" t="s">
        <v>2137</v>
      </c>
      <c r="E1168" s="5">
        <v>2993.26</v>
      </c>
      <c r="F1168" s="6">
        <f>LOOKUP(D1168,'AMFI DATA_2023H2'!F:J,'AMFI DATA_2023H2'!J:J)</f>
        <v>3510.0210999999999</v>
      </c>
      <c r="G1168" s="7">
        <f t="shared" si="10"/>
        <v>-5.8125320101352074E-2</v>
      </c>
      <c r="H1168" s="8">
        <v>3306</v>
      </c>
      <c r="I1168" s="8">
        <v>3326</v>
      </c>
      <c r="J1168" s="8">
        <v>3317</v>
      </c>
      <c r="K1168" s="8">
        <v>3333</v>
      </c>
      <c r="L1168" s="8">
        <v>3339</v>
      </c>
      <c r="M1168" s="8">
        <v>3342</v>
      </c>
      <c r="N1168" s="8">
        <v>3328</v>
      </c>
      <c r="O1168" s="8">
        <v>3308</v>
      </c>
      <c r="P1168" s="8">
        <v>3294</v>
      </c>
      <c r="Q1168" s="8">
        <v>3320</v>
      </c>
      <c r="R1168" s="7">
        <f t="shared" si="11"/>
        <v>-5.3766371945741187E-2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</row>
    <row r="1169" spans="1:28" ht="14.4" hidden="1">
      <c r="A1169" s="3">
        <f>LOOKUP(D1169,'AMFI DATA_2023H2'!F:L,'AMFI DATA_2023H2'!L:L)</f>
        <v>1351</v>
      </c>
      <c r="B1169" s="4" t="s">
        <v>3665</v>
      </c>
      <c r="C1169" s="4" t="s">
        <v>3666</v>
      </c>
      <c r="D1169" s="5" t="s">
        <v>3667</v>
      </c>
      <c r="E1169" s="5">
        <v>393.98</v>
      </c>
      <c r="F1169" s="6">
        <f>LOOKUP(D1169,'AMFI DATA_2023H2'!F:J,'AMFI DATA_2023H2'!J:J)</f>
        <v>724.07394999999997</v>
      </c>
      <c r="G1169" s="7">
        <f t="shared" si="10"/>
        <v>0.51365754837610167</v>
      </c>
      <c r="H1169" s="8">
        <v>1096</v>
      </c>
      <c r="I1169" s="8">
        <v>1086</v>
      </c>
      <c r="J1169" s="8">
        <v>1110</v>
      </c>
      <c r="K1169" s="8">
        <v>1122</v>
      </c>
      <c r="L1169" s="8">
        <v>1076</v>
      </c>
      <c r="M1169" s="8">
        <v>1056</v>
      </c>
      <c r="N1169" s="8">
        <v>1067</v>
      </c>
      <c r="O1169" s="8">
        <v>1112</v>
      </c>
      <c r="P1169" s="8">
        <v>1143</v>
      </c>
      <c r="Q1169" s="8">
        <v>1095</v>
      </c>
      <c r="R1169" s="7">
        <f t="shared" si="11"/>
        <v>0.51407187069773741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</row>
    <row r="1170" spans="1:28" ht="14.4" hidden="1">
      <c r="A1170" s="3">
        <f>LOOKUP(D1170,'AMFI DATA_2023H2'!F:L,'AMFI DATA_2023H2'!L:L)</f>
        <v>246</v>
      </c>
      <c r="B1170" s="4" t="s">
        <v>744</v>
      </c>
      <c r="C1170" s="4" t="s">
        <v>745</v>
      </c>
      <c r="D1170" s="5" t="s">
        <v>746</v>
      </c>
      <c r="E1170" s="5">
        <v>14648.54</v>
      </c>
      <c r="F1170" s="6">
        <f>LOOKUP(D1170,'AMFI DATA_2023H2'!F:J,'AMFI DATA_2023H2'!J:J)</f>
        <v>22377.859850000001</v>
      </c>
      <c r="G1170" s="7">
        <f t="shared" si="10"/>
        <v>0.34400698733485013</v>
      </c>
      <c r="H1170" s="8">
        <v>30076</v>
      </c>
      <c r="I1170" s="8">
        <v>29547</v>
      </c>
      <c r="J1170" s="8">
        <v>28701</v>
      </c>
      <c r="K1170" s="8">
        <v>29262</v>
      </c>
      <c r="L1170" s="8">
        <v>28435</v>
      </c>
      <c r="M1170" s="8">
        <v>28008</v>
      </c>
      <c r="N1170" s="8">
        <v>27228</v>
      </c>
      <c r="O1170" s="8">
        <v>27520</v>
      </c>
      <c r="P1170" s="8">
        <v>27789</v>
      </c>
      <c r="Q1170" s="8">
        <v>28532</v>
      </c>
      <c r="R1170" s="7">
        <f t="shared" si="11"/>
        <v>0.27401816755948616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</row>
    <row r="1171" spans="1:28" ht="14.4" hidden="1">
      <c r="A1171" s="3">
        <f>LOOKUP(D1171,'AMFI DATA_2023H2'!F:L,'AMFI DATA_2023H2'!L:L)</f>
        <v>2130</v>
      </c>
      <c r="B1171" s="4" t="s">
        <v>4925</v>
      </c>
      <c r="C1171" s="4" t="s">
        <v>4926</v>
      </c>
      <c r="D1171" s="5" t="s">
        <v>4927</v>
      </c>
      <c r="E1171" s="5">
        <v>117.66</v>
      </c>
      <c r="F1171" s="6">
        <f>LOOKUP(D1171,'AMFI DATA_2023H2'!F:J,'AMFI DATA_2023H2'!J:J)</f>
        <v>151.03345000000002</v>
      </c>
      <c r="G1171" s="7">
        <f t="shared" si="10"/>
        <v>0.18516792141078664</v>
      </c>
      <c r="H1171" s="9">
        <v>179</v>
      </c>
      <c r="I1171" s="9">
        <v>185</v>
      </c>
      <c r="J1171" s="9">
        <v>177</v>
      </c>
      <c r="K1171" s="9">
        <v>178</v>
      </c>
      <c r="L1171" s="9">
        <v>181</v>
      </c>
      <c r="M1171" s="9">
        <v>175</v>
      </c>
      <c r="N1171" s="9">
        <v>176</v>
      </c>
      <c r="O1171" s="9">
        <v>178</v>
      </c>
      <c r="P1171" s="9">
        <v>180</v>
      </c>
      <c r="Q1171" s="9">
        <v>173</v>
      </c>
      <c r="R1171" s="7">
        <f t="shared" si="11"/>
        <v>0.17987108153855957</v>
      </c>
      <c r="S1171" s="9"/>
      <c r="T1171" s="9"/>
      <c r="U1171" s="9"/>
      <c r="V1171" s="9"/>
      <c r="W1171" s="9"/>
      <c r="X1171" s="9"/>
      <c r="Y1171" s="9"/>
      <c r="Z1171" s="9"/>
      <c r="AA1171" s="9"/>
      <c r="AB1171" s="9"/>
    </row>
    <row r="1172" spans="1:28" ht="14.4" hidden="1">
      <c r="A1172" s="3">
        <f>LOOKUP(D1172,'AMFI DATA_2023H2'!F:L,'AMFI DATA_2023H2'!L:L)</f>
        <v>4150</v>
      </c>
      <c r="B1172" s="4" t="s">
        <v>5767</v>
      </c>
      <c r="C1172" s="4" t="s">
        <v>5768</v>
      </c>
      <c r="D1172" s="5" t="s">
        <v>5769</v>
      </c>
      <c r="E1172" s="5">
        <v>6.72</v>
      </c>
      <c r="F1172" s="6">
        <f>LOOKUP(D1172,'AMFI DATA_2023H2'!F:J,'AMFI DATA_2023H2'!J:J)</f>
        <v>6.72</v>
      </c>
      <c r="G1172" s="7">
        <f t="shared" si="10"/>
        <v>-1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7">
        <f t="shared" si="11"/>
        <v>-1</v>
      </c>
      <c r="S1172" s="9"/>
      <c r="T1172" s="9"/>
      <c r="U1172" s="9"/>
      <c r="V1172" s="9"/>
      <c r="W1172" s="9"/>
      <c r="X1172" s="9"/>
      <c r="Y1172" s="9"/>
      <c r="Z1172" s="9"/>
      <c r="AA1172" s="9"/>
      <c r="AB1172" s="9"/>
    </row>
    <row r="1173" spans="1:28" ht="14.4" hidden="1">
      <c r="A1173" s="3">
        <f>LOOKUP(D1173,'AMFI DATA_2023H2'!F:L,'AMFI DATA_2023H2'!L:L)</f>
        <v>2100</v>
      </c>
      <c r="B1173" s="4" t="s">
        <v>4877</v>
      </c>
      <c r="C1173" s="4" t="s">
        <v>4878</v>
      </c>
      <c r="D1173" s="5" t="s">
        <v>4879</v>
      </c>
      <c r="E1173" s="5">
        <v>152.13999999999999</v>
      </c>
      <c r="F1173" s="6">
        <f>LOOKUP(D1173,'AMFI DATA_2023H2'!F:J,'AMFI DATA_2023H2'!J:J)</f>
        <v>160.85849999999999</v>
      </c>
      <c r="G1173" s="7">
        <f t="shared" si="10"/>
        <v>0.47334458545864844</v>
      </c>
      <c r="H1173" s="9">
        <v>237</v>
      </c>
      <c r="I1173" s="9">
        <v>232</v>
      </c>
      <c r="J1173" s="9">
        <v>228</v>
      </c>
      <c r="K1173" s="9">
        <v>224</v>
      </c>
      <c r="L1173" s="9">
        <v>225</v>
      </c>
      <c r="M1173" s="9">
        <v>229</v>
      </c>
      <c r="N1173" s="9">
        <v>233</v>
      </c>
      <c r="O1173" s="9">
        <v>238</v>
      </c>
      <c r="P1173" s="9">
        <v>239</v>
      </c>
      <c r="Q1173" s="9">
        <v>228</v>
      </c>
      <c r="R1173" s="7">
        <f t="shared" si="11"/>
        <v>0.43790971568179504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</row>
    <row r="1174" spans="1:28" ht="14.4" hidden="1">
      <c r="A1174" s="3">
        <f>LOOKUP(D1174,'AMFI DATA_2023H2'!F:L,'AMFI DATA_2023H2'!L:L)</f>
        <v>1015</v>
      </c>
      <c r="B1174" s="4" t="s">
        <v>2906</v>
      </c>
      <c r="C1174" s="4" t="s">
        <v>2907</v>
      </c>
      <c r="D1174" s="5" t="s">
        <v>2908</v>
      </c>
      <c r="E1174" s="5">
        <v>1325.33</v>
      </c>
      <c r="F1174" s="6">
        <f>LOOKUP(D1174,'AMFI DATA_2023H2'!F:J,'AMFI DATA_2023H2'!J:J)</f>
        <v>1641.5041000000001</v>
      </c>
      <c r="G1174" s="7">
        <f t="shared" si="10"/>
        <v>0.14711867000514944</v>
      </c>
      <c r="H1174" s="8">
        <v>1883</v>
      </c>
      <c r="I1174" s="8">
        <v>1876</v>
      </c>
      <c r="J1174" s="8">
        <v>1883</v>
      </c>
      <c r="K1174" s="8">
        <v>1855</v>
      </c>
      <c r="L1174" s="8">
        <v>1847</v>
      </c>
      <c r="M1174" s="8">
        <v>1822</v>
      </c>
      <c r="N1174" s="8">
        <v>1882</v>
      </c>
      <c r="O1174" s="8">
        <v>1868</v>
      </c>
      <c r="P1174" s="8">
        <v>1934</v>
      </c>
      <c r="Q1174" s="8">
        <v>1899</v>
      </c>
      <c r="R1174" s="7">
        <f t="shared" si="11"/>
        <v>0.14218417121224358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</row>
    <row r="1175" spans="1:28" ht="14.4" hidden="1">
      <c r="A1175" s="3">
        <f>LOOKUP(D1175,'AMFI DATA_2023H2'!F:L,'AMFI DATA_2023H2'!L:L)</f>
        <v>2298</v>
      </c>
      <c r="B1175" s="4" t="s">
        <v>5132</v>
      </c>
      <c r="C1175" s="4" t="s">
        <v>5133</v>
      </c>
      <c r="D1175" s="5" t="s">
        <v>5134</v>
      </c>
      <c r="E1175" s="5">
        <v>76.900000000000006</v>
      </c>
      <c r="F1175" s="6">
        <f>LOOKUP(D1175,'AMFI DATA_2023H2'!F:J,'AMFI DATA_2023H2'!J:J)</f>
        <v>112.13639999999999</v>
      </c>
      <c r="G1175" s="7">
        <f t="shared" si="10"/>
        <v>0.16822013191078011</v>
      </c>
      <c r="H1175" s="9">
        <v>131</v>
      </c>
      <c r="I1175" s="9">
        <v>130</v>
      </c>
      <c r="J1175" s="9">
        <v>126</v>
      </c>
      <c r="K1175" s="9">
        <v>125</v>
      </c>
      <c r="L1175" s="9">
        <v>121</v>
      </c>
      <c r="M1175" s="9">
        <v>122</v>
      </c>
      <c r="N1175" s="9">
        <v>118</v>
      </c>
      <c r="O1175" s="9">
        <v>117</v>
      </c>
      <c r="P1175" s="9">
        <v>112</v>
      </c>
      <c r="Q1175" s="9">
        <v>115</v>
      </c>
      <c r="R1175" s="7">
        <f t="shared" si="11"/>
        <v>8.5285420256045352E-2</v>
      </c>
      <c r="S1175" s="9"/>
      <c r="T1175" s="9"/>
      <c r="U1175" s="9"/>
      <c r="V1175" s="9"/>
      <c r="W1175" s="9"/>
      <c r="X1175" s="9"/>
      <c r="Y1175" s="9"/>
      <c r="Z1175" s="9"/>
      <c r="AA1175" s="9"/>
      <c r="AB1175" s="9"/>
    </row>
    <row r="1176" spans="1:28" ht="14.4" hidden="1">
      <c r="A1176" s="3">
        <f>LOOKUP(D1176,'AMFI DATA_2023H2'!F:L,'AMFI DATA_2023H2'!L:L)</f>
        <v>3140</v>
      </c>
      <c r="B1176" s="4" t="s">
        <v>5590</v>
      </c>
      <c r="C1176" s="4" t="s">
        <v>5591</v>
      </c>
      <c r="D1176" s="5" t="s">
        <v>5592</v>
      </c>
      <c r="E1176" s="5">
        <v>23.94</v>
      </c>
      <c r="F1176" s="6">
        <f>LOOKUP(D1176,'AMFI DATA_2023H2'!F:J,'AMFI DATA_2023H2'!J:J)</f>
        <v>30.674099999999999</v>
      </c>
      <c r="G1176" s="7">
        <f t="shared" si="10"/>
        <v>0.17036848676896788</v>
      </c>
      <c r="H1176" s="9">
        <v>35.9</v>
      </c>
      <c r="I1176" s="9">
        <v>34</v>
      </c>
      <c r="J1176" s="9">
        <v>34.700000000000003</v>
      </c>
      <c r="K1176" s="9">
        <v>34.799999999999997</v>
      </c>
      <c r="L1176" s="9">
        <v>35.9</v>
      </c>
      <c r="M1176" s="9">
        <v>33.799999999999997</v>
      </c>
      <c r="N1176" s="9">
        <v>36.6</v>
      </c>
      <c r="O1176" s="9">
        <v>37.299999999999997</v>
      </c>
      <c r="P1176" s="9">
        <v>32.799999999999997</v>
      </c>
      <c r="Q1176" s="9">
        <v>35.5</v>
      </c>
      <c r="R1176" s="7">
        <f t="shared" si="11"/>
        <v>0.14526587577141648</v>
      </c>
      <c r="S1176" s="9"/>
      <c r="T1176" s="9"/>
      <c r="U1176" s="9"/>
      <c r="V1176" s="9"/>
      <c r="W1176" s="9"/>
      <c r="X1176" s="9"/>
      <c r="Y1176" s="9"/>
      <c r="Z1176" s="9"/>
      <c r="AA1176" s="9"/>
      <c r="AB1176" s="9"/>
    </row>
    <row r="1177" spans="1:28" ht="14.4" hidden="1">
      <c r="A1177" s="3">
        <f>LOOKUP(D1177,'AMFI DATA_2023H2'!F:L,'AMFI DATA_2023H2'!L:L)</f>
        <v>267</v>
      </c>
      <c r="B1177" s="4" t="s">
        <v>810</v>
      </c>
      <c r="C1177" s="4" t="s">
        <v>811</v>
      </c>
      <c r="D1177" s="5" t="s">
        <v>812</v>
      </c>
      <c r="E1177" s="5">
        <v>11673.34</v>
      </c>
      <c r="F1177" s="6">
        <f>LOOKUP(D1177,'AMFI DATA_2023H2'!F:J,'AMFI DATA_2023H2'!J:J)</f>
        <v>20080.316650000001</v>
      </c>
      <c r="G1177" s="7">
        <f t="shared" si="10"/>
        <v>0.55545355904534488</v>
      </c>
      <c r="H1177" s="8">
        <v>31234</v>
      </c>
      <c r="I1177" s="8">
        <v>32017</v>
      </c>
      <c r="J1177" s="8">
        <v>31796</v>
      </c>
      <c r="K1177" s="8">
        <v>33258</v>
      </c>
      <c r="L1177" s="8">
        <v>34714</v>
      </c>
      <c r="M1177" s="8">
        <v>35130</v>
      </c>
      <c r="N1177" s="8">
        <v>34853</v>
      </c>
      <c r="O1177" s="8">
        <v>34923</v>
      </c>
      <c r="P1177" s="8">
        <v>34686</v>
      </c>
      <c r="Q1177" s="8">
        <v>31047</v>
      </c>
      <c r="R1177" s="7">
        <f t="shared" si="11"/>
        <v>0.66161722355110375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</row>
    <row r="1178" spans="1:28" ht="14.4" hidden="1">
      <c r="A1178" s="3">
        <f>LOOKUP(D1178,'AMFI DATA_2023H2'!F:L,'AMFI DATA_2023H2'!L:L)</f>
        <v>154</v>
      </c>
      <c r="B1178" s="4" t="s">
        <v>471</v>
      </c>
      <c r="C1178" s="4" t="s">
        <v>472</v>
      </c>
      <c r="D1178" s="5" t="s">
        <v>473</v>
      </c>
      <c r="E1178" s="5">
        <v>33266.28</v>
      </c>
      <c r="F1178" s="6">
        <f>LOOKUP(D1178,'AMFI DATA_2023H2'!F:J,'AMFI DATA_2023H2'!J:J)</f>
        <v>43081.444499999998</v>
      </c>
      <c r="G1178" s="7">
        <f t="shared" si="10"/>
        <v>0.51457317082299792</v>
      </c>
      <c r="H1178" s="8">
        <v>65250</v>
      </c>
      <c r="I1178" s="8">
        <v>65514</v>
      </c>
      <c r="J1178" s="8">
        <v>63741</v>
      </c>
      <c r="K1178" s="8">
        <v>63814</v>
      </c>
      <c r="L1178" s="8">
        <v>61997</v>
      </c>
      <c r="M1178" s="8">
        <v>61352</v>
      </c>
      <c r="N1178" s="8">
        <v>60722</v>
      </c>
      <c r="O1178" s="8">
        <v>59022</v>
      </c>
      <c r="P1178" s="8">
        <v>59185</v>
      </c>
      <c r="Q1178" s="8">
        <v>57264</v>
      </c>
      <c r="R1178" s="7">
        <f t="shared" si="11"/>
        <v>0.43416964582048778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</row>
    <row r="1179" spans="1:28" ht="14.4" hidden="1">
      <c r="A1179" s="3">
        <f>LOOKUP(D1179,'AMFI DATA_2023H2'!F:L,'AMFI DATA_2023H2'!L:L)</f>
        <v>331</v>
      </c>
      <c r="B1179" s="4" t="s">
        <v>1002</v>
      </c>
      <c r="C1179" s="4" t="s">
        <v>1003</v>
      </c>
      <c r="D1179" s="5" t="s">
        <v>1004</v>
      </c>
      <c r="E1179" s="5">
        <v>10987.37</v>
      </c>
      <c r="F1179" s="6">
        <f>LOOKUP(D1179,'AMFI DATA_2023H2'!F:J,'AMFI DATA_2023H2'!J:J)</f>
        <v>14001.699700000001</v>
      </c>
      <c r="G1179" s="7">
        <f t="shared" si="10"/>
        <v>6.6799054403373637E-2</v>
      </c>
      <c r="H1179" s="8">
        <v>14937</v>
      </c>
      <c r="I1179" s="8">
        <v>14961</v>
      </c>
      <c r="J1179" s="8">
        <v>14785</v>
      </c>
      <c r="K1179" s="8">
        <v>14879</v>
      </c>
      <c r="L1179" s="8">
        <v>15034</v>
      </c>
      <c r="M1179" s="8">
        <v>15043</v>
      </c>
      <c r="N1179" s="8">
        <v>14835</v>
      </c>
      <c r="O1179" s="8">
        <v>14536</v>
      </c>
      <c r="P1179" s="8">
        <v>14641</v>
      </c>
      <c r="Q1179" s="8">
        <v>14917</v>
      </c>
      <c r="R1179" s="7">
        <f t="shared" si="11"/>
        <v>6.1071178379864755E-2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</row>
    <row r="1180" spans="1:28" ht="14.4" hidden="1">
      <c r="A1180" s="3">
        <f>LOOKUP(D1180,'AMFI DATA_2023H2'!F:L,'AMFI DATA_2023H2'!L:L)</f>
        <v>703</v>
      </c>
      <c r="B1180" s="4" t="s">
        <v>2061</v>
      </c>
      <c r="C1180" s="4" t="s">
        <v>2062</v>
      </c>
      <c r="D1180" s="5" t="s">
        <v>2063</v>
      </c>
      <c r="E1180" s="5">
        <v>3660.94</v>
      </c>
      <c r="F1180" s="6">
        <f>LOOKUP(D1180,'AMFI DATA_2023H2'!F:J,'AMFI DATA_2023H2'!J:J)</f>
        <v>3854.2642999999998</v>
      </c>
      <c r="G1180" s="7">
        <f t="shared" si="10"/>
        <v>0.18544024082624544</v>
      </c>
      <c r="H1180" s="8">
        <v>4569</v>
      </c>
      <c r="I1180" s="8">
        <v>4635</v>
      </c>
      <c r="J1180" s="8">
        <v>4655</v>
      </c>
      <c r="K1180" s="8">
        <v>4718</v>
      </c>
      <c r="L1180" s="8">
        <v>4564</v>
      </c>
      <c r="M1180" s="8">
        <v>4558</v>
      </c>
      <c r="N1180" s="8">
        <v>4527</v>
      </c>
      <c r="O1180" s="8">
        <v>4604</v>
      </c>
      <c r="P1180" s="8">
        <v>4638</v>
      </c>
      <c r="Q1180" s="8">
        <v>4392</v>
      </c>
      <c r="R1180" s="7">
        <f t="shared" si="11"/>
        <v>0.18985093990570401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</row>
    <row r="1181" spans="1:28" ht="14.4" hidden="1">
      <c r="A1181" s="3">
        <f>LOOKUP(D1181,'AMFI DATA_2023H2'!F:L,'AMFI DATA_2023H2'!L:L)</f>
        <v>2096</v>
      </c>
      <c r="B1181" s="4" t="s">
        <v>4868</v>
      </c>
      <c r="C1181" s="4" t="s">
        <v>4869</v>
      </c>
      <c r="D1181" s="5" t="s">
        <v>4870</v>
      </c>
      <c r="E1181" s="5">
        <v>132.77000000000001</v>
      </c>
      <c r="F1181" s="6">
        <f>LOOKUP(D1181,'AMFI DATA_2023H2'!F:J,'AMFI DATA_2023H2'!J:J)</f>
        <v>163.16784999999999</v>
      </c>
      <c r="G1181" s="7">
        <f t="shared" si="10"/>
        <v>0.44636336140973865</v>
      </c>
      <c r="H1181" s="9">
        <v>236</v>
      </c>
      <c r="I1181" s="9">
        <v>239</v>
      </c>
      <c r="J1181" s="9">
        <v>228</v>
      </c>
      <c r="K1181" s="9">
        <v>217</v>
      </c>
      <c r="L1181" s="9">
        <v>207</v>
      </c>
      <c r="M1181" s="9">
        <v>197</v>
      </c>
      <c r="N1181" s="9">
        <v>187</v>
      </c>
      <c r="O1181" s="9">
        <v>198</v>
      </c>
      <c r="P1181" s="9">
        <v>203</v>
      </c>
      <c r="Q1181" s="9">
        <v>194</v>
      </c>
      <c r="R1181" s="7">
        <f t="shared" si="11"/>
        <v>0.29069544030885996</v>
      </c>
      <c r="S1181" s="9"/>
      <c r="T1181" s="9"/>
      <c r="U1181" s="9"/>
      <c r="V1181" s="9"/>
      <c r="W1181" s="9"/>
      <c r="X1181" s="9"/>
      <c r="Y1181" s="9"/>
      <c r="Z1181" s="9"/>
      <c r="AA1181" s="9"/>
      <c r="AB1181" s="9"/>
    </row>
    <row r="1182" spans="1:28" ht="14.4" hidden="1">
      <c r="A1182" s="3">
        <f>LOOKUP(D1182,'AMFI DATA_2023H2'!F:L,'AMFI DATA_2023H2'!L:L)</f>
        <v>3757</v>
      </c>
      <c r="B1182" s="4" t="s">
        <v>5725</v>
      </c>
      <c r="C1182" s="4" t="s">
        <v>5726</v>
      </c>
      <c r="D1182" s="5" t="s">
        <v>5727</v>
      </c>
      <c r="E1182" s="5">
        <v>10.09</v>
      </c>
      <c r="F1182" s="6">
        <f>LOOKUP(D1182,'AMFI DATA_2023H2'!F:J,'AMFI DATA_2023H2'!J:J)</f>
        <v>11.9641</v>
      </c>
      <c r="G1182" s="7">
        <f t="shared" si="10"/>
        <v>0.16180907882749218</v>
      </c>
      <c r="H1182" s="9">
        <v>13.9</v>
      </c>
      <c r="I1182" s="9">
        <v>13.6</v>
      </c>
      <c r="J1182" s="9">
        <v>13.3</v>
      </c>
      <c r="K1182" s="9">
        <v>13.1</v>
      </c>
      <c r="L1182" s="9">
        <v>12.8</v>
      </c>
      <c r="M1182" s="9">
        <v>12.6</v>
      </c>
      <c r="N1182" s="9">
        <v>12.5</v>
      </c>
      <c r="O1182" s="9">
        <v>12.8</v>
      </c>
      <c r="P1182" s="9">
        <v>12.8</v>
      </c>
      <c r="Q1182" s="9">
        <v>13</v>
      </c>
      <c r="R1182" s="7">
        <f t="shared" si="11"/>
        <v>8.9927366036726353E-2</v>
      </c>
      <c r="S1182" s="9"/>
      <c r="T1182" s="9"/>
      <c r="U1182" s="9"/>
      <c r="V1182" s="9"/>
      <c r="W1182" s="9"/>
      <c r="X1182" s="9"/>
      <c r="Y1182" s="9"/>
      <c r="Z1182" s="9"/>
      <c r="AA1182" s="9"/>
      <c r="AB1182" s="9"/>
    </row>
    <row r="1183" spans="1:28" ht="14.4" hidden="1">
      <c r="A1183" s="3">
        <f>LOOKUP(D1183,'AMFI DATA_2023H2'!F:L,'AMFI DATA_2023H2'!L:L)</f>
        <v>1930</v>
      </c>
      <c r="B1183" s="4" t="s">
        <v>4643</v>
      </c>
      <c r="C1183" s="4" t="s">
        <v>4644</v>
      </c>
      <c r="D1183" s="5" t="s">
        <v>4645</v>
      </c>
      <c r="E1183" s="5">
        <v>112.54</v>
      </c>
      <c r="F1183" s="6">
        <f>LOOKUP(D1183,'AMFI DATA_2023H2'!F:J,'AMFI DATA_2023H2'!J:J)</f>
        <v>208.20107234226191</v>
      </c>
      <c r="G1183" s="7">
        <f t="shared" si="10"/>
        <v>0.33524768567471908</v>
      </c>
      <c r="H1183" s="9">
        <v>278</v>
      </c>
      <c r="I1183" s="9">
        <v>273</v>
      </c>
      <c r="J1183" s="9">
        <v>268</v>
      </c>
      <c r="K1183" s="9">
        <v>262</v>
      </c>
      <c r="L1183" s="9">
        <v>268</v>
      </c>
      <c r="M1183" s="9">
        <v>273</v>
      </c>
      <c r="N1183" s="9">
        <v>279</v>
      </c>
      <c r="O1183" s="9">
        <v>282</v>
      </c>
      <c r="P1183" s="9">
        <v>285</v>
      </c>
      <c r="Q1183" s="9">
        <v>293</v>
      </c>
      <c r="R1183" s="7">
        <f t="shared" si="11"/>
        <v>0.32612189213953235</v>
      </c>
      <c r="S1183" s="9"/>
      <c r="T1183" s="9"/>
      <c r="U1183" s="9"/>
      <c r="V1183" s="9"/>
      <c r="W1183" s="9"/>
      <c r="X1183" s="9"/>
      <c r="Y1183" s="9"/>
      <c r="Z1183" s="9"/>
      <c r="AA1183" s="9"/>
      <c r="AB1183" s="9"/>
    </row>
    <row r="1184" spans="1:28" ht="14.4" hidden="1">
      <c r="A1184" s="3">
        <f>LOOKUP(D1184,'AMFI DATA_2023H2'!F:L,'AMFI DATA_2023H2'!L:L)</f>
        <v>846</v>
      </c>
      <c r="B1184" s="4" t="s">
        <v>2456</v>
      </c>
      <c r="C1184" s="4" t="s">
        <v>2457</v>
      </c>
      <c r="D1184" s="5" t="s">
        <v>2458</v>
      </c>
      <c r="E1184" s="5">
        <v>1462.6</v>
      </c>
      <c r="F1184" s="6">
        <f>LOOKUP(D1184,'AMFI DATA_2023H2'!F:J,'AMFI DATA_2023H2'!J:J)</f>
        <v>2529.3960999999999</v>
      </c>
      <c r="G1184" s="7">
        <f t="shared" si="10"/>
        <v>0.47624170053871762</v>
      </c>
      <c r="H1184" s="8">
        <v>3734</v>
      </c>
      <c r="I1184" s="8">
        <v>3735</v>
      </c>
      <c r="J1184" s="8">
        <v>3730</v>
      </c>
      <c r="K1184" s="8">
        <v>3428</v>
      </c>
      <c r="L1184" s="8">
        <v>3463</v>
      </c>
      <c r="M1184" s="8">
        <v>3253</v>
      </c>
      <c r="N1184" s="8">
        <v>2761</v>
      </c>
      <c r="O1184" s="8">
        <v>2796</v>
      </c>
      <c r="P1184" s="8">
        <v>2772</v>
      </c>
      <c r="Q1184" s="8">
        <v>2796</v>
      </c>
      <c r="R1184" s="7">
        <f t="shared" si="11"/>
        <v>0.28362655418026472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</row>
    <row r="1185" spans="1:28" ht="14.4" hidden="1">
      <c r="A1185" s="3">
        <f>LOOKUP(D1185,'AMFI DATA_2023H2'!F:L,'AMFI DATA_2023H2'!L:L)</f>
        <v>2570</v>
      </c>
      <c r="B1185" s="4" t="s">
        <v>5350</v>
      </c>
      <c r="C1185" s="4" t="s">
        <v>5351</v>
      </c>
      <c r="D1185" s="5" t="s">
        <v>5352</v>
      </c>
      <c r="E1185" s="5">
        <v>46.6</v>
      </c>
      <c r="F1185" s="6">
        <f>LOOKUP(D1185,'AMFI DATA_2023H2'!F:J,'AMFI DATA_2023H2'!J:J)</f>
        <v>72.582949999999997</v>
      </c>
      <c r="G1185" s="7">
        <f t="shared" si="10"/>
        <v>0.48795274923380783</v>
      </c>
      <c r="H1185" s="9">
        <v>108</v>
      </c>
      <c r="I1185" s="9">
        <v>108</v>
      </c>
      <c r="J1185" s="9">
        <v>112</v>
      </c>
      <c r="K1185" s="9">
        <v>114</v>
      </c>
      <c r="L1185" s="9">
        <v>112</v>
      </c>
      <c r="M1185" s="9">
        <v>109</v>
      </c>
      <c r="N1185" s="9">
        <v>104</v>
      </c>
      <c r="O1185" s="9">
        <v>105</v>
      </c>
      <c r="P1185" s="9">
        <v>109</v>
      </c>
      <c r="Q1185" s="9">
        <v>113</v>
      </c>
      <c r="R1185" s="7">
        <f t="shared" si="11"/>
        <v>0.50724102561276463</v>
      </c>
      <c r="S1185" s="9"/>
      <c r="T1185" s="9"/>
      <c r="U1185" s="9"/>
      <c r="V1185" s="9"/>
      <c r="W1185" s="9"/>
      <c r="X1185" s="9"/>
      <c r="Y1185" s="9"/>
      <c r="Z1185" s="9"/>
      <c r="AA1185" s="9"/>
      <c r="AB1185" s="9"/>
    </row>
    <row r="1186" spans="1:28" ht="14.4" hidden="1">
      <c r="A1186" s="3">
        <f>LOOKUP(D1186,'AMFI DATA_2023H2'!F:L,'AMFI DATA_2023H2'!L:L)</f>
        <v>26</v>
      </c>
      <c r="B1186" s="4" t="s">
        <v>84</v>
      </c>
      <c r="C1186" s="4" t="s">
        <v>85</v>
      </c>
      <c r="D1186" s="5" t="s">
        <v>86</v>
      </c>
      <c r="E1186" s="5">
        <v>168716.62</v>
      </c>
      <c r="F1186" s="6">
        <f>LOOKUP(D1186,'AMFI DATA_2023H2'!F:J,'AMFI DATA_2023H2'!J:J)</f>
        <v>230695.80804999999</v>
      </c>
      <c r="G1186" s="7">
        <f t="shared" si="10"/>
        <v>0.32401625578649096</v>
      </c>
      <c r="H1186" s="8">
        <v>305445</v>
      </c>
      <c r="I1186" s="8">
        <v>307481</v>
      </c>
      <c r="J1186" s="8">
        <v>296960</v>
      </c>
      <c r="K1186" s="8">
        <v>296718</v>
      </c>
      <c r="L1186" s="8">
        <v>300112</v>
      </c>
      <c r="M1186" s="8">
        <v>301712</v>
      </c>
      <c r="N1186" s="8">
        <v>304621</v>
      </c>
      <c r="O1186" s="8">
        <v>296669</v>
      </c>
      <c r="P1186" s="8">
        <v>300258</v>
      </c>
      <c r="Q1186" s="8">
        <v>293615</v>
      </c>
      <c r="R1186" s="7">
        <f t="shared" si="11"/>
        <v>0.30197034154561431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</row>
    <row r="1187" spans="1:28" ht="14.4" hidden="1">
      <c r="A1187" s="3">
        <f>LOOKUP(D1187,'AMFI DATA_2023H2'!F:L,'AMFI DATA_2023H2'!L:L)</f>
        <v>755</v>
      </c>
      <c r="B1187" s="4" t="s">
        <v>2210</v>
      </c>
      <c r="C1187" s="4" t="s">
        <v>2211</v>
      </c>
      <c r="D1187" s="5" t="s">
        <v>2212</v>
      </c>
      <c r="E1187" s="5">
        <v>1748.41</v>
      </c>
      <c r="F1187" s="6">
        <f>LOOKUP(D1187,'AMFI DATA_2023H2'!F:J,'AMFI DATA_2023H2'!J:J)</f>
        <v>3282.4949499999998</v>
      </c>
      <c r="G1187" s="7">
        <f t="shared" si="10"/>
        <v>0.17623943336150449</v>
      </c>
      <c r="H1187" s="8">
        <v>3861</v>
      </c>
      <c r="I1187" s="8">
        <v>3804</v>
      </c>
      <c r="J1187" s="8">
        <v>3842</v>
      </c>
      <c r="K1187" s="8">
        <v>3860</v>
      </c>
      <c r="L1187" s="8">
        <v>3842</v>
      </c>
      <c r="M1187" s="8">
        <v>3930</v>
      </c>
      <c r="N1187" s="8">
        <v>3976</v>
      </c>
      <c r="O1187" s="8">
        <v>3962</v>
      </c>
      <c r="P1187" s="8">
        <v>3874</v>
      </c>
      <c r="Q1187" s="8">
        <v>3913</v>
      </c>
      <c r="R1187" s="7">
        <f t="shared" si="11"/>
        <v>0.18397744983583308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</row>
    <row r="1188" spans="1:28" ht="14.4" hidden="1">
      <c r="A1188" s="3">
        <f>LOOKUP(D1188,'AMFI DATA_2023H2'!F:L,'AMFI DATA_2023H2'!L:L)</f>
        <v>1564</v>
      </c>
      <c r="B1188" s="4" t="s">
        <v>4085</v>
      </c>
      <c r="C1188" s="4" t="s">
        <v>4086</v>
      </c>
      <c r="D1188" s="5" t="s">
        <v>4087</v>
      </c>
      <c r="E1188" s="5">
        <v>528.70000000000005</v>
      </c>
      <c r="F1188" s="6">
        <f>LOOKUP(D1188,'AMFI DATA_2023H2'!F:J,'AMFI DATA_2023H2'!J:J)</f>
        <v>445.15620000000001</v>
      </c>
      <c r="G1188" s="7">
        <f t="shared" si="10"/>
        <v>4.9069966901505557E-2</v>
      </c>
      <c r="H1188" s="9">
        <v>467</v>
      </c>
      <c r="I1188" s="9">
        <v>427</v>
      </c>
      <c r="J1188" s="9">
        <v>413</v>
      </c>
      <c r="K1188" s="9">
        <v>410</v>
      </c>
      <c r="L1188" s="9">
        <v>411</v>
      </c>
      <c r="M1188" s="9">
        <v>411</v>
      </c>
      <c r="N1188" s="9">
        <v>407</v>
      </c>
      <c r="O1188" s="9">
        <v>409</v>
      </c>
      <c r="P1188" s="9">
        <v>413</v>
      </c>
      <c r="Q1188" s="9">
        <v>416</v>
      </c>
      <c r="R1188" s="7">
        <f t="shared" si="11"/>
        <v>-6.0105194536210105E-2</v>
      </c>
      <c r="S1188" s="9"/>
      <c r="T1188" s="9"/>
      <c r="U1188" s="9"/>
      <c r="V1188" s="9"/>
      <c r="W1188" s="9"/>
      <c r="X1188" s="9"/>
      <c r="Y1188" s="9"/>
      <c r="Z1188" s="9"/>
      <c r="AA1188" s="9"/>
      <c r="AB1188" s="9"/>
    </row>
    <row r="1189" spans="1:28" ht="14.4" hidden="1">
      <c r="A1189" s="3">
        <f>LOOKUP(D1189,'AMFI DATA_2023H2'!F:L,'AMFI DATA_2023H2'!L:L)</f>
        <v>1666</v>
      </c>
      <c r="B1189" s="4" t="s">
        <v>4268</v>
      </c>
      <c r="C1189" s="4" t="s">
        <v>4269</v>
      </c>
      <c r="D1189" s="5" t="s">
        <v>4270</v>
      </c>
      <c r="E1189" s="5">
        <v>362.24</v>
      </c>
      <c r="F1189" s="6">
        <f>LOOKUP(D1189,'AMFI DATA_2023H2'!F:J,'AMFI DATA_2023H2'!J:J)</f>
        <v>353.7611</v>
      </c>
      <c r="G1189" s="7">
        <f t="shared" si="10"/>
        <v>0.16745453358212647</v>
      </c>
      <c r="H1189" s="9">
        <v>413</v>
      </c>
      <c r="I1189" s="9">
        <v>416</v>
      </c>
      <c r="J1189" s="9">
        <v>423</v>
      </c>
      <c r="K1189" s="9">
        <v>413</v>
      </c>
      <c r="L1189" s="9">
        <v>423</v>
      </c>
      <c r="M1189" s="9">
        <v>428</v>
      </c>
      <c r="N1189" s="9">
        <v>428</v>
      </c>
      <c r="O1189" s="9">
        <v>441</v>
      </c>
      <c r="P1189" s="9">
        <v>457</v>
      </c>
      <c r="Q1189" s="9">
        <v>415</v>
      </c>
      <c r="R1189" s="7">
        <f t="shared" si="11"/>
        <v>0.20335446718138317</v>
      </c>
      <c r="S1189" s="9"/>
      <c r="T1189" s="9"/>
      <c r="U1189" s="9"/>
      <c r="V1189" s="9"/>
      <c r="W1189" s="9"/>
      <c r="X1189" s="9"/>
      <c r="Y1189" s="9"/>
      <c r="Z1189" s="9"/>
      <c r="AA1189" s="9"/>
      <c r="AB1189" s="9"/>
    </row>
    <row r="1190" spans="1:28" ht="14.4">
      <c r="A1190" s="3">
        <f>LOOKUP(D1190,'AMFI DATA_2023H2'!F:L,'AMFI DATA_2023H2'!L:L)</f>
        <v>398</v>
      </c>
      <c r="B1190" s="4" t="s">
        <v>1200</v>
      </c>
      <c r="C1190" s="4" t="s">
        <v>1201</v>
      </c>
      <c r="D1190" s="5" t="s">
        <v>1202</v>
      </c>
      <c r="E1190" s="5">
        <v>362.24</v>
      </c>
      <c r="F1190" s="6">
        <f>LOOKUP(D1190,'AMFI DATA_2023H2'!F:J,'AMFI DATA_2023H2'!J:J)</f>
        <v>10269.65042456823</v>
      </c>
      <c r="G1190" s="7">
        <f t="shared" si="10"/>
        <v>0.24161967280751862</v>
      </c>
      <c r="H1190" s="8">
        <v>12751</v>
      </c>
      <c r="I1190" s="8">
        <v>12698</v>
      </c>
      <c r="J1190" s="8">
        <v>12642</v>
      </c>
      <c r="K1190" s="8">
        <v>12583</v>
      </c>
      <c r="L1190" s="8">
        <v>12680</v>
      </c>
      <c r="M1190" s="8">
        <v>12689</v>
      </c>
      <c r="N1190" s="8">
        <v>12759</v>
      </c>
      <c r="O1190" s="8">
        <v>12741</v>
      </c>
      <c r="P1190" s="8">
        <v>12824</v>
      </c>
      <c r="Q1190" s="8">
        <v>12757</v>
      </c>
      <c r="R1190" s="14">
        <f t="shared" si="11"/>
        <v>0.23786102490771688</v>
      </c>
      <c r="S1190" s="8"/>
      <c r="T1190" s="8">
        <v>3620.8</v>
      </c>
      <c r="U1190" s="15">
        <f ca="1">IFERROR(__xludf.DUMMYFUNCTION("GOOGLEFINANCE(C1190,""PRICE"")"),3440)</f>
        <v>3440</v>
      </c>
      <c r="V1190" s="13" t="s">
        <v>5787</v>
      </c>
      <c r="W1190" s="7">
        <f ca="1">U1190/T1190-1</f>
        <v>-4.99337163057888E-2</v>
      </c>
      <c r="X1190" s="8"/>
      <c r="Y1190" s="8"/>
      <c r="Z1190" s="8"/>
      <c r="AA1190" s="8"/>
      <c r="AB1190" s="8"/>
    </row>
    <row r="1191" spans="1:28" ht="14.4" hidden="1">
      <c r="A1191" s="3">
        <f>LOOKUP(D1191,'AMFI DATA_2023H2'!F:L,'AMFI DATA_2023H2'!L:L)</f>
        <v>342</v>
      </c>
      <c r="B1191" s="4" t="s">
        <v>1035</v>
      </c>
      <c r="C1191" s="4" t="s">
        <v>1036</v>
      </c>
      <c r="D1191" s="5" t="s">
        <v>1037</v>
      </c>
      <c r="E1191" s="5">
        <v>12465.48</v>
      </c>
      <c r="F1191" s="6">
        <f>LOOKUP(D1191,'AMFI DATA_2023H2'!F:J,'AMFI DATA_2023H2'!J:J)</f>
        <v>12815.60745</v>
      </c>
      <c r="G1191" s="7">
        <f t="shared" si="10"/>
        <v>2.2815348483539832E-2</v>
      </c>
      <c r="H1191" s="8">
        <v>13108</v>
      </c>
      <c r="I1191" s="8">
        <v>13220</v>
      </c>
      <c r="J1191" s="8">
        <v>13029</v>
      </c>
      <c r="K1191" s="8">
        <v>13293</v>
      </c>
      <c r="L1191" s="8">
        <v>13472</v>
      </c>
      <c r="M1191" s="8">
        <v>13668</v>
      </c>
      <c r="N1191" s="8">
        <v>13711</v>
      </c>
      <c r="O1191" s="8">
        <v>13876</v>
      </c>
      <c r="P1191" s="8">
        <v>13297</v>
      </c>
      <c r="Q1191" s="8">
        <v>13390</v>
      </c>
      <c r="R1191" s="7">
        <f t="shared" si="11"/>
        <v>4.6099457423690149E-2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</row>
    <row r="1192" spans="1:28" ht="14.4">
      <c r="A1192" s="3">
        <f>LOOKUP(D1192,'AMFI DATA_2023H2'!F:L,'AMFI DATA_2023H2'!L:L)</f>
        <v>153</v>
      </c>
      <c r="B1192" s="4" t="s">
        <v>468</v>
      </c>
      <c r="C1192" s="4" t="s">
        <v>469</v>
      </c>
      <c r="D1192" s="5" t="s">
        <v>470</v>
      </c>
      <c r="E1192" s="5">
        <v>32548.76</v>
      </c>
      <c r="F1192" s="6">
        <f>LOOKUP(D1192,'AMFI DATA_2023H2'!F:J,'AMFI DATA_2023H2'!J:J)</f>
        <v>43287.236100000002</v>
      </c>
      <c r="G1192" s="7">
        <f t="shared" si="10"/>
        <v>0.27587263535174045</v>
      </c>
      <c r="H1192" s="8">
        <v>55229</v>
      </c>
      <c r="I1192" s="8">
        <v>55751</v>
      </c>
      <c r="J1192" s="8">
        <v>53268</v>
      </c>
      <c r="K1192" s="8">
        <v>52410</v>
      </c>
      <c r="L1192" s="8">
        <v>52361</v>
      </c>
      <c r="M1192" s="8">
        <v>51850</v>
      </c>
      <c r="N1192" s="8">
        <v>52391</v>
      </c>
      <c r="O1192" s="8">
        <v>51519</v>
      </c>
      <c r="P1192" s="8">
        <v>51002</v>
      </c>
      <c r="Q1192" s="8">
        <v>51161</v>
      </c>
      <c r="R1192" s="14">
        <f t="shared" si="11"/>
        <v>0.21731495811533219</v>
      </c>
      <c r="S1192" s="8"/>
      <c r="T1192" s="8">
        <v>1517.7</v>
      </c>
      <c r="U1192" s="15">
        <f ca="1">IFERROR(__xludf.DUMMYFUNCTION("GOOGLEFINANCE(C1192,""PRICE"")"),1500)</f>
        <v>1500</v>
      </c>
      <c r="V1192" s="13" t="s">
        <v>5787</v>
      </c>
      <c r="W1192" s="7">
        <f ca="1">U1192/T1192-1</f>
        <v>-1.166238387033014E-2</v>
      </c>
      <c r="X1192" s="8"/>
      <c r="Y1192" s="8"/>
      <c r="Z1192" s="8"/>
      <c r="AA1192" s="8"/>
      <c r="AB1192" s="8"/>
    </row>
    <row r="1193" spans="1:28" ht="14.4" hidden="1">
      <c r="A1193" s="3">
        <f>LOOKUP(D1193,'AMFI DATA_2023H2'!F:L,'AMFI DATA_2023H2'!L:L)</f>
        <v>25</v>
      </c>
      <c r="B1193" s="4" t="s">
        <v>81</v>
      </c>
      <c r="C1193" s="4" t="s">
        <v>82</v>
      </c>
      <c r="D1193" s="5" t="s">
        <v>83</v>
      </c>
      <c r="E1193" s="5">
        <v>195025.78</v>
      </c>
      <c r="F1193" s="6">
        <f>LOOKUP(D1193,'AMFI DATA_2023H2'!F:J,'AMFI DATA_2023H2'!J:J)</f>
        <v>231916.18034999998</v>
      </c>
      <c r="G1193" s="7">
        <f t="shared" si="10"/>
        <v>0.17385945038051775</v>
      </c>
      <c r="H1193" s="8">
        <v>272237</v>
      </c>
      <c r="I1193" s="8">
        <v>270036</v>
      </c>
      <c r="J1193" s="8">
        <v>261921</v>
      </c>
      <c r="K1193" s="8">
        <v>260475</v>
      </c>
      <c r="L1193" s="8">
        <v>258210</v>
      </c>
      <c r="M1193" s="8">
        <v>257959</v>
      </c>
      <c r="N1193" s="8">
        <v>262047</v>
      </c>
      <c r="O1193" s="8">
        <v>258336</v>
      </c>
      <c r="P1193" s="8">
        <v>260916</v>
      </c>
      <c r="Q1193" s="8">
        <v>256575</v>
      </c>
      <c r="R1193" s="7">
        <f t="shared" si="11"/>
        <v>0.12916312956169307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</row>
    <row r="1194" spans="1:28" ht="14.4" hidden="1">
      <c r="A1194" s="3">
        <f>LOOKUP(D1194,'AMFI DATA_2023H2'!F:L,'AMFI DATA_2023H2'!L:L)</f>
        <v>2382</v>
      </c>
      <c r="B1194" s="4" t="s">
        <v>5192</v>
      </c>
      <c r="C1194" s="4" t="s">
        <v>5193</v>
      </c>
      <c r="D1194" s="5" t="s">
        <v>5194</v>
      </c>
      <c r="E1194" s="5">
        <v>74.099999999999994</v>
      </c>
      <c r="F1194" s="6">
        <f>LOOKUP(D1194,'AMFI DATA_2023H2'!F:J,'AMFI DATA_2023H2'!J:J)</f>
        <v>100.03360000000001</v>
      </c>
      <c r="G1194" s="7">
        <f t="shared" si="10"/>
        <v>0.6994289918587353</v>
      </c>
      <c r="H1194" s="9">
        <v>170</v>
      </c>
      <c r="I1194" s="9">
        <v>161</v>
      </c>
      <c r="J1194" s="9">
        <v>154</v>
      </c>
      <c r="K1194" s="9">
        <v>147</v>
      </c>
      <c r="L1194" s="9">
        <v>140</v>
      </c>
      <c r="M1194" s="9">
        <v>133</v>
      </c>
      <c r="N1194" s="9">
        <v>127</v>
      </c>
      <c r="O1194" s="9">
        <v>125</v>
      </c>
      <c r="P1194" s="9">
        <v>124</v>
      </c>
      <c r="Q1194" s="9">
        <v>119</v>
      </c>
      <c r="R1194" s="7">
        <f t="shared" si="11"/>
        <v>0.39952975800131152</v>
      </c>
      <c r="S1194" s="9"/>
      <c r="T1194" s="9"/>
      <c r="U1194" s="9"/>
      <c r="V1194" s="9"/>
      <c r="W1194" s="9"/>
      <c r="X1194" s="9"/>
      <c r="Y1194" s="9"/>
      <c r="Z1194" s="9"/>
      <c r="AA1194" s="9"/>
      <c r="AB1194" s="9"/>
    </row>
    <row r="1195" spans="1:28" ht="14.4" hidden="1">
      <c r="A1195" s="3">
        <f>LOOKUP(D1195,'AMFI DATA_2023H2'!F:L,'AMFI DATA_2023H2'!L:L)</f>
        <v>195</v>
      </c>
      <c r="B1195" s="4" t="s">
        <v>594</v>
      </c>
      <c r="C1195" s="4" t="s">
        <v>595</v>
      </c>
      <c r="D1195" s="5" t="s">
        <v>596</v>
      </c>
      <c r="E1195" s="5">
        <v>26932.76</v>
      </c>
      <c r="F1195" s="6">
        <f>LOOKUP(D1195,'AMFI DATA_2023H2'!F:J,'AMFI DATA_2023H2'!J:J)</f>
        <v>32040.063200000001</v>
      </c>
      <c r="G1195" s="7">
        <f t="shared" si="10"/>
        <v>0.28866787004340244</v>
      </c>
      <c r="H1195" s="8">
        <v>41289</v>
      </c>
      <c r="I1195" s="8">
        <v>41506</v>
      </c>
      <c r="J1195" s="8">
        <v>41750</v>
      </c>
      <c r="K1195" s="8">
        <v>41560</v>
      </c>
      <c r="L1195" s="8">
        <v>41023</v>
      </c>
      <c r="M1195" s="8">
        <v>40378</v>
      </c>
      <c r="N1195" s="8">
        <v>41500</v>
      </c>
      <c r="O1195" s="8">
        <v>41457</v>
      </c>
      <c r="P1195" s="8">
        <v>41403</v>
      </c>
      <c r="Q1195" s="8">
        <v>40475</v>
      </c>
      <c r="R1195" s="7">
        <f t="shared" si="11"/>
        <v>0.28695439027723268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</row>
    <row r="1196" spans="1:28" ht="14.4" hidden="1">
      <c r="A1196" s="3">
        <f>LOOKUP(D1196,'AMFI DATA_2023H2'!F:L,'AMFI DATA_2023H2'!L:L)</f>
        <v>412</v>
      </c>
      <c r="B1196" s="4" t="s">
        <v>1236</v>
      </c>
      <c r="C1196" s="4" t="s">
        <v>1237</v>
      </c>
      <c r="D1196" s="5" t="s">
        <v>1238</v>
      </c>
      <c r="E1196" s="5">
        <v>5174.1099999999997</v>
      </c>
      <c r="F1196" s="6">
        <f>LOOKUP(D1196,'AMFI DATA_2023H2'!F:J,'AMFI DATA_2023H2'!J:J)</f>
        <v>9833.3803499999995</v>
      </c>
      <c r="G1196" s="7">
        <f t="shared" si="10"/>
        <v>0.21301114931448795</v>
      </c>
      <c r="H1196" s="8">
        <v>11928</v>
      </c>
      <c r="I1196" s="8">
        <v>11073</v>
      </c>
      <c r="J1196" s="8">
        <v>10985</v>
      </c>
      <c r="K1196" s="8">
        <v>11129</v>
      </c>
      <c r="L1196" s="8">
        <v>11264</v>
      </c>
      <c r="M1196" s="8">
        <v>11061</v>
      </c>
      <c r="N1196" s="8">
        <v>10225</v>
      </c>
      <c r="O1196" s="8">
        <v>10282</v>
      </c>
      <c r="P1196" s="8">
        <v>10298</v>
      </c>
      <c r="Q1196" s="8">
        <v>10089</v>
      </c>
      <c r="R1196" s="7">
        <f t="shared" si="11"/>
        <v>0.10169642731250605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</row>
    <row r="1197" spans="1:28" ht="14.4" hidden="1">
      <c r="A1197" s="3">
        <f>LOOKUP(D1197,'AMFI DATA_2023H2'!F:L,'AMFI DATA_2023H2'!L:L)</f>
        <v>1295</v>
      </c>
      <c r="B1197" s="4" t="s">
        <v>3560</v>
      </c>
      <c r="C1197" s="4" t="s">
        <v>3561</v>
      </c>
      <c r="D1197" s="5" t="s">
        <v>3562</v>
      </c>
      <c r="E1197" s="5">
        <v>394.28</v>
      </c>
      <c r="F1197" s="6">
        <f>LOOKUP(D1197,'AMFI DATA_2023H2'!F:J,'AMFI DATA_2023H2'!J:J)</f>
        <v>820.21780000000001</v>
      </c>
      <c r="G1197" s="7">
        <f t="shared" si="10"/>
        <v>0.67882238107975712</v>
      </c>
      <c r="H1197" s="8">
        <v>1377</v>
      </c>
      <c r="I1197" s="8">
        <v>1405</v>
      </c>
      <c r="J1197" s="8">
        <v>1433</v>
      </c>
      <c r="K1197" s="8">
        <v>1406</v>
      </c>
      <c r="L1197" s="8">
        <v>1434</v>
      </c>
      <c r="M1197" s="8">
        <v>1463</v>
      </c>
      <c r="N1197" s="8">
        <v>1493</v>
      </c>
      <c r="O1197" s="8">
        <v>1523</v>
      </c>
      <c r="P1197" s="8">
        <v>1458</v>
      </c>
      <c r="Q1197" s="8">
        <v>1385</v>
      </c>
      <c r="R1197" s="7">
        <f t="shared" si="11"/>
        <v>0.75282711494434773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</row>
    <row r="1198" spans="1:28" ht="14.4" hidden="1">
      <c r="A1198" s="3">
        <f>LOOKUP(D1198,'AMFI DATA_2023H2'!F:L,'AMFI DATA_2023H2'!L:L)</f>
        <v>2241</v>
      </c>
      <c r="B1198" s="4" t="s">
        <v>5060</v>
      </c>
      <c r="C1198" s="4" t="s">
        <v>5061</v>
      </c>
      <c r="D1198" s="5" t="s">
        <v>5062</v>
      </c>
      <c r="E1198" s="5">
        <v>110.55</v>
      </c>
      <c r="F1198" s="6">
        <f>LOOKUP(D1198,'AMFI DATA_2023H2'!F:J,'AMFI DATA_2023H2'!J:J)</f>
        <v>123.35675000000001</v>
      </c>
      <c r="G1198" s="7">
        <f t="shared" si="10"/>
        <v>0.33758387765566122</v>
      </c>
      <c r="H1198" s="9">
        <v>165</v>
      </c>
      <c r="I1198" s="9">
        <v>164</v>
      </c>
      <c r="J1198" s="9">
        <v>157</v>
      </c>
      <c r="K1198" s="9">
        <v>148</v>
      </c>
      <c r="L1198" s="9">
        <v>143</v>
      </c>
      <c r="M1198" s="9">
        <v>139</v>
      </c>
      <c r="N1198" s="9">
        <v>140</v>
      </c>
      <c r="O1198" s="9">
        <v>142</v>
      </c>
      <c r="P1198" s="9">
        <v>138</v>
      </c>
      <c r="Q1198" s="9">
        <v>138</v>
      </c>
      <c r="R1198" s="7">
        <f t="shared" si="11"/>
        <v>0.19490826403905737</v>
      </c>
      <c r="S1198" s="9"/>
      <c r="T1198" s="9"/>
      <c r="U1198" s="9"/>
      <c r="V1198" s="9"/>
      <c r="W1198" s="9"/>
      <c r="X1198" s="9"/>
      <c r="Y1198" s="9"/>
      <c r="Z1198" s="9"/>
      <c r="AA1198" s="9"/>
      <c r="AB1198" s="9"/>
    </row>
    <row r="1199" spans="1:28" ht="14.4">
      <c r="A1199" s="3">
        <f>LOOKUP(D1199,'AMFI DATA_2023H2'!F:L,'AMFI DATA_2023H2'!L:L)</f>
        <v>1154</v>
      </c>
      <c r="B1199" s="4" t="s">
        <v>3236</v>
      </c>
      <c r="C1199" s="4" t="s">
        <v>3237</v>
      </c>
      <c r="D1199" s="5" t="s">
        <v>3238</v>
      </c>
      <c r="E1199" s="5">
        <v>1041.1600000000001</v>
      </c>
      <c r="F1199" s="6">
        <f>LOOKUP(D1199,'AMFI DATA_2023H2'!F:J,'AMFI DATA_2023H2'!J:J)</f>
        <v>1168.0936000000002</v>
      </c>
      <c r="G1199" s="7">
        <f t="shared" si="10"/>
        <v>0.28071928482443509</v>
      </c>
      <c r="H1199" s="8">
        <v>1496</v>
      </c>
      <c r="I1199" s="8">
        <v>1476</v>
      </c>
      <c r="J1199" s="8">
        <v>1407</v>
      </c>
      <c r="K1199" s="8">
        <v>1381</v>
      </c>
      <c r="L1199" s="8">
        <v>1387</v>
      </c>
      <c r="M1199" s="8">
        <v>1373</v>
      </c>
      <c r="N1199" s="8">
        <v>1399</v>
      </c>
      <c r="O1199" s="8">
        <v>1413</v>
      </c>
      <c r="P1199" s="8">
        <v>1445</v>
      </c>
      <c r="Q1199" s="8">
        <v>1418</v>
      </c>
      <c r="R1199" s="14">
        <f t="shared" si="11"/>
        <v>0.21522795775954928</v>
      </c>
      <c r="S1199" s="8"/>
      <c r="T1199" s="8">
        <v>81.75</v>
      </c>
      <c r="U1199" s="15">
        <f ca="1">IFERROR(__xludf.DUMMYFUNCTION("GOOGLEFINANCE(C1199,""PRICE"")"),96.8)</f>
        <v>96.8</v>
      </c>
      <c r="V1199" s="13" t="s">
        <v>5787</v>
      </c>
      <c r="W1199" s="7">
        <f ca="1">U1199/T1199-1</f>
        <v>0.18409785932721712</v>
      </c>
      <c r="X1199" s="8"/>
      <c r="Y1199" s="8"/>
      <c r="Z1199" s="8"/>
      <c r="AA1199" s="8"/>
      <c r="AB1199" s="8"/>
    </row>
    <row r="1200" spans="1:28" ht="14.4" hidden="1">
      <c r="A1200" s="3">
        <f>LOOKUP(D1200,'AMFI DATA_2023H2'!F:L,'AMFI DATA_2023H2'!L:L)</f>
        <v>3449</v>
      </c>
      <c r="B1200" s="4" t="s">
        <v>5683</v>
      </c>
      <c r="C1200" s="4" t="s">
        <v>5684</v>
      </c>
      <c r="D1200" s="5" t="s">
        <v>5685</v>
      </c>
      <c r="E1200" s="5">
        <v>20.25</v>
      </c>
      <c r="F1200" s="6">
        <f>LOOKUP(D1200,'AMFI DATA_2023H2'!F:J,'AMFI DATA_2023H2'!J:J)</f>
        <v>19.348749999999999</v>
      </c>
      <c r="G1200" s="7">
        <f t="shared" si="10"/>
        <v>-0.11105368563860718</v>
      </c>
      <c r="H1200" s="9">
        <v>17.2</v>
      </c>
      <c r="I1200" s="9">
        <v>17.100000000000001</v>
      </c>
      <c r="J1200" s="9">
        <v>17.100000000000001</v>
      </c>
      <c r="K1200" s="9">
        <v>17.600000000000001</v>
      </c>
      <c r="L1200" s="9">
        <v>18.100000000000001</v>
      </c>
      <c r="M1200" s="9">
        <v>18.100000000000001</v>
      </c>
      <c r="N1200" s="9">
        <v>17.5</v>
      </c>
      <c r="O1200" s="9">
        <v>17.3</v>
      </c>
      <c r="P1200" s="9">
        <v>17.5</v>
      </c>
      <c r="Q1200" s="9">
        <v>17.3</v>
      </c>
      <c r="R1200" s="7">
        <f t="shared" si="11"/>
        <v>-9.6582466567607606E-2</v>
      </c>
      <c r="S1200" s="9"/>
      <c r="T1200" s="9"/>
      <c r="U1200" s="9"/>
      <c r="V1200" s="9"/>
      <c r="W1200" s="9"/>
      <c r="X1200" s="9"/>
      <c r="Y1200" s="9"/>
      <c r="Z1200" s="9"/>
      <c r="AA1200" s="9"/>
      <c r="AB1200" s="9"/>
    </row>
    <row r="1201" spans="1:28" ht="14.4" hidden="1">
      <c r="A1201" s="3">
        <f>LOOKUP(D1201,'AMFI DATA_2023H2'!F:L,'AMFI DATA_2023H2'!L:L)</f>
        <v>118</v>
      </c>
      <c r="B1201" s="4" t="s">
        <v>366</v>
      </c>
      <c r="C1201" s="4" t="s">
        <v>367</v>
      </c>
      <c r="D1201" s="5" t="s">
        <v>368</v>
      </c>
      <c r="E1201" s="5">
        <v>42054.27</v>
      </c>
      <c r="F1201" s="6">
        <f>LOOKUP(D1201,'AMFI DATA_2023H2'!F:J,'AMFI DATA_2023H2'!J:J)</f>
        <v>53326.916949999999</v>
      </c>
      <c r="G1201" s="7">
        <f t="shared" si="10"/>
        <v>-0.18437062392372183</v>
      </c>
      <c r="H1201" s="8">
        <v>43495</v>
      </c>
      <c r="I1201" s="8">
        <v>42451</v>
      </c>
      <c r="J1201" s="8">
        <v>42689</v>
      </c>
      <c r="K1201" s="8">
        <v>41343</v>
      </c>
      <c r="L1201" s="8">
        <v>41016</v>
      </c>
      <c r="M1201" s="8">
        <v>40330</v>
      </c>
      <c r="N1201" s="8">
        <v>40245</v>
      </c>
      <c r="O1201" s="8">
        <v>40280</v>
      </c>
      <c r="P1201" s="8">
        <v>40127</v>
      </c>
      <c r="Q1201" s="8">
        <v>40768</v>
      </c>
      <c r="R1201" s="7">
        <f t="shared" si="11"/>
        <v>-0.22601188366656544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</row>
    <row r="1202" spans="1:28" ht="14.4" hidden="1">
      <c r="A1202" s="3">
        <f>LOOKUP(D1202,'AMFI DATA_2023H2'!F:L,'AMFI DATA_2023H2'!L:L)</f>
        <v>1372</v>
      </c>
      <c r="B1202" s="4" t="s">
        <v>3707</v>
      </c>
      <c r="C1202" s="4" t="s">
        <v>3708</v>
      </c>
      <c r="D1202" s="5" t="s">
        <v>3709</v>
      </c>
      <c r="E1202" s="5">
        <v>352.47</v>
      </c>
      <c r="F1202" s="6">
        <f>LOOKUP(D1202,'AMFI DATA_2023H2'!F:J,'AMFI DATA_2023H2'!J:J)</f>
        <v>678.78599999999994</v>
      </c>
      <c r="G1202" s="7">
        <f t="shared" si="10"/>
        <v>0.83710329912520298</v>
      </c>
      <c r="H1202" s="9">
        <v>1247</v>
      </c>
      <c r="I1202" s="9">
        <v>1215</v>
      </c>
      <c r="J1202" s="9">
        <v>1058</v>
      </c>
      <c r="K1202" s="9">
        <v>1074</v>
      </c>
      <c r="L1202" s="9">
        <v>1087</v>
      </c>
      <c r="M1202" s="9">
        <v>992</v>
      </c>
      <c r="N1202" s="9">
        <v>982</v>
      </c>
      <c r="O1202" s="9">
        <v>1005</v>
      </c>
      <c r="P1202" s="9">
        <v>996</v>
      </c>
      <c r="Q1202" s="9">
        <v>963</v>
      </c>
      <c r="R1202" s="7">
        <f t="shared" si="11"/>
        <v>0.56441058006499856</v>
      </c>
      <c r="S1202" s="9"/>
      <c r="T1202" s="9"/>
      <c r="U1202" s="9"/>
      <c r="V1202" s="9"/>
      <c r="W1202" s="9"/>
      <c r="X1202" s="9"/>
      <c r="Y1202" s="9"/>
      <c r="Z1202" s="9"/>
      <c r="AA1202" s="9"/>
      <c r="AB1202" s="9"/>
    </row>
    <row r="1203" spans="1:28" ht="14.4" hidden="1">
      <c r="A1203" s="3">
        <f>LOOKUP(D1203,'AMFI DATA_2023H2'!F:L,'AMFI DATA_2023H2'!L:L)</f>
        <v>3429</v>
      </c>
      <c r="B1203" s="4" t="s">
        <v>5677</v>
      </c>
      <c r="C1203" s="4" t="s">
        <v>5678</v>
      </c>
      <c r="D1203" s="5" t="s">
        <v>5679</v>
      </c>
      <c r="E1203" s="5">
        <v>17.59</v>
      </c>
      <c r="F1203" s="6">
        <f>LOOKUP(D1203,'AMFI DATA_2023H2'!F:J,'AMFI DATA_2023H2'!J:J)</f>
        <v>19.950600000000001</v>
      </c>
      <c r="G1203" s="7">
        <f t="shared" si="10"/>
        <v>0.16788467514761463</v>
      </c>
      <c r="H1203" s="9">
        <v>23.3</v>
      </c>
      <c r="I1203" s="9">
        <v>23.2</v>
      </c>
      <c r="J1203" s="9">
        <v>23.6</v>
      </c>
      <c r="K1203" s="9">
        <v>23.6</v>
      </c>
      <c r="L1203" s="9">
        <v>23.4</v>
      </c>
      <c r="M1203" s="9">
        <v>22.7</v>
      </c>
      <c r="N1203" s="9">
        <v>22.7</v>
      </c>
      <c r="O1203" s="9">
        <v>23.4</v>
      </c>
      <c r="P1203" s="9">
        <v>23.5</v>
      </c>
      <c r="Q1203" s="9">
        <v>23</v>
      </c>
      <c r="R1203" s="7">
        <f t="shared" si="11"/>
        <v>0.16487724679959492</v>
      </c>
      <c r="S1203" s="9"/>
      <c r="T1203" s="9"/>
      <c r="U1203" s="9"/>
      <c r="V1203" s="9"/>
      <c r="W1203" s="9"/>
      <c r="X1203" s="9"/>
      <c r="Y1203" s="9"/>
      <c r="Z1203" s="9"/>
      <c r="AA1203" s="9"/>
      <c r="AB1203" s="9"/>
    </row>
    <row r="1204" spans="1:28" ht="14.4" hidden="1">
      <c r="A1204" s="3">
        <f>LOOKUP(D1204,'AMFI DATA_2023H2'!F:L,'AMFI DATA_2023H2'!L:L)</f>
        <v>1176</v>
      </c>
      <c r="B1204" s="4" t="s">
        <v>3284</v>
      </c>
      <c r="C1204" s="4" t="s">
        <v>3285</v>
      </c>
      <c r="D1204" s="5" t="s">
        <v>3286</v>
      </c>
      <c r="E1204" s="5">
        <v>805.96</v>
      </c>
      <c r="F1204" s="6">
        <f>LOOKUP(D1204,'AMFI DATA_2023H2'!F:J,'AMFI DATA_2023H2'!J:J)</f>
        <v>1092.0974999999999</v>
      </c>
      <c r="G1204" s="7">
        <f t="shared" si="10"/>
        <v>4.9356856874043009E-2</v>
      </c>
      <c r="H1204" s="8">
        <v>1146</v>
      </c>
      <c r="I1204" s="8">
        <v>1151</v>
      </c>
      <c r="J1204" s="8">
        <v>1147</v>
      </c>
      <c r="K1204" s="8">
        <v>1140</v>
      </c>
      <c r="L1204" s="8">
        <v>1144</v>
      </c>
      <c r="M1204" s="8">
        <v>1142</v>
      </c>
      <c r="N1204" s="8">
        <v>1144</v>
      </c>
      <c r="O1204" s="8">
        <v>1167</v>
      </c>
      <c r="P1204" s="8">
        <v>1191</v>
      </c>
      <c r="Q1204" s="8">
        <v>1126</v>
      </c>
      <c r="R1204" s="7">
        <f t="shared" si="11"/>
        <v>5.2836399680431523E-2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</row>
    <row r="1205" spans="1:28" ht="14.4" hidden="1">
      <c r="A1205" s="3">
        <f>LOOKUP(D1205,'AMFI DATA_2023H2'!F:L,'AMFI DATA_2023H2'!L:L)</f>
        <v>1123</v>
      </c>
      <c r="B1205" s="4" t="s">
        <v>3167</v>
      </c>
      <c r="C1205" s="4" t="s">
        <v>3168</v>
      </c>
      <c r="D1205" s="5" t="s">
        <v>3169</v>
      </c>
      <c r="E1205" s="5">
        <v>785.21</v>
      </c>
      <c r="F1205" s="6">
        <f>LOOKUP(D1205,'AMFI DATA_2023H2'!F:J,'AMFI DATA_2023H2'!J:J)</f>
        <v>1273.5997499999999</v>
      </c>
      <c r="G1205" s="7">
        <f t="shared" si="10"/>
        <v>9.6105742797138793E-2</v>
      </c>
      <c r="H1205" s="8">
        <v>1396</v>
      </c>
      <c r="I1205" s="8">
        <v>1407</v>
      </c>
      <c r="J1205" s="8">
        <v>1405</v>
      </c>
      <c r="K1205" s="8">
        <v>1375</v>
      </c>
      <c r="L1205" s="8">
        <v>1367</v>
      </c>
      <c r="M1205" s="8">
        <v>1404</v>
      </c>
      <c r="N1205" s="8">
        <v>1404</v>
      </c>
      <c r="O1205" s="8">
        <v>1411</v>
      </c>
      <c r="P1205" s="8">
        <v>1410</v>
      </c>
      <c r="Q1205" s="8">
        <v>1428</v>
      </c>
      <c r="R1205" s="7">
        <f t="shared" si="11"/>
        <v>9.9796070154693606E-2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</row>
    <row r="1206" spans="1:28" ht="14.4" hidden="1">
      <c r="A1206" s="3">
        <f>LOOKUP(D1206,'AMFI DATA_2023H2'!F:L,'AMFI DATA_2023H2'!L:L)</f>
        <v>856</v>
      </c>
      <c r="B1206" s="4" t="s">
        <v>2480</v>
      </c>
      <c r="C1206" s="4" t="s">
        <v>2481</v>
      </c>
      <c r="D1206" s="5" t="s">
        <v>2482</v>
      </c>
      <c r="E1206" s="5">
        <v>1999.65</v>
      </c>
      <c r="F1206" s="6">
        <f>LOOKUP(D1206,'AMFI DATA_2023H2'!F:J,'AMFI DATA_2023H2'!J:J)</f>
        <v>2488.5259500000002</v>
      </c>
      <c r="G1206" s="7">
        <f t="shared" si="10"/>
        <v>0.10105341678273438</v>
      </c>
      <c r="H1206" s="8">
        <v>2740</v>
      </c>
      <c r="I1206" s="8">
        <v>2695</v>
      </c>
      <c r="J1206" s="8">
        <v>2694</v>
      </c>
      <c r="K1206" s="8">
        <v>2705</v>
      </c>
      <c r="L1206" s="8">
        <v>2706</v>
      </c>
      <c r="M1206" s="8">
        <v>2669</v>
      </c>
      <c r="N1206" s="8">
        <v>2701</v>
      </c>
      <c r="O1206" s="8">
        <v>2708</v>
      </c>
      <c r="P1206" s="8">
        <v>2723</v>
      </c>
      <c r="Q1206" s="8">
        <v>2774</v>
      </c>
      <c r="R1206" s="7">
        <f t="shared" si="11"/>
        <v>8.9600853870942965E-2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</row>
    <row r="1207" spans="1:28" ht="14.4" hidden="1">
      <c r="A1207" s="3">
        <f>LOOKUP(D1207,'AMFI DATA_2023H2'!F:L,'AMFI DATA_2023H2'!L:L)</f>
        <v>175</v>
      </c>
      <c r="B1207" s="4" t="s">
        <v>534</v>
      </c>
      <c r="C1207" s="4" t="s">
        <v>535</v>
      </c>
      <c r="D1207" s="5" t="s">
        <v>536</v>
      </c>
      <c r="E1207" s="5">
        <v>28973.54</v>
      </c>
      <c r="F1207" s="6">
        <f>LOOKUP(D1207,'AMFI DATA_2023H2'!F:J,'AMFI DATA_2023H2'!J:J)</f>
        <v>35021.0815</v>
      </c>
      <c r="G1207" s="7">
        <f t="shared" si="10"/>
        <v>0.10259301957879274</v>
      </c>
      <c r="H1207" s="8">
        <v>38614</v>
      </c>
      <c r="I1207" s="8">
        <v>37580</v>
      </c>
      <c r="J1207" s="8">
        <v>37625</v>
      </c>
      <c r="K1207" s="8">
        <v>38724</v>
      </c>
      <c r="L1207" s="8">
        <v>37565</v>
      </c>
      <c r="M1207" s="8">
        <v>36569</v>
      </c>
      <c r="N1207" s="8">
        <v>36335</v>
      </c>
      <c r="O1207" s="8">
        <v>36332</v>
      </c>
      <c r="P1207" s="8">
        <v>36006</v>
      </c>
      <c r="Q1207" s="8">
        <v>36485</v>
      </c>
      <c r="R1207" s="7">
        <f t="shared" si="11"/>
        <v>6.1746194217331629E-2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</row>
    <row r="1208" spans="1:28" ht="14.4" hidden="1">
      <c r="A1208" s="3">
        <f>LOOKUP(D1208,'AMFI DATA_2023H2'!F:L,'AMFI DATA_2023H2'!L:L)</f>
        <v>1519</v>
      </c>
      <c r="B1208" s="4" t="s">
        <v>4001</v>
      </c>
      <c r="C1208" s="4" t="s">
        <v>4002</v>
      </c>
      <c r="D1208" s="5" t="s">
        <v>4003</v>
      </c>
      <c r="E1208" s="5">
        <v>399.07</v>
      </c>
      <c r="F1208" s="6">
        <f>LOOKUP(D1208,'AMFI DATA_2023H2'!F:J,'AMFI DATA_2023H2'!J:J)</f>
        <v>487.0684</v>
      </c>
      <c r="G1208" s="7">
        <f t="shared" si="10"/>
        <v>1.4231266080903637E-2</v>
      </c>
      <c r="H1208" s="9">
        <v>494</v>
      </c>
      <c r="I1208" s="9">
        <v>499</v>
      </c>
      <c r="J1208" s="9">
        <v>500</v>
      </c>
      <c r="K1208" s="9">
        <v>480</v>
      </c>
      <c r="L1208" s="9">
        <v>484</v>
      </c>
      <c r="M1208" s="9">
        <v>477</v>
      </c>
      <c r="N1208" s="9">
        <v>484</v>
      </c>
      <c r="O1208" s="9">
        <v>476</v>
      </c>
      <c r="P1208" s="9">
        <v>488</v>
      </c>
      <c r="Q1208" s="9">
        <v>485</v>
      </c>
      <c r="R1208" s="7">
        <f t="shared" si="11"/>
        <v>-7.5636194012995706E-4</v>
      </c>
      <c r="S1208" s="9"/>
      <c r="T1208" s="9"/>
      <c r="U1208" s="9"/>
      <c r="V1208" s="9"/>
      <c r="W1208" s="9"/>
      <c r="X1208" s="9"/>
      <c r="Y1208" s="9"/>
      <c r="Z1208" s="9"/>
      <c r="AA1208" s="9"/>
      <c r="AB1208" s="9"/>
    </row>
    <row r="1209" spans="1:28" ht="14.4" hidden="1">
      <c r="A1209" s="3">
        <f>LOOKUP(D1209,'AMFI DATA_2023H2'!F:L,'AMFI DATA_2023H2'!L:L)</f>
        <v>808</v>
      </c>
      <c r="B1209" s="4" t="s">
        <v>2348</v>
      </c>
      <c r="C1209" s="4" t="s">
        <v>2349</v>
      </c>
      <c r="D1209" s="5" t="s">
        <v>2350</v>
      </c>
      <c r="E1209" s="5">
        <v>1630.42</v>
      </c>
      <c r="F1209" s="6">
        <f>LOOKUP(D1209,'AMFI DATA_2023H2'!F:J,'AMFI DATA_2023H2'!J:J)</f>
        <v>2798.5621999999998</v>
      </c>
      <c r="G1209" s="7">
        <f t="shared" si="10"/>
        <v>0.34569101233483401</v>
      </c>
      <c r="H1209" s="8">
        <v>3766</v>
      </c>
      <c r="I1209" s="8">
        <v>3712</v>
      </c>
      <c r="J1209" s="8">
        <v>3741</v>
      </c>
      <c r="K1209" s="8">
        <v>3711</v>
      </c>
      <c r="L1209" s="8">
        <v>3674</v>
      </c>
      <c r="M1209" s="8">
        <v>3620</v>
      </c>
      <c r="N1209" s="8">
        <v>3682</v>
      </c>
      <c r="O1209" s="8">
        <v>3602</v>
      </c>
      <c r="P1209" s="8">
        <v>3632</v>
      </c>
      <c r="Q1209" s="8">
        <v>3524</v>
      </c>
      <c r="R1209" s="7">
        <f t="shared" si="11"/>
        <v>0.31010130845046091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</row>
    <row r="1210" spans="1:28" ht="14.4" hidden="1">
      <c r="A1210" s="3">
        <f>LOOKUP(D1210,'AMFI DATA_2023H2'!F:L,'AMFI DATA_2023H2'!L:L)</f>
        <v>1574</v>
      </c>
      <c r="B1210" s="4" t="s">
        <v>4103</v>
      </c>
      <c r="C1210" s="4" t="s">
        <v>4104</v>
      </c>
      <c r="D1210" s="5" t="s">
        <v>4105</v>
      </c>
      <c r="E1210" s="5">
        <v>351.47</v>
      </c>
      <c r="F1210" s="6">
        <f>LOOKUP(D1210,'AMFI DATA_2023H2'!F:J,'AMFI DATA_2023H2'!J:J)</f>
        <v>435.21860000000004</v>
      </c>
      <c r="G1210" s="7">
        <f t="shared" si="10"/>
        <v>0.38091524580980662</v>
      </c>
      <c r="H1210" s="9">
        <v>601</v>
      </c>
      <c r="I1210" s="9">
        <v>627</v>
      </c>
      <c r="J1210" s="9">
        <v>620</v>
      </c>
      <c r="K1210" s="9">
        <v>642</v>
      </c>
      <c r="L1210" s="9">
        <v>628</v>
      </c>
      <c r="M1210" s="9">
        <v>525</v>
      </c>
      <c r="N1210" s="9">
        <v>525</v>
      </c>
      <c r="O1210" s="9">
        <v>542</v>
      </c>
      <c r="P1210" s="9">
        <v>513</v>
      </c>
      <c r="Q1210" s="9">
        <v>487</v>
      </c>
      <c r="R1210" s="7">
        <f t="shared" si="11"/>
        <v>0.31198436831514087</v>
      </c>
      <c r="S1210" s="9"/>
      <c r="T1210" s="9"/>
      <c r="U1210" s="9"/>
      <c r="V1210" s="9"/>
      <c r="W1210" s="9"/>
      <c r="X1210" s="9"/>
      <c r="Y1210" s="9"/>
      <c r="Z1210" s="9"/>
      <c r="AA1210" s="9"/>
      <c r="AB1210" s="9"/>
    </row>
    <row r="1211" spans="1:28" ht="14.4" hidden="1">
      <c r="A1211" s="3">
        <f>LOOKUP(D1211,'AMFI DATA_2023H2'!F:L,'AMFI DATA_2023H2'!L:L)</f>
        <v>1384</v>
      </c>
      <c r="B1211" s="4" t="s">
        <v>3737</v>
      </c>
      <c r="C1211" s="4" t="s">
        <v>3738</v>
      </c>
      <c r="D1211" s="5" t="s">
        <v>3739</v>
      </c>
      <c r="E1211" s="5">
        <v>768.62</v>
      </c>
      <c r="F1211" s="6">
        <f>LOOKUP(D1211,'AMFI DATA_2023H2'!F:J,'AMFI DATA_2023H2'!J:J)</f>
        <v>661.9057499999999</v>
      </c>
      <c r="G1211" s="7">
        <f t="shared" si="10"/>
        <v>-0.1041020568260661</v>
      </c>
      <c r="H1211" s="9">
        <v>593</v>
      </c>
      <c r="I1211" s="9">
        <v>591</v>
      </c>
      <c r="J1211" s="9">
        <v>586</v>
      </c>
      <c r="K1211" s="9">
        <v>594</v>
      </c>
      <c r="L1211" s="9">
        <v>580</v>
      </c>
      <c r="M1211" s="9">
        <v>591</v>
      </c>
      <c r="N1211" s="9">
        <v>580</v>
      </c>
      <c r="O1211" s="9">
        <v>580</v>
      </c>
      <c r="P1211" s="9">
        <v>581</v>
      </c>
      <c r="Q1211" s="9">
        <v>581</v>
      </c>
      <c r="R1211" s="7">
        <f t="shared" si="11"/>
        <v>-0.11513081734068609</v>
      </c>
      <c r="S1211" s="9"/>
      <c r="T1211" s="9"/>
      <c r="U1211" s="9"/>
      <c r="V1211" s="9"/>
      <c r="W1211" s="9"/>
      <c r="X1211" s="9"/>
      <c r="Y1211" s="9"/>
      <c r="Z1211" s="9"/>
      <c r="AA1211" s="9"/>
      <c r="AB1211" s="9"/>
    </row>
    <row r="1212" spans="1:28" ht="14.4" hidden="1">
      <c r="A1212" s="3">
        <f>LOOKUP(D1212,'AMFI DATA_2023H2'!F:L,'AMFI DATA_2023H2'!L:L)</f>
        <v>693</v>
      </c>
      <c r="B1212" s="4" t="s">
        <v>2031</v>
      </c>
      <c r="C1212" s="4" t="s">
        <v>2032</v>
      </c>
      <c r="D1212" s="5" t="s">
        <v>2033</v>
      </c>
      <c r="E1212" s="5">
        <v>2554.08</v>
      </c>
      <c r="F1212" s="6">
        <f>LOOKUP(D1212,'AMFI DATA_2023H2'!F:J,'AMFI DATA_2023H2'!J:J)</f>
        <v>3952.7352499999997</v>
      </c>
      <c r="G1212" s="7">
        <f t="shared" si="10"/>
        <v>0.44507528046559663</v>
      </c>
      <c r="H1212" s="8">
        <v>5712</v>
      </c>
      <c r="I1212" s="8">
        <v>5713</v>
      </c>
      <c r="J1212" s="8">
        <v>5634</v>
      </c>
      <c r="K1212" s="8">
        <v>5508</v>
      </c>
      <c r="L1212" s="8">
        <v>5381</v>
      </c>
      <c r="M1212" s="8">
        <v>5145</v>
      </c>
      <c r="N1212" s="8">
        <v>5074</v>
      </c>
      <c r="O1212" s="8">
        <v>5106</v>
      </c>
      <c r="P1212" s="8">
        <v>5138</v>
      </c>
      <c r="Q1212" s="8">
        <v>4954</v>
      </c>
      <c r="R1212" s="7">
        <f t="shared" si="11"/>
        <v>0.35007777209465285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</row>
    <row r="1213" spans="1:28" ht="14.4" hidden="1">
      <c r="A1213" s="3">
        <f>LOOKUP(D1213,'AMFI DATA_2023H2'!F:L,'AMFI DATA_2023H2'!L:L)</f>
        <v>1504</v>
      </c>
      <c r="B1213" s="4" t="s">
        <v>3971</v>
      </c>
      <c r="C1213" s="4" t="s">
        <v>3972</v>
      </c>
      <c r="D1213" s="5" t="s">
        <v>3973</v>
      </c>
      <c r="E1213" s="5">
        <v>2554.08</v>
      </c>
      <c r="F1213" s="6">
        <f>LOOKUP(D1213,'AMFI DATA_2023H2'!F:J,'AMFI DATA_2023H2'!J:J)</f>
        <v>503.14024999999998</v>
      </c>
      <c r="G1213" s="7">
        <f t="shared" si="10"/>
        <v>0.27201113407245803</v>
      </c>
      <c r="H1213" s="9">
        <v>640</v>
      </c>
      <c r="I1213" s="9">
        <v>644</v>
      </c>
      <c r="J1213" s="9">
        <v>647</v>
      </c>
      <c r="K1213" s="9">
        <v>652</v>
      </c>
      <c r="L1213" s="9">
        <v>616</v>
      </c>
      <c r="M1213" s="9">
        <v>607</v>
      </c>
      <c r="N1213" s="9">
        <v>620</v>
      </c>
      <c r="O1213" s="9">
        <v>631</v>
      </c>
      <c r="P1213" s="9">
        <v>634</v>
      </c>
      <c r="Q1213" s="9">
        <v>638</v>
      </c>
      <c r="R1213" s="7">
        <f t="shared" si="11"/>
        <v>0.25789976055384156</v>
      </c>
      <c r="S1213" s="9"/>
      <c r="T1213" s="9"/>
      <c r="U1213" s="9"/>
      <c r="V1213" s="9"/>
      <c r="W1213" s="9"/>
      <c r="X1213" s="9"/>
      <c r="Y1213" s="9"/>
      <c r="Z1213" s="9"/>
      <c r="AA1213" s="9"/>
      <c r="AB1213" s="9"/>
    </row>
    <row r="1214" spans="1:28" ht="14.4" hidden="1">
      <c r="A1214" s="3">
        <f>LOOKUP(D1214,'AMFI DATA_2023H2'!F:L,'AMFI DATA_2023H2'!L:L)</f>
        <v>623</v>
      </c>
      <c r="B1214" s="4" t="s">
        <v>1839</v>
      </c>
      <c r="C1214" s="4" t="s">
        <v>1840</v>
      </c>
      <c r="D1214" s="5" t="s">
        <v>1841</v>
      </c>
      <c r="E1214" s="5">
        <v>5335.74</v>
      </c>
      <c r="F1214" s="6">
        <f>LOOKUP(D1214,'AMFI DATA_2023H2'!F:J,'AMFI DATA_2023H2'!J:J)</f>
        <v>4863.3313500000004</v>
      </c>
      <c r="G1214" s="7">
        <f t="shared" si="10"/>
        <v>2.9541201217967439E-2</v>
      </c>
      <c r="H1214" s="8">
        <v>5007</v>
      </c>
      <c r="I1214" s="8">
        <v>4997</v>
      </c>
      <c r="J1214" s="8">
        <v>4963</v>
      </c>
      <c r="K1214" s="8">
        <v>4886</v>
      </c>
      <c r="L1214" s="8">
        <v>4907</v>
      </c>
      <c r="M1214" s="8">
        <v>4838</v>
      </c>
      <c r="N1214" s="8">
        <v>4805</v>
      </c>
      <c r="O1214" s="8">
        <v>4890</v>
      </c>
      <c r="P1214" s="8">
        <v>4907</v>
      </c>
      <c r="Q1214" s="8">
        <v>4928</v>
      </c>
      <c r="R1214" s="7">
        <f t="shared" si="11"/>
        <v>1.0171762201643952E-2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</row>
    <row r="1215" spans="1:28" ht="14.4" hidden="1">
      <c r="A1215" s="3">
        <f>LOOKUP(D1215,'AMFI DATA_2023H2'!F:L,'AMFI DATA_2023H2'!L:L)</f>
        <v>1052</v>
      </c>
      <c r="B1215" s="4" t="s">
        <v>2999</v>
      </c>
      <c r="C1215" s="4" t="s">
        <v>3000</v>
      </c>
      <c r="D1215" s="5" t="s">
        <v>3001</v>
      </c>
      <c r="E1215" s="5">
        <v>709.52</v>
      </c>
      <c r="F1215" s="6">
        <f>LOOKUP(D1215,'AMFI DATA_2023H2'!F:J,'AMFI DATA_2023H2'!J:J)</f>
        <v>1483.1144999999999</v>
      </c>
      <c r="G1215" s="7">
        <f t="shared" si="10"/>
        <v>0.55281335325087855</v>
      </c>
      <c r="H1215" s="8">
        <v>2303</v>
      </c>
      <c r="I1215" s="8">
        <v>2290</v>
      </c>
      <c r="J1215" s="8">
        <v>2183</v>
      </c>
      <c r="K1215" s="8">
        <v>2212</v>
      </c>
      <c r="L1215" s="8">
        <v>2242</v>
      </c>
      <c r="M1215" s="8">
        <v>2139</v>
      </c>
      <c r="N1215" s="8">
        <v>2103</v>
      </c>
      <c r="O1215" s="8">
        <v>2132</v>
      </c>
      <c r="P1215" s="8">
        <v>2153</v>
      </c>
      <c r="Q1215" s="8">
        <v>2192</v>
      </c>
      <c r="R1215" s="7">
        <f t="shared" si="11"/>
        <v>0.47992619585338847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</row>
    <row r="1216" spans="1:28" ht="14.4" hidden="1">
      <c r="A1216" s="3">
        <f>LOOKUP(D1216,'AMFI DATA_2023H2'!F:L,'AMFI DATA_2023H2'!L:L)</f>
        <v>1229</v>
      </c>
      <c r="B1216" s="4" t="s">
        <v>3422</v>
      </c>
      <c r="C1216" s="4" t="s">
        <v>3423</v>
      </c>
      <c r="D1216" s="5" t="s">
        <v>3424</v>
      </c>
      <c r="E1216" s="5">
        <v>878.09</v>
      </c>
      <c r="F1216" s="6">
        <f>LOOKUP(D1216,'AMFI DATA_2023H2'!F:J,'AMFI DATA_2023H2'!J:J)</f>
        <v>976.93450000000007</v>
      </c>
      <c r="G1216" s="7">
        <f t="shared" si="10"/>
        <v>-5.2137067531139558E-2</v>
      </c>
      <c r="H1216" s="9">
        <v>926</v>
      </c>
      <c r="I1216" s="9">
        <v>918</v>
      </c>
      <c r="J1216" s="9">
        <v>914</v>
      </c>
      <c r="K1216" s="9">
        <v>917</v>
      </c>
      <c r="L1216" s="9">
        <v>915</v>
      </c>
      <c r="M1216" s="9">
        <v>918</v>
      </c>
      <c r="N1216" s="9">
        <v>920</v>
      </c>
      <c r="O1216" s="9">
        <v>929</v>
      </c>
      <c r="P1216" s="9">
        <v>916</v>
      </c>
      <c r="Q1216" s="9">
        <v>910</v>
      </c>
      <c r="R1216" s="7">
        <f t="shared" si="11"/>
        <v>-6.0018865133742438E-2</v>
      </c>
      <c r="S1216" s="9"/>
      <c r="T1216" s="9"/>
      <c r="U1216" s="9"/>
      <c r="V1216" s="9"/>
      <c r="W1216" s="9"/>
      <c r="X1216" s="9"/>
      <c r="Y1216" s="9"/>
      <c r="Z1216" s="9"/>
      <c r="AA1216" s="9"/>
      <c r="AB1216" s="9"/>
    </row>
    <row r="1217" spans="1:28" ht="14.4" hidden="1">
      <c r="A1217" s="3">
        <f>LOOKUP(D1217,'AMFI DATA_2023H2'!F:L,'AMFI DATA_2023H2'!L:L)</f>
        <v>2555</v>
      </c>
      <c r="B1217" s="4" t="s">
        <v>5344</v>
      </c>
      <c r="C1217" s="4" t="s">
        <v>5345</v>
      </c>
      <c r="D1217" s="5" t="s">
        <v>5346</v>
      </c>
      <c r="E1217" s="5">
        <v>60.82</v>
      </c>
      <c r="F1217" s="6">
        <f>LOOKUP(D1217,'AMFI DATA_2023H2'!F:J,'AMFI DATA_2023H2'!J:J)</f>
        <v>74.212350000000001</v>
      </c>
      <c r="G1217" s="7">
        <f t="shared" si="10"/>
        <v>0.13727701656125979</v>
      </c>
      <c r="H1217" s="9">
        <v>84.4</v>
      </c>
      <c r="I1217" s="9">
        <v>84.8</v>
      </c>
      <c r="J1217" s="9">
        <v>84.9</v>
      </c>
      <c r="K1217" s="9">
        <v>85.6</v>
      </c>
      <c r="L1217" s="9">
        <v>83</v>
      </c>
      <c r="M1217" s="9">
        <v>83.9</v>
      </c>
      <c r="N1217" s="9">
        <v>82.1</v>
      </c>
      <c r="O1217" s="9">
        <v>86.2</v>
      </c>
      <c r="P1217" s="9">
        <v>84.5</v>
      </c>
      <c r="Q1217" s="9">
        <v>78.599999999999994</v>
      </c>
      <c r="R1217" s="7">
        <f t="shared" si="11"/>
        <v>0.12919210886058741</v>
      </c>
      <c r="S1217" s="9"/>
      <c r="T1217" s="9"/>
      <c r="U1217" s="9"/>
      <c r="V1217" s="9"/>
      <c r="W1217" s="9"/>
      <c r="X1217" s="9"/>
      <c r="Y1217" s="9"/>
      <c r="Z1217" s="9"/>
      <c r="AA1217" s="9"/>
      <c r="AB1217" s="9"/>
    </row>
    <row r="1218" spans="1:28" ht="14.4" hidden="1">
      <c r="A1218" s="3">
        <f>LOOKUP(D1218,'AMFI DATA_2023H2'!F:L,'AMFI DATA_2023H2'!L:L)</f>
        <v>1135</v>
      </c>
      <c r="B1218" s="4" t="s">
        <v>3197</v>
      </c>
      <c r="C1218" s="4" t="s">
        <v>3198</v>
      </c>
      <c r="D1218" s="5" t="s">
        <v>3199</v>
      </c>
      <c r="E1218" s="5">
        <v>1259.77</v>
      </c>
      <c r="F1218" s="6">
        <f>LOOKUP(D1218,'AMFI DATA_2023H2'!F:J,'AMFI DATA_2023H2'!J:J)</f>
        <v>1240.1046000000001</v>
      </c>
      <c r="G1218" s="7">
        <f t="shared" si="10"/>
        <v>4.1847598984795287E-2</v>
      </c>
      <c r="H1218" s="8">
        <v>1292</v>
      </c>
      <c r="I1218" s="8">
        <v>1322</v>
      </c>
      <c r="J1218" s="8">
        <v>1331</v>
      </c>
      <c r="K1218" s="8">
        <v>1360</v>
      </c>
      <c r="L1218" s="8">
        <v>1370</v>
      </c>
      <c r="M1218" s="8">
        <v>1336</v>
      </c>
      <c r="N1218" s="8">
        <v>1318</v>
      </c>
      <c r="O1218" s="8">
        <v>1306</v>
      </c>
      <c r="P1218" s="8">
        <v>1185</v>
      </c>
      <c r="Q1218" s="8">
        <v>1164</v>
      </c>
      <c r="R1218" s="7">
        <f t="shared" si="11"/>
        <v>4.7008453964286545E-2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</row>
    <row r="1219" spans="1:28" ht="14.4" hidden="1">
      <c r="A1219" s="3">
        <f>LOOKUP(D1219,'AMFI DATA_2023H2'!F:L,'AMFI DATA_2023H2'!L:L)</f>
        <v>1301</v>
      </c>
      <c r="B1219" s="4" t="s">
        <v>3575</v>
      </c>
      <c r="C1219" s="4" t="s">
        <v>3576</v>
      </c>
      <c r="D1219" s="5" t="s">
        <v>3577</v>
      </c>
      <c r="E1219" s="5">
        <v>734.8</v>
      </c>
      <c r="F1219" s="6">
        <f>LOOKUP(D1219,'AMFI DATA_2023H2'!F:J,'AMFI DATA_2023H2'!J:J)</f>
        <v>804.08355000000006</v>
      </c>
      <c r="G1219" s="7">
        <f t="shared" si="10"/>
        <v>1.9794522596563446E-2</v>
      </c>
      <c r="H1219" s="9">
        <v>820</v>
      </c>
      <c r="I1219" s="9">
        <v>821</v>
      </c>
      <c r="J1219" s="9">
        <v>826</v>
      </c>
      <c r="K1219" s="9">
        <v>821</v>
      </c>
      <c r="L1219" s="9">
        <v>835</v>
      </c>
      <c r="M1219" s="9">
        <v>834</v>
      </c>
      <c r="N1219" s="9">
        <v>824</v>
      </c>
      <c r="O1219" s="9">
        <v>789</v>
      </c>
      <c r="P1219" s="9">
        <v>791</v>
      </c>
      <c r="Q1219" s="9">
        <v>787</v>
      </c>
      <c r="R1219" s="7">
        <f t="shared" si="11"/>
        <v>1.3327532941072917E-2</v>
      </c>
      <c r="S1219" s="9"/>
      <c r="T1219" s="9"/>
      <c r="U1219" s="9"/>
      <c r="V1219" s="9"/>
      <c r="W1219" s="9"/>
      <c r="X1219" s="9"/>
      <c r="Y1219" s="9"/>
      <c r="Z1219" s="9"/>
      <c r="AA1219" s="9"/>
      <c r="AB1219" s="9"/>
    </row>
    <row r="1220" spans="1:28" ht="14.4" hidden="1">
      <c r="A1220" s="3">
        <f>LOOKUP(D1220,'AMFI DATA_2023H2'!F:L,'AMFI DATA_2023H2'!L:L)</f>
        <v>994</v>
      </c>
      <c r="B1220" s="4" t="s">
        <v>2846</v>
      </c>
      <c r="C1220" s="4" t="s">
        <v>2847</v>
      </c>
      <c r="D1220" s="5" t="s">
        <v>2848</v>
      </c>
      <c r="E1220" s="5">
        <v>1453.9</v>
      </c>
      <c r="F1220" s="6">
        <f>LOOKUP(D1220,'AMFI DATA_2023H2'!F:J,'AMFI DATA_2023H2'!J:J)</f>
        <v>1730.3738000000001</v>
      </c>
      <c r="G1220" s="7">
        <f t="shared" si="10"/>
        <v>0.28989470367616521</v>
      </c>
      <c r="H1220" s="8">
        <v>2232</v>
      </c>
      <c r="I1220" s="8">
        <v>2287</v>
      </c>
      <c r="J1220" s="8">
        <v>2249</v>
      </c>
      <c r="K1220" s="8">
        <v>2195</v>
      </c>
      <c r="L1220" s="8">
        <v>2159</v>
      </c>
      <c r="M1220" s="8">
        <v>2176</v>
      </c>
      <c r="N1220" s="8">
        <v>2174</v>
      </c>
      <c r="O1220" s="8">
        <v>2157</v>
      </c>
      <c r="P1220" s="8">
        <v>2213</v>
      </c>
      <c r="Q1220" s="8">
        <v>2181</v>
      </c>
      <c r="R1220" s="7">
        <f t="shared" si="11"/>
        <v>0.27273078221595815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</row>
    <row r="1221" spans="1:28" ht="14.4" hidden="1">
      <c r="A1221" s="3">
        <f>LOOKUP(D1221,'AMFI DATA_2023H2'!F:L,'AMFI DATA_2023H2'!L:L)</f>
        <v>3400</v>
      </c>
      <c r="B1221" s="4" t="s">
        <v>5671</v>
      </c>
      <c r="C1221" s="4" t="s">
        <v>5672</v>
      </c>
      <c r="D1221" s="5" t="s">
        <v>5673</v>
      </c>
      <c r="E1221" s="5">
        <v>20.53</v>
      </c>
      <c r="F1221" s="6">
        <f>LOOKUP(D1221,'AMFI DATA_2023H2'!F:J,'AMFI DATA_2023H2'!J:J)</f>
        <v>21.228149999999999</v>
      </c>
      <c r="G1221" s="7">
        <f t="shared" si="10"/>
        <v>0.41792855241742699</v>
      </c>
      <c r="H1221" s="9">
        <v>30.1</v>
      </c>
      <c r="I1221" s="9">
        <v>30.6</v>
      </c>
      <c r="J1221" s="9">
        <v>30.9</v>
      </c>
      <c r="K1221" s="9">
        <v>30</v>
      </c>
      <c r="L1221" s="9">
        <v>28.3</v>
      </c>
      <c r="M1221" s="9">
        <v>27.9</v>
      </c>
      <c r="N1221" s="9">
        <v>27.4</v>
      </c>
      <c r="O1221" s="9">
        <v>28.3</v>
      </c>
      <c r="P1221" s="9">
        <v>28.2</v>
      </c>
      <c r="Q1221" s="9">
        <v>29.3</v>
      </c>
      <c r="R1221" s="7">
        <f t="shared" si="11"/>
        <v>0.37082129153977172</v>
      </c>
      <c r="S1221" s="9"/>
      <c r="T1221" s="9"/>
      <c r="U1221" s="9"/>
      <c r="V1221" s="9"/>
      <c r="W1221" s="9"/>
      <c r="X1221" s="9"/>
      <c r="Y1221" s="9"/>
      <c r="Z1221" s="9"/>
      <c r="AA1221" s="9"/>
      <c r="AB1221" s="9"/>
    </row>
    <row r="1222" spans="1:28" ht="14.4" hidden="1">
      <c r="A1222" s="3">
        <f>LOOKUP(D1222,'AMFI DATA_2023H2'!F:L,'AMFI DATA_2023H2'!L:L)</f>
        <v>2280</v>
      </c>
      <c r="B1222" s="4" t="s">
        <v>5105</v>
      </c>
      <c r="C1222" s="4" t="s">
        <v>5106</v>
      </c>
      <c r="D1222" s="5" t="s">
        <v>5107</v>
      </c>
      <c r="E1222" s="5">
        <v>133.41999999999999</v>
      </c>
      <c r="F1222" s="6">
        <f>LOOKUP(D1222,'AMFI DATA_2023H2'!F:J,'AMFI DATA_2023H2'!J:J)</f>
        <v>115.357</v>
      </c>
      <c r="G1222" s="7">
        <f t="shared" si="10"/>
        <v>0.11826763872153401</v>
      </c>
      <c r="H1222" s="9">
        <v>129</v>
      </c>
      <c r="I1222" s="9">
        <v>130</v>
      </c>
      <c r="J1222" s="9">
        <v>128</v>
      </c>
      <c r="K1222" s="9">
        <v>132</v>
      </c>
      <c r="L1222" s="9">
        <v>130</v>
      </c>
      <c r="M1222" s="9">
        <v>123</v>
      </c>
      <c r="N1222" s="9">
        <v>125</v>
      </c>
      <c r="O1222" s="9">
        <v>127</v>
      </c>
      <c r="P1222" s="9">
        <v>128</v>
      </c>
      <c r="Q1222" s="9">
        <v>129</v>
      </c>
      <c r="R1222" s="7">
        <f t="shared" si="11"/>
        <v>0.11046577147463954</v>
      </c>
      <c r="S1222" s="9"/>
      <c r="T1222" s="9"/>
      <c r="U1222" s="9"/>
      <c r="V1222" s="9"/>
      <c r="W1222" s="9"/>
      <c r="X1222" s="9"/>
      <c r="Y1222" s="9"/>
      <c r="Z1222" s="9"/>
      <c r="AA1222" s="9"/>
      <c r="AB1222" s="9"/>
    </row>
    <row r="1223" spans="1:28" ht="14.4" hidden="1">
      <c r="A1223" s="3">
        <f>LOOKUP(D1223,'AMFI DATA_2023H2'!F:L,'AMFI DATA_2023H2'!L:L)</f>
        <v>3562</v>
      </c>
      <c r="B1223" s="4" t="s">
        <v>5707</v>
      </c>
      <c r="C1223" s="4" t="s">
        <v>5708</v>
      </c>
      <c r="D1223" s="5" t="s">
        <v>5709</v>
      </c>
      <c r="E1223" s="5">
        <v>17.5</v>
      </c>
      <c r="F1223" s="6">
        <f>LOOKUP(D1223,'AMFI DATA_2023H2'!F:J,'AMFI DATA_2023H2'!J:J)</f>
        <v>16.315550000000002</v>
      </c>
      <c r="G1223" s="7">
        <f t="shared" si="10"/>
        <v>0.14001673250365454</v>
      </c>
      <c r="H1223" s="9">
        <v>18.600000000000001</v>
      </c>
      <c r="I1223" s="9">
        <v>18.7</v>
      </c>
      <c r="J1223" s="9">
        <v>18.600000000000001</v>
      </c>
      <c r="K1223" s="9">
        <v>19</v>
      </c>
      <c r="L1223" s="9">
        <v>18.3</v>
      </c>
      <c r="M1223" s="9">
        <v>18.8</v>
      </c>
      <c r="N1223" s="9">
        <v>18.399999999999999</v>
      </c>
      <c r="O1223" s="9">
        <v>18.600000000000001</v>
      </c>
      <c r="P1223" s="9">
        <v>19.399999999999999</v>
      </c>
      <c r="Q1223" s="9">
        <v>20.100000000000001</v>
      </c>
      <c r="R1223" s="7">
        <f t="shared" si="11"/>
        <v>0.15533953804805845</v>
      </c>
      <c r="S1223" s="9"/>
      <c r="T1223" s="9"/>
      <c r="U1223" s="9"/>
      <c r="V1223" s="9"/>
      <c r="W1223" s="9"/>
      <c r="X1223" s="9"/>
      <c r="Y1223" s="9"/>
      <c r="Z1223" s="9"/>
      <c r="AA1223" s="9"/>
      <c r="AB1223" s="9"/>
    </row>
    <row r="1224" spans="1:28" ht="14.4" hidden="1">
      <c r="A1224" s="3">
        <f>LOOKUP(D1224,'AMFI DATA_2023H2'!F:L,'AMFI DATA_2023H2'!L:L)</f>
        <v>1498</v>
      </c>
      <c r="B1224" s="4" t="s">
        <v>3959</v>
      </c>
      <c r="C1224" s="4" t="s">
        <v>3960</v>
      </c>
      <c r="D1224" s="5" t="s">
        <v>3961</v>
      </c>
      <c r="E1224" s="5">
        <v>307.44</v>
      </c>
      <c r="F1224" s="6">
        <f>LOOKUP(D1224,'AMFI DATA_2023H2'!F:J,'AMFI DATA_2023H2'!J:J)</f>
        <v>511.3381</v>
      </c>
      <c r="G1224" s="7">
        <f t="shared" si="10"/>
        <v>0.15187974453693154</v>
      </c>
      <c r="H1224" s="9">
        <v>589</v>
      </c>
      <c r="I1224" s="9">
        <v>633</v>
      </c>
      <c r="J1224" s="9">
        <v>611</v>
      </c>
      <c r="K1224" s="9">
        <v>618</v>
      </c>
      <c r="L1224" s="9">
        <v>585</v>
      </c>
      <c r="M1224" s="9">
        <v>589</v>
      </c>
      <c r="N1224" s="9">
        <v>589</v>
      </c>
      <c r="O1224" s="9">
        <v>568</v>
      </c>
      <c r="P1224" s="9">
        <v>578</v>
      </c>
      <c r="Q1224" s="9">
        <v>558</v>
      </c>
      <c r="R1224" s="7">
        <f t="shared" si="11"/>
        <v>0.15735557354321927</v>
      </c>
      <c r="S1224" s="9"/>
      <c r="T1224" s="9"/>
      <c r="U1224" s="9"/>
      <c r="V1224" s="9"/>
      <c r="W1224" s="9"/>
      <c r="X1224" s="9"/>
      <c r="Y1224" s="9"/>
      <c r="Z1224" s="9"/>
      <c r="AA1224" s="9"/>
      <c r="AB1224" s="9"/>
    </row>
    <row r="1225" spans="1:28" ht="14.4" hidden="1">
      <c r="A1225" s="3">
        <f>LOOKUP(D1225,'AMFI DATA_2023H2'!F:L,'AMFI DATA_2023H2'!L:L)</f>
        <v>1582</v>
      </c>
      <c r="B1225" s="4" t="s">
        <v>4115</v>
      </c>
      <c r="C1225" s="4" t="s">
        <v>4116</v>
      </c>
      <c r="D1225" s="5" t="s">
        <v>4117</v>
      </c>
      <c r="E1225" s="5">
        <v>432.22</v>
      </c>
      <c r="F1225" s="6">
        <f>LOOKUP(D1225,'AMFI DATA_2023H2'!F:J,'AMFI DATA_2023H2'!J:J)</f>
        <v>426.27584999999999</v>
      </c>
      <c r="G1225" s="7">
        <f t="shared" si="10"/>
        <v>0.21986736992020539</v>
      </c>
      <c r="H1225" s="9">
        <v>520</v>
      </c>
      <c r="I1225" s="9">
        <v>520</v>
      </c>
      <c r="J1225" s="9">
        <v>483</v>
      </c>
      <c r="K1225" s="9">
        <v>488</v>
      </c>
      <c r="L1225" s="9">
        <v>456</v>
      </c>
      <c r="M1225" s="9">
        <v>457</v>
      </c>
      <c r="N1225" s="9">
        <v>445</v>
      </c>
      <c r="O1225" s="9">
        <v>447</v>
      </c>
      <c r="P1225" s="9">
        <v>450</v>
      </c>
      <c r="Q1225" s="9">
        <v>450</v>
      </c>
      <c r="R1225" s="7">
        <f t="shared" si="11"/>
        <v>0.10632586856609416</v>
      </c>
      <c r="S1225" s="9"/>
      <c r="T1225" s="9"/>
      <c r="U1225" s="9"/>
      <c r="V1225" s="9"/>
      <c r="W1225" s="9"/>
      <c r="X1225" s="9"/>
      <c r="Y1225" s="9"/>
      <c r="Z1225" s="9"/>
      <c r="AA1225" s="9"/>
      <c r="AB1225" s="9"/>
    </row>
    <row r="1226" spans="1:28" ht="14.4" hidden="1">
      <c r="A1226" s="3">
        <f>LOOKUP(D1226,'AMFI DATA_2023H2'!F:L,'AMFI DATA_2023H2'!L:L)</f>
        <v>1395</v>
      </c>
      <c r="B1226" s="4" t="s">
        <v>3767</v>
      </c>
      <c r="C1226" s="4" t="s">
        <v>3768</v>
      </c>
      <c r="D1226" s="5" t="s">
        <v>3769</v>
      </c>
      <c r="E1226" s="5">
        <v>570.66</v>
      </c>
      <c r="F1226" s="6">
        <f>LOOKUP(D1226,'AMFI DATA_2023H2'!F:J,'AMFI DATA_2023H2'!J:J)</f>
        <v>648.75689999999997</v>
      </c>
      <c r="G1226" s="7">
        <f t="shared" si="10"/>
        <v>0.28707686962558698</v>
      </c>
      <c r="H1226" s="9">
        <v>835</v>
      </c>
      <c r="I1226" s="9">
        <v>862</v>
      </c>
      <c r="J1226" s="9">
        <v>754</v>
      </c>
      <c r="K1226" s="9">
        <v>728</v>
      </c>
      <c r="L1226" s="9">
        <v>688</v>
      </c>
      <c r="M1226" s="9">
        <v>670</v>
      </c>
      <c r="N1226" s="9">
        <v>682</v>
      </c>
      <c r="O1226" s="9">
        <v>673</v>
      </c>
      <c r="P1226" s="9">
        <v>665</v>
      </c>
      <c r="Q1226" s="9">
        <v>648</v>
      </c>
      <c r="R1226" s="7">
        <f t="shared" si="11"/>
        <v>0.11058549049728805</v>
      </c>
      <c r="S1226" s="9"/>
      <c r="T1226" s="9"/>
      <c r="U1226" s="9"/>
      <c r="V1226" s="9"/>
      <c r="W1226" s="9"/>
      <c r="X1226" s="9"/>
      <c r="Y1226" s="9"/>
      <c r="Z1226" s="9"/>
      <c r="AA1226" s="9"/>
      <c r="AB1226" s="9"/>
    </row>
    <row r="1227" spans="1:28" ht="14.4" hidden="1">
      <c r="A1227" s="3">
        <f>LOOKUP(D1227,'AMFI DATA_2023H2'!F:L,'AMFI DATA_2023H2'!L:L)</f>
        <v>156</v>
      </c>
      <c r="B1227" s="4" t="s">
        <v>477</v>
      </c>
      <c r="C1227" s="4" t="s">
        <v>478</v>
      </c>
      <c r="D1227" s="5" t="s">
        <v>479</v>
      </c>
      <c r="E1227" s="5">
        <v>43732.07</v>
      </c>
      <c r="F1227" s="6">
        <f>LOOKUP(D1227,'AMFI DATA_2023H2'!F:J,'AMFI DATA_2023H2'!J:J)</f>
        <v>42852.723050000001</v>
      </c>
      <c r="G1227" s="7">
        <f t="shared" si="10"/>
        <v>1.1230953735155813E-2</v>
      </c>
      <c r="H1227" s="8">
        <v>43334</v>
      </c>
      <c r="I1227" s="8">
        <v>43568</v>
      </c>
      <c r="J1227" s="8">
        <v>43151</v>
      </c>
      <c r="K1227" s="8">
        <v>43713</v>
      </c>
      <c r="L1227" s="8">
        <v>43039</v>
      </c>
      <c r="M1227" s="8">
        <v>42944</v>
      </c>
      <c r="N1227" s="8">
        <v>42682</v>
      </c>
      <c r="O1227" s="8">
        <v>42344</v>
      </c>
      <c r="P1227" s="8">
        <v>41927</v>
      </c>
      <c r="Q1227" s="8">
        <v>41938</v>
      </c>
      <c r="R1227" s="7">
        <f t="shared" si="11"/>
        <v>2.63155972301643E-4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</row>
    <row r="1228" spans="1:28" ht="14.4" hidden="1">
      <c r="A1228" s="3">
        <f>LOOKUP(D1228,'AMFI DATA_2023H2'!F:L,'AMFI DATA_2023H2'!L:L)</f>
        <v>766</v>
      </c>
      <c r="B1228" s="4" t="s">
        <v>2243</v>
      </c>
      <c r="C1228" s="4" t="s">
        <v>2244</v>
      </c>
      <c r="D1228" s="5" t="s">
        <v>2245</v>
      </c>
      <c r="E1228" s="5">
        <v>2642.57</v>
      </c>
      <c r="F1228" s="6">
        <f>LOOKUP(D1228,'AMFI DATA_2023H2'!F:J,'AMFI DATA_2023H2'!J:J)</f>
        <v>3154.29295</v>
      </c>
      <c r="G1228" s="7">
        <f t="shared" si="10"/>
        <v>0.52427186574411233</v>
      </c>
      <c r="H1228" s="8">
        <v>4808</v>
      </c>
      <c r="I1228" s="8">
        <v>4537</v>
      </c>
      <c r="J1228" s="8">
        <v>4468</v>
      </c>
      <c r="K1228" s="8">
        <v>4167</v>
      </c>
      <c r="L1228" s="8">
        <v>4176</v>
      </c>
      <c r="M1228" s="8">
        <v>4139</v>
      </c>
      <c r="N1228" s="8">
        <v>4206</v>
      </c>
      <c r="O1228" s="8">
        <v>4174</v>
      </c>
      <c r="P1228" s="8">
        <v>4216</v>
      </c>
      <c r="Q1228" s="8">
        <v>4302</v>
      </c>
      <c r="R1228" s="7">
        <f t="shared" si="11"/>
        <v>0.36934015592939784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</row>
    <row r="1229" spans="1:28" ht="14.4" hidden="1">
      <c r="A1229" s="3">
        <f>LOOKUP(D1229,'AMFI DATA_2023H2'!F:L,'AMFI DATA_2023H2'!L:L)</f>
        <v>1307</v>
      </c>
      <c r="B1229" s="4" t="s">
        <v>3590</v>
      </c>
      <c r="C1229" s="4" t="s">
        <v>3591</v>
      </c>
      <c r="D1229" s="5" t="s">
        <v>3592</v>
      </c>
      <c r="E1229" s="5">
        <v>2642.57</v>
      </c>
      <c r="F1229" s="6">
        <f>LOOKUP(D1229,'AMFI DATA_2023H2'!F:J,'AMFI DATA_2023H2'!J:J)</f>
        <v>793.05790000000002</v>
      </c>
      <c r="G1229" s="7">
        <f t="shared" si="10"/>
        <v>0.1651103910571976</v>
      </c>
      <c r="H1229" s="9">
        <v>924</v>
      </c>
      <c r="I1229" s="9">
        <v>934</v>
      </c>
      <c r="J1229" s="9">
        <v>944</v>
      </c>
      <c r="K1229" s="9">
        <v>952</v>
      </c>
      <c r="L1229" s="9">
        <v>938</v>
      </c>
      <c r="M1229" s="9">
        <v>858</v>
      </c>
      <c r="N1229" s="9">
        <v>868</v>
      </c>
      <c r="O1229" s="9">
        <v>881</v>
      </c>
      <c r="P1229" s="9">
        <v>899</v>
      </c>
      <c r="Q1229" s="9">
        <v>911</v>
      </c>
      <c r="R1229" s="7">
        <f t="shared" si="11"/>
        <v>0.14859205109740414</v>
      </c>
      <c r="S1229" s="9"/>
      <c r="T1229" s="9"/>
      <c r="U1229" s="9"/>
      <c r="V1229" s="9"/>
      <c r="W1229" s="9"/>
      <c r="X1229" s="9"/>
      <c r="Y1229" s="9"/>
      <c r="Z1229" s="9"/>
      <c r="AA1229" s="9"/>
      <c r="AB1229" s="9"/>
    </row>
    <row r="1230" spans="1:28" ht="14.4" hidden="1">
      <c r="A1230" s="3">
        <f>LOOKUP(D1230,'AMFI DATA_2023H2'!F:L,'AMFI DATA_2023H2'!L:L)</f>
        <v>2295</v>
      </c>
      <c r="B1230" s="4" t="s">
        <v>5123</v>
      </c>
      <c r="C1230" s="4" t="s">
        <v>5124</v>
      </c>
      <c r="D1230" s="5" t="s">
        <v>5125</v>
      </c>
      <c r="E1230" s="5">
        <v>111.04</v>
      </c>
      <c r="F1230" s="6">
        <f>LOOKUP(D1230,'AMFI DATA_2023H2'!F:J,'AMFI DATA_2023H2'!J:J)</f>
        <v>112.527</v>
      </c>
      <c r="G1230" s="7">
        <f t="shared" si="10"/>
        <v>5.7523972024491998E-2</v>
      </c>
      <c r="H1230" s="9">
        <v>119</v>
      </c>
      <c r="I1230" s="9">
        <v>120</v>
      </c>
      <c r="J1230" s="9">
        <v>120</v>
      </c>
      <c r="K1230" s="9">
        <v>118</v>
      </c>
      <c r="L1230" s="9">
        <v>119</v>
      </c>
      <c r="M1230" s="9">
        <v>118</v>
      </c>
      <c r="N1230" s="9">
        <v>119</v>
      </c>
      <c r="O1230" s="9">
        <v>118</v>
      </c>
      <c r="P1230" s="9">
        <v>118</v>
      </c>
      <c r="Q1230" s="9">
        <v>119</v>
      </c>
      <c r="R1230" s="7">
        <f t="shared" si="11"/>
        <v>5.5746620811005343E-2</v>
      </c>
      <c r="S1230" s="9"/>
      <c r="T1230" s="9"/>
      <c r="U1230" s="9"/>
      <c r="V1230" s="9"/>
      <c r="W1230" s="9"/>
      <c r="X1230" s="9"/>
      <c r="Y1230" s="9"/>
      <c r="Z1230" s="9"/>
      <c r="AA1230" s="9"/>
      <c r="AB1230" s="9"/>
    </row>
    <row r="1231" spans="1:28" ht="14.4" hidden="1">
      <c r="A1231" s="3">
        <f>LOOKUP(D1231,'AMFI DATA_2023H2'!F:L,'AMFI DATA_2023H2'!L:L)</f>
        <v>1985</v>
      </c>
      <c r="B1231" s="4" t="s">
        <v>4709</v>
      </c>
      <c r="C1231" s="4" t="s">
        <v>4710</v>
      </c>
      <c r="D1231" s="5" t="s">
        <v>4711</v>
      </c>
      <c r="E1231" s="5">
        <v>178.05</v>
      </c>
      <c r="F1231" s="6">
        <f>LOOKUP(D1231,'AMFI DATA_2023H2'!F:J,'AMFI DATA_2023H2'!J:J)</f>
        <v>191.78819999999999</v>
      </c>
      <c r="G1231" s="7">
        <f t="shared" si="10"/>
        <v>0.18881140758399106</v>
      </c>
      <c r="H1231" s="9">
        <v>228</v>
      </c>
      <c r="I1231" s="9">
        <v>227</v>
      </c>
      <c r="J1231" s="9">
        <v>226</v>
      </c>
      <c r="K1231" s="9">
        <v>231</v>
      </c>
      <c r="L1231" s="9">
        <v>228</v>
      </c>
      <c r="M1231" s="9">
        <v>230</v>
      </c>
      <c r="N1231" s="9">
        <v>222</v>
      </c>
      <c r="O1231" s="9">
        <v>224</v>
      </c>
      <c r="P1231" s="9">
        <v>208</v>
      </c>
      <c r="Q1231" s="9">
        <v>217</v>
      </c>
      <c r="R1231" s="7">
        <f t="shared" si="11"/>
        <v>0.16847647561215973</v>
      </c>
      <c r="S1231" s="9"/>
      <c r="T1231" s="9"/>
      <c r="U1231" s="9"/>
      <c r="V1231" s="9"/>
      <c r="W1231" s="9"/>
      <c r="X1231" s="9"/>
      <c r="Y1231" s="9"/>
      <c r="Z1231" s="9"/>
      <c r="AA1231" s="9"/>
      <c r="AB1231" s="9"/>
    </row>
    <row r="1232" spans="1:28" ht="14.4" hidden="1">
      <c r="A1232" s="3">
        <f>LOOKUP(D1232,'AMFI DATA_2023H2'!F:L,'AMFI DATA_2023H2'!L:L)</f>
        <v>1253</v>
      </c>
      <c r="B1232" s="4" t="s">
        <v>3464</v>
      </c>
      <c r="C1232" s="4" t="s">
        <v>3465</v>
      </c>
      <c r="D1232" s="5" t="s">
        <v>3466</v>
      </c>
      <c r="E1232" s="5">
        <v>756.06</v>
      </c>
      <c r="F1232" s="6">
        <f>LOOKUP(D1232,'AMFI DATA_2023H2'!F:J,'AMFI DATA_2023H2'!J:J)</f>
        <v>911.16430000000003</v>
      </c>
      <c r="G1232" s="7">
        <f t="shared" si="10"/>
        <v>0.28955886441117151</v>
      </c>
      <c r="H1232" s="9">
        <v>1175</v>
      </c>
      <c r="I1232" s="9">
        <v>1220</v>
      </c>
      <c r="J1232" s="9">
        <v>1154</v>
      </c>
      <c r="K1232" s="9">
        <v>1054</v>
      </c>
      <c r="L1232" s="9">
        <v>1057</v>
      </c>
      <c r="M1232" s="9">
        <v>1029</v>
      </c>
      <c r="N1232" s="9">
        <v>1033</v>
      </c>
      <c r="O1232" s="9">
        <v>1035</v>
      </c>
      <c r="P1232" s="9">
        <v>1056</v>
      </c>
      <c r="Q1232" s="9">
        <v>973</v>
      </c>
      <c r="R1232" s="7">
        <f t="shared" si="11"/>
        <v>0.18376016268416118</v>
      </c>
      <c r="S1232" s="9"/>
      <c r="T1232" s="9"/>
      <c r="U1232" s="9"/>
      <c r="V1232" s="9"/>
      <c r="W1232" s="9"/>
      <c r="X1232" s="9"/>
      <c r="Y1232" s="9"/>
      <c r="Z1232" s="9"/>
      <c r="AA1232" s="9"/>
      <c r="AB1232" s="9"/>
    </row>
    <row r="1233" spans="1:28" ht="14.4" hidden="1">
      <c r="A1233" s="3">
        <f>LOOKUP(D1233,'AMFI DATA_2023H2'!F:L,'AMFI DATA_2023H2'!L:L)</f>
        <v>2427</v>
      </c>
      <c r="B1233" s="4" t="s">
        <v>5230</v>
      </c>
      <c r="C1233" s="4" t="s">
        <v>5231</v>
      </c>
      <c r="D1233" s="5" t="s">
        <v>5232</v>
      </c>
      <c r="E1233" s="5">
        <v>78.459999999999994</v>
      </c>
      <c r="F1233" s="6">
        <f>LOOKUP(D1233,'AMFI DATA_2023H2'!F:J,'AMFI DATA_2023H2'!J:J)</f>
        <v>93.153899999999993</v>
      </c>
      <c r="G1233" s="7">
        <f t="shared" si="10"/>
        <v>1.7670757746052645E-2</v>
      </c>
      <c r="H1233" s="9">
        <v>94.8</v>
      </c>
      <c r="I1233" s="9">
        <v>92.9</v>
      </c>
      <c r="J1233" s="9">
        <v>93</v>
      </c>
      <c r="K1233" s="9">
        <v>95.4</v>
      </c>
      <c r="L1233" s="9">
        <v>97.6</v>
      </c>
      <c r="M1233" s="9">
        <v>96.8</v>
      </c>
      <c r="N1233" s="9">
        <v>93.8</v>
      </c>
      <c r="O1233" s="9">
        <v>97</v>
      </c>
      <c r="P1233" s="9">
        <v>93.6</v>
      </c>
      <c r="Q1233" s="9">
        <v>94.3</v>
      </c>
      <c r="R1233" s="7">
        <f t="shared" si="11"/>
        <v>1.8958948578642332E-2</v>
      </c>
      <c r="S1233" s="9"/>
      <c r="T1233" s="9"/>
      <c r="U1233" s="9"/>
      <c r="V1233" s="9"/>
      <c r="W1233" s="9"/>
      <c r="X1233" s="9"/>
      <c r="Y1233" s="9"/>
      <c r="Z1233" s="9"/>
      <c r="AA1233" s="9"/>
      <c r="AB1233" s="9"/>
    </row>
    <row r="1234" spans="1:28" ht="14.4" hidden="1">
      <c r="A1234" s="3">
        <f>LOOKUP(D1234,'AMFI DATA_2023H2'!F:L,'AMFI DATA_2023H2'!L:L)</f>
        <v>964</v>
      </c>
      <c r="B1234" s="4" t="s">
        <v>2768</v>
      </c>
      <c r="C1234" s="4" t="s">
        <v>2769</v>
      </c>
      <c r="D1234" s="5" t="s">
        <v>2770</v>
      </c>
      <c r="E1234" s="5">
        <v>1859.58</v>
      </c>
      <c r="F1234" s="6">
        <f>LOOKUP(D1234,'AMFI DATA_2023H2'!F:J,'AMFI DATA_2023H2'!J:J)</f>
        <v>1888.0587</v>
      </c>
      <c r="G1234" s="7">
        <f t="shared" si="10"/>
        <v>6.4585544930356287E-2</v>
      </c>
      <c r="H1234" s="8">
        <v>2010</v>
      </c>
      <c r="I1234" s="8">
        <v>2025</v>
      </c>
      <c r="J1234" s="8">
        <v>2045</v>
      </c>
      <c r="K1234" s="8">
        <v>2039</v>
      </c>
      <c r="L1234" s="8">
        <v>2047</v>
      </c>
      <c r="M1234" s="8">
        <v>2003</v>
      </c>
      <c r="N1234" s="8">
        <v>1999</v>
      </c>
      <c r="O1234" s="8">
        <v>2010</v>
      </c>
      <c r="P1234" s="8">
        <v>2002</v>
      </c>
      <c r="Q1234" s="8">
        <v>2001</v>
      </c>
      <c r="R1234" s="7">
        <f t="shared" si="11"/>
        <v>6.887566578306048E-2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</row>
    <row r="1235" spans="1:28" ht="14.4" hidden="1">
      <c r="A1235" s="3">
        <f>LOOKUP(D1235,'AMFI DATA_2023H2'!F:L,'AMFI DATA_2023H2'!L:L)</f>
        <v>2102</v>
      </c>
      <c r="B1235" s="4" t="s">
        <v>4880</v>
      </c>
      <c r="C1235" s="4" t="s">
        <v>4881</v>
      </c>
      <c r="D1235" s="5" t="s">
        <v>4882</v>
      </c>
      <c r="E1235" s="5">
        <v>146.66999999999999</v>
      </c>
      <c r="F1235" s="6">
        <f>LOOKUP(D1235,'AMFI DATA_2023H2'!F:J,'AMFI DATA_2023H2'!J:J)</f>
        <v>160.31290000000001</v>
      </c>
      <c r="G1235" s="7">
        <f t="shared" si="10"/>
        <v>0.16023102320524418</v>
      </c>
      <c r="H1235" s="9">
        <v>186</v>
      </c>
      <c r="I1235" s="9">
        <v>174</v>
      </c>
      <c r="J1235" s="9">
        <v>158</v>
      </c>
      <c r="K1235" s="9">
        <v>156</v>
      </c>
      <c r="L1235" s="9">
        <v>157</v>
      </c>
      <c r="M1235" s="9">
        <v>157</v>
      </c>
      <c r="N1235" s="9">
        <v>152</v>
      </c>
      <c r="O1235" s="9">
        <v>155</v>
      </c>
      <c r="P1235" s="9">
        <v>154</v>
      </c>
      <c r="Q1235" s="9">
        <v>147</v>
      </c>
      <c r="R1235" s="7">
        <f t="shared" si="11"/>
        <v>-4.4469284755002114E-3</v>
      </c>
      <c r="S1235" s="9"/>
      <c r="T1235" s="9"/>
      <c r="U1235" s="9"/>
      <c r="V1235" s="9"/>
      <c r="W1235" s="9"/>
      <c r="X1235" s="9"/>
      <c r="Y1235" s="9"/>
      <c r="Z1235" s="9"/>
      <c r="AA1235" s="9"/>
      <c r="AB1235" s="9"/>
    </row>
    <row r="1236" spans="1:28" ht="14.4" hidden="1">
      <c r="A1236" s="3">
        <f>LOOKUP(D1236,'AMFI DATA_2023H2'!F:L,'AMFI DATA_2023H2'!L:L)</f>
        <v>1846</v>
      </c>
      <c r="B1236" s="4" t="s">
        <v>4532</v>
      </c>
      <c r="C1236" s="4" t="s">
        <v>4533</v>
      </c>
      <c r="D1236" s="5" t="s">
        <v>4534</v>
      </c>
      <c r="E1236" s="5">
        <v>207.68</v>
      </c>
      <c r="F1236" s="6">
        <f>LOOKUP(D1236,'AMFI DATA_2023H2'!F:J,'AMFI DATA_2023H2'!J:J)</f>
        <v>251.2542</v>
      </c>
      <c r="G1236" s="7">
        <f t="shared" si="10"/>
        <v>4.2768638295399564E-2</v>
      </c>
      <c r="H1236" s="9">
        <v>262</v>
      </c>
      <c r="I1236" s="9">
        <v>269</v>
      </c>
      <c r="J1236" s="9">
        <v>268</v>
      </c>
      <c r="K1236" s="9">
        <v>267</v>
      </c>
      <c r="L1236" s="9">
        <v>267</v>
      </c>
      <c r="M1236" s="9">
        <v>265</v>
      </c>
      <c r="N1236" s="9">
        <v>262</v>
      </c>
      <c r="O1236" s="9">
        <v>264</v>
      </c>
      <c r="P1236" s="9">
        <v>263</v>
      </c>
      <c r="Q1236" s="9">
        <v>269</v>
      </c>
      <c r="R1236" s="7">
        <f t="shared" si="11"/>
        <v>5.7096756989535091E-2</v>
      </c>
      <c r="S1236" s="9"/>
      <c r="T1236" s="9"/>
      <c r="U1236" s="9"/>
      <c r="V1236" s="9"/>
      <c r="W1236" s="9"/>
      <c r="X1236" s="9"/>
      <c r="Y1236" s="9"/>
      <c r="Z1236" s="9"/>
      <c r="AA1236" s="9"/>
      <c r="AB1236" s="9"/>
    </row>
    <row r="1237" spans="1:28" ht="14.4" hidden="1">
      <c r="A1237" s="3">
        <f>LOOKUP(D1237,'AMFI DATA_2023H2'!F:L,'AMFI DATA_2023H2'!L:L)</f>
        <v>597</v>
      </c>
      <c r="B1237" s="4" t="s">
        <v>1761</v>
      </c>
      <c r="C1237" s="4" t="s">
        <v>1762</v>
      </c>
      <c r="D1237" s="5" t="s">
        <v>1763</v>
      </c>
      <c r="E1237" s="5">
        <v>4540.78</v>
      </c>
      <c r="F1237" s="6">
        <f>LOOKUP(D1237,'AMFI DATA_2023H2'!F:J,'AMFI DATA_2023H2'!J:J)</f>
        <v>5419.0722999999998</v>
      </c>
      <c r="G1237" s="7">
        <f t="shared" si="10"/>
        <v>0.17935315238366534</v>
      </c>
      <c r="H1237" s="8">
        <v>6391</v>
      </c>
      <c r="I1237" s="8">
        <v>6587</v>
      </c>
      <c r="J1237" s="8">
        <v>6500</v>
      </c>
      <c r="K1237" s="8">
        <v>6267</v>
      </c>
      <c r="L1237" s="8">
        <v>5774</v>
      </c>
      <c r="M1237" s="8">
        <v>5529</v>
      </c>
      <c r="N1237" s="8">
        <v>5622</v>
      </c>
      <c r="O1237" s="8">
        <v>5606</v>
      </c>
      <c r="P1237" s="8">
        <v>5630</v>
      </c>
      <c r="Q1237" s="8">
        <v>5622</v>
      </c>
      <c r="R1237" s="7">
        <f t="shared" si="11"/>
        <v>9.8490603271707666E-2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</row>
    <row r="1238" spans="1:28" ht="14.4" hidden="1">
      <c r="A1238" s="3">
        <f>LOOKUP(D1238,'AMFI DATA_2023H2'!F:L,'AMFI DATA_2023H2'!L:L)</f>
        <v>875</v>
      </c>
      <c r="B1238" s="4" t="s">
        <v>2537</v>
      </c>
      <c r="C1238" s="4" t="s">
        <v>2538</v>
      </c>
      <c r="D1238" s="5" t="s">
        <v>2539</v>
      </c>
      <c r="E1238" s="5">
        <v>1094.23</v>
      </c>
      <c r="F1238" s="6">
        <f>LOOKUP(D1238,'AMFI DATA_2023H2'!F:J,'AMFI DATA_2023H2'!J:J)</f>
        <v>2322.2202500000003</v>
      </c>
      <c r="G1238" s="7">
        <f t="shared" si="10"/>
        <v>0.17344597266344564</v>
      </c>
      <c r="H1238" s="8">
        <v>2725</v>
      </c>
      <c r="I1238" s="8">
        <v>2721</v>
      </c>
      <c r="J1238" s="8">
        <v>2723</v>
      </c>
      <c r="K1238" s="8">
        <v>2732</v>
      </c>
      <c r="L1238" s="8">
        <v>2744</v>
      </c>
      <c r="M1238" s="8">
        <v>2752</v>
      </c>
      <c r="N1238" s="8">
        <v>2714</v>
      </c>
      <c r="O1238" s="8">
        <v>2764</v>
      </c>
      <c r="P1238" s="8">
        <v>2777</v>
      </c>
      <c r="Q1238" s="8">
        <v>2786</v>
      </c>
      <c r="R1238" s="7">
        <f t="shared" si="11"/>
        <v>0.18154167331888527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</row>
    <row r="1239" spans="1:28" ht="14.4" hidden="1">
      <c r="A1239" s="3">
        <f>LOOKUP(D1239,'AMFI DATA_2023H2'!F:L,'AMFI DATA_2023H2'!L:L)</f>
        <v>1089</v>
      </c>
      <c r="B1239" s="4" t="s">
        <v>3086</v>
      </c>
      <c r="C1239" s="4" t="s">
        <v>3087</v>
      </c>
      <c r="D1239" s="5" t="s">
        <v>3088</v>
      </c>
      <c r="E1239" s="5">
        <v>708.91</v>
      </c>
      <c r="F1239" s="6">
        <f>LOOKUP(D1239,'AMFI DATA_2023H2'!F:J,'AMFI DATA_2023H2'!J:J)</f>
        <v>1361.9275</v>
      </c>
      <c r="G1239" s="7">
        <f t="shared" si="10"/>
        <v>0.74018073649294847</v>
      </c>
      <c r="H1239" s="8">
        <v>2370</v>
      </c>
      <c r="I1239" s="8">
        <v>2299</v>
      </c>
      <c r="J1239" s="8">
        <v>2189</v>
      </c>
      <c r="K1239" s="8">
        <v>2086</v>
      </c>
      <c r="L1239" s="8">
        <v>2146</v>
      </c>
      <c r="M1239" s="8">
        <v>2159</v>
      </c>
      <c r="N1239" s="8">
        <v>2159</v>
      </c>
      <c r="O1239" s="8">
        <v>2215</v>
      </c>
      <c r="P1239" s="8">
        <v>2267</v>
      </c>
      <c r="Q1239" s="8">
        <v>2256</v>
      </c>
      <c r="R1239" s="7">
        <f t="shared" si="11"/>
        <v>0.62607774642923353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</row>
    <row r="1240" spans="1:28" ht="14.4" hidden="1">
      <c r="A1240" s="3">
        <f>LOOKUP(D1240,'AMFI DATA_2023H2'!F:L,'AMFI DATA_2023H2'!L:L)</f>
        <v>814</v>
      </c>
      <c r="B1240" s="4" t="s">
        <v>2363</v>
      </c>
      <c r="C1240" s="4" t="s">
        <v>2364</v>
      </c>
      <c r="D1240" s="5" t="s">
        <v>2365</v>
      </c>
      <c r="E1240" s="5">
        <v>2061.36</v>
      </c>
      <c r="F1240" s="6">
        <f>LOOKUP(D1240,'AMFI DATA_2023H2'!F:J,'AMFI DATA_2023H2'!J:J)</f>
        <v>2757.8256000000001</v>
      </c>
      <c r="G1240" s="7">
        <f t="shared" si="10"/>
        <v>0.10159250099063555</v>
      </c>
      <c r="H1240" s="8">
        <v>3038</v>
      </c>
      <c r="I1240" s="8">
        <v>3075</v>
      </c>
      <c r="J1240" s="8">
        <v>2905</v>
      </c>
      <c r="K1240" s="8">
        <v>2937</v>
      </c>
      <c r="L1240" s="8">
        <v>2948</v>
      </c>
      <c r="M1240" s="8">
        <v>2801</v>
      </c>
      <c r="N1240" s="8">
        <v>2817</v>
      </c>
      <c r="O1240" s="8">
        <v>2871</v>
      </c>
      <c r="P1240" s="8">
        <v>2890</v>
      </c>
      <c r="Q1240" s="8">
        <v>2792</v>
      </c>
      <c r="R1240" s="7">
        <f t="shared" si="11"/>
        <v>5.4236352001373778E-2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</row>
    <row r="1241" spans="1:28" ht="14.4" hidden="1">
      <c r="A1241" s="3">
        <f>LOOKUP(D1241,'AMFI DATA_2023H2'!F:L,'AMFI DATA_2023H2'!L:L)</f>
        <v>2752</v>
      </c>
      <c r="B1241" s="4" t="s">
        <v>5449</v>
      </c>
      <c r="C1241" s="4" t="s">
        <v>5450</v>
      </c>
      <c r="D1241" s="5" t="s">
        <v>5451</v>
      </c>
      <c r="E1241" s="5">
        <v>30.62</v>
      </c>
      <c r="F1241" s="6">
        <f>LOOKUP(D1241,'AMFI DATA_2023H2'!F:J,'AMFI DATA_2023H2'!J:J)</f>
        <v>54.934250000000006</v>
      </c>
      <c r="G1241" s="7">
        <f t="shared" si="10"/>
        <v>0.36344812207320576</v>
      </c>
      <c r="H1241" s="9">
        <v>74.900000000000006</v>
      </c>
      <c r="I1241" s="9">
        <v>74.2</v>
      </c>
      <c r="J1241" s="9">
        <v>72.900000000000006</v>
      </c>
      <c r="K1241" s="9">
        <v>71.5</v>
      </c>
      <c r="L1241" s="9">
        <v>72.2</v>
      </c>
      <c r="M1241" s="9">
        <v>72.900000000000006</v>
      </c>
      <c r="N1241" s="9">
        <v>74.2</v>
      </c>
      <c r="O1241" s="9">
        <v>75.2</v>
      </c>
      <c r="P1241" s="9">
        <v>73.2</v>
      </c>
      <c r="Q1241" s="9">
        <v>75.2</v>
      </c>
      <c r="R1241" s="7">
        <f t="shared" si="11"/>
        <v>0.34051161160842303</v>
      </c>
      <c r="S1241" s="9"/>
      <c r="T1241" s="9"/>
      <c r="U1241" s="9"/>
      <c r="V1241" s="9"/>
      <c r="W1241" s="9"/>
      <c r="X1241" s="9"/>
      <c r="Y1241" s="9"/>
      <c r="Z1241" s="9"/>
      <c r="AA1241" s="9"/>
      <c r="AB1241" s="9"/>
    </row>
    <row r="1242" spans="1:28" ht="14.4" hidden="1">
      <c r="A1242" s="3">
        <f>LOOKUP(D1242,'AMFI DATA_2023H2'!F:L,'AMFI DATA_2023H2'!L:L)</f>
        <v>1586</v>
      </c>
      <c r="B1242" s="4" t="s">
        <v>4121</v>
      </c>
      <c r="C1242" s="4" t="s">
        <v>4122</v>
      </c>
      <c r="D1242" s="5" t="s">
        <v>4123</v>
      </c>
      <c r="E1242" s="5">
        <v>335.78</v>
      </c>
      <c r="F1242" s="6">
        <f>LOOKUP(D1242,'AMFI DATA_2023H2'!F:J,'AMFI DATA_2023H2'!J:J)</f>
        <v>423.17464999999999</v>
      </c>
      <c r="G1242" s="7">
        <f t="shared" si="10"/>
        <v>0.12010490231397375</v>
      </c>
      <c r="H1242" s="9">
        <v>474</v>
      </c>
      <c r="I1242" s="9">
        <v>472</v>
      </c>
      <c r="J1242" s="9">
        <v>474</v>
      </c>
      <c r="K1242" s="9">
        <v>465</v>
      </c>
      <c r="L1242" s="9">
        <v>462</v>
      </c>
      <c r="M1242" s="9">
        <v>471</v>
      </c>
      <c r="N1242" s="9">
        <v>481</v>
      </c>
      <c r="O1242" s="9">
        <v>490</v>
      </c>
      <c r="P1242" s="9">
        <v>484</v>
      </c>
      <c r="Q1242" s="9">
        <v>500</v>
      </c>
      <c r="R1242" s="7">
        <f t="shared" si="11"/>
        <v>0.12790310100096969</v>
      </c>
      <c r="S1242" s="9"/>
      <c r="T1242" s="9"/>
      <c r="U1242" s="9"/>
      <c r="V1242" s="9"/>
      <c r="W1242" s="9"/>
      <c r="X1242" s="9"/>
      <c r="Y1242" s="9"/>
      <c r="Z1242" s="9"/>
      <c r="AA1242" s="9"/>
      <c r="AB1242" s="9"/>
    </row>
    <row r="1243" spans="1:28" ht="14.4" hidden="1">
      <c r="A1243" s="3">
        <f>LOOKUP(D1243,'AMFI DATA_2023H2'!F:L,'AMFI DATA_2023H2'!L:L)</f>
        <v>1725</v>
      </c>
      <c r="B1243" s="4" t="s">
        <v>4370</v>
      </c>
      <c r="C1243" s="4" t="s">
        <v>4371</v>
      </c>
      <c r="D1243" s="5" t="s">
        <v>4372</v>
      </c>
      <c r="E1243" s="5">
        <v>270.97000000000003</v>
      </c>
      <c r="F1243" s="6">
        <f>LOOKUP(D1243,'AMFI DATA_2023H2'!F:J,'AMFI DATA_2023H2'!J:J)</f>
        <v>317.45820000000003</v>
      </c>
      <c r="G1243" s="7">
        <f t="shared" si="10"/>
        <v>7.1007143617647817E-2</v>
      </c>
      <c r="H1243" s="9">
        <v>340</v>
      </c>
      <c r="I1243" s="9">
        <v>341</v>
      </c>
      <c r="J1243" s="9">
        <v>334</v>
      </c>
      <c r="K1243" s="9">
        <v>334</v>
      </c>
      <c r="L1243" s="9">
        <v>332</v>
      </c>
      <c r="M1243" s="9">
        <v>334</v>
      </c>
      <c r="N1243" s="9">
        <v>319</v>
      </c>
      <c r="O1243" s="9">
        <v>323</v>
      </c>
      <c r="P1243" s="9">
        <v>324</v>
      </c>
      <c r="Q1243" s="9">
        <v>318</v>
      </c>
      <c r="R1243" s="7">
        <f t="shared" si="11"/>
        <v>3.919193141018229E-2</v>
      </c>
      <c r="S1243" s="9"/>
      <c r="T1243" s="9"/>
      <c r="U1243" s="9"/>
      <c r="V1243" s="9"/>
      <c r="W1243" s="9"/>
      <c r="X1243" s="9"/>
      <c r="Y1243" s="9"/>
      <c r="Z1243" s="9"/>
      <c r="AA1243" s="9"/>
      <c r="AB1243" s="9"/>
    </row>
    <row r="1244" spans="1:28" ht="14.4" hidden="1">
      <c r="A1244" s="3">
        <f>LOOKUP(D1244,'AMFI DATA_2023H2'!F:L,'AMFI DATA_2023H2'!L:L)</f>
        <v>133</v>
      </c>
      <c r="B1244" s="4" t="s">
        <v>408</v>
      </c>
      <c r="C1244" s="4" t="s">
        <v>409</v>
      </c>
      <c r="D1244" s="5" t="s">
        <v>410</v>
      </c>
      <c r="E1244" s="5">
        <v>36715.5</v>
      </c>
      <c r="F1244" s="6">
        <f>LOOKUP(D1244,'AMFI DATA_2023H2'!F:J,'AMFI DATA_2023H2'!J:J)</f>
        <v>48707.102650000001</v>
      </c>
      <c r="G1244" s="7">
        <f t="shared" si="10"/>
        <v>0.17968421182613703</v>
      </c>
      <c r="H1244" s="8">
        <v>57459</v>
      </c>
      <c r="I1244" s="8">
        <v>57984</v>
      </c>
      <c r="J1244" s="8">
        <v>57762</v>
      </c>
      <c r="K1244" s="8">
        <v>56580</v>
      </c>
      <c r="L1244" s="8">
        <v>56757</v>
      </c>
      <c r="M1244" s="8">
        <v>56996</v>
      </c>
      <c r="N1244" s="8">
        <v>56314</v>
      </c>
      <c r="O1244" s="8">
        <v>57597</v>
      </c>
      <c r="P1244" s="8">
        <v>58513</v>
      </c>
      <c r="Q1244" s="8">
        <v>58703</v>
      </c>
      <c r="R1244" s="7">
        <f t="shared" si="11"/>
        <v>0.17983819347546426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</row>
    <row r="1245" spans="1:28" ht="14.4">
      <c r="A1245" s="3">
        <f>LOOKUP(D1245,'AMFI DATA_2023H2'!F:L,'AMFI DATA_2023H2'!L:L)</f>
        <v>694</v>
      </c>
      <c r="B1245" s="4" t="s">
        <v>2034</v>
      </c>
      <c r="C1245" s="4" t="s">
        <v>2035</v>
      </c>
      <c r="D1245" s="5" t="s">
        <v>2036</v>
      </c>
      <c r="E1245" s="5">
        <v>1463.67</v>
      </c>
      <c r="F1245" s="6">
        <f>LOOKUP(D1245,'AMFI DATA_2023H2'!F:J,'AMFI DATA_2023H2'!J:J)</f>
        <v>3949.2882500000001</v>
      </c>
      <c r="G1245" s="7">
        <f t="shared" si="10"/>
        <v>0.2554160866834676</v>
      </c>
      <c r="H1245" s="8">
        <v>4958</v>
      </c>
      <c r="I1245" s="8">
        <v>4959</v>
      </c>
      <c r="J1245" s="8">
        <v>4850</v>
      </c>
      <c r="K1245" s="8">
        <v>4901</v>
      </c>
      <c r="L1245" s="8">
        <v>5022</v>
      </c>
      <c r="M1245" s="8">
        <v>4653</v>
      </c>
      <c r="N1245" s="8">
        <v>4615</v>
      </c>
      <c r="O1245" s="8">
        <v>4702</v>
      </c>
      <c r="P1245" s="8">
        <v>4742</v>
      </c>
      <c r="Q1245" s="8">
        <v>4793</v>
      </c>
      <c r="R1245" s="14">
        <f t="shared" si="11"/>
        <v>0.22034647635558136</v>
      </c>
      <c r="S1245" s="8"/>
      <c r="T1245" s="8">
        <v>64.05</v>
      </c>
      <c r="U1245" s="15">
        <f ca="1">IFERROR(__xludf.DUMMYFUNCTION("GOOGLEFINANCE(C1245,""PRICE"")"),62.6)</f>
        <v>62.6</v>
      </c>
      <c r="V1245" s="13" t="s">
        <v>5787</v>
      </c>
      <c r="W1245" s="7">
        <f ca="1">U1245/T1245-1</f>
        <v>-2.2638563622170094E-2</v>
      </c>
      <c r="X1245" s="8"/>
      <c r="Y1245" s="8"/>
      <c r="Z1245" s="8"/>
      <c r="AA1245" s="8"/>
      <c r="AB1245" s="8"/>
    </row>
    <row r="1246" spans="1:28" ht="14.4" hidden="1">
      <c r="A1246" s="3">
        <f>LOOKUP(D1246,'AMFI DATA_2023H2'!F:L,'AMFI DATA_2023H2'!L:L)</f>
        <v>2349</v>
      </c>
      <c r="B1246" s="4" t="s">
        <v>5168</v>
      </c>
      <c r="C1246" s="4" t="s">
        <v>5169</v>
      </c>
      <c r="D1246" s="5" t="s">
        <v>5170</v>
      </c>
      <c r="E1246" s="5">
        <v>84.32</v>
      </c>
      <c r="F1246" s="6">
        <f>LOOKUP(D1246,'AMFI DATA_2023H2'!F:J,'AMFI DATA_2023H2'!J:J)</f>
        <v>104.7303</v>
      </c>
      <c r="G1246" s="7">
        <f t="shared" si="10"/>
        <v>0.32721857953237987</v>
      </c>
      <c r="H1246" s="9">
        <v>139</v>
      </c>
      <c r="I1246" s="9">
        <v>141</v>
      </c>
      <c r="J1246" s="9">
        <v>136</v>
      </c>
      <c r="K1246" s="9">
        <v>137</v>
      </c>
      <c r="L1246" s="9">
        <v>135</v>
      </c>
      <c r="M1246" s="9">
        <v>125</v>
      </c>
      <c r="N1246" s="9">
        <v>124</v>
      </c>
      <c r="O1246" s="9">
        <v>127</v>
      </c>
      <c r="P1246" s="9">
        <v>129</v>
      </c>
      <c r="Q1246" s="9">
        <v>129</v>
      </c>
      <c r="R1246" s="7">
        <f t="shared" si="11"/>
        <v>0.26228990082144321</v>
      </c>
      <c r="S1246" s="9"/>
      <c r="T1246" s="9"/>
      <c r="U1246" s="9"/>
      <c r="V1246" s="9"/>
      <c r="W1246" s="9"/>
      <c r="X1246" s="9"/>
      <c r="Y1246" s="9"/>
      <c r="Z1246" s="9"/>
      <c r="AA1246" s="9"/>
      <c r="AB1246" s="9"/>
    </row>
    <row r="1247" spans="1:28" ht="14.4" hidden="1">
      <c r="A1247" s="3">
        <f>LOOKUP(D1247,'AMFI DATA_2023H2'!F:L,'AMFI DATA_2023H2'!L:L)</f>
        <v>1543</v>
      </c>
      <c r="B1247" s="4" t="s">
        <v>4046</v>
      </c>
      <c r="C1247" s="4" t="s">
        <v>4047</v>
      </c>
      <c r="D1247" s="5" t="s">
        <v>4048</v>
      </c>
      <c r="E1247" s="5">
        <v>408.8</v>
      </c>
      <c r="F1247" s="6">
        <f>LOOKUP(D1247,'AMFI DATA_2023H2'!F:J,'AMFI DATA_2023H2'!J:J)</f>
        <v>462.16395</v>
      </c>
      <c r="G1247" s="7">
        <f t="shared" si="10"/>
        <v>6.4557285352957461E-2</v>
      </c>
      <c r="H1247" s="9">
        <v>492</v>
      </c>
      <c r="I1247" s="9">
        <v>493</v>
      </c>
      <c r="J1247" s="9">
        <v>509</v>
      </c>
      <c r="K1247" s="9">
        <v>499</v>
      </c>
      <c r="L1247" s="9">
        <v>498</v>
      </c>
      <c r="M1247" s="9">
        <v>506</v>
      </c>
      <c r="N1247" s="9">
        <v>504</v>
      </c>
      <c r="O1247" s="9">
        <v>493</v>
      </c>
      <c r="P1247" s="9">
        <v>477</v>
      </c>
      <c r="Q1247" s="9">
        <v>482</v>
      </c>
      <c r="R1247" s="7">
        <f t="shared" si="11"/>
        <v>7.169760860837382E-2</v>
      </c>
      <c r="S1247" s="9"/>
      <c r="T1247" s="9"/>
      <c r="U1247" s="9"/>
      <c r="V1247" s="9"/>
      <c r="W1247" s="9"/>
      <c r="X1247" s="9"/>
      <c r="Y1247" s="9"/>
      <c r="Z1247" s="9"/>
      <c r="AA1247" s="9"/>
      <c r="AB1247" s="9"/>
    </row>
    <row r="1248" spans="1:28" ht="14.4" hidden="1">
      <c r="A1248" s="3">
        <f>LOOKUP(D1248,'AMFI DATA_2023H2'!F:L,'AMFI DATA_2023H2'!L:L)</f>
        <v>183</v>
      </c>
      <c r="B1248" s="4" t="s">
        <v>558</v>
      </c>
      <c r="C1248" s="4" t="s">
        <v>559</v>
      </c>
      <c r="D1248" s="5" t="s">
        <v>560</v>
      </c>
      <c r="E1248" s="5">
        <v>25303.68</v>
      </c>
      <c r="F1248" s="6">
        <f>LOOKUP(D1248,'AMFI DATA_2023H2'!F:J,'AMFI DATA_2023H2'!J:J)</f>
        <v>34041.97395</v>
      </c>
      <c r="G1248" s="7">
        <f t="shared" si="10"/>
        <v>5.6372349406606626E-2</v>
      </c>
      <c r="H1248" s="8">
        <v>35961</v>
      </c>
      <c r="I1248" s="8">
        <v>35350</v>
      </c>
      <c r="J1248" s="8">
        <v>35492</v>
      </c>
      <c r="K1248" s="8">
        <v>35658</v>
      </c>
      <c r="L1248" s="8">
        <v>36139</v>
      </c>
      <c r="M1248" s="8">
        <v>35812</v>
      </c>
      <c r="N1248" s="8">
        <v>35235</v>
      </c>
      <c r="O1248" s="8">
        <v>35250</v>
      </c>
      <c r="P1248" s="8">
        <v>35592</v>
      </c>
      <c r="Q1248" s="8">
        <v>34876</v>
      </c>
      <c r="R1248" s="7">
        <f t="shared" si="11"/>
        <v>4.3902449728535853E-2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</row>
    <row r="1249" spans="1:28" ht="14.4" hidden="1">
      <c r="A1249" s="3">
        <f>LOOKUP(D1249,'AMFI DATA_2023H2'!F:L,'AMFI DATA_2023H2'!L:L)</f>
        <v>1072</v>
      </c>
      <c r="B1249" s="4" t="s">
        <v>3044</v>
      </c>
      <c r="C1249" s="4" t="s">
        <v>3045</v>
      </c>
      <c r="D1249" s="5" t="s">
        <v>3046</v>
      </c>
      <c r="E1249" s="5">
        <v>1653.27</v>
      </c>
      <c r="F1249" s="6">
        <f>LOOKUP(D1249,'AMFI DATA_2023H2'!F:J,'AMFI DATA_2023H2'!J:J)</f>
        <v>1403.16625</v>
      </c>
      <c r="G1249" s="7">
        <f t="shared" si="10"/>
        <v>0.88003381637778144</v>
      </c>
      <c r="H1249" s="8">
        <v>2638</v>
      </c>
      <c r="I1249" s="8">
        <v>2751</v>
      </c>
      <c r="J1249" s="8">
        <v>2659</v>
      </c>
      <c r="K1249" s="8">
        <v>2562</v>
      </c>
      <c r="L1249" s="8">
        <v>2343</v>
      </c>
      <c r="M1249" s="8">
        <v>2168</v>
      </c>
      <c r="N1249" s="8">
        <v>2157</v>
      </c>
      <c r="O1249" s="8">
        <v>2182</v>
      </c>
      <c r="P1249" s="8">
        <v>2158</v>
      </c>
      <c r="Q1249" s="8">
        <v>2404</v>
      </c>
      <c r="R1249" s="7">
        <f t="shared" si="11"/>
        <v>0.71198530466364907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</row>
    <row r="1250" spans="1:28" ht="14.4" hidden="1">
      <c r="A1250" s="3">
        <f>LOOKUP(D1250,'AMFI DATA_2023H2'!F:L,'AMFI DATA_2023H2'!L:L)</f>
        <v>500</v>
      </c>
      <c r="B1250" s="4" t="s">
        <v>1485</v>
      </c>
      <c r="C1250" s="4" t="s">
        <v>1486</v>
      </c>
      <c r="D1250" s="5" t="s">
        <v>1487</v>
      </c>
      <c r="E1250" s="5">
        <v>4783.72</v>
      </c>
      <c r="F1250" s="6">
        <f>LOOKUP(D1250,'AMFI DATA_2023H2'!F:J,'AMFI DATA_2023H2'!J:J)</f>
        <v>7314.6465499999995</v>
      </c>
      <c r="G1250" s="7">
        <f t="shared" si="10"/>
        <v>0.35714007944785808</v>
      </c>
      <c r="H1250" s="8">
        <v>9927</v>
      </c>
      <c r="I1250" s="8">
        <v>9633</v>
      </c>
      <c r="J1250" s="8">
        <v>9642</v>
      </c>
      <c r="K1250" s="8">
        <v>9693</v>
      </c>
      <c r="L1250" s="8">
        <v>9669</v>
      </c>
      <c r="M1250" s="8">
        <v>9489</v>
      </c>
      <c r="N1250" s="8">
        <v>9548</v>
      </c>
      <c r="O1250" s="8">
        <v>9590</v>
      </c>
      <c r="P1250" s="8">
        <v>9654</v>
      </c>
      <c r="Q1250" s="8">
        <v>9429</v>
      </c>
      <c r="R1250" s="7">
        <f t="shared" si="11"/>
        <v>0.31618116257442419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</row>
    <row r="1251" spans="1:28" ht="14.4" hidden="1">
      <c r="A1251" s="3">
        <f>LOOKUP(D1251,'AMFI DATA_2023H2'!F:L,'AMFI DATA_2023H2'!L:L)</f>
        <v>565</v>
      </c>
      <c r="B1251" s="4" t="s">
        <v>1674</v>
      </c>
      <c r="C1251" s="4" t="s">
        <v>1675</v>
      </c>
      <c r="D1251" s="5" t="s">
        <v>1676</v>
      </c>
      <c r="E1251" s="5">
        <v>4435.76</v>
      </c>
      <c r="F1251" s="6">
        <f>LOOKUP(D1251,'AMFI DATA_2023H2'!F:J,'AMFI DATA_2023H2'!J:J)</f>
        <v>6100.3637500000004</v>
      </c>
      <c r="G1251" s="7">
        <f t="shared" si="10"/>
        <v>0.22435321992069723</v>
      </c>
      <c r="H1251" s="8">
        <v>7469</v>
      </c>
      <c r="I1251" s="8">
        <v>7378</v>
      </c>
      <c r="J1251" s="8">
        <v>7419</v>
      </c>
      <c r="K1251" s="8">
        <v>6761</v>
      </c>
      <c r="L1251" s="8">
        <v>6962</v>
      </c>
      <c r="M1251" s="8">
        <v>7307</v>
      </c>
      <c r="N1251" s="8">
        <v>6993</v>
      </c>
      <c r="O1251" s="8">
        <v>7030</v>
      </c>
      <c r="P1251" s="8">
        <v>7117</v>
      </c>
      <c r="Q1251" s="8">
        <v>7382</v>
      </c>
      <c r="R1251" s="7">
        <f t="shared" si="11"/>
        <v>0.17727406009190849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</row>
    <row r="1252" spans="1:28" ht="14.4" hidden="1">
      <c r="A1252" s="3">
        <f>LOOKUP(D1252,'AMFI DATA_2023H2'!F:L,'AMFI DATA_2023H2'!L:L)</f>
        <v>898</v>
      </c>
      <c r="B1252" s="4" t="s">
        <v>2603</v>
      </c>
      <c r="C1252" s="4" t="s">
        <v>2604</v>
      </c>
      <c r="D1252" s="5" t="s">
        <v>2605</v>
      </c>
      <c r="E1252" s="5">
        <v>961.77</v>
      </c>
      <c r="F1252" s="6">
        <f>LOOKUP(D1252,'AMFI DATA_2023H2'!F:J,'AMFI DATA_2023H2'!J:J)</f>
        <v>2167.2802499999998</v>
      </c>
      <c r="G1252" s="7">
        <f t="shared" si="10"/>
        <v>0.4049867339491513</v>
      </c>
      <c r="H1252" s="8">
        <v>3045</v>
      </c>
      <c r="I1252" s="8">
        <v>3001</v>
      </c>
      <c r="J1252" s="8">
        <v>2984</v>
      </c>
      <c r="K1252" s="8">
        <v>2940</v>
      </c>
      <c r="L1252" s="8">
        <v>2914</v>
      </c>
      <c r="M1252" s="8">
        <v>2789</v>
      </c>
      <c r="N1252" s="8">
        <v>2788</v>
      </c>
      <c r="O1252" s="8">
        <v>2817</v>
      </c>
      <c r="P1252" s="8">
        <v>2878</v>
      </c>
      <c r="Q1252" s="8">
        <v>2849</v>
      </c>
      <c r="R1252" s="7">
        <f t="shared" si="11"/>
        <v>0.3383133076582967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</row>
    <row r="1253" spans="1:28" ht="14.4" hidden="1">
      <c r="A1253" s="3">
        <f>LOOKUP(D1253,'AMFI DATA_2023H2'!F:L,'AMFI DATA_2023H2'!L:L)</f>
        <v>2893</v>
      </c>
      <c r="B1253" s="4" t="s">
        <v>5503</v>
      </c>
      <c r="C1253" s="4" t="s">
        <v>5504</v>
      </c>
      <c r="D1253" s="5" t="s">
        <v>5505</v>
      </c>
      <c r="E1253" s="5">
        <v>38.39</v>
      </c>
      <c r="F1253" s="6">
        <f>LOOKUP(D1253,'AMFI DATA_2023H2'!F:J,'AMFI DATA_2023H2'!J:J)</f>
        <v>44.8489</v>
      </c>
      <c r="G1253" s="7">
        <f t="shared" si="10"/>
        <v>0.18174581762317477</v>
      </c>
      <c r="H1253" s="9">
        <v>53</v>
      </c>
      <c r="I1253" s="9">
        <v>53.7</v>
      </c>
      <c r="J1253" s="9">
        <v>54</v>
      </c>
      <c r="K1253" s="9">
        <v>52.7</v>
      </c>
      <c r="L1253" s="9">
        <v>53.2</v>
      </c>
      <c r="M1253" s="9">
        <v>53.1</v>
      </c>
      <c r="N1253" s="9">
        <v>53.3</v>
      </c>
      <c r="O1253" s="9">
        <v>55.5</v>
      </c>
      <c r="P1253" s="9">
        <v>51.6</v>
      </c>
      <c r="Q1253" s="9">
        <v>51</v>
      </c>
      <c r="R1253" s="7">
        <f t="shared" si="11"/>
        <v>0.18419849762201523</v>
      </c>
      <c r="S1253" s="9"/>
      <c r="T1253" s="9"/>
      <c r="U1253" s="9"/>
      <c r="V1253" s="9"/>
      <c r="W1253" s="9"/>
      <c r="X1253" s="9"/>
      <c r="Y1253" s="9"/>
      <c r="Z1253" s="9"/>
      <c r="AA1253" s="9"/>
      <c r="AB1253" s="9"/>
    </row>
    <row r="1254" spans="1:28" ht="14.4" hidden="1">
      <c r="A1254" s="3">
        <f>LOOKUP(D1254,'AMFI DATA_2023H2'!F:L,'AMFI DATA_2023H2'!L:L)</f>
        <v>1181</v>
      </c>
      <c r="B1254" s="4" t="s">
        <v>3299</v>
      </c>
      <c r="C1254" s="4" t="s">
        <v>3300</v>
      </c>
      <c r="D1254" s="5" t="s">
        <v>3301</v>
      </c>
      <c r="E1254" s="5">
        <v>444.31</v>
      </c>
      <c r="F1254" s="6">
        <f>LOOKUP(D1254,'AMFI DATA_2023H2'!F:J,'AMFI DATA_2023H2'!J:J)</f>
        <v>1082.46785</v>
      </c>
      <c r="G1254" s="7">
        <f t="shared" si="10"/>
        <v>0.48457065029691182</v>
      </c>
      <c r="H1254" s="8">
        <v>1607</v>
      </c>
      <c r="I1254" s="8">
        <v>1568</v>
      </c>
      <c r="J1254" s="8">
        <v>1495</v>
      </c>
      <c r="K1254" s="8">
        <v>1495</v>
      </c>
      <c r="L1254" s="8">
        <v>1455</v>
      </c>
      <c r="M1254" s="8">
        <v>1463</v>
      </c>
      <c r="N1254" s="8">
        <v>1455</v>
      </c>
      <c r="O1254" s="8">
        <v>1467</v>
      </c>
      <c r="P1254" s="8">
        <v>1517</v>
      </c>
      <c r="Q1254" s="8">
        <v>1477</v>
      </c>
      <c r="R1254" s="7">
        <f t="shared" si="11"/>
        <v>0.38563006744264983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</row>
    <row r="1255" spans="1:28" ht="14.4" hidden="1">
      <c r="A1255" s="3">
        <f>LOOKUP(D1255,'AMFI DATA_2023H2'!F:L,'AMFI DATA_2023H2'!L:L)</f>
        <v>1059</v>
      </c>
      <c r="B1255" s="4" t="s">
        <v>3014</v>
      </c>
      <c r="C1255" s="4" t="s">
        <v>3015</v>
      </c>
      <c r="D1255" s="5" t="s">
        <v>3016</v>
      </c>
      <c r="E1255" s="5">
        <v>972.87</v>
      </c>
      <c r="F1255" s="6">
        <f>LOOKUP(D1255,'AMFI DATA_2023H2'!F:J,'AMFI DATA_2023H2'!J:J)</f>
        <v>1450.8692000000001</v>
      </c>
      <c r="G1255" s="7">
        <f t="shared" si="10"/>
        <v>0.26062363168230451</v>
      </c>
      <c r="H1255" s="8">
        <v>1829</v>
      </c>
      <c r="I1255" s="8">
        <v>1845</v>
      </c>
      <c r="J1255" s="8">
        <v>1769</v>
      </c>
      <c r="K1255" s="8">
        <v>1683</v>
      </c>
      <c r="L1255" s="8">
        <v>1715</v>
      </c>
      <c r="M1255" s="8">
        <v>1681</v>
      </c>
      <c r="N1255" s="8">
        <v>1688</v>
      </c>
      <c r="O1255" s="8">
        <v>1735</v>
      </c>
      <c r="P1255" s="8">
        <v>1597</v>
      </c>
      <c r="Q1255" s="8">
        <v>1585</v>
      </c>
      <c r="R1255" s="7">
        <f t="shared" si="11"/>
        <v>0.18046478621229256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</row>
    <row r="1256" spans="1:28" ht="14.4" hidden="1">
      <c r="A1256" s="3">
        <f>LOOKUP(D1256,'AMFI DATA_2023H2'!F:L,'AMFI DATA_2023H2'!L:L)</f>
        <v>149</v>
      </c>
      <c r="B1256" s="4" t="s">
        <v>456</v>
      </c>
      <c r="C1256" s="4" t="s">
        <v>457</v>
      </c>
      <c r="D1256" s="5" t="s">
        <v>458</v>
      </c>
      <c r="E1256" s="5">
        <v>35676.620000000003</v>
      </c>
      <c r="F1256" s="6">
        <f>LOOKUP(D1256,'AMFI DATA_2023H2'!F:J,'AMFI DATA_2023H2'!J:J)</f>
        <v>44304.223299999998</v>
      </c>
      <c r="G1256" s="7">
        <f t="shared" si="10"/>
        <v>0.27685344164469305</v>
      </c>
      <c r="H1256" s="8">
        <v>56570</v>
      </c>
      <c r="I1256" s="8">
        <v>55888</v>
      </c>
      <c r="J1256" s="8">
        <v>56068</v>
      </c>
      <c r="K1256" s="8">
        <v>56360</v>
      </c>
      <c r="L1256" s="8">
        <v>56324</v>
      </c>
      <c r="M1256" s="8">
        <v>56827</v>
      </c>
      <c r="N1256" s="8">
        <v>58078</v>
      </c>
      <c r="O1256" s="8">
        <v>56805</v>
      </c>
      <c r="P1256" s="8">
        <v>56604</v>
      </c>
      <c r="Q1256" s="8">
        <v>57166</v>
      </c>
      <c r="R1256" s="7">
        <f t="shared" si="11"/>
        <v>0.27908799159560038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</row>
    <row r="1257" spans="1:28" ht="14.4" hidden="1">
      <c r="A1257" s="3">
        <f>LOOKUP(D1257,'AMFI DATA_2023H2'!F:L,'AMFI DATA_2023H2'!L:L)</f>
        <v>190</v>
      </c>
      <c r="B1257" s="4" t="s">
        <v>579</v>
      </c>
      <c r="C1257" s="4" t="s">
        <v>580</v>
      </c>
      <c r="D1257" s="5" t="s">
        <v>581</v>
      </c>
      <c r="E1257" s="5">
        <v>33790.910000000003</v>
      </c>
      <c r="F1257" s="6">
        <f>LOOKUP(D1257,'AMFI DATA_2023H2'!F:J,'AMFI DATA_2023H2'!J:J)</f>
        <v>33056.405249999996</v>
      </c>
      <c r="G1257" s="7">
        <f t="shared" si="10"/>
        <v>3.7075862929772274E-2</v>
      </c>
      <c r="H1257" s="8">
        <v>34282</v>
      </c>
      <c r="I1257" s="8">
        <v>34808</v>
      </c>
      <c r="J1257" s="8">
        <v>34268</v>
      </c>
      <c r="K1257" s="8">
        <v>33998</v>
      </c>
      <c r="L1257" s="8">
        <v>33855</v>
      </c>
      <c r="M1257" s="8">
        <v>33412</v>
      </c>
      <c r="N1257" s="8">
        <v>33352</v>
      </c>
      <c r="O1257" s="8">
        <v>32445</v>
      </c>
      <c r="P1257" s="8">
        <v>32355</v>
      </c>
      <c r="Q1257" s="8">
        <v>32130</v>
      </c>
      <c r="R1257" s="7">
        <f t="shared" si="11"/>
        <v>1.3131940594175884E-2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</row>
    <row r="1258" spans="1:28" ht="14.4" hidden="1">
      <c r="A1258" s="3">
        <f>LOOKUP(D1258,'AMFI DATA_2023H2'!F:L,'AMFI DATA_2023H2'!L:L)</f>
        <v>288</v>
      </c>
      <c r="B1258" s="4" t="s">
        <v>873</v>
      </c>
      <c r="C1258" s="4" t="s">
        <v>874</v>
      </c>
      <c r="D1258" s="5" t="s">
        <v>875</v>
      </c>
      <c r="E1258" s="5">
        <v>17573.41</v>
      </c>
      <c r="F1258" s="6">
        <f>LOOKUP(D1258,'AMFI DATA_2023H2'!F:J,'AMFI DATA_2023H2'!J:J)</f>
        <v>18058.416850000001</v>
      </c>
      <c r="G1258" s="7">
        <f t="shared" si="10"/>
        <v>0.1121129923412969</v>
      </c>
      <c r="H1258" s="8">
        <v>20083</v>
      </c>
      <c r="I1258" s="8">
        <v>20109</v>
      </c>
      <c r="J1258" s="8">
        <v>20022</v>
      </c>
      <c r="K1258" s="8">
        <v>19653</v>
      </c>
      <c r="L1258" s="8">
        <v>19449</v>
      </c>
      <c r="M1258" s="8">
        <v>19528</v>
      </c>
      <c r="N1258" s="8">
        <v>19478</v>
      </c>
      <c r="O1258" s="8">
        <v>19321</v>
      </c>
      <c r="P1258" s="8">
        <v>19384</v>
      </c>
      <c r="Q1258" s="8">
        <v>19307</v>
      </c>
      <c r="R1258" s="7">
        <f t="shared" si="11"/>
        <v>8.7216014730549407E-2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</row>
    <row r="1259" spans="1:28" ht="14.4" hidden="1">
      <c r="A1259" s="3">
        <f>LOOKUP(D1259,'AMFI DATA_2023H2'!F:L,'AMFI DATA_2023H2'!L:L)</f>
        <v>632</v>
      </c>
      <c r="B1259" s="4" t="s">
        <v>1866</v>
      </c>
      <c r="C1259" s="4" t="s">
        <v>1867</v>
      </c>
      <c r="D1259" s="5" t="s">
        <v>1868</v>
      </c>
      <c r="E1259" s="5">
        <v>3086.2</v>
      </c>
      <c r="F1259" s="6">
        <f>LOOKUP(D1259,'AMFI DATA_2023H2'!F:J,'AMFI DATA_2023H2'!J:J)</f>
        <v>4733.5879500000001</v>
      </c>
      <c r="G1259" s="7">
        <f t="shared" si="10"/>
        <v>0.22845504539532224</v>
      </c>
      <c r="H1259" s="8">
        <v>5815</v>
      </c>
      <c r="I1259" s="8">
        <v>5897</v>
      </c>
      <c r="J1259" s="8">
        <v>5911</v>
      </c>
      <c r="K1259" s="8">
        <v>5967</v>
      </c>
      <c r="L1259" s="8">
        <v>6160</v>
      </c>
      <c r="M1259" s="8">
        <v>6158</v>
      </c>
      <c r="N1259" s="8">
        <v>6260</v>
      </c>
      <c r="O1259" s="8">
        <v>6349</v>
      </c>
      <c r="P1259" s="8">
        <v>6393</v>
      </c>
      <c r="Q1259" s="8">
        <v>6385</v>
      </c>
      <c r="R1259" s="7">
        <f t="shared" si="11"/>
        <v>0.29489513340509488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</row>
    <row r="1260" spans="1:28" ht="14.4" hidden="1">
      <c r="A1260" s="3">
        <f>LOOKUP(D1260,'AMFI DATA_2023H2'!F:L,'AMFI DATA_2023H2'!L:L)</f>
        <v>115</v>
      </c>
      <c r="B1260" s="4" t="s">
        <v>357</v>
      </c>
      <c r="C1260" s="4" t="s">
        <v>358</v>
      </c>
      <c r="D1260" s="5" t="s">
        <v>359</v>
      </c>
      <c r="E1260" s="5">
        <v>49772.53</v>
      </c>
      <c r="F1260" s="6">
        <f>LOOKUP(D1260,'AMFI DATA_2023H2'!F:J,'AMFI DATA_2023H2'!J:J)</f>
        <v>54709.708449999998</v>
      </c>
      <c r="G1260" s="7">
        <f t="shared" si="10"/>
        <v>-4.1413279547462101E-2</v>
      </c>
      <c r="H1260" s="8">
        <v>52444</v>
      </c>
      <c r="I1260" s="8">
        <v>52161</v>
      </c>
      <c r="J1260" s="8">
        <v>52691</v>
      </c>
      <c r="K1260" s="8">
        <v>52950</v>
      </c>
      <c r="L1260" s="8">
        <v>52724</v>
      </c>
      <c r="M1260" s="8">
        <v>53290</v>
      </c>
      <c r="N1260" s="8">
        <v>52904</v>
      </c>
      <c r="O1260" s="8">
        <v>52525</v>
      </c>
      <c r="P1260" s="8">
        <v>52307</v>
      </c>
      <c r="Q1260" s="8">
        <v>52008</v>
      </c>
      <c r="R1260" s="7">
        <f t="shared" si="11"/>
        <v>-3.8554554753800652E-2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</row>
    <row r="1261" spans="1:28" ht="14.4" hidden="1">
      <c r="A1261" s="3">
        <f>LOOKUP(D1261,'AMFI DATA_2023H2'!F:L,'AMFI DATA_2023H2'!L:L)</f>
        <v>47</v>
      </c>
      <c r="B1261" s="4" t="s">
        <v>150</v>
      </c>
      <c r="C1261" s="4" t="s">
        <v>151</v>
      </c>
      <c r="D1261" s="5" t="s">
        <v>152</v>
      </c>
      <c r="E1261" s="5">
        <v>124318.25</v>
      </c>
      <c r="F1261" s="6">
        <f>LOOKUP(D1261,'AMFI DATA_2023H2'!F:J,'AMFI DATA_2023H2'!J:J)</f>
        <v>128535.26345</v>
      </c>
      <c r="G1261" s="7">
        <f t="shared" si="10"/>
        <v>7.9003506722107986E-2</v>
      </c>
      <c r="H1261" s="8">
        <v>138690</v>
      </c>
      <c r="I1261" s="8">
        <v>140836</v>
      </c>
      <c r="J1261" s="8">
        <v>140986</v>
      </c>
      <c r="K1261" s="8">
        <v>139201</v>
      </c>
      <c r="L1261" s="8">
        <v>137190</v>
      </c>
      <c r="M1261" s="8">
        <v>138197</v>
      </c>
      <c r="N1261" s="8">
        <v>137759</v>
      </c>
      <c r="O1261" s="8">
        <v>137365</v>
      </c>
      <c r="P1261" s="8">
        <v>135774</v>
      </c>
      <c r="Q1261" s="8">
        <v>134448</v>
      </c>
      <c r="R1261" s="7">
        <f t="shared" si="11"/>
        <v>7.3982316562482664E-2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</row>
    <row r="1262" spans="1:28" ht="14.4" hidden="1">
      <c r="A1262" s="3">
        <f>LOOKUP(D1262,'AMFI DATA_2023H2'!F:L,'AMFI DATA_2023H2'!L:L)</f>
        <v>1876</v>
      </c>
      <c r="B1262" s="4" t="s">
        <v>4565</v>
      </c>
      <c r="C1262" s="4" t="s">
        <v>4566</v>
      </c>
      <c r="D1262" s="5" t="s">
        <v>4567</v>
      </c>
      <c r="E1262" s="5">
        <v>184.77</v>
      </c>
      <c r="F1262" s="6">
        <f>LOOKUP(D1262,'AMFI DATA_2023H2'!F:J,'AMFI DATA_2023H2'!J:J)</f>
        <v>235.12110000000001</v>
      </c>
      <c r="G1262" s="7">
        <f t="shared" si="10"/>
        <v>0.33548201331143823</v>
      </c>
      <c r="H1262" s="9">
        <v>314</v>
      </c>
      <c r="I1262" s="9">
        <v>308</v>
      </c>
      <c r="J1262" s="9">
        <v>307</v>
      </c>
      <c r="K1262" s="9">
        <v>315</v>
      </c>
      <c r="L1262" s="9">
        <v>320</v>
      </c>
      <c r="M1262" s="9">
        <v>307</v>
      </c>
      <c r="N1262" s="9">
        <v>299</v>
      </c>
      <c r="O1262" s="9">
        <v>289</v>
      </c>
      <c r="P1262" s="9">
        <v>284</v>
      </c>
      <c r="Q1262" s="9">
        <v>278</v>
      </c>
      <c r="R1262" s="7">
        <f t="shared" si="11"/>
        <v>0.28486979688339331</v>
      </c>
      <c r="S1262" s="9"/>
      <c r="T1262" s="9"/>
      <c r="U1262" s="9"/>
      <c r="V1262" s="9"/>
      <c r="W1262" s="9"/>
      <c r="X1262" s="9"/>
      <c r="Y1262" s="9"/>
      <c r="Z1262" s="9"/>
      <c r="AA1262" s="9"/>
      <c r="AB1262" s="9"/>
    </row>
    <row r="1263" spans="1:28" ht="14.4" hidden="1">
      <c r="A1263" s="3">
        <f>LOOKUP(D1263,'AMFI DATA_2023H2'!F:L,'AMFI DATA_2023H2'!L:L)</f>
        <v>837</v>
      </c>
      <c r="B1263" s="4" t="s">
        <v>2429</v>
      </c>
      <c r="C1263" s="4" t="s">
        <v>2430</v>
      </c>
      <c r="D1263" s="5" t="s">
        <v>2431</v>
      </c>
      <c r="E1263" s="5">
        <v>1993.67</v>
      </c>
      <c r="F1263" s="6">
        <f>LOOKUP(D1263,'AMFI DATA_2023H2'!F:J,'AMFI DATA_2023H2'!J:J)</f>
        <v>2579.7526500000004</v>
      </c>
      <c r="G1263" s="7">
        <f t="shared" si="10"/>
        <v>0.32648376192190343</v>
      </c>
      <c r="H1263" s="8">
        <v>3422</v>
      </c>
      <c r="I1263" s="8">
        <v>3446</v>
      </c>
      <c r="J1263" s="8">
        <v>3420</v>
      </c>
      <c r="K1263" s="8">
        <v>3432</v>
      </c>
      <c r="L1263" s="8">
        <v>3489</v>
      </c>
      <c r="M1263" s="8">
        <v>3508</v>
      </c>
      <c r="N1263" s="8">
        <v>3522</v>
      </c>
      <c r="O1263" s="8">
        <v>3541</v>
      </c>
      <c r="P1263" s="8">
        <v>3507</v>
      </c>
      <c r="Q1263" s="8">
        <v>3482</v>
      </c>
      <c r="R1263" s="7">
        <f t="shared" si="11"/>
        <v>0.34776487195390593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</row>
    <row r="1264" spans="1:28" ht="14.4" hidden="1">
      <c r="A1264" s="3">
        <f>LOOKUP(D1264,'AMFI DATA_2023H2'!F:L,'AMFI DATA_2023H2'!L:L)</f>
        <v>2199</v>
      </c>
      <c r="B1264" s="4" t="s">
        <v>5015</v>
      </c>
      <c r="C1264" s="4" t="s">
        <v>5016</v>
      </c>
      <c r="D1264" s="5" t="s">
        <v>5017</v>
      </c>
      <c r="E1264" s="5">
        <v>96.72</v>
      </c>
      <c r="F1264" s="6">
        <f>LOOKUP(D1264,'AMFI DATA_2023H2'!F:J,'AMFI DATA_2023H2'!J:J)</f>
        <v>132.27465000000001</v>
      </c>
      <c r="G1264" s="7">
        <f t="shared" si="10"/>
        <v>0.12644410701521402</v>
      </c>
      <c r="H1264" s="9">
        <v>149</v>
      </c>
      <c r="I1264" s="9">
        <v>149</v>
      </c>
      <c r="J1264" s="9">
        <v>149</v>
      </c>
      <c r="K1264" s="9">
        <v>144</v>
      </c>
      <c r="L1264" s="9">
        <v>137</v>
      </c>
      <c r="M1264" s="9">
        <v>132</v>
      </c>
      <c r="N1264" s="9">
        <v>134</v>
      </c>
      <c r="O1264" s="9">
        <v>135</v>
      </c>
      <c r="P1264" s="9">
        <v>135</v>
      </c>
      <c r="Q1264" s="9">
        <v>132</v>
      </c>
      <c r="R1264" s="7">
        <f t="shared" si="11"/>
        <v>5.5379847914925451E-2</v>
      </c>
      <c r="S1264" s="9"/>
      <c r="T1264" s="9"/>
      <c r="U1264" s="9"/>
      <c r="V1264" s="9"/>
      <c r="W1264" s="9"/>
      <c r="X1264" s="9"/>
      <c r="Y1264" s="9"/>
      <c r="Z1264" s="9"/>
      <c r="AA1264" s="9"/>
      <c r="AB1264" s="9"/>
    </row>
    <row r="1265" spans="1:28" ht="14.4" hidden="1">
      <c r="A1265" s="3">
        <f>LOOKUP(D1265,'AMFI DATA_2023H2'!F:L,'AMFI DATA_2023H2'!L:L)</f>
        <v>238</v>
      </c>
      <c r="B1265" s="4" t="s">
        <v>723</v>
      </c>
      <c r="C1265" s="4" t="s">
        <v>724</v>
      </c>
      <c r="D1265" s="5" t="s">
        <v>725</v>
      </c>
      <c r="E1265" s="5">
        <v>18621.86</v>
      </c>
      <c r="F1265" s="6">
        <f>LOOKUP(D1265,'AMFI DATA_2023H2'!F:J,'AMFI DATA_2023H2'!J:J)</f>
        <v>23581.649799999999</v>
      </c>
      <c r="G1265" s="7">
        <f t="shared" si="10"/>
        <v>-4.8921505059412729E-2</v>
      </c>
      <c r="H1265" s="8">
        <v>22428</v>
      </c>
      <c r="I1265" s="8">
        <v>22695</v>
      </c>
      <c r="J1265" s="8">
        <v>22335</v>
      </c>
      <c r="K1265" s="8">
        <v>22320</v>
      </c>
      <c r="L1265" s="8">
        <v>22273</v>
      </c>
      <c r="M1265" s="8">
        <v>22196</v>
      </c>
      <c r="N1265" s="8">
        <v>21850</v>
      </c>
      <c r="O1265" s="8">
        <v>21749</v>
      </c>
      <c r="P1265" s="8">
        <v>21557</v>
      </c>
      <c r="Q1265" s="8">
        <v>21840</v>
      </c>
      <c r="R1265" s="7">
        <f t="shared" si="11"/>
        <v>-6.180016293855739E-2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</row>
    <row r="1266" spans="1:28" ht="14.4" hidden="1">
      <c r="A1266" s="3">
        <f>LOOKUP(D1266,'AMFI DATA_2023H2'!F:L,'AMFI DATA_2023H2'!L:L)</f>
        <v>333</v>
      </c>
      <c r="B1266" s="4" t="s">
        <v>1008</v>
      </c>
      <c r="C1266" s="4" t="s">
        <v>1009</v>
      </c>
      <c r="D1266" s="5" t="s">
        <v>1010</v>
      </c>
      <c r="E1266" s="5">
        <v>10232.11</v>
      </c>
      <c r="F1266" s="6">
        <f>LOOKUP(D1266,'AMFI DATA_2023H2'!F:J,'AMFI DATA_2023H2'!J:J)</f>
        <v>13976.034950000001</v>
      </c>
      <c r="G1266" s="7">
        <f t="shared" si="10"/>
        <v>0.3706319473678763</v>
      </c>
      <c r="H1266" s="8">
        <v>19156</v>
      </c>
      <c r="I1266" s="8">
        <v>18799</v>
      </c>
      <c r="J1266" s="8">
        <v>18568</v>
      </c>
      <c r="K1266" s="8">
        <v>18594</v>
      </c>
      <c r="L1266" s="8">
        <v>18329</v>
      </c>
      <c r="M1266" s="8">
        <v>18363</v>
      </c>
      <c r="N1266" s="8">
        <v>18283</v>
      </c>
      <c r="O1266" s="8">
        <v>18250</v>
      </c>
      <c r="P1266" s="8">
        <v>18336</v>
      </c>
      <c r="Q1266" s="8">
        <v>18587</v>
      </c>
      <c r="R1266" s="7">
        <f t="shared" si="11"/>
        <v>0.3255905602897764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</row>
    <row r="1267" spans="1:28" ht="14.4" hidden="1">
      <c r="A1267" s="3">
        <f>LOOKUP(D1267,'AMFI DATA_2023H2'!F:L,'AMFI DATA_2023H2'!L:L)</f>
        <v>957</v>
      </c>
      <c r="B1267" s="4" t="s">
        <v>2747</v>
      </c>
      <c r="C1267" s="4" t="s">
        <v>2748</v>
      </c>
      <c r="D1267" s="5" t="s">
        <v>2749</v>
      </c>
      <c r="E1267" s="5">
        <v>1030.3499999999999</v>
      </c>
      <c r="F1267" s="6">
        <f>LOOKUP(D1267,'AMFI DATA_2023H2'!F:J,'AMFI DATA_2023H2'!J:J)</f>
        <v>1917.2128</v>
      </c>
      <c r="G1267" s="7">
        <f t="shared" si="10"/>
        <v>0.16940592092854789</v>
      </c>
      <c r="H1267" s="8">
        <v>2242</v>
      </c>
      <c r="I1267" s="8">
        <v>2249</v>
      </c>
      <c r="J1267" s="8">
        <v>2262</v>
      </c>
      <c r="K1267" s="8">
        <v>2265</v>
      </c>
      <c r="L1267" s="8">
        <v>2284</v>
      </c>
      <c r="M1267" s="8">
        <v>2256</v>
      </c>
      <c r="N1267" s="8">
        <v>2265</v>
      </c>
      <c r="O1267" s="8">
        <v>2208</v>
      </c>
      <c r="P1267" s="8">
        <v>2203</v>
      </c>
      <c r="Q1267" s="8">
        <v>2223</v>
      </c>
      <c r="R1267" s="7">
        <f t="shared" si="11"/>
        <v>0.17133580581143626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</row>
    <row r="1268" spans="1:28" ht="14.4" hidden="1">
      <c r="A1268" s="3">
        <f>LOOKUP(D1268,'AMFI DATA_2023H2'!F:L,'AMFI DATA_2023H2'!L:L)</f>
        <v>1008</v>
      </c>
      <c r="B1268" s="4" t="s">
        <v>2885</v>
      </c>
      <c r="C1268" s="4" t="s">
        <v>2886</v>
      </c>
      <c r="D1268" s="5" t="s">
        <v>2887</v>
      </c>
      <c r="E1268" s="5">
        <v>1121.76</v>
      </c>
      <c r="F1268" s="6">
        <f>LOOKUP(D1268,'AMFI DATA_2023H2'!F:J,'AMFI DATA_2023H2'!J:J)</f>
        <v>1676.3186499999999</v>
      </c>
      <c r="G1268" s="7">
        <f t="shared" si="10"/>
        <v>7.1991891279143072E-2</v>
      </c>
      <c r="H1268" s="8">
        <v>1797</v>
      </c>
      <c r="I1268" s="8">
        <v>1822</v>
      </c>
      <c r="J1268" s="8">
        <v>1803</v>
      </c>
      <c r="K1268" s="8">
        <v>1794</v>
      </c>
      <c r="L1268" s="8">
        <v>1790</v>
      </c>
      <c r="M1268" s="8">
        <v>1770</v>
      </c>
      <c r="N1268" s="8">
        <v>1818</v>
      </c>
      <c r="O1268" s="8">
        <v>1824</v>
      </c>
      <c r="P1268" s="8">
        <v>1850</v>
      </c>
      <c r="Q1268" s="8">
        <v>1863</v>
      </c>
      <c r="R1268" s="7">
        <f t="shared" si="11"/>
        <v>8.1596270494276313E-2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</row>
    <row r="1269" spans="1:28" ht="14.4" hidden="1">
      <c r="A1269" s="3">
        <f>LOOKUP(D1269,'AMFI DATA_2023H2'!F:L,'AMFI DATA_2023H2'!L:L)</f>
        <v>1387</v>
      </c>
      <c r="B1269" s="4" t="s">
        <v>3746</v>
      </c>
      <c r="C1269" s="4" t="s">
        <v>3747</v>
      </c>
      <c r="D1269" s="5" t="s">
        <v>3748</v>
      </c>
      <c r="E1269" s="5">
        <v>437.74</v>
      </c>
      <c r="F1269" s="6">
        <f>LOOKUP(D1269,'AMFI DATA_2023H2'!F:J,'AMFI DATA_2023H2'!J:J)</f>
        <v>656.05279999999993</v>
      </c>
      <c r="G1269" s="7">
        <f t="shared" si="10"/>
        <v>0.31544290337606995</v>
      </c>
      <c r="H1269" s="9">
        <v>863</v>
      </c>
      <c r="I1269" s="9">
        <v>851</v>
      </c>
      <c r="J1269" s="9">
        <v>860</v>
      </c>
      <c r="K1269" s="9">
        <v>854</v>
      </c>
      <c r="L1269" s="9">
        <v>789</v>
      </c>
      <c r="M1269" s="9">
        <v>773</v>
      </c>
      <c r="N1269" s="9">
        <v>774</v>
      </c>
      <c r="O1269" s="9">
        <v>762</v>
      </c>
      <c r="P1269" s="9">
        <v>772</v>
      </c>
      <c r="Q1269" s="9">
        <v>754</v>
      </c>
      <c r="R1269" s="7">
        <f t="shared" si="11"/>
        <v>0.22734023846861118</v>
      </c>
      <c r="S1269" s="9"/>
      <c r="T1269" s="9"/>
      <c r="U1269" s="9"/>
      <c r="V1269" s="9"/>
      <c r="W1269" s="9"/>
      <c r="X1269" s="9"/>
      <c r="Y1269" s="9"/>
      <c r="Z1269" s="9"/>
      <c r="AA1269" s="9"/>
      <c r="AB1269" s="9"/>
    </row>
    <row r="1270" spans="1:28" ht="14.4" hidden="1">
      <c r="A1270" s="3">
        <f>LOOKUP(D1270,'AMFI DATA_2023H2'!F:L,'AMFI DATA_2023H2'!L:L)</f>
        <v>1518</v>
      </c>
      <c r="B1270" s="4" t="s">
        <v>3998</v>
      </c>
      <c r="C1270" s="4" t="s">
        <v>3999</v>
      </c>
      <c r="D1270" s="5" t="s">
        <v>4000</v>
      </c>
      <c r="E1270" s="5">
        <v>437.74</v>
      </c>
      <c r="F1270" s="6">
        <f>LOOKUP(D1270,'AMFI DATA_2023H2'!F:J,'AMFI DATA_2023H2'!J:J)</f>
        <v>487.45384999999999</v>
      </c>
      <c r="G1270" s="7">
        <f t="shared" si="10"/>
        <v>-5.0166492684384334E-2</v>
      </c>
      <c r="H1270" s="9">
        <v>463</v>
      </c>
      <c r="I1270" s="9">
        <v>440</v>
      </c>
      <c r="J1270" s="9">
        <v>438</v>
      </c>
      <c r="K1270" s="9">
        <v>445</v>
      </c>
      <c r="L1270" s="9">
        <v>437</v>
      </c>
      <c r="M1270" s="9">
        <v>440</v>
      </c>
      <c r="N1270" s="9">
        <v>434</v>
      </c>
      <c r="O1270" s="9">
        <v>437</v>
      </c>
      <c r="P1270" s="9">
        <v>442</v>
      </c>
      <c r="Q1270" s="9">
        <v>438</v>
      </c>
      <c r="R1270" s="7">
        <f t="shared" si="11"/>
        <v>-9.4478379850728489E-2</v>
      </c>
      <c r="S1270" s="9"/>
      <c r="T1270" s="9"/>
      <c r="U1270" s="9"/>
      <c r="V1270" s="9"/>
      <c r="W1270" s="9"/>
      <c r="X1270" s="9"/>
      <c r="Y1270" s="9"/>
      <c r="Z1270" s="9"/>
      <c r="AA1270" s="9"/>
      <c r="AB1270" s="9"/>
    </row>
    <row r="1271" spans="1:28" ht="14.4">
      <c r="A1271" s="3">
        <f>LOOKUP(D1271,'AMFI DATA_2023H2'!F:L,'AMFI DATA_2023H2'!L:L)</f>
        <v>1067</v>
      </c>
      <c r="B1271" s="4" t="s">
        <v>3035</v>
      </c>
      <c r="C1271" s="4" t="s">
        <v>3036</v>
      </c>
      <c r="D1271" s="5" t="s">
        <v>3037</v>
      </c>
      <c r="E1271" s="5">
        <v>1091.6099999999999</v>
      </c>
      <c r="F1271" s="6">
        <f>LOOKUP(D1271,'AMFI DATA_2023H2'!F:J,'AMFI DATA_2023H2'!J:J)</f>
        <v>1422.6250500000001</v>
      </c>
      <c r="G1271" s="7">
        <f t="shared" si="10"/>
        <v>0.2420700732072727</v>
      </c>
      <c r="H1271" s="8">
        <v>1767</v>
      </c>
      <c r="I1271" s="8">
        <v>1770</v>
      </c>
      <c r="J1271" s="8">
        <v>1781</v>
      </c>
      <c r="K1271" s="8">
        <v>1802</v>
      </c>
      <c r="L1271" s="8">
        <v>1769</v>
      </c>
      <c r="M1271" s="8">
        <v>1751</v>
      </c>
      <c r="N1271" s="8">
        <v>1760</v>
      </c>
      <c r="O1271" s="8">
        <v>1716</v>
      </c>
      <c r="P1271" s="8">
        <v>1700</v>
      </c>
      <c r="Q1271" s="8">
        <v>1679</v>
      </c>
      <c r="R1271" s="14">
        <f t="shared" si="11"/>
        <v>0.22976886987896061</v>
      </c>
      <c r="S1271" s="8"/>
      <c r="T1271" s="8">
        <v>98.15</v>
      </c>
      <c r="U1271" s="15">
        <f ca="1">IFERROR(__xludf.DUMMYFUNCTION("GOOGLEFINANCE(C1271,""PRICE"")"),113.3)</f>
        <v>113.3</v>
      </c>
      <c r="V1271" s="13" t="s">
        <v>5787</v>
      </c>
      <c r="W1271" s="7">
        <f ca="1">U1271/T1271-1</f>
        <v>0.1543555781966377</v>
      </c>
      <c r="X1271" s="8"/>
      <c r="Y1271" s="8"/>
      <c r="Z1271" s="8"/>
      <c r="AA1271" s="8"/>
      <c r="AB1271" s="8"/>
    </row>
    <row r="1272" spans="1:28" ht="14.4" hidden="1">
      <c r="A1272" s="3">
        <f>LOOKUP(D1272,'AMFI DATA_2023H2'!F:L,'AMFI DATA_2023H2'!L:L)</f>
        <v>285</v>
      </c>
      <c r="B1272" s="4" t="s">
        <v>864</v>
      </c>
      <c r="C1272" s="4" t="s">
        <v>865</v>
      </c>
      <c r="D1272" s="5" t="s">
        <v>866</v>
      </c>
      <c r="E1272" s="5">
        <v>11081.5</v>
      </c>
      <c r="F1272" s="6">
        <f>LOOKUP(D1272,'AMFI DATA_2023H2'!F:J,'AMFI DATA_2023H2'!J:J)</f>
        <v>18249.4293</v>
      </c>
      <c r="G1272" s="7">
        <f t="shared" si="10"/>
        <v>0.13899452187252792</v>
      </c>
      <c r="H1272" s="8">
        <v>20786</v>
      </c>
      <c r="I1272" s="8">
        <v>20682</v>
      </c>
      <c r="J1272" s="8">
        <v>20562</v>
      </c>
      <c r="K1272" s="8">
        <v>20254</v>
      </c>
      <c r="L1272" s="8">
        <v>20408</v>
      </c>
      <c r="M1272" s="8">
        <v>20305</v>
      </c>
      <c r="N1272" s="8">
        <v>20102</v>
      </c>
      <c r="O1272" s="8">
        <v>20407</v>
      </c>
      <c r="P1272" s="8">
        <v>20469</v>
      </c>
      <c r="Q1272" s="8">
        <v>20134</v>
      </c>
      <c r="R1272" s="7">
        <f t="shared" si="11"/>
        <v>0.11844045446396523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</row>
    <row r="1273" spans="1:28" ht="14.4" hidden="1">
      <c r="A1273" s="3">
        <f>LOOKUP(D1273,'AMFI DATA_2023H2'!F:L,'AMFI DATA_2023H2'!L:L)</f>
        <v>449</v>
      </c>
      <c r="B1273" s="4" t="s">
        <v>1338</v>
      </c>
      <c r="C1273" s="4" t="s">
        <v>1339</v>
      </c>
      <c r="D1273" s="5" t="s">
        <v>1340</v>
      </c>
      <c r="E1273" s="5">
        <v>7884.49</v>
      </c>
      <c r="F1273" s="6">
        <f>LOOKUP(D1273,'AMFI DATA_2023H2'!F:J,'AMFI DATA_2023H2'!J:J)</f>
        <v>8845.4930999999997</v>
      </c>
      <c r="G1273" s="7">
        <f t="shared" si="10"/>
        <v>1.5093211705744292E-2</v>
      </c>
      <c r="H1273" s="8">
        <v>8979</v>
      </c>
      <c r="I1273" s="8">
        <v>9039</v>
      </c>
      <c r="J1273" s="8">
        <v>8956</v>
      </c>
      <c r="K1273" s="8">
        <v>8985</v>
      </c>
      <c r="L1273" s="8">
        <v>8966</v>
      </c>
      <c r="M1273" s="8">
        <v>9030</v>
      </c>
      <c r="N1273" s="8">
        <v>8921</v>
      </c>
      <c r="O1273" s="8">
        <v>9002</v>
      </c>
      <c r="P1273" s="8">
        <v>9026</v>
      </c>
      <c r="Q1273" s="8">
        <v>8858</v>
      </c>
      <c r="R1273" s="7">
        <f t="shared" si="11"/>
        <v>1.4776666322875887E-2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</row>
    <row r="1274" spans="1:28" ht="14.4" hidden="1">
      <c r="A1274" s="3">
        <f>LOOKUP(D1274,'AMFI DATA_2023H2'!F:L,'AMFI DATA_2023H2'!L:L)</f>
        <v>2576</v>
      </c>
      <c r="B1274" s="4" t="s">
        <v>5356</v>
      </c>
      <c r="C1274" s="4" t="s">
        <v>5357</v>
      </c>
      <c r="D1274" s="5" t="s">
        <v>5358</v>
      </c>
      <c r="E1274" s="5">
        <v>80.349999999999994</v>
      </c>
      <c r="F1274" s="6">
        <f>LOOKUP(D1274,'AMFI DATA_2023H2'!F:J,'AMFI DATA_2023H2'!J:J)</f>
        <v>71.927199999999999</v>
      </c>
      <c r="G1274" s="7">
        <f t="shared" si="10"/>
        <v>8.5820106997074763E-2</v>
      </c>
      <c r="H1274" s="9">
        <v>78.099999999999994</v>
      </c>
      <c r="I1274" s="9">
        <v>79.599999999999994</v>
      </c>
      <c r="J1274" s="9">
        <v>81.2</v>
      </c>
      <c r="K1274" s="9">
        <v>82.9</v>
      </c>
      <c r="L1274" s="9">
        <v>84.6</v>
      </c>
      <c r="M1274" s="9">
        <v>83.3</v>
      </c>
      <c r="N1274" s="9">
        <v>86.2</v>
      </c>
      <c r="O1274" s="9">
        <v>83.8</v>
      </c>
      <c r="P1274" s="9">
        <v>77.099999999999994</v>
      </c>
      <c r="Q1274" s="9">
        <v>76</v>
      </c>
      <c r="R1274" s="7">
        <f t="shared" si="11"/>
        <v>0.13003147627045131</v>
      </c>
      <c r="S1274" s="9"/>
      <c r="T1274" s="9"/>
      <c r="U1274" s="9"/>
      <c r="V1274" s="9"/>
      <c r="W1274" s="9"/>
      <c r="X1274" s="9"/>
      <c r="Y1274" s="9"/>
      <c r="Z1274" s="9"/>
      <c r="AA1274" s="9"/>
      <c r="AB1274" s="9"/>
    </row>
    <row r="1275" spans="1:28" ht="14.4" hidden="1">
      <c r="A1275" s="3">
        <f>LOOKUP(D1275,'AMFI DATA_2023H2'!F:L,'AMFI DATA_2023H2'!L:L)</f>
        <v>1647</v>
      </c>
      <c r="B1275" s="4" t="s">
        <v>4238</v>
      </c>
      <c r="C1275" s="4" t="s">
        <v>4239</v>
      </c>
      <c r="D1275" s="5" t="s">
        <v>4240</v>
      </c>
      <c r="E1275" s="5">
        <v>298.89999999999998</v>
      </c>
      <c r="F1275" s="6">
        <f>LOOKUP(D1275,'AMFI DATA_2023H2'!F:J,'AMFI DATA_2023H2'!J:J)</f>
        <v>369.50975</v>
      </c>
      <c r="G1275" s="7">
        <f t="shared" si="10"/>
        <v>0.13393489616985743</v>
      </c>
      <c r="H1275" s="9">
        <v>419</v>
      </c>
      <c r="I1275" s="9">
        <v>412</v>
      </c>
      <c r="J1275" s="9">
        <v>421</v>
      </c>
      <c r="K1275" s="9">
        <v>424</v>
      </c>
      <c r="L1275" s="9">
        <v>415</v>
      </c>
      <c r="M1275" s="9">
        <v>402</v>
      </c>
      <c r="N1275" s="9">
        <v>400</v>
      </c>
      <c r="O1275" s="9">
        <v>386</v>
      </c>
      <c r="P1275" s="9">
        <v>394</v>
      </c>
      <c r="Q1275" s="9">
        <v>378</v>
      </c>
      <c r="R1275" s="7">
        <f t="shared" si="11"/>
        <v>9.6317485533196523E-2</v>
      </c>
      <c r="S1275" s="9"/>
      <c r="T1275" s="9"/>
      <c r="U1275" s="9"/>
      <c r="V1275" s="9"/>
      <c r="W1275" s="9"/>
      <c r="X1275" s="9"/>
      <c r="Y1275" s="9"/>
      <c r="Z1275" s="9"/>
      <c r="AA1275" s="9"/>
      <c r="AB1275" s="9"/>
    </row>
    <row r="1276" spans="1:28" ht="14.4" hidden="1">
      <c r="A1276" s="3">
        <f>LOOKUP(D1276,'AMFI DATA_2023H2'!F:L,'AMFI DATA_2023H2'!L:L)</f>
        <v>1048</v>
      </c>
      <c r="B1276" s="4" t="s">
        <v>2990</v>
      </c>
      <c r="C1276" s="4" t="s">
        <v>2991</v>
      </c>
      <c r="D1276" s="5" t="s">
        <v>2992</v>
      </c>
      <c r="E1276" s="5">
        <v>1089.22</v>
      </c>
      <c r="F1276" s="6">
        <f>LOOKUP(D1276,'AMFI DATA_2023H2'!F:J,'AMFI DATA_2023H2'!J:J)</f>
        <v>1496.3389999999999</v>
      </c>
      <c r="G1276" s="7">
        <f t="shared" si="10"/>
        <v>1.5812593269306063E-2</v>
      </c>
      <c r="H1276" s="8">
        <v>1520</v>
      </c>
      <c r="I1276" s="8">
        <v>1536</v>
      </c>
      <c r="J1276" s="8">
        <v>1557</v>
      </c>
      <c r="K1276" s="8">
        <v>1501</v>
      </c>
      <c r="L1276" s="8">
        <v>1489</v>
      </c>
      <c r="M1276" s="8">
        <v>1496</v>
      </c>
      <c r="N1276" s="8">
        <v>1501</v>
      </c>
      <c r="O1276" s="8">
        <v>1516</v>
      </c>
      <c r="P1276" s="8">
        <v>1520</v>
      </c>
      <c r="Q1276" s="8">
        <v>1494</v>
      </c>
      <c r="R1276" s="7">
        <f t="shared" si="11"/>
        <v>1.1134508958197342E-2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</row>
    <row r="1277" spans="1:28" ht="14.4" hidden="1">
      <c r="A1277" s="3">
        <f>LOOKUP(D1277,'AMFI DATA_2023H2'!F:L,'AMFI DATA_2023H2'!L:L)</f>
        <v>339</v>
      </c>
      <c r="B1277" s="4" t="s">
        <v>1026</v>
      </c>
      <c r="C1277" s="4" t="s">
        <v>1027</v>
      </c>
      <c r="D1277" s="5" t="s">
        <v>1028</v>
      </c>
      <c r="E1277" s="5">
        <v>9198.5</v>
      </c>
      <c r="F1277" s="6">
        <f>LOOKUP(D1277,'AMFI DATA_2023H2'!F:J,'AMFI DATA_2023H2'!J:J)</f>
        <v>13337.878649999999</v>
      </c>
      <c r="G1277" s="7">
        <f t="shared" ref="G1277:G1531" si="12">H1277/F1277-1</f>
        <v>6.5686708733101451E-2</v>
      </c>
      <c r="H1277" s="8">
        <v>14214</v>
      </c>
      <c r="I1277" s="8">
        <v>13767</v>
      </c>
      <c r="J1277" s="8">
        <v>13851</v>
      </c>
      <c r="K1277" s="8">
        <v>13899</v>
      </c>
      <c r="L1277" s="8">
        <v>14113</v>
      </c>
      <c r="M1277" s="8">
        <v>14313</v>
      </c>
      <c r="N1277" s="8">
        <v>14493</v>
      </c>
      <c r="O1277" s="8">
        <v>14600</v>
      </c>
      <c r="P1277" s="8">
        <v>13837</v>
      </c>
      <c r="Q1277" s="8">
        <v>14004</v>
      </c>
      <c r="R1277" s="7">
        <f t="shared" ref="R1277:R1531" si="13">AVERAGE(H1277:Q1277)/F1277-1</f>
        <v>5.7821889840031115E-2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</row>
    <row r="1278" spans="1:28" ht="14.4" hidden="1">
      <c r="A1278" s="3">
        <f>LOOKUP(D1278,'AMFI DATA_2023H2'!F:L,'AMFI DATA_2023H2'!L:L)</f>
        <v>83</v>
      </c>
      <c r="B1278" s="4" t="s">
        <v>261</v>
      </c>
      <c r="C1278" s="4" t="s">
        <v>262</v>
      </c>
      <c r="D1278" s="5" t="s">
        <v>263</v>
      </c>
      <c r="E1278" s="5">
        <v>46542.82</v>
      </c>
      <c r="F1278" s="6">
        <f>LOOKUP(D1278,'AMFI DATA_2023H2'!F:J,'AMFI DATA_2023H2'!J:J)</f>
        <v>74892.543300000005</v>
      </c>
      <c r="G1278" s="7">
        <f t="shared" si="12"/>
        <v>8.2657851198918886E-2</v>
      </c>
      <c r="H1278" s="8">
        <v>81083</v>
      </c>
      <c r="I1278" s="8">
        <v>81009</v>
      </c>
      <c r="J1278" s="8">
        <v>81125</v>
      </c>
      <c r="K1278" s="8">
        <v>80339</v>
      </c>
      <c r="L1278" s="8">
        <v>82064</v>
      </c>
      <c r="M1278" s="8">
        <v>82462</v>
      </c>
      <c r="N1278" s="8">
        <v>81944</v>
      </c>
      <c r="O1278" s="8">
        <v>81691</v>
      </c>
      <c r="P1278" s="8">
        <v>80994</v>
      </c>
      <c r="Q1278" s="8">
        <v>80479</v>
      </c>
      <c r="R1278" s="7">
        <f t="shared" si="13"/>
        <v>8.5809032739845525E-2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</row>
    <row r="1279" spans="1:28" ht="14.4" hidden="1">
      <c r="A1279" s="3">
        <f>LOOKUP(D1279,'AMFI DATA_2023H2'!F:L,'AMFI DATA_2023H2'!L:L)</f>
        <v>720</v>
      </c>
      <c r="B1279" s="4" t="s">
        <v>2105</v>
      </c>
      <c r="C1279" s="4" t="s">
        <v>2106</v>
      </c>
      <c r="D1279" s="5" t="s">
        <v>2107</v>
      </c>
      <c r="E1279" s="5">
        <v>4377.3500000000004</v>
      </c>
      <c r="F1279" s="6">
        <f>LOOKUP(D1279,'AMFI DATA_2023H2'!F:J,'AMFI DATA_2023H2'!J:J)</f>
        <v>3588.27315</v>
      </c>
      <c r="G1279" s="7">
        <f t="shared" si="12"/>
        <v>-1.4846458943628682E-2</v>
      </c>
      <c r="H1279" s="8">
        <v>3535</v>
      </c>
      <c r="I1279" s="8">
        <v>3552</v>
      </c>
      <c r="J1279" s="8">
        <v>3542</v>
      </c>
      <c r="K1279" s="8">
        <v>3488</v>
      </c>
      <c r="L1279" s="8">
        <v>3374</v>
      </c>
      <c r="M1279" s="8">
        <v>3301</v>
      </c>
      <c r="N1279" s="8">
        <v>3289</v>
      </c>
      <c r="O1279" s="8">
        <v>3347</v>
      </c>
      <c r="P1279" s="8">
        <v>3186</v>
      </c>
      <c r="Q1279" s="8">
        <v>3194</v>
      </c>
      <c r="R1279" s="7">
        <f t="shared" si="13"/>
        <v>-5.7819776066936224E-2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</row>
    <row r="1280" spans="1:28" ht="14.4" hidden="1">
      <c r="A1280" s="3">
        <f>LOOKUP(D1280,'AMFI DATA_2023H2'!F:L,'AMFI DATA_2023H2'!L:L)</f>
        <v>1496</v>
      </c>
      <c r="B1280" s="4" t="s">
        <v>3953</v>
      </c>
      <c r="C1280" s="4" t="s">
        <v>3954</v>
      </c>
      <c r="D1280" s="5" t="s">
        <v>3955</v>
      </c>
      <c r="E1280" s="5">
        <v>412.5</v>
      </c>
      <c r="F1280" s="6">
        <f>LOOKUP(D1280,'AMFI DATA_2023H2'!F:J,'AMFI DATA_2023H2'!J:J)</f>
        <v>515.202</v>
      </c>
      <c r="G1280" s="7">
        <f t="shared" si="12"/>
        <v>0.17817865613875727</v>
      </c>
      <c r="H1280" s="9">
        <v>607</v>
      </c>
      <c r="I1280" s="9">
        <v>587</v>
      </c>
      <c r="J1280" s="9">
        <v>586</v>
      </c>
      <c r="K1280" s="9">
        <v>581</v>
      </c>
      <c r="L1280" s="9">
        <v>574</v>
      </c>
      <c r="M1280" s="9">
        <v>583</v>
      </c>
      <c r="N1280" s="9">
        <v>588</v>
      </c>
      <c r="O1280" s="9">
        <v>602</v>
      </c>
      <c r="P1280" s="9">
        <v>557</v>
      </c>
      <c r="Q1280" s="9">
        <v>547</v>
      </c>
      <c r="R1280" s="7">
        <f t="shared" si="13"/>
        <v>0.12810121078722525</v>
      </c>
      <c r="S1280" s="9"/>
      <c r="T1280" s="9"/>
      <c r="U1280" s="9"/>
      <c r="V1280" s="9"/>
      <c r="W1280" s="9"/>
      <c r="X1280" s="9"/>
      <c r="Y1280" s="9"/>
      <c r="Z1280" s="9"/>
      <c r="AA1280" s="9"/>
      <c r="AB1280" s="9"/>
    </row>
    <row r="1281" spans="1:28" ht="14.4" hidden="1">
      <c r="A1281" s="3">
        <f>LOOKUP(D1281,'AMFI DATA_2023H2'!F:L,'AMFI DATA_2023H2'!L:L)</f>
        <v>1668</v>
      </c>
      <c r="B1281" s="4" t="s">
        <v>4274</v>
      </c>
      <c r="C1281" s="4" t="s">
        <v>4275</v>
      </c>
      <c r="D1281" s="5" t="s">
        <v>4276</v>
      </c>
      <c r="E1281" s="5">
        <v>377.89</v>
      </c>
      <c r="F1281" s="6">
        <f>LOOKUP(D1281,'AMFI DATA_2023H2'!F:J,'AMFI DATA_2023H2'!J:J)</f>
        <v>352.40480000000002</v>
      </c>
      <c r="G1281" s="7">
        <f t="shared" si="12"/>
        <v>2.1552487366800932E-2</v>
      </c>
      <c r="H1281" s="9">
        <v>360</v>
      </c>
      <c r="I1281" s="9">
        <v>350</v>
      </c>
      <c r="J1281" s="9">
        <v>349</v>
      </c>
      <c r="K1281" s="9">
        <v>352</v>
      </c>
      <c r="L1281" s="9">
        <v>352</v>
      </c>
      <c r="M1281" s="9">
        <v>350</v>
      </c>
      <c r="N1281" s="9">
        <v>352</v>
      </c>
      <c r="O1281" s="9">
        <v>347</v>
      </c>
      <c r="P1281" s="9">
        <v>349</v>
      </c>
      <c r="Q1281" s="9">
        <v>348</v>
      </c>
      <c r="R1281" s="7">
        <f t="shared" si="13"/>
        <v>-4.2700893971933107E-3</v>
      </c>
      <c r="S1281" s="9"/>
      <c r="T1281" s="9"/>
      <c r="U1281" s="9"/>
      <c r="V1281" s="9"/>
      <c r="W1281" s="9"/>
      <c r="X1281" s="9"/>
      <c r="Y1281" s="9"/>
      <c r="Z1281" s="9"/>
      <c r="AA1281" s="9"/>
      <c r="AB1281" s="9"/>
    </row>
    <row r="1282" spans="1:28" ht="14.4" hidden="1">
      <c r="A1282" s="3">
        <f>LOOKUP(D1282,'AMFI DATA_2023H2'!F:L,'AMFI DATA_2023H2'!L:L)</f>
        <v>205</v>
      </c>
      <c r="B1282" s="4" t="s">
        <v>624</v>
      </c>
      <c r="C1282" s="4" t="s">
        <v>625</v>
      </c>
      <c r="D1282" s="5" t="s">
        <v>626</v>
      </c>
      <c r="E1282" s="5">
        <v>23858.2</v>
      </c>
      <c r="F1282" s="6">
        <f>LOOKUP(D1282,'AMFI DATA_2023H2'!F:J,'AMFI DATA_2023H2'!J:J)</f>
        <v>30129.307049999999</v>
      </c>
      <c r="G1282" s="7">
        <f t="shared" si="12"/>
        <v>0.17088653719966662</v>
      </c>
      <c r="H1282" s="8">
        <v>35278</v>
      </c>
      <c r="I1282" s="8">
        <v>34624</v>
      </c>
      <c r="J1282" s="8">
        <v>33117</v>
      </c>
      <c r="K1282" s="8">
        <v>33113</v>
      </c>
      <c r="L1282" s="8">
        <v>33648</v>
      </c>
      <c r="M1282" s="8">
        <v>33532</v>
      </c>
      <c r="N1282" s="8">
        <v>33094</v>
      </c>
      <c r="O1282" s="8">
        <v>33423</v>
      </c>
      <c r="P1282" s="8">
        <v>33868</v>
      </c>
      <c r="Q1282" s="8">
        <v>34003</v>
      </c>
      <c r="R1282" s="7">
        <f t="shared" si="13"/>
        <v>0.12083560182642827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</row>
    <row r="1283" spans="1:28" ht="14.4" hidden="1">
      <c r="A1283" s="3">
        <f>LOOKUP(D1283,'AMFI DATA_2023H2'!F:L,'AMFI DATA_2023H2'!L:L)</f>
        <v>2798</v>
      </c>
      <c r="B1283" s="4" t="s">
        <v>5461</v>
      </c>
      <c r="C1283" s="4" t="s">
        <v>5462</v>
      </c>
      <c r="D1283" s="5" t="s">
        <v>5463</v>
      </c>
      <c r="E1283" s="5">
        <v>82.19</v>
      </c>
      <c r="F1283" s="6">
        <f>LOOKUP(D1283,'AMFI DATA_2023H2'!F:J,'AMFI DATA_2023H2'!J:J)</f>
        <v>51.800800000000002</v>
      </c>
      <c r="G1283" s="7">
        <f t="shared" si="12"/>
        <v>0.4748806968232151</v>
      </c>
      <c r="H1283" s="9">
        <v>76.400000000000006</v>
      </c>
      <c r="I1283" s="9">
        <v>72.8</v>
      </c>
      <c r="J1283" s="9">
        <v>69.2</v>
      </c>
      <c r="K1283" s="9">
        <v>69.2</v>
      </c>
      <c r="L1283" s="9">
        <v>69.2</v>
      </c>
      <c r="M1283" s="9">
        <v>65.900000000000006</v>
      </c>
      <c r="N1283" s="9">
        <v>63.1</v>
      </c>
      <c r="O1283" s="9">
        <v>61.5</v>
      </c>
      <c r="P1283" s="9">
        <v>60.9</v>
      </c>
      <c r="Q1283" s="9">
        <v>61.2</v>
      </c>
      <c r="R1283" s="7">
        <f t="shared" si="13"/>
        <v>0.2922580346249477</v>
      </c>
      <c r="S1283" s="9"/>
      <c r="T1283" s="9"/>
      <c r="U1283" s="9"/>
      <c r="V1283" s="9"/>
      <c r="W1283" s="9"/>
      <c r="X1283" s="9"/>
      <c r="Y1283" s="9"/>
      <c r="Z1283" s="9"/>
      <c r="AA1283" s="9"/>
      <c r="AB1283" s="9"/>
    </row>
    <row r="1284" spans="1:28" ht="14.4" hidden="1">
      <c r="A1284" s="3">
        <f>LOOKUP(D1284,'AMFI DATA_2023H2'!F:L,'AMFI DATA_2023H2'!L:L)</f>
        <v>70</v>
      </c>
      <c r="B1284" s="4" t="s">
        <v>222</v>
      </c>
      <c r="C1284" s="4" t="s">
        <v>223</v>
      </c>
      <c r="D1284" s="5" t="s">
        <v>224</v>
      </c>
      <c r="E1284" s="5">
        <v>43343.54</v>
      </c>
      <c r="F1284" s="6">
        <f>LOOKUP(D1284,'AMFI DATA_2023H2'!F:J,'AMFI DATA_2023H2'!J:J)</f>
        <v>85471.842999999993</v>
      </c>
      <c r="G1284" s="7">
        <f t="shared" si="12"/>
        <v>0.55985872446906293</v>
      </c>
      <c r="H1284" s="8">
        <v>133324</v>
      </c>
      <c r="I1284" s="8">
        <v>133902</v>
      </c>
      <c r="J1284" s="8">
        <v>129711</v>
      </c>
      <c r="K1284" s="8">
        <v>128588</v>
      </c>
      <c r="L1284" s="8">
        <v>130371</v>
      </c>
      <c r="M1284" s="8">
        <v>126212</v>
      </c>
      <c r="N1284" s="8">
        <v>127087</v>
      </c>
      <c r="O1284" s="8">
        <v>127021</v>
      </c>
      <c r="P1284" s="8">
        <v>129446</v>
      </c>
      <c r="Q1284" s="8">
        <v>127681</v>
      </c>
      <c r="R1284" s="7">
        <f t="shared" si="13"/>
        <v>0.51318019432434614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</row>
    <row r="1285" spans="1:28" ht="14.4" hidden="1">
      <c r="A1285" s="3">
        <f>LOOKUP(D1285,'AMFI DATA_2023H2'!F:L,'AMFI DATA_2023H2'!L:L)</f>
        <v>31</v>
      </c>
      <c r="B1285" s="4" t="s">
        <v>99</v>
      </c>
      <c r="C1285" s="4" t="s">
        <v>100</v>
      </c>
      <c r="D1285" s="5" t="s">
        <v>101</v>
      </c>
      <c r="E1285" s="5">
        <v>159466.71</v>
      </c>
      <c r="F1285" s="6">
        <f>LOOKUP(D1285,'AMFI DATA_2023H2'!F:J,'AMFI DATA_2023H2'!J:J)</f>
        <v>186895.63190000001</v>
      </c>
      <c r="G1285" s="7">
        <f t="shared" si="12"/>
        <v>0.20079852973813672</v>
      </c>
      <c r="H1285" s="8">
        <v>224424</v>
      </c>
      <c r="I1285" s="8">
        <v>224563</v>
      </c>
      <c r="J1285" s="8">
        <v>220378</v>
      </c>
      <c r="K1285" s="8">
        <v>221215</v>
      </c>
      <c r="L1285" s="8">
        <v>221122</v>
      </c>
      <c r="M1285" s="8">
        <v>220145</v>
      </c>
      <c r="N1285" s="8">
        <v>222005</v>
      </c>
      <c r="O1285" s="8">
        <v>217681</v>
      </c>
      <c r="P1285" s="8">
        <v>217076</v>
      </c>
      <c r="Q1285" s="8">
        <v>215541</v>
      </c>
      <c r="R1285" s="7">
        <f t="shared" si="13"/>
        <v>0.17934805516447172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</row>
    <row r="1286" spans="1:28" ht="14.4" hidden="1">
      <c r="A1286" s="3">
        <f>LOOKUP(D1286,'AMFI DATA_2023H2'!F:L,'AMFI DATA_2023H2'!L:L)</f>
        <v>563</v>
      </c>
      <c r="B1286" s="4" t="s">
        <v>1668</v>
      </c>
      <c r="C1286" s="4" t="s">
        <v>1669</v>
      </c>
      <c r="D1286" s="5" t="s">
        <v>1670</v>
      </c>
      <c r="E1286" s="5">
        <v>3773.21</v>
      </c>
      <c r="F1286" s="6">
        <f>LOOKUP(D1286,'AMFI DATA_2023H2'!F:J,'AMFI DATA_2023H2'!J:J)</f>
        <v>6121.1021999999994</v>
      </c>
      <c r="G1286" s="7">
        <f t="shared" si="12"/>
        <v>0.12022308661992298</v>
      </c>
      <c r="H1286" s="8">
        <v>6857</v>
      </c>
      <c r="I1286" s="8">
        <v>6908</v>
      </c>
      <c r="J1286" s="8">
        <v>7010</v>
      </c>
      <c r="K1286" s="8">
        <v>7085</v>
      </c>
      <c r="L1286" s="8">
        <v>7082</v>
      </c>
      <c r="M1286" s="8">
        <v>6780</v>
      </c>
      <c r="N1286" s="8">
        <v>6569</v>
      </c>
      <c r="O1286" s="8">
        <v>6512</v>
      </c>
      <c r="P1286" s="8">
        <v>6466</v>
      </c>
      <c r="Q1286" s="8">
        <v>6466</v>
      </c>
      <c r="R1286" s="7">
        <f t="shared" si="13"/>
        <v>0.10658175254776836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</row>
    <row r="1287" spans="1:28" ht="14.4" hidden="1">
      <c r="A1287" s="3">
        <f>LOOKUP(D1287,'AMFI DATA_2023H2'!F:L,'AMFI DATA_2023H2'!L:L)</f>
        <v>1711</v>
      </c>
      <c r="B1287" s="4" t="s">
        <v>4352</v>
      </c>
      <c r="C1287" s="4" t="s">
        <v>4353</v>
      </c>
      <c r="D1287" s="5" t="s">
        <v>4354</v>
      </c>
      <c r="E1287" s="5">
        <v>275.07</v>
      </c>
      <c r="F1287" s="6">
        <f>LOOKUP(D1287,'AMFI DATA_2023H2'!F:J,'AMFI DATA_2023H2'!J:J)</f>
        <v>326.53485000000001</v>
      </c>
      <c r="G1287" s="7">
        <f t="shared" si="12"/>
        <v>2.898664568268905E-2</v>
      </c>
      <c r="H1287" s="9">
        <v>336</v>
      </c>
      <c r="I1287" s="9">
        <v>342</v>
      </c>
      <c r="J1287" s="9">
        <v>333</v>
      </c>
      <c r="K1287" s="9">
        <v>334</v>
      </c>
      <c r="L1287" s="9">
        <v>335</v>
      </c>
      <c r="M1287" s="9">
        <v>334</v>
      </c>
      <c r="N1287" s="9">
        <v>317</v>
      </c>
      <c r="O1287" s="9">
        <v>319</v>
      </c>
      <c r="P1287" s="9">
        <v>326</v>
      </c>
      <c r="Q1287" s="9">
        <v>304</v>
      </c>
      <c r="R1287" s="7">
        <f t="shared" si="13"/>
        <v>4.4869636426250192E-3</v>
      </c>
      <c r="S1287" s="9"/>
      <c r="T1287" s="9"/>
      <c r="U1287" s="9"/>
      <c r="V1287" s="9"/>
      <c r="W1287" s="9"/>
      <c r="X1287" s="9"/>
      <c r="Y1287" s="9"/>
      <c r="Z1287" s="9"/>
      <c r="AA1287" s="9"/>
      <c r="AB1287" s="9"/>
    </row>
    <row r="1288" spans="1:28" ht="14.4" hidden="1">
      <c r="A1288" s="3">
        <f>LOOKUP(D1288,'AMFI DATA_2023H2'!F:L,'AMFI DATA_2023H2'!L:L)</f>
        <v>423</v>
      </c>
      <c r="B1288" s="4" t="s">
        <v>1266</v>
      </c>
      <c r="C1288" s="4" t="s">
        <v>1267</v>
      </c>
      <c r="D1288" s="5" t="s">
        <v>1268</v>
      </c>
      <c r="E1288" s="5">
        <v>6558.4</v>
      </c>
      <c r="F1288" s="6">
        <f>LOOKUP(D1288,'AMFI DATA_2023H2'!F:J,'AMFI DATA_2023H2'!J:J)</f>
        <v>9623.8827000000001</v>
      </c>
      <c r="G1288" s="7">
        <f t="shared" si="12"/>
        <v>4.7706036566717458E-2</v>
      </c>
      <c r="H1288" s="8">
        <v>10083</v>
      </c>
      <c r="I1288" s="8">
        <v>10158</v>
      </c>
      <c r="J1288" s="8">
        <v>10145</v>
      </c>
      <c r="K1288" s="8">
        <v>10065</v>
      </c>
      <c r="L1288" s="8">
        <v>10220</v>
      </c>
      <c r="M1288" s="8">
        <v>10214</v>
      </c>
      <c r="N1288" s="8">
        <v>10151</v>
      </c>
      <c r="O1288" s="8">
        <v>10083</v>
      </c>
      <c r="P1288" s="8">
        <v>10257</v>
      </c>
      <c r="Q1288" s="8">
        <v>10326</v>
      </c>
      <c r="R1288" s="7">
        <f t="shared" si="13"/>
        <v>5.6766828631442223E-2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</row>
    <row r="1289" spans="1:28" ht="14.4" hidden="1">
      <c r="A1289" s="3">
        <f>LOOKUP(D1289,'AMFI DATA_2023H2'!F:L,'AMFI DATA_2023H2'!L:L)</f>
        <v>2325</v>
      </c>
      <c r="B1289" s="4" t="s">
        <v>5156</v>
      </c>
      <c r="C1289" s="4" t="s">
        <v>5157</v>
      </c>
      <c r="D1289" s="5" t="s">
        <v>5158</v>
      </c>
      <c r="E1289" s="5">
        <v>89.42</v>
      </c>
      <c r="F1289" s="6">
        <f>LOOKUP(D1289,'AMFI DATA_2023H2'!F:J,'AMFI DATA_2023H2'!J:J)</f>
        <v>108.20515</v>
      </c>
      <c r="G1289" s="7">
        <f t="shared" si="12"/>
        <v>0.58033143524129849</v>
      </c>
      <c r="H1289" s="9">
        <v>171</v>
      </c>
      <c r="I1289" s="9">
        <v>168</v>
      </c>
      <c r="J1289" s="9">
        <v>164</v>
      </c>
      <c r="K1289" s="9">
        <v>161</v>
      </c>
      <c r="L1289" s="9">
        <v>154</v>
      </c>
      <c r="M1289" s="9">
        <v>146</v>
      </c>
      <c r="N1289" s="9">
        <v>140</v>
      </c>
      <c r="O1289" s="9">
        <v>141</v>
      </c>
      <c r="P1289" s="9">
        <v>137</v>
      </c>
      <c r="Q1289" s="9">
        <v>131</v>
      </c>
      <c r="R1289" s="7">
        <f t="shared" si="13"/>
        <v>0.39826986053806124</v>
      </c>
      <c r="S1289" s="9"/>
      <c r="T1289" s="9"/>
      <c r="U1289" s="9"/>
      <c r="V1289" s="9"/>
      <c r="W1289" s="9"/>
      <c r="X1289" s="9"/>
      <c r="Y1289" s="9"/>
      <c r="Z1289" s="9"/>
      <c r="AA1289" s="9"/>
      <c r="AB1289" s="9"/>
    </row>
    <row r="1290" spans="1:28" ht="14.4" hidden="1">
      <c r="A1290" s="3">
        <f>LOOKUP(D1290,'AMFI DATA_2023H2'!F:L,'AMFI DATA_2023H2'!L:L)</f>
        <v>869</v>
      </c>
      <c r="B1290" s="4" t="s">
        <v>2519</v>
      </c>
      <c r="C1290" s="4" t="s">
        <v>2520</v>
      </c>
      <c r="D1290" s="5" t="s">
        <v>2521</v>
      </c>
      <c r="E1290" s="5">
        <v>1055.96</v>
      </c>
      <c r="F1290" s="6">
        <f>LOOKUP(D1290,'AMFI DATA_2023H2'!F:J,'AMFI DATA_2023H2'!J:J)</f>
        <v>2380.3760499999999</v>
      </c>
      <c r="G1290" s="7">
        <f t="shared" si="12"/>
        <v>0.43590757435154015</v>
      </c>
      <c r="H1290" s="8">
        <v>3418</v>
      </c>
      <c r="I1290" s="8">
        <v>3495</v>
      </c>
      <c r="J1290" s="8">
        <v>3463</v>
      </c>
      <c r="K1290" s="8">
        <v>3299</v>
      </c>
      <c r="L1290" s="8">
        <v>3142</v>
      </c>
      <c r="M1290" s="8">
        <v>3001</v>
      </c>
      <c r="N1290" s="8">
        <v>3014</v>
      </c>
      <c r="O1290" s="8">
        <v>3104</v>
      </c>
      <c r="P1290" s="8">
        <v>3149</v>
      </c>
      <c r="Q1290" s="8">
        <v>3093</v>
      </c>
      <c r="R1290" s="7">
        <f t="shared" si="13"/>
        <v>0.35180321613469445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</row>
    <row r="1291" spans="1:28" ht="14.4" hidden="1">
      <c r="A1291" s="3">
        <f>LOOKUP(D1291,'AMFI DATA_2023H2'!F:L,'AMFI DATA_2023H2'!L:L)</f>
        <v>1344</v>
      </c>
      <c r="B1291" s="4" t="s">
        <v>3653</v>
      </c>
      <c r="C1291" s="4" t="s">
        <v>3654</v>
      </c>
      <c r="D1291" s="5" t="s">
        <v>3655</v>
      </c>
      <c r="E1291" s="5">
        <v>378.78</v>
      </c>
      <c r="F1291" s="6">
        <f>LOOKUP(D1291,'AMFI DATA_2023H2'!F:J,'AMFI DATA_2023H2'!J:J)</f>
        <v>734.01784999999995</v>
      </c>
      <c r="G1291" s="7">
        <f t="shared" si="12"/>
        <v>0.36917651253303996</v>
      </c>
      <c r="H1291" s="9">
        <v>1005</v>
      </c>
      <c r="I1291" s="9">
        <v>944</v>
      </c>
      <c r="J1291" s="9">
        <v>945</v>
      </c>
      <c r="K1291" s="9">
        <v>973</v>
      </c>
      <c r="L1291" s="9">
        <v>980</v>
      </c>
      <c r="M1291" s="9">
        <v>953</v>
      </c>
      <c r="N1291" s="9">
        <v>954</v>
      </c>
      <c r="O1291" s="9">
        <v>961</v>
      </c>
      <c r="P1291" s="9">
        <v>971</v>
      </c>
      <c r="Q1291" s="9">
        <v>986</v>
      </c>
      <c r="R1291" s="7">
        <f t="shared" si="13"/>
        <v>0.31767912728552861</v>
      </c>
      <c r="S1291" s="9"/>
      <c r="T1291" s="9"/>
      <c r="U1291" s="9"/>
      <c r="V1291" s="9"/>
      <c r="W1291" s="9"/>
      <c r="X1291" s="9"/>
      <c r="Y1291" s="9"/>
      <c r="Z1291" s="9"/>
      <c r="AA1291" s="9"/>
      <c r="AB1291" s="9"/>
    </row>
    <row r="1292" spans="1:28" ht="14.4" hidden="1">
      <c r="A1292" s="3">
        <f>LOOKUP(D1292,'AMFI DATA_2023H2'!F:L,'AMFI DATA_2023H2'!L:L)</f>
        <v>2375</v>
      </c>
      <c r="B1292" s="4" t="s">
        <v>5189</v>
      </c>
      <c r="C1292" s="4" t="s">
        <v>5190</v>
      </c>
      <c r="D1292" s="5" t="s">
        <v>5191</v>
      </c>
      <c r="E1292" s="5">
        <v>78.489999999999995</v>
      </c>
      <c r="F1292" s="6">
        <f>LOOKUP(D1292,'AMFI DATA_2023H2'!F:J,'AMFI DATA_2023H2'!J:J)</f>
        <v>100.71995</v>
      </c>
      <c r="G1292" s="7">
        <f t="shared" si="12"/>
        <v>1.1644172778084183</v>
      </c>
      <c r="H1292" s="9">
        <v>218</v>
      </c>
      <c r="I1292" s="9">
        <v>204</v>
      </c>
      <c r="J1292" s="9">
        <v>197</v>
      </c>
      <c r="K1292" s="9">
        <v>188</v>
      </c>
      <c r="L1292" s="9">
        <v>179</v>
      </c>
      <c r="M1292" s="9">
        <v>172</v>
      </c>
      <c r="N1292" s="9">
        <v>180</v>
      </c>
      <c r="O1292" s="9">
        <v>172</v>
      </c>
      <c r="P1292" s="9">
        <v>161</v>
      </c>
      <c r="Q1292" s="9">
        <v>155</v>
      </c>
      <c r="R1292" s="7">
        <f t="shared" si="13"/>
        <v>0.81294768315512478</v>
      </c>
      <c r="S1292" s="9"/>
      <c r="T1292" s="9"/>
      <c r="U1292" s="9"/>
      <c r="V1292" s="9"/>
      <c r="W1292" s="9"/>
      <c r="X1292" s="9"/>
      <c r="Y1292" s="9"/>
      <c r="Z1292" s="9"/>
      <c r="AA1292" s="9"/>
      <c r="AB1292" s="9"/>
    </row>
    <row r="1293" spans="1:28" ht="14.4">
      <c r="A1293" s="3">
        <f>LOOKUP(D1293,'AMFI DATA_2023H2'!F:L,'AMFI DATA_2023H2'!L:L)</f>
        <v>908</v>
      </c>
      <c r="B1293" s="4" t="s">
        <v>2630</v>
      </c>
      <c r="C1293" s="4" t="s">
        <v>2631</v>
      </c>
      <c r="D1293" s="5" t="s">
        <v>2632</v>
      </c>
      <c r="E1293" s="5">
        <v>1845.2</v>
      </c>
      <c r="F1293" s="6">
        <f>LOOKUP(D1293,'AMFI DATA_2023H2'!F:J,'AMFI DATA_2023H2'!J:J)</f>
        <v>2129.7658499999998</v>
      </c>
      <c r="G1293" s="7">
        <f t="shared" si="12"/>
        <v>0.24708544838391511</v>
      </c>
      <c r="H1293" s="8">
        <v>2656</v>
      </c>
      <c r="I1293" s="8">
        <v>2687</v>
      </c>
      <c r="J1293" s="8">
        <v>2599</v>
      </c>
      <c r="K1293" s="8">
        <v>2631</v>
      </c>
      <c r="L1293" s="8">
        <v>2663</v>
      </c>
      <c r="M1293" s="8">
        <v>2560</v>
      </c>
      <c r="N1293" s="8">
        <v>2501</v>
      </c>
      <c r="O1293" s="8">
        <v>2529</v>
      </c>
      <c r="P1293" s="8">
        <v>2446</v>
      </c>
      <c r="Q1293" s="8">
        <v>2304</v>
      </c>
      <c r="R1293" s="14">
        <f t="shared" si="13"/>
        <v>0.20088318629017365</v>
      </c>
      <c r="S1293" s="8"/>
      <c r="T1293" s="8">
        <v>1115</v>
      </c>
      <c r="U1293" s="15">
        <f ca="1">IFERROR(__xludf.DUMMYFUNCTION("GOOGLEFINANCE(C1293,""PRICE"")"),1321.1)</f>
        <v>1321.1</v>
      </c>
      <c r="V1293" s="13" t="s">
        <v>5787</v>
      </c>
      <c r="W1293" s="7">
        <f ca="1">U1293/T1293-1</f>
        <v>0.18484304932735407</v>
      </c>
      <c r="X1293" s="8"/>
      <c r="Y1293" s="8"/>
      <c r="Z1293" s="8"/>
      <c r="AA1293" s="8"/>
      <c r="AB1293" s="8"/>
    </row>
    <row r="1294" spans="1:28" ht="14.4" hidden="1">
      <c r="A1294" s="3">
        <f>LOOKUP(D1294,'AMFI DATA_2023H2'!F:L,'AMFI DATA_2023H2'!L:L)</f>
        <v>1695</v>
      </c>
      <c r="B1294" s="4" t="s">
        <v>4331</v>
      </c>
      <c r="C1294" s="4" t="s">
        <v>4332</v>
      </c>
      <c r="D1294" s="5" t="s">
        <v>4333</v>
      </c>
      <c r="E1294" s="5">
        <v>166.91</v>
      </c>
      <c r="F1294" s="6">
        <f>LOOKUP(D1294,'AMFI DATA_2023H2'!F:J,'AMFI DATA_2023H2'!J:J)</f>
        <v>333.40705000000003</v>
      </c>
      <c r="G1294" s="7">
        <f t="shared" si="12"/>
        <v>0.1187525878651936</v>
      </c>
      <c r="H1294" s="9">
        <v>373</v>
      </c>
      <c r="I1294" s="9">
        <v>380</v>
      </c>
      <c r="J1294" s="9">
        <v>378</v>
      </c>
      <c r="K1294" s="9">
        <v>370</v>
      </c>
      <c r="L1294" s="9">
        <v>363</v>
      </c>
      <c r="M1294" s="9">
        <v>356</v>
      </c>
      <c r="N1294" s="9">
        <v>358</v>
      </c>
      <c r="O1294" s="9">
        <v>362</v>
      </c>
      <c r="P1294" s="9">
        <v>350</v>
      </c>
      <c r="Q1294" s="9">
        <v>359</v>
      </c>
      <c r="R1294" s="7">
        <f t="shared" si="13"/>
        <v>9.4457960622008397E-2</v>
      </c>
      <c r="S1294" s="9"/>
      <c r="T1294" s="9"/>
      <c r="U1294" s="9"/>
      <c r="V1294" s="9"/>
      <c r="W1294" s="9"/>
      <c r="X1294" s="9"/>
      <c r="Y1294" s="9"/>
      <c r="Z1294" s="9"/>
      <c r="AA1294" s="9"/>
      <c r="AB1294" s="9"/>
    </row>
    <row r="1295" spans="1:28" ht="14.4" hidden="1">
      <c r="A1295" s="3">
        <f>LOOKUP(D1295,'AMFI DATA_2023H2'!F:L,'AMFI DATA_2023H2'!L:L)</f>
        <v>872</v>
      </c>
      <c r="B1295" s="4" t="s">
        <v>2528</v>
      </c>
      <c r="C1295" s="4" t="s">
        <v>2529</v>
      </c>
      <c r="D1295" s="5" t="s">
        <v>2530</v>
      </c>
      <c r="E1295" s="5">
        <v>1216.98</v>
      </c>
      <c r="F1295" s="6">
        <f>LOOKUP(D1295,'AMFI DATA_2023H2'!F:J,'AMFI DATA_2023H2'!J:J)</f>
        <v>2365.3014499999999</v>
      </c>
      <c r="G1295" s="7">
        <f t="shared" si="12"/>
        <v>7.0053882561142533E-2</v>
      </c>
      <c r="H1295" s="8">
        <v>2531</v>
      </c>
      <c r="I1295" s="8">
        <v>2557</v>
      </c>
      <c r="J1295" s="8">
        <v>2583</v>
      </c>
      <c r="K1295" s="8">
        <v>2498</v>
      </c>
      <c r="L1295" s="8">
        <v>2478</v>
      </c>
      <c r="M1295" s="8">
        <v>2375</v>
      </c>
      <c r="N1295" s="8">
        <v>2278</v>
      </c>
      <c r="O1295" s="8">
        <v>2328</v>
      </c>
      <c r="P1295" s="8">
        <v>2335</v>
      </c>
      <c r="Q1295" s="8">
        <v>2295</v>
      </c>
      <c r="R1295" s="7">
        <f t="shared" si="13"/>
        <v>2.5577522053267465E-2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</row>
    <row r="1296" spans="1:28" ht="14.4" hidden="1">
      <c r="A1296" s="3">
        <f>LOOKUP(D1296,'AMFI DATA_2023H2'!F:L,'AMFI DATA_2023H2'!L:L)</f>
        <v>948</v>
      </c>
      <c r="B1296" s="4" t="s">
        <v>2732</v>
      </c>
      <c r="C1296" s="4" t="s">
        <v>2733</v>
      </c>
      <c r="D1296" s="5" t="s">
        <v>2734</v>
      </c>
      <c r="E1296" s="5">
        <v>1296.78</v>
      </c>
      <c r="F1296" s="6">
        <f>LOOKUP(D1296,'AMFI DATA_2023H2'!F:J,'AMFI DATA_2023H2'!J:J)</f>
        <v>1966.7982999999999</v>
      </c>
      <c r="G1296" s="7">
        <f t="shared" si="12"/>
        <v>0.16331196747526167</v>
      </c>
      <c r="H1296" s="8">
        <v>2288</v>
      </c>
      <c r="I1296" s="8">
        <v>2318</v>
      </c>
      <c r="J1296" s="8">
        <v>2155</v>
      </c>
      <c r="K1296" s="8">
        <v>2171</v>
      </c>
      <c r="L1296" s="8">
        <v>2173</v>
      </c>
      <c r="M1296" s="8">
        <v>2158</v>
      </c>
      <c r="N1296" s="8">
        <v>2147</v>
      </c>
      <c r="O1296" s="8">
        <v>2143</v>
      </c>
      <c r="P1296" s="8">
        <v>2117</v>
      </c>
      <c r="Q1296" s="8">
        <v>2189</v>
      </c>
      <c r="R1296" s="7">
        <f t="shared" si="13"/>
        <v>0.11140018780776861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</row>
    <row r="1297" spans="1:28" ht="14.4" hidden="1">
      <c r="A1297" s="3">
        <f>LOOKUP(D1297,'AMFI DATA_2023H2'!F:L,'AMFI DATA_2023H2'!L:L)</f>
        <v>1831</v>
      </c>
      <c r="B1297" s="4" t="s">
        <v>4511</v>
      </c>
      <c r="C1297" s="4" t="s">
        <v>4512</v>
      </c>
      <c r="D1297" s="5" t="s">
        <v>4513</v>
      </c>
      <c r="E1297" s="5">
        <v>209.29</v>
      </c>
      <c r="F1297" s="6">
        <f>LOOKUP(D1297,'AMFI DATA_2023H2'!F:J,'AMFI DATA_2023H2'!J:J)</f>
        <v>256.9984</v>
      </c>
      <c r="G1297" s="7">
        <f t="shared" si="12"/>
        <v>0.52530132483315062</v>
      </c>
      <c r="H1297" s="9">
        <v>392</v>
      </c>
      <c r="I1297" s="9">
        <v>396</v>
      </c>
      <c r="J1297" s="9">
        <v>381</v>
      </c>
      <c r="K1297" s="9">
        <v>354</v>
      </c>
      <c r="L1297" s="9">
        <v>336</v>
      </c>
      <c r="M1297" s="9">
        <v>328</v>
      </c>
      <c r="N1297" s="9">
        <v>339</v>
      </c>
      <c r="O1297" s="9">
        <v>330</v>
      </c>
      <c r="P1297" s="9">
        <v>324</v>
      </c>
      <c r="Q1297" s="9">
        <v>326</v>
      </c>
      <c r="R1297" s="7">
        <f t="shared" si="13"/>
        <v>0.36421082777169045</v>
      </c>
      <c r="S1297" s="9"/>
      <c r="T1297" s="9"/>
      <c r="U1297" s="9"/>
      <c r="V1297" s="9"/>
      <c r="W1297" s="9"/>
      <c r="X1297" s="9"/>
      <c r="Y1297" s="9"/>
      <c r="Z1297" s="9"/>
      <c r="AA1297" s="9"/>
      <c r="AB1297" s="9"/>
    </row>
    <row r="1298" spans="1:28" ht="14.4" hidden="1">
      <c r="A1298" s="3">
        <f>LOOKUP(D1298,'AMFI DATA_2023H2'!F:L,'AMFI DATA_2023H2'!L:L)</f>
        <v>1136</v>
      </c>
      <c r="B1298" s="4" t="s">
        <v>3200</v>
      </c>
      <c r="C1298" s="4" t="s">
        <v>3201</v>
      </c>
      <c r="D1298" s="5" t="s">
        <v>3202</v>
      </c>
      <c r="E1298" s="5">
        <v>438.98</v>
      </c>
      <c r="F1298" s="6">
        <f>LOOKUP(D1298,'AMFI DATA_2023H2'!F:J,'AMFI DATA_2023H2'!J:J)</f>
        <v>1240.0163</v>
      </c>
      <c r="G1298" s="7">
        <f t="shared" si="12"/>
        <v>0.37014327956817983</v>
      </c>
      <c r="H1298" s="8">
        <v>1699</v>
      </c>
      <c r="I1298" s="8">
        <v>1674</v>
      </c>
      <c r="J1298" s="8">
        <v>1671</v>
      </c>
      <c r="K1298" s="8">
        <v>1659</v>
      </c>
      <c r="L1298" s="8">
        <v>1678</v>
      </c>
      <c r="M1298" s="8">
        <v>1705</v>
      </c>
      <c r="N1298" s="8">
        <v>1742</v>
      </c>
      <c r="O1298" s="8">
        <v>1733</v>
      </c>
      <c r="P1298" s="8">
        <v>1740</v>
      </c>
      <c r="Q1298" s="8">
        <v>1724</v>
      </c>
      <c r="R1298" s="7">
        <f t="shared" si="13"/>
        <v>0.37296582311055104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</row>
    <row r="1299" spans="1:28" ht="14.4" hidden="1">
      <c r="A1299" s="3">
        <f>LOOKUP(D1299,'AMFI DATA_2023H2'!F:L,'AMFI DATA_2023H2'!L:L)</f>
        <v>3942</v>
      </c>
      <c r="B1299" s="4" t="s">
        <v>5743</v>
      </c>
      <c r="C1299" s="4" t="s">
        <v>5744</v>
      </c>
      <c r="D1299" s="5" t="s">
        <v>5745</v>
      </c>
      <c r="E1299" s="5">
        <v>7.92</v>
      </c>
      <c r="F1299" s="6">
        <f>LOOKUP(D1299,'AMFI DATA_2023H2'!F:J,'AMFI DATA_2023H2'!J:J)</f>
        <v>9.1534499999999994</v>
      </c>
      <c r="G1299" s="7">
        <f t="shared" si="12"/>
        <v>0.24543205021057646</v>
      </c>
      <c r="H1299" s="9">
        <v>11.4</v>
      </c>
      <c r="I1299" s="9">
        <v>10.6</v>
      </c>
      <c r="J1299" s="9">
        <v>10.4</v>
      </c>
      <c r="K1299" s="9">
        <v>10</v>
      </c>
      <c r="L1299" s="9">
        <v>9.83</v>
      </c>
      <c r="M1299" s="9">
        <v>9.93</v>
      </c>
      <c r="N1299" s="9">
        <v>9.73</v>
      </c>
      <c r="O1299" s="9">
        <v>10</v>
      </c>
      <c r="P1299" s="9">
        <v>9.6300000000000008</v>
      </c>
      <c r="Q1299" s="9">
        <v>9.57</v>
      </c>
      <c r="R1299" s="7">
        <f t="shared" si="13"/>
        <v>0.10439233294550143</v>
      </c>
      <c r="S1299" s="9"/>
      <c r="T1299" s="9"/>
      <c r="U1299" s="9"/>
      <c r="V1299" s="9"/>
      <c r="W1299" s="9"/>
      <c r="X1299" s="9"/>
      <c r="Y1299" s="9"/>
      <c r="Z1299" s="9"/>
      <c r="AA1299" s="9"/>
      <c r="AB1299" s="9"/>
    </row>
    <row r="1300" spans="1:28" ht="14.4" hidden="1">
      <c r="A1300" s="3">
        <f>LOOKUP(D1300,'AMFI DATA_2023H2'!F:L,'AMFI DATA_2023H2'!L:L)</f>
        <v>1797</v>
      </c>
      <c r="B1300" s="4" t="s">
        <v>4472</v>
      </c>
      <c r="C1300" s="4" t="s">
        <v>4473</v>
      </c>
      <c r="D1300" s="5" t="s">
        <v>4474</v>
      </c>
      <c r="E1300" s="5">
        <v>186.56</v>
      </c>
      <c r="F1300" s="6">
        <f>LOOKUP(D1300,'AMFI DATA_2023H2'!F:J,'AMFI DATA_2023H2'!J:J)</f>
        <v>272.45394999999996</v>
      </c>
      <c r="G1300" s="7">
        <f t="shared" si="12"/>
        <v>0.16716971803858982</v>
      </c>
      <c r="H1300" s="9">
        <v>318</v>
      </c>
      <c r="I1300" s="9">
        <v>324</v>
      </c>
      <c r="J1300" s="9">
        <v>322</v>
      </c>
      <c r="K1300" s="9">
        <v>328</v>
      </c>
      <c r="L1300" s="9">
        <v>335</v>
      </c>
      <c r="M1300" s="9">
        <v>342</v>
      </c>
      <c r="N1300" s="9">
        <v>349</v>
      </c>
      <c r="O1300" s="9">
        <v>357</v>
      </c>
      <c r="P1300" s="9">
        <v>346</v>
      </c>
      <c r="Q1300" s="9">
        <v>327</v>
      </c>
      <c r="R1300" s="7">
        <f t="shared" si="13"/>
        <v>0.22883151446326999</v>
      </c>
      <c r="S1300" s="9"/>
      <c r="T1300" s="9"/>
      <c r="U1300" s="9"/>
      <c r="V1300" s="9"/>
      <c r="W1300" s="9"/>
      <c r="X1300" s="9"/>
      <c r="Y1300" s="9"/>
      <c r="Z1300" s="9"/>
      <c r="AA1300" s="9"/>
      <c r="AB1300" s="9"/>
    </row>
    <row r="1301" spans="1:28" ht="14.4" hidden="1">
      <c r="A1301" s="3">
        <f>LOOKUP(D1301,'AMFI DATA_2023H2'!F:L,'AMFI DATA_2023H2'!L:L)</f>
        <v>207</v>
      </c>
      <c r="B1301" s="4" t="s">
        <v>630</v>
      </c>
      <c r="C1301" s="4" t="s">
        <v>631</v>
      </c>
      <c r="D1301" s="5" t="s">
        <v>632</v>
      </c>
      <c r="E1301" s="5">
        <v>18447.97</v>
      </c>
      <c r="F1301" s="6">
        <f>LOOKUP(D1301,'AMFI DATA_2023H2'!F:J,'AMFI DATA_2023H2'!J:J)</f>
        <v>29776.633999999998</v>
      </c>
      <c r="G1301" s="7">
        <f t="shared" si="12"/>
        <v>0.7945278838434191</v>
      </c>
      <c r="H1301" s="8">
        <v>53435</v>
      </c>
      <c r="I1301" s="8">
        <v>54331</v>
      </c>
      <c r="J1301" s="8">
        <v>50797</v>
      </c>
      <c r="K1301" s="8">
        <v>47953</v>
      </c>
      <c r="L1301" s="8">
        <v>47512</v>
      </c>
      <c r="M1301" s="8">
        <v>46388</v>
      </c>
      <c r="N1301" s="8">
        <v>46121</v>
      </c>
      <c r="O1301" s="8">
        <v>45716</v>
      </c>
      <c r="P1301" s="8">
        <v>44914</v>
      </c>
      <c r="Q1301" s="8">
        <v>44692</v>
      </c>
      <c r="R1301" s="7">
        <f t="shared" si="13"/>
        <v>0.61824536648433814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</row>
    <row r="1302" spans="1:28" ht="14.4" hidden="1">
      <c r="A1302" s="3">
        <f>LOOKUP(D1302,'AMFI DATA_2023H2'!F:L,'AMFI DATA_2023H2'!L:L)</f>
        <v>701</v>
      </c>
      <c r="B1302" s="4" t="s">
        <v>2055</v>
      </c>
      <c r="C1302" s="4" t="s">
        <v>2056</v>
      </c>
      <c r="D1302" s="5" t="s">
        <v>2057</v>
      </c>
      <c r="E1302" s="5">
        <v>2602.58</v>
      </c>
      <c r="F1302" s="6">
        <f>LOOKUP(D1302,'AMFI DATA_2023H2'!F:J,'AMFI DATA_2023H2'!J:J)</f>
        <v>3871.4528500000001</v>
      </c>
      <c r="G1302" s="7">
        <f t="shared" si="12"/>
        <v>0.17423617854470308</v>
      </c>
      <c r="H1302" s="8">
        <v>4546</v>
      </c>
      <c r="I1302" s="8">
        <v>4508</v>
      </c>
      <c r="J1302" s="8">
        <v>4558</v>
      </c>
      <c r="K1302" s="8">
        <v>4611</v>
      </c>
      <c r="L1302" s="8">
        <v>4636</v>
      </c>
      <c r="M1302" s="8">
        <v>4622</v>
      </c>
      <c r="N1302" s="8">
        <v>4664</v>
      </c>
      <c r="O1302" s="8">
        <v>4737</v>
      </c>
      <c r="P1302" s="8">
        <v>4715</v>
      </c>
      <c r="Q1302" s="8">
        <v>4612</v>
      </c>
      <c r="R1302" s="7">
        <f t="shared" si="13"/>
        <v>0.19358292068570582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</row>
    <row r="1303" spans="1:28" ht="14.4" hidden="1">
      <c r="A1303" s="3">
        <f>LOOKUP(D1303,'AMFI DATA_2023H2'!F:L,'AMFI DATA_2023H2'!L:L)</f>
        <v>783</v>
      </c>
      <c r="B1303" s="4" t="s">
        <v>2279</v>
      </c>
      <c r="C1303" s="4" t="s">
        <v>2280</v>
      </c>
      <c r="D1303" s="5" t="s">
        <v>2281</v>
      </c>
      <c r="E1303" s="5">
        <v>2492.08</v>
      </c>
      <c r="F1303" s="6">
        <f>LOOKUP(D1303,'AMFI DATA_2023H2'!F:J,'AMFI DATA_2023H2'!J:J)</f>
        <v>3040.8199000000004</v>
      </c>
      <c r="G1303" s="7">
        <f t="shared" si="12"/>
        <v>0.13028726232684784</v>
      </c>
      <c r="H1303" s="8">
        <v>3437</v>
      </c>
      <c r="I1303" s="8">
        <v>3457</v>
      </c>
      <c r="J1303" s="8">
        <v>3265</v>
      </c>
      <c r="K1303" s="8">
        <v>3355</v>
      </c>
      <c r="L1303" s="8">
        <v>3205</v>
      </c>
      <c r="M1303" s="8">
        <v>3177</v>
      </c>
      <c r="N1303" s="8">
        <v>3289</v>
      </c>
      <c r="O1303" s="8">
        <v>3256</v>
      </c>
      <c r="P1303" s="8">
        <v>3358</v>
      </c>
      <c r="Q1303" s="8">
        <v>3274</v>
      </c>
      <c r="R1303" s="7">
        <f t="shared" si="13"/>
        <v>8.7634292317016138E-2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</row>
    <row r="1304" spans="1:28" ht="14.4" hidden="1">
      <c r="A1304" s="3">
        <f>LOOKUP(D1304,'AMFI DATA_2023H2'!F:L,'AMFI DATA_2023H2'!L:L)</f>
        <v>1509</v>
      </c>
      <c r="B1304" s="4" t="s">
        <v>3980</v>
      </c>
      <c r="C1304" s="4" t="s">
        <v>3981</v>
      </c>
      <c r="D1304" s="5" t="s">
        <v>3982</v>
      </c>
      <c r="E1304" s="5">
        <v>352.14</v>
      </c>
      <c r="F1304" s="6">
        <f>LOOKUP(D1304,'AMFI DATA_2023H2'!F:J,'AMFI DATA_2023H2'!J:J)</f>
        <v>497.41055</v>
      </c>
      <c r="G1304" s="7">
        <f t="shared" si="12"/>
        <v>0.18011168038152792</v>
      </c>
      <c r="H1304" s="9">
        <v>587</v>
      </c>
      <c r="I1304" s="9">
        <v>566</v>
      </c>
      <c r="J1304" s="9">
        <v>572</v>
      </c>
      <c r="K1304" s="9">
        <v>570</v>
      </c>
      <c r="L1304" s="9">
        <v>560</v>
      </c>
      <c r="M1304" s="9">
        <v>565</v>
      </c>
      <c r="N1304" s="9">
        <v>567</v>
      </c>
      <c r="O1304" s="9">
        <v>566</v>
      </c>
      <c r="P1304" s="9">
        <v>577</v>
      </c>
      <c r="Q1304" s="9">
        <v>586</v>
      </c>
      <c r="R1304" s="7">
        <f t="shared" si="13"/>
        <v>0.14915133987407381</v>
      </c>
      <c r="S1304" s="9"/>
      <c r="T1304" s="9"/>
      <c r="U1304" s="9"/>
      <c r="V1304" s="9"/>
      <c r="W1304" s="9"/>
      <c r="X1304" s="9"/>
      <c r="Y1304" s="9"/>
      <c r="Z1304" s="9"/>
      <c r="AA1304" s="9"/>
      <c r="AB1304" s="9"/>
    </row>
    <row r="1305" spans="1:28" ht="14.4" hidden="1">
      <c r="A1305" s="3">
        <f>LOOKUP(D1305,'AMFI DATA_2023H2'!F:L,'AMFI DATA_2023H2'!L:L)</f>
        <v>489</v>
      </c>
      <c r="B1305" s="4" t="s">
        <v>1452</v>
      </c>
      <c r="C1305" s="4" t="s">
        <v>1453</v>
      </c>
      <c r="D1305" s="5" t="s">
        <v>1454</v>
      </c>
      <c r="E1305" s="5">
        <v>6620.06</v>
      </c>
      <c r="F1305" s="6">
        <f>LOOKUP(D1305,'AMFI DATA_2023H2'!F:J,'AMFI DATA_2023H2'!J:J)</f>
        <v>7559.8116</v>
      </c>
      <c r="G1305" s="7">
        <f t="shared" si="12"/>
        <v>8.4154001933063993E-2</v>
      </c>
      <c r="H1305" s="8">
        <v>8196</v>
      </c>
      <c r="I1305" s="8">
        <v>8402</v>
      </c>
      <c r="J1305" s="8">
        <v>8168</v>
      </c>
      <c r="K1305" s="8">
        <v>8274</v>
      </c>
      <c r="L1305" s="8">
        <v>8305</v>
      </c>
      <c r="M1305" s="8">
        <v>8225</v>
      </c>
      <c r="N1305" s="8">
        <v>8188</v>
      </c>
      <c r="O1305" s="8">
        <v>8093</v>
      </c>
      <c r="P1305" s="8">
        <v>8168</v>
      </c>
      <c r="Q1305" s="8">
        <v>8122</v>
      </c>
      <c r="R1305" s="7">
        <f t="shared" si="13"/>
        <v>8.654824149321394E-2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</row>
    <row r="1306" spans="1:28" ht="14.4" hidden="1">
      <c r="A1306" s="3">
        <f>LOOKUP(D1306,'AMFI DATA_2023H2'!F:L,'AMFI DATA_2023H2'!L:L)</f>
        <v>506</v>
      </c>
      <c r="B1306" s="4" t="s">
        <v>1503</v>
      </c>
      <c r="C1306" s="4" t="s">
        <v>1504</v>
      </c>
      <c r="D1306" s="5" t="s">
        <v>1505</v>
      </c>
      <c r="E1306" s="5">
        <v>5688</v>
      </c>
      <c r="F1306" s="6">
        <f>LOOKUP(D1306,'AMFI DATA_2023H2'!F:J,'AMFI DATA_2023H2'!J:J)</f>
        <v>7201.8575000000001</v>
      </c>
      <c r="G1306" s="7">
        <f t="shared" si="12"/>
        <v>0.28397430801706358</v>
      </c>
      <c r="H1306" s="8">
        <v>9247</v>
      </c>
      <c r="I1306" s="8">
        <v>9222</v>
      </c>
      <c r="J1306" s="8">
        <v>9211</v>
      </c>
      <c r="K1306" s="8">
        <v>9186</v>
      </c>
      <c r="L1306" s="8">
        <v>9257</v>
      </c>
      <c r="M1306" s="8">
        <v>9234</v>
      </c>
      <c r="N1306" s="8">
        <v>9121</v>
      </c>
      <c r="O1306" s="8">
        <v>9176</v>
      </c>
      <c r="P1306" s="8">
        <v>9181</v>
      </c>
      <c r="Q1306" s="8">
        <v>9111</v>
      </c>
      <c r="R1306" s="7">
        <f t="shared" si="13"/>
        <v>0.27669840732061135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</row>
    <row r="1307" spans="1:28" ht="14.4" hidden="1">
      <c r="A1307" s="3">
        <f>LOOKUP(D1307,'AMFI DATA_2023H2'!F:L,'AMFI DATA_2023H2'!L:L)</f>
        <v>1881</v>
      </c>
      <c r="B1307" s="4" t="s">
        <v>4574</v>
      </c>
      <c r="C1307" s="4" t="s">
        <v>4575</v>
      </c>
      <c r="D1307" s="5" t="s">
        <v>4576</v>
      </c>
      <c r="E1307" s="5">
        <v>183.78</v>
      </c>
      <c r="F1307" s="6">
        <f>LOOKUP(D1307,'AMFI DATA_2023H2'!F:J,'AMFI DATA_2023H2'!J:J)</f>
        <v>231.38380000000001</v>
      </c>
      <c r="G1307" s="7">
        <f t="shared" si="12"/>
        <v>0.25332888473609638</v>
      </c>
      <c r="H1307" s="9">
        <v>290</v>
      </c>
      <c r="I1307" s="9">
        <v>294</v>
      </c>
      <c r="J1307" s="9">
        <v>296</v>
      </c>
      <c r="K1307" s="9">
        <v>296</v>
      </c>
      <c r="L1307" s="9">
        <v>286</v>
      </c>
      <c r="M1307" s="9">
        <v>281</v>
      </c>
      <c r="N1307" s="9">
        <v>281</v>
      </c>
      <c r="O1307" s="9">
        <v>284</v>
      </c>
      <c r="P1307" s="9">
        <v>292</v>
      </c>
      <c r="Q1307" s="9">
        <v>278</v>
      </c>
      <c r="R1307" s="7">
        <f t="shared" si="13"/>
        <v>0.24382087250706408</v>
      </c>
      <c r="S1307" s="9"/>
      <c r="T1307" s="9"/>
      <c r="U1307" s="9"/>
      <c r="V1307" s="9"/>
      <c r="W1307" s="9"/>
      <c r="X1307" s="9"/>
      <c r="Y1307" s="9"/>
      <c r="Z1307" s="9"/>
      <c r="AA1307" s="9"/>
      <c r="AB1307" s="9"/>
    </row>
    <row r="1308" spans="1:28" ht="14.4" hidden="1">
      <c r="A1308" s="3">
        <f>LOOKUP(D1308,'AMFI DATA_2023H2'!F:L,'AMFI DATA_2023H2'!L:L)</f>
        <v>1950</v>
      </c>
      <c r="B1308" s="4" t="s">
        <v>4664</v>
      </c>
      <c r="C1308" s="4" t="s">
        <v>4665</v>
      </c>
      <c r="D1308" s="5" t="s">
        <v>4666</v>
      </c>
      <c r="E1308" s="5">
        <v>145.35</v>
      </c>
      <c r="F1308" s="6">
        <f>LOOKUP(D1308,'AMFI DATA_2023H2'!F:J,'AMFI DATA_2023H2'!J:J)</f>
        <v>203.14415</v>
      </c>
      <c r="G1308" s="7">
        <f t="shared" si="12"/>
        <v>0.54570042996561807</v>
      </c>
      <c r="H1308" s="9">
        <v>314</v>
      </c>
      <c r="I1308" s="9">
        <v>301</v>
      </c>
      <c r="J1308" s="9">
        <v>302</v>
      </c>
      <c r="K1308" s="9">
        <v>305</v>
      </c>
      <c r="L1308" s="9">
        <v>308</v>
      </c>
      <c r="M1308" s="9">
        <v>297</v>
      </c>
      <c r="N1308" s="9">
        <v>301</v>
      </c>
      <c r="O1308" s="9">
        <v>300</v>
      </c>
      <c r="P1308" s="9">
        <v>297</v>
      </c>
      <c r="Q1308" s="9">
        <v>302</v>
      </c>
      <c r="R1308" s="7">
        <f t="shared" si="13"/>
        <v>0.49007490493819295</v>
      </c>
      <c r="S1308" s="9"/>
      <c r="T1308" s="9"/>
      <c r="U1308" s="9"/>
      <c r="V1308" s="9"/>
      <c r="W1308" s="9"/>
      <c r="X1308" s="9"/>
      <c r="Y1308" s="9"/>
      <c r="Z1308" s="9"/>
      <c r="AA1308" s="9"/>
      <c r="AB1308" s="9"/>
    </row>
    <row r="1309" spans="1:28" ht="14.4" hidden="1">
      <c r="A1309" s="3">
        <f>LOOKUP(D1309,'AMFI DATA_2023H2'!F:L,'AMFI DATA_2023H2'!L:L)</f>
        <v>2709</v>
      </c>
      <c r="B1309" s="4" t="s">
        <v>5431</v>
      </c>
      <c r="C1309" s="4" t="s">
        <v>5432</v>
      </c>
      <c r="D1309" s="5" t="s">
        <v>5433</v>
      </c>
      <c r="E1309" s="5">
        <v>53.13</v>
      </c>
      <c r="F1309" s="6">
        <f>LOOKUP(D1309,'AMFI DATA_2023H2'!F:J,'AMFI DATA_2023H2'!J:J)</f>
        <v>58.220749999999995</v>
      </c>
      <c r="G1309" s="7">
        <f t="shared" si="12"/>
        <v>0.30022371748903964</v>
      </c>
      <c r="H1309" s="9">
        <v>75.7</v>
      </c>
      <c r="I1309" s="9">
        <v>76.7</v>
      </c>
      <c r="J1309" s="9">
        <v>75.5</v>
      </c>
      <c r="K1309" s="9">
        <v>71.900000000000006</v>
      </c>
      <c r="L1309" s="9">
        <v>72.3</v>
      </c>
      <c r="M1309" s="9">
        <v>71</v>
      </c>
      <c r="N1309" s="9">
        <v>71.8</v>
      </c>
      <c r="O1309" s="9">
        <v>71.7</v>
      </c>
      <c r="P1309" s="9">
        <v>76.8</v>
      </c>
      <c r="Q1309" s="9">
        <v>75.2</v>
      </c>
      <c r="R1309" s="7">
        <f t="shared" si="13"/>
        <v>0.26861986491070633</v>
      </c>
      <c r="S1309" s="9"/>
      <c r="T1309" s="9"/>
      <c r="U1309" s="9"/>
      <c r="V1309" s="9"/>
      <c r="W1309" s="9"/>
      <c r="X1309" s="9"/>
      <c r="Y1309" s="9"/>
      <c r="Z1309" s="9"/>
      <c r="AA1309" s="9"/>
      <c r="AB1309" s="9"/>
    </row>
    <row r="1310" spans="1:28" ht="14.4" hidden="1">
      <c r="A1310" s="3">
        <f>LOOKUP(D1310,'AMFI DATA_2023H2'!F:L,'AMFI DATA_2023H2'!L:L)</f>
        <v>639</v>
      </c>
      <c r="B1310" s="4" t="s">
        <v>1884</v>
      </c>
      <c r="C1310" s="4" t="s">
        <v>1885</v>
      </c>
      <c r="D1310" s="5" t="s">
        <v>1886</v>
      </c>
      <c r="E1310" s="5">
        <v>4164.3599999999997</v>
      </c>
      <c r="F1310" s="6">
        <f>LOOKUP(D1310,'AMFI DATA_2023H2'!F:J,'AMFI DATA_2023H2'!J:J)</f>
        <v>4631.93235</v>
      </c>
      <c r="G1310" s="7">
        <f t="shared" si="12"/>
        <v>-2.8915005634743363E-2</v>
      </c>
      <c r="H1310" s="8">
        <v>4498</v>
      </c>
      <c r="I1310" s="8">
        <v>4533</v>
      </c>
      <c r="J1310" s="8">
        <v>4527</v>
      </c>
      <c r="K1310" s="8">
        <v>4598</v>
      </c>
      <c r="L1310" s="8">
        <v>4584</v>
      </c>
      <c r="M1310" s="8">
        <v>4604</v>
      </c>
      <c r="N1310" s="8">
        <v>4768</v>
      </c>
      <c r="O1310" s="8">
        <v>4850</v>
      </c>
      <c r="P1310" s="8">
        <v>4807</v>
      </c>
      <c r="Q1310" s="8">
        <v>4894</v>
      </c>
      <c r="R1310" s="7">
        <f t="shared" si="13"/>
        <v>7.4197219223204325E-3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</row>
    <row r="1311" spans="1:28" ht="14.4" hidden="1">
      <c r="A1311" s="3">
        <f>LOOKUP(D1311,'AMFI DATA_2023H2'!F:L,'AMFI DATA_2023H2'!L:L)</f>
        <v>458</v>
      </c>
      <c r="B1311" s="4" t="s">
        <v>1365</v>
      </c>
      <c r="C1311" s="4" t="s">
        <v>1366</v>
      </c>
      <c r="D1311" s="5" t="s">
        <v>1367</v>
      </c>
      <c r="E1311" s="5">
        <v>7844.93</v>
      </c>
      <c r="F1311" s="6">
        <f>LOOKUP(D1311,'AMFI DATA_2023H2'!F:J,'AMFI DATA_2023H2'!J:J)</f>
        <v>8475.890800000001</v>
      </c>
      <c r="G1311" s="7">
        <f t="shared" si="12"/>
        <v>-1.7330426201338178E-2</v>
      </c>
      <c r="H1311" s="8">
        <v>8329</v>
      </c>
      <c r="I1311" s="8">
        <v>8301</v>
      </c>
      <c r="J1311" s="8">
        <v>8292</v>
      </c>
      <c r="K1311" s="8">
        <v>8222</v>
      </c>
      <c r="L1311" s="8">
        <v>8217</v>
      </c>
      <c r="M1311" s="8">
        <v>8200</v>
      </c>
      <c r="N1311" s="8">
        <v>8192</v>
      </c>
      <c r="O1311" s="8">
        <v>8270</v>
      </c>
      <c r="P1311" s="8">
        <v>8222</v>
      </c>
      <c r="Q1311" s="8">
        <v>8221</v>
      </c>
      <c r="R1311" s="7">
        <f t="shared" si="13"/>
        <v>-2.7052118226912558E-2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</row>
    <row r="1312" spans="1:28" ht="14.4" hidden="1">
      <c r="A1312" s="3">
        <f>LOOKUP(D1312,'AMFI DATA_2023H2'!F:L,'AMFI DATA_2023H2'!L:L)</f>
        <v>116</v>
      </c>
      <c r="B1312" s="4" t="s">
        <v>360</v>
      </c>
      <c r="C1312" s="4" t="s">
        <v>361</v>
      </c>
      <c r="D1312" s="5" t="s">
        <v>362</v>
      </c>
      <c r="E1312" s="5">
        <v>44906.92</v>
      </c>
      <c r="F1312" s="6">
        <f>LOOKUP(D1312,'AMFI DATA_2023H2'!F:J,'AMFI DATA_2023H2'!J:J)</f>
        <v>54344.356650000002</v>
      </c>
      <c r="G1312" s="7">
        <f t="shared" si="12"/>
        <v>2.9453717895839615E-2</v>
      </c>
      <c r="H1312" s="8">
        <v>55945</v>
      </c>
      <c r="I1312" s="8">
        <v>55490</v>
      </c>
      <c r="J1312" s="8">
        <v>55618</v>
      </c>
      <c r="K1312" s="8">
        <v>56251</v>
      </c>
      <c r="L1312" s="8">
        <v>56546</v>
      </c>
      <c r="M1312" s="8">
        <v>56298</v>
      </c>
      <c r="N1312" s="8">
        <v>55670</v>
      </c>
      <c r="O1312" s="8">
        <v>56677</v>
      </c>
      <c r="P1312" s="8">
        <v>55676</v>
      </c>
      <c r="Q1312" s="8">
        <v>55187</v>
      </c>
      <c r="R1312" s="7">
        <f t="shared" si="13"/>
        <v>2.9284427088714038E-2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</row>
    <row r="1313" spans="1:28" ht="14.4" hidden="1">
      <c r="A1313" s="3">
        <f>LOOKUP(D1313,'AMFI DATA_2023H2'!F:L,'AMFI DATA_2023H2'!L:L)</f>
        <v>1538</v>
      </c>
      <c r="B1313" s="4" t="s">
        <v>4031</v>
      </c>
      <c r="C1313" s="4" t="s">
        <v>4032</v>
      </c>
      <c r="D1313" s="5" t="s">
        <v>4033</v>
      </c>
      <c r="E1313" s="5">
        <v>4164.3599999999997</v>
      </c>
      <c r="F1313" s="6">
        <f>LOOKUP(D1313,'AMFI DATA_2023H2'!F:J,'AMFI DATA_2023H2'!J:J)</f>
        <v>469.37885</v>
      </c>
      <c r="G1313" s="7">
        <f t="shared" si="12"/>
        <v>0.19732706320278393</v>
      </c>
      <c r="H1313" s="9">
        <v>562</v>
      </c>
      <c r="I1313" s="9">
        <v>576</v>
      </c>
      <c r="J1313" s="9">
        <v>526</v>
      </c>
      <c r="K1313" s="9">
        <v>525</v>
      </c>
      <c r="L1313" s="9">
        <v>516</v>
      </c>
      <c r="M1313" s="9">
        <v>518</v>
      </c>
      <c r="N1313" s="9">
        <v>504</v>
      </c>
      <c r="O1313" s="9">
        <v>507</v>
      </c>
      <c r="P1313" s="9">
        <v>506</v>
      </c>
      <c r="Q1313" s="9">
        <v>510</v>
      </c>
      <c r="R1313" s="7">
        <f t="shared" si="13"/>
        <v>0.11849948074993155</v>
      </c>
      <c r="S1313" s="9"/>
      <c r="T1313" s="9"/>
      <c r="U1313" s="9"/>
      <c r="V1313" s="9"/>
      <c r="W1313" s="9"/>
      <c r="X1313" s="9"/>
      <c r="Y1313" s="9"/>
      <c r="Z1313" s="9"/>
      <c r="AA1313" s="9"/>
      <c r="AB1313" s="9"/>
    </row>
    <row r="1314" spans="1:28" ht="14.4" hidden="1">
      <c r="A1314" s="3">
        <f>LOOKUP(D1314,'AMFI DATA_2023H2'!F:L,'AMFI DATA_2023H2'!L:L)</f>
        <v>619</v>
      </c>
      <c r="B1314" s="4" t="s">
        <v>1827</v>
      </c>
      <c r="C1314" s="4" t="s">
        <v>1828</v>
      </c>
      <c r="D1314" s="5" t="s">
        <v>1829</v>
      </c>
      <c r="E1314" s="5">
        <v>3718.47</v>
      </c>
      <c r="F1314" s="6">
        <f>LOOKUP(D1314,'AMFI DATA_2023H2'!F:J,'AMFI DATA_2023H2'!J:J)</f>
        <v>4892.5181499999999</v>
      </c>
      <c r="G1314" s="7">
        <f t="shared" si="12"/>
        <v>4.8539799489553337E-2</v>
      </c>
      <c r="H1314" s="8">
        <v>5130</v>
      </c>
      <c r="I1314" s="8">
        <v>5075</v>
      </c>
      <c r="J1314" s="8">
        <v>4953</v>
      </c>
      <c r="K1314" s="8">
        <v>4961</v>
      </c>
      <c r="L1314" s="8">
        <v>4945</v>
      </c>
      <c r="M1314" s="8">
        <v>4974</v>
      </c>
      <c r="N1314" s="8">
        <v>5109</v>
      </c>
      <c r="O1314" s="8">
        <v>4990</v>
      </c>
      <c r="P1314" s="8">
        <v>5008</v>
      </c>
      <c r="Q1314" s="8">
        <v>5036</v>
      </c>
      <c r="R1314" s="7">
        <f t="shared" si="13"/>
        <v>2.5668141874956696E-2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</row>
    <row r="1315" spans="1:28" ht="14.4" hidden="1">
      <c r="A1315" s="3">
        <f>LOOKUP(D1315,'AMFI DATA_2023H2'!F:L,'AMFI DATA_2023H2'!L:L)</f>
        <v>813</v>
      </c>
      <c r="B1315" s="4" t="s">
        <v>2360</v>
      </c>
      <c r="C1315" s="4" t="s">
        <v>2361</v>
      </c>
      <c r="D1315" s="5" t="s">
        <v>2362</v>
      </c>
      <c r="E1315" s="5">
        <v>2537.15</v>
      </c>
      <c r="F1315" s="6">
        <f>LOOKUP(D1315,'AMFI DATA_2023H2'!F:J,'AMFI DATA_2023H2'!J:J)</f>
        <v>2782.5828999999999</v>
      </c>
      <c r="G1315" s="7">
        <f t="shared" si="12"/>
        <v>-4.9084934720183826E-2</v>
      </c>
      <c r="H1315" s="8">
        <v>2646</v>
      </c>
      <c r="I1315" s="8">
        <v>2659</v>
      </c>
      <c r="J1315" s="8">
        <v>2749</v>
      </c>
      <c r="K1315" s="8">
        <v>2746</v>
      </c>
      <c r="L1315" s="8">
        <v>2757</v>
      </c>
      <c r="M1315" s="8">
        <v>2765</v>
      </c>
      <c r="N1315" s="8">
        <v>2778</v>
      </c>
      <c r="O1315" s="8">
        <v>2775</v>
      </c>
      <c r="P1315" s="8">
        <v>2765</v>
      </c>
      <c r="Q1315" s="8">
        <v>2751</v>
      </c>
      <c r="R1315" s="7">
        <f t="shared" si="13"/>
        <v>-1.5626812052931149E-2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</row>
    <row r="1316" spans="1:28" ht="14.4" hidden="1">
      <c r="A1316" s="3">
        <f>LOOKUP(D1316,'AMFI DATA_2023H2'!F:L,'AMFI DATA_2023H2'!L:L)</f>
        <v>969</v>
      </c>
      <c r="B1316" s="4" t="s">
        <v>2780</v>
      </c>
      <c r="C1316" s="4" t="s">
        <v>2781</v>
      </c>
      <c r="D1316" s="5" t="s">
        <v>2782</v>
      </c>
      <c r="E1316" s="5">
        <v>1032</v>
      </c>
      <c r="F1316" s="6">
        <f>LOOKUP(D1316,'AMFI DATA_2023H2'!F:J,'AMFI DATA_2023H2'!J:J)</f>
        <v>1867.9207000000001</v>
      </c>
      <c r="G1316" s="7">
        <f t="shared" si="12"/>
        <v>0.49417477947538124</v>
      </c>
      <c r="H1316" s="8">
        <v>2791</v>
      </c>
      <c r="I1316" s="8">
        <v>2871</v>
      </c>
      <c r="J1316" s="8">
        <v>2800</v>
      </c>
      <c r="K1316" s="8">
        <v>2841</v>
      </c>
      <c r="L1316" s="8">
        <v>2809</v>
      </c>
      <c r="M1316" s="8">
        <v>2698</v>
      </c>
      <c r="N1316" s="8">
        <v>2720</v>
      </c>
      <c r="O1316" s="8">
        <v>2692</v>
      </c>
      <c r="P1316" s="8">
        <v>2685</v>
      </c>
      <c r="Q1316" s="8">
        <v>2730</v>
      </c>
      <c r="R1316" s="7">
        <f t="shared" si="13"/>
        <v>0.47955959800648906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</row>
    <row r="1317" spans="1:28" ht="14.4" hidden="1">
      <c r="A1317" s="3">
        <f>LOOKUP(D1317,'AMFI DATA_2023H2'!F:L,'AMFI DATA_2023H2'!L:L)</f>
        <v>671</v>
      </c>
      <c r="B1317" s="4" t="s">
        <v>1968</v>
      </c>
      <c r="C1317" s="4" t="s">
        <v>1969</v>
      </c>
      <c r="D1317" s="5" t="s">
        <v>1970</v>
      </c>
      <c r="E1317" s="5">
        <v>2832.21</v>
      </c>
      <c r="F1317" s="6">
        <f>LOOKUP(D1317,'AMFI DATA_2023H2'!F:J,'AMFI DATA_2023H2'!J:J)</f>
        <v>4175.5753000000004</v>
      </c>
      <c r="G1317" s="7">
        <f t="shared" si="12"/>
        <v>0.37202650853883523</v>
      </c>
      <c r="H1317" s="8">
        <v>5729</v>
      </c>
      <c r="I1317" s="8">
        <v>5763</v>
      </c>
      <c r="J1317" s="8">
        <v>5663</v>
      </c>
      <c r="K1317" s="8">
        <v>5595</v>
      </c>
      <c r="L1317" s="8">
        <v>5729</v>
      </c>
      <c r="M1317" s="8">
        <v>5620</v>
      </c>
      <c r="N1317" s="8">
        <v>5698</v>
      </c>
      <c r="O1317" s="8">
        <v>5648</v>
      </c>
      <c r="P1317" s="8">
        <v>5523</v>
      </c>
      <c r="Q1317" s="8">
        <v>5381</v>
      </c>
      <c r="R1317" s="7">
        <f t="shared" si="13"/>
        <v>0.34949069173773473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</row>
    <row r="1318" spans="1:28" ht="14.4">
      <c r="A1318" s="3">
        <f>LOOKUP(D1318,'AMFI DATA_2023H2'!F:L,'AMFI DATA_2023H2'!L:L)</f>
        <v>518</v>
      </c>
      <c r="B1318" s="4" t="s">
        <v>1539</v>
      </c>
      <c r="C1318" s="4" t="s">
        <v>1540</v>
      </c>
      <c r="D1318" s="5" t="s">
        <v>1541</v>
      </c>
      <c r="E1318" s="5">
        <v>4518.3500000000004</v>
      </c>
      <c r="F1318" s="6">
        <f>LOOKUP(D1318,'AMFI DATA_2023H2'!F:J,'AMFI DATA_2023H2'!J:J)</f>
        <v>7082.9154500000004</v>
      </c>
      <c r="G1318" s="7">
        <f t="shared" si="12"/>
        <v>0.3512797191444661</v>
      </c>
      <c r="H1318" s="8">
        <v>9571</v>
      </c>
      <c r="I1318" s="8">
        <v>9523</v>
      </c>
      <c r="J1318" s="8">
        <v>9644</v>
      </c>
      <c r="K1318" s="8">
        <v>9872</v>
      </c>
      <c r="L1318" s="8">
        <v>8975</v>
      </c>
      <c r="M1318" s="8">
        <v>8145</v>
      </c>
      <c r="N1318" s="8">
        <v>8196</v>
      </c>
      <c r="O1318" s="8">
        <v>8013</v>
      </c>
      <c r="P1318" s="8">
        <v>8141</v>
      </c>
      <c r="Q1318" s="8">
        <v>8001</v>
      </c>
      <c r="R1318" s="14">
        <f t="shared" si="13"/>
        <v>0.24356983535642796</v>
      </c>
      <c r="S1318" s="8"/>
      <c r="T1318" s="8">
        <v>7050</v>
      </c>
      <c r="U1318" s="15">
        <f ca="1">IFERROR(__xludf.DUMMYFUNCTION("GOOGLEFINANCE(C1318,""PRICE"")"),7085)</f>
        <v>7085</v>
      </c>
      <c r="V1318" s="13" t="s">
        <v>5787</v>
      </c>
      <c r="W1318" s="7">
        <f ca="1">U1318/T1318-1</f>
        <v>4.9645390070922613E-3</v>
      </c>
      <c r="X1318" s="8"/>
      <c r="Y1318" s="8"/>
      <c r="Z1318" s="8"/>
      <c r="AA1318" s="8"/>
      <c r="AB1318" s="8"/>
    </row>
    <row r="1319" spans="1:28" ht="14.4" hidden="1">
      <c r="A1319" s="3">
        <f>LOOKUP(D1319,'AMFI DATA_2023H2'!F:L,'AMFI DATA_2023H2'!L:L)</f>
        <v>1497</v>
      </c>
      <c r="B1319" s="4" t="s">
        <v>3956</v>
      </c>
      <c r="C1319" s="4" t="s">
        <v>3957</v>
      </c>
      <c r="D1319" s="5" t="s">
        <v>3958</v>
      </c>
      <c r="E1319" s="5">
        <v>426.97</v>
      </c>
      <c r="F1319" s="6">
        <f>LOOKUP(D1319,'AMFI DATA_2023H2'!F:J,'AMFI DATA_2023H2'!J:J)</f>
        <v>513.90184999999997</v>
      </c>
      <c r="G1319" s="7">
        <f t="shared" si="12"/>
        <v>0.17142991409740982</v>
      </c>
      <c r="H1319" s="9">
        <v>602</v>
      </c>
      <c r="I1319" s="9">
        <v>599</v>
      </c>
      <c r="J1319" s="9">
        <v>596</v>
      </c>
      <c r="K1319" s="9">
        <v>593</v>
      </c>
      <c r="L1319" s="9">
        <v>576</v>
      </c>
      <c r="M1319" s="9">
        <v>547</v>
      </c>
      <c r="N1319" s="9">
        <v>553</v>
      </c>
      <c r="O1319" s="9">
        <v>555</v>
      </c>
      <c r="P1319" s="9">
        <v>554</v>
      </c>
      <c r="Q1319" s="9">
        <v>559</v>
      </c>
      <c r="R1319" s="7">
        <f t="shared" si="13"/>
        <v>0.11577726369344665</v>
      </c>
      <c r="S1319" s="9"/>
      <c r="T1319" s="9"/>
      <c r="U1319" s="9"/>
      <c r="V1319" s="9"/>
      <c r="W1319" s="9"/>
      <c r="X1319" s="9"/>
      <c r="Y1319" s="9"/>
      <c r="Z1319" s="9"/>
      <c r="AA1319" s="9"/>
      <c r="AB1319" s="9"/>
    </row>
    <row r="1320" spans="1:28" ht="14.4" hidden="1">
      <c r="A1320" s="3">
        <f>LOOKUP(D1320,'AMFI DATA_2023H2'!F:L,'AMFI DATA_2023H2'!L:L)</f>
        <v>1556</v>
      </c>
      <c r="B1320" s="4" t="s">
        <v>4070</v>
      </c>
      <c r="C1320" s="4" t="s">
        <v>4071</v>
      </c>
      <c r="D1320" s="5" t="s">
        <v>4072</v>
      </c>
      <c r="E1320" s="5">
        <v>398.03</v>
      </c>
      <c r="F1320" s="6">
        <f>LOOKUP(D1320,'AMFI DATA_2023H2'!F:J,'AMFI DATA_2023H2'!J:J)</f>
        <v>450.55449999999996</v>
      </c>
      <c r="G1320" s="7">
        <f t="shared" si="12"/>
        <v>9.1987761746914254E-2</v>
      </c>
      <c r="H1320" s="9">
        <v>492</v>
      </c>
      <c r="I1320" s="9">
        <v>483</v>
      </c>
      <c r="J1320" s="9">
        <v>482</v>
      </c>
      <c r="K1320" s="9">
        <v>487</v>
      </c>
      <c r="L1320" s="9">
        <v>487</v>
      </c>
      <c r="M1320" s="9">
        <v>492</v>
      </c>
      <c r="N1320" s="9">
        <v>482</v>
      </c>
      <c r="O1320" s="9">
        <v>486</v>
      </c>
      <c r="P1320" s="9">
        <v>479</v>
      </c>
      <c r="Q1320" s="9">
        <v>476</v>
      </c>
      <c r="R1320" s="7">
        <f t="shared" si="13"/>
        <v>7.5563555574297947E-2</v>
      </c>
      <c r="S1320" s="9"/>
      <c r="T1320" s="9"/>
      <c r="U1320" s="9"/>
      <c r="V1320" s="9"/>
      <c r="W1320" s="9"/>
      <c r="X1320" s="9"/>
      <c r="Y1320" s="9"/>
      <c r="Z1320" s="9"/>
      <c r="AA1320" s="9"/>
      <c r="AB1320" s="9"/>
    </row>
    <row r="1321" spans="1:28" ht="14.4" hidden="1">
      <c r="A1321" s="3">
        <f>LOOKUP(D1321,'AMFI DATA_2023H2'!F:L,'AMFI DATA_2023H2'!L:L)</f>
        <v>216</v>
      </c>
      <c r="B1321" s="4" t="s">
        <v>657</v>
      </c>
      <c r="C1321" s="4" t="s">
        <v>658</v>
      </c>
      <c r="D1321" s="5" t="s">
        <v>659</v>
      </c>
      <c r="E1321" s="5">
        <v>20205.36</v>
      </c>
      <c r="F1321" s="6">
        <f>LOOKUP(D1321,'AMFI DATA_2023H2'!F:J,'AMFI DATA_2023H2'!J:J)</f>
        <v>26708.250700000001</v>
      </c>
      <c r="G1321" s="7">
        <f t="shared" si="12"/>
        <v>0.12598164281871149</v>
      </c>
      <c r="H1321" s="8">
        <v>30073</v>
      </c>
      <c r="I1321" s="8">
        <v>30398</v>
      </c>
      <c r="J1321" s="8">
        <v>29978</v>
      </c>
      <c r="K1321" s="8">
        <v>29551</v>
      </c>
      <c r="L1321" s="8">
        <v>29700</v>
      </c>
      <c r="M1321" s="8">
        <v>29110</v>
      </c>
      <c r="N1321" s="8">
        <v>29314</v>
      </c>
      <c r="O1321" s="8">
        <v>29551</v>
      </c>
      <c r="P1321" s="8">
        <v>29592</v>
      </c>
      <c r="Q1321" s="8">
        <v>29212</v>
      </c>
      <c r="R1321" s="7">
        <f t="shared" si="13"/>
        <v>0.11006521291939197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</row>
    <row r="1322" spans="1:28" ht="14.4" hidden="1">
      <c r="A1322" s="3">
        <f>LOOKUP(D1322,'AMFI DATA_2023H2'!F:L,'AMFI DATA_2023H2'!L:L)</f>
        <v>1093</v>
      </c>
      <c r="B1322" s="4" t="s">
        <v>3095</v>
      </c>
      <c r="C1322" s="4" t="s">
        <v>3096</v>
      </c>
      <c r="D1322" s="5" t="s">
        <v>3097</v>
      </c>
      <c r="E1322" s="5">
        <v>1089.3800000000001</v>
      </c>
      <c r="F1322" s="6">
        <f>LOOKUP(D1322,'AMFI DATA_2023H2'!F:J,'AMFI DATA_2023H2'!J:J)</f>
        <v>1352.14825</v>
      </c>
      <c r="G1322" s="7">
        <f t="shared" si="12"/>
        <v>0.15667790125823844</v>
      </c>
      <c r="H1322" s="8">
        <v>1564</v>
      </c>
      <c r="I1322" s="8">
        <v>1588</v>
      </c>
      <c r="J1322" s="8">
        <v>1590</v>
      </c>
      <c r="K1322" s="8">
        <v>1607</v>
      </c>
      <c r="L1322" s="8">
        <v>1629</v>
      </c>
      <c r="M1322" s="8">
        <v>1622</v>
      </c>
      <c r="N1322" s="8">
        <v>1561</v>
      </c>
      <c r="O1322" s="8">
        <v>1534</v>
      </c>
      <c r="P1322" s="8">
        <v>1525</v>
      </c>
      <c r="Q1322" s="8">
        <v>1487</v>
      </c>
      <c r="R1322" s="7">
        <f t="shared" si="13"/>
        <v>0.16163297922398678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</row>
    <row r="1323" spans="1:28" ht="14.4" hidden="1">
      <c r="A1323" s="3">
        <f>LOOKUP(D1323,'AMFI DATA_2023H2'!F:L,'AMFI DATA_2023H2'!L:L)</f>
        <v>78</v>
      </c>
      <c r="B1323" s="4" t="s">
        <v>246</v>
      </c>
      <c r="C1323" s="4" t="s">
        <v>247</v>
      </c>
      <c r="D1323" s="5" t="s">
        <v>248</v>
      </c>
      <c r="E1323" s="5">
        <v>56007.62</v>
      </c>
      <c r="F1323" s="6">
        <f>LOOKUP(D1323,'AMFI DATA_2023H2'!F:J,'AMFI DATA_2023H2'!J:J)</f>
        <v>79773.787849999993</v>
      </c>
      <c r="G1323" s="7">
        <f t="shared" si="12"/>
        <v>0.34232061540500114</v>
      </c>
      <c r="H1323" s="8">
        <v>107082</v>
      </c>
      <c r="I1323" s="8">
        <v>107247</v>
      </c>
      <c r="J1323" s="8">
        <v>106223</v>
      </c>
      <c r="K1323" s="8">
        <v>106807</v>
      </c>
      <c r="L1323" s="8">
        <v>107699</v>
      </c>
      <c r="M1323" s="8">
        <v>105475</v>
      </c>
      <c r="N1323" s="8">
        <v>105298</v>
      </c>
      <c r="O1323" s="8">
        <v>101048</v>
      </c>
      <c r="P1323" s="8">
        <v>97480</v>
      </c>
      <c r="Q1323" s="8">
        <v>98273</v>
      </c>
      <c r="R1323" s="7">
        <f t="shared" si="13"/>
        <v>0.30698570056680596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</row>
    <row r="1324" spans="1:28" ht="14.4" hidden="1">
      <c r="A1324" s="3">
        <f>LOOKUP(D1324,'AMFI DATA_2023H2'!F:L,'AMFI DATA_2023H2'!L:L)</f>
        <v>775</v>
      </c>
      <c r="B1324" s="4" t="s">
        <v>2267</v>
      </c>
      <c r="C1324" s="4" t="s">
        <v>2268</v>
      </c>
      <c r="D1324" s="5" t="s">
        <v>2269</v>
      </c>
      <c r="E1324" s="5">
        <v>1972.05</v>
      </c>
      <c r="F1324" s="6">
        <f>LOOKUP(D1324,'AMFI DATA_2023H2'!F:J,'AMFI DATA_2023H2'!J:J)</f>
        <v>3108.9040500000001</v>
      </c>
      <c r="G1324" s="7">
        <f t="shared" si="12"/>
        <v>0.57032829623673975</v>
      </c>
      <c r="H1324" s="8">
        <v>4882</v>
      </c>
      <c r="I1324" s="8">
        <v>5115</v>
      </c>
      <c r="J1324" s="8">
        <v>4488</v>
      </c>
      <c r="K1324" s="8">
        <v>4359</v>
      </c>
      <c r="L1324" s="8">
        <v>4443</v>
      </c>
      <c r="M1324" s="8">
        <v>4435</v>
      </c>
      <c r="N1324" s="8">
        <v>4456</v>
      </c>
      <c r="O1324" s="8">
        <v>4534</v>
      </c>
      <c r="P1324" s="8">
        <v>4490</v>
      </c>
      <c r="Q1324" s="8">
        <v>4411</v>
      </c>
      <c r="R1324" s="7">
        <f t="shared" si="13"/>
        <v>0.46717297370435085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</row>
    <row r="1325" spans="1:28" ht="14.4" hidden="1">
      <c r="A1325" s="3">
        <f>LOOKUP(D1325,'AMFI DATA_2023H2'!F:L,'AMFI DATA_2023H2'!L:L)</f>
        <v>1740</v>
      </c>
      <c r="B1325" s="4" t="s">
        <v>4391</v>
      </c>
      <c r="C1325" s="4" t="s">
        <v>4392</v>
      </c>
      <c r="D1325" s="5" t="s">
        <v>4393</v>
      </c>
      <c r="E1325" s="5">
        <v>240.06</v>
      </c>
      <c r="F1325" s="6">
        <f>LOOKUP(D1325,'AMFI DATA_2023H2'!F:J,'AMFI DATA_2023H2'!J:J)</f>
        <v>302.40350000000001</v>
      </c>
      <c r="G1325" s="7">
        <f t="shared" si="12"/>
        <v>0.31281549320692381</v>
      </c>
      <c r="H1325" s="9">
        <v>397</v>
      </c>
      <c r="I1325" s="9">
        <v>389</v>
      </c>
      <c r="J1325" s="9">
        <v>385</v>
      </c>
      <c r="K1325" s="9">
        <v>375</v>
      </c>
      <c r="L1325" s="9">
        <v>378</v>
      </c>
      <c r="M1325" s="9">
        <v>379</v>
      </c>
      <c r="N1325" s="9">
        <v>380</v>
      </c>
      <c r="O1325" s="9">
        <v>391</v>
      </c>
      <c r="P1325" s="9">
        <v>390</v>
      </c>
      <c r="Q1325" s="9">
        <v>385</v>
      </c>
      <c r="R1325" s="7">
        <f t="shared" si="13"/>
        <v>0.27280272880439527</v>
      </c>
      <c r="S1325" s="9"/>
      <c r="T1325" s="9"/>
      <c r="U1325" s="9"/>
      <c r="V1325" s="9"/>
      <c r="W1325" s="9"/>
      <c r="X1325" s="9"/>
      <c r="Y1325" s="9"/>
      <c r="Z1325" s="9"/>
      <c r="AA1325" s="9"/>
      <c r="AB1325" s="9"/>
    </row>
    <row r="1326" spans="1:28" ht="14.4" hidden="1">
      <c r="A1326" s="3">
        <f>LOOKUP(D1326,'AMFI DATA_2023H2'!F:L,'AMFI DATA_2023H2'!L:L)</f>
        <v>301</v>
      </c>
      <c r="B1326" s="4" t="s">
        <v>912</v>
      </c>
      <c r="C1326" s="4" t="s">
        <v>913</v>
      </c>
      <c r="D1326" s="5" t="s">
        <v>914</v>
      </c>
      <c r="E1326" s="5">
        <v>13020.26</v>
      </c>
      <c r="F1326" s="6">
        <f>LOOKUP(D1326,'AMFI DATA_2023H2'!F:J,'AMFI DATA_2023H2'!J:J)</f>
        <v>16274.116849999999</v>
      </c>
      <c r="G1326" s="7">
        <f t="shared" si="12"/>
        <v>-5.4759868582361371E-3</v>
      </c>
      <c r="H1326" s="8">
        <v>16185</v>
      </c>
      <c r="I1326" s="8">
        <v>16340</v>
      </c>
      <c r="J1326" s="8">
        <v>16828</v>
      </c>
      <c r="K1326" s="8">
        <v>16328</v>
      </c>
      <c r="L1326" s="8">
        <v>16278</v>
      </c>
      <c r="M1326" s="8">
        <v>16289</v>
      </c>
      <c r="N1326" s="8">
        <v>16259</v>
      </c>
      <c r="O1326" s="8">
        <v>16420</v>
      </c>
      <c r="P1326" s="8">
        <v>16264</v>
      </c>
      <c r="Q1326" s="8">
        <v>16690</v>
      </c>
      <c r="R1326" s="7">
        <f t="shared" si="13"/>
        <v>7.0039530286400975E-3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</row>
    <row r="1327" spans="1:28" ht="14.4" hidden="1">
      <c r="A1327" s="3">
        <f>LOOKUP(D1327,'AMFI DATA_2023H2'!F:L,'AMFI DATA_2023H2'!L:L)</f>
        <v>1360</v>
      </c>
      <c r="B1327" s="4" t="s">
        <v>3680</v>
      </c>
      <c r="C1327" s="4" t="s">
        <v>3681</v>
      </c>
      <c r="D1327" s="5" t="s">
        <v>3682</v>
      </c>
      <c r="E1327" s="5">
        <v>13020.26</v>
      </c>
      <c r="F1327" s="6">
        <f>LOOKUP(D1327,'AMFI DATA_2023H2'!F:J,'AMFI DATA_2023H2'!J:J)</f>
        <v>706.31584999999995</v>
      </c>
      <c r="G1327" s="7">
        <f t="shared" si="12"/>
        <v>-4.6945711327304185E-3</v>
      </c>
      <c r="H1327" s="9">
        <v>703</v>
      </c>
      <c r="I1327" s="9">
        <v>709</v>
      </c>
      <c r="J1327" s="9">
        <v>701</v>
      </c>
      <c r="K1327" s="9">
        <v>720</v>
      </c>
      <c r="L1327" s="9">
        <v>709</v>
      </c>
      <c r="M1327" s="9">
        <v>711</v>
      </c>
      <c r="N1327" s="9">
        <v>725</v>
      </c>
      <c r="O1327" s="9">
        <v>721</v>
      </c>
      <c r="P1327" s="9">
        <v>722</v>
      </c>
      <c r="Q1327" s="9">
        <v>710</v>
      </c>
      <c r="R1327" s="7">
        <f t="shared" si="13"/>
        <v>9.6049805480085126E-3</v>
      </c>
      <c r="S1327" s="9"/>
      <c r="T1327" s="9"/>
      <c r="U1327" s="9"/>
      <c r="V1327" s="9"/>
      <c r="W1327" s="9"/>
      <c r="X1327" s="9"/>
      <c r="Y1327" s="9"/>
      <c r="Z1327" s="9"/>
      <c r="AA1327" s="9"/>
      <c r="AB1327" s="9"/>
    </row>
    <row r="1328" spans="1:28" ht="14.4" hidden="1">
      <c r="A1328" s="3">
        <f>LOOKUP(D1328,'AMFI DATA_2023H2'!F:L,'AMFI DATA_2023H2'!L:L)</f>
        <v>537</v>
      </c>
      <c r="B1328" s="4" t="s">
        <v>1590</v>
      </c>
      <c r="C1328" s="4" t="s">
        <v>1591</v>
      </c>
      <c r="D1328" s="5" t="s">
        <v>1592</v>
      </c>
      <c r="E1328" s="5">
        <v>5691.48</v>
      </c>
      <c r="F1328" s="6">
        <f>LOOKUP(D1328,'AMFI DATA_2023H2'!F:J,'AMFI DATA_2023H2'!J:J)</f>
        <v>6616.9693499999994</v>
      </c>
      <c r="G1328" s="7">
        <f t="shared" si="12"/>
        <v>0.13208926984073166</v>
      </c>
      <c r="H1328" s="8">
        <v>7491</v>
      </c>
      <c r="I1328" s="8">
        <v>7615</v>
      </c>
      <c r="J1328" s="8">
        <v>7619</v>
      </c>
      <c r="K1328" s="8">
        <v>7526</v>
      </c>
      <c r="L1328" s="8">
        <v>7705</v>
      </c>
      <c r="M1328" s="8">
        <v>7760</v>
      </c>
      <c r="N1328" s="8">
        <v>7768</v>
      </c>
      <c r="O1328" s="8">
        <v>7508</v>
      </c>
      <c r="P1328" s="8">
        <v>7591</v>
      </c>
      <c r="Q1328" s="8">
        <v>7643</v>
      </c>
      <c r="R1328" s="7">
        <f t="shared" si="13"/>
        <v>0.15197752880629567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</row>
    <row r="1329" spans="1:28" ht="14.4" hidden="1">
      <c r="A1329" s="3">
        <f>LOOKUP(D1329,'AMFI DATA_2023H2'!F:L,'AMFI DATA_2023H2'!L:L)</f>
        <v>1069</v>
      </c>
      <c r="B1329" s="4" t="s">
        <v>3038</v>
      </c>
      <c r="C1329" s="4" t="s">
        <v>3039</v>
      </c>
      <c r="D1329" s="5" t="s">
        <v>3040</v>
      </c>
      <c r="E1329" s="5">
        <v>807.81</v>
      </c>
      <c r="F1329" s="6">
        <f>LOOKUP(D1329,'AMFI DATA_2023H2'!F:J,'AMFI DATA_2023H2'!J:J)</f>
        <v>1416.1514500000001</v>
      </c>
      <c r="G1329" s="7">
        <f t="shared" si="12"/>
        <v>0.38615117754531125</v>
      </c>
      <c r="H1329" s="8">
        <v>1963</v>
      </c>
      <c r="I1329" s="8">
        <v>1989</v>
      </c>
      <c r="J1329" s="8">
        <v>1932</v>
      </c>
      <c r="K1329" s="8">
        <v>1919</v>
      </c>
      <c r="L1329" s="8">
        <v>1889</v>
      </c>
      <c r="M1329" s="8">
        <v>1924</v>
      </c>
      <c r="N1329" s="8">
        <v>1953</v>
      </c>
      <c r="O1329" s="8">
        <v>1953</v>
      </c>
      <c r="P1329" s="8">
        <v>1997</v>
      </c>
      <c r="Q1329" s="8">
        <v>1961</v>
      </c>
      <c r="R1329" s="7">
        <f t="shared" si="13"/>
        <v>0.37555909009590738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</row>
    <row r="1330" spans="1:28" ht="14.4" hidden="1">
      <c r="A1330" s="3">
        <f>LOOKUP(D1330,'AMFI DATA_2023H2'!F:L,'AMFI DATA_2023H2'!L:L)</f>
        <v>295</v>
      </c>
      <c r="B1330" s="4" t="s">
        <v>894</v>
      </c>
      <c r="C1330" s="4" t="s">
        <v>895</v>
      </c>
      <c r="D1330" s="5" t="s">
        <v>896</v>
      </c>
      <c r="E1330" s="5">
        <v>1262.47</v>
      </c>
      <c r="F1330" s="6">
        <f>LOOKUP(D1330,'AMFI DATA_2023H2'!F:J,'AMFI DATA_2023H2'!J:J)</f>
        <v>17103.657599999999</v>
      </c>
      <c r="G1330" s="7">
        <f t="shared" si="12"/>
        <v>3.9192926780760695E-2</v>
      </c>
      <c r="H1330" s="8">
        <v>17774</v>
      </c>
      <c r="I1330" s="8">
        <v>17932</v>
      </c>
      <c r="J1330" s="8">
        <v>17379</v>
      </c>
      <c r="K1330" s="8">
        <v>17578</v>
      </c>
      <c r="L1330" s="8">
        <v>17781</v>
      </c>
      <c r="M1330" s="8">
        <v>17820</v>
      </c>
      <c r="N1330" s="8">
        <v>17871</v>
      </c>
      <c r="O1330" s="8">
        <v>17926</v>
      </c>
      <c r="P1330" s="8">
        <v>17823</v>
      </c>
      <c r="Q1330" s="8">
        <v>18264</v>
      </c>
      <c r="R1330" s="7">
        <f t="shared" si="13"/>
        <v>4.1578381456841118E-2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</row>
    <row r="1331" spans="1:28" ht="14.4" hidden="1">
      <c r="A1331" s="3">
        <f>LOOKUP(D1331,'AMFI DATA_2023H2'!F:L,'AMFI DATA_2023H2'!L:L)</f>
        <v>582</v>
      </c>
      <c r="B1331" s="4" t="s">
        <v>1719</v>
      </c>
      <c r="C1331" s="4" t="s">
        <v>1720</v>
      </c>
      <c r="D1331" s="5" t="s">
        <v>1721</v>
      </c>
      <c r="E1331" s="5">
        <v>3248.79</v>
      </c>
      <c r="F1331" s="6">
        <f>LOOKUP(D1331,'AMFI DATA_2023H2'!F:J,'AMFI DATA_2023H2'!J:J)</f>
        <v>5781.0319999999992</v>
      </c>
      <c r="G1331" s="7">
        <f t="shared" si="12"/>
        <v>0.12263692710920826</v>
      </c>
      <c r="H1331" s="8">
        <v>6490</v>
      </c>
      <c r="I1331" s="8">
        <v>6501</v>
      </c>
      <c r="J1331" s="8">
        <v>6480</v>
      </c>
      <c r="K1331" s="8">
        <v>6443</v>
      </c>
      <c r="L1331" s="8">
        <v>6561</v>
      </c>
      <c r="M1331" s="8">
        <v>6459</v>
      </c>
      <c r="N1331" s="8">
        <v>6596</v>
      </c>
      <c r="O1331" s="8">
        <v>6679</v>
      </c>
      <c r="P1331" s="8">
        <v>6648</v>
      </c>
      <c r="Q1331" s="8">
        <v>6760</v>
      </c>
      <c r="R1331" s="7">
        <f t="shared" si="13"/>
        <v>0.13503955695107739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</row>
    <row r="1332" spans="1:28" ht="14.4" hidden="1">
      <c r="A1332" s="3">
        <f>LOOKUP(D1332,'AMFI DATA_2023H2'!F:L,'AMFI DATA_2023H2'!L:L)</f>
        <v>2194</v>
      </c>
      <c r="B1332" s="4" t="s">
        <v>5006</v>
      </c>
      <c r="C1332" s="4" t="s">
        <v>5007</v>
      </c>
      <c r="D1332" s="5" t="s">
        <v>5008</v>
      </c>
      <c r="E1332" s="5">
        <v>73.989999999999995</v>
      </c>
      <c r="F1332" s="6">
        <f>LOOKUP(D1332,'AMFI DATA_2023H2'!F:J,'AMFI DATA_2023H2'!J:J)</f>
        <v>134.21600000000001</v>
      </c>
      <c r="G1332" s="7">
        <f t="shared" si="12"/>
        <v>0.27406568516421292</v>
      </c>
      <c r="H1332" s="9">
        <v>171</v>
      </c>
      <c r="I1332" s="9">
        <v>163</v>
      </c>
      <c r="J1332" s="9">
        <v>155</v>
      </c>
      <c r="K1332" s="9">
        <v>158</v>
      </c>
      <c r="L1332" s="9">
        <v>154</v>
      </c>
      <c r="M1332" s="9">
        <v>152</v>
      </c>
      <c r="N1332" s="9">
        <v>153</v>
      </c>
      <c r="O1332" s="9">
        <v>161</v>
      </c>
      <c r="P1332" s="9">
        <v>160</v>
      </c>
      <c r="Q1332" s="9">
        <v>158</v>
      </c>
      <c r="R1332" s="7">
        <f t="shared" si="13"/>
        <v>0.18093222864636105</v>
      </c>
      <c r="S1332" s="9"/>
      <c r="T1332" s="9"/>
      <c r="U1332" s="9"/>
      <c r="V1332" s="9"/>
      <c r="W1332" s="9"/>
      <c r="X1332" s="9"/>
      <c r="Y1332" s="9"/>
      <c r="Z1332" s="9"/>
      <c r="AA1332" s="9"/>
      <c r="AB1332" s="9"/>
    </row>
    <row r="1333" spans="1:28" ht="14.4" hidden="1">
      <c r="A1333" s="3">
        <f>LOOKUP(D1333,'AMFI DATA_2023H2'!F:L,'AMFI DATA_2023H2'!L:L)</f>
        <v>1769</v>
      </c>
      <c r="B1333" s="4" t="s">
        <v>4436</v>
      </c>
      <c r="C1333" s="4" t="s">
        <v>4437</v>
      </c>
      <c r="D1333" s="5" t="s">
        <v>4438</v>
      </c>
      <c r="E1333" s="5">
        <v>166.02</v>
      </c>
      <c r="F1333" s="6">
        <f>LOOKUP(D1333,'AMFI DATA_2023H2'!F:J,'AMFI DATA_2023H2'!J:J)</f>
        <v>286.94405</v>
      </c>
      <c r="G1333" s="7">
        <f t="shared" si="12"/>
        <v>0.71113497561632655</v>
      </c>
      <c r="H1333" s="9">
        <v>491</v>
      </c>
      <c r="I1333" s="9">
        <v>501</v>
      </c>
      <c r="J1333" s="9">
        <v>511</v>
      </c>
      <c r="K1333" s="9">
        <v>486</v>
      </c>
      <c r="L1333" s="9">
        <v>463</v>
      </c>
      <c r="M1333" s="9">
        <v>441</v>
      </c>
      <c r="N1333" s="9">
        <v>420</v>
      </c>
      <c r="O1333" s="9">
        <v>400</v>
      </c>
      <c r="P1333" s="9">
        <v>381</v>
      </c>
      <c r="Q1333" s="9">
        <v>363</v>
      </c>
      <c r="R1333" s="7">
        <f t="shared" si="13"/>
        <v>0.55326447786598121</v>
      </c>
      <c r="S1333" s="9"/>
      <c r="T1333" s="9"/>
      <c r="U1333" s="9"/>
      <c r="V1333" s="9"/>
      <c r="W1333" s="9"/>
      <c r="X1333" s="9"/>
      <c r="Y1333" s="9"/>
      <c r="Z1333" s="9"/>
      <c r="AA1333" s="9"/>
      <c r="AB1333" s="9"/>
    </row>
    <row r="1334" spans="1:28" ht="14.4" hidden="1">
      <c r="A1334" s="3">
        <f>LOOKUP(D1334,'AMFI DATA_2023H2'!F:L,'AMFI DATA_2023H2'!L:L)</f>
        <v>1534</v>
      </c>
      <c r="B1334" s="4" t="s">
        <v>4025</v>
      </c>
      <c r="C1334" s="4" t="s">
        <v>4026</v>
      </c>
      <c r="D1334" s="5" t="s">
        <v>4027</v>
      </c>
      <c r="E1334" s="5">
        <v>391.68</v>
      </c>
      <c r="F1334" s="6">
        <f>LOOKUP(D1334,'AMFI DATA_2023H2'!F:J,'AMFI DATA_2023H2'!J:J)</f>
        <v>471.41539999999998</v>
      </c>
      <c r="G1334" s="7">
        <f t="shared" si="12"/>
        <v>0.28336918989069937</v>
      </c>
      <c r="H1334" s="9">
        <v>605</v>
      </c>
      <c r="I1334" s="9">
        <v>607</v>
      </c>
      <c r="J1334" s="9">
        <v>606</v>
      </c>
      <c r="K1334" s="9">
        <v>622</v>
      </c>
      <c r="L1334" s="9">
        <v>622</v>
      </c>
      <c r="M1334" s="9">
        <v>616</v>
      </c>
      <c r="N1334" s="9">
        <v>618</v>
      </c>
      <c r="O1334" s="9">
        <v>631</v>
      </c>
      <c r="P1334" s="9">
        <v>631</v>
      </c>
      <c r="Q1334" s="9">
        <v>633</v>
      </c>
      <c r="R1334" s="7">
        <f t="shared" si="13"/>
        <v>0.31327911646501172</v>
      </c>
      <c r="S1334" s="9"/>
      <c r="T1334" s="9"/>
      <c r="U1334" s="9"/>
      <c r="V1334" s="9"/>
      <c r="W1334" s="9"/>
      <c r="X1334" s="9"/>
      <c r="Y1334" s="9"/>
      <c r="Z1334" s="9"/>
      <c r="AA1334" s="9"/>
      <c r="AB1334" s="9"/>
    </row>
    <row r="1335" spans="1:28" ht="14.4" hidden="1">
      <c r="A1335" s="3">
        <f>LOOKUP(D1335,'AMFI DATA_2023H2'!F:L,'AMFI DATA_2023H2'!L:L)</f>
        <v>4017</v>
      </c>
      <c r="B1335" s="4" t="s">
        <v>5755</v>
      </c>
      <c r="C1335" s="4" t="s">
        <v>5756</v>
      </c>
      <c r="D1335" s="5" t="s">
        <v>5757</v>
      </c>
      <c r="E1335" s="5">
        <v>9.18</v>
      </c>
      <c r="F1335" s="6">
        <f>LOOKUP(D1335,'AMFI DATA_2023H2'!F:J,'AMFI DATA_2023H2'!J:J)</f>
        <v>8.2822499999999994</v>
      </c>
      <c r="G1335" s="7">
        <f t="shared" si="12"/>
        <v>0.4609556581846721</v>
      </c>
      <c r="H1335" s="9">
        <v>12.1</v>
      </c>
      <c r="I1335" s="9">
        <v>11.4</v>
      </c>
      <c r="J1335" s="9">
        <v>10.9</v>
      </c>
      <c r="K1335" s="9">
        <v>10.7</v>
      </c>
      <c r="L1335" s="9">
        <v>10.6</v>
      </c>
      <c r="M1335" s="9">
        <v>10.4</v>
      </c>
      <c r="N1335" s="9">
        <v>9.91</v>
      </c>
      <c r="O1335" s="9">
        <v>9.75</v>
      </c>
      <c r="P1335" s="9">
        <v>8.9</v>
      </c>
      <c r="Q1335" s="9">
        <v>9.2100000000000009</v>
      </c>
      <c r="R1335" s="7">
        <f t="shared" si="13"/>
        <v>0.25412780343505714</v>
      </c>
      <c r="S1335" s="9"/>
      <c r="T1335" s="9"/>
      <c r="U1335" s="9"/>
      <c r="V1335" s="9"/>
      <c r="W1335" s="9"/>
      <c r="X1335" s="9"/>
      <c r="Y1335" s="9"/>
      <c r="Z1335" s="9"/>
      <c r="AA1335" s="9"/>
      <c r="AB1335" s="9"/>
    </row>
    <row r="1336" spans="1:28" ht="14.4" hidden="1">
      <c r="A1336" s="3">
        <f>LOOKUP(D1336,'AMFI DATA_2023H2'!F:L,'AMFI DATA_2023H2'!L:L)</f>
        <v>391</v>
      </c>
      <c r="B1336" s="4" t="s">
        <v>1176</v>
      </c>
      <c r="C1336" s="4" t="s">
        <v>1177</v>
      </c>
      <c r="D1336" s="5" t="s">
        <v>1178</v>
      </c>
      <c r="E1336" s="5">
        <v>16.760000000000002</v>
      </c>
      <c r="F1336" s="6">
        <f>LOOKUP(D1336,'AMFI DATA_2023H2'!F:J,'AMFI DATA_2023H2'!J:J)</f>
        <v>10675.278350000001</v>
      </c>
      <c r="G1336" s="7">
        <f t="shared" si="12"/>
        <v>-0.99828575898444838</v>
      </c>
      <c r="H1336" s="9">
        <v>18.3</v>
      </c>
      <c r="I1336" s="9">
        <v>18.3</v>
      </c>
      <c r="J1336" s="9">
        <v>18.3</v>
      </c>
      <c r="K1336" s="9">
        <v>18.3</v>
      </c>
      <c r="L1336" s="9">
        <v>18.3</v>
      </c>
      <c r="M1336" s="9">
        <v>18.3</v>
      </c>
      <c r="N1336" s="9">
        <v>18.3</v>
      </c>
      <c r="O1336" s="9">
        <v>18.3</v>
      </c>
      <c r="P1336" s="9">
        <v>18.3</v>
      </c>
      <c r="Q1336" s="9">
        <v>18.3</v>
      </c>
      <c r="R1336" s="7">
        <f t="shared" si="13"/>
        <v>-0.99828575898444838</v>
      </c>
      <c r="S1336" s="9"/>
      <c r="T1336" s="9"/>
      <c r="U1336" s="9"/>
      <c r="V1336" s="9"/>
      <c r="W1336" s="9"/>
      <c r="X1336" s="9"/>
      <c r="Y1336" s="9"/>
      <c r="Z1336" s="9"/>
      <c r="AA1336" s="9"/>
      <c r="AB1336" s="9"/>
    </row>
    <row r="1337" spans="1:28" ht="14.4" hidden="1">
      <c r="A1337" s="3">
        <f>LOOKUP(D1337,'AMFI DATA_2023H2'!F:L,'AMFI DATA_2023H2'!L:L)</f>
        <v>1539</v>
      </c>
      <c r="B1337" s="4" t="s">
        <v>4034</v>
      </c>
      <c r="C1337" s="4" t="s">
        <v>4035</v>
      </c>
      <c r="D1337" s="5" t="s">
        <v>4036</v>
      </c>
      <c r="E1337" s="5">
        <v>416.54</v>
      </c>
      <c r="F1337" s="6">
        <f>LOOKUP(D1337,'AMFI DATA_2023H2'!F:J,'AMFI DATA_2023H2'!J:J)</f>
        <v>468.87200000000001</v>
      </c>
      <c r="G1337" s="7">
        <f t="shared" si="12"/>
        <v>0.18369192444846361</v>
      </c>
      <c r="H1337" s="9">
        <v>555</v>
      </c>
      <c r="I1337" s="9">
        <v>551</v>
      </c>
      <c r="J1337" s="9">
        <v>545</v>
      </c>
      <c r="K1337" s="9">
        <v>540</v>
      </c>
      <c r="L1337" s="9">
        <v>530</v>
      </c>
      <c r="M1337" s="9">
        <v>527</v>
      </c>
      <c r="N1337" s="9">
        <v>525</v>
      </c>
      <c r="O1337" s="9">
        <v>535</v>
      </c>
      <c r="P1337" s="9">
        <v>534</v>
      </c>
      <c r="Q1337" s="9">
        <v>523</v>
      </c>
      <c r="R1337" s="7">
        <f t="shared" si="13"/>
        <v>0.14423552696684805</v>
      </c>
      <c r="S1337" s="9"/>
      <c r="T1337" s="9"/>
      <c r="U1337" s="9"/>
      <c r="V1337" s="9"/>
      <c r="W1337" s="9"/>
      <c r="X1337" s="9"/>
      <c r="Y1337" s="9"/>
      <c r="Z1337" s="9"/>
      <c r="AA1337" s="9"/>
      <c r="AB1337" s="9"/>
    </row>
    <row r="1338" spans="1:28" ht="14.4" hidden="1">
      <c r="A1338" s="3">
        <f>LOOKUP(D1338,'AMFI DATA_2023H2'!F:L,'AMFI DATA_2023H2'!L:L)</f>
        <v>1214</v>
      </c>
      <c r="B1338" s="4" t="s">
        <v>3386</v>
      </c>
      <c r="C1338" s="4" t="s">
        <v>3387</v>
      </c>
      <c r="D1338" s="5" t="s">
        <v>3388</v>
      </c>
      <c r="E1338" s="5">
        <v>1025.45</v>
      </c>
      <c r="F1338" s="6">
        <f>LOOKUP(D1338,'AMFI DATA_2023H2'!F:J,'AMFI DATA_2023H2'!J:J)</f>
        <v>1007.04125</v>
      </c>
      <c r="G1338" s="7">
        <f t="shared" si="12"/>
        <v>-4.969136070642588E-2</v>
      </c>
      <c r="H1338" s="9">
        <v>957</v>
      </c>
      <c r="I1338" s="9">
        <v>957</v>
      </c>
      <c r="J1338" s="9">
        <v>953</v>
      </c>
      <c r="K1338" s="9">
        <v>957</v>
      </c>
      <c r="L1338" s="9">
        <v>953</v>
      </c>
      <c r="M1338" s="9">
        <v>950</v>
      </c>
      <c r="N1338" s="9">
        <v>952</v>
      </c>
      <c r="O1338" s="9">
        <v>954</v>
      </c>
      <c r="P1338" s="9">
        <v>956</v>
      </c>
      <c r="Q1338" s="9">
        <v>952</v>
      </c>
      <c r="R1338" s="7">
        <f t="shared" si="13"/>
        <v>-5.2571083855800338E-2</v>
      </c>
      <c r="S1338" s="9"/>
      <c r="T1338" s="9"/>
      <c r="U1338" s="9"/>
      <c r="V1338" s="9"/>
      <c r="W1338" s="9"/>
      <c r="X1338" s="9"/>
      <c r="Y1338" s="9"/>
      <c r="Z1338" s="9"/>
      <c r="AA1338" s="9"/>
      <c r="AB1338" s="9"/>
    </row>
    <row r="1339" spans="1:28" ht="14.4">
      <c r="A1339" s="3">
        <f>LOOKUP(D1339,'AMFI DATA_2023H2'!F:L,'AMFI DATA_2023H2'!L:L)</f>
        <v>287</v>
      </c>
      <c r="B1339" s="4" t="s">
        <v>870</v>
      </c>
      <c r="C1339" s="4" t="s">
        <v>871</v>
      </c>
      <c r="D1339" s="5" t="s">
        <v>872</v>
      </c>
      <c r="E1339" s="5">
        <v>15244.02</v>
      </c>
      <c r="F1339" s="6">
        <f>LOOKUP(D1339,'AMFI DATA_2023H2'!F:J,'AMFI DATA_2023H2'!J:J)</f>
        <v>18167.278299999998</v>
      </c>
      <c r="G1339" s="7">
        <f t="shared" si="12"/>
        <v>0.23661891610918961</v>
      </c>
      <c r="H1339" s="8">
        <v>22466</v>
      </c>
      <c r="I1339" s="8">
        <v>22389</v>
      </c>
      <c r="J1339" s="8">
        <v>22178</v>
      </c>
      <c r="K1339" s="8">
        <v>22143</v>
      </c>
      <c r="L1339" s="8">
        <v>22556</v>
      </c>
      <c r="M1339" s="8">
        <v>22222</v>
      </c>
      <c r="N1339" s="8">
        <v>22062</v>
      </c>
      <c r="O1339" s="8">
        <v>22055</v>
      </c>
      <c r="P1339" s="8">
        <v>21592</v>
      </c>
      <c r="Q1339" s="8">
        <v>21427</v>
      </c>
      <c r="R1339" s="14">
        <f t="shared" si="13"/>
        <v>0.21696820156049479</v>
      </c>
      <c r="S1339" s="8"/>
      <c r="T1339" s="8">
        <v>1673.5</v>
      </c>
      <c r="U1339" s="15">
        <f ca="1">IFERROR(__xludf.DUMMYFUNCTION("GOOGLEFINANCE(C1339,""PRICE"")"),1608.05)</f>
        <v>1608.05</v>
      </c>
      <c r="V1339" s="13" t="s">
        <v>5787</v>
      </c>
      <c r="W1339" s="7">
        <f ca="1">U1339/T1339-1</f>
        <v>-3.9109650433223786E-2</v>
      </c>
      <c r="X1339" s="8"/>
      <c r="Y1339" s="8"/>
      <c r="Z1339" s="8"/>
      <c r="AA1339" s="8"/>
      <c r="AB1339" s="8"/>
    </row>
    <row r="1340" spans="1:28" ht="14.4" hidden="1">
      <c r="A1340" s="3">
        <f>LOOKUP(D1340,'AMFI DATA_2023H2'!F:L,'AMFI DATA_2023H2'!L:L)</f>
        <v>196</v>
      </c>
      <c r="B1340" s="4" t="s">
        <v>597</v>
      </c>
      <c r="C1340" s="4" t="s">
        <v>598</v>
      </c>
      <c r="D1340" s="5" t="s">
        <v>599</v>
      </c>
      <c r="E1340" s="5">
        <v>18709.25</v>
      </c>
      <c r="F1340" s="6">
        <f>LOOKUP(D1340,'AMFI DATA_2023H2'!F:J,'AMFI DATA_2023H2'!J:J)</f>
        <v>31653.883450000001</v>
      </c>
      <c r="G1340" s="7">
        <f t="shared" si="12"/>
        <v>0.21628046242142829</v>
      </c>
      <c r="H1340" s="8">
        <v>38500</v>
      </c>
      <c r="I1340" s="8">
        <v>38677</v>
      </c>
      <c r="J1340" s="8">
        <v>38625</v>
      </c>
      <c r="K1340" s="8">
        <v>37697</v>
      </c>
      <c r="L1340" s="8">
        <v>37947</v>
      </c>
      <c r="M1340" s="8">
        <v>37843</v>
      </c>
      <c r="N1340" s="8">
        <v>36999</v>
      </c>
      <c r="O1340" s="8">
        <v>37061</v>
      </c>
      <c r="P1340" s="8">
        <v>37259</v>
      </c>
      <c r="Q1340" s="8">
        <v>36884</v>
      </c>
      <c r="R1340" s="7">
        <f t="shared" si="13"/>
        <v>0.19256141381919423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</row>
    <row r="1341" spans="1:28" ht="14.4" hidden="1">
      <c r="A1341" s="3">
        <f>LOOKUP(D1341,'AMFI DATA_2023H2'!F:L,'AMFI DATA_2023H2'!L:L)</f>
        <v>520</v>
      </c>
      <c r="B1341" s="4" t="s">
        <v>1545</v>
      </c>
      <c r="C1341" s="4" t="s">
        <v>1546</v>
      </c>
      <c r="D1341" s="5" t="s">
        <v>1547</v>
      </c>
      <c r="E1341" s="5">
        <v>3751.71</v>
      </c>
      <c r="F1341" s="6">
        <f>LOOKUP(D1341,'AMFI DATA_2023H2'!F:J,'AMFI DATA_2023H2'!J:J)</f>
        <v>7047.0613499999999</v>
      </c>
      <c r="G1341" s="7">
        <f t="shared" si="12"/>
        <v>0.62039173960079119</v>
      </c>
      <c r="H1341" s="8">
        <v>11419</v>
      </c>
      <c r="I1341" s="8">
        <v>11401</v>
      </c>
      <c r="J1341" s="8">
        <v>11661</v>
      </c>
      <c r="K1341" s="8">
        <v>11360</v>
      </c>
      <c r="L1341" s="8">
        <v>11326</v>
      </c>
      <c r="M1341" s="8">
        <v>10848</v>
      </c>
      <c r="N1341" s="8">
        <v>9500</v>
      </c>
      <c r="O1341" s="8">
        <v>9511</v>
      </c>
      <c r="P1341" s="8">
        <v>9553</v>
      </c>
      <c r="Q1341" s="8">
        <v>9511</v>
      </c>
      <c r="R1341" s="7">
        <f t="shared" si="13"/>
        <v>0.50545021152682312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</row>
    <row r="1342" spans="1:28" ht="14.4" hidden="1">
      <c r="A1342" s="3">
        <f>LOOKUP(D1342,'AMFI DATA_2023H2'!F:L,'AMFI DATA_2023H2'!L:L)</f>
        <v>601</v>
      </c>
      <c r="B1342" s="4" t="s">
        <v>1773</v>
      </c>
      <c r="C1342" s="4" t="s">
        <v>1774</v>
      </c>
      <c r="D1342" s="5" t="s">
        <v>1775</v>
      </c>
      <c r="E1342" s="5">
        <v>5438.65</v>
      </c>
      <c r="F1342" s="6">
        <f>LOOKUP(D1342,'AMFI DATA_2023H2'!F:J,'AMFI DATA_2023H2'!J:J)</f>
        <v>5334.2039999999997</v>
      </c>
      <c r="G1342" s="7">
        <f t="shared" si="12"/>
        <v>-3.5844898320349206E-2</v>
      </c>
      <c r="H1342" s="8">
        <v>5143</v>
      </c>
      <c r="I1342" s="8">
        <v>5153</v>
      </c>
      <c r="J1342" s="8">
        <v>5193</v>
      </c>
      <c r="K1342" s="8">
        <v>5197</v>
      </c>
      <c r="L1342" s="8">
        <v>5193</v>
      </c>
      <c r="M1342" s="8">
        <v>5185</v>
      </c>
      <c r="N1342" s="8">
        <v>5091</v>
      </c>
      <c r="O1342" s="8">
        <v>5143</v>
      </c>
      <c r="P1342" s="8">
        <v>4917</v>
      </c>
      <c r="Q1342" s="8">
        <v>4879</v>
      </c>
      <c r="R1342" s="7">
        <f t="shared" si="13"/>
        <v>-4.2143870013220397E-2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</row>
    <row r="1343" spans="1:28" ht="14.4" hidden="1">
      <c r="A1343" s="3">
        <f>LOOKUP(D1343,'AMFI DATA_2023H2'!F:L,'AMFI DATA_2023H2'!L:L)</f>
        <v>386</v>
      </c>
      <c r="B1343" s="4" t="s">
        <v>1161</v>
      </c>
      <c r="C1343" s="4" t="s">
        <v>1162</v>
      </c>
      <c r="D1343" s="5" t="s">
        <v>1163</v>
      </c>
      <c r="E1343" s="5">
        <v>8180.8</v>
      </c>
      <c r="F1343" s="6">
        <f>LOOKUP(D1343,'AMFI DATA_2023H2'!F:J,'AMFI DATA_2023H2'!J:J)</f>
        <v>10851.5435</v>
      </c>
      <c r="G1343" s="7">
        <f t="shared" si="12"/>
        <v>0.17236778344020842</v>
      </c>
      <c r="H1343" s="8">
        <v>12722</v>
      </c>
      <c r="I1343" s="8">
        <v>12444</v>
      </c>
      <c r="J1343" s="8">
        <v>12204</v>
      </c>
      <c r="K1343" s="8">
        <v>12198</v>
      </c>
      <c r="L1343" s="8">
        <v>12382</v>
      </c>
      <c r="M1343" s="8">
        <v>12060</v>
      </c>
      <c r="N1343" s="8">
        <v>12121</v>
      </c>
      <c r="O1343" s="8">
        <v>11501</v>
      </c>
      <c r="P1343" s="8">
        <v>11433</v>
      </c>
      <c r="Q1343" s="8">
        <v>11345</v>
      </c>
      <c r="R1343" s="7">
        <f t="shared" si="13"/>
        <v>0.10961173403580782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</row>
    <row r="1344" spans="1:28" ht="14.4" hidden="1">
      <c r="A1344" s="3">
        <f>LOOKUP(D1344,'AMFI DATA_2023H2'!F:L,'AMFI DATA_2023H2'!L:L)</f>
        <v>2360</v>
      </c>
      <c r="B1344" s="4" t="s">
        <v>5180</v>
      </c>
      <c r="C1344" s="4" t="s">
        <v>5181</v>
      </c>
      <c r="D1344" s="5" t="s">
        <v>5182</v>
      </c>
      <c r="E1344" s="5">
        <v>114.57</v>
      </c>
      <c r="F1344" s="6">
        <f>LOOKUP(D1344,'AMFI DATA_2023H2'!F:J,'AMFI DATA_2023H2'!J:J)</f>
        <v>102.6725</v>
      </c>
      <c r="G1344" s="7">
        <f t="shared" si="12"/>
        <v>0.39277800774306648</v>
      </c>
      <c r="H1344" s="9">
        <v>143</v>
      </c>
      <c r="I1344" s="9">
        <v>142</v>
      </c>
      <c r="J1344" s="9">
        <v>145</v>
      </c>
      <c r="K1344" s="9">
        <v>143</v>
      </c>
      <c r="L1344" s="9">
        <v>144</v>
      </c>
      <c r="M1344" s="9">
        <v>142</v>
      </c>
      <c r="N1344" s="9">
        <v>138</v>
      </c>
      <c r="O1344" s="9">
        <v>142</v>
      </c>
      <c r="P1344" s="9">
        <v>144</v>
      </c>
      <c r="Q1344" s="9">
        <v>144</v>
      </c>
      <c r="R1344" s="7">
        <f t="shared" si="13"/>
        <v>0.38985609583871028</v>
      </c>
      <c r="S1344" s="9"/>
      <c r="T1344" s="9"/>
      <c r="U1344" s="9"/>
      <c r="V1344" s="9"/>
      <c r="W1344" s="9"/>
      <c r="X1344" s="9"/>
      <c r="Y1344" s="9"/>
      <c r="Z1344" s="9"/>
      <c r="AA1344" s="9"/>
      <c r="AB1344" s="9"/>
    </row>
    <row r="1345" spans="1:28" ht="14.4" hidden="1">
      <c r="A1345" s="3">
        <f>LOOKUP(D1345,'AMFI DATA_2023H2'!F:L,'AMFI DATA_2023H2'!L:L)</f>
        <v>894</v>
      </c>
      <c r="B1345" s="4" t="s">
        <v>2591</v>
      </c>
      <c r="C1345" s="4" t="s">
        <v>2592</v>
      </c>
      <c r="D1345" s="5" t="s">
        <v>2593</v>
      </c>
      <c r="E1345" s="5">
        <v>3319.96</v>
      </c>
      <c r="F1345" s="6">
        <f>LOOKUP(D1345,'AMFI DATA_2023H2'!F:J,'AMFI DATA_2023H2'!J:J)</f>
        <v>2172.7592000000004</v>
      </c>
      <c r="G1345" s="7">
        <f t="shared" si="12"/>
        <v>-0.54850035843824763</v>
      </c>
      <c r="H1345" s="8">
        <v>981</v>
      </c>
      <c r="I1345" s="8">
        <v>993</v>
      </c>
      <c r="J1345" s="8">
        <v>1020</v>
      </c>
      <c r="K1345" s="8">
        <v>1041</v>
      </c>
      <c r="L1345" s="8">
        <v>1062</v>
      </c>
      <c r="M1345" s="8">
        <v>1060</v>
      </c>
      <c r="N1345" s="8">
        <v>1081</v>
      </c>
      <c r="O1345" s="8">
        <v>1103</v>
      </c>
      <c r="P1345" s="8">
        <v>1116</v>
      </c>
      <c r="Q1345" s="8">
        <v>1143</v>
      </c>
      <c r="R1345" s="7">
        <f t="shared" si="13"/>
        <v>-0.51214106008617999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</row>
    <row r="1346" spans="1:28" ht="14.4" hidden="1">
      <c r="A1346" s="3">
        <f>LOOKUP(D1346,'AMFI DATA_2023H2'!F:L,'AMFI DATA_2023H2'!L:L)</f>
        <v>1827</v>
      </c>
      <c r="B1346" s="4" t="s">
        <v>4505</v>
      </c>
      <c r="C1346" s="4" t="s">
        <v>4506</v>
      </c>
      <c r="D1346" s="5" t="s">
        <v>4507</v>
      </c>
      <c r="E1346" s="5">
        <v>240.05</v>
      </c>
      <c r="F1346" s="6">
        <f>LOOKUP(D1346,'AMFI DATA_2023H2'!F:J,'AMFI DATA_2023H2'!J:J)</f>
        <v>258.87074999999999</v>
      </c>
      <c r="G1346" s="7">
        <f t="shared" si="12"/>
        <v>0.24000104299153158</v>
      </c>
      <c r="H1346" s="9">
        <v>321</v>
      </c>
      <c r="I1346" s="9">
        <v>314</v>
      </c>
      <c r="J1346" s="9">
        <v>316</v>
      </c>
      <c r="K1346" s="9">
        <v>318</v>
      </c>
      <c r="L1346" s="9">
        <v>306</v>
      </c>
      <c r="M1346" s="9">
        <v>282</v>
      </c>
      <c r="N1346" s="9">
        <v>296</v>
      </c>
      <c r="O1346" s="9">
        <v>281</v>
      </c>
      <c r="P1346" s="9">
        <v>287</v>
      </c>
      <c r="Q1346" s="9">
        <v>284</v>
      </c>
      <c r="R1346" s="7">
        <f t="shared" si="13"/>
        <v>0.16081094523039008</v>
      </c>
      <c r="S1346" s="9"/>
      <c r="T1346" s="9"/>
      <c r="U1346" s="9"/>
      <c r="V1346" s="9"/>
      <c r="W1346" s="9"/>
      <c r="X1346" s="9"/>
      <c r="Y1346" s="9"/>
      <c r="Z1346" s="9"/>
      <c r="AA1346" s="9"/>
      <c r="AB1346" s="9"/>
    </row>
    <row r="1347" spans="1:28" ht="14.4" hidden="1">
      <c r="A1347" s="3">
        <f>LOOKUP(D1347,'AMFI DATA_2023H2'!F:L,'AMFI DATA_2023H2'!L:L)</f>
        <v>3795</v>
      </c>
      <c r="B1347" s="4" t="s">
        <v>5731</v>
      </c>
      <c r="C1347" s="4" t="s">
        <v>5732</v>
      </c>
      <c r="D1347" s="5" t="s">
        <v>5733</v>
      </c>
      <c r="E1347" s="5">
        <v>10.89</v>
      </c>
      <c r="F1347" s="6">
        <f>LOOKUP(D1347,'AMFI DATA_2023H2'!F:J,'AMFI DATA_2023H2'!J:J)</f>
        <v>11.389749999999999</v>
      </c>
      <c r="G1347" s="7">
        <f t="shared" si="12"/>
        <v>0.28185429882130864</v>
      </c>
      <c r="H1347" s="9">
        <v>14.6</v>
      </c>
      <c r="I1347" s="9">
        <v>14.2</v>
      </c>
      <c r="J1347" s="9">
        <v>13.8</v>
      </c>
      <c r="K1347" s="9">
        <v>13.5</v>
      </c>
      <c r="L1347" s="9">
        <v>13.5</v>
      </c>
      <c r="M1347" s="9">
        <v>13.2</v>
      </c>
      <c r="N1347" s="9">
        <v>12.9</v>
      </c>
      <c r="O1347" s="9">
        <v>12.4</v>
      </c>
      <c r="P1347" s="9">
        <v>12.2</v>
      </c>
      <c r="Q1347" s="9">
        <v>12.2</v>
      </c>
      <c r="R1347" s="7">
        <f t="shared" si="13"/>
        <v>0.16332667530016032</v>
      </c>
      <c r="S1347" s="9"/>
      <c r="T1347" s="9"/>
      <c r="U1347" s="9"/>
      <c r="V1347" s="9"/>
      <c r="W1347" s="9"/>
      <c r="X1347" s="9"/>
      <c r="Y1347" s="9"/>
      <c r="Z1347" s="9"/>
      <c r="AA1347" s="9"/>
      <c r="AB1347" s="9"/>
    </row>
    <row r="1348" spans="1:28" ht="14.4" hidden="1">
      <c r="A1348" s="3">
        <f>LOOKUP(D1348,'AMFI DATA_2023H2'!F:L,'AMFI DATA_2023H2'!L:L)</f>
        <v>336</v>
      </c>
      <c r="B1348" s="4" t="s">
        <v>1017</v>
      </c>
      <c r="C1348" s="4" t="s">
        <v>1018</v>
      </c>
      <c r="D1348" s="5" t="s">
        <v>1019</v>
      </c>
      <c r="E1348" s="5">
        <v>19506.16</v>
      </c>
      <c r="F1348" s="6">
        <f>LOOKUP(D1348,'AMFI DATA_2023H2'!F:J,'AMFI DATA_2023H2'!J:J)</f>
        <v>13645.52475</v>
      </c>
      <c r="G1348" s="7">
        <f t="shared" si="12"/>
        <v>-0.18977099066857073</v>
      </c>
      <c r="H1348" s="8">
        <v>11056</v>
      </c>
      <c r="I1348" s="8">
        <v>10964</v>
      </c>
      <c r="J1348" s="8">
        <v>11000</v>
      </c>
      <c r="K1348" s="8">
        <v>11010</v>
      </c>
      <c r="L1348" s="8">
        <v>11158</v>
      </c>
      <c r="M1348" s="8">
        <v>10824</v>
      </c>
      <c r="N1348" s="8">
        <v>10755</v>
      </c>
      <c r="O1348" s="8">
        <v>10638</v>
      </c>
      <c r="P1348" s="8">
        <v>10659</v>
      </c>
      <c r="Q1348" s="8">
        <v>10604</v>
      </c>
      <c r="R1348" s="7">
        <f t="shared" si="13"/>
        <v>-0.20363634238397477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</row>
    <row r="1349" spans="1:28" ht="14.4" hidden="1">
      <c r="A1349" s="3">
        <f>LOOKUP(D1349,'AMFI DATA_2023H2'!F:L,'AMFI DATA_2023H2'!L:L)</f>
        <v>1822</v>
      </c>
      <c r="B1349" s="4" t="s">
        <v>4502</v>
      </c>
      <c r="C1349" s="4" t="s">
        <v>4503</v>
      </c>
      <c r="D1349" s="5" t="s">
        <v>4504</v>
      </c>
      <c r="E1349" s="5">
        <v>351.15</v>
      </c>
      <c r="F1349" s="6">
        <f>LOOKUP(D1349,'AMFI DATA_2023H2'!F:J,'AMFI DATA_2023H2'!J:J)</f>
        <v>260.68270000000001</v>
      </c>
      <c r="G1349" s="7">
        <f t="shared" si="12"/>
        <v>1.0638116760337373</v>
      </c>
      <c r="H1349" s="9">
        <v>538</v>
      </c>
      <c r="I1349" s="9">
        <v>489</v>
      </c>
      <c r="J1349" s="9">
        <v>408</v>
      </c>
      <c r="K1349" s="9">
        <v>377</v>
      </c>
      <c r="L1349" s="9">
        <v>348</v>
      </c>
      <c r="M1349" s="9">
        <v>292</v>
      </c>
      <c r="N1349" s="9">
        <v>310</v>
      </c>
      <c r="O1349" s="9">
        <v>299</v>
      </c>
      <c r="P1349" s="9">
        <v>292</v>
      </c>
      <c r="Q1349" s="9">
        <v>267</v>
      </c>
      <c r="R1349" s="7">
        <f t="shared" si="13"/>
        <v>0.38866138796322103</v>
      </c>
      <c r="S1349" s="9"/>
      <c r="T1349" s="9"/>
      <c r="U1349" s="9"/>
      <c r="V1349" s="9"/>
      <c r="W1349" s="9"/>
      <c r="X1349" s="9"/>
      <c r="Y1349" s="9"/>
      <c r="Z1349" s="9"/>
      <c r="AA1349" s="9"/>
      <c r="AB1349" s="9"/>
    </row>
    <row r="1350" spans="1:28" ht="14.4" hidden="1">
      <c r="A1350" s="3">
        <f>LOOKUP(D1350,'AMFI DATA_2023H2'!F:L,'AMFI DATA_2023H2'!L:L)</f>
        <v>702</v>
      </c>
      <c r="B1350" s="4" t="s">
        <v>2058</v>
      </c>
      <c r="C1350" s="4" t="s">
        <v>2059</v>
      </c>
      <c r="D1350" s="5" t="s">
        <v>2060</v>
      </c>
      <c r="E1350" s="5">
        <v>3998.73</v>
      </c>
      <c r="F1350" s="6">
        <f>LOOKUP(D1350,'AMFI DATA_2023H2'!F:J,'AMFI DATA_2023H2'!J:J)</f>
        <v>3863.6392999999998</v>
      </c>
      <c r="G1350" s="7">
        <f t="shared" si="12"/>
        <v>9.6698208862302515E-3</v>
      </c>
      <c r="H1350" s="8">
        <v>3901</v>
      </c>
      <c r="I1350" s="8">
        <v>3942</v>
      </c>
      <c r="J1350" s="8">
        <v>3909</v>
      </c>
      <c r="K1350" s="8">
        <v>3976</v>
      </c>
      <c r="L1350" s="8">
        <v>3898</v>
      </c>
      <c r="M1350" s="8">
        <v>3935</v>
      </c>
      <c r="N1350" s="8">
        <v>3922</v>
      </c>
      <c r="O1350" s="8">
        <v>4014</v>
      </c>
      <c r="P1350" s="8">
        <v>4028</v>
      </c>
      <c r="Q1350" s="8">
        <v>3972</v>
      </c>
      <c r="R1350" s="7">
        <f t="shared" si="13"/>
        <v>2.2274517189013965E-2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</row>
    <row r="1351" spans="1:28" ht="14.4" hidden="1">
      <c r="A1351" s="3">
        <f>LOOKUP(D1351,'AMFI DATA_2023H2'!F:L,'AMFI DATA_2023H2'!L:L)</f>
        <v>1913</v>
      </c>
      <c r="B1351" s="4" t="s">
        <v>4619</v>
      </c>
      <c r="C1351" s="4" t="s">
        <v>4620</v>
      </c>
      <c r="D1351" s="5" t="s">
        <v>4621</v>
      </c>
      <c r="E1351" s="5">
        <v>183.24</v>
      </c>
      <c r="F1351" s="6">
        <f>LOOKUP(D1351,'AMFI DATA_2023H2'!F:J,'AMFI DATA_2023H2'!J:J)</f>
        <v>213.0617</v>
      </c>
      <c r="G1351" s="7">
        <f t="shared" si="12"/>
        <v>0.23438421828043232</v>
      </c>
      <c r="H1351" s="9">
        <v>263</v>
      </c>
      <c r="I1351" s="9">
        <v>262</v>
      </c>
      <c r="J1351" s="9">
        <v>261</v>
      </c>
      <c r="K1351" s="9">
        <v>249</v>
      </c>
      <c r="L1351" s="9">
        <v>248</v>
      </c>
      <c r="M1351" s="9">
        <v>239</v>
      </c>
      <c r="N1351" s="9">
        <v>239</v>
      </c>
      <c r="O1351" s="9">
        <v>243</v>
      </c>
      <c r="P1351" s="9">
        <v>247</v>
      </c>
      <c r="Q1351" s="9">
        <v>243</v>
      </c>
      <c r="R1351" s="7">
        <f t="shared" si="13"/>
        <v>0.17055294311460023</v>
      </c>
      <c r="S1351" s="9"/>
      <c r="T1351" s="9"/>
      <c r="U1351" s="9"/>
      <c r="V1351" s="9"/>
      <c r="W1351" s="9"/>
      <c r="X1351" s="9"/>
      <c r="Y1351" s="9"/>
      <c r="Z1351" s="9"/>
      <c r="AA1351" s="9"/>
      <c r="AB1351" s="9"/>
    </row>
    <row r="1352" spans="1:28" ht="14.4" hidden="1">
      <c r="A1352" s="3">
        <f>LOOKUP(D1352,'AMFI DATA_2023H2'!F:L,'AMFI DATA_2023H2'!L:L)</f>
        <v>2056</v>
      </c>
      <c r="B1352" s="4" t="s">
        <v>4811</v>
      </c>
      <c r="C1352" s="4" t="s">
        <v>4812</v>
      </c>
      <c r="D1352" s="5" t="s">
        <v>4813</v>
      </c>
      <c r="E1352" s="5">
        <v>141.41</v>
      </c>
      <c r="F1352" s="6">
        <f>LOOKUP(D1352,'AMFI DATA_2023H2'!F:J,'AMFI DATA_2023H2'!J:J)</f>
        <v>171.86320000000001</v>
      </c>
      <c r="G1352" s="7">
        <f t="shared" si="12"/>
        <v>0.46046390384910785</v>
      </c>
      <c r="H1352" s="9">
        <v>251</v>
      </c>
      <c r="I1352" s="9">
        <v>247</v>
      </c>
      <c r="J1352" s="9">
        <v>255</v>
      </c>
      <c r="K1352" s="9">
        <v>251</v>
      </c>
      <c r="L1352" s="9">
        <v>223</v>
      </c>
      <c r="M1352" s="9">
        <v>187</v>
      </c>
      <c r="N1352" s="9">
        <v>182</v>
      </c>
      <c r="O1352" s="9">
        <v>181</v>
      </c>
      <c r="P1352" s="9">
        <v>178</v>
      </c>
      <c r="Q1352" s="9">
        <v>179</v>
      </c>
      <c r="R1352" s="7">
        <f t="shared" si="13"/>
        <v>0.24168524733625341</v>
      </c>
      <c r="S1352" s="9"/>
      <c r="T1352" s="9"/>
      <c r="U1352" s="9"/>
      <c r="V1352" s="9"/>
      <c r="W1352" s="9"/>
      <c r="X1352" s="9"/>
      <c r="Y1352" s="9"/>
      <c r="Z1352" s="9"/>
      <c r="AA1352" s="9"/>
      <c r="AB1352" s="9"/>
    </row>
    <row r="1353" spans="1:28" ht="14.4" hidden="1">
      <c r="A1353" s="3">
        <f>LOOKUP(D1353,'AMFI DATA_2023H2'!F:L,'AMFI DATA_2023H2'!L:L)</f>
        <v>661</v>
      </c>
      <c r="B1353" s="4" t="s">
        <v>1938</v>
      </c>
      <c r="C1353" s="4" t="s">
        <v>1939</v>
      </c>
      <c r="D1353" s="5" t="s">
        <v>1940</v>
      </c>
      <c r="E1353" s="5">
        <v>3952.88</v>
      </c>
      <c r="F1353" s="6">
        <f>LOOKUP(D1353,'AMFI DATA_2023H2'!F:J,'AMFI DATA_2023H2'!J:J)</f>
        <v>4368.3394500000004</v>
      </c>
      <c r="G1353" s="7">
        <f t="shared" si="12"/>
        <v>0.16520248901444679</v>
      </c>
      <c r="H1353" s="8">
        <v>5090</v>
      </c>
      <c r="I1353" s="8">
        <v>5151</v>
      </c>
      <c r="J1353" s="8">
        <v>5056</v>
      </c>
      <c r="K1353" s="8">
        <v>5122</v>
      </c>
      <c r="L1353" s="8">
        <v>4919</v>
      </c>
      <c r="M1353" s="8">
        <v>4858</v>
      </c>
      <c r="N1353" s="8">
        <v>4846</v>
      </c>
      <c r="O1353" s="8">
        <v>4923</v>
      </c>
      <c r="P1353" s="8">
        <v>4930</v>
      </c>
      <c r="Q1353" s="8">
        <v>4862</v>
      </c>
      <c r="R1353" s="7">
        <f t="shared" si="13"/>
        <v>0.13903693999787481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</row>
    <row r="1354" spans="1:28" ht="14.4" hidden="1">
      <c r="A1354" s="3">
        <f>LOOKUP(D1354,'AMFI DATA_2023H2'!F:L,'AMFI DATA_2023H2'!L:L)</f>
        <v>1128</v>
      </c>
      <c r="B1354" s="4" t="s">
        <v>3179</v>
      </c>
      <c r="C1354" s="4" t="s">
        <v>3180</v>
      </c>
      <c r="D1354" s="5" t="s">
        <v>3181</v>
      </c>
      <c r="E1354" s="5">
        <v>841.95</v>
      </c>
      <c r="F1354" s="6">
        <f>LOOKUP(D1354,'AMFI DATA_2023H2'!F:J,'AMFI DATA_2023H2'!J:J)</f>
        <v>1252.9130500000001</v>
      </c>
      <c r="G1354" s="7">
        <f t="shared" si="12"/>
        <v>5.1150357161656057E-2</v>
      </c>
      <c r="H1354" s="8">
        <v>1317</v>
      </c>
      <c r="I1354" s="8">
        <v>1314</v>
      </c>
      <c r="J1354" s="8">
        <v>1303</v>
      </c>
      <c r="K1354" s="8">
        <v>1314</v>
      </c>
      <c r="L1354" s="8">
        <v>1311</v>
      </c>
      <c r="M1354" s="8">
        <v>1311</v>
      </c>
      <c r="N1354" s="8">
        <v>1309</v>
      </c>
      <c r="O1354" s="8">
        <v>1338</v>
      </c>
      <c r="P1354" s="8">
        <v>1321</v>
      </c>
      <c r="Q1354" s="8">
        <v>1282</v>
      </c>
      <c r="R1354" s="7">
        <f t="shared" si="13"/>
        <v>4.715965724836213E-2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</row>
    <row r="1355" spans="1:28" ht="14.4" hidden="1">
      <c r="A1355" s="3">
        <f>LOOKUP(D1355,'AMFI DATA_2023H2'!F:L,'AMFI DATA_2023H2'!L:L)</f>
        <v>1605</v>
      </c>
      <c r="B1355" s="4" t="s">
        <v>4154</v>
      </c>
      <c r="C1355" s="4" t="s">
        <v>4155</v>
      </c>
      <c r="D1355" s="5" t="s">
        <v>4156</v>
      </c>
      <c r="E1355" s="5">
        <v>375.94</v>
      </c>
      <c r="F1355" s="6">
        <f>LOOKUP(D1355,'AMFI DATA_2023H2'!F:J,'AMFI DATA_2023H2'!J:J)</f>
        <v>411.81344999999999</v>
      </c>
      <c r="G1355" s="7">
        <f t="shared" si="12"/>
        <v>2.8812803467201942E-3</v>
      </c>
      <c r="H1355" s="9">
        <v>413</v>
      </c>
      <c r="I1355" s="9">
        <v>418</v>
      </c>
      <c r="J1355" s="9">
        <v>422</v>
      </c>
      <c r="K1355" s="9">
        <v>423</v>
      </c>
      <c r="L1355" s="9">
        <v>403</v>
      </c>
      <c r="M1355" s="9">
        <v>376</v>
      </c>
      <c r="N1355" s="9">
        <v>379</v>
      </c>
      <c r="O1355" s="9">
        <v>379</v>
      </c>
      <c r="P1355" s="9">
        <v>384</v>
      </c>
      <c r="Q1355" s="9">
        <v>383</v>
      </c>
      <c r="R1355" s="7">
        <f t="shared" si="13"/>
        <v>-3.354297923003724E-2</v>
      </c>
      <c r="S1355" s="9"/>
      <c r="T1355" s="9"/>
      <c r="U1355" s="9"/>
      <c r="V1355" s="9"/>
      <c r="W1355" s="9"/>
      <c r="X1355" s="9"/>
      <c r="Y1355" s="9"/>
      <c r="Z1355" s="9"/>
      <c r="AA1355" s="9"/>
      <c r="AB1355" s="9"/>
    </row>
    <row r="1356" spans="1:28" ht="14.4" hidden="1">
      <c r="A1356" s="3">
        <f>LOOKUP(D1356,'AMFI DATA_2023H2'!F:L,'AMFI DATA_2023H2'!L:L)</f>
        <v>978</v>
      </c>
      <c r="B1356" s="4" t="s">
        <v>2804</v>
      </c>
      <c r="C1356" s="4" t="s">
        <v>2805</v>
      </c>
      <c r="D1356" s="5" t="s">
        <v>2806</v>
      </c>
      <c r="E1356" s="5">
        <v>1592.99</v>
      </c>
      <c r="F1356" s="6">
        <f>LOOKUP(D1356,'AMFI DATA_2023H2'!F:J,'AMFI DATA_2023H2'!J:J)</f>
        <v>1809.7139499999998</v>
      </c>
      <c r="G1356" s="7">
        <f t="shared" si="12"/>
        <v>2.8891886477418138E-2</v>
      </c>
      <c r="H1356" s="8">
        <v>1862</v>
      </c>
      <c r="I1356" s="8">
        <v>1870</v>
      </c>
      <c r="J1356" s="8">
        <v>1861</v>
      </c>
      <c r="K1356" s="8">
        <v>1839</v>
      </c>
      <c r="L1356" s="8">
        <v>1791</v>
      </c>
      <c r="M1356" s="8">
        <v>1778</v>
      </c>
      <c r="N1356" s="8">
        <v>1779</v>
      </c>
      <c r="O1356" s="8">
        <v>1784</v>
      </c>
      <c r="P1356" s="8">
        <v>1824</v>
      </c>
      <c r="Q1356" s="8">
        <v>1820</v>
      </c>
      <c r="R1356" s="7">
        <f t="shared" si="13"/>
        <v>6.1258576251788099E-3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</row>
    <row r="1357" spans="1:28" ht="14.4" hidden="1">
      <c r="A1357" s="3">
        <f>LOOKUP(D1357,'AMFI DATA_2023H2'!F:L,'AMFI DATA_2023H2'!L:L)</f>
        <v>1007</v>
      </c>
      <c r="B1357" s="4" t="s">
        <v>2882</v>
      </c>
      <c r="C1357" s="4" t="s">
        <v>2883</v>
      </c>
      <c r="D1357" s="5" t="s">
        <v>2884</v>
      </c>
      <c r="E1357" s="5">
        <v>1256.72</v>
      </c>
      <c r="F1357" s="6">
        <f>LOOKUP(D1357,'AMFI DATA_2023H2'!F:J,'AMFI DATA_2023H2'!J:J)</f>
        <v>1676.9634999999998</v>
      </c>
      <c r="G1357" s="7">
        <f t="shared" si="12"/>
        <v>0.17712758804827899</v>
      </c>
      <c r="H1357" s="8">
        <v>1974</v>
      </c>
      <c r="I1357" s="8">
        <v>1957</v>
      </c>
      <c r="J1357" s="8">
        <v>1947</v>
      </c>
      <c r="K1357" s="8">
        <v>1868</v>
      </c>
      <c r="L1357" s="8">
        <v>1884</v>
      </c>
      <c r="M1357" s="8">
        <v>1881</v>
      </c>
      <c r="N1357" s="8">
        <v>1868</v>
      </c>
      <c r="O1357" s="8">
        <v>1871</v>
      </c>
      <c r="P1357" s="8">
        <v>1844</v>
      </c>
      <c r="Q1357" s="8">
        <v>1872</v>
      </c>
      <c r="R1357" s="7">
        <f t="shared" si="13"/>
        <v>0.13097273733149239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</row>
    <row r="1358" spans="1:28" ht="14.4" hidden="1">
      <c r="A1358" s="3">
        <f>LOOKUP(D1358,'AMFI DATA_2023H2'!F:L,'AMFI DATA_2023H2'!L:L)</f>
        <v>1220</v>
      </c>
      <c r="B1358" s="4" t="s">
        <v>3401</v>
      </c>
      <c r="C1358" s="4" t="s">
        <v>3402</v>
      </c>
      <c r="D1358" s="5" t="s">
        <v>3403</v>
      </c>
      <c r="E1358" s="5">
        <v>765.92</v>
      </c>
      <c r="F1358" s="6">
        <f>LOOKUP(D1358,'AMFI DATA_2023H2'!F:J,'AMFI DATA_2023H2'!J:J)</f>
        <v>993.0180499999999</v>
      </c>
      <c r="G1358" s="7">
        <f t="shared" si="12"/>
        <v>9.7663834005837113E-2</v>
      </c>
      <c r="H1358" s="8">
        <v>1090</v>
      </c>
      <c r="I1358" s="8">
        <v>1082</v>
      </c>
      <c r="J1358" s="8">
        <v>1028</v>
      </c>
      <c r="K1358" s="8">
        <v>1034</v>
      </c>
      <c r="L1358" s="8">
        <v>1038</v>
      </c>
      <c r="M1358" s="8">
        <v>1027</v>
      </c>
      <c r="N1358" s="8">
        <v>1028</v>
      </c>
      <c r="O1358" s="8">
        <v>1054</v>
      </c>
      <c r="P1358" s="8">
        <v>1054</v>
      </c>
      <c r="Q1358" s="8">
        <v>1065</v>
      </c>
      <c r="R1358" s="7">
        <f t="shared" si="13"/>
        <v>5.738259239094412E-2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</row>
    <row r="1359" spans="1:28" ht="14.4">
      <c r="A1359" s="3">
        <f>LOOKUP(D1359,'AMFI DATA_2023H2'!F:L,'AMFI DATA_2023H2'!L:L)</f>
        <v>391</v>
      </c>
      <c r="B1359" s="4" t="s">
        <v>1179</v>
      </c>
      <c r="C1359" s="4" t="s">
        <v>1180</v>
      </c>
      <c r="D1359" s="5" t="s">
        <v>1181</v>
      </c>
      <c r="E1359" s="5">
        <v>5050.63</v>
      </c>
      <c r="F1359" s="6">
        <f>LOOKUP(D1359,'AMFI DATA_2023H2'!F:J,'AMFI DATA_2023H2'!J:J)</f>
        <v>10675.278350000001</v>
      </c>
      <c r="G1359" s="7">
        <f t="shared" si="12"/>
        <v>0.2508338951180602</v>
      </c>
      <c r="H1359" s="8">
        <v>13353</v>
      </c>
      <c r="I1359" s="8">
        <v>13302</v>
      </c>
      <c r="J1359" s="8">
        <v>13003</v>
      </c>
      <c r="K1359" s="8">
        <v>12742</v>
      </c>
      <c r="L1359" s="8">
        <v>12866</v>
      </c>
      <c r="M1359" s="8">
        <v>13124</v>
      </c>
      <c r="N1359" s="8">
        <v>12788</v>
      </c>
      <c r="O1359" s="8">
        <v>12998</v>
      </c>
      <c r="P1359" s="8">
        <v>13104</v>
      </c>
      <c r="Q1359" s="8">
        <v>13095</v>
      </c>
      <c r="R1359" s="14">
        <f t="shared" si="13"/>
        <v>0.22127963061497113</v>
      </c>
      <c r="S1359" s="8"/>
      <c r="T1359" s="8">
        <v>739.7</v>
      </c>
      <c r="U1359" s="15">
        <f ca="1">IFERROR(__xludf.DUMMYFUNCTION("GOOGLEFINANCE(C1359,""PRICE"")"),761.45)</f>
        <v>761.45</v>
      </c>
      <c r="V1359" s="13" t="s">
        <v>5787</v>
      </c>
      <c r="W1359" s="7">
        <f ca="1">U1359/T1359-1</f>
        <v>2.9403812356360692E-2</v>
      </c>
      <c r="X1359" s="8"/>
      <c r="Y1359" s="8"/>
      <c r="Z1359" s="8"/>
      <c r="AA1359" s="8"/>
      <c r="AB1359" s="8"/>
    </row>
    <row r="1360" spans="1:28" ht="14.4" hidden="1">
      <c r="A1360" s="3">
        <f>LOOKUP(D1360,'AMFI DATA_2023H2'!F:L,'AMFI DATA_2023H2'!L:L)</f>
        <v>674</v>
      </c>
      <c r="B1360" s="4" t="s">
        <v>1977</v>
      </c>
      <c r="C1360" s="4" t="s">
        <v>1978</v>
      </c>
      <c r="D1360" s="5" t="s">
        <v>1979</v>
      </c>
      <c r="E1360" s="5">
        <v>2270.66</v>
      </c>
      <c r="F1360" s="6">
        <f>LOOKUP(D1360,'AMFI DATA_2023H2'!F:J,'AMFI DATA_2023H2'!J:J)</f>
        <v>4084.0366999999997</v>
      </c>
      <c r="G1360" s="7">
        <f t="shared" si="12"/>
        <v>0.35086934943557213</v>
      </c>
      <c r="H1360" s="8">
        <v>5517</v>
      </c>
      <c r="I1360" s="8">
        <v>5448</v>
      </c>
      <c r="J1360" s="8">
        <v>5514</v>
      </c>
      <c r="K1360" s="8">
        <v>5570</v>
      </c>
      <c r="L1360" s="8">
        <v>5632</v>
      </c>
      <c r="M1360" s="8">
        <v>5507</v>
      </c>
      <c r="N1360" s="8">
        <v>5397</v>
      </c>
      <c r="O1360" s="8">
        <v>5424</v>
      </c>
      <c r="P1360" s="8">
        <v>5456</v>
      </c>
      <c r="Q1360" s="8">
        <v>5510</v>
      </c>
      <c r="R1360" s="7">
        <f t="shared" si="13"/>
        <v>0.34609466168607161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</row>
    <row r="1361" spans="1:28" ht="14.4" hidden="1">
      <c r="A1361" s="3">
        <f>LOOKUP(D1361,'AMFI DATA_2023H2'!F:L,'AMFI DATA_2023H2'!L:L)</f>
        <v>1624</v>
      </c>
      <c r="B1361" s="4" t="s">
        <v>4196</v>
      </c>
      <c r="C1361" s="4" t="s">
        <v>4197</v>
      </c>
      <c r="D1361" s="5" t="s">
        <v>4198</v>
      </c>
      <c r="E1361" s="5">
        <v>356.96</v>
      </c>
      <c r="F1361" s="6">
        <f>LOOKUP(D1361,'AMFI DATA_2023H2'!F:J,'AMFI DATA_2023H2'!J:J)</f>
        <v>387.00975</v>
      </c>
      <c r="G1361" s="7">
        <f t="shared" si="12"/>
        <v>-5.6871306213861494E-2</v>
      </c>
      <c r="H1361" s="9">
        <v>365</v>
      </c>
      <c r="I1361" s="9">
        <v>363</v>
      </c>
      <c r="J1361" s="9">
        <v>363</v>
      </c>
      <c r="K1361" s="9">
        <v>364</v>
      </c>
      <c r="L1361" s="9">
        <v>365</v>
      </c>
      <c r="M1361" s="9">
        <v>365</v>
      </c>
      <c r="N1361" s="9">
        <v>362</v>
      </c>
      <c r="O1361" s="9">
        <v>363</v>
      </c>
      <c r="P1361" s="9">
        <v>366</v>
      </c>
      <c r="Q1361" s="9">
        <v>365</v>
      </c>
      <c r="R1361" s="7">
        <f t="shared" si="13"/>
        <v>-5.919682902045742E-2</v>
      </c>
      <c r="S1361" s="9"/>
      <c r="T1361" s="9"/>
      <c r="U1361" s="9"/>
      <c r="V1361" s="9"/>
      <c r="W1361" s="9"/>
      <c r="X1361" s="9"/>
      <c r="Y1361" s="9"/>
      <c r="Z1361" s="9"/>
      <c r="AA1361" s="9"/>
      <c r="AB1361" s="9"/>
    </row>
    <row r="1362" spans="1:28" ht="14.4" hidden="1">
      <c r="A1362" s="3">
        <f>LOOKUP(D1362,'AMFI DATA_2023H2'!F:L,'AMFI DATA_2023H2'!L:L)</f>
        <v>1132</v>
      </c>
      <c r="B1362" s="4" t="s">
        <v>3188</v>
      </c>
      <c r="C1362" s="4" t="s">
        <v>3189</v>
      </c>
      <c r="D1362" s="5" t="s">
        <v>3190</v>
      </c>
      <c r="E1362" s="5">
        <v>787.64</v>
      </c>
      <c r="F1362" s="6">
        <f>LOOKUP(D1362,'AMFI DATA_2023H2'!F:J,'AMFI DATA_2023H2'!J:J)</f>
        <v>1246.4198000000001</v>
      </c>
      <c r="G1362" s="7">
        <f t="shared" si="12"/>
        <v>6.2242432284852933E-2</v>
      </c>
      <c r="H1362" s="8">
        <v>1324</v>
      </c>
      <c r="I1362" s="8">
        <v>1327</v>
      </c>
      <c r="J1362" s="8">
        <v>1315</v>
      </c>
      <c r="K1362" s="8">
        <v>1312</v>
      </c>
      <c r="L1362" s="8">
        <v>1328</v>
      </c>
      <c r="M1362" s="8">
        <v>1321</v>
      </c>
      <c r="N1362" s="8">
        <v>1332</v>
      </c>
      <c r="O1362" s="8">
        <v>1354</v>
      </c>
      <c r="P1362" s="8">
        <v>1364</v>
      </c>
      <c r="Q1362" s="8">
        <v>1385</v>
      </c>
      <c r="R1362" s="7">
        <f t="shared" si="13"/>
        <v>7.2030466781737523E-2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</row>
    <row r="1363" spans="1:28" ht="14.4" hidden="1">
      <c r="A1363" s="3">
        <f>LOOKUP(D1363,'AMFI DATA_2023H2'!F:L,'AMFI DATA_2023H2'!L:L)</f>
        <v>1411</v>
      </c>
      <c r="B1363" s="4" t="s">
        <v>3797</v>
      </c>
      <c r="C1363" s="4" t="s">
        <v>3798</v>
      </c>
      <c r="D1363" s="5" t="s">
        <v>3799</v>
      </c>
      <c r="E1363" s="5">
        <v>549.17999999999995</v>
      </c>
      <c r="F1363" s="6">
        <f>LOOKUP(D1363,'AMFI DATA_2023H2'!F:J,'AMFI DATA_2023H2'!J:J)</f>
        <v>628.97915</v>
      </c>
      <c r="G1363" s="7">
        <f t="shared" si="12"/>
        <v>6.0448506122977141E-2</v>
      </c>
      <c r="H1363" s="9">
        <v>667</v>
      </c>
      <c r="I1363" s="9">
        <v>659</v>
      </c>
      <c r="J1363" s="9">
        <v>659</v>
      </c>
      <c r="K1363" s="9">
        <v>672</v>
      </c>
      <c r="L1363" s="9">
        <v>666</v>
      </c>
      <c r="M1363" s="9">
        <v>660</v>
      </c>
      <c r="N1363" s="9">
        <v>665</v>
      </c>
      <c r="O1363" s="9">
        <v>671</v>
      </c>
      <c r="P1363" s="9">
        <v>678</v>
      </c>
      <c r="Q1363" s="9">
        <v>669</v>
      </c>
      <c r="R1363" s="7">
        <f t="shared" si="13"/>
        <v>5.9812554994867595E-2</v>
      </c>
      <c r="S1363" s="9"/>
      <c r="T1363" s="9"/>
      <c r="U1363" s="9"/>
      <c r="V1363" s="9"/>
      <c r="W1363" s="9"/>
      <c r="X1363" s="9"/>
      <c r="Y1363" s="9"/>
      <c r="Z1363" s="9"/>
      <c r="AA1363" s="9"/>
      <c r="AB1363" s="9"/>
    </row>
    <row r="1364" spans="1:28" ht="14.4" hidden="1">
      <c r="A1364" s="3">
        <f>LOOKUP(D1364,'AMFI DATA_2023H2'!F:L,'AMFI DATA_2023H2'!L:L)</f>
        <v>1893</v>
      </c>
      <c r="B1364" s="4" t="s">
        <v>4595</v>
      </c>
      <c r="C1364" s="4" t="s">
        <v>4596</v>
      </c>
      <c r="D1364" s="5" t="s">
        <v>4597</v>
      </c>
      <c r="E1364" s="5">
        <v>163.04</v>
      </c>
      <c r="F1364" s="6">
        <f>LOOKUP(D1364,'AMFI DATA_2023H2'!F:J,'AMFI DATA_2023H2'!J:J)</f>
        <v>224.64840000000001</v>
      </c>
      <c r="G1364" s="7">
        <f t="shared" si="12"/>
        <v>0.16626693090180034</v>
      </c>
      <c r="H1364" s="9">
        <v>262</v>
      </c>
      <c r="I1364" s="9">
        <v>265</v>
      </c>
      <c r="J1364" s="9">
        <v>266</v>
      </c>
      <c r="K1364" s="9">
        <v>266</v>
      </c>
      <c r="L1364" s="9">
        <v>265</v>
      </c>
      <c r="M1364" s="9">
        <v>264</v>
      </c>
      <c r="N1364" s="9">
        <v>259</v>
      </c>
      <c r="O1364" s="9">
        <v>263</v>
      </c>
      <c r="P1364" s="9">
        <v>265</v>
      </c>
      <c r="Q1364" s="9">
        <v>269</v>
      </c>
      <c r="R1364" s="7">
        <f t="shared" si="13"/>
        <v>0.17695029210090074</v>
      </c>
      <c r="S1364" s="9"/>
      <c r="T1364" s="9"/>
      <c r="U1364" s="9"/>
      <c r="V1364" s="9"/>
      <c r="W1364" s="9"/>
      <c r="X1364" s="9"/>
      <c r="Y1364" s="9"/>
      <c r="Z1364" s="9"/>
      <c r="AA1364" s="9"/>
      <c r="AB1364" s="9"/>
    </row>
    <row r="1365" spans="1:28" ht="14.4" hidden="1">
      <c r="A1365" s="3">
        <f>LOOKUP(D1365,'AMFI DATA_2023H2'!F:L,'AMFI DATA_2023H2'!L:L)</f>
        <v>1021</v>
      </c>
      <c r="B1365" s="4" t="s">
        <v>2921</v>
      </c>
      <c r="C1365" s="4" t="s">
        <v>2922</v>
      </c>
      <c r="D1365" s="5" t="s">
        <v>2923</v>
      </c>
      <c r="E1365" s="5">
        <v>1322.85</v>
      </c>
      <c r="F1365" s="6">
        <f>LOOKUP(D1365,'AMFI DATA_2023H2'!F:J,'AMFI DATA_2023H2'!J:J)</f>
        <v>1627.1318000000001</v>
      </c>
      <c r="G1365" s="7">
        <f t="shared" si="12"/>
        <v>0.13942828724753564</v>
      </c>
      <c r="H1365" s="8">
        <v>1854</v>
      </c>
      <c r="I1365" s="8">
        <v>1881</v>
      </c>
      <c r="J1365" s="8">
        <v>1869</v>
      </c>
      <c r="K1365" s="8">
        <v>1829</v>
      </c>
      <c r="L1365" s="8">
        <v>1880</v>
      </c>
      <c r="M1365" s="8">
        <v>1831</v>
      </c>
      <c r="N1365" s="8">
        <v>1828</v>
      </c>
      <c r="O1365" s="8">
        <v>1862</v>
      </c>
      <c r="P1365" s="8">
        <v>1852</v>
      </c>
      <c r="Q1365" s="8">
        <v>1850</v>
      </c>
      <c r="R1365" s="7">
        <f t="shared" si="13"/>
        <v>0.1391824559018513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</row>
    <row r="1366" spans="1:28" ht="14.4" hidden="1">
      <c r="A1366" s="3">
        <f>LOOKUP(D1366,'AMFI DATA_2023H2'!F:L,'AMFI DATA_2023H2'!L:L)</f>
        <v>523</v>
      </c>
      <c r="B1366" s="4" t="s">
        <v>1554</v>
      </c>
      <c r="C1366" s="4" t="s">
        <v>1555</v>
      </c>
      <c r="D1366" s="5" t="s">
        <v>1556</v>
      </c>
      <c r="E1366" s="5">
        <v>5985.8</v>
      </c>
      <c r="F1366" s="6">
        <f>LOOKUP(D1366,'AMFI DATA_2023H2'!F:J,'AMFI DATA_2023H2'!J:J)</f>
        <v>6997.0169500000002</v>
      </c>
      <c r="G1366" s="7">
        <f t="shared" si="12"/>
        <v>0.32384987290905443</v>
      </c>
      <c r="H1366" s="8">
        <v>9263</v>
      </c>
      <c r="I1366" s="8">
        <v>9464</v>
      </c>
      <c r="J1366" s="8">
        <v>9461</v>
      </c>
      <c r="K1366" s="8">
        <v>9382</v>
      </c>
      <c r="L1366" s="8">
        <v>9221</v>
      </c>
      <c r="M1366" s="8">
        <v>8800</v>
      </c>
      <c r="N1366" s="8">
        <v>8788</v>
      </c>
      <c r="O1366" s="8">
        <v>8582</v>
      </c>
      <c r="P1366" s="8">
        <v>8640</v>
      </c>
      <c r="Q1366" s="8">
        <v>8383</v>
      </c>
      <c r="R1366" s="7">
        <f t="shared" si="13"/>
        <v>0.28603375757150329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</row>
    <row r="1367" spans="1:28" ht="14.4" hidden="1">
      <c r="A1367" s="3">
        <f>LOOKUP(D1367,'AMFI DATA_2023H2'!F:L,'AMFI DATA_2023H2'!L:L)</f>
        <v>545</v>
      </c>
      <c r="B1367" s="4" t="s">
        <v>1614</v>
      </c>
      <c r="C1367" s="4" t="s">
        <v>1615</v>
      </c>
      <c r="D1367" s="5" t="s">
        <v>1616</v>
      </c>
      <c r="E1367" s="5">
        <v>3938.86</v>
      </c>
      <c r="F1367" s="6">
        <f>LOOKUP(D1367,'AMFI DATA_2023H2'!F:J,'AMFI DATA_2023H2'!J:J)</f>
        <v>6507.2971500000003</v>
      </c>
      <c r="G1367" s="7">
        <f t="shared" si="12"/>
        <v>0.32820121792040791</v>
      </c>
      <c r="H1367" s="8">
        <v>8643</v>
      </c>
      <c r="I1367" s="8">
        <v>8804</v>
      </c>
      <c r="J1367" s="8">
        <v>8766</v>
      </c>
      <c r="K1367" s="8">
        <v>8350</v>
      </c>
      <c r="L1367" s="8">
        <v>8411</v>
      </c>
      <c r="M1367" s="8">
        <v>8603</v>
      </c>
      <c r="N1367" s="8">
        <v>8733</v>
      </c>
      <c r="O1367" s="8">
        <v>8713</v>
      </c>
      <c r="P1367" s="8">
        <v>8583</v>
      </c>
      <c r="Q1367" s="8">
        <v>8718</v>
      </c>
      <c r="R1367" s="7">
        <f t="shared" si="13"/>
        <v>0.32657227740091743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</row>
    <row r="1368" spans="1:28" ht="14.4" hidden="1">
      <c r="A1368" s="3">
        <f>LOOKUP(D1368,'AMFI DATA_2023H2'!F:L,'AMFI DATA_2023H2'!L:L)</f>
        <v>266</v>
      </c>
      <c r="B1368" s="4" t="s">
        <v>807</v>
      </c>
      <c r="C1368" s="4" t="s">
        <v>808</v>
      </c>
      <c r="D1368" s="5" t="s">
        <v>809</v>
      </c>
      <c r="E1368" s="5">
        <v>15227.27</v>
      </c>
      <c r="F1368" s="6">
        <f>LOOKUP(D1368,'AMFI DATA_2023H2'!F:J,'AMFI DATA_2023H2'!J:J)</f>
        <v>20145.69485</v>
      </c>
      <c r="G1368" s="7">
        <f t="shared" si="12"/>
        <v>0.18506709139397093</v>
      </c>
      <c r="H1368" s="8">
        <v>23874</v>
      </c>
      <c r="I1368" s="8">
        <v>23743</v>
      </c>
      <c r="J1368" s="8">
        <v>23565</v>
      </c>
      <c r="K1368" s="8">
        <v>23453</v>
      </c>
      <c r="L1368" s="8">
        <v>23323</v>
      </c>
      <c r="M1368" s="8">
        <v>23620</v>
      </c>
      <c r="N1368" s="8">
        <v>23707</v>
      </c>
      <c r="O1368" s="8">
        <v>23756</v>
      </c>
      <c r="P1368" s="8">
        <v>23815</v>
      </c>
      <c r="Q1368" s="8">
        <v>24076</v>
      </c>
      <c r="R1368" s="7">
        <f t="shared" si="13"/>
        <v>0.17609246920564781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</row>
    <row r="1369" spans="1:28" ht="14.4" hidden="1">
      <c r="A1369" s="3">
        <f>LOOKUP(D1369,'AMFI DATA_2023H2'!F:L,'AMFI DATA_2023H2'!L:L)</f>
        <v>1444</v>
      </c>
      <c r="B1369" s="4" t="s">
        <v>3854</v>
      </c>
      <c r="C1369" s="4" t="s">
        <v>3855</v>
      </c>
      <c r="D1369" s="5" t="s">
        <v>3856</v>
      </c>
      <c r="E1369" s="5">
        <v>15227.27</v>
      </c>
      <c r="F1369" s="6">
        <f>LOOKUP(D1369,'AMFI DATA_2023H2'!F:J,'AMFI DATA_2023H2'!J:J)</f>
        <v>578.34854999999993</v>
      </c>
      <c r="G1369" s="7">
        <f t="shared" si="12"/>
        <v>-1.2706092199937125E-2</v>
      </c>
      <c r="H1369" s="9">
        <v>571</v>
      </c>
      <c r="I1369" s="9">
        <v>574</v>
      </c>
      <c r="J1369" s="9">
        <v>548</v>
      </c>
      <c r="K1369" s="9">
        <v>549</v>
      </c>
      <c r="L1369" s="9">
        <v>552</v>
      </c>
      <c r="M1369" s="9">
        <v>560</v>
      </c>
      <c r="N1369" s="9">
        <v>561</v>
      </c>
      <c r="O1369" s="9">
        <v>580</v>
      </c>
      <c r="P1369" s="9">
        <v>568</v>
      </c>
      <c r="Q1369" s="9">
        <v>556</v>
      </c>
      <c r="R1369" s="7">
        <f t="shared" si="13"/>
        <v>-2.8440548523896103E-2</v>
      </c>
      <c r="S1369" s="9"/>
      <c r="T1369" s="9"/>
      <c r="U1369" s="9"/>
      <c r="V1369" s="9"/>
      <c r="W1369" s="9"/>
      <c r="X1369" s="9"/>
      <c r="Y1369" s="9"/>
      <c r="Z1369" s="9"/>
      <c r="AA1369" s="9"/>
      <c r="AB1369" s="9"/>
    </row>
    <row r="1370" spans="1:28" ht="14.4" hidden="1">
      <c r="A1370" s="3">
        <f>LOOKUP(D1370,'AMFI DATA_2023H2'!F:L,'AMFI DATA_2023H2'!L:L)</f>
        <v>470</v>
      </c>
      <c r="B1370" s="4" t="s">
        <v>1398</v>
      </c>
      <c r="C1370" s="4" t="s">
        <v>1399</v>
      </c>
      <c r="D1370" s="5" t="s">
        <v>1400</v>
      </c>
      <c r="E1370" s="5">
        <v>5507.36</v>
      </c>
      <c r="F1370" s="6">
        <f>LOOKUP(D1370,'AMFI DATA_2023H2'!F:J,'AMFI DATA_2023H2'!J:J)</f>
        <v>8064.5357000000004</v>
      </c>
      <c r="G1370" s="7">
        <f t="shared" si="12"/>
        <v>0.4737364235364474</v>
      </c>
      <c r="H1370" s="8">
        <v>11885</v>
      </c>
      <c r="I1370" s="8">
        <v>11279</v>
      </c>
      <c r="J1370" s="8">
        <v>10493</v>
      </c>
      <c r="K1370" s="8">
        <v>10512</v>
      </c>
      <c r="L1370" s="8">
        <v>10555</v>
      </c>
      <c r="M1370" s="8">
        <v>10544</v>
      </c>
      <c r="N1370" s="8">
        <v>10440</v>
      </c>
      <c r="O1370" s="8">
        <v>10485</v>
      </c>
      <c r="P1370" s="8">
        <v>10663</v>
      </c>
      <c r="Q1370" s="8">
        <v>10913</v>
      </c>
      <c r="R1370" s="7">
        <f t="shared" si="13"/>
        <v>0.33633235698863606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</row>
    <row r="1371" spans="1:28" ht="14.4" hidden="1">
      <c r="A1371" s="3">
        <f>LOOKUP(D1371,'AMFI DATA_2023H2'!F:L,'AMFI DATA_2023H2'!L:L)</f>
        <v>709</v>
      </c>
      <c r="B1371" s="4" t="s">
        <v>2078</v>
      </c>
      <c r="C1371" s="4" t="s">
        <v>2079</v>
      </c>
      <c r="D1371" s="5" t="s">
        <v>2080</v>
      </c>
      <c r="E1371" s="5">
        <v>1908.34</v>
      </c>
      <c r="F1371" s="6">
        <f>LOOKUP(D1371,'AMFI DATA_2023H2'!F:J,'AMFI DATA_2023H2'!J:J)</f>
        <v>3740.1067499999999</v>
      </c>
      <c r="G1371" s="7">
        <f t="shared" si="12"/>
        <v>0.50904783666936781</v>
      </c>
      <c r="H1371" s="8">
        <v>5644</v>
      </c>
      <c r="I1371" s="8">
        <v>5343</v>
      </c>
      <c r="J1371" s="8">
        <v>5123</v>
      </c>
      <c r="K1371" s="8">
        <v>5000</v>
      </c>
      <c r="L1371" s="8">
        <v>4946</v>
      </c>
      <c r="M1371" s="8">
        <v>4838</v>
      </c>
      <c r="N1371" s="8">
        <v>4731</v>
      </c>
      <c r="O1371" s="8">
        <v>4887</v>
      </c>
      <c r="P1371" s="8">
        <v>4957</v>
      </c>
      <c r="Q1371" s="8">
        <v>4914</v>
      </c>
      <c r="R1371" s="7">
        <f t="shared" si="13"/>
        <v>0.34710058743644145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</row>
    <row r="1372" spans="1:28" ht="14.4" hidden="1">
      <c r="A1372" s="3">
        <f>LOOKUP(D1372,'AMFI DATA_2023H2'!F:L,'AMFI DATA_2023H2'!L:L)</f>
        <v>2887</v>
      </c>
      <c r="B1372" s="4" t="s">
        <v>5494</v>
      </c>
      <c r="C1372" s="4" t="s">
        <v>5495</v>
      </c>
      <c r="D1372" s="5" t="s">
        <v>5496</v>
      </c>
      <c r="E1372" s="5">
        <v>38.1</v>
      </c>
      <c r="F1372" s="6">
        <f>LOOKUP(D1372,'AMFI DATA_2023H2'!F:J,'AMFI DATA_2023H2'!J:J)</f>
        <v>45.235500000000002</v>
      </c>
      <c r="G1372" s="7">
        <f t="shared" si="12"/>
        <v>0.20922726619579746</v>
      </c>
      <c r="H1372" s="9">
        <v>54.7</v>
      </c>
      <c r="I1372" s="9">
        <v>53.7</v>
      </c>
      <c r="J1372" s="9">
        <v>52.7</v>
      </c>
      <c r="K1372" s="9">
        <v>51.6</v>
      </c>
      <c r="L1372" s="9">
        <v>50.6</v>
      </c>
      <c r="M1372" s="9">
        <v>51.2</v>
      </c>
      <c r="N1372" s="9">
        <v>51.6</v>
      </c>
      <c r="O1372" s="9">
        <v>51.6</v>
      </c>
      <c r="P1372" s="9">
        <v>49.4</v>
      </c>
      <c r="Q1372" s="9">
        <v>50.2</v>
      </c>
      <c r="R1372" s="7">
        <f t="shared" si="13"/>
        <v>0.14357086801295438</v>
      </c>
      <c r="S1372" s="9"/>
      <c r="T1372" s="9"/>
      <c r="U1372" s="9"/>
      <c r="V1372" s="9"/>
      <c r="W1372" s="9"/>
      <c r="X1372" s="9"/>
      <c r="Y1372" s="9"/>
      <c r="Z1372" s="9"/>
      <c r="AA1372" s="9"/>
      <c r="AB1372" s="9"/>
    </row>
    <row r="1373" spans="1:28" ht="14.4" hidden="1">
      <c r="A1373" s="3">
        <f>LOOKUP(D1373,'AMFI DATA_2023H2'!F:L,'AMFI DATA_2023H2'!L:L)</f>
        <v>1937</v>
      </c>
      <c r="B1373" s="4" t="s">
        <v>4646</v>
      </c>
      <c r="C1373" s="4" t="s">
        <v>4647</v>
      </c>
      <c r="D1373" s="5" t="s">
        <v>4648</v>
      </c>
      <c r="E1373" s="5">
        <v>143.94</v>
      </c>
      <c r="F1373" s="6">
        <f>LOOKUP(D1373,'AMFI DATA_2023H2'!F:J,'AMFI DATA_2023H2'!J:J)</f>
        <v>205.95835</v>
      </c>
      <c r="G1373" s="7">
        <f t="shared" si="12"/>
        <v>0.47117123437821284</v>
      </c>
      <c r="H1373" s="9">
        <v>303</v>
      </c>
      <c r="I1373" s="9">
        <v>306</v>
      </c>
      <c r="J1373" s="9">
        <v>306</v>
      </c>
      <c r="K1373" s="9">
        <v>305</v>
      </c>
      <c r="L1373" s="9">
        <v>308</v>
      </c>
      <c r="M1373" s="9">
        <v>324</v>
      </c>
      <c r="N1373" s="9">
        <v>341</v>
      </c>
      <c r="O1373" s="9">
        <v>325</v>
      </c>
      <c r="P1373" s="9">
        <v>312</v>
      </c>
      <c r="Q1373" s="9">
        <v>296</v>
      </c>
      <c r="R1373" s="7">
        <f t="shared" si="13"/>
        <v>0.51778260021989908</v>
      </c>
      <c r="S1373" s="9"/>
      <c r="T1373" s="9"/>
      <c r="U1373" s="9"/>
      <c r="V1373" s="9"/>
      <c r="W1373" s="9"/>
      <c r="X1373" s="9"/>
      <c r="Y1373" s="9"/>
      <c r="Z1373" s="9"/>
      <c r="AA1373" s="9"/>
      <c r="AB1373" s="9"/>
    </row>
    <row r="1374" spans="1:28" ht="14.4" hidden="1">
      <c r="A1374" s="3">
        <f>LOOKUP(D1374,'AMFI DATA_2023H2'!F:L,'AMFI DATA_2023H2'!L:L)</f>
        <v>361</v>
      </c>
      <c r="B1374" s="4" t="s">
        <v>1089</v>
      </c>
      <c r="C1374" s="4" t="s">
        <v>1090</v>
      </c>
      <c r="D1374" s="5" t="s">
        <v>1091</v>
      </c>
      <c r="E1374" s="5">
        <v>9703.93</v>
      </c>
      <c r="F1374" s="6">
        <f>LOOKUP(D1374,'AMFI DATA_2023H2'!F:J,'AMFI DATA_2023H2'!J:J)</f>
        <v>12154.45865</v>
      </c>
      <c r="G1374" s="7">
        <f t="shared" si="12"/>
        <v>-4.7345477620264087E-2</v>
      </c>
      <c r="H1374" s="8">
        <v>11579</v>
      </c>
      <c r="I1374" s="8">
        <v>11606</v>
      </c>
      <c r="J1374" s="8">
        <v>11371</v>
      </c>
      <c r="K1374" s="8">
        <v>11444</v>
      </c>
      <c r="L1374" s="8">
        <v>11573</v>
      </c>
      <c r="M1374" s="8">
        <v>11467</v>
      </c>
      <c r="N1374" s="8">
        <v>11331</v>
      </c>
      <c r="O1374" s="8">
        <v>11531</v>
      </c>
      <c r="P1374" s="8">
        <v>11424</v>
      </c>
      <c r="Q1374" s="8">
        <v>11470</v>
      </c>
      <c r="R1374" s="7">
        <f t="shared" si="13"/>
        <v>-5.5523546497070808E-2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</row>
    <row r="1375" spans="1:28" ht="14.4" hidden="1">
      <c r="A1375" s="3">
        <f>LOOKUP(D1375,'AMFI DATA_2023H2'!F:L,'AMFI DATA_2023H2'!L:L)</f>
        <v>329</v>
      </c>
      <c r="B1375" s="4" t="s">
        <v>996</v>
      </c>
      <c r="C1375" s="4" t="s">
        <v>997</v>
      </c>
      <c r="D1375" s="5" t="s">
        <v>998</v>
      </c>
      <c r="E1375" s="5">
        <v>9530.66</v>
      </c>
      <c r="F1375" s="6">
        <f>LOOKUP(D1375,'AMFI DATA_2023H2'!F:J,'AMFI DATA_2023H2'!J:J)</f>
        <v>14113.046050000001</v>
      </c>
      <c r="G1375" s="7">
        <f t="shared" si="12"/>
        <v>0.22971326944688886</v>
      </c>
      <c r="H1375" s="8">
        <v>17355</v>
      </c>
      <c r="I1375" s="8">
        <v>17276</v>
      </c>
      <c r="J1375" s="8">
        <v>17166</v>
      </c>
      <c r="K1375" s="8">
        <v>16928</v>
      </c>
      <c r="L1375" s="8">
        <v>16994</v>
      </c>
      <c r="M1375" s="8">
        <v>16825</v>
      </c>
      <c r="N1375" s="8">
        <v>16208</v>
      </c>
      <c r="O1375" s="8">
        <v>15834</v>
      </c>
      <c r="P1375" s="8">
        <v>15696</v>
      </c>
      <c r="Q1375" s="8">
        <v>16418</v>
      </c>
      <c r="R1375" s="7">
        <f t="shared" si="13"/>
        <v>0.18117661778620775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</row>
    <row r="1376" spans="1:28" ht="14.4" hidden="1">
      <c r="A1376" s="3">
        <f>LOOKUP(D1376,'AMFI DATA_2023H2'!F:L,'AMFI DATA_2023H2'!L:L)</f>
        <v>88</v>
      </c>
      <c r="B1376" s="4" t="s">
        <v>276</v>
      </c>
      <c r="C1376" s="4" t="s">
        <v>277</v>
      </c>
      <c r="D1376" s="5" t="s">
        <v>278</v>
      </c>
      <c r="E1376" s="5">
        <v>33709.58</v>
      </c>
      <c r="F1376" s="6">
        <f>LOOKUP(D1376,'AMFI DATA_2023H2'!F:J,'AMFI DATA_2023H2'!J:J)</f>
        <v>73241.105849999993</v>
      </c>
      <c r="G1376" s="7">
        <f t="shared" si="12"/>
        <v>0.56143191275968451</v>
      </c>
      <c r="H1376" s="8">
        <v>114361</v>
      </c>
      <c r="I1376" s="8">
        <v>114756</v>
      </c>
      <c r="J1376" s="8">
        <v>111728</v>
      </c>
      <c r="K1376" s="8">
        <v>110516</v>
      </c>
      <c r="L1376" s="8">
        <v>111754</v>
      </c>
      <c r="M1376" s="8">
        <v>108673</v>
      </c>
      <c r="N1376" s="8">
        <v>108041</v>
      </c>
      <c r="O1376" s="8">
        <v>108094</v>
      </c>
      <c r="P1376" s="8">
        <v>110332</v>
      </c>
      <c r="Q1376" s="8">
        <v>107067</v>
      </c>
      <c r="R1376" s="7">
        <f t="shared" si="13"/>
        <v>0.50915525806468964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</row>
    <row r="1377" spans="1:28" ht="14.4" hidden="1">
      <c r="A1377" s="3">
        <f>LOOKUP(D1377,'AMFI DATA_2023H2'!F:L,'AMFI DATA_2023H2'!L:L)</f>
        <v>343</v>
      </c>
      <c r="B1377" s="4" t="s">
        <v>1038</v>
      </c>
      <c r="C1377" s="4" t="s">
        <v>1039</v>
      </c>
      <c r="D1377" s="5" t="s">
        <v>1040</v>
      </c>
      <c r="E1377" s="5">
        <v>13814.4</v>
      </c>
      <c r="F1377" s="6">
        <f>LOOKUP(D1377,'AMFI DATA_2023H2'!F:J,'AMFI DATA_2023H2'!J:J)</f>
        <v>12743.4413</v>
      </c>
      <c r="G1377" s="7">
        <f t="shared" si="12"/>
        <v>7.7181561624174444E-2</v>
      </c>
      <c r="H1377" s="8">
        <v>13727</v>
      </c>
      <c r="I1377" s="8">
        <v>13664</v>
      </c>
      <c r="J1377" s="8">
        <v>13696</v>
      </c>
      <c r="K1377" s="8">
        <v>13786</v>
      </c>
      <c r="L1377" s="8">
        <v>13688</v>
      </c>
      <c r="M1377" s="8">
        <v>13786</v>
      </c>
      <c r="N1377" s="8">
        <v>13907</v>
      </c>
      <c r="O1377" s="8">
        <v>13868</v>
      </c>
      <c r="P1377" s="8">
        <v>13754</v>
      </c>
      <c r="Q1377" s="8">
        <v>13743</v>
      </c>
      <c r="R1377" s="7">
        <f t="shared" si="13"/>
        <v>7.9920225316218119E-2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</row>
    <row r="1378" spans="1:28" ht="14.4" hidden="1">
      <c r="A1378" s="3">
        <f>LOOKUP(D1378,'AMFI DATA_2023H2'!F:L,'AMFI DATA_2023H2'!L:L)</f>
        <v>540</v>
      </c>
      <c r="B1378" s="4" t="s">
        <v>1599</v>
      </c>
      <c r="C1378" s="4" t="s">
        <v>1600</v>
      </c>
      <c r="D1378" s="5" t="s">
        <v>1601</v>
      </c>
      <c r="E1378" s="5">
        <v>13814.4</v>
      </c>
      <c r="F1378" s="6">
        <f>LOOKUP(D1378,'AMFI DATA_2023H2'!F:J,'AMFI DATA_2023H2'!J:J)</f>
        <v>6581.3137500000003</v>
      </c>
      <c r="G1378" s="7">
        <f t="shared" si="12"/>
        <v>0.10388294434374901</v>
      </c>
      <c r="H1378" s="8">
        <v>7265</v>
      </c>
      <c r="I1378" s="8">
        <v>7181</v>
      </c>
      <c r="J1378" s="8">
        <v>7039</v>
      </c>
      <c r="K1378" s="8">
        <v>6820</v>
      </c>
      <c r="L1378" s="8">
        <v>6682</v>
      </c>
      <c r="M1378" s="8">
        <v>6493</v>
      </c>
      <c r="N1378" s="8">
        <v>6357</v>
      </c>
      <c r="O1378" s="8">
        <v>6424</v>
      </c>
      <c r="P1378" s="8">
        <v>6434</v>
      </c>
      <c r="Q1378" s="8">
        <v>6426</v>
      </c>
      <c r="R1378" s="7">
        <f t="shared" si="13"/>
        <v>1.9872362110072705E-2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</row>
    <row r="1379" spans="1:28" ht="14.4" hidden="1">
      <c r="A1379" s="3">
        <f>LOOKUP(D1379,'AMFI DATA_2023H2'!F:L,'AMFI DATA_2023H2'!L:L)</f>
        <v>1071</v>
      </c>
      <c r="B1379" s="4" t="s">
        <v>3041</v>
      </c>
      <c r="C1379" s="4" t="s">
        <v>3042</v>
      </c>
      <c r="D1379" s="5" t="s">
        <v>3043</v>
      </c>
      <c r="E1379" s="5">
        <v>747.98</v>
      </c>
      <c r="F1379" s="6">
        <f>LOOKUP(D1379,'AMFI DATA_2023H2'!F:J,'AMFI DATA_2023H2'!J:J)</f>
        <v>1409.41705</v>
      </c>
      <c r="G1379" s="7">
        <f t="shared" si="12"/>
        <v>-3.1514483239719615E-2</v>
      </c>
      <c r="H1379" s="8">
        <v>1365</v>
      </c>
      <c r="I1379" s="8">
        <v>1357</v>
      </c>
      <c r="J1379" s="8">
        <v>1354</v>
      </c>
      <c r="K1379" s="8">
        <v>1373</v>
      </c>
      <c r="L1379" s="8">
        <v>1398</v>
      </c>
      <c r="M1379" s="8">
        <v>1333</v>
      </c>
      <c r="N1379" s="8">
        <v>1315</v>
      </c>
      <c r="O1379" s="8">
        <v>1324</v>
      </c>
      <c r="P1379" s="8">
        <v>1330</v>
      </c>
      <c r="Q1379" s="8">
        <v>1308</v>
      </c>
      <c r="R1379" s="7">
        <f t="shared" si="13"/>
        <v>-4.5208087982190892E-2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</row>
    <row r="1380" spans="1:28" ht="14.4" hidden="1">
      <c r="A1380" s="3">
        <f>LOOKUP(D1380,'AMFI DATA_2023H2'!F:L,'AMFI DATA_2023H2'!L:L)</f>
        <v>2451</v>
      </c>
      <c r="B1380" s="4" t="s">
        <v>5257</v>
      </c>
      <c r="C1380" s="4" t="s">
        <v>5258</v>
      </c>
      <c r="D1380" s="5" t="s">
        <v>5259</v>
      </c>
      <c r="E1380" s="5">
        <v>64.680000000000007</v>
      </c>
      <c r="F1380" s="6">
        <f>LOOKUP(D1380,'AMFI DATA_2023H2'!F:J,'AMFI DATA_2023H2'!J:J)</f>
        <v>90.217449999999999</v>
      </c>
      <c r="G1380" s="7">
        <f t="shared" si="12"/>
        <v>0.13060167406638068</v>
      </c>
      <c r="H1380" s="9">
        <v>102</v>
      </c>
      <c r="I1380" s="9">
        <v>100</v>
      </c>
      <c r="J1380" s="9">
        <v>98.2</v>
      </c>
      <c r="K1380" s="9">
        <v>96.2</v>
      </c>
      <c r="L1380" s="9">
        <v>94.5</v>
      </c>
      <c r="M1380" s="9">
        <v>94.3</v>
      </c>
      <c r="N1380" s="9">
        <v>95.7</v>
      </c>
      <c r="O1380" s="9">
        <v>97.7</v>
      </c>
      <c r="P1380" s="9">
        <v>102</v>
      </c>
      <c r="Q1380" s="9">
        <v>102</v>
      </c>
      <c r="R1380" s="7">
        <f t="shared" si="13"/>
        <v>8.9146279350613478E-2</v>
      </c>
      <c r="S1380" s="9"/>
      <c r="T1380" s="9"/>
      <c r="U1380" s="9"/>
      <c r="V1380" s="9"/>
      <c r="W1380" s="9"/>
      <c r="X1380" s="9"/>
      <c r="Y1380" s="9"/>
      <c r="Z1380" s="9"/>
      <c r="AA1380" s="9"/>
      <c r="AB1380" s="9"/>
    </row>
    <row r="1381" spans="1:28" ht="14.4" hidden="1">
      <c r="A1381" s="3">
        <f>LOOKUP(D1381,'AMFI DATA_2023H2'!F:L,'AMFI DATA_2023H2'!L:L)</f>
        <v>243</v>
      </c>
      <c r="B1381" s="4" t="s">
        <v>735</v>
      </c>
      <c r="C1381" s="4" t="s">
        <v>736</v>
      </c>
      <c r="D1381" s="5" t="s">
        <v>737</v>
      </c>
      <c r="E1381" s="5">
        <v>20964.150000000001</v>
      </c>
      <c r="F1381" s="6">
        <f>LOOKUP(D1381,'AMFI DATA_2023H2'!F:J,'AMFI DATA_2023H2'!J:J)</f>
        <v>22758.878100000002</v>
      </c>
      <c r="G1381" s="7">
        <f t="shared" si="12"/>
        <v>-1.3396007424460898E-2</v>
      </c>
      <c r="H1381" s="8">
        <v>22454</v>
      </c>
      <c r="I1381" s="8">
        <v>22444</v>
      </c>
      <c r="J1381" s="8">
        <v>22380</v>
      </c>
      <c r="K1381" s="8">
        <v>22499</v>
      </c>
      <c r="L1381" s="8">
        <v>22473</v>
      </c>
      <c r="M1381" s="8">
        <v>22490</v>
      </c>
      <c r="N1381" s="8">
        <v>22280</v>
      </c>
      <c r="O1381" s="8">
        <v>22317</v>
      </c>
      <c r="P1381" s="8">
        <v>22275</v>
      </c>
      <c r="Q1381" s="8">
        <v>22358</v>
      </c>
      <c r="R1381" s="7">
        <f t="shared" si="13"/>
        <v>-1.590052455177926E-2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</row>
    <row r="1382" spans="1:28" ht="14.4" hidden="1">
      <c r="A1382" s="3">
        <f>LOOKUP(D1382,'AMFI DATA_2023H2'!F:L,'AMFI DATA_2023H2'!L:L)</f>
        <v>2065</v>
      </c>
      <c r="B1382" s="4" t="s">
        <v>4829</v>
      </c>
      <c r="C1382" s="4" t="s">
        <v>4830</v>
      </c>
      <c r="D1382" s="5" t="s">
        <v>4831</v>
      </c>
      <c r="E1382" s="5">
        <v>130.47</v>
      </c>
      <c r="F1382" s="6">
        <f>LOOKUP(D1382,'AMFI DATA_2023H2'!F:J,'AMFI DATA_2023H2'!J:J)</f>
        <v>170.76175000000001</v>
      </c>
      <c r="G1382" s="7">
        <f t="shared" si="12"/>
        <v>0.27077638874045262</v>
      </c>
      <c r="H1382" s="9">
        <v>217</v>
      </c>
      <c r="I1382" s="9">
        <v>221</v>
      </c>
      <c r="J1382" s="9">
        <v>223</v>
      </c>
      <c r="K1382" s="9">
        <v>230</v>
      </c>
      <c r="L1382" s="9">
        <v>222</v>
      </c>
      <c r="M1382" s="9">
        <v>226</v>
      </c>
      <c r="N1382" s="9">
        <v>226</v>
      </c>
      <c r="O1382" s="9">
        <v>224</v>
      </c>
      <c r="P1382" s="9">
        <v>231</v>
      </c>
      <c r="Q1382" s="9">
        <v>229</v>
      </c>
      <c r="R1382" s="7">
        <f t="shared" si="13"/>
        <v>0.31703967662547372</v>
      </c>
      <c r="S1382" s="9"/>
      <c r="T1382" s="9"/>
      <c r="U1382" s="9"/>
      <c r="V1382" s="9"/>
      <c r="W1382" s="9"/>
      <c r="X1382" s="9"/>
      <c r="Y1382" s="9"/>
      <c r="Z1382" s="9"/>
      <c r="AA1382" s="9"/>
      <c r="AB1382" s="9"/>
    </row>
    <row r="1383" spans="1:28" ht="14.4" hidden="1">
      <c r="A1383" s="3">
        <f>LOOKUP(D1383,'AMFI DATA_2023H2'!F:L,'AMFI DATA_2023H2'!L:L)</f>
        <v>1554</v>
      </c>
      <c r="B1383" s="4" t="s">
        <v>4064</v>
      </c>
      <c r="C1383" s="4" t="s">
        <v>4065</v>
      </c>
      <c r="D1383" s="5" t="s">
        <v>4066</v>
      </c>
      <c r="E1383" s="5">
        <v>430.75</v>
      </c>
      <c r="F1383" s="6">
        <f>LOOKUP(D1383,'AMFI DATA_2023H2'!F:J,'AMFI DATA_2023H2'!J:J)</f>
        <v>453.84805</v>
      </c>
      <c r="G1383" s="7">
        <f t="shared" si="12"/>
        <v>0.21846948554697998</v>
      </c>
      <c r="H1383" s="9">
        <v>553</v>
      </c>
      <c r="I1383" s="9">
        <v>553</v>
      </c>
      <c r="J1383" s="9">
        <v>553</v>
      </c>
      <c r="K1383" s="9">
        <v>553</v>
      </c>
      <c r="L1383" s="9">
        <v>595</v>
      </c>
      <c r="M1383" s="9">
        <v>581</v>
      </c>
      <c r="N1383" s="9">
        <v>581</v>
      </c>
      <c r="O1383" s="9">
        <v>581</v>
      </c>
      <c r="P1383" s="9">
        <v>539</v>
      </c>
      <c r="Q1383" s="9">
        <v>608</v>
      </c>
      <c r="R1383" s="7">
        <f t="shared" si="13"/>
        <v>0.25526594198212393</v>
      </c>
      <c r="S1383" s="9"/>
      <c r="T1383" s="9"/>
      <c r="U1383" s="9"/>
      <c r="V1383" s="9"/>
      <c r="W1383" s="9"/>
      <c r="X1383" s="9"/>
      <c r="Y1383" s="9"/>
      <c r="Z1383" s="9"/>
      <c r="AA1383" s="9"/>
      <c r="AB1383" s="9"/>
    </row>
    <row r="1384" spans="1:28" ht="14.4" hidden="1">
      <c r="A1384" s="3">
        <f>LOOKUP(D1384,'AMFI DATA_2023H2'!F:L,'AMFI DATA_2023H2'!L:L)</f>
        <v>2271</v>
      </c>
      <c r="B1384" s="4" t="s">
        <v>5093</v>
      </c>
      <c r="C1384" s="4" t="s">
        <v>5094</v>
      </c>
      <c r="D1384" s="5" t="s">
        <v>5095</v>
      </c>
      <c r="E1384" s="5">
        <v>147.81</v>
      </c>
      <c r="F1384" s="6">
        <f>LOOKUP(D1384,'AMFI DATA_2023H2'!F:J,'AMFI DATA_2023H2'!J:J)</f>
        <v>117.33414999999999</v>
      </c>
      <c r="G1384" s="7">
        <f t="shared" si="12"/>
        <v>1.3352110191278501</v>
      </c>
      <c r="H1384" s="9">
        <v>274</v>
      </c>
      <c r="I1384" s="9">
        <v>245</v>
      </c>
      <c r="J1384" s="9">
        <v>249</v>
      </c>
      <c r="K1384" s="9">
        <v>238</v>
      </c>
      <c r="L1384" s="9">
        <v>227</v>
      </c>
      <c r="M1384" s="9">
        <v>216</v>
      </c>
      <c r="N1384" s="9">
        <v>206</v>
      </c>
      <c r="O1384" s="9">
        <v>189</v>
      </c>
      <c r="P1384" s="9">
        <v>178</v>
      </c>
      <c r="Q1384" s="9">
        <v>175</v>
      </c>
      <c r="R1384" s="7">
        <f t="shared" si="13"/>
        <v>0.87243014927879048</v>
      </c>
      <c r="S1384" s="9"/>
      <c r="T1384" s="9"/>
      <c r="U1384" s="9"/>
      <c r="V1384" s="9"/>
      <c r="W1384" s="9"/>
      <c r="X1384" s="9"/>
      <c r="Y1384" s="9"/>
      <c r="Z1384" s="9"/>
      <c r="AA1384" s="9"/>
      <c r="AB1384" s="9"/>
    </row>
    <row r="1385" spans="1:28" ht="14.4" hidden="1">
      <c r="A1385" s="3">
        <f>LOOKUP(D1385,'AMFI DATA_2023H2'!F:L,'AMFI DATA_2023H2'!L:L)</f>
        <v>1032</v>
      </c>
      <c r="B1385" s="4" t="s">
        <v>2948</v>
      </c>
      <c r="C1385" s="4" t="s">
        <v>2949</v>
      </c>
      <c r="D1385" s="5" t="s">
        <v>2950</v>
      </c>
      <c r="E1385" s="5">
        <v>1315.31</v>
      </c>
      <c r="F1385" s="6">
        <f>LOOKUP(D1385,'AMFI DATA_2023H2'!F:J,'AMFI DATA_2023H2'!J:J)</f>
        <v>1572.8659499999999</v>
      </c>
      <c r="G1385" s="7">
        <f t="shared" si="12"/>
        <v>0.31734048918790569</v>
      </c>
      <c r="H1385" s="8">
        <v>2072</v>
      </c>
      <c r="I1385" s="8">
        <v>2111</v>
      </c>
      <c r="J1385" s="8">
        <v>2087</v>
      </c>
      <c r="K1385" s="8">
        <v>2136</v>
      </c>
      <c r="L1385" s="8">
        <v>2141</v>
      </c>
      <c r="M1385" s="8">
        <v>2036</v>
      </c>
      <c r="N1385" s="8">
        <v>2034</v>
      </c>
      <c r="O1385" s="8">
        <v>2059</v>
      </c>
      <c r="P1385" s="8">
        <v>2035</v>
      </c>
      <c r="Q1385" s="8">
        <v>1974</v>
      </c>
      <c r="R1385" s="7">
        <f t="shared" si="13"/>
        <v>0.31511525187508838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</row>
    <row r="1386" spans="1:28" ht="14.4" hidden="1">
      <c r="A1386" s="3">
        <f>LOOKUP(D1386,'AMFI DATA_2023H2'!F:L,'AMFI DATA_2023H2'!L:L)</f>
        <v>1</v>
      </c>
      <c r="B1386" s="4" t="s">
        <v>7</v>
      </c>
      <c r="C1386" s="4" t="s">
        <v>8</v>
      </c>
      <c r="D1386" s="5" t="s">
        <v>9</v>
      </c>
      <c r="E1386" s="5">
        <v>1632378.37</v>
      </c>
      <c r="F1386" s="6">
        <f>LOOKUP(D1386,'AMFI DATA_2023H2'!F:J,'AMFI DATA_2023H2'!J:J)</f>
        <v>1639089.5007000002</v>
      </c>
      <c r="G1386" s="7">
        <f t="shared" si="12"/>
        <v>7.6382344738668673E-2</v>
      </c>
      <c r="H1386" s="8">
        <v>1764287</v>
      </c>
      <c r="I1386" s="8">
        <v>1756811</v>
      </c>
      <c r="J1386" s="8">
        <v>1747542</v>
      </c>
      <c r="K1386" s="8">
        <v>1766452</v>
      </c>
      <c r="L1386" s="8">
        <v>1752211</v>
      </c>
      <c r="M1386" s="8">
        <v>1748827</v>
      </c>
      <c r="N1386" s="8">
        <v>1763002</v>
      </c>
      <c r="O1386" s="8">
        <v>1749842</v>
      </c>
      <c r="P1386" s="8">
        <v>1744465</v>
      </c>
      <c r="Q1386" s="8">
        <v>1735431</v>
      </c>
      <c r="R1386" s="7">
        <f t="shared" si="13"/>
        <v>6.9427263887298807E-2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</row>
    <row r="1387" spans="1:28" ht="14.4">
      <c r="A1387" s="3">
        <f>LOOKUP(D1387,'AMFI DATA_2023H2'!F:L,'AMFI DATA_2023H2'!L:L)</f>
        <v>535</v>
      </c>
      <c r="B1387" s="4" t="s">
        <v>1584</v>
      </c>
      <c r="C1387" s="4" t="s">
        <v>1585</v>
      </c>
      <c r="D1387" s="5" t="s">
        <v>1586</v>
      </c>
      <c r="E1387" s="5">
        <v>4695.9799999999996</v>
      </c>
      <c r="F1387" s="6">
        <f>LOOKUP(D1387,'AMFI DATA_2023H2'!F:J,'AMFI DATA_2023H2'!J:J)</f>
        <v>6661.1808499999997</v>
      </c>
      <c r="G1387" s="7">
        <f t="shared" si="12"/>
        <v>0.36537352832868963</v>
      </c>
      <c r="H1387" s="8">
        <v>9095</v>
      </c>
      <c r="I1387" s="8">
        <v>9172</v>
      </c>
      <c r="J1387" s="8">
        <v>8541</v>
      </c>
      <c r="K1387" s="8">
        <v>8238</v>
      </c>
      <c r="L1387" s="8">
        <v>8390</v>
      </c>
      <c r="M1387" s="8">
        <v>8325</v>
      </c>
      <c r="N1387" s="8">
        <v>7570</v>
      </c>
      <c r="O1387" s="8">
        <v>7707</v>
      </c>
      <c r="P1387" s="8">
        <v>7798</v>
      </c>
      <c r="Q1387" s="8">
        <v>7647</v>
      </c>
      <c r="R1387" s="14">
        <f t="shared" si="13"/>
        <v>0.23826393333848594</v>
      </c>
      <c r="S1387" s="8"/>
      <c r="T1387" s="8">
        <v>229</v>
      </c>
      <c r="U1387" s="15">
        <f ca="1">IFERROR(__xludf.DUMMYFUNCTION("GOOGLEFINANCE(C1387,""PRICE"")"),222.15)</f>
        <v>222.15</v>
      </c>
      <c r="V1387" s="13" t="s">
        <v>5787</v>
      </c>
      <c r="W1387" s="7">
        <f ca="1">U1387/T1387-1</f>
        <v>-2.9912663755458535E-2</v>
      </c>
      <c r="X1387" s="8"/>
      <c r="Y1387" s="8"/>
      <c r="Z1387" s="8"/>
      <c r="AA1387" s="8"/>
      <c r="AB1387" s="8"/>
    </row>
    <row r="1388" spans="1:28" ht="14.4" hidden="1">
      <c r="A1388" s="3">
        <f>LOOKUP(D1388,'AMFI DATA_2023H2'!F:L,'AMFI DATA_2023H2'!L:L)</f>
        <v>508</v>
      </c>
      <c r="B1388" s="4" t="s">
        <v>1509</v>
      </c>
      <c r="C1388" s="4" t="s">
        <v>1510</v>
      </c>
      <c r="D1388" s="5" t="s">
        <v>1511</v>
      </c>
      <c r="E1388" s="5">
        <v>4503.46</v>
      </c>
      <c r="F1388" s="6">
        <f>LOOKUP(D1388,'AMFI DATA_2023H2'!F:J,'AMFI DATA_2023H2'!J:J)</f>
        <v>7182.9174000000003</v>
      </c>
      <c r="G1388" s="7">
        <f t="shared" si="12"/>
        <v>0.66603614291875335</v>
      </c>
      <c r="H1388" s="8">
        <v>11967</v>
      </c>
      <c r="I1388" s="8">
        <v>11586</v>
      </c>
      <c r="J1388" s="8">
        <v>9894</v>
      </c>
      <c r="K1388" s="8">
        <v>9185</v>
      </c>
      <c r="L1388" s="8">
        <v>9128</v>
      </c>
      <c r="M1388" s="8">
        <v>8869</v>
      </c>
      <c r="N1388" s="8">
        <v>8522</v>
      </c>
      <c r="O1388" s="8">
        <v>8613</v>
      </c>
      <c r="P1388" s="8">
        <v>8606</v>
      </c>
      <c r="Q1388" s="8">
        <v>8537</v>
      </c>
      <c r="R1388" s="7">
        <f t="shared" si="13"/>
        <v>0.32128764281766631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</row>
    <row r="1389" spans="1:28" ht="14.4" hidden="1">
      <c r="A1389" s="3">
        <f>LOOKUP(D1389,'AMFI DATA_2023H2'!F:L,'AMFI DATA_2023H2'!L:L)</f>
        <v>517</v>
      </c>
      <c r="B1389" s="4" t="s">
        <v>1536</v>
      </c>
      <c r="C1389" s="4" t="s">
        <v>1537</v>
      </c>
      <c r="D1389" s="5" t="s">
        <v>1538</v>
      </c>
      <c r="E1389" s="5">
        <v>5214.1400000000003</v>
      </c>
      <c r="F1389" s="6">
        <f>LOOKUP(D1389,'AMFI DATA_2023H2'!F:J,'AMFI DATA_2023H2'!J:J)</f>
        <v>7084.6964500000004</v>
      </c>
      <c r="G1389" s="7">
        <f t="shared" si="12"/>
        <v>1.4298925961746756E-2</v>
      </c>
      <c r="H1389" s="8">
        <v>7186</v>
      </c>
      <c r="I1389" s="8">
        <v>7219</v>
      </c>
      <c r="J1389" s="8">
        <v>7028</v>
      </c>
      <c r="K1389" s="8">
        <v>7092</v>
      </c>
      <c r="L1389" s="8">
        <v>7133</v>
      </c>
      <c r="M1389" s="8">
        <v>7025</v>
      </c>
      <c r="N1389" s="8">
        <v>6949</v>
      </c>
      <c r="O1389" s="8">
        <v>6955</v>
      </c>
      <c r="P1389" s="8">
        <v>7059</v>
      </c>
      <c r="Q1389" s="8">
        <v>7119</v>
      </c>
      <c r="R1389" s="7">
        <f t="shared" si="13"/>
        <v>-1.1569232440439281E-3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</row>
    <row r="1390" spans="1:28" ht="14.4" hidden="1">
      <c r="A1390" s="3">
        <f>LOOKUP(D1390,'AMFI DATA_2023H2'!F:L,'AMFI DATA_2023H2'!L:L)</f>
        <v>1833</v>
      </c>
      <c r="B1390" s="4" t="s">
        <v>4514</v>
      </c>
      <c r="C1390" s="4" t="s">
        <v>4515</v>
      </c>
      <c r="D1390" s="5" t="s">
        <v>4516</v>
      </c>
      <c r="E1390" s="5">
        <v>129.91999999999999</v>
      </c>
      <c r="F1390" s="6">
        <f>LOOKUP(D1390,'AMFI DATA_2023H2'!F:J,'AMFI DATA_2023H2'!J:J)</f>
        <v>256.43290000000002</v>
      </c>
      <c r="G1390" s="7">
        <f t="shared" si="12"/>
        <v>0.84453710892791034</v>
      </c>
      <c r="H1390" s="9">
        <v>473</v>
      </c>
      <c r="I1390" s="9">
        <v>447</v>
      </c>
      <c r="J1390" s="9">
        <v>429</v>
      </c>
      <c r="K1390" s="9">
        <v>408</v>
      </c>
      <c r="L1390" s="9">
        <v>404</v>
      </c>
      <c r="M1390" s="9">
        <v>385</v>
      </c>
      <c r="N1390" s="9">
        <v>378</v>
      </c>
      <c r="O1390" s="9">
        <v>370</v>
      </c>
      <c r="P1390" s="9">
        <v>370</v>
      </c>
      <c r="Q1390" s="9">
        <v>368</v>
      </c>
      <c r="R1390" s="7">
        <f t="shared" si="13"/>
        <v>0.57234114655334767</v>
      </c>
      <c r="S1390" s="9"/>
      <c r="T1390" s="9"/>
      <c r="U1390" s="9"/>
      <c r="V1390" s="9"/>
      <c r="W1390" s="9"/>
      <c r="X1390" s="9"/>
      <c r="Y1390" s="9"/>
      <c r="Z1390" s="9"/>
      <c r="AA1390" s="9"/>
      <c r="AB1390" s="9"/>
    </row>
    <row r="1391" spans="1:28" ht="14.4" hidden="1">
      <c r="A1391" s="3">
        <f>LOOKUP(D1391,'AMFI DATA_2023H2'!F:L,'AMFI DATA_2023H2'!L:L)</f>
        <v>1222</v>
      </c>
      <c r="B1391" s="4" t="s">
        <v>3404</v>
      </c>
      <c r="C1391" s="4" t="s">
        <v>3405</v>
      </c>
      <c r="D1391" s="5" t="s">
        <v>3406</v>
      </c>
      <c r="E1391" s="5">
        <v>856.3</v>
      </c>
      <c r="F1391" s="6">
        <f>LOOKUP(D1391,'AMFI DATA_2023H2'!F:J,'AMFI DATA_2023H2'!J:J)</f>
        <v>988.26279999999997</v>
      </c>
      <c r="G1391" s="7">
        <f t="shared" si="12"/>
        <v>6.7529810896453935E-2</v>
      </c>
      <c r="H1391" s="8">
        <v>1055</v>
      </c>
      <c r="I1391" s="8">
        <v>1087</v>
      </c>
      <c r="J1391" s="8">
        <v>992</v>
      </c>
      <c r="K1391" s="8">
        <v>998</v>
      </c>
      <c r="L1391" s="8">
        <v>1008</v>
      </c>
      <c r="M1391" s="8">
        <v>989</v>
      </c>
      <c r="N1391" s="8">
        <v>991</v>
      </c>
      <c r="O1391" s="8">
        <v>995</v>
      </c>
      <c r="P1391" s="8">
        <v>1015</v>
      </c>
      <c r="Q1391" s="8">
        <v>1020</v>
      </c>
      <c r="R1391" s="7">
        <f t="shared" si="13"/>
        <v>2.7054746976209243E-2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</row>
    <row r="1392" spans="1:28" ht="14.4" hidden="1">
      <c r="A1392" s="3">
        <f>LOOKUP(D1392,'AMFI DATA_2023H2'!F:L,'AMFI DATA_2023H2'!L:L)</f>
        <v>870</v>
      </c>
      <c r="B1392" s="4" t="s">
        <v>2522</v>
      </c>
      <c r="C1392" s="4" t="s">
        <v>2523</v>
      </c>
      <c r="D1392" s="5" t="s">
        <v>2524</v>
      </c>
      <c r="E1392" s="5">
        <v>1393.14</v>
      </c>
      <c r="F1392" s="6">
        <f>LOOKUP(D1392,'AMFI DATA_2023H2'!F:J,'AMFI DATA_2023H2'!J:J)</f>
        <v>2375.6851500000002</v>
      </c>
      <c r="G1392" s="7">
        <f t="shared" si="12"/>
        <v>9.4842050092370123E-2</v>
      </c>
      <c r="H1392" s="8">
        <v>2601</v>
      </c>
      <c r="I1392" s="8">
        <v>2625</v>
      </c>
      <c r="J1392" s="8">
        <v>2582</v>
      </c>
      <c r="K1392" s="8">
        <v>2558</v>
      </c>
      <c r="L1392" s="8">
        <v>2558</v>
      </c>
      <c r="M1392" s="8">
        <v>2452</v>
      </c>
      <c r="N1392" s="8">
        <v>2457</v>
      </c>
      <c r="O1392" s="8">
        <v>2476</v>
      </c>
      <c r="P1392" s="8">
        <v>2484</v>
      </c>
      <c r="Q1392" s="8">
        <v>2482</v>
      </c>
      <c r="R1392" s="7">
        <f t="shared" si="13"/>
        <v>6.3903606923669809E-2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</row>
    <row r="1393" spans="1:28" ht="14.4">
      <c r="A1393" s="3">
        <f>LOOKUP(D1393,'AMFI DATA_2023H2'!F:L,'AMFI DATA_2023H2'!L:L)</f>
        <v>1190</v>
      </c>
      <c r="B1393" s="4" t="s">
        <v>3323</v>
      </c>
      <c r="C1393" s="4" t="s">
        <v>3324</v>
      </c>
      <c r="D1393" s="5" t="s">
        <v>3325</v>
      </c>
      <c r="E1393" s="5">
        <v>555.16999999999996</v>
      </c>
      <c r="F1393" s="6">
        <f>LOOKUP(D1393,'AMFI DATA_2023H2'!F:J,'AMFI DATA_2023H2'!J:J)</f>
        <v>1071.7406000000001</v>
      </c>
      <c r="G1393" s="7">
        <f t="shared" si="12"/>
        <v>0.16726006274279426</v>
      </c>
      <c r="H1393" s="8">
        <v>1251</v>
      </c>
      <c r="I1393" s="8">
        <v>1280</v>
      </c>
      <c r="J1393" s="8">
        <v>1287</v>
      </c>
      <c r="K1393" s="8">
        <v>1286</v>
      </c>
      <c r="L1393" s="8">
        <v>1274</v>
      </c>
      <c r="M1393" s="8">
        <v>1274</v>
      </c>
      <c r="N1393" s="8">
        <v>1243</v>
      </c>
      <c r="O1393" s="8">
        <v>1292</v>
      </c>
      <c r="P1393" s="8">
        <v>1333</v>
      </c>
      <c r="Q1393" s="8">
        <v>1348</v>
      </c>
      <c r="R1393" s="14">
        <f t="shared" si="13"/>
        <v>0.20066366805549762</v>
      </c>
      <c r="S1393" s="8"/>
      <c r="T1393" s="8">
        <v>875</v>
      </c>
      <c r="U1393" s="15">
        <f ca="1">IFERROR(__xludf.DUMMYFUNCTION("GOOGLEFINANCE(C1393,""PRICE"")"),850)</f>
        <v>850</v>
      </c>
      <c r="V1393" s="13" t="s">
        <v>5787</v>
      </c>
      <c r="W1393" s="7">
        <f ca="1">U1393/T1393-1</f>
        <v>-2.8571428571428581E-2</v>
      </c>
      <c r="X1393" s="8"/>
      <c r="Y1393" s="8"/>
      <c r="Z1393" s="8"/>
      <c r="AA1393" s="8"/>
      <c r="AB1393" s="8"/>
    </row>
    <row r="1394" spans="1:28" ht="14.4" hidden="1">
      <c r="A1394" s="3">
        <f>LOOKUP(D1394,'AMFI DATA_2023H2'!F:L,'AMFI DATA_2023H2'!L:L)</f>
        <v>492</v>
      </c>
      <c r="B1394" s="4" t="s">
        <v>1461</v>
      </c>
      <c r="C1394" s="4" t="s">
        <v>1462</v>
      </c>
      <c r="D1394" s="5" t="s">
        <v>1463</v>
      </c>
      <c r="E1394" s="5">
        <v>3683.62</v>
      </c>
      <c r="F1394" s="6">
        <f>LOOKUP(D1394,'AMFI DATA_2023H2'!F:J,'AMFI DATA_2023H2'!J:J)</f>
        <v>7469.4261500000002</v>
      </c>
      <c r="G1394" s="7">
        <f t="shared" si="12"/>
        <v>6.4874307646779483E-2</v>
      </c>
      <c r="H1394" s="8">
        <v>7954</v>
      </c>
      <c r="I1394" s="8">
        <v>8170</v>
      </c>
      <c r="J1394" s="8">
        <v>8061</v>
      </c>
      <c r="K1394" s="8">
        <v>8133</v>
      </c>
      <c r="L1394" s="8">
        <v>8256</v>
      </c>
      <c r="M1394" s="8">
        <v>8087</v>
      </c>
      <c r="N1394" s="8">
        <v>8190</v>
      </c>
      <c r="O1394" s="8">
        <v>8296</v>
      </c>
      <c r="P1394" s="8">
        <v>8192</v>
      </c>
      <c r="Q1394" s="8">
        <v>8198</v>
      </c>
      <c r="R1394" s="7">
        <f t="shared" si="13"/>
        <v>9.1609962567204661E-2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</row>
    <row r="1395" spans="1:28" ht="14.4" hidden="1">
      <c r="A1395" s="3">
        <f>LOOKUP(D1395,'AMFI DATA_2023H2'!F:L,'AMFI DATA_2023H2'!L:L)</f>
        <v>583</v>
      </c>
      <c r="B1395" s="4" t="s">
        <v>1722</v>
      </c>
      <c r="C1395" s="4" t="s">
        <v>1723</v>
      </c>
      <c r="D1395" s="5" t="s">
        <v>1724</v>
      </c>
      <c r="E1395" s="5">
        <v>5106.8500000000004</v>
      </c>
      <c r="F1395" s="6">
        <f>LOOKUP(D1395,'AMFI DATA_2023H2'!F:J,'AMFI DATA_2023H2'!J:J)</f>
        <v>5774.3035</v>
      </c>
      <c r="G1395" s="7">
        <f t="shared" si="12"/>
        <v>-2.4817452009580077E-2</v>
      </c>
      <c r="H1395" s="8">
        <v>5631</v>
      </c>
      <c r="I1395" s="8">
        <v>5629</v>
      </c>
      <c r="J1395" s="8">
        <v>5656</v>
      </c>
      <c r="K1395" s="8">
        <v>5632</v>
      </c>
      <c r="L1395" s="8">
        <v>5692</v>
      </c>
      <c r="M1395" s="8">
        <v>5548</v>
      </c>
      <c r="N1395" s="8">
        <v>5521</v>
      </c>
      <c r="O1395" s="8">
        <v>5464</v>
      </c>
      <c r="P1395" s="8">
        <v>5538</v>
      </c>
      <c r="Q1395" s="8">
        <v>5466</v>
      </c>
      <c r="R1395" s="7">
        <f t="shared" si="13"/>
        <v>-3.4048002499349139E-2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</row>
    <row r="1396" spans="1:28" ht="14.4" hidden="1">
      <c r="A1396" s="3">
        <f>LOOKUP(D1396,'AMFI DATA_2023H2'!F:L,'AMFI DATA_2023H2'!L:L)</f>
        <v>321</v>
      </c>
      <c r="B1396" s="4" t="s">
        <v>972</v>
      </c>
      <c r="C1396" s="4" t="s">
        <v>973</v>
      </c>
      <c r="D1396" s="5" t="s">
        <v>974</v>
      </c>
      <c r="E1396" s="5">
        <v>12594.31</v>
      </c>
      <c r="F1396" s="6">
        <f>LOOKUP(D1396,'AMFI DATA_2023H2'!F:J,'AMFI DATA_2023H2'!J:J)</f>
        <v>14543.91685</v>
      </c>
      <c r="G1396" s="7">
        <f t="shared" si="12"/>
        <v>0.14315835077123684</v>
      </c>
      <c r="H1396" s="8">
        <v>16626</v>
      </c>
      <c r="I1396" s="8">
        <v>16589</v>
      </c>
      <c r="J1396" s="8">
        <v>16173</v>
      </c>
      <c r="K1396" s="8">
        <v>16376</v>
      </c>
      <c r="L1396" s="8">
        <v>16562</v>
      </c>
      <c r="M1396" s="8">
        <v>16623</v>
      </c>
      <c r="N1396" s="8">
        <v>16366</v>
      </c>
      <c r="O1396" s="8">
        <v>16498</v>
      </c>
      <c r="P1396" s="8">
        <v>16556</v>
      </c>
      <c r="Q1396" s="8">
        <v>16712</v>
      </c>
      <c r="R1396" s="7">
        <f t="shared" si="13"/>
        <v>0.13505186878182673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</row>
    <row r="1397" spans="1:28" ht="14.4" hidden="1">
      <c r="A1397" s="3">
        <f>LOOKUP(D1397,'AMFI DATA_2023H2'!F:L,'AMFI DATA_2023H2'!L:L)</f>
        <v>1141</v>
      </c>
      <c r="B1397" s="4" t="s">
        <v>3206</v>
      </c>
      <c r="C1397" s="4" t="s">
        <v>3207</v>
      </c>
      <c r="D1397" s="5" t="s">
        <v>3208</v>
      </c>
      <c r="E1397" s="5">
        <v>1073.17</v>
      </c>
      <c r="F1397" s="6">
        <f>LOOKUP(D1397,'AMFI DATA_2023H2'!F:J,'AMFI DATA_2023H2'!J:J)</f>
        <v>1226.2501500000001</v>
      </c>
      <c r="G1397" s="7">
        <f t="shared" si="12"/>
        <v>3.0579812773110504E-3</v>
      </c>
      <c r="H1397" s="8">
        <v>1230</v>
      </c>
      <c r="I1397" s="8">
        <v>1234</v>
      </c>
      <c r="J1397" s="8">
        <v>1237</v>
      </c>
      <c r="K1397" s="8">
        <v>1212</v>
      </c>
      <c r="L1397" s="8">
        <v>1181</v>
      </c>
      <c r="M1397" s="8">
        <v>1169</v>
      </c>
      <c r="N1397" s="8">
        <v>1172</v>
      </c>
      <c r="O1397" s="8">
        <v>1143</v>
      </c>
      <c r="P1397" s="8">
        <v>1140</v>
      </c>
      <c r="Q1397" s="8">
        <v>1168</v>
      </c>
      <c r="R1397" s="7">
        <f t="shared" si="13"/>
        <v>-3.0703482482754563E-2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</row>
    <row r="1398" spans="1:28" ht="14.4" hidden="1">
      <c r="A1398" s="3">
        <f>LOOKUP(D1398,'AMFI DATA_2023H2'!F:L,'AMFI DATA_2023H2'!L:L)</f>
        <v>958</v>
      </c>
      <c r="B1398" s="4" t="s">
        <v>2750</v>
      </c>
      <c r="C1398" s="4" t="s">
        <v>2751</v>
      </c>
      <c r="D1398" s="5" t="s">
        <v>2752</v>
      </c>
      <c r="E1398" s="5">
        <v>1315.31</v>
      </c>
      <c r="F1398" s="6">
        <f>LOOKUP(D1398,'AMFI DATA_2023H2'!F:J,'AMFI DATA_2023H2'!J:J)</f>
        <v>1910.5857000000001</v>
      </c>
      <c r="G1398" s="7">
        <f t="shared" si="12"/>
        <v>0.14833896223550713</v>
      </c>
      <c r="H1398" s="8">
        <v>2194</v>
      </c>
      <c r="I1398" s="8">
        <v>2182</v>
      </c>
      <c r="J1398" s="8">
        <v>2190</v>
      </c>
      <c r="K1398" s="8">
        <v>2192</v>
      </c>
      <c r="L1398" s="8">
        <v>2200</v>
      </c>
      <c r="M1398" s="8">
        <v>2222</v>
      </c>
      <c r="N1398" s="8">
        <v>2255</v>
      </c>
      <c r="O1398" s="8">
        <v>2151</v>
      </c>
      <c r="P1398" s="8">
        <v>2144</v>
      </c>
      <c r="Q1398" s="8">
        <v>2102</v>
      </c>
      <c r="R1398" s="7">
        <f t="shared" si="13"/>
        <v>0.14268624537491292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</row>
    <row r="1399" spans="1:28" ht="14.4" hidden="1">
      <c r="A1399" s="3">
        <f>LOOKUP(D1399,'AMFI DATA_2023H2'!F:L,'AMFI DATA_2023H2'!L:L)</f>
        <v>1432</v>
      </c>
      <c r="B1399" s="4" t="s">
        <v>3833</v>
      </c>
      <c r="C1399" s="4" t="s">
        <v>3834</v>
      </c>
      <c r="D1399" s="5" t="s">
        <v>3835</v>
      </c>
      <c r="E1399" s="5">
        <v>398.13</v>
      </c>
      <c r="F1399" s="6">
        <f>LOOKUP(D1399,'AMFI DATA_2023H2'!F:J,'AMFI DATA_2023H2'!J:J)</f>
        <v>596.77475000000004</v>
      </c>
      <c r="G1399" s="7">
        <f t="shared" si="12"/>
        <v>9.7566544160925028E-2</v>
      </c>
      <c r="H1399" s="9">
        <v>655</v>
      </c>
      <c r="I1399" s="9">
        <v>639</v>
      </c>
      <c r="J1399" s="9">
        <v>644</v>
      </c>
      <c r="K1399" s="9">
        <v>649</v>
      </c>
      <c r="L1399" s="9">
        <v>654</v>
      </c>
      <c r="M1399" s="9">
        <v>657</v>
      </c>
      <c r="N1399" s="9">
        <v>659</v>
      </c>
      <c r="O1399" s="9">
        <v>666</v>
      </c>
      <c r="P1399" s="9">
        <v>657</v>
      </c>
      <c r="Q1399" s="9">
        <v>638</v>
      </c>
      <c r="R1399" s="7">
        <f t="shared" si="13"/>
        <v>9.2204386998611998E-2</v>
      </c>
      <c r="S1399" s="9"/>
      <c r="T1399" s="9"/>
      <c r="U1399" s="9"/>
      <c r="V1399" s="9"/>
      <c r="W1399" s="9"/>
      <c r="X1399" s="9"/>
      <c r="Y1399" s="9"/>
      <c r="Z1399" s="9"/>
      <c r="AA1399" s="9"/>
      <c r="AB1399" s="9"/>
    </row>
    <row r="1400" spans="1:28" ht="14.4" hidden="1">
      <c r="A1400" s="3">
        <f>LOOKUP(D1400,'AMFI DATA_2023H2'!F:L,'AMFI DATA_2023H2'!L:L)</f>
        <v>378</v>
      </c>
      <c r="B1400" s="4" t="s">
        <v>1140</v>
      </c>
      <c r="C1400" s="4" t="s">
        <v>1141</v>
      </c>
      <c r="D1400" s="5" t="s">
        <v>1142</v>
      </c>
      <c r="E1400" s="5">
        <v>8618.8700000000008</v>
      </c>
      <c r="F1400" s="6">
        <f>LOOKUP(D1400,'AMFI DATA_2023H2'!F:J,'AMFI DATA_2023H2'!J:J)</f>
        <v>11319.08655</v>
      </c>
      <c r="G1400" s="7">
        <f t="shared" si="12"/>
        <v>8.5776661015106281E-2</v>
      </c>
      <c r="H1400" s="8">
        <v>12290</v>
      </c>
      <c r="I1400" s="8">
        <v>12431</v>
      </c>
      <c r="J1400" s="8">
        <v>12468</v>
      </c>
      <c r="K1400" s="8">
        <v>12050</v>
      </c>
      <c r="L1400" s="8">
        <v>12068</v>
      </c>
      <c r="M1400" s="8">
        <v>12086</v>
      </c>
      <c r="N1400" s="8">
        <v>11957</v>
      </c>
      <c r="O1400" s="8">
        <v>12122</v>
      </c>
      <c r="P1400" s="8">
        <v>12216</v>
      </c>
      <c r="Q1400" s="8">
        <v>11708</v>
      </c>
      <c r="R1400" s="7">
        <f t="shared" si="13"/>
        <v>7.24893697362885E-2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</row>
    <row r="1401" spans="1:28" ht="14.4" hidden="1">
      <c r="A1401" s="3">
        <f>LOOKUP(D1401,'AMFI DATA_2023H2'!F:L,'AMFI DATA_2023H2'!L:L)</f>
        <v>2089</v>
      </c>
      <c r="B1401" s="4" t="s">
        <v>4862</v>
      </c>
      <c r="C1401" s="4" t="s">
        <v>4863</v>
      </c>
      <c r="D1401" s="5" t="s">
        <v>4864</v>
      </c>
      <c r="E1401" s="5">
        <v>146.72</v>
      </c>
      <c r="F1401" s="6">
        <f>LOOKUP(D1401,'AMFI DATA_2023H2'!F:J,'AMFI DATA_2023H2'!J:J)</f>
        <v>164.91220000000001</v>
      </c>
      <c r="G1401" s="7">
        <f t="shared" si="12"/>
        <v>6.117073206227297E-2</v>
      </c>
      <c r="H1401" s="9">
        <v>175</v>
      </c>
      <c r="I1401" s="9">
        <v>176</v>
      </c>
      <c r="J1401" s="9">
        <v>175</v>
      </c>
      <c r="K1401" s="9">
        <v>177</v>
      </c>
      <c r="L1401" s="9">
        <v>178</v>
      </c>
      <c r="M1401" s="9">
        <v>175</v>
      </c>
      <c r="N1401" s="9">
        <v>176</v>
      </c>
      <c r="O1401" s="9">
        <v>176</v>
      </c>
      <c r="P1401" s="9">
        <v>180</v>
      </c>
      <c r="Q1401" s="9">
        <v>173</v>
      </c>
      <c r="R1401" s="7">
        <f t="shared" si="13"/>
        <v>6.7840948092378728E-2</v>
      </c>
      <c r="S1401" s="9"/>
      <c r="T1401" s="9"/>
      <c r="U1401" s="9"/>
      <c r="V1401" s="9"/>
      <c r="W1401" s="9"/>
      <c r="X1401" s="9"/>
      <c r="Y1401" s="9"/>
      <c r="Z1401" s="9"/>
      <c r="AA1401" s="9"/>
      <c r="AB1401" s="9"/>
    </row>
    <row r="1402" spans="1:28" ht="14.4" hidden="1">
      <c r="A1402" s="3">
        <f>LOOKUP(D1402,'AMFI DATA_2023H2'!F:L,'AMFI DATA_2023H2'!L:L)</f>
        <v>1983</v>
      </c>
      <c r="B1402" s="4" t="s">
        <v>4703</v>
      </c>
      <c r="C1402" s="4" t="s">
        <v>4704</v>
      </c>
      <c r="D1402" s="5" t="s">
        <v>4705</v>
      </c>
      <c r="E1402" s="5">
        <v>168.11</v>
      </c>
      <c r="F1402" s="6">
        <f>LOOKUP(D1402,'AMFI DATA_2023H2'!F:J,'AMFI DATA_2023H2'!J:J)</f>
        <v>192.61180000000002</v>
      </c>
      <c r="G1402" s="7">
        <f t="shared" si="12"/>
        <v>0.38101611635424204</v>
      </c>
      <c r="H1402" s="9">
        <v>266</v>
      </c>
      <c r="I1402" s="9">
        <v>259</v>
      </c>
      <c r="J1402" s="9">
        <v>248</v>
      </c>
      <c r="K1402" s="9">
        <v>256</v>
      </c>
      <c r="L1402" s="9">
        <v>251</v>
      </c>
      <c r="M1402" s="9">
        <v>240</v>
      </c>
      <c r="N1402" s="9">
        <v>247</v>
      </c>
      <c r="O1402" s="9">
        <v>250</v>
      </c>
      <c r="P1402" s="9">
        <v>243</v>
      </c>
      <c r="Q1402" s="9">
        <v>249</v>
      </c>
      <c r="R1402" s="7">
        <f t="shared" si="13"/>
        <v>0.30262008869653867</v>
      </c>
      <c r="S1402" s="9"/>
      <c r="T1402" s="9"/>
      <c r="U1402" s="9"/>
      <c r="V1402" s="9"/>
      <c r="W1402" s="9"/>
      <c r="X1402" s="9"/>
      <c r="Y1402" s="9"/>
      <c r="Z1402" s="9"/>
      <c r="AA1402" s="9"/>
      <c r="AB1402" s="9"/>
    </row>
    <row r="1403" spans="1:28" ht="14.4" hidden="1">
      <c r="A1403" s="3">
        <f>LOOKUP(D1403,'AMFI DATA_2023H2'!F:L,'AMFI DATA_2023H2'!L:L)</f>
        <v>562</v>
      </c>
      <c r="B1403" s="4" t="s">
        <v>1665</v>
      </c>
      <c r="C1403" s="4" t="s">
        <v>1666</v>
      </c>
      <c r="D1403" s="5" t="s">
        <v>1667</v>
      </c>
      <c r="E1403" s="5">
        <v>5225.9799999999996</v>
      </c>
      <c r="F1403" s="6">
        <f>LOOKUP(D1403,'AMFI DATA_2023H2'!F:J,'AMFI DATA_2023H2'!J:J)</f>
        <v>6127.1260500000008</v>
      </c>
      <c r="G1403" s="7">
        <f t="shared" si="12"/>
        <v>0.10834997429178062</v>
      </c>
      <c r="H1403" s="8">
        <v>6791</v>
      </c>
      <c r="I1403" s="8">
        <v>6809</v>
      </c>
      <c r="J1403" s="8">
        <v>6887</v>
      </c>
      <c r="K1403" s="8">
        <v>6721</v>
      </c>
      <c r="L1403" s="8">
        <v>6904</v>
      </c>
      <c r="M1403" s="8">
        <v>6843</v>
      </c>
      <c r="N1403" s="8">
        <v>6574</v>
      </c>
      <c r="O1403" s="8">
        <v>6528</v>
      </c>
      <c r="P1403" s="8">
        <v>6473</v>
      </c>
      <c r="Q1403" s="8">
        <v>6473</v>
      </c>
      <c r="R1403" s="7">
        <f t="shared" si="13"/>
        <v>9.3546949307497851E-2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</row>
    <row r="1404" spans="1:28" ht="14.4" hidden="1">
      <c r="A1404" s="3">
        <f>LOOKUP(D1404,'AMFI DATA_2023H2'!F:L,'AMFI DATA_2023H2'!L:L)</f>
        <v>3165</v>
      </c>
      <c r="B1404" s="4" t="s">
        <v>5599</v>
      </c>
      <c r="C1404" s="4" t="s">
        <v>5600</v>
      </c>
      <c r="D1404" s="5" t="s">
        <v>5601</v>
      </c>
      <c r="E1404" s="5">
        <v>28.84</v>
      </c>
      <c r="F1404" s="6">
        <f>LOOKUP(D1404,'AMFI DATA_2023H2'!F:J,'AMFI DATA_2023H2'!J:J)</f>
        <v>29.905850000000001</v>
      </c>
      <c r="G1404" s="7">
        <f t="shared" si="12"/>
        <v>0.20377785617195299</v>
      </c>
      <c r="H1404" s="9">
        <v>36</v>
      </c>
      <c r="I1404" s="9">
        <v>35.5</v>
      </c>
      <c r="J1404" s="9">
        <v>35</v>
      </c>
      <c r="K1404" s="9">
        <v>34.5</v>
      </c>
      <c r="L1404" s="9">
        <v>34</v>
      </c>
      <c r="M1404" s="9">
        <v>33.5</v>
      </c>
      <c r="N1404" s="9">
        <v>33</v>
      </c>
      <c r="O1404" s="9">
        <v>32.5</v>
      </c>
      <c r="P1404" s="9">
        <v>33.299999999999997</v>
      </c>
      <c r="Q1404" s="9">
        <v>32.5</v>
      </c>
      <c r="R1404" s="7">
        <f t="shared" si="13"/>
        <v>0.13623254313119348</v>
      </c>
      <c r="S1404" s="9"/>
      <c r="T1404" s="9"/>
      <c r="U1404" s="9"/>
      <c r="V1404" s="9"/>
      <c r="W1404" s="9"/>
      <c r="X1404" s="9"/>
      <c r="Y1404" s="9"/>
      <c r="Z1404" s="9"/>
      <c r="AA1404" s="9"/>
      <c r="AB1404" s="9"/>
    </row>
    <row r="1405" spans="1:28" ht="14.4" hidden="1">
      <c r="A1405" s="3">
        <f>LOOKUP(D1405,'AMFI DATA_2023H2'!F:L,'AMFI DATA_2023H2'!L:L)</f>
        <v>647</v>
      </c>
      <c r="B1405" s="4" t="s">
        <v>1899</v>
      </c>
      <c r="C1405" s="4" t="s">
        <v>1900</v>
      </c>
      <c r="D1405" s="5" t="s">
        <v>1901</v>
      </c>
      <c r="E1405" s="5">
        <v>3882.16</v>
      </c>
      <c r="F1405" s="6">
        <f>LOOKUP(D1405,'AMFI DATA_2023H2'!F:J,'AMFI DATA_2023H2'!J:J)</f>
        <v>4473.0026500000004</v>
      </c>
      <c r="G1405" s="7">
        <f t="shared" si="12"/>
        <v>4.694240456128318E-3</v>
      </c>
      <c r="H1405" s="8">
        <v>4494</v>
      </c>
      <c r="I1405" s="8">
        <v>4532</v>
      </c>
      <c r="J1405" s="8">
        <v>4377</v>
      </c>
      <c r="K1405" s="8">
        <v>4390</v>
      </c>
      <c r="L1405" s="8">
        <v>4437</v>
      </c>
      <c r="M1405" s="8">
        <v>4397</v>
      </c>
      <c r="N1405" s="8">
        <v>4440</v>
      </c>
      <c r="O1405" s="8">
        <v>4418</v>
      </c>
      <c r="P1405" s="8">
        <v>4389</v>
      </c>
      <c r="Q1405" s="8">
        <v>4378</v>
      </c>
      <c r="R1405" s="7">
        <f t="shared" si="13"/>
        <v>-1.0686926375954808E-2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</row>
    <row r="1406" spans="1:28" ht="14.4" hidden="1">
      <c r="A1406" s="3">
        <f>LOOKUP(D1406,'AMFI DATA_2023H2'!F:L,'AMFI DATA_2023H2'!L:L)</f>
        <v>995</v>
      </c>
      <c r="B1406" s="4" t="s">
        <v>2849</v>
      </c>
      <c r="C1406" s="4" t="s">
        <v>2850</v>
      </c>
      <c r="D1406" s="5" t="s">
        <v>2851</v>
      </c>
      <c r="E1406" s="5">
        <v>1055.53</v>
      </c>
      <c r="F1406" s="6">
        <f>LOOKUP(D1406,'AMFI DATA_2023H2'!F:J,'AMFI DATA_2023H2'!J:J)</f>
        <v>1730.1666</v>
      </c>
      <c r="G1406" s="7">
        <f t="shared" si="12"/>
        <v>8.5733940303782674E-3</v>
      </c>
      <c r="H1406" s="8">
        <v>1745</v>
      </c>
      <c r="I1406" s="8">
        <v>1729</v>
      </c>
      <c r="J1406" s="8">
        <v>1734</v>
      </c>
      <c r="K1406" s="8">
        <v>1706</v>
      </c>
      <c r="L1406" s="8">
        <v>1748</v>
      </c>
      <c r="M1406" s="8">
        <v>1757</v>
      </c>
      <c r="N1406" s="8">
        <v>1762</v>
      </c>
      <c r="O1406" s="8">
        <v>1780</v>
      </c>
      <c r="P1406" s="8">
        <v>1819</v>
      </c>
      <c r="Q1406" s="8">
        <v>1795</v>
      </c>
      <c r="R1406" s="7">
        <f t="shared" si="13"/>
        <v>1.5798131809965588E-2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</row>
    <row r="1407" spans="1:28" ht="14.4" hidden="1">
      <c r="A1407" s="3">
        <f>LOOKUP(D1407,'AMFI DATA_2023H2'!F:L,'AMFI DATA_2023H2'!L:L)</f>
        <v>1155</v>
      </c>
      <c r="B1407" s="4" t="s">
        <v>3239</v>
      </c>
      <c r="C1407" s="4" t="s">
        <v>3240</v>
      </c>
      <c r="D1407" s="5" t="s">
        <v>3241</v>
      </c>
      <c r="E1407" s="5">
        <v>951.4</v>
      </c>
      <c r="F1407" s="6">
        <f>LOOKUP(D1407,'AMFI DATA_2023H2'!F:J,'AMFI DATA_2023H2'!J:J)</f>
        <v>1163.6410000000001</v>
      </c>
      <c r="G1407" s="7">
        <f t="shared" si="12"/>
        <v>9.483938774931433E-2</v>
      </c>
      <c r="H1407" s="8">
        <v>1274</v>
      </c>
      <c r="I1407" s="8">
        <v>1286</v>
      </c>
      <c r="J1407" s="8">
        <v>1305</v>
      </c>
      <c r="K1407" s="8">
        <v>1300</v>
      </c>
      <c r="L1407" s="8">
        <v>1326</v>
      </c>
      <c r="M1407" s="8">
        <v>1321</v>
      </c>
      <c r="N1407" s="8">
        <v>1333</v>
      </c>
      <c r="O1407" s="8">
        <v>1313</v>
      </c>
      <c r="P1407" s="8">
        <v>1331</v>
      </c>
      <c r="Q1407" s="8">
        <v>1310</v>
      </c>
      <c r="R1407" s="7">
        <f t="shared" si="13"/>
        <v>0.12569082732560988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</row>
    <row r="1408" spans="1:28" ht="14.4" hidden="1">
      <c r="A1408" s="3">
        <f>LOOKUP(D1408,'AMFI DATA_2023H2'!F:L,'AMFI DATA_2023H2'!L:L)</f>
        <v>418</v>
      </c>
      <c r="B1408" s="4" t="s">
        <v>1254</v>
      </c>
      <c r="C1408" s="4" t="s">
        <v>1255</v>
      </c>
      <c r="D1408" s="5" t="s">
        <v>1256</v>
      </c>
      <c r="E1408" s="5">
        <v>8316.91</v>
      </c>
      <c r="F1408" s="6">
        <f>LOOKUP(D1408,'AMFI DATA_2023H2'!F:J,'AMFI DATA_2023H2'!J:J)</f>
        <v>9729.4128999999994</v>
      </c>
      <c r="G1408" s="7">
        <f t="shared" si="12"/>
        <v>7.4782220415375855E-2</v>
      </c>
      <c r="H1408" s="8">
        <v>10457</v>
      </c>
      <c r="I1408" s="8">
        <v>10309</v>
      </c>
      <c r="J1408" s="8">
        <v>10497</v>
      </c>
      <c r="K1408" s="8">
        <v>10507</v>
      </c>
      <c r="L1408" s="8">
        <v>10449</v>
      </c>
      <c r="M1408" s="8">
        <v>10022</v>
      </c>
      <c r="N1408" s="8">
        <v>9939</v>
      </c>
      <c r="O1408" s="8">
        <v>9909</v>
      </c>
      <c r="P1408" s="8">
        <v>9977</v>
      </c>
      <c r="Q1408" s="8">
        <v>9989</v>
      </c>
      <c r="R1408" s="7">
        <f t="shared" si="13"/>
        <v>4.8932767567095414E-2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</row>
    <row r="1409" spans="1:28" ht="14.4" hidden="1">
      <c r="A1409" s="3">
        <f>LOOKUP(D1409,'AMFI DATA_2023H2'!F:L,'AMFI DATA_2023H2'!L:L)</f>
        <v>1278</v>
      </c>
      <c r="B1409" s="4" t="s">
        <v>3512</v>
      </c>
      <c r="C1409" s="4" t="s">
        <v>3513</v>
      </c>
      <c r="D1409" s="5" t="s">
        <v>3514</v>
      </c>
      <c r="E1409" s="5">
        <v>794.4</v>
      </c>
      <c r="F1409" s="6">
        <f>LOOKUP(D1409,'AMFI DATA_2023H2'!F:J,'AMFI DATA_2023H2'!J:J)</f>
        <v>856.71424999999999</v>
      </c>
      <c r="G1409" s="7">
        <f t="shared" si="12"/>
        <v>7.1535812553602307E-2</v>
      </c>
      <c r="H1409" s="9">
        <v>918</v>
      </c>
      <c r="I1409" s="9">
        <v>928</v>
      </c>
      <c r="J1409" s="9">
        <v>932</v>
      </c>
      <c r="K1409" s="9">
        <v>936</v>
      </c>
      <c r="L1409" s="9">
        <v>872</v>
      </c>
      <c r="M1409" s="9">
        <v>872</v>
      </c>
      <c r="N1409" s="9">
        <v>873</v>
      </c>
      <c r="O1409" s="9">
        <v>868</v>
      </c>
      <c r="P1409" s="9">
        <v>878</v>
      </c>
      <c r="Q1409" s="9">
        <v>883</v>
      </c>
      <c r="R1409" s="7">
        <f t="shared" si="13"/>
        <v>4.5856305063211034E-2</v>
      </c>
      <c r="S1409" s="9"/>
      <c r="T1409" s="9"/>
      <c r="U1409" s="9"/>
      <c r="V1409" s="9"/>
      <c r="W1409" s="9"/>
      <c r="X1409" s="9"/>
      <c r="Y1409" s="9"/>
      <c r="Z1409" s="9"/>
      <c r="AA1409" s="9"/>
      <c r="AB1409" s="9"/>
    </row>
    <row r="1410" spans="1:28" ht="14.4" hidden="1">
      <c r="A1410" s="3">
        <f>LOOKUP(D1410,'AMFI DATA_2023H2'!F:L,'AMFI DATA_2023H2'!L:L)</f>
        <v>924</v>
      </c>
      <c r="B1410" s="4" t="s">
        <v>2669</v>
      </c>
      <c r="C1410" s="4" t="s">
        <v>2670</v>
      </c>
      <c r="D1410" s="5" t="s">
        <v>2671</v>
      </c>
      <c r="E1410" s="5">
        <v>1340.07</v>
      </c>
      <c r="F1410" s="6">
        <f>LOOKUP(D1410,'AMFI DATA_2023H2'!F:J,'AMFI DATA_2023H2'!J:J)</f>
        <v>2078.31835</v>
      </c>
      <c r="G1410" s="7">
        <f t="shared" si="12"/>
        <v>0.12013638334088705</v>
      </c>
      <c r="H1410" s="8">
        <v>2328</v>
      </c>
      <c r="I1410" s="8">
        <v>2315</v>
      </c>
      <c r="J1410" s="8">
        <v>2331</v>
      </c>
      <c r="K1410" s="8">
        <v>2216</v>
      </c>
      <c r="L1410" s="8">
        <v>2198</v>
      </c>
      <c r="M1410" s="8">
        <v>2235</v>
      </c>
      <c r="N1410" s="8">
        <v>2249</v>
      </c>
      <c r="O1410" s="8">
        <v>2263</v>
      </c>
      <c r="P1410" s="8">
        <v>2277</v>
      </c>
      <c r="Q1410" s="8">
        <v>2255</v>
      </c>
      <c r="R1410" s="7">
        <f t="shared" si="13"/>
        <v>9.0641383212538118E-2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</row>
    <row r="1411" spans="1:28" ht="14.4">
      <c r="A1411" s="3">
        <f>LOOKUP(D1411,'AMFI DATA_2023H2'!F:L,'AMFI DATA_2023H2'!L:L)</f>
        <v>988</v>
      </c>
      <c r="B1411" s="4" t="s">
        <v>2828</v>
      </c>
      <c r="C1411" s="4" t="s">
        <v>2829</v>
      </c>
      <c r="D1411" s="5" t="s">
        <v>2830</v>
      </c>
      <c r="E1411" s="5">
        <v>1262.47</v>
      </c>
      <c r="F1411" s="6">
        <f>LOOKUP(D1411,'AMFI DATA_2023H2'!F:J,'AMFI DATA_2023H2'!J:J)</f>
        <v>1764.8633</v>
      </c>
      <c r="G1411" s="7">
        <f t="shared" si="12"/>
        <v>0.2323900666980836</v>
      </c>
      <c r="H1411" s="8">
        <v>2175</v>
      </c>
      <c r="I1411" s="8">
        <v>2161</v>
      </c>
      <c r="J1411" s="8">
        <v>2145</v>
      </c>
      <c r="K1411" s="8">
        <v>2167</v>
      </c>
      <c r="L1411" s="8">
        <v>2195</v>
      </c>
      <c r="M1411" s="8">
        <v>2175</v>
      </c>
      <c r="N1411" s="8">
        <v>2184</v>
      </c>
      <c r="O1411" s="8">
        <v>2210</v>
      </c>
      <c r="P1411" s="8">
        <v>2266</v>
      </c>
      <c r="Q1411" s="8">
        <v>2277</v>
      </c>
      <c r="R1411" s="14">
        <f t="shared" si="13"/>
        <v>0.24400569721178966</v>
      </c>
      <c r="S1411" s="8"/>
      <c r="T1411" s="8">
        <v>739.55</v>
      </c>
      <c r="U1411" s="15">
        <f ca="1">IFERROR(__xludf.DUMMYFUNCTION("GOOGLEFINANCE(C1411,""PRICE"")"),800.4)</f>
        <v>800.4</v>
      </c>
      <c r="V1411" s="13" t="s">
        <v>5787</v>
      </c>
      <c r="W1411" s="7">
        <f ca="1">U1411/T1411-1</f>
        <v>8.2279764721790327E-2</v>
      </c>
      <c r="X1411" s="8"/>
      <c r="Y1411" s="8"/>
      <c r="Z1411" s="8"/>
      <c r="AA1411" s="8"/>
      <c r="AB1411" s="8"/>
    </row>
    <row r="1412" spans="1:28" ht="14.4" hidden="1">
      <c r="A1412" s="3">
        <f>LOOKUP(D1412,'AMFI DATA_2023H2'!F:L,'AMFI DATA_2023H2'!L:L)</f>
        <v>1251</v>
      </c>
      <c r="B1412" s="4" t="s">
        <v>3458</v>
      </c>
      <c r="C1412" s="4" t="s">
        <v>3459</v>
      </c>
      <c r="D1412" s="5" t="s">
        <v>3460</v>
      </c>
      <c r="E1412" s="5">
        <v>829.4</v>
      </c>
      <c r="F1412" s="6">
        <f>LOOKUP(D1412,'AMFI DATA_2023H2'!F:J,'AMFI DATA_2023H2'!J:J)</f>
        <v>915.90309999999999</v>
      </c>
      <c r="G1412" s="7">
        <f t="shared" si="12"/>
        <v>0.11365492703322011</v>
      </c>
      <c r="H1412" s="9">
        <v>1020</v>
      </c>
      <c r="I1412" s="9">
        <v>1021</v>
      </c>
      <c r="J1412" s="9">
        <v>1030</v>
      </c>
      <c r="K1412" s="9">
        <v>1017</v>
      </c>
      <c r="L1412" s="9">
        <v>1022</v>
      </c>
      <c r="M1412" s="9">
        <v>1023</v>
      </c>
      <c r="N1412" s="9">
        <v>1033</v>
      </c>
      <c r="O1412" s="9">
        <v>1020</v>
      </c>
      <c r="P1412" s="9">
        <v>1022</v>
      </c>
      <c r="Q1412" s="9">
        <v>978</v>
      </c>
      <c r="R1412" s="7">
        <f t="shared" si="13"/>
        <v>0.11212638105493911</v>
      </c>
      <c r="S1412" s="9"/>
      <c r="T1412" s="9"/>
      <c r="U1412" s="9"/>
      <c r="V1412" s="9"/>
      <c r="W1412" s="9"/>
      <c r="X1412" s="9"/>
      <c r="Y1412" s="9"/>
      <c r="Z1412" s="9"/>
      <c r="AA1412" s="9"/>
      <c r="AB1412" s="9"/>
    </row>
    <row r="1413" spans="1:28" ht="14.4" hidden="1">
      <c r="A1413" s="3">
        <f>LOOKUP(D1413,'AMFI DATA_2023H2'!F:L,'AMFI DATA_2023H2'!L:L)</f>
        <v>1853</v>
      </c>
      <c r="B1413" s="4" t="s">
        <v>4538</v>
      </c>
      <c r="C1413" s="4" t="s">
        <v>4539</v>
      </c>
      <c r="D1413" s="5" t="s">
        <v>4540</v>
      </c>
      <c r="E1413" s="5">
        <v>190.93</v>
      </c>
      <c r="F1413" s="6">
        <f>LOOKUP(D1413,'AMFI DATA_2023H2'!F:J,'AMFI DATA_2023H2'!J:J)</f>
        <v>246.99414999999999</v>
      </c>
      <c r="G1413" s="7">
        <f t="shared" si="12"/>
        <v>4.8607831400055534E-2</v>
      </c>
      <c r="H1413" s="9">
        <v>259</v>
      </c>
      <c r="I1413" s="9">
        <v>255</v>
      </c>
      <c r="J1413" s="9">
        <v>254</v>
      </c>
      <c r="K1413" s="9">
        <v>254</v>
      </c>
      <c r="L1413" s="9">
        <v>254</v>
      </c>
      <c r="M1413" s="9">
        <v>251</v>
      </c>
      <c r="N1413" s="9">
        <v>256</v>
      </c>
      <c r="O1413" s="9">
        <v>261</v>
      </c>
      <c r="P1413" s="9">
        <v>256</v>
      </c>
      <c r="Q1413" s="9">
        <v>259</v>
      </c>
      <c r="R1413" s="7">
        <f t="shared" si="13"/>
        <v>3.6056926854340476E-2</v>
      </c>
      <c r="S1413" s="9"/>
      <c r="T1413" s="9"/>
      <c r="U1413" s="9"/>
      <c r="V1413" s="9"/>
      <c r="W1413" s="9"/>
      <c r="X1413" s="9"/>
      <c r="Y1413" s="9"/>
      <c r="Z1413" s="9"/>
      <c r="AA1413" s="9"/>
      <c r="AB1413" s="9"/>
    </row>
    <row r="1414" spans="1:28" ht="14.4" hidden="1">
      <c r="A1414" s="3">
        <f>LOOKUP(D1414,'AMFI DATA_2023H2'!F:L,'AMFI DATA_2023H2'!L:L)</f>
        <v>1620</v>
      </c>
      <c r="B1414" s="4" t="s">
        <v>4187</v>
      </c>
      <c r="C1414" s="4" t="s">
        <v>4188</v>
      </c>
      <c r="D1414" s="5" t="s">
        <v>4189</v>
      </c>
      <c r="E1414" s="5">
        <v>333.09</v>
      </c>
      <c r="F1414" s="6">
        <f>LOOKUP(D1414,'AMFI DATA_2023H2'!F:J,'AMFI DATA_2023H2'!J:J)</f>
        <v>391.29444999999998</v>
      </c>
      <c r="G1414" s="7">
        <f t="shared" si="12"/>
        <v>1.9692459220926883E-2</v>
      </c>
      <c r="H1414" s="9">
        <v>399</v>
      </c>
      <c r="I1414" s="9">
        <v>396</v>
      </c>
      <c r="J1414" s="9">
        <v>395</v>
      </c>
      <c r="K1414" s="9">
        <v>398</v>
      </c>
      <c r="L1414" s="9">
        <v>398</v>
      </c>
      <c r="M1414" s="9">
        <v>400</v>
      </c>
      <c r="N1414" s="9">
        <v>394</v>
      </c>
      <c r="O1414" s="9">
        <v>402</v>
      </c>
      <c r="P1414" s="9">
        <v>391</v>
      </c>
      <c r="Q1414" s="9">
        <v>382</v>
      </c>
      <c r="R1414" s="7">
        <f t="shared" si="13"/>
        <v>1.0747788526006552E-2</v>
      </c>
      <c r="S1414" s="9"/>
      <c r="T1414" s="9"/>
      <c r="U1414" s="9"/>
      <c r="V1414" s="9"/>
      <c r="W1414" s="9"/>
      <c r="X1414" s="9"/>
      <c r="Y1414" s="9"/>
      <c r="Z1414" s="9"/>
      <c r="AA1414" s="9"/>
      <c r="AB1414" s="9"/>
    </row>
    <row r="1415" spans="1:28" ht="14.4" hidden="1">
      <c r="A1415" s="3">
        <f>LOOKUP(D1415,'AMFI DATA_2023H2'!F:L,'AMFI DATA_2023H2'!L:L)</f>
        <v>1679</v>
      </c>
      <c r="B1415" s="4" t="s">
        <v>4295</v>
      </c>
      <c r="C1415" s="4" t="s">
        <v>4296</v>
      </c>
      <c r="D1415" s="5" t="s">
        <v>4297</v>
      </c>
      <c r="E1415" s="5">
        <v>278.33</v>
      </c>
      <c r="F1415" s="6">
        <f>LOOKUP(D1415,'AMFI DATA_2023H2'!F:J,'AMFI DATA_2023H2'!J:J)</f>
        <v>342.55</v>
      </c>
      <c r="G1415" s="7">
        <f t="shared" si="12"/>
        <v>4.510290468544742E-2</v>
      </c>
      <c r="H1415" s="9">
        <v>358</v>
      </c>
      <c r="I1415" s="9">
        <v>354</v>
      </c>
      <c r="J1415" s="9">
        <v>354</v>
      </c>
      <c r="K1415" s="9">
        <v>350</v>
      </c>
      <c r="L1415" s="9">
        <v>350</v>
      </c>
      <c r="M1415" s="9">
        <v>355</v>
      </c>
      <c r="N1415" s="9">
        <v>356</v>
      </c>
      <c r="O1415" s="9">
        <v>347</v>
      </c>
      <c r="P1415" s="9">
        <v>351</v>
      </c>
      <c r="Q1415" s="9">
        <v>364</v>
      </c>
      <c r="R1415" s="7">
        <f t="shared" si="13"/>
        <v>3.3133849073127886E-2</v>
      </c>
      <c r="S1415" s="9"/>
      <c r="T1415" s="9"/>
      <c r="U1415" s="9"/>
      <c r="V1415" s="9"/>
      <c r="W1415" s="9"/>
      <c r="X1415" s="9"/>
      <c r="Y1415" s="9"/>
      <c r="Z1415" s="9"/>
      <c r="AA1415" s="9"/>
      <c r="AB1415" s="9"/>
    </row>
    <row r="1416" spans="1:28" ht="14.4" hidden="1">
      <c r="A1416" s="3">
        <f>LOOKUP(D1416,'AMFI DATA_2023H2'!F:L,'AMFI DATA_2023H2'!L:L)</f>
        <v>907</v>
      </c>
      <c r="B1416" s="4" t="s">
        <v>2627</v>
      </c>
      <c r="C1416" s="4" t="s">
        <v>2628</v>
      </c>
      <c r="D1416" s="5" t="s">
        <v>2629</v>
      </c>
      <c r="E1416" s="5">
        <v>1972.66</v>
      </c>
      <c r="F1416" s="6">
        <f>LOOKUP(D1416,'AMFI DATA_2023H2'!F:J,'AMFI DATA_2023H2'!J:J)</f>
        <v>2131.9917999999998</v>
      </c>
      <c r="G1416" s="7">
        <f t="shared" si="12"/>
        <v>1.548232971627761E-2</v>
      </c>
      <c r="H1416" s="8">
        <v>2165</v>
      </c>
      <c r="I1416" s="8">
        <v>2181</v>
      </c>
      <c r="J1416" s="8">
        <v>2177</v>
      </c>
      <c r="K1416" s="8">
        <v>2165</v>
      </c>
      <c r="L1416" s="8">
        <v>2178</v>
      </c>
      <c r="M1416" s="8">
        <v>2139</v>
      </c>
      <c r="N1416" s="8">
        <v>2139</v>
      </c>
      <c r="O1416" s="8">
        <v>2126</v>
      </c>
      <c r="P1416" s="8">
        <v>2110</v>
      </c>
      <c r="Q1416" s="8">
        <v>2109</v>
      </c>
      <c r="R1416" s="7">
        <f t="shared" si="13"/>
        <v>7.9307059248541201E-3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</row>
    <row r="1417" spans="1:28" ht="14.4" hidden="1">
      <c r="A1417" s="3">
        <f>LOOKUP(D1417,'AMFI DATA_2023H2'!F:L,'AMFI DATA_2023H2'!L:L)</f>
        <v>1270</v>
      </c>
      <c r="B1417" s="4" t="s">
        <v>3494</v>
      </c>
      <c r="C1417" s="4" t="s">
        <v>3495</v>
      </c>
      <c r="D1417" s="5" t="s">
        <v>3496</v>
      </c>
      <c r="E1417" s="5">
        <v>715.35</v>
      </c>
      <c r="F1417" s="6">
        <f>LOOKUP(D1417,'AMFI DATA_2023H2'!F:J,'AMFI DATA_2023H2'!J:J)</f>
        <v>869.6046044499999</v>
      </c>
      <c r="G1417" s="7">
        <f t="shared" si="12"/>
        <v>0.16489723584282712</v>
      </c>
      <c r="H1417" s="8">
        <v>1013</v>
      </c>
      <c r="I1417" s="8">
        <v>1009</v>
      </c>
      <c r="J1417" s="8">
        <v>1013</v>
      </c>
      <c r="K1417" s="8">
        <v>1010</v>
      </c>
      <c r="L1417" s="8">
        <v>1038</v>
      </c>
      <c r="M1417" s="8">
        <v>1034</v>
      </c>
      <c r="N1417" s="8">
        <v>1058</v>
      </c>
      <c r="O1417" s="8">
        <v>993</v>
      </c>
      <c r="P1417" s="8">
        <v>1001</v>
      </c>
      <c r="Q1417" s="8">
        <v>1007</v>
      </c>
      <c r="R1417" s="7">
        <f t="shared" si="13"/>
        <v>0.17018699624250844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</row>
    <row r="1418" spans="1:28" ht="14.4" hidden="1">
      <c r="A1418" s="3">
        <f>LOOKUP(D1418,'AMFI DATA_2023H2'!F:L,'AMFI DATA_2023H2'!L:L)</f>
        <v>1274</v>
      </c>
      <c r="B1418" s="4" t="s">
        <v>3503</v>
      </c>
      <c r="C1418" s="4" t="s">
        <v>3504</v>
      </c>
      <c r="D1418" s="5" t="s">
        <v>3505</v>
      </c>
      <c r="E1418" s="5">
        <v>689.71</v>
      </c>
      <c r="F1418" s="6">
        <f>LOOKUP(D1418,'AMFI DATA_2023H2'!F:J,'AMFI DATA_2023H2'!J:J)</f>
        <v>860.38670000000002</v>
      </c>
      <c r="G1418" s="7">
        <f t="shared" si="12"/>
        <v>0.26454767373786692</v>
      </c>
      <c r="H1418" s="9">
        <v>1088</v>
      </c>
      <c r="I1418" s="9">
        <v>1096</v>
      </c>
      <c r="J1418" s="9">
        <v>1119</v>
      </c>
      <c r="K1418" s="9">
        <v>931</v>
      </c>
      <c r="L1418" s="9">
        <v>932</v>
      </c>
      <c r="M1418" s="9">
        <v>959</v>
      </c>
      <c r="N1418" s="9">
        <v>926</v>
      </c>
      <c r="O1418" s="9">
        <v>913</v>
      </c>
      <c r="P1418" s="9">
        <v>927</v>
      </c>
      <c r="Q1418" s="9">
        <v>908</v>
      </c>
      <c r="R1418" s="7">
        <f t="shared" si="13"/>
        <v>0.13890649402181587</v>
      </c>
      <c r="S1418" s="9"/>
      <c r="T1418" s="9"/>
      <c r="U1418" s="9"/>
      <c r="V1418" s="9"/>
      <c r="W1418" s="9"/>
      <c r="X1418" s="9"/>
      <c r="Y1418" s="9"/>
      <c r="Z1418" s="9"/>
      <c r="AA1418" s="9"/>
      <c r="AB1418" s="9"/>
    </row>
    <row r="1419" spans="1:28" ht="14.4" hidden="1">
      <c r="A1419" s="3">
        <f>LOOKUP(D1419,'AMFI DATA_2023H2'!F:L,'AMFI DATA_2023H2'!L:L)</f>
        <v>938</v>
      </c>
      <c r="B1419" s="4" t="s">
        <v>2705</v>
      </c>
      <c r="C1419" s="4" t="s">
        <v>2706</v>
      </c>
      <c r="D1419" s="5" t="s">
        <v>2707</v>
      </c>
      <c r="E1419" s="5">
        <v>1600.01</v>
      </c>
      <c r="F1419" s="6">
        <f>LOOKUP(D1419,'AMFI DATA_2023H2'!F:J,'AMFI DATA_2023H2'!J:J)</f>
        <v>2013.8704</v>
      </c>
      <c r="G1419" s="7">
        <f t="shared" si="12"/>
        <v>0.15250713253444714</v>
      </c>
      <c r="H1419" s="8">
        <v>2321</v>
      </c>
      <c r="I1419" s="8">
        <v>2399</v>
      </c>
      <c r="J1419" s="8">
        <v>2305</v>
      </c>
      <c r="K1419" s="8">
        <v>2246</v>
      </c>
      <c r="L1419" s="8">
        <v>1988</v>
      </c>
      <c r="M1419" s="8">
        <v>2018</v>
      </c>
      <c r="N1419" s="8">
        <v>1998</v>
      </c>
      <c r="O1419" s="8">
        <v>2008</v>
      </c>
      <c r="P1419" s="8">
        <v>2012</v>
      </c>
      <c r="Q1419" s="8">
        <v>2001</v>
      </c>
      <c r="R1419" s="7">
        <f t="shared" si="13"/>
        <v>5.7466259993691704E-2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</row>
    <row r="1420" spans="1:28" ht="14.4" hidden="1">
      <c r="A1420" s="3">
        <f>LOOKUP(D1420,'AMFI DATA_2023H2'!F:L,'AMFI DATA_2023H2'!L:L)</f>
        <v>2656</v>
      </c>
      <c r="B1420" s="4" t="s">
        <v>5419</v>
      </c>
      <c r="C1420" s="4" t="s">
        <v>5420</v>
      </c>
      <c r="D1420" s="5" t="s">
        <v>5421</v>
      </c>
      <c r="E1420" s="5">
        <v>19.059999999999999</v>
      </c>
      <c r="F1420" s="6">
        <f>LOOKUP(D1420,'AMFI DATA_2023H2'!F:J,'AMFI DATA_2023H2'!J:J)</f>
        <v>62.137749999999997</v>
      </c>
      <c r="G1420" s="7">
        <f t="shared" si="12"/>
        <v>0.72198059955502103</v>
      </c>
      <c r="H1420" s="9">
        <v>107</v>
      </c>
      <c r="I1420" s="9">
        <v>109</v>
      </c>
      <c r="J1420" s="9">
        <v>107</v>
      </c>
      <c r="K1420" s="9">
        <v>105</v>
      </c>
      <c r="L1420" s="9">
        <v>107</v>
      </c>
      <c r="M1420" s="9">
        <v>109</v>
      </c>
      <c r="N1420" s="9">
        <v>111</v>
      </c>
      <c r="O1420" s="9">
        <v>114</v>
      </c>
      <c r="P1420" s="9">
        <v>116</v>
      </c>
      <c r="Q1420" s="9">
        <v>107</v>
      </c>
      <c r="R1420" s="7">
        <f t="shared" si="13"/>
        <v>0.7573858081440028</v>
      </c>
      <c r="S1420" s="9"/>
      <c r="T1420" s="9"/>
      <c r="U1420" s="9"/>
      <c r="V1420" s="9"/>
      <c r="W1420" s="9"/>
      <c r="X1420" s="9"/>
      <c r="Y1420" s="9"/>
      <c r="Z1420" s="9"/>
      <c r="AA1420" s="9"/>
      <c r="AB1420" s="9"/>
    </row>
    <row r="1421" spans="1:28" ht="14.4" hidden="1">
      <c r="A1421" s="3">
        <f>LOOKUP(D1421,'AMFI DATA_2023H2'!F:L,'AMFI DATA_2023H2'!L:L)</f>
        <v>1090</v>
      </c>
      <c r="B1421" s="4" t="s">
        <v>3089</v>
      </c>
      <c r="C1421" s="4" t="s">
        <v>3090</v>
      </c>
      <c r="D1421" s="5" t="s">
        <v>3091</v>
      </c>
      <c r="E1421" s="5">
        <v>890.76</v>
      </c>
      <c r="F1421" s="6">
        <f>LOOKUP(D1421,'AMFI DATA_2023H2'!F:J,'AMFI DATA_2023H2'!J:J)</f>
        <v>1361.9022500000001</v>
      </c>
      <c r="G1421" s="7">
        <f t="shared" si="12"/>
        <v>9.7729297385329872E-2</v>
      </c>
      <c r="H1421" s="8">
        <v>1495</v>
      </c>
      <c r="I1421" s="8">
        <v>1508</v>
      </c>
      <c r="J1421" s="8">
        <v>1509</v>
      </c>
      <c r="K1421" s="8">
        <v>1491</v>
      </c>
      <c r="L1421" s="8">
        <v>1521</v>
      </c>
      <c r="M1421" s="8">
        <v>1520</v>
      </c>
      <c r="N1421" s="8">
        <v>1531</v>
      </c>
      <c r="O1421" s="8">
        <v>1549</v>
      </c>
      <c r="P1421" s="8">
        <v>1512</v>
      </c>
      <c r="Q1421" s="8">
        <v>1549</v>
      </c>
      <c r="R1421" s="7">
        <f t="shared" si="13"/>
        <v>0.11498457396630335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</row>
    <row r="1422" spans="1:28" ht="14.4" hidden="1">
      <c r="A1422" s="3">
        <f>LOOKUP(D1422,'AMFI DATA_2023H2'!F:L,'AMFI DATA_2023H2'!L:L)</f>
        <v>2145</v>
      </c>
      <c r="B1422" s="4" t="s">
        <v>4946</v>
      </c>
      <c r="C1422" s="4" t="s">
        <v>4947</v>
      </c>
      <c r="D1422" s="5" t="s">
        <v>4948</v>
      </c>
      <c r="E1422" s="5">
        <v>144.12</v>
      </c>
      <c r="F1422" s="6">
        <f>LOOKUP(D1422,'AMFI DATA_2023H2'!F:J,'AMFI DATA_2023H2'!J:J)</f>
        <v>147.00290000000001</v>
      </c>
      <c r="G1422" s="7">
        <f t="shared" si="12"/>
        <v>0.46935876775220065</v>
      </c>
      <c r="H1422" s="9">
        <v>216</v>
      </c>
      <c r="I1422" s="9">
        <v>206</v>
      </c>
      <c r="J1422" s="9">
        <v>206</v>
      </c>
      <c r="K1422" s="9">
        <v>206</v>
      </c>
      <c r="L1422" s="9">
        <v>209</v>
      </c>
      <c r="M1422" s="9">
        <v>205</v>
      </c>
      <c r="N1422" s="9">
        <v>210</v>
      </c>
      <c r="O1422" s="9">
        <v>200</v>
      </c>
      <c r="P1422" s="9">
        <v>210</v>
      </c>
      <c r="Q1422" s="9">
        <v>220</v>
      </c>
      <c r="R1422" s="7">
        <f t="shared" si="13"/>
        <v>0.42038014216046071</v>
      </c>
      <c r="S1422" s="9"/>
      <c r="T1422" s="9"/>
      <c r="U1422" s="9"/>
      <c r="V1422" s="9"/>
      <c r="W1422" s="9"/>
      <c r="X1422" s="9"/>
      <c r="Y1422" s="9"/>
      <c r="Z1422" s="9"/>
      <c r="AA1422" s="9"/>
      <c r="AB1422" s="9"/>
    </row>
    <row r="1423" spans="1:28" ht="14.4" hidden="1">
      <c r="A1423" s="3">
        <f>LOOKUP(D1423,'AMFI DATA_2023H2'!F:L,'AMFI DATA_2023H2'!L:L)</f>
        <v>943</v>
      </c>
      <c r="B1423" s="4" t="s">
        <v>2720</v>
      </c>
      <c r="C1423" s="4" t="s">
        <v>2721</v>
      </c>
      <c r="D1423" s="5" t="s">
        <v>2722</v>
      </c>
      <c r="E1423" s="5">
        <v>1398.39</v>
      </c>
      <c r="F1423" s="6">
        <f>LOOKUP(D1423,'AMFI DATA_2023H2'!F:J,'AMFI DATA_2023H2'!J:J)</f>
        <v>1995.0362500000001</v>
      </c>
      <c r="G1423" s="7">
        <f t="shared" si="12"/>
        <v>-7.7209749948152662E-2</v>
      </c>
      <c r="H1423" s="8">
        <v>1841</v>
      </c>
      <c r="I1423" s="8">
        <v>1901</v>
      </c>
      <c r="J1423" s="8">
        <v>1889</v>
      </c>
      <c r="K1423" s="8">
        <v>1896</v>
      </c>
      <c r="L1423" s="8">
        <v>1909</v>
      </c>
      <c r="M1423" s="8">
        <v>1943</v>
      </c>
      <c r="N1423" s="8">
        <v>1922</v>
      </c>
      <c r="O1423" s="8">
        <v>1931</v>
      </c>
      <c r="P1423" s="8">
        <v>1958</v>
      </c>
      <c r="Q1423" s="8">
        <v>1927</v>
      </c>
      <c r="R1423" s="7">
        <f t="shared" si="13"/>
        <v>-4.1771797379621556E-2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</row>
    <row r="1424" spans="1:28" ht="14.4" hidden="1">
      <c r="A1424" s="3">
        <f>LOOKUP(D1424,'AMFI DATA_2023H2'!F:L,'AMFI DATA_2023H2'!L:L)</f>
        <v>4380</v>
      </c>
      <c r="B1424" s="4" t="s">
        <v>5779</v>
      </c>
      <c r="C1424" s="4" t="s">
        <v>5780</v>
      </c>
      <c r="D1424" s="5" t="s">
        <v>5781</v>
      </c>
      <c r="E1424" s="5">
        <v>4.01</v>
      </c>
      <c r="F1424" s="6">
        <f>LOOKUP(D1424,'AMFI DATA_2023H2'!F:J,'AMFI DATA_2023H2'!J:J)</f>
        <v>4.6077500000000002</v>
      </c>
      <c r="G1424" s="7">
        <f t="shared" si="12"/>
        <v>0.34121859909934327</v>
      </c>
      <c r="H1424" s="9">
        <v>6.18</v>
      </c>
      <c r="I1424" s="9">
        <v>6.29</v>
      </c>
      <c r="J1424" s="9">
        <v>6.39</v>
      </c>
      <c r="K1424" s="9">
        <v>6.4</v>
      </c>
      <c r="L1424" s="9">
        <v>6.5</v>
      </c>
      <c r="M1424" s="9">
        <v>6.5</v>
      </c>
      <c r="N1424" s="9">
        <v>6.5</v>
      </c>
      <c r="O1424" s="9">
        <v>6.63</v>
      </c>
      <c r="P1424" s="9">
        <v>6.5</v>
      </c>
      <c r="Q1424" s="9">
        <v>6.6</v>
      </c>
      <c r="R1424" s="7">
        <f t="shared" si="13"/>
        <v>0.39959850252292317</v>
      </c>
      <c r="S1424" s="9"/>
      <c r="T1424" s="9"/>
      <c r="U1424" s="9"/>
      <c r="V1424" s="9"/>
      <c r="W1424" s="9"/>
      <c r="X1424" s="9"/>
      <c r="Y1424" s="9"/>
      <c r="Z1424" s="9"/>
      <c r="AA1424" s="9"/>
      <c r="AB1424" s="9"/>
    </row>
    <row r="1425" spans="1:28" ht="14.4" hidden="1">
      <c r="A1425" s="3">
        <f>LOOKUP(D1425,'AMFI DATA_2023H2'!F:L,'AMFI DATA_2023H2'!L:L)</f>
        <v>1810</v>
      </c>
      <c r="B1425" s="4" t="s">
        <v>4484</v>
      </c>
      <c r="C1425" s="4" t="s">
        <v>4485</v>
      </c>
      <c r="D1425" s="5" t="s">
        <v>4486</v>
      </c>
      <c r="E1425" s="5">
        <v>200.5</v>
      </c>
      <c r="F1425" s="6">
        <f>LOOKUP(D1425,'AMFI DATA_2023H2'!F:J,'AMFI DATA_2023H2'!J:J)</f>
        <v>265.62545</v>
      </c>
      <c r="G1425" s="7">
        <f t="shared" si="12"/>
        <v>0.55482089536224777</v>
      </c>
      <c r="H1425" s="9">
        <v>413</v>
      </c>
      <c r="I1425" s="9">
        <v>393</v>
      </c>
      <c r="J1425" s="9">
        <v>384</v>
      </c>
      <c r="K1425" s="9">
        <v>382</v>
      </c>
      <c r="L1425" s="9">
        <v>374</v>
      </c>
      <c r="M1425" s="9">
        <v>367</v>
      </c>
      <c r="N1425" s="9">
        <v>347</v>
      </c>
      <c r="O1425" s="9">
        <v>362</v>
      </c>
      <c r="P1425" s="9">
        <v>377</v>
      </c>
      <c r="Q1425" s="9">
        <v>365</v>
      </c>
      <c r="R1425" s="7">
        <f t="shared" si="13"/>
        <v>0.41703289349721562</v>
      </c>
      <c r="S1425" s="9"/>
      <c r="T1425" s="9"/>
      <c r="U1425" s="9"/>
      <c r="V1425" s="9"/>
      <c r="W1425" s="9"/>
      <c r="X1425" s="9"/>
      <c r="Y1425" s="9"/>
      <c r="Z1425" s="9"/>
      <c r="AA1425" s="9"/>
      <c r="AB1425" s="9"/>
    </row>
    <row r="1426" spans="1:28" ht="14.4" hidden="1">
      <c r="A1426" s="3">
        <f>LOOKUP(D1426,'AMFI DATA_2023H2'!F:L,'AMFI DATA_2023H2'!L:L)</f>
        <v>2132</v>
      </c>
      <c r="B1426" s="4" t="s">
        <v>4928</v>
      </c>
      <c r="C1426" s="4" t="s">
        <v>4929</v>
      </c>
      <c r="D1426" s="5" t="s">
        <v>4930</v>
      </c>
      <c r="E1426" s="5">
        <v>149.55000000000001</v>
      </c>
      <c r="F1426" s="6">
        <f>LOOKUP(D1426,'AMFI DATA_2023H2'!F:J,'AMFI DATA_2023H2'!J:J)</f>
        <v>150.59300000000002</v>
      </c>
      <c r="G1426" s="7">
        <f t="shared" si="12"/>
        <v>0.40776795734197457</v>
      </c>
      <c r="H1426" s="9">
        <v>212</v>
      </c>
      <c r="I1426" s="9">
        <v>195</v>
      </c>
      <c r="J1426" s="9">
        <v>192</v>
      </c>
      <c r="K1426" s="9">
        <v>183</v>
      </c>
      <c r="L1426" s="9">
        <v>175</v>
      </c>
      <c r="M1426" s="9">
        <v>167</v>
      </c>
      <c r="N1426" s="9">
        <v>163</v>
      </c>
      <c r="O1426" s="9">
        <v>160</v>
      </c>
      <c r="P1426" s="9">
        <v>156</v>
      </c>
      <c r="Q1426" s="9">
        <v>157</v>
      </c>
      <c r="R1426" s="7">
        <f t="shared" si="13"/>
        <v>0.16871302118956377</v>
      </c>
      <c r="S1426" s="9"/>
      <c r="T1426" s="9"/>
      <c r="U1426" s="9"/>
      <c r="V1426" s="9"/>
      <c r="W1426" s="9"/>
      <c r="X1426" s="9"/>
      <c r="Y1426" s="9"/>
      <c r="Z1426" s="9"/>
      <c r="AA1426" s="9"/>
      <c r="AB1426" s="9"/>
    </row>
    <row r="1427" spans="1:28" ht="14.4" hidden="1">
      <c r="A1427" s="3">
        <f>LOOKUP(D1427,'AMFI DATA_2023H2'!F:L,'AMFI DATA_2023H2'!L:L)</f>
        <v>888</v>
      </c>
      <c r="B1427" s="4" t="s">
        <v>2573</v>
      </c>
      <c r="C1427" s="4" t="s">
        <v>2574</v>
      </c>
      <c r="D1427" s="5" t="s">
        <v>2575</v>
      </c>
      <c r="E1427" s="5">
        <v>2543.92</v>
      </c>
      <c r="F1427" s="6">
        <f>LOOKUP(D1427,'AMFI DATA_2023H2'!F:J,'AMFI DATA_2023H2'!J:J)</f>
        <v>2209.00945</v>
      </c>
      <c r="G1427" s="7">
        <f t="shared" si="12"/>
        <v>5.1149871721915874E-2</v>
      </c>
      <c r="H1427" s="8">
        <v>2322</v>
      </c>
      <c r="I1427" s="8">
        <v>2324</v>
      </c>
      <c r="J1427" s="8">
        <v>2291</v>
      </c>
      <c r="K1427" s="8">
        <v>2298</v>
      </c>
      <c r="L1427" s="8">
        <v>2258</v>
      </c>
      <c r="M1427" s="8">
        <v>2162</v>
      </c>
      <c r="N1427" s="8">
        <v>2153</v>
      </c>
      <c r="O1427" s="8">
        <v>2164</v>
      </c>
      <c r="P1427" s="8">
        <v>2139</v>
      </c>
      <c r="Q1427" s="8">
        <v>2120</v>
      </c>
      <c r="R1427" s="7">
        <f t="shared" si="13"/>
        <v>6.3786734819082369E-3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</row>
    <row r="1428" spans="1:28" ht="14.4" hidden="1">
      <c r="A1428" s="3">
        <f>LOOKUP(D1428,'AMFI DATA_2023H2'!F:L,'AMFI DATA_2023H2'!L:L)</f>
        <v>442</v>
      </c>
      <c r="B1428" s="4" t="s">
        <v>1317</v>
      </c>
      <c r="C1428" s="4" t="s">
        <v>1318</v>
      </c>
      <c r="D1428" s="5" t="s">
        <v>1319</v>
      </c>
      <c r="E1428" s="5">
        <v>5288.98</v>
      </c>
      <c r="F1428" s="6">
        <f>LOOKUP(D1428,'AMFI DATA_2023H2'!F:J,'AMFI DATA_2023H2'!J:J)</f>
        <v>9016.6823499999991</v>
      </c>
      <c r="G1428" s="7">
        <f t="shared" si="12"/>
        <v>2.554350270529393E-2</v>
      </c>
      <c r="H1428" s="8">
        <v>9247</v>
      </c>
      <c r="I1428" s="8">
        <v>9191</v>
      </c>
      <c r="J1428" s="8">
        <v>8938</v>
      </c>
      <c r="K1428" s="8">
        <v>8909</v>
      </c>
      <c r="L1428" s="8">
        <v>8988</v>
      </c>
      <c r="M1428" s="8">
        <v>9271</v>
      </c>
      <c r="N1428" s="8">
        <v>9232</v>
      </c>
      <c r="O1428" s="8">
        <v>9478</v>
      </c>
      <c r="P1428" s="8">
        <v>9821</v>
      </c>
      <c r="Q1428" s="8">
        <v>9814</v>
      </c>
      <c r="R1428" s="7">
        <f t="shared" si="13"/>
        <v>3.0190444714956577E-2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</row>
    <row r="1429" spans="1:28" ht="14.4" hidden="1">
      <c r="A1429" s="3">
        <f>LOOKUP(D1429,'AMFI DATA_2023H2'!F:L,'AMFI DATA_2023H2'!L:L)</f>
        <v>771</v>
      </c>
      <c r="B1429" s="4" t="s">
        <v>2255</v>
      </c>
      <c r="C1429" s="4" t="s">
        <v>2256</v>
      </c>
      <c r="D1429" s="5" t="s">
        <v>2257</v>
      </c>
      <c r="E1429" s="5">
        <v>2729.18</v>
      </c>
      <c r="F1429" s="6">
        <f>LOOKUP(D1429,'AMFI DATA_2023H2'!F:J,'AMFI DATA_2023H2'!J:J)</f>
        <v>3117.9087</v>
      </c>
      <c r="G1429" s="7">
        <f t="shared" si="12"/>
        <v>0.20978526407780951</v>
      </c>
      <c r="H1429" s="8">
        <v>3772</v>
      </c>
      <c r="I1429" s="8">
        <v>3683</v>
      </c>
      <c r="J1429" s="8">
        <v>3773</v>
      </c>
      <c r="K1429" s="8">
        <v>3685</v>
      </c>
      <c r="L1429" s="8">
        <v>3773</v>
      </c>
      <c r="M1429" s="8">
        <v>3328</v>
      </c>
      <c r="N1429" s="8">
        <v>3403</v>
      </c>
      <c r="O1429" s="8">
        <v>3349</v>
      </c>
      <c r="P1429" s="8">
        <v>3376</v>
      </c>
      <c r="Q1429" s="8">
        <v>3372</v>
      </c>
      <c r="R1429" s="7">
        <f t="shared" si="13"/>
        <v>0.1390327112528984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</row>
    <row r="1430" spans="1:28" ht="14.4" hidden="1">
      <c r="A1430" s="3">
        <f>LOOKUP(D1430,'AMFI DATA_2023H2'!F:L,'AMFI DATA_2023H2'!L:L)</f>
        <v>2943</v>
      </c>
      <c r="B1430" s="4" t="s">
        <v>5524</v>
      </c>
      <c r="C1430" s="4" t="s">
        <v>5525</v>
      </c>
      <c r="D1430" s="5" t="s">
        <v>5526</v>
      </c>
      <c r="E1430" s="5">
        <v>40.229999999999997</v>
      </c>
      <c r="F1430" s="6">
        <f>LOOKUP(D1430,'AMFI DATA_2023H2'!F:J,'AMFI DATA_2023H2'!J:J)</f>
        <v>41.524500000000003</v>
      </c>
      <c r="G1430" s="7">
        <f t="shared" si="12"/>
        <v>0.41603149947621265</v>
      </c>
      <c r="H1430" s="9">
        <v>58.8</v>
      </c>
      <c r="I1430" s="9">
        <v>60.7</v>
      </c>
      <c r="J1430" s="9">
        <v>62.8</v>
      </c>
      <c r="K1430" s="9">
        <v>52.6</v>
      </c>
      <c r="L1430" s="9">
        <v>49.8</v>
      </c>
      <c r="M1430" s="9">
        <v>46.1</v>
      </c>
      <c r="N1430" s="9">
        <v>46.5</v>
      </c>
      <c r="O1430" s="9">
        <v>44.4</v>
      </c>
      <c r="P1430" s="9">
        <v>43.6</v>
      </c>
      <c r="Q1430" s="9">
        <v>43.8</v>
      </c>
      <c r="R1430" s="7">
        <f t="shared" si="13"/>
        <v>0.22602319112812919</v>
      </c>
      <c r="S1430" s="9"/>
      <c r="T1430" s="9"/>
      <c r="U1430" s="9"/>
      <c r="V1430" s="9"/>
      <c r="W1430" s="9"/>
      <c r="X1430" s="9"/>
      <c r="Y1430" s="9"/>
      <c r="Z1430" s="9"/>
      <c r="AA1430" s="9"/>
      <c r="AB1430" s="9"/>
    </row>
    <row r="1431" spans="1:28" ht="14.4" hidden="1">
      <c r="A1431" s="3">
        <f>LOOKUP(D1431,'AMFI DATA_2023H2'!F:L,'AMFI DATA_2023H2'!L:L)</f>
        <v>1800</v>
      </c>
      <c r="B1431" s="4" t="s">
        <v>4481</v>
      </c>
      <c r="C1431" s="4" t="s">
        <v>4482</v>
      </c>
      <c r="D1431" s="5" t="s">
        <v>4483</v>
      </c>
      <c r="E1431" s="5">
        <v>209.85</v>
      </c>
      <c r="F1431" s="6">
        <f>LOOKUP(D1431,'AMFI DATA_2023H2'!F:J,'AMFI DATA_2023H2'!J:J)</f>
        <v>271.50305000000003</v>
      </c>
      <c r="G1431" s="7">
        <f t="shared" si="12"/>
        <v>0.23018875846882736</v>
      </c>
      <c r="H1431" s="9">
        <v>334</v>
      </c>
      <c r="I1431" s="9">
        <v>334</v>
      </c>
      <c r="J1431" s="9">
        <v>323</v>
      </c>
      <c r="K1431" s="9">
        <v>329</v>
      </c>
      <c r="L1431" s="9">
        <v>325</v>
      </c>
      <c r="M1431" s="9">
        <v>328</v>
      </c>
      <c r="N1431" s="9">
        <v>328</v>
      </c>
      <c r="O1431" s="9">
        <v>333</v>
      </c>
      <c r="P1431" s="9">
        <v>333</v>
      </c>
      <c r="Q1431" s="9">
        <v>336</v>
      </c>
      <c r="R1431" s="7">
        <f t="shared" si="13"/>
        <v>0.21656091892890328</v>
      </c>
      <c r="S1431" s="9"/>
      <c r="T1431" s="9"/>
      <c r="U1431" s="9"/>
      <c r="V1431" s="9"/>
      <c r="W1431" s="9"/>
      <c r="X1431" s="9"/>
      <c r="Y1431" s="9"/>
      <c r="Z1431" s="9"/>
      <c r="AA1431" s="9"/>
      <c r="AB1431" s="9"/>
    </row>
    <row r="1432" spans="1:28" ht="14.4" hidden="1">
      <c r="A1432" s="3">
        <f>LOOKUP(D1432,'AMFI DATA_2023H2'!F:L,'AMFI DATA_2023H2'!L:L)</f>
        <v>1558</v>
      </c>
      <c r="B1432" s="4" t="s">
        <v>4076</v>
      </c>
      <c r="C1432" s="4" t="s">
        <v>4077</v>
      </c>
      <c r="D1432" s="5" t="s">
        <v>4078</v>
      </c>
      <c r="E1432" s="5">
        <v>399.08</v>
      </c>
      <c r="F1432" s="6">
        <f>LOOKUP(D1432,'AMFI DATA_2023H2'!F:J,'AMFI DATA_2023H2'!J:J)</f>
        <v>448.79165</v>
      </c>
      <c r="G1432" s="7">
        <f t="shared" si="12"/>
        <v>4.9206575033202693E-3</v>
      </c>
      <c r="H1432" s="9">
        <v>451</v>
      </c>
      <c r="I1432" s="9">
        <v>450</v>
      </c>
      <c r="J1432" s="9">
        <v>454</v>
      </c>
      <c r="K1432" s="9">
        <v>462</v>
      </c>
      <c r="L1432" s="9">
        <v>441</v>
      </c>
      <c r="M1432" s="9">
        <v>448</v>
      </c>
      <c r="N1432" s="9">
        <v>440</v>
      </c>
      <c r="O1432" s="9">
        <v>448</v>
      </c>
      <c r="P1432" s="9">
        <v>443</v>
      </c>
      <c r="Q1432" s="9">
        <v>449</v>
      </c>
      <c r="R1432" s="7">
        <f t="shared" si="13"/>
        <v>-4.2703557430268102E-4</v>
      </c>
      <c r="S1432" s="9"/>
      <c r="T1432" s="9"/>
      <c r="U1432" s="9"/>
      <c r="V1432" s="9"/>
      <c r="W1432" s="9"/>
      <c r="X1432" s="9"/>
      <c r="Y1432" s="9"/>
      <c r="Z1432" s="9"/>
      <c r="AA1432" s="9"/>
      <c r="AB1432" s="9"/>
    </row>
    <row r="1433" spans="1:28" ht="14.4" hidden="1">
      <c r="A1433" s="3">
        <f>LOOKUP(D1433,'AMFI DATA_2023H2'!F:L,'AMFI DATA_2023H2'!L:L)</f>
        <v>677</v>
      </c>
      <c r="B1433" s="4" t="s">
        <v>1986</v>
      </c>
      <c r="C1433" s="4" t="s">
        <v>1987</v>
      </c>
      <c r="D1433" s="5" t="s">
        <v>1988</v>
      </c>
      <c r="E1433" s="5">
        <v>156.49</v>
      </c>
      <c r="F1433" s="6">
        <f>LOOKUP(D1433,'AMFI DATA_2023H2'!F:J,'AMFI DATA_2023H2'!J:J)</f>
        <v>4068.0266000000001</v>
      </c>
      <c r="G1433" s="7">
        <f t="shared" si="12"/>
        <v>2.5558682433393987E-2</v>
      </c>
      <c r="H1433" s="8">
        <v>4172</v>
      </c>
      <c r="I1433" s="8">
        <v>4267</v>
      </c>
      <c r="J1433" s="8">
        <v>4297</v>
      </c>
      <c r="K1433" s="8">
        <v>4323</v>
      </c>
      <c r="L1433" s="8">
        <v>4404</v>
      </c>
      <c r="M1433" s="8">
        <v>4222</v>
      </c>
      <c r="N1433" s="8">
        <v>4294</v>
      </c>
      <c r="O1433" s="8">
        <v>4233</v>
      </c>
      <c r="P1433" s="8">
        <v>4213</v>
      </c>
      <c r="Q1433" s="8">
        <v>4256</v>
      </c>
      <c r="R1433" s="7">
        <f t="shared" si="13"/>
        <v>4.9181930127988993E-2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</row>
    <row r="1434" spans="1:28" ht="14.4" hidden="1">
      <c r="A1434" s="3">
        <f>LOOKUP(D1434,'AMFI DATA_2023H2'!F:L,'AMFI DATA_2023H2'!L:L)</f>
        <v>1379</v>
      </c>
      <c r="B1434" s="4" t="s">
        <v>3725</v>
      </c>
      <c r="C1434" s="4" t="s">
        <v>3726</v>
      </c>
      <c r="D1434" s="5" t="s">
        <v>3727</v>
      </c>
      <c r="E1434" s="5">
        <v>442.67</v>
      </c>
      <c r="F1434" s="6">
        <f>LOOKUP(D1434,'AMFI DATA_2023H2'!F:J,'AMFI DATA_2023H2'!J:J)</f>
        <v>673.47299999999996</v>
      </c>
      <c r="G1434" s="7">
        <f t="shared" si="12"/>
        <v>0.29032641249166646</v>
      </c>
      <c r="H1434" s="9">
        <v>869</v>
      </c>
      <c r="I1434" s="9">
        <v>877</v>
      </c>
      <c r="J1434" s="9">
        <v>865</v>
      </c>
      <c r="K1434" s="9">
        <v>870</v>
      </c>
      <c r="L1434" s="9">
        <v>874</v>
      </c>
      <c r="M1434" s="9">
        <v>854</v>
      </c>
      <c r="N1434" s="9">
        <v>850</v>
      </c>
      <c r="O1434" s="9">
        <v>857</v>
      </c>
      <c r="P1434" s="9">
        <v>865</v>
      </c>
      <c r="Q1434" s="9">
        <v>788</v>
      </c>
      <c r="R1434" s="7">
        <f t="shared" si="13"/>
        <v>0.2723598421911495</v>
      </c>
      <c r="S1434" s="9"/>
      <c r="T1434" s="9"/>
      <c r="U1434" s="9"/>
      <c r="V1434" s="9"/>
      <c r="W1434" s="9"/>
      <c r="X1434" s="9"/>
      <c r="Y1434" s="9"/>
      <c r="Z1434" s="9"/>
      <c r="AA1434" s="9"/>
      <c r="AB1434" s="9"/>
    </row>
    <row r="1435" spans="1:28" ht="14.4" hidden="1">
      <c r="A1435" s="3">
        <f>LOOKUP(D1435,'AMFI DATA_2023H2'!F:L,'AMFI DATA_2023H2'!L:L)</f>
        <v>740</v>
      </c>
      <c r="B1435" s="4" t="s">
        <v>2165</v>
      </c>
      <c r="C1435" s="4" t="s">
        <v>2166</v>
      </c>
      <c r="D1435" s="5" t="s">
        <v>2167</v>
      </c>
      <c r="E1435" s="5">
        <v>1905.3</v>
      </c>
      <c r="F1435" s="6">
        <f>LOOKUP(D1435,'AMFI DATA_2023H2'!F:J,'AMFI DATA_2023H2'!J:J)</f>
        <v>3434.2257</v>
      </c>
      <c r="G1435" s="7">
        <f t="shared" si="12"/>
        <v>-1.521653046857141E-3</v>
      </c>
      <c r="H1435" s="8">
        <v>3429</v>
      </c>
      <c r="I1435" s="8">
        <v>3391</v>
      </c>
      <c r="J1435" s="8">
        <v>3397</v>
      </c>
      <c r="K1435" s="8">
        <v>3422</v>
      </c>
      <c r="L1435" s="8">
        <v>3385</v>
      </c>
      <c r="M1435" s="8">
        <v>3403</v>
      </c>
      <c r="N1435" s="8">
        <v>3392</v>
      </c>
      <c r="O1435" s="8">
        <v>3410</v>
      </c>
      <c r="P1435" s="8">
        <v>3442</v>
      </c>
      <c r="Q1435" s="8">
        <v>3422</v>
      </c>
      <c r="R1435" s="7">
        <f t="shared" si="13"/>
        <v>-7.2580261687517078E-3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</row>
    <row r="1436" spans="1:28" ht="14.4" hidden="1">
      <c r="A1436" s="3">
        <f>LOOKUP(D1436,'AMFI DATA_2023H2'!F:L,'AMFI DATA_2023H2'!L:L)</f>
        <v>1678</v>
      </c>
      <c r="B1436" s="4" t="s">
        <v>4292</v>
      </c>
      <c r="C1436" s="4" t="s">
        <v>4293</v>
      </c>
      <c r="D1436" s="5" t="s">
        <v>4294</v>
      </c>
      <c r="E1436" s="5">
        <v>270.20999999999998</v>
      </c>
      <c r="F1436" s="6">
        <f>LOOKUP(D1436,'AMFI DATA_2023H2'!F:J,'AMFI DATA_2023H2'!J:J)</f>
        <v>343.83114999999998</v>
      </c>
      <c r="G1436" s="7">
        <f t="shared" si="12"/>
        <v>6.3078926967496951E-3</v>
      </c>
      <c r="H1436" s="9">
        <v>346</v>
      </c>
      <c r="I1436" s="9">
        <v>343</v>
      </c>
      <c r="J1436" s="9">
        <v>340</v>
      </c>
      <c r="K1436" s="9">
        <v>339</v>
      </c>
      <c r="L1436" s="9">
        <v>340</v>
      </c>
      <c r="M1436" s="9">
        <v>341</v>
      </c>
      <c r="N1436" s="9">
        <v>337</v>
      </c>
      <c r="O1436" s="9">
        <v>341</v>
      </c>
      <c r="P1436" s="9">
        <v>343</v>
      </c>
      <c r="Q1436" s="9">
        <v>340</v>
      </c>
      <c r="R1436" s="7">
        <f t="shared" si="13"/>
        <v>-8.2341288740126473E-3</v>
      </c>
      <c r="S1436" s="9"/>
      <c r="T1436" s="9"/>
      <c r="U1436" s="9"/>
      <c r="V1436" s="9"/>
      <c r="W1436" s="9"/>
      <c r="X1436" s="9"/>
      <c r="Y1436" s="9"/>
      <c r="Z1436" s="9"/>
      <c r="AA1436" s="9"/>
      <c r="AB1436" s="9"/>
    </row>
    <row r="1437" spans="1:28" ht="14.4" hidden="1">
      <c r="A1437" s="3">
        <f>LOOKUP(D1437,'AMFI DATA_2023H2'!F:L,'AMFI DATA_2023H2'!L:L)</f>
        <v>1633</v>
      </c>
      <c r="B1437" s="4" t="s">
        <v>4214</v>
      </c>
      <c r="C1437" s="4" t="s">
        <v>4215</v>
      </c>
      <c r="D1437" s="5" t="s">
        <v>4216</v>
      </c>
      <c r="E1437" s="5">
        <v>317.37</v>
      </c>
      <c r="F1437" s="6">
        <f>LOOKUP(D1437,'AMFI DATA_2023H2'!F:J,'AMFI DATA_2023H2'!J:J)</f>
        <v>383.13414999999998</v>
      </c>
      <c r="G1437" s="7">
        <f t="shared" si="12"/>
        <v>0.37288727721086734</v>
      </c>
      <c r="H1437" s="9">
        <v>526</v>
      </c>
      <c r="I1437" s="9">
        <v>532</v>
      </c>
      <c r="J1437" s="9">
        <v>481</v>
      </c>
      <c r="K1437" s="9">
        <v>439</v>
      </c>
      <c r="L1437" s="9">
        <v>443</v>
      </c>
      <c r="M1437" s="9">
        <v>416</v>
      </c>
      <c r="N1437" s="9">
        <v>402</v>
      </c>
      <c r="O1437" s="9">
        <v>405</v>
      </c>
      <c r="P1437" s="9">
        <v>400</v>
      </c>
      <c r="Q1437" s="9">
        <v>393</v>
      </c>
      <c r="R1437" s="7">
        <f t="shared" si="13"/>
        <v>0.15808000931266508</v>
      </c>
      <c r="S1437" s="9"/>
      <c r="T1437" s="9"/>
      <c r="U1437" s="9"/>
      <c r="V1437" s="9"/>
      <c r="W1437" s="9"/>
      <c r="X1437" s="9"/>
      <c r="Y1437" s="9"/>
      <c r="Z1437" s="9"/>
      <c r="AA1437" s="9"/>
      <c r="AB1437" s="9"/>
    </row>
    <row r="1438" spans="1:28" ht="14.4" hidden="1">
      <c r="A1438" s="3">
        <f>LOOKUP(D1438,'AMFI DATA_2023H2'!F:L,'AMFI DATA_2023H2'!L:L)</f>
        <v>1018</v>
      </c>
      <c r="B1438" s="4" t="s">
        <v>2915</v>
      </c>
      <c r="C1438" s="4" t="s">
        <v>2916</v>
      </c>
      <c r="D1438" s="5" t="s">
        <v>2917</v>
      </c>
      <c r="E1438" s="5">
        <v>1415.27</v>
      </c>
      <c r="F1438" s="6">
        <f>LOOKUP(D1438,'AMFI DATA_2023H2'!F:J,'AMFI DATA_2023H2'!J:J)</f>
        <v>1629.8710999999998</v>
      </c>
      <c r="G1438" s="7">
        <f t="shared" si="12"/>
        <v>0.41913062940989643</v>
      </c>
      <c r="H1438" s="8">
        <v>2313</v>
      </c>
      <c r="I1438" s="8">
        <v>2319</v>
      </c>
      <c r="J1438" s="8">
        <v>2138</v>
      </c>
      <c r="K1438" s="8">
        <v>2109</v>
      </c>
      <c r="L1438" s="8">
        <v>2112</v>
      </c>
      <c r="M1438" s="8">
        <v>2077</v>
      </c>
      <c r="N1438" s="8">
        <v>2081</v>
      </c>
      <c r="O1438" s="8">
        <v>2050</v>
      </c>
      <c r="P1438" s="8">
        <v>2084</v>
      </c>
      <c r="Q1438" s="8">
        <v>2147</v>
      </c>
      <c r="R1438" s="7">
        <f t="shared" si="13"/>
        <v>0.31482790264825256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</row>
    <row r="1439" spans="1:28" ht="14.4" hidden="1">
      <c r="A1439" s="3">
        <f>LOOKUP(D1439,'AMFI DATA_2023H2'!F:L,'AMFI DATA_2023H2'!L:L)</f>
        <v>2144</v>
      </c>
      <c r="B1439" s="4" t="s">
        <v>4943</v>
      </c>
      <c r="C1439" s="4" t="s">
        <v>4944</v>
      </c>
      <c r="D1439" s="5" t="s">
        <v>4945</v>
      </c>
      <c r="E1439" s="5">
        <v>132.05000000000001</v>
      </c>
      <c r="F1439" s="6">
        <f>LOOKUP(D1439,'AMFI DATA_2023H2'!F:J,'AMFI DATA_2023H2'!J:J)</f>
        <v>147.15969999999999</v>
      </c>
      <c r="G1439" s="7">
        <f t="shared" si="12"/>
        <v>3.9686816431400818E-2</v>
      </c>
      <c r="H1439" s="9">
        <v>153</v>
      </c>
      <c r="I1439" s="9">
        <v>153</v>
      </c>
      <c r="J1439" s="9">
        <v>152</v>
      </c>
      <c r="K1439" s="9">
        <v>156</v>
      </c>
      <c r="L1439" s="9">
        <v>155</v>
      </c>
      <c r="M1439" s="9">
        <v>153</v>
      </c>
      <c r="N1439" s="9">
        <v>155</v>
      </c>
      <c r="O1439" s="9">
        <v>157</v>
      </c>
      <c r="P1439" s="9">
        <v>160</v>
      </c>
      <c r="Q1439" s="9">
        <v>157</v>
      </c>
      <c r="R1439" s="7">
        <f t="shared" si="13"/>
        <v>5.3957027637322019E-2</v>
      </c>
      <c r="S1439" s="9"/>
      <c r="T1439" s="9"/>
      <c r="U1439" s="9"/>
      <c r="V1439" s="9"/>
      <c r="W1439" s="9"/>
      <c r="X1439" s="9"/>
      <c r="Y1439" s="9"/>
      <c r="Z1439" s="9"/>
      <c r="AA1439" s="9"/>
      <c r="AB1439" s="9"/>
    </row>
    <row r="1440" spans="1:28" ht="14.4" hidden="1">
      <c r="A1440" s="3">
        <f>LOOKUP(D1440,'AMFI DATA_2023H2'!F:L,'AMFI DATA_2023H2'!L:L)</f>
        <v>1418</v>
      </c>
      <c r="B1440" s="4" t="s">
        <v>3809</v>
      </c>
      <c r="C1440" s="4" t="s">
        <v>3810</v>
      </c>
      <c r="D1440" s="5" t="s">
        <v>3811</v>
      </c>
      <c r="E1440" s="5">
        <v>479.42</v>
      </c>
      <c r="F1440" s="6">
        <f>LOOKUP(D1440,'AMFI DATA_2023H2'!F:J,'AMFI DATA_2023H2'!J:J)</f>
        <v>623.48790000000008</v>
      </c>
      <c r="G1440" s="7">
        <f t="shared" si="12"/>
        <v>0.22857235882203963</v>
      </c>
      <c r="H1440" s="9">
        <v>766</v>
      </c>
      <c r="I1440" s="9">
        <v>777</v>
      </c>
      <c r="J1440" s="9">
        <v>774</v>
      </c>
      <c r="K1440" s="9">
        <v>760</v>
      </c>
      <c r="L1440" s="9">
        <v>751</v>
      </c>
      <c r="M1440" s="9">
        <v>701</v>
      </c>
      <c r="N1440" s="9">
        <v>712</v>
      </c>
      <c r="O1440" s="9">
        <v>721</v>
      </c>
      <c r="P1440" s="9">
        <v>730</v>
      </c>
      <c r="Q1440" s="9">
        <v>697</v>
      </c>
      <c r="R1440" s="7">
        <f t="shared" si="13"/>
        <v>0.18510720095770883</v>
      </c>
      <c r="S1440" s="9"/>
      <c r="T1440" s="9"/>
      <c r="U1440" s="9"/>
      <c r="V1440" s="9"/>
      <c r="W1440" s="9"/>
      <c r="X1440" s="9"/>
      <c r="Y1440" s="9"/>
      <c r="Z1440" s="9"/>
      <c r="AA1440" s="9"/>
      <c r="AB1440" s="9"/>
    </row>
    <row r="1441" spans="1:28" ht="14.4" hidden="1">
      <c r="A1441" s="3">
        <f>LOOKUP(D1441,'AMFI DATA_2023H2'!F:L,'AMFI DATA_2023H2'!L:L)</f>
        <v>2634</v>
      </c>
      <c r="B1441" s="4" t="s">
        <v>5401</v>
      </c>
      <c r="C1441" s="4" t="s">
        <v>5402</v>
      </c>
      <c r="D1441" s="5" t="s">
        <v>5403</v>
      </c>
      <c r="E1441" s="5">
        <v>58.98</v>
      </c>
      <c r="F1441" s="6">
        <f>LOOKUP(D1441,'AMFI DATA_2023H2'!F:J,'AMFI DATA_2023H2'!J:J)</f>
        <v>64.51755</v>
      </c>
      <c r="G1441" s="7">
        <f t="shared" si="12"/>
        <v>0.18417391856944354</v>
      </c>
      <c r="H1441" s="9">
        <v>76.400000000000006</v>
      </c>
      <c r="I1441" s="9">
        <v>75.5</v>
      </c>
      <c r="J1441" s="9">
        <v>76.099999999999994</v>
      </c>
      <c r="K1441" s="9">
        <v>74.7</v>
      </c>
      <c r="L1441" s="9">
        <v>74.5</v>
      </c>
      <c r="M1441" s="9">
        <v>75.5</v>
      </c>
      <c r="N1441" s="9">
        <v>74.2</v>
      </c>
      <c r="O1441" s="9">
        <v>76.400000000000006</v>
      </c>
      <c r="P1441" s="9">
        <v>75.3</v>
      </c>
      <c r="Q1441" s="9">
        <v>75.5</v>
      </c>
      <c r="R1441" s="7">
        <f t="shared" si="13"/>
        <v>0.16882925653562486</v>
      </c>
      <c r="S1441" s="9"/>
      <c r="T1441" s="9"/>
      <c r="U1441" s="9"/>
      <c r="V1441" s="9"/>
      <c r="W1441" s="9"/>
      <c r="X1441" s="9"/>
      <c r="Y1441" s="9"/>
      <c r="Z1441" s="9"/>
      <c r="AA1441" s="9"/>
      <c r="AB1441" s="9"/>
    </row>
    <row r="1442" spans="1:28" ht="14.4" hidden="1">
      <c r="A1442" s="3">
        <f>LOOKUP(D1442,'AMFI DATA_2023H2'!F:L,'AMFI DATA_2023H2'!L:L)</f>
        <v>733</v>
      </c>
      <c r="B1442" s="4" t="s">
        <v>2144</v>
      </c>
      <c r="C1442" s="4" t="s">
        <v>2145</v>
      </c>
      <c r="D1442" s="5" t="s">
        <v>2146</v>
      </c>
      <c r="E1442" s="5">
        <v>58.98</v>
      </c>
      <c r="F1442" s="6">
        <f>LOOKUP(D1442,'AMFI DATA_2023H2'!F:J,'AMFI DATA_2023H2'!J:J)</f>
        <v>3493.3182999999999</v>
      </c>
      <c r="G1442" s="7">
        <f t="shared" si="12"/>
        <v>0.1035352833436336</v>
      </c>
      <c r="H1442" s="8">
        <v>3855</v>
      </c>
      <c r="I1442" s="8">
        <v>3956</v>
      </c>
      <c r="J1442" s="8">
        <v>3688</v>
      </c>
      <c r="K1442" s="8">
        <v>3745</v>
      </c>
      <c r="L1442" s="8">
        <v>3771</v>
      </c>
      <c r="M1442" s="8">
        <v>3637</v>
      </c>
      <c r="N1442" s="8">
        <v>3734</v>
      </c>
      <c r="O1442" s="8">
        <v>3812</v>
      </c>
      <c r="P1442" s="8">
        <v>3712</v>
      </c>
      <c r="Q1442" s="8">
        <v>3784</v>
      </c>
      <c r="R1442" s="7">
        <f t="shared" si="13"/>
        <v>7.9031361098701014E-2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</row>
    <row r="1443" spans="1:28" ht="14.4" hidden="1">
      <c r="A1443" s="3">
        <f>LOOKUP(D1443,'AMFI DATA_2023H2'!F:L,'AMFI DATA_2023H2'!L:L)</f>
        <v>2564</v>
      </c>
      <c r="B1443" s="4" t="s">
        <v>5347</v>
      </c>
      <c r="C1443" s="4" t="s">
        <v>5348</v>
      </c>
      <c r="D1443" s="5" t="s">
        <v>5349</v>
      </c>
      <c r="E1443" s="5">
        <v>58.98</v>
      </c>
      <c r="F1443" s="6">
        <f>LOOKUP(D1443,'AMFI DATA_2023H2'!F:J,'AMFI DATA_2023H2'!J:J)</f>
        <v>73.118049999999997</v>
      </c>
      <c r="G1443" s="7">
        <f t="shared" si="12"/>
        <v>0.47706346107424924</v>
      </c>
      <c r="H1443" s="9">
        <v>108</v>
      </c>
      <c r="I1443" s="9">
        <v>112</v>
      </c>
      <c r="J1443" s="9">
        <v>120</v>
      </c>
      <c r="K1443" s="9">
        <v>112</v>
      </c>
      <c r="L1443" s="9">
        <v>109</v>
      </c>
      <c r="M1443" s="9">
        <v>103</v>
      </c>
      <c r="N1443" s="9">
        <v>98.5</v>
      </c>
      <c r="O1443" s="9">
        <v>92.8</v>
      </c>
      <c r="P1443" s="9">
        <v>87.8</v>
      </c>
      <c r="Q1443" s="9">
        <v>84.5</v>
      </c>
      <c r="R1443" s="7">
        <f t="shared" si="13"/>
        <v>0.40539853018509109</v>
      </c>
      <c r="S1443" s="9"/>
      <c r="T1443" s="9"/>
      <c r="U1443" s="9"/>
      <c r="V1443" s="9"/>
      <c r="W1443" s="9"/>
      <c r="X1443" s="9"/>
      <c r="Y1443" s="9"/>
      <c r="Z1443" s="9"/>
      <c r="AA1443" s="9"/>
      <c r="AB1443" s="9"/>
    </row>
    <row r="1444" spans="1:28" ht="14.4" hidden="1">
      <c r="A1444" s="3">
        <f>LOOKUP(D1444,'AMFI DATA_2023H2'!F:L,'AMFI DATA_2023H2'!L:L)</f>
        <v>102</v>
      </c>
      <c r="B1444" s="4" t="s">
        <v>318</v>
      </c>
      <c r="C1444" s="4" t="s">
        <v>319</v>
      </c>
      <c r="D1444" s="5" t="s">
        <v>320</v>
      </c>
      <c r="E1444" s="5">
        <v>51915.81</v>
      </c>
      <c r="F1444" s="6">
        <f>LOOKUP(D1444,'AMFI DATA_2023H2'!F:J,'AMFI DATA_2023H2'!J:J)</f>
        <v>64251.791599999997</v>
      </c>
      <c r="G1444" s="7">
        <f t="shared" si="12"/>
        <v>9.738574200318495E-2</v>
      </c>
      <c r="H1444" s="8">
        <v>70509</v>
      </c>
      <c r="I1444" s="8">
        <v>70102</v>
      </c>
      <c r="J1444" s="8">
        <v>68984</v>
      </c>
      <c r="K1444" s="8">
        <v>71152</v>
      </c>
      <c r="L1444" s="8">
        <v>71661</v>
      </c>
      <c r="M1444" s="8">
        <v>69119</v>
      </c>
      <c r="N1444" s="8">
        <v>66138</v>
      </c>
      <c r="O1444" s="8">
        <v>65284</v>
      </c>
      <c r="P1444" s="8">
        <v>65128</v>
      </c>
      <c r="Q1444" s="8">
        <v>64240</v>
      </c>
      <c r="R1444" s="7">
        <f t="shared" si="13"/>
        <v>6.1942372358687603E-2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</row>
    <row r="1445" spans="1:28" ht="14.4" hidden="1">
      <c r="A1445" s="3">
        <f>LOOKUP(D1445,'AMFI DATA_2023H2'!F:L,'AMFI DATA_2023H2'!L:L)</f>
        <v>3963</v>
      </c>
      <c r="B1445" s="4" t="s">
        <v>5746</v>
      </c>
      <c r="C1445" s="4" t="s">
        <v>5747</v>
      </c>
      <c r="D1445" s="5" t="s">
        <v>5748</v>
      </c>
      <c r="E1445" s="5">
        <v>10.91</v>
      </c>
      <c r="F1445" s="6">
        <f>LOOKUP(D1445,'AMFI DATA_2023H2'!F:J,'AMFI DATA_2023H2'!J:J)</f>
        <v>8.9621999999999993</v>
      </c>
      <c r="G1445" s="7">
        <f t="shared" si="12"/>
        <v>-1.3635044966637588E-2</v>
      </c>
      <c r="H1445" s="9">
        <v>8.84</v>
      </c>
      <c r="I1445" s="9">
        <v>8.56</v>
      </c>
      <c r="J1445" s="9">
        <v>8.23</v>
      </c>
      <c r="K1445" s="9">
        <v>8.56</v>
      </c>
      <c r="L1445" s="9">
        <v>8.25</v>
      </c>
      <c r="M1445" s="9">
        <v>8.3699999999999992</v>
      </c>
      <c r="N1445" s="9">
        <v>8.36</v>
      </c>
      <c r="O1445" s="9">
        <v>8.11</v>
      </c>
      <c r="P1445" s="9">
        <v>8.11</v>
      </c>
      <c r="Q1445" s="9">
        <v>7.85</v>
      </c>
      <c r="R1445" s="7">
        <f t="shared" si="13"/>
        <v>-7.1210193925598575E-2</v>
      </c>
      <c r="S1445" s="9"/>
      <c r="T1445" s="9"/>
      <c r="U1445" s="9"/>
      <c r="V1445" s="9"/>
      <c r="W1445" s="9"/>
      <c r="X1445" s="9"/>
      <c r="Y1445" s="9"/>
      <c r="Z1445" s="9"/>
      <c r="AA1445" s="9"/>
      <c r="AB1445" s="9"/>
    </row>
    <row r="1446" spans="1:28" ht="14.4" hidden="1">
      <c r="A1446" s="3">
        <f>LOOKUP(D1446,'AMFI DATA_2023H2'!F:L,'AMFI DATA_2023H2'!L:L)</f>
        <v>860</v>
      </c>
      <c r="B1446" s="4" t="s">
        <v>2492</v>
      </c>
      <c r="C1446" s="4" t="s">
        <v>2493</v>
      </c>
      <c r="D1446" s="5" t="s">
        <v>2494</v>
      </c>
      <c r="E1446" s="5">
        <v>1428.39</v>
      </c>
      <c r="F1446" s="6">
        <f>LOOKUP(D1446,'AMFI DATA_2023H2'!F:J,'AMFI DATA_2023H2'!J:J)</f>
        <v>2462.6653500000002</v>
      </c>
      <c r="G1446" s="7">
        <f t="shared" si="12"/>
        <v>0.19707698002897533</v>
      </c>
      <c r="H1446" s="8">
        <v>2948</v>
      </c>
      <c r="I1446" s="8">
        <v>2923</v>
      </c>
      <c r="J1446" s="8">
        <v>2937</v>
      </c>
      <c r="K1446" s="8">
        <v>2945</v>
      </c>
      <c r="L1446" s="8">
        <v>2976</v>
      </c>
      <c r="M1446" s="8">
        <v>2973</v>
      </c>
      <c r="N1446" s="8">
        <v>3014</v>
      </c>
      <c r="O1446" s="8">
        <v>2909</v>
      </c>
      <c r="P1446" s="8">
        <v>2966</v>
      </c>
      <c r="Q1446" s="8">
        <v>2942</v>
      </c>
      <c r="R1446" s="7">
        <f t="shared" si="13"/>
        <v>0.19922911978275892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</row>
    <row r="1447" spans="1:28" ht="14.4" hidden="1">
      <c r="A1447" s="3">
        <f>LOOKUP(D1447,'AMFI DATA_2023H2'!F:L,'AMFI DATA_2023H2'!L:L)</f>
        <v>648</v>
      </c>
      <c r="B1447" s="4" t="s">
        <v>1902</v>
      </c>
      <c r="C1447" s="4" t="s">
        <v>1903</v>
      </c>
      <c r="D1447" s="5" t="s">
        <v>1904</v>
      </c>
      <c r="E1447" s="5">
        <v>1428.39</v>
      </c>
      <c r="F1447" s="6">
        <f>LOOKUP(D1447,'AMFI DATA_2023H2'!F:J,'AMFI DATA_2023H2'!J:J)</f>
        <v>4452.8895499999999</v>
      </c>
      <c r="G1447" s="7">
        <f t="shared" si="12"/>
        <v>0.65690164041908483</v>
      </c>
      <c r="H1447" s="8">
        <v>7378</v>
      </c>
      <c r="I1447" s="8">
        <v>7404</v>
      </c>
      <c r="J1447" s="8">
        <v>7518</v>
      </c>
      <c r="K1447" s="8">
        <v>7309</v>
      </c>
      <c r="L1447" s="8">
        <v>7430</v>
      </c>
      <c r="M1447" s="8">
        <v>7850</v>
      </c>
      <c r="N1447" s="8">
        <v>7766</v>
      </c>
      <c r="O1447" s="8">
        <v>7308</v>
      </c>
      <c r="P1447" s="8">
        <v>7000</v>
      </c>
      <c r="Q1447" s="8">
        <v>6977</v>
      </c>
      <c r="R1447" s="7">
        <f t="shared" si="13"/>
        <v>0.66049481285696832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</row>
    <row r="1448" spans="1:28" ht="14.4" hidden="1">
      <c r="A1448" s="3">
        <f>LOOKUP(D1448,'AMFI DATA_2023H2'!F:L,'AMFI DATA_2023H2'!L:L)</f>
        <v>1011</v>
      </c>
      <c r="B1448" s="4" t="s">
        <v>2894</v>
      </c>
      <c r="C1448" s="4" t="s">
        <v>2895</v>
      </c>
      <c r="D1448" s="5" t="s">
        <v>2896</v>
      </c>
      <c r="E1448" s="5">
        <v>1077.18</v>
      </c>
      <c r="F1448" s="6">
        <f>LOOKUP(D1448,'AMFI DATA_2023H2'!F:J,'AMFI DATA_2023H2'!J:J)</f>
        <v>1659.9387999999999</v>
      </c>
      <c r="G1448" s="7">
        <f t="shared" si="12"/>
        <v>0.36993002392618335</v>
      </c>
      <c r="H1448" s="8">
        <v>2274</v>
      </c>
      <c r="I1448" s="8">
        <v>2339</v>
      </c>
      <c r="J1448" s="8">
        <v>2191</v>
      </c>
      <c r="K1448" s="8">
        <v>2130</v>
      </c>
      <c r="L1448" s="8">
        <v>2145</v>
      </c>
      <c r="M1448" s="8">
        <v>2161</v>
      </c>
      <c r="N1448" s="8">
        <v>2170</v>
      </c>
      <c r="O1448" s="8">
        <v>2244</v>
      </c>
      <c r="P1448" s="8">
        <v>2175</v>
      </c>
      <c r="Q1448" s="8">
        <v>2281</v>
      </c>
      <c r="R1448" s="7">
        <f t="shared" si="13"/>
        <v>0.33197681745857155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</row>
    <row r="1449" spans="1:28" ht="14.4" hidden="1">
      <c r="A1449" s="3">
        <f>LOOKUP(D1449,'AMFI DATA_2023H2'!F:L,'AMFI DATA_2023H2'!L:L)</f>
        <v>799</v>
      </c>
      <c r="B1449" s="4" t="s">
        <v>2324</v>
      </c>
      <c r="C1449" s="4" t="s">
        <v>2325</v>
      </c>
      <c r="D1449" s="5" t="s">
        <v>2326</v>
      </c>
      <c r="E1449" s="5">
        <v>1704.76</v>
      </c>
      <c r="F1449" s="6">
        <f>LOOKUP(D1449,'AMFI DATA_2023H2'!F:J,'AMFI DATA_2023H2'!J:J)</f>
        <v>2870.1725999999999</v>
      </c>
      <c r="G1449" s="7">
        <f t="shared" si="12"/>
        <v>0.15324074935423759</v>
      </c>
      <c r="H1449" s="8">
        <v>3310</v>
      </c>
      <c r="I1449" s="8">
        <v>3331</v>
      </c>
      <c r="J1449" s="8">
        <v>3335</v>
      </c>
      <c r="K1449" s="8">
        <v>3268</v>
      </c>
      <c r="L1449" s="8">
        <v>3294</v>
      </c>
      <c r="M1449" s="8">
        <v>3265</v>
      </c>
      <c r="N1449" s="8">
        <v>3248</v>
      </c>
      <c r="O1449" s="8">
        <v>3294</v>
      </c>
      <c r="P1449" s="8">
        <v>3318</v>
      </c>
      <c r="Q1449" s="8">
        <v>3385</v>
      </c>
      <c r="R1449" s="7">
        <f t="shared" si="13"/>
        <v>0.151429011621113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</row>
    <row r="1450" spans="1:28" ht="14.4" hidden="1">
      <c r="A1450" s="3">
        <f>LOOKUP(D1450,'AMFI DATA_2023H2'!F:L,'AMFI DATA_2023H2'!L:L)</f>
        <v>785</v>
      </c>
      <c r="B1450" s="4" t="s">
        <v>2285</v>
      </c>
      <c r="C1450" s="4" t="s">
        <v>2286</v>
      </c>
      <c r="D1450" s="5" t="s">
        <v>2287</v>
      </c>
      <c r="E1450" s="5">
        <v>1657.02</v>
      </c>
      <c r="F1450" s="6">
        <f>LOOKUP(D1450,'AMFI DATA_2023H2'!F:J,'AMFI DATA_2023H2'!J:J)</f>
        <v>3015.0473499999998</v>
      </c>
      <c r="G1450" s="7">
        <f t="shared" si="12"/>
        <v>0.19202108053128919</v>
      </c>
      <c r="H1450" s="8">
        <v>3594</v>
      </c>
      <c r="I1450" s="8">
        <v>3634</v>
      </c>
      <c r="J1450" s="8">
        <v>3702</v>
      </c>
      <c r="K1450" s="8">
        <v>3614</v>
      </c>
      <c r="L1450" s="8">
        <v>3572</v>
      </c>
      <c r="M1450" s="8">
        <v>3538</v>
      </c>
      <c r="N1450" s="8">
        <v>3559</v>
      </c>
      <c r="O1450" s="8">
        <v>3646</v>
      </c>
      <c r="P1450" s="8">
        <v>3574</v>
      </c>
      <c r="Q1450" s="8">
        <v>3618</v>
      </c>
      <c r="R1450" s="7">
        <f t="shared" si="13"/>
        <v>0.19570261475329742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</row>
    <row r="1451" spans="1:28" ht="14.4" hidden="1">
      <c r="A1451" s="3">
        <f>LOOKUP(D1451,'AMFI DATA_2023H2'!F:L,'AMFI DATA_2023H2'!L:L)</f>
        <v>2985</v>
      </c>
      <c r="B1451" s="4" t="s">
        <v>5545</v>
      </c>
      <c r="C1451" s="4" t="s">
        <v>5546</v>
      </c>
      <c r="D1451" s="5" t="s">
        <v>5547</v>
      </c>
      <c r="E1451" s="5">
        <v>34.159999999999997</v>
      </c>
      <c r="F1451" s="6">
        <f>LOOKUP(D1451,'AMFI DATA_2023H2'!F:J,'AMFI DATA_2023H2'!J:J)</f>
        <v>39.020800000000001</v>
      </c>
      <c r="G1451" s="7">
        <f t="shared" si="12"/>
        <v>0.60170985730687221</v>
      </c>
      <c r="H1451" s="9">
        <v>62.5</v>
      </c>
      <c r="I1451" s="9">
        <v>65.8</v>
      </c>
      <c r="J1451" s="9">
        <v>63.8</v>
      </c>
      <c r="K1451" s="9">
        <v>70.2</v>
      </c>
      <c r="L1451" s="9">
        <v>58.5</v>
      </c>
      <c r="M1451" s="9">
        <v>48.8</v>
      </c>
      <c r="N1451" s="9">
        <v>42.6</v>
      </c>
      <c r="O1451" s="9">
        <v>42.9</v>
      </c>
      <c r="P1451" s="9">
        <v>44.4</v>
      </c>
      <c r="Q1451" s="9">
        <v>42</v>
      </c>
      <c r="R1451" s="7">
        <f t="shared" si="13"/>
        <v>0.38772142037067403</v>
      </c>
      <c r="S1451" s="9"/>
      <c r="T1451" s="9"/>
      <c r="U1451" s="9"/>
      <c r="V1451" s="9"/>
      <c r="W1451" s="9"/>
      <c r="X1451" s="9"/>
      <c r="Y1451" s="9"/>
      <c r="Z1451" s="9"/>
      <c r="AA1451" s="9"/>
      <c r="AB1451" s="9"/>
    </row>
    <row r="1452" spans="1:28" ht="14.4" hidden="1">
      <c r="A1452" s="3">
        <f>LOOKUP(D1452,'AMFI DATA_2023H2'!F:L,'AMFI DATA_2023H2'!L:L)</f>
        <v>296</v>
      </c>
      <c r="B1452" s="4" t="s">
        <v>897</v>
      </c>
      <c r="C1452" s="4" t="s">
        <v>898</v>
      </c>
      <c r="D1452" s="5" t="s">
        <v>899</v>
      </c>
      <c r="E1452" s="5">
        <v>13789.15</v>
      </c>
      <c r="F1452" s="6">
        <f>LOOKUP(D1452,'AMFI DATA_2023H2'!F:J,'AMFI DATA_2023H2'!J:J)</f>
        <v>17069.872800000001</v>
      </c>
      <c r="G1452" s="7">
        <f t="shared" si="12"/>
        <v>0.13814556368574693</v>
      </c>
      <c r="H1452" s="8">
        <v>19428</v>
      </c>
      <c r="I1452" s="8">
        <v>19255</v>
      </c>
      <c r="J1452" s="8">
        <v>19218</v>
      </c>
      <c r="K1452" s="8">
        <v>19126</v>
      </c>
      <c r="L1452" s="8">
        <v>18673</v>
      </c>
      <c r="M1452" s="8">
        <v>18539</v>
      </c>
      <c r="N1452" s="8">
        <v>18424</v>
      </c>
      <c r="O1452" s="8">
        <v>18426</v>
      </c>
      <c r="P1452" s="8">
        <v>18459</v>
      </c>
      <c r="Q1452" s="8">
        <v>18446</v>
      </c>
      <c r="R1452" s="7">
        <f t="shared" si="13"/>
        <v>0.10132045037851722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</row>
    <row r="1453" spans="1:28" ht="14.4" hidden="1">
      <c r="A1453" s="3">
        <f>LOOKUP(D1453,'AMFI DATA_2023H2'!F:L,'AMFI DATA_2023H2'!L:L)</f>
        <v>620</v>
      </c>
      <c r="B1453" s="4" t="s">
        <v>1830</v>
      </c>
      <c r="C1453" s="4" t="s">
        <v>1831</v>
      </c>
      <c r="D1453" s="5" t="s">
        <v>1832</v>
      </c>
      <c r="E1453" s="5">
        <v>4028</v>
      </c>
      <c r="F1453" s="6">
        <f>LOOKUP(D1453,'AMFI DATA_2023H2'!F:J,'AMFI DATA_2023H2'!J:J)</f>
        <v>4890.8626999999997</v>
      </c>
      <c r="G1453" s="7">
        <f t="shared" si="12"/>
        <v>0.15991806517079299</v>
      </c>
      <c r="H1453" s="8">
        <v>5673</v>
      </c>
      <c r="I1453" s="8">
        <v>5664</v>
      </c>
      <c r="J1453" s="8">
        <v>5604</v>
      </c>
      <c r="K1453" s="8">
        <v>5615</v>
      </c>
      <c r="L1453" s="8">
        <v>5607</v>
      </c>
      <c r="M1453" s="8">
        <v>5460</v>
      </c>
      <c r="N1453" s="8">
        <v>5419</v>
      </c>
      <c r="O1453" s="8">
        <v>5375</v>
      </c>
      <c r="P1453" s="8">
        <v>5332</v>
      </c>
      <c r="Q1453" s="8">
        <v>5314</v>
      </c>
      <c r="R1453" s="7">
        <f t="shared" si="13"/>
        <v>0.12583409875726015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</row>
    <row r="1454" spans="1:28" ht="14.4" hidden="1">
      <c r="A1454" s="3">
        <f>LOOKUP(D1454,'AMFI DATA_2023H2'!F:L,'AMFI DATA_2023H2'!L:L)</f>
        <v>447</v>
      </c>
      <c r="B1454" s="4" t="s">
        <v>1332</v>
      </c>
      <c r="C1454" s="4" t="s">
        <v>1333</v>
      </c>
      <c r="D1454" s="5" t="s">
        <v>1334</v>
      </c>
      <c r="E1454" s="5">
        <v>8099.42</v>
      </c>
      <c r="F1454" s="6">
        <f>LOOKUP(D1454,'AMFI DATA_2023H2'!F:J,'AMFI DATA_2023H2'!J:J)</f>
        <v>8875.9304499999998</v>
      </c>
      <c r="G1454" s="7">
        <f t="shared" si="12"/>
        <v>1.5330173074981746E-2</v>
      </c>
      <c r="H1454" s="8">
        <v>9012</v>
      </c>
      <c r="I1454" s="8">
        <v>9117</v>
      </c>
      <c r="J1454" s="8">
        <v>8965</v>
      </c>
      <c r="K1454" s="8">
        <v>8976</v>
      </c>
      <c r="L1454" s="8">
        <v>8973</v>
      </c>
      <c r="M1454" s="8">
        <v>9042</v>
      </c>
      <c r="N1454" s="8">
        <v>8987</v>
      </c>
      <c r="O1454" s="8">
        <v>8956</v>
      </c>
      <c r="P1454" s="8">
        <v>9154</v>
      </c>
      <c r="Q1454" s="8">
        <v>9017</v>
      </c>
      <c r="R1454" s="7">
        <f t="shared" si="13"/>
        <v>1.6220220607970237E-2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</row>
    <row r="1455" spans="1:28" ht="14.4" hidden="1">
      <c r="A1455" s="3">
        <f>LOOKUP(D1455,'AMFI DATA_2023H2'!F:L,'AMFI DATA_2023H2'!L:L)</f>
        <v>490</v>
      </c>
      <c r="B1455" s="4" t="s">
        <v>1455</v>
      </c>
      <c r="C1455" s="4" t="s">
        <v>1456</v>
      </c>
      <c r="D1455" s="5" t="s">
        <v>1457</v>
      </c>
      <c r="E1455" s="5">
        <v>4039.44</v>
      </c>
      <c r="F1455" s="6">
        <f>LOOKUP(D1455,'AMFI DATA_2023H2'!F:J,'AMFI DATA_2023H2'!J:J)</f>
        <v>7517.7687999999998</v>
      </c>
      <c r="G1455" s="7">
        <f t="shared" si="12"/>
        <v>0.17721098313105887</v>
      </c>
      <c r="H1455" s="8">
        <v>8850</v>
      </c>
      <c r="I1455" s="8">
        <v>8882</v>
      </c>
      <c r="J1455" s="8">
        <v>8820</v>
      </c>
      <c r="K1455" s="8">
        <v>8815</v>
      </c>
      <c r="L1455" s="8">
        <v>8950</v>
      </c>
      <c r="M1455" s="8">
        <v>8915</v>
      </c>
      <c r="N1455" s="8">
        <v>8758</v>
      </c>
      <c r="O1455" s="8">
        <v>8827</v>
      </c>
      <c r="P1455" s="8">
        <v>8665</v>
      </c>
      <c r="Q1455" s="8">
        <v>8827</v>
      </c>
      <c r="R1455" s="7">
        <f t="shared" si="13"/>
        <v>0.17467033569853863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</row>
    <row r="1456" spans="1:28" ht="14.4" hidden="1">
      <c r="A1456" s="3">
        <f>LOOKUP(D1456,'AMFI DATA_2023H2'!F:L,'AMFI DATA_2023H2'!L:L)</f>
        <v>504</v>
      </c>
      <c r="B1456" s="4" t="s">
        <v>1497</v>
      </c>
      <c r="C1456" s="4" t="s">
        <v>1498</v>
      </c>
      <c r="D1456" s="5" t="s">
        <v>1499</v>
      </c>
      <c r="E1456" s="5">
        <v>6502.97</v>
      </c>
      <c r="F1456" s="6">
        <f>LOOKUP(D1456,'AMFI DATA_2023H2'!F:J,'AMFI DATA_2023H2'!J:J)</f>
        <v>7229.5475999999999</v>
      </c>
      <c r="G1456" s="7">
        <f t="shared" si="12"/>
        <v>-1.4589571275525071E-3</v>
      </c>
      <c r="H1456" s="8">
        <v>7219</v>
      </c>
      <c r="I1456" s="8">
        <v>7228</v>
      </c>
      <c r="J1456" s="8">
        <v>7236</v>
      </c>
      <c r="K1456" s="8">
        <v>7202</v>
      </c>
      <c r="L1456" s="8">
        <v>7156</v>
      </c>
      <c r="M1456" s="8">
        <v>7157</v>
      </c>
      <c r="N1456" s="8">
        <v>7197</v>
      </c>
      <c r="O1456" s="8">
        <v>7103</v>
      </c>
      <c r="P1456" s="8">
        <v>7126</v>
      </c>
      <c r="Q1456" s="8">
        <v>6743</v>
      </c>
      <c r="R1456" s="7">
        <f t="shared" si="13"/>
        <v>-1.2842795308519728E-2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</row>
    <row r="1457" spans="1:28" ht="14.4" hidden="1">
      <c r="A1457" s="3">
        <f>LOOKUP(D1457,'AMFI DATA_2023H2'!F:L,'AMFI DATA_2023H2'!L:L)</f>
        <v>1599</v>
      </c>
      <c r="B1457" s="4" t="s">
        <v>4142</v>
      </c>
      <c r="C1457" s="4" t="s">
        <v>4143</v>
      </c>
      <c r="D1457" s="5" t="s">
        <v>4144</v>
      </c>
      <c r="E1457" s="5">
        <v>331.54</v>
      </c>
      <c r="F1457" s="6">
        <f>LOOKUP(D1457,'AMFI DATA_2023H2'!F:J,'AMFI DATA_2023H2'!J:J)</f>
        <v>413.85</v>
      </c>
      <c r="G1457" s="7">
        <f t="shared" si="12"/>
        <v>0.11151383351455846</v>
      </c>
      <c r="H1457" s="9">
        <v>460</v>
      </c>
      <c r="I1457" s="9">
        <v>465</v>
      </c>
      <c r="J1457" s="9">
        <v>463</v>
      </c>
      <c r="K1457" s="9">
        <v>469</v>
      </c>
      <c r="L1457" s="9">
        <v>477</v>
      </c>
      <c r="M1457" s="9">
        <v>475</v>
      </c>
      <c r="N1457" s="9">
        <v>470</v>
      </c>
      <c r="O1457" s="9">
        <v>441</v>
      </c>
      <c r="P1457" s="9">
        <v>444</v>
      </c>
      <c r="Q1457" s="9">
        <v>448</v>
      </c>
      <c r="R1457" s="7">
        <f t="shared" si="13"/>
        <v>0.11441343481937882</v>
      </c>
      <c r="S1457" s="9"/>
      <c r="T1457" s="9"/>
      <c r="U1457" s="9"/>
      <c r="V1457" s="9"/>
      <c r="W1457" s="9"/>
      <c r="X1457" s="9"/>
      <c r="Y1457" s="9"/>
      <c r="Z1457" s="9"/>
      <c r="AA1457" s="9"/>
      <c r="AB1457" s="9"/>
    </row>
    <row r="1458" spans="1:28" ht="14.4" hidden="1">
      <c r="A1458" s="3">
        <f>LOOKUP(D1458,'AMFI DATA_2023H2'!F:L,'AMFI DATA_2023H2'!L:L)</f>
        <v>1692</v>
      </c>
      <c r="B1458" s="4" t="s">
        <v>4325</v>
      </c>
      <c r="C1458" s="4" t="s">
        <v>4326</v>
      </c>
      <c r="D1458" s="5" t="s">
        <v>4327</v>
      </c>
      <c r="E1458" s="5">
        <v>240.13</v>
      </c>
      <c r="F1458" s="6">
        <f>LOOKUP(D1458,'AMFI DATA_2023H2'!F:J,'AMFI DATA_2023H2'!J:J)</f>
        <v>334.66364999999996</v>
      </c>
      <c r="G1458" s="7">
        <f t="shared" si="12"/>
        <v>0.13248032763641948</v>
      </c>
      <c r="H1458" s="9">
        <v>379</v>
      </c>
      <c r="I1458" s="9">
        <v>372</v>
      </c>
      <c r="J1458" s="9">
        <v>392</v>
      </c>
      <c r="K1458" s="9">
        <v>340</v>
      </c>
      <c r="L1458" s="9">
        <v>350</v>
      </c>
      <c r="M1458" s="9">
        <v>345</v>
      </c>
      <c r="N1458" s="9">
        <v>350</v>
      </c>
      <c r="O1458" s="9">
        <v>346</v>
      </c>
      <c r="P1458" s="9">
        <v>316</v>
      </c>
      <c r="Q1458" s="9">
        <v>324</v>
      </c>
      <c r="R1458" s="7">
        <f t="shared" si="13"/>
        <v>5.0009464726748831E-2</v>
      </c>
      <c r="S1458" s="9"/>
      <c r="T1458" s="9"/>
      <c r="U1458" s="9"/>
      <c r="V1458" s="9"/>
      <c r="W1458" s="9"/>
      <c r="X1458" s="9"/>
      <c r="Y1458" s="9"/>
      <c r="Z1458" s="9"/>
      <c r="AA1458" s="9"/>
      <c r="AB1458" s="9"/>
    </row>
    <row r="1459" spans="1:28" ht="14.4" hidden="1">
      <c r="A1459" s="3">
        <f>LOOKUP(D1459,'AMFI DATA_2023H2'!F:L,'AMFI DATA_2023H2'!L:L)</f>
        <v>1589</v>
      </c>
      <c r="B1459" s="4" t="s">
        <v>4127</v>
      </c>
      <c r="C1459" s="4" t="s">
        <v>4128</v>
      </c>
      <c r="D1459" s="5" t="s">
        <v>4129</v>
      </c>
      <c r="E1459" s="5">
        <v>204.18</v>
      </c>
      <c r="F1459" s="6">
        <f>LOOKUP(D1459,'AMFI DATA_2023H2'!F:J,'AMFI DATA_2023H2'!J:J)</f>
        <v>420.1497</v>
      </c>
      <c r="G1459" s="7">
        <f t="shared" si="12"/>
        <v>0.36379961713646347</v>
      </c>
      <c r="H1459" s="9">
        <v>573</v>
      </c>
      <c r="I1459" s="9">
        <v>587</v>
      </c>
      <c r="J1459" s="9">
        <v>575</v>
      </c>
      <c r="K1459" s="9">
        <v>592</v>
      </c>
      <c r="L1459" s="9">
        <v>575</v>
      </c>
      <c r="M1459" s="9">
        <v>527</v>
      </c>
      <c r="N1459" s="9">
        <v>516</v>
      </c>
      <c r="O1459" s="9">
        <v>524</v>
      </c>
      <c r="P1459" s="9">
        <v>534</v>
      </c>
      <c r="Q1459" s="9">
        <v>524</v>
      </c>
      <c r="R1459" s="7">
        <f t="shared" si="13"/>
        <v>0.31548350504593969</v>
      </c>
      <c r="S1459" s="9"/>
      <c r="T1459" s="9"/>
      <c r="U1459" s="9"/>
      <c r="V1459" s="9"/>
      <c r="W1459" s="9"/>
      <c r="X1459" s="9"/>
      <c r="Y1459" s="9"/>
      <c r="Z1459" s="9"/>
      <c r="AA1459" s="9"/>
      <c r="AB1459" s="9"/>
    </row>
    <row r="1460" spans="1:28" ht="14.4" hidden="1">
      <c r="A1460" s="3">
        <f>LOOKUP(D1460,'AMFI DATA_2023H2'!F:L,'AMFI DATA_2023H2'!L:L)</f>
        <v>1009</v>
      </c>
      <c r="B1460" s="4" t="s">
        <v>2888</v>
      </c>
      <c r="C1460" s="4" t="s">
        <v>2889</v>
      </c>
      <c r="D1460" s="5" t="s">
        <v>2890</v>
      </c>
      <c r="E1460" s="5">
        <v>1296.68</v>
      </c>
      <c r="F1460" s="6">
        <f>LOOKUP(D1460,'AMFI DATA_2023H2'!F:J,'AMFI DATA_2023H2'!J:J)</f>
        <v>1669.2146499999999</v>
      </c>
      <c r="G1460" s="7">
        <f t="shared" si="12"/>
        <v>0.30420614269111534</v>
      </c>
      <c r="H1460" s="8">
        <v>2177</v>
      </c>
      <c r="I1460" s="8">
        <v>2142</v>
      </c>
      <c r="J1460" s="8">
        <v>2197</v>
      </c>
      <c r="K1460" s="8">
        <v>2189</v>
      </c>
      <c r="L1460" s="8">
        <v>2194</v>
      </c>
      <c r="M1460" s="8">
        <v>2136</v>
      </c>
      <c r="N1460" s="8">
        <v>2075</v>
      </c>
      <c r="O1460" s="8">
        <v>2031</v>
      </c>
      <c r="P1460" s="8">
        <v>2063</v>
      </c>
      <c r="Q1460" s="8">
        <v>1913</v>
      </c>
      <c r="R1460" s="7">
        <f t="shared" si="13"/>
        <v>0.26508594925164353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</row>
    <row r="1461" spans="1:28" ht="14.4" hidden="1">
      <c r="A1461" s="3">
        <f>LOOKUP(D1461,'AMFI DATA_2023H2'!F:L,'AMFI DATA_2023H2'!L:L)</f>
        <v>1198</v>
      </c>
      <c r="B1461" s="4" t="s">
        <v>3344</v>
      </c>
      <c r="C1461" s="4" t="s">
        <v>3345</v>
      </c>
      <c r="D1461" s="5" t="s">
        <v>3346</v>
      </c>
      <c r="E1461" s="5">
        <v>833.57</v>
      </c>
      <c r="F1461" s="6">
        <f>LOOKUP(D1461,'AMFI DATA_2023H2'!F:J,'AMFI DATA_2023H2'!J:J)</f>
        <v>1051.1732</v>
      </c>
      <c r="G1461" s="7">
        <f t="shared" si="12"/>
        <v>0.33660180834138465</v>
      </c>
      <c r="H1461" s="8">
        <v>1405</v>
      </c>
      <c r="I1461" s="8">
        <v>1414</v>
      </c>
      <c r="J1461" s="8">
        <v>1427</v>
      </c>
      <c r="K1461" s="8">
        <v>1434</v>
      </c>
      <c r="L1461" s="8">
        <v>1328</v>
      </c>
      <c r="M1461" s="8">
        <v>1299</v>
      </c>
      <c r="N1461" s="8">
        <v>1303</v>
      </c>
      <c r="O1461" s="8">
        <v>1333</v>
      </c>
      <c r="P1461" s="8">
        <v>1337</v>
      </c>
      <c r="Q1461" s="8">
        <v>1354</v>
      </c>
      <c r="R1461" s="7">
        <f t="shared" si="13"/>
        <v>0.29702697899832309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</row>
    <row r="1462" spans="1:28" ht="14.4" hidden="1">
      <c r="A1462" s="3">
        <f>LOOKUP(D1462,'AMFI DATA_2023H2'!F:L,'AMFI DATA_2023H2'!L:L)</f>
        <v>1144</v>
      </c>
      <c r="B1462" s="4" t="s">
        <v>3215</v>
      </c>
      <c r="C1462" s="4" t="s">
        <v>3216</v>
      </c>
      <c r="D1462" s="5" t="s">
        <v>3217</v>
      </c>
      <c r="E1462" s="5">
        <v>800.25</v>
      </c>
      <c r="F1462" s="6">
        <f>LOOKUP(D1462,'AMFI DATA_2023H2'!F:J,'AMFI DATA_2023H2'!J:J)</f>
        <v>1209.9048499999999</v>
      </c>
      <c r="G1462" s="7">
        <f t="shared" si="12"/>
        <v>0.2472055137228355</v>
      </c>
      <c r="H1462" s="8">
        <v>1509</v>
      </c>
      <c r="I1462" s="8">
        <v>1526</v>
      </c>
      <c r="J1462" s="8">
        <v>1345</v>
      </c>
      <c r="K1462" s="8">
        <v>1354</v>
      </c>
      <c r="L1462" s="8">
        <v>1314</v>
      </c>
      <c r="M1462" s="8">
        <v>1301</v>
      </c>
      <c r="N1462" s="8">
        <v>1264</v>
      </c>
      <c r="O1462" s="8">
        <v>1255</v>
      </c>
      <c r="P1462" s="8">
        <v>1270</v>
      </c>
      <c r="Q1462" s="8">
        <v>1306</v>
      </c>
      <c r="R1462" s="7">
        <f t="shared" si="13"/>
        <v>0.11116175788534122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</row>
    <row r="1463" spans="1:28" ht="14.4" hidden="1">
      <c r="A1463" s="3">
        <f>LOOKUP(D1463,'AMFI DATA_2023H2'!F:L,'AMFI DATA_2023H2'!L:L)</f>
        <v>1127</v>
      </c>
      <c r="B1463" s="4" t="s">
        <v>3176</v>
      </c>
      <c r="C1463" s="4" t="s">
        <v>3177</v>
      </c>
      <c r="D1463" s="5" t="s">
        <v>3178</v>
      </c>
      <c r="E1463" s="5">
        <v>1180.4000000000001</v>
      </c>
      <c r="F1463" s="6">
        <f>LOOKUP(D1463,'AMFI DATA_2023H2'!F:J,'AMFI DATA_2023H2'!J:J)</f>
        <v>1252.9853000000001</v>
      </c>
      <c r="G1463" s="7">
        <f t="shared" si="12"/>
        <v>0.12212010787357208</v>
      </c>
      <c r="H1463" s="8">
        <v>1406</v>
      </c>
      <c r="I1463" s="8">
        <v>1411</v>
      </c>
      <c r="J1463" s="8">
        <v>1388</v>
      </c>
      <c r="K1463" s="8">
        <v>1378</v>
      </c>
      <c r="L1463" s="8">
        <v>1396</v>
      </c>
      <c r="M1463" s="8">
        <v>1385</v>
      </c>
      <c r="N1463" s="8">
        <v>1390</v>
      </c>
      <c r="O1463" s="8">
        <v>1420</v>
      </c>
      <c r="P1463" s="8">
        <v>1436</v>
      </c>
      <c r="Q1463" s="8">
        <v>1429</v>
      </c>
      <c r="R1463" s="7">
        <f t="shared" si="13"/>
        <v>0.12044411055740234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</row>
    <row r="1464" spans="1:28" ht="14.4" hidden="1">
      <c r="A1464" s="3">
        <f>LOOKUP(D1464,'AMFI DATA_2023H2'!F:L,'AMFI DATA_2023H2'!L:L)</f>
        <v>893</v>
      </c>
      <c r="B1464" s="4" t="s">
        <v>2588</v>
      </c>
      <c r="C1464" s="4" t="s">
        <v>2589</v>
      </c>
      <c r="D1464" s="5" t="s">
        <v>2590</v>
      </c>
      <c r="E1464" s="5">
        <v>1256.1300000000001</v>
      </c>
      <c r="F1464" s="6">
        <f>LOOKUP(D1464,'AMFI DATA_2023H2'!F:J,'AMFI DATA_2023H2'!J:J)</f>
        <v>2173.8579</v>
      </c>
      <c r="G1464" s="7">
        <f t="shared" si="12"/>
        <v>0.3703747609261856</v>
      </c>
      <c r="H1464" s="8">
        <v>2979</v>
      </c>
      <c r="I1464" s="8">
        <v>3004</v>
      </c>
      <c r="J1464" s="8">
        <v>2929</v>
      </c>
      <c r="K1464" s="8">
        <v>2957</v>
      </c>
      <c r="L1464" s="8">
        <v>2713</v>
      </c>
      <c r="M1464" s="8">
        <v>2657</v>
      </c>
      <c r="N1464" s="8">
        <v>2653</v>
      </c>
      <c r="O1464" s="8">
        <v>2707</v>
      </c>
      <c r="P1464" s="8">
        <v>2674</v>
      </c>
      <c r="Q1464" s="8">
        <v>2792</v>
      </c>
      <c r="R1464" s="7">
        <f t="shared" si="13"/>
        <v>0.29102274808302786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</row>
    <row r="1465" spans="1:28" ht="14.4" hidden="1">
      <c r="A1465" s="3">
        <f>LOOKUP(D1465,'AMFI DATA_2023H2'!F:L,'AMFI DATA_2023H2'!L:L)</f>
        <v>884</v>
      </c>
      <c r="B1465" s="4" t="s">
        <v>2564</v>
      </c>
      <c r="C1465" s="4" t="s">
        <v>2565</v>
      </c>
      <c r="D1465" s="5" t="s">
        <v>2566</v>
      </c>
      <c r="E1465" s="5">
        <v>1910.85</v>
      </c>
      <c r="F1465" s="6">
        <f>LOOKUP(D1465,'AMFI DATA_2023H2'!F:J,'AMFI DATA_2023H2'!J:J)</f>
        <v>2241.6749499999996</v>
      </c>
      <c r="G1465" s="7">
        <f t="shared" si="12"/>
        <v>0.10140856951628985</v>
      </c>
      <c r="H1465" s="8">
        <v>2469</v>
      </c>
      <c r="I1465" s="8">
        <v>2515</v>
      </c>
      <c r="J1465" s="8">
        <v>2536</v>
      </c>
      <c r="K1465" s="8">
        <v>2406</v>
      </c>
      <c r="L1465" s="8">
        <v>2405</v>
      </c>
      <c r="M1465" s="8">
        <v>2432</v>
      </c>
      <c r="N1465" s="8">
        <v>2449</v>
      </c>
      <c r="O1465" s="8">
        <v>2485</v>
      </c>
      <c r="P1465" s="8">
        <v>2515</v>
      </c>
      <c r="Q1465" s="8">
        <v>2442</v>
      </c>
      <c r="R1465" s="7">
        <f t="shared" si="13"/>
        <v>9.9802627495123808E-2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</row>
    <row r="1466" spans="1:28" ht="14.4" hidden="1">
      <c r="A1466" s="3">
        <f>LOOKUP(D1466,'AMFI DATA_2023H2'!F:L,'AMFI DATA_2023H2'!L:L)</f>
        <v>1489</v>
      </c>
      <c r="B1466" s="4" t="s">
        <v>3938</v>
      </c>
      <c r="C1466" s="4" t="s">
        <v>3939</v>
      </c>
      <c r="D1466" s="5" t="s">
        <v>3940</v>
      </c>
      <c r="E1466" s="5">
        <v>382.49</v>
      </c>
      <c r="F1466" s="6">
        <f>LOOKUP(D1466,'AMFI DATA_2023H2'!F:J,'AMFI DATA_2023H2'!J:J)</f>
        <v>525.67665</v>
      </c>
      <c r="G1466" s="7">
        <f t="shared" si="12"/>
        <v>0.20035767234477708</v>
      </c>
      <c r="H1466" s="9">
        <v>631</v>
      </c>
      <c r="I1466" s="9">
        <v>637</v>
      </c>
      <c r="J1466" s="9">
        <v>626</v>
      </c>
      <c r="K1466" s="9">
        <v>628</v>
      </c>
      <c r="L1466" s="9">
        <v>636</v>
      </c>
      <c r="M1466" s="9">
        <v>636</v>
      </c>
      <c r="N1466" s="9">
        <v>651</v>
      </c>
      <c r="O1466" s="9">
        <v>653</v>
      </c>
      <c r="P1466" s="9">
        <v>645</v>
      </c>
      <c r="Q1466" s="9">
        <v>651</v>
      </c>
      <c r="R1466" s="7">
        <f t="shared" si="13"/>
        <v>0.21633707717472328</v>
      </c>
      <c r="S1466" s="9"/>
      <c r="T1466" s="9"/>
      <c r="U1466" s="9"/>
      <c r="V1466" s="9"/>
      <c r="W1466" s="9"/>
      <c r="X1466" s="9"/>
      <c r="Y1466" s="9"/>
      <c r="Z1466" s="9"/>
      <c r="AA1466" s="9"/>
      <c r="AB1466" s="9"/>
    </row>
    <row r="1467" spans="1:28" ht="14.4" hidden="1">
      <c r="A1467" s="3">
        <f>LOOKUP(D1467,'AMFI DATA_2023H2'!F:L,'AMFI DATA_2023H2'!L:L)</f>
        <v>434</v>
      </c>
      <c r="B1467" s="4" t="s">
        <v>1296</v>
      </c>
      <c r="C1467" s="4" t="s">
        <v>1297</v>
      </c>
      <c r="D1467" s="5" t="s">
        <v>1298</v>
      </c>
      <c r="E1467" s="5">
        <v>2764.97</v>
      </c>
      <c r="F1467" s="6">
        <f>LOOKUP(D1467,'AMFI DATA_2023H2'!F:J,'AMFI DATA_2023H2'!J:J)</f>
        <v>9249.1631999999991</v>
      </c>
      <c r="G1467" s="7">
        <f t="shared" si="12"/>
        <v>4.1607742417173688E-2</v>
      </c>
      <c r="H1467" s="8">
        <v>9634</v>
      </c>
      <c r="I1467" s="8">
        <v>9670</v>
      </c>
      <c r="J1467" s="8">
        <v>9770</v>
      </c>
      <c r="K1467" s="8">
        <v>9408</v>
      </c>
      <c r="L1467" s="8">
        <v>9504</v>
      </c>
      <c r="M1467" s="8">
        <v>9563</v>
      </c>
      <c r="N1467" s="8">
        <v>9654</v>
      </c>
      <c r="O1467" s="8">
        <v>9627</v>
      </c>
      <c r="P1467" s="8">
        <v>9561</v>
      </c>
      <c r="Q1467" s="8">
        <v>9525</v>
      </c>
      <c r="R1467" s="7">
        <f t="shared" si="13"/>
        <v>3.7023543924492586E-2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</row>
    <row r="1468" spans="1:28" ht="14.4" hidden="1">
      <c r="A1468" s="3">
        <f>LOOKUP(D1468,'AMFI DATA_2023H2'!F:L,'AMFI DATA_2023H2'!L:L)</f>
        <v>82</v>
      </c>
      <c r="B1468" s="4" t="s">
        <v>258</v>
      </c>
      <c r="C1468" s="4" t="s">
        <v>259</v>
      </c>
      <c r="D1468" s="5" t="s">
        <v>260</v>
      </c>
      <c r="E1468" s="5">
        <v>75351.429999999993</v>
      </c>
      <c r="F1468" s="6">
        <f>LOOKUP(D1468,'AMFI DATA_2023H2'!F:J,'AMFI DATA_2023H2'!J:J)</f>
        <v>76027.199649999995</v>
      </c>
      <c r="G1468" s="7">
        <f t="shared" si="12"/>
        <v>-3.5082176672016852E-2</v>
      </c>
      <c r="H1468" s="8">
        <v>73360</v>
      </c>
      <c r="I1468" s="8">
        <v>73218</v>
      </c>
      <c r="J1468" s="8">
        <v>73175</v>
      </c>
      <c r="K1468" s="8">
        <v>73508</v>
      </c>
      <c r="L1468" s="8">
        <v>72842</v>
      </c>
      <c r="M1468" s="8">
        <v>72243</v>
      </c>
      <c r="N1468" s="8">
        <v>72313</v>
      </c>
      <c r="O1468" s="8">
        <v>72702</v>
      </c>
      <c r="P1468" s="8">
        <v>73054</v>
      </c>
      <c r="Q1468" s="8">
        <v>73501</v>
      </c>
      <c r="R1468" s="7">
        <f t="shared" si="13"/>
        <v>-3.9927810888402138E-2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</row>
    <row r="1469" spans="1:28" ht="14.4" hidden="1">
      <c r="A1469" s="3">
        <f>LOOKUP(D1469,'AMFI DATA_2023H2'!F:L,'AMFI DATA_2023H2'!L:L)</f>
        <v>44</v>
      </c>
      <c r="B1469" s="4" t="s">
        <v>141</v>
      </c>
      <c r="C1469" s="4" t="s">
        <v>142</v>
      </c>
      <c r="D1469" s="5" t="s">
        <v>143</v>
      </c>
      <c r="E1469" s="5">
        <v>118339.34</v>
      </c>
      <c r="F1469" s="6">
        <f>LOOKUP(D1469,'AMFI DATA_2023H2'!F:J,'AMFI DATA_2023H2'!J:J)</f>
        <v>134326.60550000001</v>
      </c>
      <c r="G1469" s="7">
        <f t="shared" si="12"/>
        <v>8.5161048009956497E-2</v>
      </c>
      <c r="H1469" s="8">
        <v>145766</v>
      </c>
      <c r="I1469" s="8">
        <v>143338</v>
      </c>
      <c r="J1469" s="8">
        <v>142326</v>
      </c>
      <c r="K1469" s="8">
        <v>143778</v>
      </c>
      <c r="L1469" s="8">
        <v>142707</v>
      </c>
      <c r="M1469" s="8">
        <v>143152</v>
      </c>
      <c r="N1469" s="8">
        <v>143277</v>
      </c>
      <c r="O1469" s="8">
        <v>142101</v>
      </c>
      <c r="P1469" s="8">
        <v>139553</v>
      </c>
      <c r="Q1469" s="8">
        <v>139603</v>
      </c>
      <c r="R1469" s="7">
        <f t="shared" si="13"/>
        <v>6.1294592157322025E-2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</row>
    <row r="1470" spans="1:28" ht="14.4" hidden="1">
      <c r="A1470" s="3">
        <f>LOOKUP(D1470,'AMFI DATA_2023H2'!F:L,'AMFI DATA_2023H2'!L:L)</f>
        <v>139</v>
      </c>
      <c r="B1470" s="4" t="s">
        <v>426</v>
      </c>
      <c r="C1470" s="4" t="s">
        <v>427</v>
      </c>
      <c r="D1470" s="5" t="s">
        <v>428</v>
      </c>
      <c r="E1470" s="5">
        <v>44754.58</v>
      </c>
      <c r="F1470" s="6">
        <f>LOOKUP(D1470,'AMFI DATA_2023H2'!F:J,'AMFI DATA_2023H2'!J:J)</f>
        <v>47746.563999999998</v>
      </c>
      <c r="G1470" s="7">
        <f t="shared" si="12"/>
        <v>5.622260064619522E-2</v>
      </c>
      <c r="H1470" s="8">
        <v>50431</v>
      </c>
      <c r="I1470" s="8">
        <v>48674</v>
      </c>
      <c r="J1470" s="8">
        <v>48535</v>
      </c>
      <c r="K1470" s="8">
        <v>49892</v>
      </c>
      <c r="L1470" s="8">
        <v>50221</v>
      </c>
      <c r="M1470" s="8">
        <v>49972</v>
      </c>
      <c r="N1470" s="8">
        <v>50135</v>
      </c>
      <c r="O1470" s="8">
        <v>50095</v>
      </c>
      <c r="P1470" s="8">
        <v>50037</v>
      </c>
      <c r="Q1470" s="8">
        <v>49653</v>
      </c>
      <c r="R1470" s="7">
        <f t="shared" si="13"/>
        <v>4.2263480991009184E-2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</row>
    <row r="1471" spans="1:28" ht="14.4">
      <c r="A1471" s="3">
        <f>LOOKUP(D1471,'AMFI DATA_2023H2'!F:L,'AMFI DATA_2023H2'!L:L)</f>
        <v>471</v>
      </c>
      <c r="B1471" s="4" t="s">
        <v>1401</v>
      </c>
      <c r="C1471" s="4" t="s">
        <v>1402</v>
      </c>
      <c r="D1471" s="5" t="s">
        <v>1403</v>
      </c>
      <c r="E1471" s="5">
        <v>4530.0200000000004</v>
      </c>
      <c r="F1471" s="6">
        <f>LOOKUP(D1471,'AMFI DATA_2023H2'!F:J,'AMFI DATA_2023H2'!J:J)</f>
        <v>8005.0488499999992</v>
      </c>
      <c r="G1471" s="7">
        <f t="shared" si="12"/>
        <v>0.23696934091788857</v>
      </c>
      <c r="H1471" s="8">
        <v>9902</v>
      </c>
      <c r="I1471" s="8">
        <v>9754</v>
      </c>
      <c r="J1471" s="8">
        <v>9603</v>
      </c>
      <c r="K1471" s="8">
        <v>9550</v>
      </c>
      <c r="L1471" s="8">
        <v>9669</v>
      </c>
      <c r="M1471" s="8">
        <v>9809</v>
      </c>
      <c r="N1471" s="8">
        <v>9672</v>
      </c>
      <c r="O1471" s="8">
        <v>9899</v>
      </c>
      <c r="P1471" s="8">
        <v>9712</v>
      </c>
      <c r="Q1471" s="8">
        <v>9624</v>
      </c>
      <c r="R1471" s="14">
        <f t="shared" si="13"/>
        <v>0.21415873683269293</v>
      </c>
      <c r="S1471" s="8"/>
      <c r="T1471" s="8">
        <v>413</v>
      </c>
      <c r="U1471" s="15">
        <f ca="1">IFERROR(__xludf.DUMMYFUNCTION("GOOGLEFINANCE(C1471,""PRICE"")"),429)</f>
        <v>429</v>
      </c>
      <c r="V1471" s="13" t="s">
        <v>5787</v>
      </c>
      <c r="W1471" s="7">
        <f ca="1">U1471/T1471-1</f>
        <v>3.874092009685226E-2</v>
      </c>
      <c r="X1471" s="8"/>
      <c r="Y1471" s="8"/>
      <c r="Z1471" s="8"/>
      <c r="AA1471" s="8"/>
      <c r="AB1471" s="8"/>
    </row>
    <row r="1472" spans="1:28" ht="14.4" hidden="1">
      <c r="A1472" s="3">
        <f>LOOKUP(D1472,'AMFI DATA_2023H2'!F:L,'AMFI DATA_2023H2'!L:L)</f>
        <v>960</v>
      </c>
      <c r="B1472" s="4" t="s">
        <v>2756</v>
      </c>
      <c r="C1472" s="4" t="s">
        <v>2757</v>
      </c>
      <c r="D1472" s="5" t="s">
        <v>2758</v>
      </c>
      <c r="E1472" s="5">
        <v>1783.63</v>
      </c>
      <c r="F1472" s="6">
        <f>LOOKUP(D1472,'AMFI DATA_2023H2'!F:J,'AMFI DATA_2023H2'!J:J)</f>
        <v>1900.3506</v>
      </c>
      <c r="G1472" s="7">
        <f t="shared" si="12"/>
        <v>0.43394592555710521</v>
      </c>
      <c r="H1472" s="8">
        <v>2725</v>
      </c>
      <c r="I1472" s="8">
        <v>2700</v>
      </c>
      <c r="J1472" s="8">
        <v>2708</v>
      </c>
      <c r="K1472" s="8">
        <v>2628</v>
      </c>
      <c r="L1472" s="8">
        <v>2668</v>
      </c>
      <c r="M1472" s="8">
        <v>2698</v>
      </c>
      <c r="N1472" s="8">
        <v>2415</v>
      </c>
      <c r="O1472" s="8">
        <v>2400</v>
      </c>
      <c r="P1472" s="8">
        <v>2404</v>
      </c>
      <c r="Q1472" s="8">
        <v>2394</v>
      </c>
      <c r="R1472" s="7">
        <f t="shared" si="13"/>
        <v>0.35448690362715185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</row>
    <row r="1473" spans="1:28" ht="14.4" hidden="1">
      <c r="A1473" s="3">
        <f>LOOKUP(D1473,'AMFI DATA_2023H2'!F:L,'AMFI DATA_2023H2'!L:L)</f>
        <v>2438</v>
      </c>
      <c r="B1473" s="4" t="s">
        <v>5245</v>
      </c>
      <c r="C1473" s="4" t="s">
        <v>5246</v>
      </c>
      <c r="D1473" s="5" t="s">
        <v>5247</v>
      </c>
      <c r="E1473" s="5">
        <v>1783.63</v>
      </c>
      <c r="F1473" s="6">
        <f>LOOKUP(D1473,'AMFI DATA_2023H2'!F:J,'AMFI DATA_2023H2'!J:J)</f>
        <v>91.712400000000002</v>
      </c>
      <c r="G1473" s="7">
        <f t="shared" si="12"/>
        <v>0.23211256056978113</v>
      </c>
      <c r="H1473" s="9">
        <v>113</v>
      </c>
      <c r="I1473" s="9">
        <v>117</v>
      </c>
      <c r="J1473" s="9">
        <v>122</v>
      </c>
      <c r="K1473" s="9">
        <v>123</v>
      </c>
      <c r="L1473" s="9">
        <v>130</v>
      </c>
      <c r="M1473" s="9">
        <v>131</v>
      </c>
      <c r="N1473" s="9">
        <v>137</v>
      </c>
      <c r="O1473" s="9">
        <v>114</v>
      </c>
      <c r="P1473" s="9">
        <v>94.9</v>
      </c>
      <c r="Q1473" s="9">
        <v>97</v>
      </c>
      <c r="R1473" s="7">
        <f t="shared" si="13"/>
        <v>0.28543141385461523</v>
      </c>
      <c r="S1473" s="9"/>
      <c r="T1473" s="9"/>
      <c r="U1473" s="9"/>
      <c r="V1473" s="9"/>
      <c r="W1473" s="9"/>
      <c r="X1473" s="9"/>
      <c r="Y1473" s="9"/>
      <c r="Z1473" s="9"/>
      <c r="AA1473" s="9"/>
      <c r="AB1473" s="9"/>
    </row>
    <row r="1474" spans="1:28" ht="14.4" hidden="1">
      <c r="A1474" s="3">
        <f>LOOKUP(D1474,'AMFI DATA_2023H2'!F:L,'AMFI DATA_2023H2'!L:L)</f>
        <v>2520</v>
      </c>
      <c r="B1474" s="4" t="s">
        <v>5305</v>
      </c>
      <c r="C1474" s="4" t="s">
        <v>5306</v>
      </c>
      <c r="D1474" s="5" t="s">
        <v>5307</v>
      </c>
      <c r="E1474" s="5">
        <v>105.09</v>
      </c>
      <c r="F1474" s="6">
        <f>LOOKUP(D1474,'AMFI DATA_2023H2'!F:J,'AMFI DATA_2023H2'!J:J)</f>
        <v>78.49475000000001</v>
      </c>
      <c r="G1474" s="7">
        <f t="shared" si="12"/>
        <v>0.14020364419276432</v>
      </c>
      <c r="H1474" s="9">
        <v>89.5</v>
      </c>
      <c r="I1474" s="9">
        <v>86.8</v>
      </c>
      <c r="J1474" s="9">
        <v>92.2</v>
      </c>
      <c r="K1474" s="9">
        <v>95.7</v>
      </c>
      <c r="L1474" s="9">
        <v>79.900000000000006</v>
      </c>
      <c r="M1474" s="9">
        <v>80</v>
      </c>
      <c r="N1474" s="9">
        <v>80</v>
      </c>
      <c r="O1474" s="9">
        <v>81.7</v>
      </c>
      <c r="P1474" s="9">
        <v>79.8</v>
      </c>
      <c r="Q1474" s="9">
        <v>78.599999999999994</v>
      </c>
      <c r="R1474" s="7">
        <f t="shared" si="13"/>
        <v>7.5485940142493435E-2</v>
      </c>
      <c r="S1474" s="9"/>
      <c r="T1474" s="9"/>
      <c r="U1474" s="9"/>
      <c r="V1474" s="9"/>
      <c r="W1474" s="9"/>
      <c r="X1474" s="9"/>
      <c r="Y1474" s="9"/>
      <c r="Z1474" s="9"/>
      <c r="AA1474" s="9"/>
      <c r="AB1474" s="9"/>
    </row>
    <row r="1475" spans="1:28" ht="14.4" hidden="1">
      <c r="A1475" s="3">
        <f>LOOKUP(D1475,'AMFI DATA_2023H2'!F:L,'AMFI DATA_2023H2'!L:L)</f>
        <v>2184</v>
      </c>
      <c r="B1475" s="4" t="s">
        <v>4997</v>
      </c>
      <c r="C1475" s="4" t="s">
        <v>4998</v>
      </c>
      <c r="D1475" s="5" t="s">
        <v>4999</v>
      </c>
      <c r="E1475" s="5">
        <v>136.79</v>
      </c>
      <c r="F1475" s="6">
        <f>LOOKUP(D1475,'AMFI DATA_2023H2'!F:J,'AMFI DATA_2023H2'!J:J)</f>
        <v>136.59609999999998</v>
      </c>
      <c r="G1475" s="7">
        <f t="shared" si="12"/>
        <v>0.33971614123682903</v>
      </c>
      <c r="H1475" s="9">
        <v>183</v>
      </c>
      <c r="I1475" s="9">
        <v>185</v>
      </c>
      <c r="J1475" s="9">
        <v>190</v>
      </c>
      <c r="K1475" s="9">
        <v>184</v>
      </c>
      <c r="L1475" s="9">
        <v>174</v>
      </c>
      <c r="M1475" s="9">
        <v>161</v>
      </c>
      <c r="N1475" s="9">
        <v>149</v>
      </c>
      <c r="O1475" s="9">
        <v>151</v>
      </c>
      <c r="P1475" s="9">
        <v>151</v>
      </c>
      <c r="Q1475" s="9">
        <v>155</v>
      </c>
      <c r="R1475" s="7">
        <f t="shared" si="13"/>
        <v>0.23209959874403463</v>
      </c>
      <c r="S1475" s="9"/>
      <c r="T1475" s="9"/>
      <c r="U1475" s="9"/>
      <c r="V1475" s="9"/>
      <c r="W1475" s="9"/>
      <c r="X1475" s="9"/>
      <c r="Y1475" s="9"/>
      <c r="Z1475" s="9"/>
      <c r="AA1475" s="9"/>
      <c r="AB1475" s="9"/>
    </row>
    <row r="1476" spans="1:28" ht="14.4" hidden="1">
      <c r="A1476" s="3">
        <f>LOOKUP(D1476,'AMFI DATA_2023H2'!F:L,'AMFI DATA_2023H2'!L:L)</f>
        <v>1855</v>
      </c>
      <c r="B1476" s="4" t="s">
        <v>4544</v>
      </c>
      <c r="C1476" s="4" t="s">
        <v>4545</v>
      </c>
      <c r="D1476" s="5" t="s">
        <v>4546</v>
      </c>
      <c r="E1476" s="5">
        <v>253.65</v>
      </c>
      <c r="F1476" s="6">
        <f>LOOKUP(D1476,'AMFI DATA_2023H2'!F:J,'AMFI DATA_2023H2'!J:J)</f>
        <v>246.41159999999999</v>
      </c>
      <c r="G1476" s="7">
        <f t="shared" si="12"/>
        <v>0.14442664225223156</v>
      </c>
      <c r="H1476" s="9">
        <v>282</v>
      </c>
      <c r="I1476" s="9">
        <v>278</v>
      </c>
      <c r="J1476" s="9">
        <v>260</v>
      </c>
      <c r="K1476" s="9">
        <v>249</v>
      </c>
      <c r="L1476" s="9">
        <v>252</v>
      </c>
      <c r="M1476" s="9">
        <v>250</v>
      </c>
      <c r="N1476" s="9">
        <v>245</v>
      </c>
      <c r="O1476" s="9">
        <v>248</v>
      </c>
      <c r="P1476" s="9">
        <v>252</v>
      </c>
      <c r="Q1476" s="9">
        <v>253</v>
      </c>
      <c r="R1476" s="7">
        <f t="shared" si="13"/>
        <v>4.2564554590774017E-2</v>
      </c>
      <c r="S1476" s="9"/>
      <c r="T1476" s="9"/>
      <c r="U1476" s="9"/>
      <c r="V1476" s="9"/>
      <c r="W1476" s="9"/>
      <c r="X1476" s="9"/>
      <c r="Y1476" s="9"/>
      <c r="Z1476" s="9"/>
      <c r="AA1476" s="9"/>
      <c r="AB1476" s="9"/>
    </row>
    <row r="1477" spans="1:28" ht="14.4" hidden="1">
      <c r="A1477" s="3">
        <f>LOOKUP(D1477,'AMFI DATA_2023H2'!F:L,'AMFI DATA_2023H2'!L:L)</f>
        <v>1663</v>
      </c>
      <c r="B1477" s="4" t="s">
        <v>4265</v>
      </c>
      <c r="C1477" s="4" t="s">
        <v>4266</v>
      </c>
      <c r="D1477" s="5" t="s">
        <v>4267</v>
      </c>
      <c r="E1477" s="5">
        <v>833.73</v>
      </c>
      <c r="F1477" s="6">
        <f>LOOKUP(D1477,'AMFI DATA_2023H2'!F:J,'AMFI DATA_2023H2'!J:J)</f>
        <v>356.46589999999998</v>
      </c>
      <c r="G1477" s="7">
        <f t="shared" si="12"/>
        <v>-0.20048453442531244</v>
      </c>
      <c r="H1477" s="9">
        <v>285</v>
      </c>
      <c r="I1477" s="9">
        <v>285</v>
      </c>
      <c r="J1477" s="9">
        <v>280</v>
      </c>
      <c r="K1477" s="9">
        <v>275</v>
      </c>
      <c r="L1477" s="9">
        <v>269</v>
      </c>
      <c r="M1477" s="9">
        <v>264</v>
      </c>
      <c r="N1477" s="9">
        <v>259</v>
      </c>
      <c r="O1477" s="9">
        <v>255</v>
      </c>
      <c r="P1477" s="9">
        <v>250</v>
      </c>
      <c r="Q1477" s="9">
        <v>245</v>
      </c>
      <c r="R1477" s="7">
        <f t="shared" si="13"/>
        <v>-0.25182184326747659</v>
      </c>
      <c r="S1477" s="9"/>
      <c r="T1477" s="9"/>
      <c r="U1477" s="9"/>
      <c r="V1477" s="9"/>
      <c r="W1477" s="9"/>
      <c r="X1477" s="9"/>
      <c r="Y1477" s="9"/>
      <c r="Z1477" s="9"/>
      <c r="AA1477" s="9"/>
      <c r="AB1477" s="9"/>
    </row>
    <row r="1478" spans="1:28" ht="14.4" hidden="1">
      <c r="A1478" s="3">
        <f>LOOKUP(D1478,'AMFI DATA_2023H2'!F:L,'AMFI DATA_2023H2'!L:L)</f>
        <v>1417</v>
      </c>
      <c r="B1478" s="4" t="s">
        <v>3806</v>
      </c>
      <c r="C1478" s="4" t="s">
        <v>3807</v>
      </c>
      <c r="D1478" s="5" t="s">
        <v>3808</v>
      </c>
      <c r="E1478" s="5">
        <v>409.8</v>
      </c>
      <c r="F1478" s="6">
        <f>LOOKUP(D1478,'AMFI DATA_2023H2'!F:J,'AMFI DATA_2023H2'!J:J)</f>
        <v>623.77170000000001</v>
      </c>
      <c r="G1478" s="7">
        <f t="shared" si="12"/>
        <v>0.21358503439639853</v>
      </c>
      <c r="H1478" s="9">
        <v>757</v>
      </c>
      <c r="I1478" s="9">
        <v>768</v>
      </c>
      <c r="J1478" s="9">
        <v>745</v>
      </c>
      <c r="K1478" s="9">
        <v>740</v>
      </c>
      <c r="L1478" s="9">
        <v>746</v>
      </c>
      <c r="M1478" s="9">
        <v>749</v>
      </c>
      <c r="N1478" s="9">
        <v>760</v>
      </c>
      <c r="O1478" s="9">
        <v>746</v>
      </c>
      <c r="P1478" s="9">
        <v>748</v>
      </c>
      <c r="Q1478" s="9">
        <v>757</v>
      </c>
      <c r="R1478" s="7">
        <f t="shared" si="13"/>
        <v>0.20492802094099494</v>
      </c>
      <c r="S1478" s="9"/>
      <c r="T1478" s="9"/>
      <c r="U1478" s="9"/>
      <c r="V1478" s="9"/>
      <c r="W1478" s="9"/>
      <c r="X1478" s="9"/>
      <c r="Y1478" s="9"/>
      <c r="Z1478" s="9"/>
      <c r="AA1478" s="9"/>
      <c r="AB1478" s="9"/>
    </row>
    <row r="1479" spans="1:28" ht="14.4" hidden="1">
      <c r="A1479" s="3">
        <f>LOOKUP(D1479,'AMFI DATA_2023H2'!F:L,'AMFI DATA_2023H2'!L:L)</f>
        <v>1431</v>
      </c>
      <c r="B1479" s="4" t="s">
        <v>3830</v>
      </c>
      <c r="C1479" s="4" t="s">
        <v>3831</v>
      </c>
      <c r="D1479" s="5" t="s">
        <v>3832</v>
      </c>
      <c r="E1479" s="5">
        <v>833.73</v>
      </c>
      <c r="F1479" s="6">
        <f>LOOKUP(D1479,'AMFI DATA_2023H2'!F:J,'AMFI DATA_2023H2'!J:J)</f>
        <v>596.94364999999993</v>
      </c>
      <c r="G1479" s="7">
        <f t="shared" si="12"/>
        <v>0.2078191970046086</v>
      </c>
      <c r="H1479" s="9">
        <v>721</v>
      </c>
      <c r="I1479" s="9">
        <v>706</v>
      </c>
      <c r="J1479" s="9">
        <v>692</v>
      </c>
      <c r="K1479" s="9">
        <v>685</v>
      </c>
      <c r="L1479" s="9">
        <v>728</v>
      </c>
      <c r="M1479" s="9">
        <v>718</v>
      </c>
      <c r="N1479" s="9">
        <v>721</v>
      </c>
      <c r="O1479" s="9">
        <v>707</v>
      </c>
      <c r="P1479" s="9">
        <v>722</v>
      </c>
      <c r="Q1479" s="9">
        <v>721</v>
      </c>
      <c r="R1479" s="7">
        <f t="shared" si="13"/>
        <v>0.19290991704158356</v>
      </c>
      <c r="S1479" s="9"/>
      <c r="T1479" s="9"/>
      <c r="U1479" s="9"/>
      <c r="V1479" s="9"/>
      <c r="W1479" s="9"/>
      <c r="X1479" s="9"/>
      <c r="Y1479" s="9"/>
      <c r="Z1479" s="9"/>
      <c r="AA1479" s="9"/>
      <c r="AB1479" s="9"/>
    </row>
    <row r="1480" spans="1:28" ht="14.4" hidden="1">
      <c r="A1480" s="3">
        <f>LOOKUP(D1480,'AMFI DATA_2023H2'!F:L,'AMFI DATA_2023H2'!L:L)</f>
        <v>654</v>
      </c>
      <c r="B1480" s="4" t="s">
        <v>1914</v>
      </c>
      <c r="C1480" s="4" t="s">
        <v>1915</v>
      </c>
      <c r="D1480" s="5" t="s">
        <v>1916</v>
      </c>
      <c r="E1480" s="5">
        <v>833.73</v>
      </c>
      <c r="F1480" s="6">
        <f>LOOKUP(D1480,'AMFI DATA_2023H2'!F:J,'AMFI DATA_2023H2'!J:J)</f>
        <v>4411.0977000000003</v>
      </c>
      <c r="G1480" s="7">
        <f t="shared" si="12"/>
        <v>0.26635145714410258</v>
      </c>
      <c r="H1480" s="8">
        <v>5586</v>
      </c>
      <c r="I1480" s="8">
        <v>5620</v>
      </c>
      <c r="J1480" s="8">
        <v>5566</v>
      </c>
      <c r="K1480" s="8">
        <v>5383</v>
      </c>
      <c r="L1480" s="8">
        <v>5494</v>
      </c>
      <c r="M1480" s="8">
        <v>5408</v>
      </c>
      <c r="N1480" s="8">
        <v>5467</v>
      </c>
      <c r="O1480" s="8">
        <v>5530</v>
      </c>
      <c r="P1480" s="8">
        <v>5607</v>
      </c>
      <c r="Q1480" s="8">
        <v>5650</v>
      </c>
      <c r="R1480" s="7">
        <f t="shared" si="13"/>
        <v>0.25390557547614501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</row>
    <row r="1481" spans="1:28" ht="14.4" hidden="1">
      <c r="A1481" s="3">
        <f>LOOKUP(D1481,'AMFI DATA_2023H2'!F:L,'AMFI DATA_2023H2'!L:L)</f>
        <v>878</v>
      </c>
      <c r="B1481" s="4" t="s">
        <v>2546</v>
      </c>
      <c r="C1481" s="4" t="s">
        <v>2547</v>
      </c>
      <c r="D1481" s="5" t="s">
        <v>2548</v>
      </c>
      <c r="E1481" s="5">
        <v>1555.31</v>
      </c>
      <c r="F1481" s="6">
        <f>LOOKUP(D1481,'AMFI DATA_2023H2'!F:J,'AMFI DATA_2023H2'!J:J)</f>
        <v>2280.9465500000001</v>
      </c>
      <c r="G1481" s="7">
        <f t="shared" si="12"/>
        <v>0.35119343327006058</v>
      </c>
      <c r="H1481" s="8">
        <v>3082</v>
      </c>
      <c r="I1481" s="8">
        <v>3109</v>
      </c>
      <c r="J1481" s="8">
        <v>3109</v>
      </c>
      <c r="K1481" s="8">
        <v>3151</v>
      </c>
      <c r="L1481" s="8">
        <v>3002</v>
      </c>
      <c r="M1481" s="8">
        <v>2860</v>
      </c>
      <c r="N1481" s="8">
        <v>2854</v>
      </c>
      <c r="O1481" s="8">
        <v>2949</v>
      </c>
      <c r="P1481" s="8">
        <v>2944</v>
      </c>
      <c r="Q1481" s="8">
        <v>2960</v>
      </c>
      <c r="R1481" s="7">
        <f t="shared" si="13"/>
        <v>0.31612027471665205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</row>
    <row r="1482" spans="1:28" ht="14.4">
      <c r="A1482" s="3">
        <f>LOOKUP(D1482,'AMFI DATA_2023H2'!F:L,'AMFI DATA_2023H2'!L:L)</f>
        <v>858</v>
      </c>
      <c r="B1482" s="4" t="s">
        <v>2486</v>
      </c>
      <c r="C1482" s="4" t="s">
        <v>2487</v>
      </c>
      <c r="D1482" s="5" t="s">
        <v>2488</v>
      </c>
      <c r="E1482" s="5">
        <v>1908.94</v>
      </c>
      <c r="F1482" s="6">
        <f>LOOKUP(D1482,'AMFI DATA_2023H2'!F:J,'AMFI DATA_2023H2'!J:J)</f>
        <v>2474.7363999999998</v>
      </c>
      <c r="G1482" s="7">
        <f t="shared" si="12"/>
        <v>0.27407508937113478</v>
      </c>
      <c r="H1482" s="8">
        <v>3153</v>
      </c>
      <c r="I1482" s="8">
        <v>3253</v>
      </c>
      <c r="J1482" s="8">
        <v>3291</v>
      </c>
      <c r="K1482" s="8">
        <v>3041</v>
      </c>
      <c r="L1482" s="8">
        <v>2869</v>
      </c>
      <c r="M1482" s="8">
        <v>2840</v>
      </c>
      <c r="N1482" s="8">
        <v>2898</v>
      </c>
      <c r="O1482" s="8">
        <v>2927</v>
      </c>
      <c r="P1482" s="8">
        <v>2968</v>
      </c>
      <c r="Q1482" s="8">
        <v>2948</v>
      </c>
      <c r="R1482" s="14">
        <f t="shared" si="13"/>
        <v>0.21984709159327043</v>
      </c>
      <c r="S1482" s="8"/>
      <c r="T1482" s="8">
        <v>127.1</v>
      </c>
      <c r="U1482" s="15">
        <f ca="1">IFERROR(__xludf.DUMMYFUNCTION("GOOGLEFINANCE(C1482,""PRICE"")"),137.4)</f>
        <v>137.4</v>
      </c>
      <c r="V1482" s="13" t="s">
        <v>5787</v>
      </c>
      <c r="W1482" s="7">
        <f ca="1">U1482/T1482-1</f>
        <v>8.1038552321007096E-2</v>
      </c>
      <c r="X1482" s="8"/>
      <c r="Y1482" s="8"/>
      <c r="Z1482" s="8"/>
      <c r="AA1482" s="8"/>
      <c r="AB1482" s="8"/>
    </row>
    <row r="1483" spans="1:28" ht="14.4" hidden="1">
      <c r="A1483" s="3">
        <f>LOOKUP(D1483,'AMFI DATA_2023H2'!F:L,'AMFI DATA_2023H2'!L:L)</f>
        <v>1004</v>
      </c>
      <c r="B1483" s="4" t="s">
        <v>2873</v>
      </c>
      <c r="C1483" s="4" t="s">
        <v>2874</v>
      </c>
      <c r="D1483" s="5" t="s">
        <v>2875</v>
      </c>
      <c r="E1483" s="5">
        <v>714.28</v>
      </c>
      <c r="F1483" s="6">
        <f>LOOKUP(D1483,'AMFI DATA_2023H2'!F:J,'AMFI DATA_2023H2'!J:J)</f>
        <v>1705.2729999999999</v>
      </c>
      <c r="G1483" s="7">
        <f t="shared" si="12"/>
        <v>-5.1764732098614097E-2</v>
      </c>
      <c r="H1483" s="8">
        <v>1617</v>
      </c>
      <c r="I1483" s="8">
        <v>1615</v>
      </c>
      <c r="J1483" s="8">
        <v>1620</v>
      </c>
      <c r="K1483" s="8">
        <v>1637</v>
      </c>
      <c r="L1483" s="8">
        <v>1648</v>
      </c>
      <c r="M1483" s="8">
        <v>1630</v>
      </c>
      <c r="N1483" s="8">
        <v>1582</v>
      </c>
      <c r="O1483" s="8">
        <v>1583</v>
      </c>
      <c r="P1483" s="8">
        <v>1594</v>
      </c>
      <c r="Q1483" s="8">
        <v>1578</v>
      </c>
      <c r="R1483" s="7">
        <f t="shared" si="13"/>
        <v>-5.56350801308646E-2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</row>
    <row r="1484" spans="1:28" ht="14.4" hidden="1">
      <c r="A1484" s="3">
        <f>LOOKUP(D1484,'AMFI DATA_2023H2'!F:L,'AMFI DATA_2023H2'!L:L)</f>
        <v>919</v>
      </c>
      <c r="B1484" s="4" t="s">
        <v>2654</v>
      </c>
      <c r="C1484" s="4" t="s">
        <v>2655</v>
      </c>
      <c r="D1484" s="5" t="s">
        <v>2656</v>
      </c>
      <c r="E1484" s="5">
        <v>1689.45</v>
      </c>
      <c r="F1484" s="6">
        <f>LOOKUP(D1484,'AMFI DATA_2023H2'!F:J,'AMFI DATA_2023H2'!J:J)</f>
        <v>2088.8838500000002</v>
      </c>
      <c r="G1484" s="7">
        <f t="shared" si="12"/>
        <v>8.7183473604815154E-2</v>
      </c>
      <c r="H1484" s="8">
        <v>2271</v>
      </c>
      <c r="I1484" s="8">
        <v>2264</v>
      </c>
      <c r="J1484" s="8">
        <v>2224</v>
      </c>
      <c r="K1484" s="8">
        <v>2217</v>
      </c>
      <c r="L1484" s="8">
        <v>2244</v>
      </c>
      <c r="M1484" s="8">
        <v>2243</v>
      </c>
      <c r="N1484" s="8">
        <v>2238</v>
      </c>
      <c r="O1484" s="8">
        <v>2270</v>
      </c>
      <c r="P1484" s="8">
        <v>2236</v>
      </c>
      <c r="Q1484" s="8">
        <v>2245</v>
      </c>
      <c r="R1484" s="7">
        <f t="shared" si="13"/>
        <v>7.4832379981299324E-2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</row>
    <row r="1485" spans="1:28" ht="14.4" hidden="1">
      <c r="A1485" s="3">
        <f>LOOKUP(D1485,'AMFI DATA_2023H2'!F:L,'AMFI DATA_2023H2'!L:L)</f>
        <v>2417</v>
      </c>
      <c r="B1485" s="4" t="s">
        <v>5216</v>
      </c>
      <c r="C1485" s="4" t="s">
        <v>5217</v>
      </c>
      <c r="D1485" s="5" t="s">
        <v>5218</v>
      </c>
      <c r="E1485" s="5">
        <v>107.79</v>
      </c>
      <c r="F1485" s="6">
        <f>LOOKUP(D1485,'AMFI DATA_2023H2'!F:J,'AMFI DATA_2023H2'!J:J)</f>
        <v>94.887650000000008</v>
      </c>
      <c r="G1485" s="7">
        <f t="shared" si="12"/>
        <v>-9.2372400412499278E-4</v>
      </c>
      <c r="H1485" s="9">
        <v>94.8</v>
      </c>
      <c r="I1485" s="9">
        <v>94.3</v>
      </c>
      <c r="J1485" s="9">
        <v>93.5</v>
      </c>
      <c r="K1485" s="9">
        <v>93.5</v>
      </c>
      <c r="L1485" s="9">
        <v>91.8</v>
      </c>
      <c r="M1485" s="9">
        <v>93.6</v>
      </c>
      <c r="N1485" s="9">
        <v>95</v>
      </c>
      <c r="O1485" s="9">
        <v>94.7</v>
      </c>
      <c r="P1485" s="9">
        <v>91.3</v>
      </c>
      <c r="Q1485" s="9">
        <v>93.6</v>
      </c>
      <c r="R1485" s="7">
        <f t="shared" si="13"/>
        <v>-1.3464871350486685E-2</v>
      </c>
      <c r="S1485" s="9"/>
      <c r="T1485" s="9"/>
      <c r="U1485" s="9"/>
      <c r="V1485" s="9"/>
      <c r="W1485" s="9"/>
      <c r="X1485" s="9"/>
      <c r="Y1485" s="9"/>
      <c r="Z1485" s="9"/>
      <c r="AA1485" s="9"/>
      <c r="AB1485" s="9"/>
    </row>
    <row r="1486" spans="1:28" ht="14.4" hidden="1">
      <c r="A1486" s="3">
        <f>LOOKUP(D1486,'AMFI DATA_2023H2'!F:L,'AMFI DATA_2023H2'!L:L)</f>
        <v>2646</v>
      </c>
      <c r="B1486" s="4" t="s">
        <v>5413</v>
      </c>
      <c r="C1486" s="4" t="s">
        <v>5414</v>
      </c>
      <c r="D1486" s="5" t="s">
        <v>5415</v>
      </c>
      <c r="E1486" s="5">
        <v>67.53</v>
      </c>
      <c r="F1486" s="6">
        <f>LOOKUP(D1486,'AMFI DATA_2023H2'!F:J,'AMFI DATA_2023H2'!J:J)</f>
        <v>63.054299999999998</v>
      </c>
      <c r="G1486" s="7">
        <f t="shared" si="12"/>
        <v>-7.8571960992350975E-2</v>
      </c>
      <c r="H1486" s="9">
        <v>58.1</v>
      </c>
      <c r="I1486" s="9">
        <v>57</v>
      </c>
      <c r="J1486" s="9">
        <v>55.9</v>
      </c>
      <c r="K1486" s="9">
        <v>54.8</v>
      </c>
      <c r="L1486" s="9">
        <v>55.8</v>
      </c>
      <c r="M1486" s="9">
        <v>55.8</v>
      </c>
      <c r="N1486" s="9">
        <v>56.9</v>
      </c>
      <c r="O1486" s="9">
        <v>58</v>
      </c>
      <c r="P1486" s="9">
        <v>54.1</v>
      </c>
      <c r="Q1486" s="9">
        <v>55.3</v>
      </c>
      <c r="R1486" s="7">
        <f t="shared" si="13"/>
        <v>-0.10918049998176171</v>
      </c>
      <c r="S1486" s="9"/>
      <c r="T1486" s="9"/>
      <c r="U1486" s="9"/>
      <c r="V1486" s="9"/>
      <c r="W1486" s="9"/>
      <c r="X1486" s="9"/>
      <c r="Y1486" s="9"/>
      <c r="Z1486" s="9"/>
      <c r="AA1486" s="9"/>
      <c r="AB1486" s="9"/>
    </row>
    <row r="1487" spans="1:28" ht="14.4" hidden="1">
      <c r="A1487" s="3">
        <f>LOOKUP(D1487,'AMFI DATA_2023H2'!F:L,'AMFI DATA_2023H2'!L:L)</f>
        <v>2319</v>
      </c>
      <c r="B1487" s="4" t="s">
        <v>5150</v>
      </c>
      <c r="C1487" s="4" t="s">
        <v>5151</v>
      </c>
      <c r="D1487" s="5" t="s">
        <v>5152</v>
      </c>
      <c r="E1487" s="5">
        <v>104.41</v>
      </c>
      <c r="F1487" s="6">
        <f>LOOKUP(D1487,'AMFI DATA_2023H2'!F:J,'AMFI DATA_2023H2'!J:J)</f>
        <v>108.83920000000001</v>
      </c>
      <c r="G1487" s="7">
        <f t="shared" si="12"/>
        <v>0.18523473160405435</v>
      </c>
      <c r="H1487" s="9">
        <v>129</v>
      </c>
      <c r="I1487" s="9">
        <v>126</v>
      </c>
      <c r="J1487" s="9">
        <v>126</v>
      </c>
      <c r="K1487" s="9">
        <v>125</v>
      </c>
      <c r="L1487" s="9">
        <v>129</v>
      </c>
      <c r="M1487" s="9">
        <v>124</v>
      </c>
      <c r="N1487" s="9">
        <v>127</v>
      </c>
      <c r="O1487" s="9">
        <v>130</v>
      </c>
      <c r="P1487" s="9">
        <v>138</v>
      </c>
      <c r="Q1487" s="9">
        <v>132</v>
      </c>
      <c r="R1487" s="7">
        <f t="shared" si="13"/>
        <v>0.18155958514946802</v>
      </c>
      <c r="S1487" s="9"/>
      <c r="T1487" s="9"/>
      <c r="U1487" s="9"/>
      <c r="V1487" s="9"/>
      <c r="W1487" s="9"/>
      <c r="X1487" s="9"/>
      <c r="Y1487" s="9"/>
      <c r="Z1487" s="9"/>
      <c r="AA1487" s="9"/>
      <c r="AB1487" s="9"/>
    </row>
    <row r="1488" spans="1:28" ht="14.4" hidden="1">
      <c r="A1488" s="3">
        <f>LOOKUP(D1488,'AMFI DATA_2023H2'!F:L,'AMFI DATA_2023H2'!L:L)</f>
        <v>2277</v>
      </c>
      <c r="B1488" s="4" t="s">
        <v>5099</v>
      </c>
      <c r="C1488" s="4" t="s">
        <v>5100</v>
      </c>
      <c r="D1488" s="5" t="s">
        <v>5101</v>
      </c>
      <c r="E1488" s="5">
        <v>40.85</v>
      </c>
      <c r="F1488" s="6">
        <f>LOOKUP(D1488,'AMFI DATA_2023H2'!F:J,'AMFI DATA_2023H2'!J:J)</f>
        <v>115.53800000000001</v>
      </c>
      <c r="G1488" s="7">
        <f t="shared" si="12"/>
        <v>0.8175838252349874</v>
      </c>
      <c r="H1488" s="9">
        <v>210</v>
      </c>
      <c r="I1488" s="9">
        <v>199</v>
      </c>
      <c r="J1488" s="9">
        <v>191</v>
      </c>
      <c r="K1488" s="9">
        <v>182</v>
      </c>
      <c r="L1488" s="9">
        <v>174</v>
      </c>
      <c r="M1488" s="9">
        <v>180</v>
      </c>
      <c r="N1488" s="9">
        <v>189</v>
      </c>
      <c r="O1488" s="9">
        <v>199</v>
      </c>
      <c r="P1488" s="9">
        <v>220</v>
      </c>
      <c r="Q1488" s="9">
        <v>193</v>
      </c>
      <c r="R1488" s="7">
        <f t="shared" si="13"/>
        <v>0.67650469975246219</v>
      </c>
      <c r="S1488" s="9"/>
      <c r="T1488" s="9"/>
      <c r="U1488" s="9"/>
      <c r="V1488" s="9"/>
      <c r="W1488" s="9"/>
      <c r="X1488" s="9"/>
      <c r="Y1488" s="9"/>
      <c r="Z1488" s="9"/>
      <c r="AA1488" s="9"/>
      <c r="AB1488" s="9"/>
    </row>
    <row r="1489" spans="1:28" ht="14.4" hidden="1">
      <c r="A1489" s="3">
        <f>LOOKUP(D1489,'AMFI DATA_2023H2'!F:L,'AMFI DATA_2023H2'!L:L)</f>
        <v>1039</v>
      </c>
      <c r="B1489" s="4" t="s">
        <v>2966</v>
      </c>
      <c r="C1489" s="4" t="s">
        <v>2967</v>
      </c>
      <c r="D1489" s="5" t="s">
        <v>2968</v>
      </c>
      <c r="E1489" s="5">
        <v>1180.1300000000001</v>
      </c>
      <c r="F1489" s="6">
        <f>LOOKUP(D1489,'AMFI DATA_2023H2'!F:J,'AMFI DATA_2023H2'!J:J)</f>
        <v>1520.7056</v>
      </c>
      <c r="G1489" s="7">
        <f t="shared" si="12"/>
        <v>6.1118996339593057E-3</v>
      </c>
      <c r="H1489" s="8">
        <v>1530</v>
      </c>
      <c r="I1489" s="8">
        <v>1536</v>
      </c>
      <c r="J1489" s="8">
        <v>1530</v>
      </c>
      <c r="K1489" s="8">
        <v>1519</v>
      </c>
      <c r="L1489" s="8">
        <v>1528</v>
      </c>
      <c r="M1489" s="8">
        <v>1535</v>
      </c>
      <c r="N1489" s="8">
        <v>1555</v>
      </c>
      <c r="O1489" s="8">
        <v>1566</v>
      </c>
      <c r="P1489" s="8">
        <v>1533</v>
      </c>
      <c r="Q1489" s="8">
        <v>1571</v>
      </c>
      <c r="R1489" s="7">
        <f t="shared" si="13"/>
        <v>1.2885071245874347E-2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</row>
    <row r="1490" spans="1:28" ht="14.4" hidden="1">
      <c r="A1490" s="3">
        <f>LOOKUP(D1490,'AMFI DATA_2023H2'!F:L,'AMFI DATA_2023H2'!L:L)</f>
        <v>1027</v>
      </c>
      <c r="B1490" s="4" t="s">
        <v>2933</v>
      </c>
      <c r="C1490" s="4" t="s">
        <v>2934</v>
      </c>
      <c r="D1490" s="5" t="s">
        <v>2935</v>
      </c>
      <c r="E1490" s="5">
        <v>843.98</v>
      </c>
      <c r="F1490" s="6">
        <f>LOOKUP(D1490,'AMFI DATA_2023H2'!F:J,'AMFI DATA_2023H2'!J:J)</f>
        <v>1589.7002</v>
      </c>
      <c r="G1490" s="7">
        <f t="shared" si="12"/>
        <v>0.17506432973965791</v>
      </c>
      <c r="H1490" s="8">
        <v>1868</v>
      </c>
      <c r="I1490" s="8">
        <v>1855</v>
      </c>
      <c r="J1490" s="8">
        <v>1833</v>
      </c>
      <c r="K1490" s="8">
        <v>1858</v>
      </c>
      <c r="L1490" s="8">
        <v>1904</v>
      </c>
      <c r="M1490" s="8">
        <v>1877</v>
      </c>
      <c r="N1490" s="8">
        <v>1848</v>
      </c>
      <c r="O1490" s="8">
        <v>1805</v>
      </c>
      <c r="P1490" s="8">
        <v>1828</v>
      </c>
      <c r="Q1490" s="8">
        <v>1811</v>
      </c>
      <c r="R1490" s="7">
        <f t="shared" si="13"/>
        <v>0.16292367579748679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</row>
    <row r="1491" spans="1:28" ht="14.4">
      <c r="A1491" s="3">
        <f>LOOKUP(D1491,'AMFI DATA_2023H2'!F:L,'AMFI DATA_2023H2'!L:L)</f>
        <v>826</v>
      </c>
      <c r="B1491" s="4" t="s">
        <v>2399</v>
      </c>
      <c r="C1491" s="4" t="s">
        <v>2400</v>
      </c>
      <c r="D1491" s="5" t="s">
        <v>2401</v>
      </c>
      <c r="E1491" s="5">
        <v>1539.99</v>
      </c>
      <c r="F1491" s="6">
        <f>LOOKUP(D1491,'AMFI DATA_2023H2'!F:J,'AMFI DATA_2023H2'!J:J)</f>
        <v>2676.2165999999997</v>
      </c>
      <c r="G1491" s="7">
        <f t="shared" si="12"/>
        <v>0.22673179741878902</v>
      </c>
      <c r="H1491" s="8">
        <v>3283</v>
      </c>
      <c r="I1491" s="8">
        <v>3308</v>
      </c>
      <c r="J1491" s="8">
        <v>3298</v>
      </c>
      <c r="K1491" s="8">
        <v>3235</v>
      </c>
      <c r="L1491" s="8">
        <v>3252</v>
      </c>
      <c r="M1491" s="8">
        <v>3268</v>
      </c>
      <c r="N1491" s="8">
        <v>3269</v>
      </c>
      <c r="O1491" s="8">
        <v>3316</v>
      </c>
      <c r="P1491" s="8">
        <v>3334</v>
      </c>
      <c r="Q1491" s="8">
        <v>3321</v>
      </c>
      <c r="R1491" s="14">
        <f t="shared" si="13"/>
        <v>0.22874957131646245</v>
      </c>
      <c r="S1491" s="8"/>
      <c r="T1491" s="8">
        <v>301.35000000000002</v>
      </c>
      <c r="U1491" s="15">
        <f ca="1">IFERROR(__xludf.DUMMYFUNCTION("GOOGLEFINANCE(C1491,""PRICE"")"),315.45)</f>
        <v>315.45</v>
      </c>
      <c r="V1491" s="13" t="s">
        <v>5787</v>
      </c>
      <c r="W1491" s="7">
        <f ca="1">U1491/T1491-1</f>
        <v>4.6789447486311531E-2</v>
      </c>
      <c r="X1491" s="8"/>
      <c r="Y1491" s="8"/>
      <c r="Z1491" s="8"/>
      <c r="AA1491" s="8"/>
      <c r="AB1491" s="8"/>
    </row>
    <row r="1492" spans="1:28" ht="14.4" hidden="1">
      <c r="A1492" s="3">
        <f>LOOKUP(D1492,'AMFI DATA_2023H2'!F:L,'AMFI DATA_2023H2'!L:L)</f>
        <v>1145</v>
      </c>
      <c r="B1492" s="4" t="s">
        <v>3218</v>
      </c>
      <c r="C1492" s="4" t="s">
        <v>3219</v>
      </c>
      <c r="D1492" s="5" t="s">
        <v>3220</v>
      </c>
      <c r="E1492" s="5">
        <v>1058.19</v>
      </c>
      <c r="F1492" s="6">
        <f>LOOKUP(D1492,'AMFI DATA_2023H2'!F:J,'AMFI DATA_2023H2'!J:J)</f>
        <v>1207.6904</v>
      </c>
      <c r="G1492" s="7">
        <f t="shared" si="12"/>
        <v>0.27681730350758782</v>
      </c>
      <c r="H1492" s="8">
        <v>1542</v>
      </c>
      <c r="I1492" s="8">
        <v>1496</v>
      </c>
      <c r="J1492" s="8">
        <v>1505</v>
      </c>
      <c r="K1492" s="8">
        <v>1297</v>
      </c>
      <c r="L1492" s="8">
        <v>1294</v>
      </c>
      <c r="M1492" s="8">
        <v>1283</v>
      </c>
      <c r="N1492" s="8">
        <v>1289</v>
      </c>
      <c r="O1492" s="8">
        <v>1303</v>
      </c>
      <c r="P1492" s="8">
        <v>1300</v>
      </c>
      <c r="Q1492" s="8">
        <v>1310</v>
      </c>
      <c r="R1492" s="7">
        <f t="shared" si="13"/>
        <v>0.12768967940790144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</row>
    <row r="1493" spans="1:28" ht="14.4" hidden="1">
      <c r="A1493" s="3">
        <f>LOOKUP(D1493,'AMFI DATA_2023H2'!F:L,'AMFI DATA_2023H2'!L:L)</f>
        <v>1001</v>
      </c>
      <c r="B1493" s="4" t="s">
        <v>2864</v>
      </c>
      <c r="C1493" s="4" t="s">
        <v>2865</v>
      </c>
      <c r="D1493" s="5" t="s">
        <v>2866</v>
      </c>
      <c r="E1493" s="5">
        <v>1538.16</v>
      </c>
      <c r="F1493" s="6">
        <f>LOOKUP(D1493,'AMFI DATA_2023H2'!F:J,'AMFI DATA_2023H2'!J:J)</f>
        <v>1713.65</v>
      </c>
      <c r="G1493" s="7">
        <f t="shared" si="12"/>
        <v>-2.0803547982376824E-2</v>
      </c>
      <c r="H1493" s="8">
        <v>1678</v>
      </c>
      <c r="I1493" s="8">
        <v>1685</v>
      </c>
      <c r="J1493" s="8">
        <v>1639</v>
      </c>
      <c r="K1493" s="8">
        <v>1627</v>
      </c>
      <c r="L1493" s="8">
        <v>1634</v>
      </c>
      <c r="M1493" s="8">
        <v>1637</v>
      </c>
      <c r="N1493" s="8">
        <v>1656</v>
      </c>
      <c r="O1493" s="8">
        <v>1634</v>
      </c>
      <c r="P1493" s="8">
        <v>1637</v>
      </c>
      <c r="Q1493" s="8">
        <v>1659</v>
      </c>
      <c r="R1493" s="7">
        <f t="shared" si="13"/>
        <v>-3.7959910133341213E-2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</row>
    <row r="1494" spans="1:28" ht="14.4">
      <c r="A1494" s="3">
        <f>LOOKUP(D1494,'AMFI DATA_2023H2'!F:L,'AMFI DATA_2023H2'!L:L)</f>
        <v>719</v>
      </c>
      <c r="B1494" s="4" t="s">
        <v>2102</v>
      </c>
      <c r="C1494" s="4" t="s">
        <v>2103</v>
      </c>
      <c r="D1494" s="5" t="s">
        <v>2104</v>
      </c>
      <c r="E1494" s="5">
        <v>2891.88</v>
      </c>
      <c r="F1494" s="6">
        <f>LOOKUP(D1494,'AMFI DATA_2023H2'!F:J,'AMFI DATA_2023H2'!J:J)</f>
        <v>3630.8573999999999</v>
      </c>
      <c r="G1494" s="7">
        <f t="shared" si="12"/>
        <v>0.21596623431148809</v>
      </c>
      <c r="H1494" s="8">
        <v>4415</v>
      </c>
      <c r="I1494" s="8">
        <v>4424</v>
      </c>
      <c r="J1494" s="8">
        <v>4774</v>
      </c>
      <c r="K1494" s="8">
        <v>4722</v>
      </c>
      <c r="L1494" s="8">
        <v>4570</v>
      </c>
      <c r="M1494" s="8">
        <v>4599</v>
      </c>
      <c r="N1494" s="8">
        <v>4592</v>
      </c>
      <c r="O1494" s="8">
        <v>4712</v>
      </c>
      <c r="P1494" s="8">
        <v>4265</v>
      </c>
      <c r="Q1494" s="8">
        <v>4007</v>
      </c>
      <c r="R1494" s="14">
        <f t="shared" si="13"/>
        <v>0.24158001908860438</v>
      </c>
      <c r="S1494" s="8"/>
      <c r="T1494" s="8">
        <v>578</v>
      </c>
      <c r="U1494" s="15">
        <f ca="1">IFERROR(__xludf.DUMMYFUNCTION("GOOGLEFINANCE(C1494,""PRICE"")"),572.85)</f>
        <v>572.85</v>
      </c>
      <c r="V1494" s="13" t="s">
        <v>5787</v>
      </c>
      <c r="W1494" s="7">
        <f ca="1">U1494/T1494-1</f>
        <v>-8.9100346020760668E-3</v>
      </c>
      <c r="X1494" s="8"/>
      <c r="Y1494" s="8"/>
      <c r="Z1494" s="8"/>
      <c r="AA1494" s="8"/>
      <c r="AB1494" s="8"/>
    </row>
    <row r="1495" spans="1:28" ht="14.4" hidden="1">
      <c r="A1495" s="3">
        <f>LOOKUP(D1495,'AMFI DATA_2023H2'!F:L,'AMFI DATA_2023H2'!L:L)</f>
        <v>3450</v>
      </c>
      <c r="B1495" s="4" t="s">
        <v>5686</v>
      </c>
      <c r="C1495" s="4" t="s">
        <v>5687</v>
      </c>
      <c r="D1495" s="5" t="s">
        <v>5688</v>
      </c>
      <c r="E1495" s="5">
        <v>19.600000000000001</v>
      </c>
      <c r="F1495" s="6">
        <f>LOOKUP(D1495,'AMFI DATA_2023H2'!F:J,'AMFI DATA_2023H2'!J:J)</f>
        <v>19.319500000000001</v>
      </c>
      <c r="G1495" s="7">
        <f t="shared" si="12"/>
        <v>9.7336887600610655E-2</v>
      </c>
      <c r="H1495" s="9">
        <v>21.2</v>
      </c>
      <c r="I1495" s="9">
        <v>21.2</v>
      </c>
      <c r="J1495" s="9">
        <v>19.8</v>
      </c>
      <c r="K1495" s="9">
        <v>19.899999999999999</v>
      </c>
      <c r="L1495" s="9">
        <v>19.899999999999999</v>
      </c>
      <c r="M1495" s="9">
        <v>19.8</v>
      </c>
      <c r="N1495" s="9">
        <v>20</v>
      </c>
      <c r="O1495" s="9">
        <v>20.2</v>
      </c>
      <c r="P1495" s="9">
        <v>20</v>
      </c>
      <c r="Q1495" s="9">
        <v>20</v>
      </c>
      <c r="R1495" s="7">
        <f t="shared" si="13"/>
        <v>4.5575713657185712E-2</v>
      </c>
      <c r="S1495" s="9"/>
      <c r="T1495" s="9"/>
      <c r="U1495" s="9"/>
      <c r="V1495" s="9"/>
      <c r="W1495" s="9"/>
      <c r="X1495" s="9"/>
      <c r="Y1495" s="9"/>
      <c r="Z1495" s="9"/>
      <c r="AA1495" s="9"/>
      <c r="AB1495" s="9"/>
    </row>
    <row r="1496" spans="1:28" ht="14.4" hidden="1">
      <c r="A1496" s="3">
        <f>LOOKUP(D1496,'AMFI DATA_2023H2'!F:L,'AMFI DATA_2023H2'!L:L)</f>
        <v>685</v>
      </c>
      <c r="B1496" s="4" t="s">
        <v>2007</v>
      </c>
      <c r="C1496" s="4" t="s">
        <v>2008</v>
      </c>
      <c r="D1496" s="5" t="s">
        <v>2009</v>
      </c>
      <c r="E1496" s="5">
        <v>4388.28</v>
      </c>
      <c r="F1496" s="6">
        <f>LOOKUP(D1496,'AMFI DATA_2023H2'!F:J,'AMFI DATA_2023H2'!J:J)</f>
        <v>4000.6848</v>
      </c>
      <c r="G1496" s="7">
        <f t="shared" si="12"/>
        <v>2.0784441703580736E-3</v>
      </c>
      <c r="H1496" s="8">
        <v>4009</v>
      </c>
      <c r="I1496" s="8">
        <v>4037</v>
      </c>
      <c r="J1496" s="8">
        <v>3985</v>
      </c>
      <c r="K1496" s="8">
        <v>4014</v>
      </c>
      <c r="L1496" s="8">
        <v>4079</v>
      </c>
      <c r="M1496" s="8">
        <v>4105</v>
      </c>
      <c r="N1496" s="8">
        <v>4024</v>
      </c>
      <c r="O1496" s="8">
        <v>4110</v>
      </c>
      <c r="P1496" s="8">
        <v>3856</v>
      </c>
      <c r="Q1496" s="8">
        <v>3891</v>
      </c>
      <c r="R1496" s="7">
        <f t="shared" si="13"/>
        <v>2.5783585850103208E-3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</row>
    <row r="1497" spans="1:28" ht="14.4" hidden="1">
      <c r="A1497" s="3">
        <f>LOOKUP(D1497,'AMFI DATA_2023H2'!F:L,'AMFI DATA_2023H2'!L:L)</f>
        <v>788</v>
      </c>
      <c r="B1497" s="4" t="s">
        <v>2291</v>
      </c>
      <c r="C1497" s="4" t="s">
        <v>2292</v>
      </c>
      <c r="D1497" s="5" t="s">
        <v>2293</v>
      </c>
      <c r="E1497" s="5">
        <v>2084.21</v>
      </c>
      <c r="F1497" s="6">
        <f>LOOKUP(D1497,'AMFI DATA_2023H2'!F:J,'AMFI DATA_2023H2'!J:J)</f>
        <v>3000.3896</v>
      </c>
      <c r="G1497" s="7">
        <f t="shared" si="12"/>
        <v>0.37515474657024539</v>
      </c>
      <c r="H1497" s="8">
        <v>4126</v>
      </c>
      <c r="I1497" s="8">
        <v>4141</v>
      </c>
      <c r="J1497" s="8">
        <v>4139</v>
      </c>
      <c r="K1497" s="8">
        <v>3845</v>
      </c>
      <c r="L1497" s="8">
        <v>3874</v>
      </c>
      <c r="M1497" s="8">
        <v>3889</v>
      </c>
      <c r="N1497" s="8">
        <v>3990</v>
      </c>
      <c r="O1497" s="8">
        <v>3771</v>
      </c>
      <c r="P1497" s="8">
        <v>3738</v>
      </c>
      <c r="Q1497" s="8">
        <v>3726</v>
      </c>
      <c r="R1497" s="7">
        <f t="shared" si="13"/>
        <v>0.3077968274520082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</row>
    <row r="1498" spans="1:28" ht="14.4" hidden="1">
      <c r="A1498" s="3">
        <f>LOOKUP(D1498,'AMFI DATA_2023H2'!F:L,'AMFI DATA_2023H2'!L:L)</f>
        <v>630</v>
      </c>
      <c r="B1498" s="4" t="s">
        <v>1860</v>
      </c>
      <c r="C1498" s="4" t="s">
        <v>1861</v>
      </c>
      <c r="D1498" s="5" t="s">
        <v>1862</v>
      </c>
      <c r="E1498" s="5">
        <v>3871.94</v>
      </c>
      <c r="F1498" s="6">
        <f>LOOKUP(D1498,'AMFI DATA_2023H2'!F:J,'AMFI DATA_2023H2'!J:J)</f>
        <v>4744.5102000000006</v>
      </c>
      <c r="G1498" s="7">
        <f t="shared" si="12"/>
        <v>0.26019330720376566</v>
      </c>
      <c r="H1498" s="8">
        <v>5979</v>
      </c>
      <c r="I1498" s="8">
        <v>5971</v>
      </c>
      <c r="J1498" s="8">
        <v>5985</v>
      </c>
      <c r="K1498" s="8">
        <v>5963</v>
      </c>
      <c r="L1498" s="8">
        <v>6002</v>
      </c>
      <c r="M1498" s="8">
        <v>6120</v>
      </c>
      <c r="N1498" s="8">
        <v>5989</v>
      </c>
      <c r="O1498" s="8">
        <v>6084</v>
      </c>
      <c r="P1498" s="8">
        <v>5903</v>
      </c>
      <c r="Q1498" s="8">
        <v>5892</v>
      </c>
      <c r="R1498" s="7">
        <f t="shared" si="13"/>
        <v>0.26225885234686586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</row>
    <row r="1499" spans="1:28" ht="14.4" hidden="1">
      <c r="A1499" s="3">
        <f>LOOKUP(D1499,'AMFI DATA_2023H2'!F:L,'AMFI DATA_2023H2'!L:L)</f>
        <v>370</v>
      </c>
      <c r="B1499" s="4" t="s">
        <v>1116</v>
      </c>
      <c r="C1499" s="4" t="s">
        <v>1117</v>
      </c>
      <c r="D1499" s="5" t="s">
        <v>1118</v>
      </c>
      <c r="E1499" s="5">
        <v>10983</v>
      </c>
      <c r="F1499" s="6">
        <f>LOOKUP(D1499,'AMFI DATA_2023H2'!F:J,'AMFI DATA_2023H2'!J:J)</f>
        <v>11737.111349999999</v>
      </c>
      <c r="G1499" s="7">
        <f t="shared" si="12"/>
        <v>0.13273186251232083</v>
      </c>
      <c r="H1499" s="8">
        <v>13295</v>
      </c>
      <c r="I1499" s="8">
        <v>13345</v>
      </c>
      <c r="J1499" s="8">
        <v>13390</v>
      </c>
      <c r="K1499" s="8">
        <v>13483</v>
      </c>
      <c r="L1499" s="8">
        <v>13576</v>
      </c>
      <c r="M1499" s="8">
        <v>13284</v>
      </c>
      <c r="N1499" s="8">
        <v>13580</v>
      </c>
      <c r="O1499" s="8">
        <v>13332</v>
      </c>
      <c r="P1499" s="8">
        <v>13195</v>
      </c>
      <c r="Q1499" s="8">
        <v>13250</v>
      </c>
      <c r="R1499" s="7">
        <f t="shared" si="13"/>
        <v>0.13937744997196444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</row>
    <row r="1500" spans="1:28" ht="14.4" hidden="1">
      <c r="A1500" s="3">
        <f>LOOKUP(D1500,'AMFI DATA_2023H2'!F:L,'AMFI DATA_2023H2'!L:L)</f>
        <v>1597</v>
      </c>
      <c r="B1500" s="4" t="s">
        <v>4139</v>
      </c>
      <c r="C1500" s="4" t="s">
        <v>4140</v>
      </c>
      <c r="D1500" s="5" t="s">
        <v>4141</v>
      </c>
      <c r="E1500" s="5">
        <v>554.9</v>
      </c>
      <c r="F1500" s="6">
        <f>LOOKUP(D1500,'AMFI DATA_2023H2'!F:J,'AMFI DATA_2023H2'!J:J)</f>
        <v>415.23040000000003</v>
      </c>
      <c r="G1500" s="7">
        <f t="shared" si="12"/>
        <v>-0.11856164673877445</v>
      </c>
      <c r="H1500" s="9">
        <v>366</v>
      </c>
      <c r="I1500" s="9">
        <v>369</v>
      </c>
      <c r="J1500" s="9">
        <v>373</v>
      </c>
      <c r="K1500" s="9">
        <v>365</v>
      </c>
      <c r="L1500" s="9">
        <v>355</v>
      </c>
      <c r="M1500" s="9">
        <v>355</v>
      </c>
      <c r="N1500" s="9">
        <v>355</v>
      </c>
      <c r="O1500" s="9">
        <v>356</v>
      </c>
      <c r="P1500" s="9">
        <v>359</v>
      </c>
      <c r="Q1500" s="9">
        <v>356</v>
      </c>
      <c r="R1500" s="7">
        <f t="shared" si="13"/>
        <v>-0.13084398444815226</v>
      </c>
      <c r="S1500" s="9"/>
      <c r="T1500" s="9"/>
      <c r="U1500" s="9"/>
      <c r="V1500" s="9"/>
      <c r="W1500" s="9"/>
      <c r="X1500" s="9"/>
      <c r="Y1500" s="9"/>
      <c r="Z1500" s="9"/>
      <c r="AA1500" s="9"/>
      <c r="AB1500" s="9"/>
    </row>
    <row r="1501" spans="1:28" ht="14.4" hidden="1">
      <c r="A1501" s="3">
        <f>LOOKUP(D1501,'AMFI DATA_2023H2'!F:L,'AMFI DATA_2023H2'!L:L)</f>
        <v>3345</v>
      </c>
      <c r="B1501" s="4" t="s">
        <v>5656</v>
      </c>
      <c r="C1501" s="4" t="s">
        <v>5657</v>
      </c>
      <c r="D1501" s="5" t="s">
        <v>5658</v>
      </c>
      <c r="E1501" s="5">
        <v>20.399999999999999</v>
      </c>
      <c r="F1501" s="6">
        <f>LOOKUP(D1501,'AMFI DATA_2023H2'!F:J,'AMFI DATA_2023H2'!J:J)</f>
        <v>22.8598</v>
      </c>
      <c r="G1501" s="7">
        <f t="shared" si="12"/>
        <v>0.83728641545420346</v>
      </c>
      <c r="H1501" s="9">
        <v>42</v>
      </c>
      <c r="I1501" s="9">
        <v>41.4</v>
      </c>
      <c r="J1501" s="9">
        <v>40.700000000000003</v>
      </c>
      <c r="K1501" s="9">
        <v>40</v>
      </c>
      <c r="L1501" s="9">
        <v>39.299999999999997</v>
      </c>
      <c r="M1501" s="9">
        <v>38.6</v>
      </c>
      <c r="N1501" s="9">
        <v>37.9</v>
      </c>
      <c r="O1501" s="9">
        <v>37.200000000000003</v>
      </c>
      <c r="P1501" s="9">
        <v>80.599999999999994</v>
      </c>
      <c r="Q1501" s="9">
        <v>53.4</v>
      </c>
      <c r="R1501" s="7">
        <f t="shared" si="13"/>
        <v>0.97333310002712192</v>
      </c>
      <c r="S1501" s="9"/>
      <c r="T1501" s="9"/>
      <c r="U1501" s="9"/>
      <c r="V1501" s="9"/>
      <c r="W1501" s="9"/>
      <c r="X1501" s="9"/>
      <c r="Y1501" s="9"/>
      <c r="Z1501" s="9"/>
      <c r="AA1501" s="9"/>
      <c r="AB1501" s="9"/>
    </row>
    <row r="1502" spans="1:28" ht="14.4" hidden="1">
      <c r="A1502" s="3">
        <f>LOOKUP(D1502,'AMFI DATA_2023H2'!F:L,'AMFI DATA_2023H2'!L:L)</f>
        <v>1614</v>
      </c>
      <c r="B1502" s="4" t="s">
        <v>4178</v>
      </c>
      <c r="C1502" s="4" t="s">
        <v>4179</v>
      </c>
      <c r="D1502" s="5" t="s">
        <v>4180</v>
      </c>
      <c r="E1502" s="5">
        <v>360.54</v>
      </c>
      <c r="F1502" s="6">
        <f>LOOKUP(D1502,'AMFI DATA_2023H2'!F:J,'AMFI DATA_2023H2'!J:J)</f>
        <v>398.89355</v>
      </c>
      <c r="G1502" s="7">
        <f t="shared" si="12"/>
        <v>6.544716002552553E-2</v>
      </c>
      <c r="H1502" s="9">
        <v>425</v>
      </c>
      <c r="I1502" s="9">
        <v>429</v>
      </c>
      <c r="J1502" s="9">
        <v>425</v>
      </c>
      <c r="K1502" s="9">
        <v>425</v>
      </c>
      <c r="L1502" s="9">
        <v>432</v>
      </c>
      <c r="M1502" s="9">
        <v>436</v>
      </c>
      <c r="N1502" s="9">
        <v>432</v>
      </c>
      <c r="O1502" s="9">
        <v>442</v>
      </c>
      <c r="P1502" s="9">
        <v>422</v>
      </c>
      <c r="Q1502" s="9">
        <v>426</v>
      </c>
      <c r="R1502" s="7">
        <f t="shared" si="13"/>
        <v>7.6477671799907387E-2</v>
      </c>
      <c r="S1502" s="9"/>
      <c r="T1502" s="9"/>
      <c r="U1502" s="9"/>
      <c r="V1502" s="9"/>
      <c r="W1502" s="9"/>
      <c r="X1502" s="9"/>
      <c r="Y1502" s="9"/>
      <c r="Z1502" s="9"/>
      <c r="AA1502" s="9"/>
      <c r="AB1502" s="9"/>
    </row>
    <row r="1503" spans="1:28" ht="14.4" hidden="1">
      <c r="A1503" s="3">
        <f>LOOKUP(D1503,'AMFI DATA_2023H2'!F:L,'AMFI DATA_2023H2'!L:L)</f>
        <v>782</v>
      </c>
      <c r="B1503" s="4" t="s">
        <v>2276</v>
      </c>
      <c r="C1503" s="4" t="s">
        <v>2277</v>
      </c>
      <c r="D1503" s="5" t="s">
        <v>2278</v>
      </c>
      <c r="E1503" s="5">
        <v>2199.25</v>
      </c>
      <c r="F1503" s="6">
        <f>LOOKUP(D1503,'AMFI DATA_2023H2'!F:J,'AMFI DATA_2023H2'!J:J)</f>
        <v>3042.2470000000003</v>
      </c>
      <c r="G1503" s="7">
        <f t="shared" si="12"/>
        <v>-5.7604461439192844E-2</v>
      </c>
      <c r="H1503" s="8">
        <v>2867</v>
      </c>
      <c r="I1503" s="8">
        <v>2888</v>
      </c>
      <c r="J1503" s="8">
        <v>2903</v>
      </c>
      <c r="K1503" s="8">
        <v>2823</v>
      </c>
      <c r="L1503" s="8">
        <v>2779</v>
      </c>
      <c r="M1503" s="8">
        <v>2868</v>
      </c>
      <c r="N1503" s="8">
        <v>3030</v>
      </c>
      <c r="O1503" s="8">
        <v>3131</v>
      </c>
      <c r="P1503" s="8">
        <v>3091</v>
      </c>
      <c r="Q1503" s="8">
        <v>3142</v>
      </c>
      <c r="R1503" s="7">
        <f t="shared" si="13"/>
        <v>-2.9598845853081812E-2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</row>
    <row r="1504" spans="1:28" ht="14.4" hidden="1">
      <c r="A1504" s="3">
        <f>LOOKUP(D1504,'AMFI DATA_2023H2'!F:L,'AMFI DATA_2023H2'!L:L)</f>
        <v>560</v>
      </c>
      <c r="B1504" s="4" t="s">
        <v>1659</v>
      </c>
      <c r="C1504" s="4" t="s">
        <v>1660</v>
      </c>
      <c r="D1504" s="5" t="s">
        <v>1661</v>
      </c>
      <c r="E1504" s="5">
        <v>4485.08</v>
      </c>
      <c r="F1504" s="6">
        <f>LOOKUP(D1504,'AMFI DATA_2023H2'!F:J,'AMFI DATA_2023H2'!J:J)</f>
        <v>6171.9416000000001</v>
      </c>
      <c r="G1504" s="7">
        <f t="shared" si="12"/>
        <v>0.28938355476338273</v>
      </c>
      <c r="H1504" s="8">
        <v>7958</v>
      </c>
      <c r="I1504" s="8">
        <v>8058</v>
      </c>
      <c r="J1504" s="8">
        <v>8119</v>
      </c>
      <c r="K1504" s="8">
        <v>8105</v>
      </c>
      <c r="L1504" s="8">
        <v>7634</v>
      </c>
      <c r="M1504" s="8">
        <v>7588</v>
      </c>
      <c r="N1504" s="8">
        <v>7707</v>
      </c>
      <c r="O1504" s="8">
        <v>7711</v>
      </c>
      <c r="P1504" s="8">
        <v>7749</v>
      </c>
      <c r="Q1504" s="8">
        <v>7641</v>
      </c>
      <c r="R1504" s="7">
        <f t="shared" si="13"/>
        <v>0.26815846734518689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</row>
    <row r="1505" spans="1:28" ht="14.4" hidden="1">
      <c r="A1505" s="3">
        <f>LOOKUP(D1505,'AMFI DATA_2023H2'!F:L,'AMFI DATA_2023H2'!L:L)</f>
        <v>2614</v>
      </c>
      <c r="B1505" s="4" t="s">
        <v>5386</v>
      </c>
      <c r="C1505" s="4" t="s">
        <v>5387</v>
      </c>
      <c r="D1505" s="5" t="s">
        <v>5388</v>
      </c>
      <c r="E1505" s="5">
        <v>72.09</v>
      </c>
      <c r="F1505" s="6">
        <f>LOOKUP(D1505,'AMFI DATA_2023H2'!F:J,'AMFI DATA_2023H2'!J:J)</f>
        <v>67.157800000000009</v>
      </c>
      <c r="G1505" s="7">
        <f t="shared" si="12"/>
        <v>0.28205510007772716</v>
      </c>
      <c r="H1505" s="9">
        <v>86.1</v>
      </c>
      <c r="I1505" s="9">
        <v>82.6</v>
      </c>
      <c r="J1505" s="9">
        <v>82.4</v>
      </c>
      <c r="K1505" s="9">
        <v>84.6</v>
      </c>
      <c r="L1505" s="9">
        <v>80.8</v>
      </c>
      <c r="M1505" s="9">
        <v>83.7</v>
      </c>
      <c r="N1505" s="9">
        <v>84.7</v>
      </c>
      <c r="O1505" s="9">
        <v>86</v>
      </c>
      <c r="P1505" s="9">
        <v>78.7</v>
      </c>
      <c r="Q1505" s="9">
        <v>79</v>
      </c>
      <c r="R1505" s="7">
        <f t="shared" si="13"/>
        <v>0.23381051791452356</v>
      </c>
      <c r="S1505" s="9"/>
      <c r="T1505" s="9"/>
      <c r="U1505" s="9"/>
      <c r="V1505" s="9"/>
      <c r="W1505" s="9"/>
      <c r="X1505" s="9"/>
      <c r="Y1505" s="9"/>
      <c r="Z1505" s="9"/>
      <c r="AA1505" s="9"/>
      <c r="AB1505" s="9"/>
    </row>
    <row r="1506" spans="1:28" ht="14.4" hidden="1">
      <c r="A1506" s="3">
        <f>LOOKUP(D1506,'AMFI DATA_2023H2'!F:L,'AMFI DATA_2023H2'!L:L)</f>
        <v>2031</v>
      </c>
      <c r="B1506" s="4" t="s">
        <v>4784</v>
      </c>
      <c r="C1506" s="4" t="s">
        <v>4785</v>
      </c>
      <c r="D1506" s="5" t="s">
        <v>4786</v>
      </c>
      <c r="E1506" s="5">
        <v>157.85</v>
      </c>
      <c r="F1506" s="6">
        <f>LOOKUP(D1506,'AMFI DATA_2023H2'!F:J,'AMFI DATA_2023H2'!J:J)</f>
        <v>180.3734</v>
      </c>
      <c r="G1506" s="7">
        <f t="shared" si="12"/>
        <v>5.8914451909206189E-2</v>
      </c>
      <c r="H1506" s="9">
        <v>191</v>
      </c>
      <c r="I1506" s="9">
        <v>195</v>
      </c>
      <c r="J1506" s="9">
        <v>189</v>
      </c>
      <c r="K1506" s="9">
        <v>187</v>
      </c>
      <c r="L1506" s="9">
        <v>185</v>
      </c>
      <c r="M1506" s="9">
        <v>185</v>
      </c>
      <c r="N1506" s="9">
        <v>187</v>
      </c>
      <c r="O1506" s="9">
        <v>189</v>
      </c>
      <c r="P1506" s="9">
        <v>185</v>
      </c>
      <c r="Q1506" s="9">
        <v>184</v>
      </c>
      <c r="R1506" s="7">
        <f t="shared" si="13"/>
        <v>4.0619071326481571E-2</v>
      </c>
      <c r="S1506" s="9"/>
      <c r="T1506" s="9"/>
      <c r="U1506" s="9"/>
      <c r="V1506" s="9"/>
      <c r="W1506" s="9"/>
      <c r="X1506" s="9"/>
      <c r="Y1506" s="9"/>
      <c r="Z1506" s="9"/>
      <c r="AA1506" s="9"/>
      <c r="AB1506" s="9"/>
    </row>
    <row r="1507" spans="1:28" ht="14.4" hidden="1">
      <c r="A1507" s="3">
        <f>LOOKUP(D1507,'AMFI DATA_2023H2'!F:L,'AMFI DATA_2023H2'!L:L)</f>
        <v>756</v>
      </c>
      <c r="B1507" s="4" t="s">
        <v>2213</v>
      </c>
      <c r="C1507" s="4" t="s">
        <v>2214</v>
      </c>
      <c r="D1507" s="5" t="s">
        <v>2215</v>
      </c>
      <c r="E1507" s="5">
        <v>2764.97</v>
      </c>
      <c r="F1507" s="6">
        <f>LOOKUP(D1507,'AMFI DATA_2023H2'!F:J,'AMFI DATA_2023H2'!J:J)</f>
        <v>3282.2844</v>
      </c>
      <c r="G1507" s="7">
        <f t="shared" si="12"/>
        <v>5.6581203018239323E-2</v>
      </c>
      <c r="H1507" s="8">
        <v>3468</v>
      </c>
      <c r="I1507" s="8">
        <v>3364</v>
      </c>
      <c r="J1507" s="8">
        <v>3462</v>
      </c>
      <c r="K1507" s="8">
        <v>3446</v>
      </c>
      <c r="L1507" s="8">
        <v>3442</v>
      </c>
      <c r="M1507" s="8">
        <v>3169</v>
      </c>
      <c r="N1507" s="8">
        <v>3133</v>
      </c>
      <c r="O1507" s="8">
        <v>3117</v>
      </c>
      <c r="P1507" s="8">
        <v>3146</v>
      </c>
      <c r="Q1507" s="8">
        <v>3090</v>
      </c>
      <c r="R1507" s="7">
        <f t="shared" si="13"/>
        <v>4.3128499163569423E-4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</row>
    <row r="1508" spans="1:28" ht="14.4" hidden="1">
      <c r="A1508" s="3">
        <f>LOOKUP(D1508,'AMFI DATA_2023H2'!F:L,'AMFI DATA_2023H2'!L:L)</f>
        <v>1183</v>
      </c>
      <c r="B1508" s="4" t="s">
        <v>3305</v>
      </c>
      <c r="C1508" s="4" t="s">
        <v>3306</v>
      </c>
      <c r="D1508" s="5" t="s">
        <v>3307</v>
      </c>
      <c r="E1508" s="5">
        <v>1043.42</v>
      </c>
      <c r="F1508" s="6">
        <f>LOOKUP(D1508,'AMFI DATA_2023H2'!F:J,'AMFI DATA_2023H2'!J:J)</f>
        <v>1080.2042000000001</v>
      </c>
      <c r="G1508" s="7">
        <f t="shared" si="12"/>
        <v>2.2954733929010818E-2</v>
      </c>
      <c r="H1508" s="9">
        <v>1105</v>
      </c>
      <c r="I1508" s="9">
        <v>1101</v>
      </c>
      <c r="J1508" s="9">
        <v>1110</v>
      </c>
      <c r="K1508" s="9">
        <v>1119</v>
      </c>
      <c r="L1508" s="9">
        <v>1147</v>
      </c>
      <c r="M1508" s="9">
        <v>1147</v>
      </c>
      <c r="N1508" s="9">
        <v>1151</v>
      </c>
      <c r="O1508" s="9">
        <v>1081</v>
      </c>
      <c r="P1508" s="9">
        <v>994</v>
      </c>
      <c r="Q1508" s="9">
        <v>961</v>
      </c>
      <c r="R1508" s="7">
        <f t="shared" si="13"/>
        <v>1.0549671997201804E-2</v>
      </c>
      <c r="S1508" s="9"/>
      <c r="T1508" s="9"/>
      <c r="U1508" s="9"/>
      <c r="V1508" s="9"/>
      <c r="W1508" s="9"/>
      <c r="X1508" s="9"/>
      <c r="Y1508" s="9"/>
      <c r="Z1508" s="9"/>
      <c r="AA1508" s="9"/>
      <c r="AB1508" s="9"/>
    </row>
    <row r="1509" spans="1:28" ht="14.4" hidden="1">
      <c r="A1509" s="3">
        <f>LOOKUP(D1509,'AMFI DATA_2023H2'!F:L,'AMFI DATA_2023H2'!L:L)</f>
        <v>1625</v>
      </c>
      <c r="B1509" s="4" t="s">
        <v>4199</v>
      </c>
      <c r="C1509" s="4" t="s">
        <v>4200</v>
      </c>
      <c r="D1509" s="5" t="s">
        <v>4201</v>
      </c>
      <c r="E1509" s="5">
        <v>311.35000000000002</v>
      </c>
      <c r="F1509" s="6">
        <f>LOOKUP(D1509,'AMFI DATA_2023H2'!F:J,'AMFI DATA_2023H2'!J:J)</f>
        <v>386.84084999999999</v>
      </c>
      <c r="G1509" s="7">
        <f t="shared" si="12"/>
        <v>0.209799844044392</v>
      </c>
      <c r="H1509" s="9">
        <v>468</v>
      </c>
      <c r="I1509" s="9">
        <v>469</v>
      </c>
      <c r="J1509" s="9">
        <v>468</v>
      </c>
      <c r="K1509" s="9">
        <v>462</v>
      </c>
      <c r="L1509" s="9">
        <v>466</v>
      </c>
      <c r="M1509" s="9">
        <v>472</v>
      </c>
      <c r="N1509" s="9">
        <v>491</v>
      </c>
      <c r="O1509" s="9">
        <v>490</v>
      </c>
      <c r="P1509" s="9">
        <v>471</v>
      </c>
      <c r="Q1509" s="9">
        <v>484</v>
      </c>
      <c r="R1509" s="7">
        <f t="shared" si="13"/>
        <v>0.22556860269539802</v>
      </c>
      <c r="S1509" s="9"/>
      <c r="T1509" s="9"/>
      <c r="U1509" s="9"/>
      <c r="V1509" s="9"/>
      <c r="W1509" s="9"/>
      <c r="X1509" s="9"/>
      <c r="Y1509" s="9"/>
      <c r="Z1509" s="9"/>
      <c r="AA1509" s="9"/>
      <c r="AB1509" s="9"/>
    </row>
    <row r="1510" spans="1:28" ht="14.4" hidden="1">
      <c r="A1510" s="3">
        <f>LOOKUP(D1510,'AMFI DATA_2023H2'!F:L,'AMFI DATA_2023H2'!L:L)</f>
        <v>475</v>
      </c>
      <c r="B1510" s="4" t="s">
        <v>1413</v>
      </c>
      <c r="C1510" s="4" t="s">
        <v>1414</v>
      </c>
      <c r="D1510" s="5" t="s">
        <v>1415</v>
      </c>
      <c r="E1510" s="5">
        <v>7503.28</v>
      </c>
      <c r="F1510" s="6">
        <f>LOOKUP(D1510,'AMFI DATA_2023H2'!F:J,'AMFI DATA_2023H2'!J:J)</f>
        <v>7891.9879999999994</v>
      </c>
      <c r="G1510" s="7">
        <f t="shared" si="12"/>
        <v>-3.3956970030871725E-2</v>
      </c>
      <c r="H1510" s="8">
        <v>7624</v>
      </c>
      <c r="I1510" s="8">
        <v>7639</v>
      </c>
      <c r="J1510" s="8">
        <v>7490</v>
      </c>
      <c r="K1510" s="8">
        <v>7549</v>
      </c>
      <c r="L1510" s="8">
        <v>7504</v>
      </c>
      <c r="M1510" s="8">
        <v>7642</v>
      </c>
      <c r="N1510" s="8">
        <v>7494</v>
      </c>
      <c r="O1510" s="8">
        <v>7532</v>
      </c>
      <c r="P1510" s="8">
        <v>7680</v>
      </c>
      <c r="Q1510" s="8">
        <v>7581</v>
      </c>
      <c r="R1510" s="7">
        <f t="shared" si="13"/>
        <v>-4.0355864707346201E-2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</row>
    <row r="1511" spans="1:28" ht="14.4" hidden="1">
      <c r="A1511" s="3">
        <f>LOOKUP(D1511,'AMFI DATA_2023H2'!F:L,'AMFI DATA_2023H2'!L:L)</f>
        <v>2362</v>
      </c>
      <c r="B1511" s="4" t="s">
        <v>5183</v>
      </c>
      <c r="C1511" s="4" t="s">
        <v>5184</v>
      </c>
      <c r="D1511" s="5" t="s">
        <v>5185</v>
      </c>
      <c r="E1511" s="5">
        <v>93.35</v>
      </c>
      <c r="F1511" s="6">
        <f>LOOKUP(D1511,'AMFI DATA_2023H2'!F:J,'AMFI DATA_2023H2'!J:J)</f>
        <v>102.4815</v>
      </c>
      <c r="G1511" s="7">
        <f t="shared" si="12"/>
        <v>0.34658450549611408</v>
      </c>
      <c r="H1511" s="9">
        <v>138</v>
      </c>
      <c r="I1511" s="9">
        <v>137</v>
      </c>
      <c r="J1511" s="9">
        <v>142</v>
      </c>
      <c r="K1511" s="9">
        <v>135</v>
      </c>
      <c r="L1511" s="9">
        <v>137</v>
      </c>
      <c r="M1511" s="9">
        <v>137</v>
      </c>
      <c r="N1511" s="9">
        <v>138</v>
      </c>
      <c r="O1511" s="9">
        <v>137</v>
      </c>
      <c r="P1511" s="9">
        <v>139</v>
      </c>
      <c r="Q1511" s="9">
        <v>137</v>
      </c>
      <c r="R1511" s="7">
        <f t="shared" si="13"/>
        <v>0.34365714787547019</v>
      </c>
      <c r="S1511" s="9"/>
      <c r="T1511" s="9"/>
      <c r="U1511" s="9"/>
      <c r="V1511" s="9"/>
      <c r="W1511" s="9"/>
      <c r="X1511" s="9"/>
      <c r="Y1511" s="9"/>
      <c r="Z1511" s="9"/>
      <c r="AA1511" s="9"/>
      <c r="AB1511" s="9"/>
    </row>
    <row r="1512" spans="1:28" ht="14.4" hidden="1">
      <c r="A1512" s="3">
        <f>LOOKUP(D1512,'AMFI DATA_2023H2'!F:L,'AMFI DATA_2023H2'!L:L)</f>
        <v>65</v>
      </c>
      <c r="B1512" s="4" t="s">
        <v>204</v>
      </c>
      <c r="C1512" s="4" t="s">
        <v>205</v>
      </c>
      <c r="D1512" s="5" t="s">
        <v>206</v>
      </c>
      <c r="E1512" s="5">
        <v>89674.59</v>
      </c>
      <c r="F1512" s="6">
        <f>LOOKUP(D1512,'AMFI DATA_2023H2'!F:J,'AMFI DATA_2023H2'!J:J)</f>
        <v>92629.748250000004</v>
      </c>
      <c r="G1512" s="7">
        <f t="shared" si="12"/>
        <v>5.1692375726606787E-2</v>
      </c>
      <c r="H1512" s="8">
        <v>97418</v>
      </c>
      <c r="I1512" s="8">
        <v>102317</v>
      </c>
      <c r="J1512" s="8">
        <v>101566</v>
      </c>
      <c r="K1512" s="8">
        <v>101037</v>
      </c>
      <c r="L1512" s="8">
        <v>102292</v>
      </c>
      <c r="M1512" s="8">
        <v>103149</v>
      </c>
      <c r="N1512" s="8">
        <v>102922</v>
      </c>
      <c r="O1512" s="8">
        <v>103353</v>
      </c>
      <c r="P1512" s="8">
        <v>103286</v>
      </c>
      <c r="Q1512" s="8">
        <v>101699</v>
      </c>
      <c r="R1512" s="7">
        <f t="shared" si="13"/>
        <v>0.10012066237047113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</row>
    <row r="1513" spans="1:28" ht="14.4" hidden="1">
      <c r="A1513" s="3">
        <f>LOOKUP(D1513,'AMFI DATA_2023H2'!F:L,'AMFI DATA_2023H2'!L:L)</f>
        <v>1110</v>
      </c>
      <c r="B1513" s="4" t="s">
        <v>3137</v>
      </c>
      <c r="C1513" s="4" t="s">
        <v>3138</v>
      </c>
      <c r="D1513" s="5" t="s">
        <v>3139</v>
      </c>
      <c r="E1513" s="5">
        <v>1043.6199999999999</v>
      </c>
      <c r="F1513" s="6">
        <f>LOOKUP(D1513,'AMFI DATA_2023H2'!F:J,'AMFI DATA_2023H2'!J:J)</f>
        <v>1301.8539500000002</v>
      </c>
      <c r="G1513" s="7">
        <f t="shared" si="12"/>
        <v>8.8447747921339248E-2</v>
      </c>
      <c r="H1513" s="8">
        <v>1417</v>
      </c>
      <c r="I1513" s="8">
        <v>1443</v>
      </c>
      <c r="J1513" s="8">
        <v>1418</v>
      </c>
      <c r="K1513" s="8">
        <v>1458</v>
      </c>
      <c r="L1513" s="8">
        <v>1437</v>
      </c>
      <c r="M1513" s="8">
        <v>1376</v>
      </c>
      <c r="N1513" s="8">
        <v>1400</v>
      </c>
      <c r="O1513" s="8">
        <v>1385</v>
      </c>
      <c r="P1513" s="8">
        <v>1359</v>
      </c>
      <c r="Q1513" s="8">
        <v>1349</v>
      </c>
      <c r="R1513" s="7">
        <f t="shared" si="13"/>
        <v>7.861561583002441E-2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</row>
    <row r="1514" spans="1:28" ht="14.4" hidden="1">
      <c r="A1514" s="3">
        <f>LOOKUP(D1514,'AMFI DATA_2023H2'!F:L,'AMFI DATA_2023H2'!L:L)</f>
        <v>1410</v>
      </c>
      <c r="B1514" s="4" t="s">
        <v>3794</v>
      </c>
      <c r="C1514" s="4" t="s">
        <v>3795</v>
      </c>
      <c r="D1514" s="5" t="s">
        <v>3796</v>
      </c>
      <c r="E1514" s="5">
        <v>549.99</v>
      </c>
      <c r="F1514" s="6">
        <f>LOOKUP(D1514,'AMFI DATA_2023H2'!F:J,'AMFI DATA_2023H2'!J:J)</f>
        <v>634.22019999999998</v>
      </c>
      <c r="G1514" s="7">
        <f t="shared" si="12"/>
        <v>0.11633152018809878</v>
      </c>
      <c r="H1514" s="9">
        <v>708</v>
      </c>
      <c r="I1514" s="9">
        <v>729</v>
      </c>
      <c r="J1514" s="9">
        <v>712</v>
      </c>
      <c r="K1514" s="9">
        <v>706</v>
      </c>
      <c r="L1514" s="9">
        <v>714</v>
      </c>
      <c r="M1514" s="9">
        <v>711</v>
      </c>
      <c r="N1514" s="9">
        <v>733</v>
      </c>
      <c r="O1514" s="9">
        <v>730</v>
      </c>
      <c r="P1514" s="9">
        <v>737</v>
      </c>
      <c r="Q1514" s="9">
        <v>701</v>
      </c>
      <c r="R1514" s="7">
        <f t="shared" si="13"/>
        <v>0.13225658848456745</v>
      </c>
      <c r="S1514" s="9"/>
      <c r="T1514" s="9"/>
      <c r="U1514" s="9"/>
      <c r="V1514" s="9"/>
      <c r="W1514" s="9"/>
      <c r="X1514" s="9"/>
      <c r="Y1514" s="9"/>
      <c r="Z1514" s="9"/>
      <c r="AA1514" s="9"/>
      <c r="AB1514" s="9"/>
    </row>
    <row r="1515" spans="1:28" ht="14.4" hidden="1">
      <c r="A1515" s="3">
        <f>LOOKUP(D1515,'AMFI DATA_2023H2'!F:L,'AMFI DATA_2023H2'!L:L)</f>
        <v>2584</v>
      </c>
      <c r="B1515" s="4" t="s">
        <v>5365</v>
      </c>
      <c r="C1515" s="4" t="s">
        <v>5366</v>
      </c>
      <c r="D1515" s="5" t="s">
        <v>5367</v>
      </c>
      <c r="E1515" s="5">
        <v>106.06</v>
      </c>
      <c r="F1515" s="6">
        <f>LOOKUP(D1515,'AMFI DATA_2023H2'!F:J,'AMFI DATA_2023H2'!J:J)</f>
        <v>70.901899999999998</v>
      </c>
      <c r="G1515" s="7">
        <f t="shared" si="12"/>
        <v>-0.36532025234866761</v>
      </c>
      <c r="H1515" s="9">
        <v>45</v>
      </c>
      <c r="I1515" s="9">
        <v>45</v>
      </c>
      <c r="J1515" s="9">
        <v>47.1</v>
      </c>
      <c r="K1515" s="9">
        <v>47.1</v>
      </c>
      <c r="L1515" s="9">
        <v>47.1</v>
      </c>
      <c r="M1515" s="9">
        <v>45</v>
      </c>
      <c r="N1515" s="9">
        <v>42.8</v>
      </c>
      <c r="O1515" s="9">
        <v>45</v>
      </c>
      <c r="P1515" s="9">
        <v>45</v>
      </c>
      <c r="Q1515" s="9">
        <v>45</v>
      </c>
      <c r="R1515" s="7">
        <f t="shared" si="13"/>
        <v>-0.35953761464784439</v>
      </c>
      <c r="S1515" s="9"/>
      <c r="T1515" s="9"/>
      <c r="U1515" s="9"/>
      <c r="V1515" s="9"/>
      <c r="W1515" s="9"/>
      <c r="X1515" s="9"/>
      <c r="Y1515" s="9"/>
      <c r="Z1515" s="9"/>
      <c r="AA1515" s="9"/>
      <c r="AB1515" s="9"/>
    </row>
    <row r="1516" spans="1:28" ht="14.4" hidden="1">
      <c r="A1516" s="3">
        <f>LOOKUP(D1516,'AMFI DATA_2023H2'!F:L,'AMFI DATA_2023H2'!L:L)</f>
        <v>1723</v>
      </c>
      <c r="B1516" s="4" t="s">
        <v>4364</v>
      </c>
      <c r="C1516" s="4" t="s">
        <v>4365</v>
      </c>
      <c r="D1516" s="5" t="s">
        <v>4366</v>
      </c>
      <c r="E1516" s="5">
        <v>83.78</v>
      </c>
      <c r="F1516" s="6">
        <f>LOOKUP(D1516,'AMFI DATA_2023H2'!F:J,'AMFI DATA_2023H2'!J:J)</f>
        <v>318.16745000000003</v>
      </c>
      <c r="G1516" s="7">
        <f t="shared" si="12"/>
        <v>0.33263160640725498</v>
      </c>
      <c r="H1516" s="9">
        <v>424</v>
      </c>
      <c r="I1516" s="9">
        <v>399</v>
      </c>
      <c r="J1516" s="9">
        <v>405</v>
      </c>
      <c r="K1516" s="9">
        <v>387</v>
      </c>
      <c r="L1516" s="9">
        <v>389</v>
      </c>
      <c r="M1516" s="9">
        <v>399</v>
      </c>
      <c r="N1516" s="9">
        <v>400</v>
      </c>
      <c r="O1516" s="9">
        <v>389</v>
      </c>
      <c r="P1516" s="9">
        <v>379</v>
      </c>
      <c r="Q1516" s="9">
        <v>392</v>
      </c>
      <c r="R1516" s="7">
        <f t="shared" si="13"/>
        <v>0.24557053212074331</v>
      </c>
      <c r="S1516" s="9"/>
      <c r="T1516" s="9"/>
      <c r="U1516" s="9"/>
      <c r="V1516" s="9"/>
      <c r="W1516" s="9"/>
      <c r="X1516" s="9"/>
      <c r="Y1516" s="9"/>
      <c r="Z1516" s="9"/>
      <c r="AA1516" s="9"/>
      <c r="AB1516" s="9"/>
    </row>
    <row r="1517" spans="1:28" ht="14.4" hidden="1">
      <c r="A1517" s="3">
        <f>LOOKUP(D1517,'AMFI DATA_2023H2'!F:L,'AMFI DATA_2023H2'!L:L)</f>
        <v>1906</v>
      </c>
      <c r="B1517" s="4" t="s">
        <v>4616</v>
      </c>
      <c r="C1517" s="4" t="s">
        <v>4617</v>
      </c>
      <c r="D1517" s="5" t="s">
        <v>4618</v>
      </c>
      <c r="E1517" s="5">
        <v>194.59</v>
      </c>
      <c r="F1517" s="6">
        <f>LOOKUP(D1517,'AMFI DATA_2023H2'!F:J,'AMFI DATA_2023H2'!J:J)</f>
        <v>216.94085000000001</v>
      </c>
      <c r="G1517" s="7">
        <f t="shared" si="12"/>
        <v>0.30911259912552191</v>
      </c>
      <c r="H1517" s="9">
        <v>284</v>
      </c>
      <c r="I1517" s="9">
        <v>288</v>
      </c>
      <c r="J1517" s="9">
        <v>295</v>
      </c>
      <c r="K1517" s="9">
        <v>299</v>
      </c>
      <c r="L1517" s="9">
        <v>271</v>
      </c>
      <c r="M1517" s="9">
        <v>260</v>
      </c>
      <c r="N1517" s="9">
        <v>246</v>
      </c>
      <c r="O1517" s="9">
        <v>258</v>
      </c>
      <c r="P1517" s="9">
        <v>268</v>
      </c>
      <c r="Q1517" s="9">
        <v>271</v>
      </c>
      <c r="R1517" s="7">
        <f t="shared" si="13"/>
        <v>0.26301708507180632</v>
      </c>
      <c r="S1517" s="9"/>
      <c r="T1517" s="9"/>
      <c r="U1517" s="9"/>
      <c r="V1517" s="9"/>
      <c r="W1517" s="9"/>
      <c r="X1517" s="9"/>
      <c r="Y1517" s="9"/>
      <c r="Z1517" s="9"/>
      <c r="AA1517" s="9"/>
      <c r="AB1517" s="9"/>
    </row>
    <row r="1518" spans="1:28" ht="14.4" hidden="1">
      <c r="A1518" s="3">
        <f>LOOKUP(D1518,'AMFI DATA_2023H2'!F:L,'AMFI DATA_2023H2'!L:L)</f>
        <v>395</v>
      </c>
      <c r="B1518" s="4" t="s">
        <v>1191</v>
      </c>
      <c r="C1518" s="4" t="s">
        <v>1192</v>
      </c>
      <c r="D1518" s="5" t="s">
        <v>1193</v>
      </c>
      <c r="E1518" s="5">
        <v>9925.5300000000007</v>
      </c>
      <c r="F1518" s="6">
        <f>LOOKUP(D1518,'AMFI DATA_2023H2'!F:J,'AMFI DATA_2023H2'!J:J)</f>
        <v>10412.599</v>
      </c>
      <c r="G1518" s="7">
        <f t="shared" si="12"/>
        <v>-3.415083976632538E-2</v>
      </c>
      <c r="H1518" s="8">
        <v>10057</v>
      </c>
      <c r="I1518" s="8">
        <v>10025</v>
      </c>
      <c r="J1518" s="8">
        <v>9985</v>
      </c>
      <c r="K1518" s="8">
        <v>10046</v>
      </c>
      <c r="L1518" s="8">
        <v>10078</v>
      </c>
      <c r="M1518" s="8">
        <v>10036</v>
      </c>
      <c r="N1518" s="8">
        <v>9866</v>
      </c>
      <c r="O1518" s="8">
        <v>9919</v>
      </c>
      <c r="P1518" s="8">
        <v>9964</v>
      </c>
      <c r="Q1518" s="8">
        <v>10046</v>
      </c>
      <c r="R1518" s="7">
        <f t="shared" si="13"/>
        <v>-3.9413694890199746E-2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</row>
    <row r="1519" spans="1:28" ht="14.4" hidden="1">
      <c r="A1519" s="3">
        <f>LOOKUP(D1519,'AMFI DATA_2023H2'!F:L,'AMFI DATA_2023H2'!L:L)</f>
        <v>1965</v>
      </c>
      <c r="B1519" s="4" t="s">
        <v>4679</v>
      </c>
      <c r="C1519" s="4" t="s">
        <v>4680</v>
      </c>
      <c r="D1519" s="5" t="s">
        <v>4681</v>
      </c>
      <c r="E1519" s="5">
        <v>193.71</v>
      </c>
      <c r="F1519" s="6">
        <f>LOOKUP(D1519,'AMFI DATA_2023H2'!F:J,'AMFI DATA_2023H2'!J:J)</f>
        <v>198.04230000000001</v>
      </c>
      <c r="G1519" s="7">
        <f t="shared" si="12"/>
        <v>0.39869108771206951</v>
      </c>
      <c r="H1519" s="9">
        <v>277</v>
      </c>
      <c r="I1519" s="9">
        <v>265</v>
      </c>
      <c r="J1519" s="9">
        <v>255</v>
      </c>
      <c r="K1519" s="9">
        <v>261</v>
      </c>
      <c r="L1519" s="9">
        <v>257</v>
      </c>
      <c r="M1519" s="9">
        <v>245</v>
      </c>
      <c r="N1519" s="9">
        <v>233</v>
      </c>
      <c r="O1519" s="9">
        <v>222</v>
      </c>
      <c r="P1519" s="9">
        <v>212</v>
      </c>
      <c r="Q1519" s="9">
        <v>203</v>
      </c>
      <c r="R1519" s="7">
        <f t="shared" si="13"/>
        <v>0.22701059319145456</v>
      </c>
      <c r="S1519" s="9"/>
      <c r="T1519" s="9"/>
      <c r="U1519" s="9"/>
      <c r="V1519" s="9"/>
      <c r="W1519" s="9"/>
      <c r="X1519" s="9"/>
      <c r="Y1519" s="9"/>
      <c r="Z1519" s="9"/>
      <c r="AA1519" s="9"/>
      <c r="AB1519" s="9"/>
    </row>
    <row r="1520" spans="1:28" ht="14.4" hidden="1">
      <c r="A1520" s="3">
        <f>LOOKUP(D1520,'AMFI DATA_2023H2'!F:L,'AMFI DATA_2023H2'!L:L)</f>
        <v>1510</v>
      </c>
      <c r="B1520" s="4" t="s">
        <v>3983</v>
      </c>
      <c r="C1520" s="4" t="s">
        <v>3984</v>
      </c>
      <c r="D1520" s="5" t="s">
        <v>3985</v>
      </c>
      <c r="E1520" s="5">
        <v>551.82000000000005</v>
      </c>
      <c r="F1520" s="6">
        <f>LOOKUP(D1520,'AMFI DATA_2023H2'!F:J,'AMFI DATA_2023H2'!J:J)</f>
        <v>497.06509999999997</v>
      </c>
      <c r="G1520" s="7">
        <f t="shared" si="12"/>
        <v>-0.10876865022307936</v>
      </c>
      <c r="H1520" s="9">
        <v>443</v>
      </c>
      <c r="I1520" s="9">
        <v>418</v>
      </c>
      <c r="J1520" s="9">
        <v>430</v>
      </c>
      <c r="K1520" s="9">
        <v>432</v>
      </c>
      <c r="L1520" s="9">
        <v>433</v>
      </c>
      <c r="M1520" s="9">
        <v>433</v>
      </c>
      <c r="N1520" s="9">
        <v>449</v>
      </c>
      <c r="O1520" s="9">
        <v>454</v>
      </c>
      <c r="P1520" s="9">
        <v>456</v>
      </c>
      <c r="Q1520" s="9">
        <v>461</v>
      </c>
      <c r="R1520" s="7">
        <f t="shared" si="13"/>
        <v>-0.11299344894662688</v>
      </c>
      <c r="S1520" s="9"/>
      <c r="T1520" s="9"/>
      <c r="U1520" s="9"/>
      <c r="V1520" s="9"/>
      <c r="W1520" s="9"/>
      <c r="X1520" s="9"/>
      <c r="Y1520" s="9"/>
      <c r="Z1520" s="9"/>
      <c r="AA1520" s="9"/>
      <c r="AB1520" s="9"/>
    </row>
    <row r="1521" spans="1:28" ht="14.4" hidden="1">
      <c r="A1521" s="3">
        <f>LOOKUP(D1521,'AMFI DATA_2023H2'!F:L,'AMFI DATA_2023H2'!L:L)</f>
        <v>2644</v>
      </c>
      <c r="B1521" s="4" t="s">
        <v>5410</v>
      </c>
      <c r="C1521" s="4" t="s">
        <v>5411</v>
      </c>
      <c r="D1521" s="5" t="s">
        <v>5412</v>
      </c>
      <c r="E1521" s="5">
        <v>73.040000000000006</v>
      </c>
      <c r="F1521" s="6">
        <f>LOOKUP(D1521,'AMFI DATA_2023H2'!F:J,'AMFI DATA_2023H2'!J:J)</f>
        <v>63.1248</v>
      </c>
      <c r="G1521" s="7">
        <f t="shared" si="12"/>
        <v>0.35762806377208323</v>
      </c>
      <c r="H1521" s="9">
        <v>85.7</v>
      </c>
      <c r="I1521" s="9">
        <v>82.6</v>
      </c>
      <c r="J1521" s="9">
        <v>79.599999999999994</v>
      </c>
      <c r="K1521" s="9">
        <v>76.5</v>
      </c>
      <c r="L1521" s="9">
        <v>73.400000000000006</v>
      </c>
      <c r="M1521" s="9">
        <v>76.5</v>
      </c>
      <c r="N1521" s="9">
        <v>76.5</v>
      </c>
      <c r="O1521" s="9">
        <v>76.5</v>
      </c>
      <c r="P1521" s="9">
        <v>79.599999999999994</v>
      </c>
      <c r="Q1521" s="9">
        <v>79.599999999999994</v>
      </c>
      <c r="R1521" s="7">
        <f t="shared" si="13"/>
        <v>0.2459445416064685</v>
      </c>
      <c r="S1521" s="9"/>
      <c r="T1521" s="9"/>
      <c r="U1521" s="9"/>
      <c r="V1521" s="9"/>
      <c r="W1521" s="9"/>
      <c r="X1521" s="9"/>
      <c r="Y1521" s="9"/>
      <c r="Z1521" s="9"/>
      <c r="AA1521" s="9"/>
      <c r="AB1521" s="9"/>
    </row>
    <row r="1522" spans="1:28" ht="14.4" hidden="1">
      <c r="A1522" s="3">
        <f>LOOKUP(D1522,'AMFI DATA_2023H2'!F:L,'AMFI DATA_2023H2'!L:L)</f>
        <v>1684</v>
      </c>
      <c r="B1522" s="4" t="s">
        <v>4304</v>
      </c>
      <c r="C1522" s="4" t="s">
        <v>4305</v>
      </c>
      <c r="D1522" s="5" t="s">
        <v>4306</v>
      </c>
      <c r="E1522" s="5">
        <v>241.58</v>
      </c>
      <c r="F1522" s="6">
        <f>LOOKUP(D1522,'AMFI DATA_2023H2'!F:J,'AMFI DATA_2023H2'!J:J)</f>
        <v>336.95515</v>
      </c>
      <c r="G1522" s="7">
        <f t="shared" si="12"/>
        <v>0.11290775641802764</v>
      </c>
      <c r="H1522" s="9">
        <v>375</v>
      </c>
      <c r="I1522" s="9">
        <v>367</v>
      </c>
      <c r="J1522" s="9">
        <v>360</v>
      </c>
      <c r="K1522" s="9">
        <v>353</v>
      </c>
      <c r="L1522" s="9">
        <v>357</v>
      </c>
      <c r="M1522" s="9">
        <v>358</v>
      </c>
      <c r="N1522" s="9">
        <v>359</v>
      </c>
      <c r="O1522" s="9">
        <v>357</v>
      </c>
      <c r="P1522" s="9">
        <v>358</v>
      </c>
      <c r="Q1522" s="9">
        <v>363</v>
      </c>
      <c r="R1522" s="7">
        <f t="shared" si="13"/>
        <v>7.0468873973286827E-2</v>
      </c>
      <c r="S1522" s="9"/>
      <c r="T1522" s="9"/>
      <c r="U1522" s="9"/>
      <c r="V1522" s="9"/>
      <c r="W1522" s="9"/>
      <c r="X1522" s="9"/>
      <c r="Y1522" s="9"/>
      <c r="Z1522" s="9"/>
      <c r="AA1522" s="9"/>
      <c r="AB1522" s="9"/>
    </row>
    <row r="1523" spans="1:28" ht="14.4" hidden="1">
      <c r="A1523" s="3">
        <f>LOOKUP(D1523,'AMFI DATA_2023H2'!F:L,'AMFI DATA_2023H2'!L:L)</f>
        <v>1346</v>
      </c>
      <c r="B1523" s="4" t="s">
        <v>3659</v>
      </c>
      <c r="C1523" s="4" t="s">
        <v>3660</v>
      </c>
      <c r="D1523" s="5" t="s">
        <v>3661</v>
      </c>
      <c r="E1523" s="5">
        <v>637.44000000000005</v>
      </c>
      <c r="F1523" s="6">
        <f>LOOKUP(D1523,'AMFI DATA_2023H2'!F:J,'AMFI DATA_2023H2'!J:J)</f>
        <v>733.31584999999995</v>
      </c>
      <c r="G1523" s="7">
        <f t="shared" si="12"/>
        <v>-0.1449796155367431</v>
      </c>
      <c r="H1523" s="9">
        <v>627</v>
      </c>
      <c r="I1523" s="9">
        <v>625</v>
      </c>
      <c r="J1523" s="9">
        <v>628</v>
      </c>
      <c r="K1523" s="9">
        <v>633</v>
      </c>
      <c r="L1523" s="9">
        <v>622</v>
      </c>
      <c r="M1523" s="9">
        <v>613</v>
      </c>
      <c r="N1523" s="9">
        <v>615</v>
      </c>
      <c r="O1523" s="9">
        <v>621</v>
      </c>
      <c r="P1523" s="9">
        <v>621</v>
      </c>
      <c r="Q1523" s="9">
        <v>616</v>
      </c>
      <c r="R1523" s="7">
        <f t="shared" si="13"/>
        <v>-0.15166159302297899</v>
      </c>
      <c r="S1523" s="9"/>
      <c r="T1523" s="9"/>
      <c r="U1523" s="9"/>
      <c r="V1523" s="9"/>
      <c r="W1523" s="9"/>
      <c r="X1523" s="9"/>
      <c r="Y1523" s="9"/>
      <c r="Z1523" s="9"/>
      <c r="AA1523" s="9"/>
      <c r="AB1523" s="9"/>
    </row>
    <row r="1524" spans="1:28" ht="14.4" hidden="1">
      <c r="A1524" s="3">
        <f>LOOKUP(D1524,'AMFI DATA_2023H2'!F:L,'AMFI DATA_2023H2'!L:L)</f>
        <v>90</v>
      </c>
      <c r="B1524" s="4" t="s">
        <v>282</v>
      </c>
      <c r="C1524" s="4" t="s">
        <v>283</v>
      </c>
      <c r="D1524" s="5" t="s">
        <v>284</v>
      </c>
      <c r="E1524" s="5">
        <v>48214.27</v>
      </c>
      <c r="F1524" s="6">
        <f>LOOKUP(D1524,'AMFI DATA_2023H2'!F:J,'AMFI DATA_2023H2'!J:J)</f>
        <v>71501.892200000002</v>
      </c>
      <c r="G1524" s="7">
        <f t="shared" si="12"/>
        <v>0.14149426663704423</v>
      </c>
      <c r="H1524" s="8">
        <v>81619</v>
      </c>
      <c r="I1524" s="8">
        <v>80683</v>
      </c>
      <c r="J1524" s="8">
        <v>78330</v>
      </c>
      <c r="K1524" s="8">
        <v>76405</v>
      </c>
      <c r="L1524" s="8">
        <v>76772</v>
      </c>
      <c r="M1524" s="8">
        <v>76999</v>
      </c>
      <c r="N1524" s="8">
        <v>76946</v>
      </c>
      <c r="O1524" s="8">
        <v>77283</v>
      </c>
      <c r="P1524" s="8">
        <v>76406</v>
      </c>
      <c r="Q1524" s="8">
        <v>77170</v>
      </c>
      <c r="R1524" s="7">
        <f t="shared" si="13"/>
        <v>8.8940412684630932E-2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</row>
    <row r="1525" spans="1:28" ht="14.4" hidden="1">
      <c r="A1525" s="3">
        <f>LOOKUP(D1525,'AMFI DATA_2023H2'!F:L,'AMFI DATA_2023H2'!L:L)</f>
        <v>616</v>
      </c>
      <c r="B1525" s="4" t="s">
        <v>1818</v>
      </c>
      <c r="C1525" s="4" t="s">
        <v>1819</v>
      </c>
      <c r="D1525" s="5" t="s">
        <v>1820</v>
      </c>
      <c r="E1525" s="5">
        <v>2879.94</v>
      </c>
      <c r="F1525" s="6">
        <f>LOOKUP(D1525,'AMFI DATA_2023H2'!F:J,'AMFI DATA_2023H2'!J:J)</f>
        <v>4944.9480000000003</v>
      </c>
      <c r="G1525" s="7">
        <f t="shared" si="12"/>
        <v>0.41437281039153495</v>
      </c>
      <c r="H1525" s="8">
        <v>6994</v>
      </c>
      <c r="I1525" s="8">
        <v>6921</v>
      </c>
      <c r="J1525" s="8">
        <v>6912</v>
      </c>
      <c r="K1525" s="8">
        <v>7071</v>
      </c>
      <c r="L1525" s="8">
        <v>6734</v>
      </c>
      <c r="M1525" s="8">
        <v>6414</v>
      </c>
      <c r="N1525" s="8">
        <v>6156</v>
      </c>
      <c r="O1525" s="8">
        <v>6204</v>
      </c>
      <c r="P1525" s="8">
        <v>5908</v>
      </c>
      <c r="Q1525" s="8">
        <v>5627</v>
      </c>
      <c r="R1525" s="7">
        <f t="shared" si="13"/>
        <v>0.31327973519640651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</row>
    <row r="1526" spans="1:28" ht="14.4" hidden="1">
      <c r="A1526" s="3">
        <f>LOOKUP(D1526,'AMFI DATA_2023H2'!F:L,'AMFI DATA_2023H2'!L:L)</f>
        <v>1033</v>
      </c>
      <c r="B1526" s="4" t="s">
        <v>2951</v>
      </c>
      <c r="C1526" s="4" t="s">
        <v>2952</v>
      </c>
      <c r="D1526" s="5" t="s">
        <v>2953</v>
      </c>
      <c r="E1526" s="5">
        <v>1137.55</v>
      </c>
      <c r="F1526" s="6">
        <f>LOOKUP(D1526,'AMFI DATA_2023H2'!F:J,'AMFI DATA_2023H2'!J:J)</f>
        <v>1548.8496500000001</v>
      </c>
      <c r="G1526" s="7">
        <f t="shared" si="12"/>
        <v>0.43655002278626576</v>
      </c>
      <c r="H1526" s="8">
        <v>2225</v>
      </c>
      <c r="I1526" s="8">
        <v>2256</v>
      </c>
      <c r="J1526" s="8">
        <v>2221</v>
      </c>
      <c r="K1526" s="8">
        <v>2079</v>
      </c>
      <c r="L1526" s="8">
        <v>2111</v>
      </c>
      <c r="M1526" s="8">
        <v>2066</v>
      </c>
      <c r="N1526" s="8">
        <v>2100</v>
      </c>
      <c r="O1526" s="8">
        <v>2027</v>
      </c>
      <c r="P1526" s="8">
        <v>2051</v>
      </c>
      <c r="Q1526" s="8">
        <v>2024</v>
      </c>
      <c r="R1526" s="7">
        <f t="shared" si="13"/>
        <v>0.36617521268123077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</row>
    <row r="1527" spans="1:28" ht="14.4" hidden="1">
      <c r="A1527" s="3">
        <f>LOOKUP(D1527,'AMFI DATA_2023H2'!F:L,'AMFI DATA_2023H2'!L:L)</f>
        <v>1570</v>
      </c>
      <c r="B1527" s="4" t="s">
        <v>4097</v>
      </c>
      <c r="C1527" s="4" t="s">
        <v>4098</v>
      </c>
      <c r="D1527" s="5" t="s">
        <v>4099</v>
      </c>
      <c r="E1527" s="5">
        <v>404.83</v>
      </c>
      <c r="F1527" s="6">
        <f>LOOKUP(D1527,'AMFI DATA_2023H2'!F:J,'AMFI DATA_2023H2'!J:J)</f>
        <v>437.82560000000001</v>
      </c>
      <c r="G1527" s="7">
        <f t="shared" si="12"/>
        <v>0.15571131519034065</v>
      </c>
      <c r="H1527" s="9">
        <v>506</v>
      </c>
      <c r="I1527" s="9">
        <v>469</v>
      </c>
      <c r="J1527" s="9">
        <v>459</v>
      </c>
      <c r="K1527" s="9">
        <v>430</v>
      </c>
      <c r="L1527" s="9">
        <v>436</v>
      </c>
      <c r="M1527" s="9">
        <v>437</v>
      </c>
      <c r="N1527" s="9">
        <v>440</v>
      </c>
      <c r="O1527" s="9">
        <v>431</v>
      </c>
      <c r="P1527" s="9">
        <v>428</v>
      </c>
      <c r="Q1527" s="9">
        <v>426</v>
      </c>
      <c r="R1527" s="7">
        <f t="shared" si="13"/>
        <v>1.9127250667845708E-2</v>
      </c>
      <c r="S1527" s="9"/>
      <c r="T1527" s="9"/>
      <c r="U1527" s="9"/>
      <c r="V1527" s="9"/>
      <c r="W1527" s="9"/>
      <c r="X1527" s="9"/>
      <c r="Y1527" s="9"/>
      <c r="Z1527" s="9"/>
      <c r="AA1527" s="9"/>
      <c r="AB1527" s="9"/>
    </row>
    <row r="1528" spans="1:28" ht="14.4" hidden="1">
      <c r="A1528" s="3">
        <f>LOOKUP(D1528,'AMFI DATA_2023H2'!F:L,'AMFI DATA_2023H2'!L:L)</f>
        <v>374</v>
      </c>
      <c r="B1528" s="4" t="s">
        <v>1128</v>
      </c>
      <c r="C1528" s="4" t="s">
        <v>1129</v>
      </c>
      <c r="D1528" s="5" t="s">
        <v>1130</v>
      </c>
      <c r="E1528" s="5">
        <v>7651.98</v>
      </c>
      <c r="F1528" s="6">
        <f>LOOKUP(D1528,'AMFI DATA_2023H2'!F:J,'AMFI DATA_2023H2'!J:J)</f>
        <v>11530.98525</v>
      </c>
      <c r="G1528" s="7">
        <f t="shared" si="12"/>
        <v>0.44428248227964739</v>
      </c>
      <c r="H1528" s="8">
        <v>16654</v>
      </c>
      <c r="I1528" s="8">
        <v>16712</v>
      </c>
      <c r="J1528" s="8">
        <v>17025</v>
      </c>
      <c r="K1528" s="8">
        <v>16406</v>
      </c>
      <c r="L1528" s="8">
        <v>16374</v>
      </c>
      <c r="M1528" s="8">
        <v>16045</v>
      </c>
      <c r="N1528" s="8">
        <v>15963</v>
      </c>
      <c r="O1528" s="8">
        <v>15900</v>
      </c>
      <c r="P1528" s="8">
        <v>15784</v>
      </c>
      <c r="Q1528" s="8">
        <v>15519</v>
      </c>
      <c r="R1528" s="7">
        <f t="shared" si="13"/>
        <v>0.4082231177947262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</row>
    <row r="1529" spans="1:28" ht="14.4" hidden="1">
      <c r="A1529" s="3">
        <f>LOOKUP(D1529,'AMFI DATA_2023H2'!F:L,'AMFI DATA_2023H2'!L:L)</f>
        <v>4008</v>
      </c>
      <c r="B1529" s="4" t="s">
        <v>5752</v>
      </c>
      <c r="C1529" s="4" t="s">
        <v>5753</v>
      </c>
      <c r="D1529" s="5" t="s">
        <v>5754</v>
      </c>
      <c r="E1529" s="5">
        <v>9.7200000000000006</v>
      </c>
      <c r="F1529" s="6">
        <f>LOOKUP(D1529,'AMFI DATA_2023H2'!F:J,'AMFI DATA_2023H2'!J:J)</f>
        <v>8.4166999999999987</v>
      </c>
      <c r="G1529" s="7">
        <f t="shared" si="12"/>
        <v>0.21187638860836211</v>
      </c>
      <c r="H1529" s="9">
        <v>10.199999999999999</v>
      </c>
      <c r="I1529" s="9">
        <v>10.6</v>
      </c>
      <c r="J1529" s="9">
        <v>10.7</v>
      </c>
      <c r="K1529" s="9">
        <v>10.1</v>
      </c>
      <c r="L1529" s="9">
        <v>10.3</v>
      </c>
      <c r="M1529" s="9">
        <v>10.1</v>
      </c>
      <c r="N1529" s="9">
        <v>10.1</v>
      </c>
      <c r="O1529" s="9">
        <v>10.9</v>
      </c>
      <c r="P1529" s="9">
        <v>9.2200000000000006</v>
      </c>
      <c r="Q1529" s="9">
        <v>10.1</v>
      </c>
      <c r="R1529" s="7">
        <f t="shared" si="13"/>
        <v>0.21567835374909405</v>
      </c>
      <c r="S1529" s="9"/>
      <c r="T1529" s="9"/>
      <c r="U1529" s="9"/>
      <c r="V1529" s="9"/>
      <c r="W1529" s="9"/>
      <c r="X1529" s="9"/>
      <c r="Y1529" s="9"/>
      <c r="Z1529" s="9"/>
      <c r="AA1529" s="9"/>
      <c r="AB1529" s="9"/>
    </row>
    <row r="1530" spans="1:28" ht="14.4" hidden="1">
      <c r="A1530" s="3">
        <f>LOOKUP(D1530,'AMFI DATA_2023H2'!F:L,'AMFI DATA_2023H2'!L:L)</f>
        <v>2122</v>
      </c>
      <c r="B1530" s="4" t="s">
        <v>4913</v>
      </c>
      <c r="C1530" s="4" t="s">
        <v>4914</v>
      </c>
      <c r="D1530" s="5" t="s">
        <v>4915</v>
      </c>
      <c r="E1530" s="5">
        <v>9.7200000000000006</v>
      </c>
      <c r="F1530" s="6">
        <f>LOOKUP(D1530,'AMFI DATA_2023H2'!F:J,'AMFI DATA_2023H2'!J:J)</f>
        <v>153.65785</v>
      </c>
      <c r="G1530" s="7">
        <f t="shared" si="12"/>
        <v>9.2565537653949992</v>
      </c>
      <c r="H1530" s="8">
        <v>1576</v>
      </c>
      <c r="I1530" s="8">
        <v>1581</v>
      </c>
      <c r="J1530" s="8">
        <v>1611</v>
      </c>
      <c r="K1530" s="8">
        <v>1599</v>
      </c>
      <c r="L1530" s="8">
        <v>1631</v>
      </c>
      <c r="M1530" s="8">
        <v>1639</v>
      </c>
      <c r="N1530" s="8">
        <v>1584</v>
      </c>
      <c r="O1530" s="8">
        <v>1509</v>
      </c>
      <c r="P1530" s="8">
        <v>1484</v>
      </c>
      <c r="Q1530" s="8">
        <v>1480</v>
      </c>
      <c r="R1530" s="7">
        <f t="shared" si="13"/>
        <v>9.2136011925196151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</row>
    <row r="1531" spans="1:28" ht="14.4" hidden="1">
      <c r="A1531" s="3">
        <f>LOOKUP(D1531,'AMFI DATA_2023H2'!F:L,'AMFI DATA_2023H2'!L:L)</f>
        <v>46</v>
      </c>
      <c r="B1531" s="4" t="s">
        <v>147</v>
      </c>
      <c r="C1531" s="4" t="s">
        <v>148</v>
      </c>
      <c r="D1531" s="5" t="s">
        <v>149</v>
      </c>
      <c r="E1531" s="5">
        <v>119151.09</v>
      </c>
      <c r="F1531" s="6">
        <f>LOOKUP(D1531,'AMFI DATA_2023H2'!F:J,'AMFI DATA_2023H2'!J:J)</f>
        <v>131726.15210000001</v>
      </c>
      <c r="G1531" s="7">
        <f t="shared" si="12"/>
        <v>0.10085960675382077</v>
      </c>
      <c r="H1531" s="8">
        <v>145012</v>
      </c>
      <c r="I1531" s="8">
        <v>145605</v>
      </c>
      <c r="J1531" s="8">
        <v>145689</v>
      </c>
      <c r="K1531" s="8">
        <v>143522</v>
      </c>
      <c r="L1531" s="8">
        <v>142867</v>
      </c>
      <c r="M1531" s="8">
        <v>143196</v>
      </c>
      <c r="N1531" s="8">
        <v>141909</v>
      </c>
      <c r="O1531" s="8">
        <v>141551</v>
      </c>
      <c r="P1531" s="8">
        <v>142746</v>
      </c>
      <c r="Q1531" s="8">
        <v>140865</v>
      </c>
      <c r="R1531" s="7">
        <f t="shared" si="13"/>
        <v>8.7834099118120346E-2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</row>
    <row r="1532" spans="1:28" ht="14.4" hidden="1">
      <c r="A1532" s="3">
        <f>LOOKUP(D1532,'AMFI DATA_2023H2'!F:L,'AMFI DATA_2023H2'!L:L)</f>
        <v>1131</v>
      </c>
      <c r="B1532" s="4" t="s">
        <v>3185</v>
      </c>
      <c r="C1532" s="4" t="s">
        <v>3186</v>
      </c>
      <c r="D1532" s="5" t="s">
        <v>3187</v>
      </c>
      <c r="E1532" s="5">
        <v>811.37</v>
      </c>
      <c r="F1532" s="6">
        <f>LOOKUP(D1532,'AMFI DATA_2023H2'!F:J,'AMFI DATA_2023H2'!J:J)</f>
        <v>1247.3548499999999</v>
      </c>
      <c r="G1532" s="7">
        <f t="shared" ref="G1532:G1786" si="14">H1532/F1532-1</f>
        <v>0.57212680898302515</v>
      </c>
      <c r="H1532" s="8">
        <v>1961</v>
      </c>
      <c r="I1532" s="8">
        <v>1951</v>
      </c>
      <c r="J1532" s="8">
        <v>1851</v>
      </c>
      <c r="K1532" s="8">
        <v>1831</v>
      </c>
      <c r="L1532" s="8">
        <v>1590</v>
      </c>
      <c r="M1532" s="8">
        <v>1578</v>
      </c>
      <c r="N1532" s="8">
        <v>1597</v>
      </c>
      <c r="O1532" s="8">
        <v>1614</v>
      </c>
      <c r="P1532" s="8">
        <v>1618</v>
      </c>
      <c r="Q1532" s="8">
        <v>1577</v>
      </c>
      <c r="R1532" s="7">
        <f t="shared" ref="R1532:R1786" si="15">AVERAGE(H1532:Q1532)/F1532-1</f>
        <v>0.37635252710966727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</row>
    <row r="1533" spans="1:28" ht="14.4" hidden="1">
      <c r="A1533" s="3">
        <f>LOOKUP(D1533,'AMFI DATA_2023H2'!F:L,'AMFI DATA_2023H2'!L:L)</f>
        <v>1548</v>
      </c>
      <c r="B1533" s="4" t="s">
        <v>4055</v>
      </c>
      <c r="C1533" s="4" t="s">
        <v>4056</v>
      </c>
      <c r="D1533" s="5" t="s">
        <v>4057</v>
      </c>
      <c r="E1533" s="5">
        <v>354.72</v>
      </c>
      <c r="F1533" s="6">
        <f>LOOKUP(D1533,'AMFI DATA_2023H2'!F:J,'AMFI DATA_2023H2'!J:J)</f>
        <v>456.5539</v>
      </c>
      <c r="G1533" s="7">
        <f t="shared" si="14"/>
        <v>0.12363512829481915</v>
      </c>
      <c r="H1533" s="9">
        <v>513</v>
      </c>
      <c r="I1533" s="9">
        <v>517</v>
      </c>
      <c r="J1533" s="9">
        <v>514</v>
      </c>
      <c r="K1533" s="9">
        <v>520</v>
      </c>
      <c r="L1533" s="9">
        <v>523</v>
      </c>
      <c r="M1533" s="9">
        <v>481</v>
      </c>
      <c r="N1533" s="9">
        <v>484</v>
      </c>
      <c r="O1533" s="9">
        <v>490</v>
      </c>
      <c r="P1533" s="9">
        <v>470</v>
      </c>
      <c r="Q1533" s="9">
        <v>470</v>
      </c>
      <c r="R1533" s="7">
        <f t="shared" si="15"/>
        <v>9.121836435960784E-2</v>
      </c>
      <c r="S1533" s="9"/>
      <c r="T1533" s="9"/>
      <c r="U1533" s="9"/>
      <c r="V1533" s="9"/>
      <c r="W1533" s="9"/>
      <c r="X1533" s="9"/>
      <c r="Y1533" s="9"/>
      <c r="Z1533" s="9"/>
      <c r="AA1533" s="9"/>
      <c r="AB1533" s="9"/>
    </row>
    <row r="1534" spans="1:28" ht="14.4" hidden="1">
      <c r="A1534" s="3">
        <f>LOOKUP(D1534,'AMFI DATA_2023H2'!F:L,'AMFI DATA_2023H2'!L:L)</f>
        <v>432</v>
      </c>
      <c r="B1534" s="4" t="s">
        <v>1290</v>
      </c>
      <c r="C1534" s="4" t="s">
        <v>1291</v>
      </c>
      <c r="D1534" s="5" t="s">
        <v>1292</v>
      </c>
      <c r="E1534" s="5">
        <v>354.72</v>
      </c>
      <c r="F1534" s="6">
        <f>LOOKUP(D1534,'AMFI DATA_2023H2'!F:J,'AMFI DATA_2023H2'!J:J)</f>
        <v>9328.3386499999997</v>
      </c>
      <c r="G1534" s="7">
        <f t="shared" si="14"/>
        <v>0.58988653354689258</v>
      </c>
      <c r="H1534" s="8">
        <v>14831</v>
      </c>
      <c r="I1534" s="8">
        <v>14432</v>
      </c>
      <c r="J1534" s="8">
        <v>13509</v>
      </c>
      <c r="K1534" s="8">
        <v>13134</v>
      </c>
      <c r="L1534" s="8">
        <v>12929</v>
      </c>
      <c r="M1534" s="8">
        <v>12321</v>
      </c>
      <c r="N1534" s="8">
        <v>11964</v>
      </c>
      <c r="O1534" s="8">
        <v>11828</v>
      </c>
      <c r="P1534" s="8">
        <v>11532</v>
      </c>
      <c r="Q1534" s="8">
        <v>11492</v>
      </c>
      <c r="R1534" s="7">
        <f t="shared" si="15"/>
        <v>0.37186271641199498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</row>
    <row r="1535" spans="1:28" ht="14.4" hidden="1">
      <c r="A1535" s="3">
        <f>LOOKUP(D1535,'AMFI DATA_2023H2'!F:L,'AMFI DATA_2023H2'!L:L)</f>
        <v>2088</v>
      </c>
      <c r="B1535" s="4" t="s">
        <v>4859</v>
      </c>
      <c r="C1535" s="4" t="s">
        <v>4860</v>
      </c>
      <c r="D1535" s="5" t="s">
        <v>4861</v>
      </c>
      <c r="E1535" s="5">
        <v>115.84</v>
      </c>
      <c r="F1535" s="6">
        <f>LOOKUP(D1535,'AMFI DATA_2023H2'!F:J,'AMFI DATA_2023H2'!J:J)</f>
        <v>164.97735</v>
      </c>
      <c r="G1535" s="7">
        <f t="shared" si="14"/>
        <v>0.28502488371888623</v>
      </c>
      <c r="H1535" s="9">
        <v>212</v>
      </c>
      <c r="I1535" s="9">
        <v>217</v>
      </c>
      <c r="J1535" s="9">
        <v>206</v>
      </c>
      <c r="K1535" s="9">
        <v>196</v>
      </c>
      <c r="L1535" s="9">
        <v>200</v>
      </c>
      <c r="M1535" s="9">
        <v>191</v>
      </c>
      <c r="N1535" s="9">
        <v>193</v>
      </c>
      <c r="O1535" s="9">
        <v>194</v>
      </c>
      <c r="P1535" s="9">
        <v>197</v>
      </c>
      <c r="Q1535" s="9">
        <v>189</v>
      </c>
      <c r="R1535" s="7">
        <f t="shared" si="15"/>
        <v>0.20925690708451805</v>
      </c>
      <c r="S1535" s="9"/>
      <c r="T1535" s="9"/>
      <c r="U1535" s="9"/>
      <c r="V1535" s="9"/>
      <c r="W1535" s="9"/>
      <c r="X1535" s="9"/>
      <c r="Y1535" s="9"/>
      <c r="Z1535" s="9"/>
      <c r="AA1535" s="9"/>
      <c r="AB1535" s="9"/>
    </row>
    <row r="1536" spans="1:28" ht="14.4" hidden="1">
      <c r="A1536" s="3">
        <f>LOOKUP(D1536,'AMFI DATA_2023H2'!F:L,'AMFI DATA_2023H2'!L:L)</f>
        <v>2333</v>
      </c>
      <c r="B1536" s="4" t="s">
        <v>5162</v>
      </c>
      <c r="C1536" s="4" t="s">
        <v>5163</v>
      </c>
      <c r="D1536" s="5" t="s">
        <v>5164</v>
      </c>
      <c r="E1536" s="5">
        <v>136.68</v>
      </c>
      <c r="F1536" s="6">
        <f>LOOKUP(D1536,'AMFI DATA_2023H2'!F:J,'AMFI DATA_2023H2'!J:J)</f>
        <v>107.0925</v>
      </c>
      <c r="G1536" s="7">
        <f t="shared" si="14"/>
        <v>0.47536008590704304</v>
      </c>
      <c r="H1536" s="9">
        <v>158</v>
      </c>
      <c r="I1536" s="9">
        <v>160</v>
      </c>
      <c r="J1536" s="9">
        <v>157</v>
      </c>
      <c r="K1536" s="9">
        <v>162</v>
      </c>
      <c r="L1536" s="9">
        <v>164</v>
      </c>
      <c r="M1536" s="9">
        <v>171</v>
      </c>
      <c r="N1536" s="9">
        <v>163</v>
      </c>
      <c r="O1536" s="9">
        <v>172</v>
      </c>
      <c r="P1536" s="9">
        <v>191</v>
      </c>
      <c r="Q1536" s="9">
        <v>170</v>
      </c>
      <c r="R1536" s="7">
        <f t="shared" si="15"/>
        <v>0.55753204005882773</v>
      </c>
      <c r="S1536" s="9"/>
      <c r="T1536" s="9"/>
      <c r="U1536" s="9"/>
      <c r="V1536" s="9"/>
      <c r="W1536" s="9"/>
      <c r="X1536" s="9"/>
      <c r="Y1536" s="9"/>
      <c r="Z1536" s="9"/>
      <c r="AA1536" s="9"/>
      <c r="AB1536" s="9"/>
    </row>
    <row r="1537" spans="1:28" ht="14.4" hidden="1">
      <c r="A1537" s="3">
        <f>LOOKUP(D1537,'AMFI DATA_2023H2'!F:L,'AMFI DATA_2023H2'!L:L)</f>
        <v>1646</v>
      </c>
      <c r="B1537" s="4" t="s">
        <v>4235</v>
      </c>
      <c r="C1537" s="4" t="s">
        <v>4236</v>
      </c>
      <c r="D1537" s="5" t="s">
        <v>4237</v>
      </c>
      <c r="E1537" s="5">
        <v>329.58</v>
      </c>
      <c r="F1537" s="6">
        <f>LOOKUP(D1537,'AMFI DATA_2023H2'!F:J,'AMFI DATA_2023H2'!J:J)</f>
        <v>370.38559999999995</v>
      </c>
      <c r="G1537" s="7">
        <f t="shared" si="14"/>
        <v>0.21495004125430373</v>
      </c>
      <c r="H1537" s="9">
        <v>450</v>
      </c>
      <c r="I1537" s="9">
        <v>456</v>
      </c>
      <c r="J1537" s="9">
        <v>439</v>
      </c>
      <c r="K1537" s="9">
        <v>438</v>
      </c>
      <c r="L1537" s="9">
        <v>448</v>
      </c>
      <c r="M1537" s="9">
        <v>456</v>
      </c>
      <c r="N1537" s="9">
        <v>460</v>
      </c>
      <c r="O1537" s="9">
        <v>464</v>
      </c>
      <c r="P1537" s="9">
        <v>458</v>
      </c>
      <c r="Q1537" s="9">
        <v>450</v>
      </c>
      <c r="R1537" s="7">
        <f t="shared" si="15"/>
        <v>0.22007983031737743</v>
      </c>
      <c r="S1537" s="9"/>
      <c r="T1537" s="9"/>
      <c r="U1537" s="9"/>
      <c r="V1537" s="9"/>
      <c r="W1537" s="9"/>
      <c r="X1537" s="9"/>
      <c r="Y1537" s="9"/>
      <c r="Z1537" s="9"/>
      <c r="AA1537" s="9"/>
      <c r="AB1537" s="9"/>
    </row>
    <row r="1538" spans="1:28" ht="14.4" hidden="1">
      <c r="A1538" s="3">
        <f>LOOKUP(D1538,'AMFI DATA_2023H2'!F:L,'AMFI DATA_2023H2'!L:L)</f>
        <v>3267</v>
      </c>
      <c r="B1538" s="4" t="s">
        <v>5635</v>
      </c>
      <c r="C1538" s="4" t="s">
        <v>5636</v>
      </c>
      <c r="D1538" s="5" t="s">
        <v>5637</v>
      </c>
      <c r="E1538" s="5">
        <v>21.32</v>
      </c>
      <c r="F1538" s="6">
        <f>LOOKUP(D1538,'AMFI DATA_2023H2'!F:J,'AMFI DATA_2023H2'!J:J)</f>
        <v>25.265899999999998</v>
      </c>
      <c r="G1538" s="7">
        <f t="shared" si="14"/>
        <v>0.31402404030729181</v>
      </c>
      <c r="H1538" s="9">
        <v>33.200000000000003</v>
      </c>
      <c r="I1538" s="9">
        <v>31.2</v>
      </c>
      <c r="J1538" s="9">
        <v>28.8</v>
      </c>
      <c r="K1538" s="9">
        <v>28.4</v>
      </c>
      <c r="L1538" s="9">
        <v>28.3</v>
      </c>
      <c r="M1538" s="9">
        <v>28</v>
      </c>
      <c r="N1538" s="9">
        <v>28.4</v>
      </c>
      <c r="O1538" s="9">
        <v>29.5</v>
      </c>
      <c r="P1538" s="9">
        <v>29.1</v>
      </c>
      <c r="Q1538" s="9">
        <v>28.8</v>
      </c>
      <c r="R1538" s="7">
        <f t="shared" si="15"/>
        <v>0.16243632722364953</v>
      </c>
      <c r="S1538" s="9"/>
      <c r="T1538" s="9"/>
      <c r="U1538" s="9"/>
      <c r="V1538" s="9"/>
      <c r="W1538" s="9"/>
      <c r="X1538" s="9"/>
      <c r="Y1538" s="9"/>
      <c r="Z1538" s="9"/>
      <c r="AA1538" s="9"/>
      <c r="AB1538" s="9"/>
    </row>
    <row r="1539" spans="1:28" ht="14.4" hidden="1">
      <c r="A1539" s="3">
        <f>LOOKUP(D1539,'AMFI DATA_2023H2'!F:L,'AMFI DATA_2023H2'!L:L)</f>
        <v>3512</v>
      </c>
      <c r="B1539" s="4" t="s">
        <v>5698</v>
      </c>
      <c r="C1539" s="4" t="s">
        <v>5699</v>
      </c>
      <c r="D1539" s="5" t="s">
        <v>5700</v>
      </c>
      <c r="E1539" s="5">
        <v>20.94</v>
      </c>
      <c r="F1539" s="6">
        <f>LOOKUP(D1539,'AMFI DATA_2023H2'!F:J,'AMFI DATA_2023H2'!J:J)</f>
        <v>17.6693</v>
      </c>
      <c r="G1539" s="7">
        <f t="shared" si="14"/>
        <v>4.1354213239913173E-2</v>
      </c>
      <c r="H1539" s="9">
        <v>18.399999999999999</v>
      </c>
      <c r="I1539" s="9">
        <v>18.3</v>
      </c>
      <c r="J1539" s="9">
        <v>17.600000000000001</v>
      </c>
      <c r="K1539" s="9">
        <v>17.100000000000001</v>
      </c>
      <c r="L1539" s="9">
        <v>17.600000000000001</v>
      </c>
      <c r="M1539" s="9">
        <v>17.2</v>
      </c>
      <c r="N1539" s="9">
        <v>17.5</v>
      </c>
      <c r="O1539" s="9">
        <v>18.3</v>
      </c>
      <c r="P1539" s="9">
        <v>18.600000000000001</v>
      </c>
      <c r="Q1539" s="9">
        <v>18.600000000000001</v>
      </c>
      <c r="R1539" s="7">
        <f t="shared" si="15"/>
        <v>1.41884511553938E-2</v>
      </c>
      <c r="S1539" s="9"/>
      <c r="T1539" s="9"/>
      <c r="U1539" s="9"/>
      <c r="V1539" s="9"/>
      <c r="W1539" s="9"/>
      <c r="X1539" s="9"/>
      <c r="Y1539" s="9"/>
      <c r="Z1539" s="9"/>
      <c r="AA1539" s="9"/>
      <c r="AB1539" s="9"/>
    </row>
    <row r="1540" spans="1:28" ht="14.4" hidden="1">
      <c r="A1540" s="3">
        <f>LOOKUP(D1540,'AMFI DATA_2023H2'!F:L,'AMFI DATA_2023H2'!L:L)</f>
        <v>1371</v>
      </c>
      <c r="B1540" s="4" t="s">
        <v>3704</v>
      </c>
      <c r="C1540" s="4" t="s">
        <v>3705</v>
      </c>
      <c r="D1540" s="5" t="s">
        <v>3706</v>
      </c>
      <c r="E1540" s="5">
        <v>445.36</v>
      </c>
      <c r="F1540" s="6">
        <f>LOOKUP(D1540,'AMFI DATA_2023H2'!F:J,'AMFI DATA_2023H2'!J:J)</f>
        <v>684.18029999999999</v>
      </c>
      <c r="G1540" s="7">
        <f t="shared" si="14"/>
        <v>0.28036425486088978</v>
      </c>
      <c r="H1540" s="9">
        <v>876</v>
      </c>
      <c r="I1540" s="9">
        <v>887</v>
      </c>
      <c r="J1540" s="9">
        <v>884</v>
      </c>
      <c r="K1540" s="9">
        <v>901</v>
      </c>
      <c r="L1540" s="9">
        <v>885</v>
      </c>
      <c r="M1540" s="9">
        <v>872</v>
      </c>
      <c r="N1540" s="9">
        <v>867</v>
      </c>
      <c r="O1540" s="9">
        <v>887</v>
      </c>
      <c r="P1540" s="9">
        <v>866</v>
      </c>
      <c r="Q1540" s="9">
        <v>874</v>
      </c>
      <c r="R1540" s="7">
        <f t="shared" si="15"/>
        <v>0.28606450668047589</v>
      </c>
      <c r="S1540" s="9"/>
      <c r="T1540" s="9"/>
      <c r="U1540" s="9"/>
      <c r="V1540" s="9"/>
      <c r="W1540" s="9"/>
      <c r="X1540" s="9"/>
      <c r="Y1540" s="9"/>
      <c r="Z1540" s="9"/>
      <c r="AA1540" s="9"/>
      <c r="AB1540" s="9"/>
    </row>
    <row r="1541" spans="1:28" ht="14.4" hidden="1">
      <c r="A1541" s="3">
        <f>LOOKUP(D1541,'AMFI DATA_2023H2'!F:L,'AMFI DATA_2023H2'!L:L)</f>
        <v>2279</v>
      </c>
      <c r="B1541" s="4" t="s">
        <v>5102</v>
      </c>
      <c r="C1541" s="4" t="s">
        <v>5103</v>
      </c>
      <c r="D1541" s="5" t="s">
        <v>5104</v>
      </c>
      <c r="E1541" s="5">
        <v>97.34</v>
      </c>
      <c r="F1541" s="6">
        <f>LOOKUP(D1541,'AMFI DATA_2023H2'!F:J,'AMFI DATA_2023H2'!J:J)</f>
        <v>115.4166</v>
      </c>
      <c r="G1541" s="7">
        <f t="shared" si="14"/>
        <v>5.7040321756142598E-2</v>
      </c>
      <c r="H1541" s="9">
        <v>122</v>
      </c>
      <c r="I1541" s="9">
        <v>122</v>
      </c>
      <c r="J1541" s="9">
        <v>121</v>
      </c>
      <c r="K1541" s="9">
        <v>123</v>
      </c>
      <c r="L1541" s="9">
        <v>122</v>
      </c>
      <c r="M1541" s="9">
        <v>122</v>
      </c>
      <c r="N1541" s="9">
        <v>122</v>
      </c>
      <c r="O1541" s="9">
        <v>124</v>
      </c>
      <c r="P1541" s="9">
        <v>138</v>
      </c>
      <c r="Q1541" s="9">
        <v>116</v>
      </c>
      <c r="R1541" s="7">
        <f t="shared" si="15"/>
        <v>6.7437439675055444E-2</v>
      </c>
      <c r="S1541" s="9"/>
      <c r="T1541" s="9"/>
      <c r="U1541" s="9"/>
      <c r="V1541" s="9"/>
      <c r="W1541" s="9"/>
      <c r="X1541" s="9"/>
      <c r="Y1541" s="9"/>
      <c r="Z1541" s="9"/>
      <c r="AA1541" s="9"/>
      <c r="AB1541" s="9"/>
    </row>
    <row r="1542" spans="1:28" ht="14.4" hidden="1">
      <c r="A1542" s="3">
        <f>LOOKUP(D1542,'AMFI DATA_2023H2'!F:L,'AMFI DATA_2023H2'!L:L)</f>
        <v>1689</v>
      </c>
      <c r="B1542" s="4" t="s">
        <v>4319</v>
      </c>
      <c r="C1542" s="4" t="s">
        <v>4320</v>
      </c>
      <c r="D1542" s="5" t="s">
        <v>4321</v>
      </c>
      <c r="E1542" s="5">
        <v>237.55</v>
      </c>
      <c r="F1542" s="6">
        <f>LOOKUP(D1542,'AMFI DATA_2023H2'!F:J,'AMFI DATA_2023H2'!J:J)</f>
        <v>335.32074999999998</v>
      </c>
      <c r="G1542" s="7">
        <f t="shared" si="14"/>
        <v>0.57759399023174085</v>
      </c>
      <c r="H1542" s="9">
        <v>529</v>
      </c>
      <c r="I1542" s="9">
        <v>509</v>
      </c>
      <c r="J1542" s="9">
        <v>480</v>
      </c>
      <c r="K1542" s="9">
        <v>457</v>
      </c>
      <c r="L1542" s="9">
        <v>451</v>
      </c>
      <c r="M1542" s="9">
        <v>455</v>
      </c>
      <c r="N1542" s="9">
        <v>446</v>
      </c>
      <c r="O1542" s="9">
        <v>423</v>
      </c>
      <c r="P1542" s="9">
        <v>422</v>
      </c>
      <c r="Q1542" s="9">
        <v>437</v>
      </c>
      <c r="R1542" s="7">
        <f t="shared" si="15"/>
        <v>0.37450485840795711</v>
      </c>
      <c r="S1542" s="9"/>
      <c r="T1542" s="9"/>
      <c r="U1542" s="9"/>
      <c r="V1542" s="9"/>
      <c r="W1542" s="9"/>
      <c r="X1542" s="9"/>
      <c r="Y1542" s="9"/>
      <c r="Z1542" s="9"/>
      <c r="AA1542" s="9"/>
      <c r="AB1542" s="9"/>
    </row>
    <row r="1543" spans="1:28" ht="14.4" hidden="1">
      <c r="A1543" s="3">
        <f>LOOKUP(D1543,'AMFI DATA_2023H2'!F:L,'AMFI DATA_2023H2'!L:L)</f>
        <v>673</v>
      </c>
      <c r="B1543" s="4" t="s">
        <v>1974</v>
      </c>
      <c r="C1543" s="4" t="s">
        <v>1975</v>
      </c>
      <c r="D1543" s="5" t="s">
        <v>1976</v>
      </c>
      <c r="E1543" s="5">
        <v>3395.62</v>
      </c>
      <c r="F1543" s="6">
        <f>LOOKUP(D1543,'AMFI DATA_2023H2'!F:J,'AMFI DATA_2023H2'!J:J)</f>
        <v>4103.6828999999998</v>
      </c>
      <c r="G1543" s="7">
        <f t="shared" si="14"/>
        <v>-8.5455652531047144E-2</v>
      </c>
      <c r="H1543" s="8">
        <v>3753</v>
      </c>
      <c r="I1543" s="8">
        <v>3855</v>
      </c>
      <c r="J1543" s="8">
        <v>3994</v>
      </c>
      <c r="K1543" s="8">
        <v>4058</v>
      </c>
      <c r="L1543" s="8">
        <v>3913</v>
      </c>
      <c r="M1543" s="8">
        <v>4162</v>
      </c>
      <c r="N1543" s="8">
        <v>4587</v>
      </c>
      <c r="O1543" s="8">
        <v>4541</v>
      </c>
      <c r="P1543" s="8">
        <v>4521</v>
      </c>
      <c r="Q1543" s="8">
        <v>4533</v>
      </c>
      <c r="R1543" s="7">
        <f t="shared" si="15"/>
        <v>2.1448319020945794E-2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</row>
    <row r="1544" spans="1:28" ht="14.4" hidden="1">
      <c r="A1544" s="3">
        <f>LOOKUP(D1544,'AMFI DATA_2023H2'!F:L,'AMFI DATA_2023H2'!L:L)</f>
        <v>1673</v>
      </c>
      <c r="B1544" s="4" t="s">
        <v>4286</v>
      </c>
      <c r="C1544" s="4" t="s">
        <v>4287</v>
      </c>
      <c r="D1544" s="5" t="s">
        <v>4288</v>
      </c>
      <c r="E1544" s="5">
        <v>288.25</v>
      </c>
      <c r="F1544" s="6">
        <f>LOOKUP(D1544,'AMFI DATA_2023H2'!F:J,'AMFI DATA_2023H2'!J:J)</f>
        <v>350.43029999999999</v>
      </c>
      <c r="G1544" s="7">
        <f t="shared" si="14"/>
        <v>-1.2279189328091578E-3</v>
      </c>
      <c r="H1544" s="9">
        <v>350</v>
      </c>
      <c r="I1544" s="9">
        <v>350</v>
      </c>
      <c r="J1544" s="9">
        <v>350</v>
      </c>
      <c r="K1544" s="9">
        <v>350</v>
      </c>
      <c r="L1544" s="9">
        <v>351</v>
      </c>
      <c r="M1544" s="9">
        <v>348</v>
      </c>
      <c r="N1544" s="9">
        <v>354</v>
      </c>
      <c r="O1544" s="9">
        <v>352</v>
      </c>
      <c r="P1544" s="9">
        <v>347</v>
      </c>
      <c r="Q1544" s="9">
        <v>348</v>
      </c>
      <c r="R1544" s="7">
        <f t="shared" si="15"/>
        <v>-1.2279189328091578E-3</v>
      </c>
      <c r="S1544" s="9"/>
      <c r="T1544" s="9"/>
      <c r="U1544" s="9"/>
      <c r="V1544" s="9"/>
      <c r="W1544" s="9"/>
      <c r="X1544" s="9"/>
      <c r="Y1544" s="9"/>
      <c r="Z1544" s="9"/>
      <c r="AA1544" s="9"/>
      <c r="AB1544" s="9"/>
    </row>
    <row r="1545" spans="1:28" ht="14.4" hidden="1">
      <c r="A1545" s="3">
        <f>LOOKUP(D1545,'AMFI DATA_2023H2'!F:L,'AMFI DATA_2023H2'!L:L)</f>
        <v>913</v>
      </c>
      <c r="B1545" s="4" t="s">
        <v>2645</v>
      </c>
      <c r="C1545" s="4" t="s">
        <v>2646</v>
      </c>
      <c r="D1545" s="5" t="s">
        <v>2647</v>
      </c>
      <c r="E1545" s="5">
        <v>1746.04</v>
      </c>
      <c r="F1545" s="6">
        <f>LOOKUP(D1545,'AMFI DATA_2023H2'!F:J,'AMFI DATA_2023H2'!J:J)</f>
        <v>2104.5936999999999</v>
      </c>
      <c r="G1545" s="7">
        <f t="shared" si="14"/>
        <v>0.11612992094388574</v>
      </c>
      <c r="H1545" s="8">
        <v>2349</v>
      </c>
      <c r="I1545" s="8">
        <v>2261</v>
      </c>
      <c r="J1545" s="8">
        <v>2277</v>
      </c>
      <c r="K1545" s="8">
        <v>2239</v>
      </c>
      <c r="L1545" s="8">
        <v>2227</v>
      </c>
      <c r="M1545" s="8">
        <v>2247</v>
      </c>
      <c r="N1545" s="8">
        <v>2247</v>
      </c>
      <c r="O1545" s="8">
        <v>2255</v>
      </c>
      <c r="P1545" s="8">
        <v>2252</v>
      </c>
      <c r="Q1545" s="8">
        <v>2189</v>
      </c>
      <c r="R1545" s="7">
        <f t="shared" si="15"/>
        <v>7.1133112296211998E-2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</row>
    <row r="1546" spans="1:28" ht="14.4" hidden="1">
      <c r="A1546" s="3">
        <f>LOOKUP(D1546,'AMFI DATA_2023H2'!F:L,'AMFI DATA_2023H2'!L:L)</f>
        <v>546</v>
      </c>
      <c r="B1546" s="4" t="s">
        <v>1617</v>
      </c>
      <c r="C1546" s="4" t="s">
        <v>1618</v>
      </c>
      <c r="D1546" s="5" t="s">
        <v>1619</v>
      </c>
      <c r="E1546" s="5">
        <v>5483.26</v>
      </c>
      <c r="F1546" s="6">
        <f>LOOKUP(D1546,'AMFI DATA_2023H2'!F:J,'AMFI DATA_2023H2'!J:J)</f>
        <v>6498.0748999999996</v>
      </c>
      <c r="G1546" s="7">
        <f t="shared" si="14"/>
        <v>3.0151252950316065E-2</v>
      </c>
      <c r="H1546" s="8">
        <v>6694</v>
      </c>
      <c r="I1546" s="8">
        <v>6703</v>
      </c>
      <c r="J1546" s="8">
        <v>6704</v>
      </c>
      <c r="K1546" s="8">
        <v>6600</v>
      </c>
      <c r="L1546" s="8">
        <v>6773</v>
      </c>
      <c r="M1546" s="8">
        <v>6644</v>
      </c>
      <c r="N1546" s="8">
        <v>6689</v>
      </c>
      <c r="O1546" s="8">
        <v>6794</v>
      </c>
      <c r="P1546" s="8">
        <v>6775</v>
      </c>
      <c r="Q1546" s="8">
        <v>6852</v>
      </c>
      <c r="R1546" s="7">
        <f t="shared" si="15"/>
        <v>3.4583334827365642E-2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</row>
    <row r="1547" spans="1:28" ht="14.4" hidden="1">
      <c r="A1547" s="3">
        <f>LOOKUP(D1547,'AMFI DATA_2023H2'!F:L,'AMFI DATA_2023H2'!L:L)</f>
        <v>2587</v>
      </c>
      <c r="B1547" s="4" t="s">
        <v>5368</v>
      </c>
      <c r="C1547" s="4" t="s">
        <v>5369</v>
      </c>
      <c r="D1547" s="5" t="s">
        <v>5370</v>
      </c>
      <c r="E1547" s="5">
        <v>101.64</v>
      </c>
      <c r="F1547" s="6">
        <f>LOOKUP(D1547,'AMFI DATA_2023H2'!F:J,'AMFI DATA_2023H2'!J:J)</f>
        <v>70.594549999999998</v>
      </c>
      <c r="G1547" s="7">
        <f t="shared" si="14"/>
        <v>1.2826060935298811E-2</v>
      </c>
      <c r="H1547" s="9">
        <v>71.5</v>
      </c>
      <c r="I1547" s="9">
        <v>70.599999999999994</v>
      </c>
      <c r="J1547" s="9">
        <v>69.8</v>
      </c>
      <c r="K1547" s="9">
        <v>68.900000000000006</v>
      </c>
      <c r="L1547" s="9">
        <v>69.8</v>
      </c>
      <c r="M1547" s="9">
        <v>69.8</v>
      </c>
      <c r="N1547" s="9">
        <v>70.599999999999994</v>
      </c>
      <c r="O1547" s="9">
        <v>71.5</v>
      </c>
      <c r="P1547" s="9">
        <v>75</v>
      </c>
      <c r="Q1547" s="9">
        <v>74.099999999999994</v>
      </c>
      <c r="R1547" s="7">
        <f t="shared" si="15"/>
        <v>8.009825121060965E-3</v>
      </c>
      <c r="S1547" s="9"/>
      <c r="T1547" s="9"/>
      <c r="U1547" s="9"/>
      <c r="V1547" s="9"/>
      <c r="W1547" s="9"/>
      <c r="X1547" s="9"/>
      <c r="Y1547" s="9"/>
      <c r="Z1547" s="9"/>
      <c r="AA1547" s="9"/>
      <c r="AB1547" s="9"/>
    </row>
    <row r="1548" spans="1:28" ht="14.4" hidden="1">
      <c r="A1548" s="3">
        <f>LOOKUP(D1548,'AMFI DATA_2023H2'!F:L,'AMFI DATA_2023H2'!L:L)</f>
        <v>840</v>
      </c>
      <c r="B1548" s="4" t="s">
        <v>2438</v>
      </c>
      <c r="C1548" s="4" t="s">
        <v>2439</v>
      </c>
      <c r="D1548" s="5" t="s">
        <v>2440</v>
      </c>
      <c r="E1548" s="5">
        <v>2347.58</v>
      </c>
      <c r="F1548" s="6">
        <f>LOOKUP(D1548,'AMFI DATA_2023H2'!F:J,'AMFI DATA_2023H2'!J:J)</f>
        <v>2568.8840499999997</v>
      </c>
      <c r="G1548" s="7">
        <f t="shared" si="14"/>
        <v>-3.0318242662606631E-2</v>
      </c>
      <c r="H1548" s="8">
        <v>2491</v>
      </c>
      <c r="I1548" s="8">
        <v>2473</v>
      </c>
      <c r="J1548" s="8">
        <v>2497</v>
      </c>
      <c r="K1548" s="8">
        <v>2519</v>
      </c>
      <c r="L1548" s="8">
        <v>2508</v>
      </c>
      <c r="M1548" s="8">
        <v>2503</v>
      </c>
      <c r="N1548" s="8">
        <v>2508</v>
      </c>
      <c r="O1548" s="8">
        <v>2508</v>
      </c>
      <c r="P1548" s="8">
        <v>2531</v>
      </c>
      <c r="Q1548" s="8">
        <v>2519</v>
      </c>
      <c r="R1548" s="7">
        <f t="shared" si="15"/>
        <v>-2.4595913544638082E-2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</row>
    <row r="1549" spans="1:28" ht="14.4" hidden="1">
      <c r="A1549" s="3">
        <f>LOOKUP(D1549,'AMFI DATA_2023H2'!F:L,'AMFI DATA_2023H2'!L:L)</f>
        <v>214</v>
      </c>
      <c r="B1549" s="4" t="s">
        <v>651</v>
      </c>
      <c r="C1549" s="4" t="s">
        <v>652</v>
      </c>
      <c r="D1549" s="5" t="s">
        <v>653</v>
      </c>
      <c r="E1549" s="5">
        <v>13558.25</v>
      </c>
      <c r="F1549" s="6">
        <f>LOOKUP(D1549,'AMFI DATA_2023H2'!F:J,'AMFI DATA_2023H2'!J:J)</f>
        <v>27218.631950000003</v>
      </c>
      <c r="G1549" s="7">
        <f t="shared" si="14"/>
        <v>0.36972350662172038</v>
      </c>
      <c r="H1549" s="8">
        <v>37282</v>
      </c>
      <c r="I1549" s="8">
        <v>36960</v>
      </c>
      <c r="J1549" s="8">
        <v>36492</v>
      </c>
      <c r="K1549" s="8">
        <v>36665</v>
      </c>
      <c r="L1549" s="8">
        <v>36539</v>
      </c>
      <c r="M1549" s="8">
        <v>35738</v>
      </c>
      <c r="N1549" s="8">
        <v>35887</v>
      </c>
      <c r="O1549" s="8">
        <v>36508</v>
      </c>
      <c r="P1549" s="8">
        <v>36021</v>
      </c>
      <c r="Q1549" s="8">
        <v>35250</v>
      </c>
      <c r="R1549" s="7">
        <f t="shared" si="15"/>
        <v>0.33490177121117193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</row>
    <row r="1550" spans="1:28" ht="14.4" hidden="1">
      <c r="A1550" s="3">
        <f>LOOKUP(D1550,'AMFI DATA_2023H2'!F:L,'AMFI DATA_2023H2'!L:L)</f>
        <v>229</v>
      </c>
      <c r="B1550" s="4" t="s">
        <v>696</v>
      </c>
      <c r="C1550" s="4" t="s">
        <v>697</v>
      </c>
      <c r="D1550" s="5" t="s">
        <v>698</v>
      </c>
      <c r="E1550" s="5">
        <v>21981.86</v>
      </c>
      <c r="F1550" s="6">
        <f>LOOKUP(D1550,'AMFI DATA_2023H2'!F:J,'AMFI DATA_2023H2'!J:J)</f>
        <v>24680.197</v>
      </c>
      <c r="G1550" s="7">
        <f t="shared" si="14"/>
        <v>-8.3556747946541887E-2</v>
      </c>
      <c r="H1550" s="8">
        <v>22618</v>
      </c>
      <c r="I1550" s="8">
        <v>22441</v>
      </c>
      <c r="J1550" s="8">
        <v>22552</v>
      </c>
      <c r="K1550" s="8">
        <v>22252</v>
      </c>
      <c r="L1550" s="8">
        <v>22674</v>
      </c>
      <c r="M1550" s="8">
        <v>22697</v>
      </c>
      <c r="N1550" s="8">
        <v>22556</v>
      </c>
      <c r="O1550" s="8">
        <v>22717</v>
      </c>
      <c r="P1550" s="8">
        <v>23021</v>
      </c>
      <c r="Q1550" s="8">
        <v>23222</v>
      </c>
      <c r="R1550" s="7">
        <f t="shared" si="15"/>
        <v>-8.1247203983015215E-2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</row>
    <row r="1551" spans="1:28" ht="14.4" hidden="1">
      <c r="A1551" s="3">
        <f>LOOKUP(D1551,'AMFI DATA_2023H2'!F:L,'AMFI DATA_2023H2'!L:L)</f>
        <v>890</v>
      </c>
      <c r="B1551" s="4" t="s">
        <v>2579</v>
      </c>
      <c r="C1551" s="4" t="s">
        <v>2580</v>
      </c>
      <c r="D1551" s="5" t="s">
        <v>2581</v>
      </c>
      <c r="E1551" s="5">
        <v>1187.06</v>
      </c>
      <c r="F1551" s="6">
        <f>LOOKUP(D1551,'AMFI DATA_2023H2'!F:J,'AMFI DATA_2023H2'!J:J)</f>
        <v>2203.73785</v>
      </c>
      <c r="G1551" s="7">
        <f t="shared" si="14"/>
        <v>0.12762958625046994</v>
      </c>
      <c r="H1551" s="8">
        <v>2485</v>
      </c>
      <c r="I1551" s="8">
        <v>2458</v>
      </c>
      <c r="J1551" s="8">
        <v>2405</v>
      </c>
      <c r="K1551" s="8">
        <v>2341</v>
      </c>
      <c r="L1551" s="8">
        <v>2427</v>
      </c>
      <c r="M1551" s="8">
        <v>2344</v>
      </c>
      <c r="N1551" s="8">
        <v>2372</v>
      </c>
      <c r="O1551" s="8">
        <v>2374</v>
      </c>
      <c r="P1551" s="8">
        <v>2313</v>
      </c>
      <c r="Q1551" s="8">
        <v>2319</v>
      </c>
      <c r="R1551" s="7">
        <f t="shared" si="15"/>
        <v>8.1707608733951886E-2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</row>
    <row r="1552" spans="1:28" ht="14.4" hidden="1">
      <c r="A1552" s="3">
        <f>LOOKUP(D1552,'AMFI DATA_2023H2'!F:L,'AMFI DATA_2023H2'!L:L)</f>
        <v>1225</v>
      </c>
      <c r="B1552" s="4" t="s">
        <v>3410</v>
      </c>
      <c r="C1552" s="4" t="s">
        <v>3411</v>
      </c>
      <c r="D1552" s="5" t="s">
        <v>3412</v>
      </c>
      <c r="E1552" s="5">
        <v>430.13</v>
      </c>
      <c r="F1552" s="6">
        <f>LOOKUP(D1552,'AMFI DATA_2023H2'!F:J,'AMFI DATA_2023H2'!J:J)</f>
        <v>983.38300000000004</v>
      </c>
      <c r="G1552" s="7">
        <f t="shared" si="14"/>
        <v>6.3675088953134118E-2</v>
      </c>
      <c r="H1552" s="9">
        <v>1046</v>
      </c>
      <c r="I1552" s="9">
        <v>1060</v>
      </c>
      <c r="J1552" s="9">
        <v>1066</v>
      </c>
      <c r="K1552" s="9">
        <v>1050</v>
      </c>
      <c r="L1552" s="9">
        <v>1068</v>
      </c>
      <c r="M1552" s="9">
        <v>1019</v>
      </c>
      <c r="N1552" s="9">
        <v>969</v>
      </c>
      <c r="O1552" s="9">
        <v>983</v>
      </c>
      <c r="P1552" s="9">
        <v>975</v>
      </c>
      <c r="Q1552" s="9">
        <v>974</v>
      </c>
      <c r="R1552" s="7">
        <f t="shared" si="15"/>
        <v>3.8252644188479845E-2</v>
      </c>
      <c r="S1552" s="9"/>
      <c r="T1552" s="9"/>
      <c r="U1552" s="9"/>
      <c r="V1552" s="9"/>
      <c r="W1552" s="9"/>
      <c r="X1552" s="9"/>
      <c r="Y1552" s="9"/>
      <c r="Z1552" s="9"/>
      <c r="AA1552" s="9"/>
      <c r="AB1552" s="9"/>
    </row>
    <row r="1553" spans="1:28" ht="14.4" hidden="1">
      <c r="A1553" s="3">
        <f>LOOKUP(D1553,'AMFI DATA_2023H2'!F:L,'AMFI DATA_2023H2'!L:L)</f>
        <v>1433</v>
      </c>
      <c r="B1553" s="4" t="s">
        <v>3836</v>
      </c>
      <c r="C1553" s="4" t="s">
        <v>3837</v>
      </c>
      <c r="D1553" s="5" t="s">
        <v>3838</v>
      </c>
      <c r="E1553" s="5">
        <v>332.57</v>
      </c>
      <c r="F1553" s="6">
        <f>LOOKUP(D1553,'AMFI DATA_2023H2'!F:J,'AMFI DATA_2023H2'!J:J)</f>
        <v>594.62245000000007</v>
      </c>
      <c r="G1553" s="7">
        <f t="shared" si="14"/>
        <v>0.80450637206852837</v>
      </c>
      <c r="H1553" s="8">
        <v>1073</v>
      </c>
      <c r="I1553" s="8">
        <v>1075</v>
      </c>
      <c r="J1553" s="8">
        <v>1078</v>
      </c>
      <c r="K1553" s="8">
        <v>1069</v>
      </c>
      <c r="L1553" s="8">
        <v>1071</v>
      </c>
      <c r="M1553" s="8">
        <v>1096</v>
      </c>
      <c r="N1553" s="8">
        <v>1075</v>
      </c>
      <c r="O1553" s="8">
        <v>1132</v>
      </c>
      <c r="P1553" s="8">
        <v>1080</v>
      </c>
      <c r="Q1553" s="8">
        <v>1027</v>
      </c>
      <c r="R1553" s="7">
        <f t="shared" si="15"/>
        <v>0.81224237329081639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</row>
    <row r="1554" spans="1:28" ht="14.4" hidden="1">
      <c r="A1554" s="3">
        <f>LOOKUP(D1554,'AMFI DATA_2023H2'!F:L,'AMFI DATA_2023H2'!L:L)</f>
        <v>2052</v>
      </c>
      <c r="B1554" s="4" t="s">
        <v>4802</v>
      </c>
      <c r="C1554" s="4" t="s">
        <v>4803</v>
      </c>
      <c r="D1554" s="5" t="s">
        <v>4804</v>
      </c>
      <c r="E1554" s="5">
        <v>148.83000000000001</v>
      </c>
      <c r="F1554" s="6">
        <f>LOOKUP(D1554,'AMFI DATA_2023H2'!F:J,'AMFI DATA_2023H2'!J:J)</f>
        <v>172.97219999999999</v>
      </c>
      <c r="G1554" s="7">
        <f t="shared" si="14"/>
        <v>2.3285822808520651E-2</v>
      </c>
      <c r="H1554" s="9">
        <v>177</v>
      </c>
      <c r="I1554" s="9">
        <v>178</v>
      </c>
      <c r="J1554" s="9">
        <v>178</v>
      </c>
      <c r="K1554" s="9">
        <v>180</v>
      </c>
      <c r="L1554" s="9">
        <v>178</v>
      </c>
      <c r="M1554" s="9">
        <v>181</v>
      </c>
      <c r="N1554" s="9">
        <v>177</v>
      </c>
      <c r="O1554" s="9">
        <v>172</v>
      </c>
      <c r="P1554" s="9">
        <v>169</v>
      </c>
      <c r="Q1554" s="9">
        <v>170</v>
      </c>
      <c r="R1554" s="7">
        <f t="shared" si="15"/>
        <v>1.7504546973444279E-2</v>
      </c>
      <c r="S1554" s="9"/>
      <c r="T1554" s="9"/>
      <c r="U1554" s="9"/>
      <c r="V1554" s="9"/>
      <c r="W1554" s="9"/>
      <c r="X1554" s="9"/>
      <c r="Y1554" s="9"/>
      <c r="Z1554" s="9"/>
      <c r="AA1554" s="9"/>
      <c r="AB1554" s="9"/>
    </row>
    <row r="1555" spans="1:28" ht="14.4" hidden="1">
      <c r="A1555" s="3">
        <f>LOOKUP(D1555,'AMFI DATA_2023H2'!F:L,'AMFI DATA_2023H2'!L:L)</f>
        <v>1244</v>
      </c>
      <c r="B1555" s="4" t="s">
        <v>3443</v>
      </c>
      <c r="C1555" s="4" t="s">
        <v>3444</v>
      </c>
      <c r="D1555" s="5" t="s">
        <v>3445</v>
      </c>
      <c r="E1555" s="5">
        <v>818.8</v>
      </c>
      <c r="F1555" s="6">
        <f>LOOKUP(D1555,'AMFI DATA_2023H2'!F:J,'AMFI DATA_2023H2'!J:J)</f>
        <v>931.25915000000009</v>
      </c>
      <c r="G1555" s="7">
        <f t="shared" si="14"/>
        <v>0.18978696746227941</v>
      </c>
      <c r="H1555" s="8">
        <v>1108</v>
      </c>
      <c r="I1555" s="8">
        <v>1088</v>
      </c>
      <c r="J1555" s="8">
        <v>1086</v>
      </c>
      <c r="K1555" s="8">
        <v>1083</v>
      </c>
      <c r="L1555" s="8">
        <v>1089</v>
      </c>
      <c r="M1555" s="8">
        <v>1057</v>
      </c>
      <c r="N1555" s="8">
        <v>1081</v>
      </c>
      <c r="O1555" s="8">
        <v>1067</v>
      </c>
      <c r="P1555" s="8">
        <v>1065</v>
      </c>
      <c r="Q1555" s="8">
        <v>1089</v>
      </c>
      <c r="R1555" s="7">
        <f t="shared" si="15"/>
        <v>0.16111610822830547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</row>
    <row r="1556" spans="1:28" ht="14.4" hidden="1">
      <c r="A1556" s="3">
        <f>LOOKUP(D1556,'AMFI DATA_2023H2'!F:L,'AMFI DATA_2023H2'!L:L)</f>
        <v>974</v>
      </c>
      <c r="B1556" s="4" t="s">
        <v>2792</v>
      </c>
      <c r="C1556" s="4" t="s">
        <v>2793</v>
      </c>
      <c r="D1556" s="5" t="s">
        <v>2794</v>
      </c>
      <c r="E1556" s="5">
        <v>1258.92</v>
      </c>
      <c r="F1556" s="6">
        <f>LOOKUP(D1556,'AMFI DATA_2023H2'!F:J,'AMFI DATA_2023H2'!J:J)</f>
        <v>1827.2276000000002</v>
      </c>
      <c r="G1556" s="7">
        <f t="shared" si="14"/>
        <v>6.8832366586406568E-2</v>
      </c>
      <c r="H1556" s="8">
        <v>1953</v>
      </c>
      <c r="I1556" s="8">
        <v>1983</v>
      </c>
      <c r="J1556" s="8">
        <v>1979</v>
      </c>
      <c r="K1556" s="8">
        <v>1978</v>
      </c>
      <c r="L1556" s="8">
        <v>1969</v>
      </c>
      <c r="M1556" s="8">
        <v>1916</v>
      </c>
      <c r="N1556" s="8">
        <v>1933</v>
      </c>
      <c r="O1556" s="8">
        <v>1919</v>
      </c>
      <c r="P1556" s="8">
        <v>1921</v>
      </c>
      <c r="Q1556" s="8">
        <v>1932</v>
      </c>
      <c r="R1556" s="7">
        <f t="shared" si="15"/>
        <v>6.6260163758472101E-2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</row>
    <row r="1557" spans="1:28" ht="14.4" hidden="1">
      <c r="A1557" s="3">
        <f>LOOKUP(D1557,'AMFI DATA_2023H2'!F:L,'AMFI DATA_2023H2'!L:L)</f>
        <v>2110</v>
      </c>
      <c r="B1557" s="4" t="s">
        <v>4892</v>
      </c>
      <c r="C1557" s="4" t="s">
        <v>4893</v>
      </c>
      <c r="D1557" s="5" t="s">
        <v>4894</v>
      </c>
      <c r="E1557" s="5">
        <v>170.05</v>
      </c>
      <c r="F1557" s="6">
        <f>LOOKUP(D1557,'AMFI DATA_2023H2'!F:J,'AMFI DATA_2023H2'!J:J)</f>
        <v>155.70920000000001</v>
      </c>
      <c r="G1557" s="7">
        <f t="shared" si="14"/>
        <v>0.22664556750660836</v>
      </c>
      <c r="H1557" s="9">
        <v>191</v>
      </c>
      <c r="I1557" s="9">
        <v>204</v>
      </c>
      <c r="J1557" s="9">
        <v>167</v>
      </c>
      <c r="K1557" s="9">
        <v>161</v>
      </c>
      <c r="L1557" s="9">
        <v>160</v>
      </c>
      <c r="M1557" s="9">
        <v>161</v>
      </c>
      <c r="N1557" s="9">
        <v>164</v>
      </c>
      <c r="O1557" s="9">
        <v>158</v>
      </c>
      <c r="P1557" s="9">
        <v>156</v>
      </c>
      <c r="Q1557" s="9">
        <v>155</v>
      </c>
      <c r="R1557" s="7">
        <f t="shared" si="15"/>
        <v>7.7007652727006271E-2</v>
      </c>
      <c r="S1557" s="9"/>
      <c r="T1557" s="9"/>
      <c r="U1557" s="9"/>
      <c r="V1557" s="9"/>
      <c r="W1557" s="9"/>
      <c r="X1557" s="9"/>
      <c r="Y1557" s="9"/>
      <c r="Z1557" s="9"/>
      <c r="AA1557" s="9"/>
      <c r="AB1557" s="9"/>
    </row>
    <row r="1558" spans="1:28" ht="14.4" hidden="1">
      <c r="A1558" s="3">
        <f>LOOKUP(D1558,'AMFI DATA_2023H2'!F:L,'AMFI DATA_2023H2'!L:L)</f>
        <v>1215</v>
      </c>
      <c r="B1558" s="4" t="s">
        <v>3389</v>
      </c>
      <c r="C1558" s="4" t="s">
        <v>3390</v>
      </c>
      <c r="D1558" s="5" t="s">
        <v>3391</v>
      </c>
      <c r="E1558" s="5">
        <v>661.72</v>
      </c>
      <c r="F1558" s="6">
        <f>LOOKUP(D1558,'AMFI DATA_2023H2'!F:J,'AMFI DATA_2023H2'!J:J)</f>
        <v>1006.9687</v>
      </c>
      <c r="G1558" s="7">
        <f t="shared" si="14"/>
        <v>0.12217986517356505</v>
      </c>
      <c r="H1558" s="8">
        <v>1130</v>
      </c>
      <c r="I1558" s="8">
        <v>1130</v>
      </c>
      <c r="J1558" s="8">
        <v>1126</v>
      </c>
      <c r="K1558" s="8">
        <v>1109</v>
      </c>
      <c r="L1558" s="8">
        <v>1016</v>
      </c>
      <c r="M1558" s="8">
        <v>1009</v>
      </c>
      <c r="N1558" s="8">
        <v>1009</v>
      </c>
      <c r="O1558" s="8">
        <v>1017</v>
      </c>
      <c r="P1558" s="8">
        <v>1008</v>
      </c>
      <c r="Q1558" s="8">
        <v>1007</v>
      </c>
      <c r="R1558" s="7">
        <f t="shared" si="15"/>
        <v>4.8791288150267231E-2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</row>
    <row r="1559" spans="1:28" ht="14.4" hidden="1">
      <c r="A1559" s="3">
        <f>LOOKUP(D1559,'AMFI DATA_2023H2'!F:L,'AMFI DATA_2023H2'!L:L)</f>
        <v>1263</v>
      </c>
      <c r="B1559" s="4" t="s">
        <v>3485</v>
      </c>
      <c r="C1559" s="4" t="s">
        <v>3486</v>
      </c>
      <c r="D1559" s="5" t="s">
        <v>3487</v>
      </c>
      <c r="E1559" s="5">
        <v>607.73</v>
      </c>
      <c r="F1559" s="6">
        <f>LOOKUP(D1559,'AMFI DATA_2023H2'!F:J,'AMFI DATA_2023H2'!J:J)</f>
        <v>880.81989999999996</v>
      </c>
      <c r="G1559" s="7">
        <f t="shared" si="14"/>
        <v>0.29084277046874174</v>
      </c>
      <c r="H1559" s="8">
        <v>1137</v>
      </c>
      <c r="I1559" s="8">
        <v>1120</v>
      </c>
      <c r="J1559" s="8">
        <v>1092</v>
      </c>
      <c r="K1559" s="8">
        <v>1070</v>
      </c>
      <c r="L1559" s="8">
        <v>1080</v>
      </c>
      <c r="M1559" s="8">
        <v>1058</v>
      </c>
      <c r="N1559" s="8">
        <v>1059</v>
      </c>
      <c r="O1559" s="8">
        <v>1043</v>
      </c>
      <c r="P1559" s="8">
        <v>1066</v>
      </c>
      <c r="Q1559" s="8">
        <v>1053</v>
      </c>
      <c r="R1559" s="7">
        <f t="shared" si="15"/>
        <v>0.22363266315849595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</row>
    <row r="1560" spans="1:28" ht="14.4" hidden="1">
      <c r="A1560" s="3">
        <f>LOOKUP(D1560,'AMFI DATA_2023H2'!F:L,'AMFI DATA_2023H2'!L:L)</f>
        <v>526</v>
      </c>
      <c r="B1560" s="4" t="s">
        <v>1560</v>
      </c>
      <c r="C1560" s="4" t="s">
        <v>1561</v>
      </c>
      <c r="D1560" s="5" t="s">
        <v>1562</v>
      </c>
      <c r="E1560" s="5">
        <v>5052.38</v>
      </c>
      <c r="F1560" s="6">
        <f>LOOKUP(D1560,'AMFI DATA_2023H2'!F:J,'AMFI DATA_2023H2'!J:J)</f>
        <v>6902.5578999999998</v>
      </c>
      <c r="G1560" s="7">
        <f t="shared" si="14"/>
        <v>0.74543990424187534</v>
      </c>
      <c r="H1560" s="8">
        <v>12048</v>
      </c>
      <c r="I1560" s="8">
        <v>12285</v>
      </c>
      <c r="J1560" s="8">
        <v>10591</v>
      </c>
      <c r="K1560" s="8">
        <v>9633</v>
      </c>
      <c r="L1560" s="8">
        <v>9707</v>
      </c>
      <c r="M1560" s="8">
        <v>9348</v>
      </c>
      <c r="N1560" s="8">
        <v>9532</v>
      </c>
      <c r="O1560" s="8">
        <v>9621</v>
      </c>
      <c r="P1560" s="8">
        <v>9609</v>
      </c>
      <c r="Q1560" s="8">
        <v>9746</v>
      </c>
      <c r="R1560" s="7">
        <f t="shared" si="15"/>
        <v>0.4794515523006333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</row>
    <row r="1561" spans="1:28" ht="14.4" hidden="1">
      <c r="A1561" s="3">
        <f>LOOKUP(D1561,'AMFI DATA_2023H2'!F:L,'AMFI DATA_2023H2'!L:L)</f>
        <v>1978</v>
      </c>
      <c r="B1561" s="4" t="s">
        <v>4691</v>
      </c>
      <c r="C1561" s="4" t="s">
        <v>4692</v>
      </c>
      <c r="D1561" s="5" t="s">
        <v>4693</v>
      </c>
      <c r="E1561" s="5">
        <v>160</v>
      </c>
      <c r="F1561" s="6">
        <f>LOOKUP(D1561,'AMFI DATA_2023H2'!F:J,'AMFI DATA_2023H2'!J:J)</f>
        <v>194.16694999999999</v>
      </c>
      <c r="G1561" s="7">
        <f t="shared" si="14"/>
        <v>0.3081525975455659</v>
      </c>
      <c r="H1561" s="9">
        <v>254</v>
      </c>
      <c r="I1561" s="9">
        <v>249</v>
      </c>
      <c r="J1561" s="9">
        <v>249</v>
      </c>
      <c r="K1561" s="9">
        <v>242</v>
      </c>
      <c r="L1561" s="9">
        <v>234</v>
      </c>
      <c r="M1561" s="9">
        <v>236</v>
      </c>
      <c r="N1561" s="9">
        <v>231</v>
      </c>
      <c r="O1561" s="9">
        <v>231</v>
      </c>
      <c r="P1561" s="9">
        <v>222</v>
      </c>
      <c r="Q1561" s="9">
        <v>229</v>
      </c>
      <c r="R1561" s="7">
        <f t="shared" si="15"/>
        <v>0.22420422219126368</v>
      </c>
      <c r="S1561" s="9"/>
      <c r="T1561" s="9"/>
      <c r="U1561" s="9"/>
      <c r="V1561" s="9"/>
      <c r="W1561" s="9"/>
      <c r="X1561" s="9"/>
      <c r="Y1561" s="9"/>
      <c r="Z1561" s="9"/>
      <c r="AA1561" s="9"/>
      <c r="AB1561" s="9"/>
    </row>
    <row r="1562" spans="1:28" ht="14.4" hidden="1">
      <c r="A1562" s="3">
        <f>LOOKUP(D1562,'AMFI DATA_2023H2'!F:L,'AMFI DATA_2023H2'!L:L)</f>
        <v>146</v>
      </c>
      <c r="B1562" s="4" t="s">
        <v>447</v>
      </c>
      <c r="C1562" s="4" t="s">
        <v>448</v>
      </c>
      <c r="D1562" s="5" t="s">
        <v>449</v>
      </c>
      <c r="E1562" s="5">
        <v>35224.660000000003</v>
      </c>
      <c r="F1562" s="6">
        <f>LOOKUP(D1562,'AMFI DATA_2023H2'!F:J,'AMFI DATA_2023H2'!J:J)</f>
        <v>46159.628049999999</v>
      </c>
      <c r="G1562" s="7">
        <f t="shared" si="14"/>
        <v>0.31476362708689543</v>
      </c>
      <c r="H1562" s="8">
        <v>60689</v>
      </c>
      <c r="I1562" s="8">
        <v>60933</v>
      </c>
      <c r="J1562" s="8">
        <v>60745</v>
      </c>
      <c r="K1562" s="8">
        <v>60357</v>
      </c>
      <c r="L1562" s="8">
        <v>61381</v>
      </c>
      <c r="M1562" s="8">
        <v>60909</v>
      </c>
      <c r="N1562" s="8">
        <v>61470</v>
      </c>
      <c r="O1562" s="8">
        <v>61055</v>
      </c>
      <c r="P1562" s="8">
        <v>61578</v>
      </c>
      <c r="Q1562" s="8">
        <v>59677</v>
      </c>
      <c r="R1562" s="7">
        <f t="shared" si="15"/>
        <v>0.31888844368623559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</row>
    <row r="1563" spans="1:28" ht="14.4" hidden="1">
      <c r="A1563" s="3">
        <f>LOOKUP(D1563,'AMFI DATA_2023H2'!F:L,'AMFI DATA_2023H2'!L:L)</f>
        <v>1119</v>
      </c>
      <c r="B1563" s="4" t="s">
        <v>3158</v>
      </c>
      <c r="C1563" s="4" t="s">
        <v>3159</v>
      </c>
      <c r="D1563" s="5" t="s">
        <v>3160</v>
      </c>
      <c r="E1563" s="5">
        <v>1360.26</v>
      </c>
      <c r="F1563" s="6">
        <f>LOOKUP(D1563,'AMFI DATA_2023H2'!F:J,'AMFI DATA_2023H2'!J:J)</f>
        <v>1279.5354499999999</v>
      </c>
      <c r="G1563" s="7">
        <f t="shared" si="14"/>
        <v>0.19809107281865468</v>
      </c>
      <c r="H1563" s="8">
        <v>1533</v>
      </c>
      <c r="I1563" s="8">
        <v>1512</v>
      </c>
      <c r="J1563" s="8">
        <v>1510</v>
      </c>
      <c r="K1563" s="8">
        <v>1405</v>
      </c>
      <c r="L1563" s="8">
        <v>1294</v>
      </c>
      <c r="M1563" s="8">
        <v>1297</v>
      </c>
      <c r="N1563" s="8">
        <v>1302</v>
      </c>
      <c r="O1563" s="8">
        <v>1325</v>
      </c>
      <c r="P1563" s="8">
        <v>1348</v>
      </c>
      <c r="Q1563" s="8">
        <v>1184</v>
      </c>
      <c r="R1563" s="7">
        <f t="shared" si="15"/>
        <v>7.1482622853473954E-2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</row>
    <row r="1564" spans="1:28" ht="14.4" hidden="1">
      <c r="A1564" s="3">
        <f>LOOKUP(D1564,'AMFI DATA_2023H2'!F:L,'AMFI DATA_2023H2'!L:L)</f>
        <v>863</v>
      </c>
      <c r="B1564" s="4" t="s">
        <v>2501</v>
      </c>
      <c r="C1564" s="4" t="s">
        <v>2502</v>
      </c>
      <c r="D1564" s="5" t="s">
        <v>2503</v>
      </c>
      <c r="E1564" s="5">
        <v>1240.24</v>
      </c>
      <c r="F1564" s="6">
        <f>LOOKUP(D1564,'AMFI DATA_2023H2'!F:J,'AMFI DATA_2023H2'!J:J)</f>
        <v>2443.7696999999998</v>
      </c>
      <c r="G1564" s="7">
        <f t="shared" si="14"/>
        <v>-0.10588956070614997</v>
      </c>
      <c r="H1564" s="8">
        <v>2185</v>
      </c>
      <c r="I1564" s="8">
        <v>2180</v>
      </c>
      <c r="J1564" s="8">
        <v>2186</v>
      </c>
      <c r="K1564" s="8">
        <v>2192</v>
      </c>
      <c r="L1564" s="8">
        <v>2225</v>
      </c>
      <c r="M1564" s="8">
        <v>2205</v>
      </c>
      <c r="N1564" s="8">
        <v>2205</v>
      </c>
      <c r="O1564" s="8">
        <v>2210</v>
      </c>
      <c r="P1564" s="8">
        <v>2239</v>
      </c>
      <c r="Q1564" s="8">
        <v>2261</v>
      </c>
      <c r="R1564" s="7">
        <f t="shared" si="15"/>
        <v>-9.6150508781576161E-2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</row>
    <row r="1565" spans="1:28" ht="14.4" hidden="1">
      <c r="A1565" s="3">
        <f>LOOKUP(D1565,'AMFI DATA_2023H2'!F:L,'AMFI DATA_2023H2'!L:L)</f>
        <v>2581</v>
      </c>
      <c r="B1565" s="4" t="s">
        <v>5362</v>
      </c>
      <c r="C1565" s="4" t="s">
        <v>5363</v>
      </c>
      <c r="D1565" s="5" t="s">
        <v>5364</v>
      </c>
      <c r="E1565" s="5">
        <v>73.98</v>
      </c>
      <c r="F1565" s="6">
        <f>LOOKUP(D1565,'AMFI DATA_2023H2'!F:J,'AMFI DATA_2023H2'!J:J)</f>
        <v>71.356049999999996</v>
      </c>
      <c r="G1565" s="7">
        <f t="shared" si="14"/>
        <v>6.1592534900700713E-4</v>
      </c>
      <c r="H1565" s="9">
        <v>71.400000000000006</v>
      </c>
      <c r="I1565" s="9">
        <v>70.099999999999994</v>
      </c>
      <c r="J1565" s="9">
        <v>71.5</v>
      </c>
      <c r="K1565" s="9">
        <v>72.900000000000006</v>
      </c>
      <c r="L1565" s="9">
        <v>74.400000000000006</v>
      </c>
      <c r="M1565" s="9">
        <v>73</v>
      </c>
      <c r="N1565" s="9">
        <v>77.2</v>
      </c>
      <c r="O1565" s="9">
        <v>73.7</v>
      </c>
      <c r="P1565" s="9">
        <v>66.400000000000006</v>
      </c>
      <c r="Q1565" s="9">
        <v>65.099999999999994</v>
      </c>
      <c r="R1565" s="7">
        <f t="shared" si="15"/>
        <v>2.9983442188854514E-3</v>
      </c>
      <c r="S1565" s="9"/>
      <c r="T1565" s="9"/>
      <c r="U1565" s="9"/>
      <c r="V1565" s="9"/>
      <c r="W1565" s="9"/>
      <c r="X1565" s="9"/>
      <c r="Y1565" s="9"/>
      <c r="Z1565" s="9"/>
      <c r="AA1565" s="9"/>
      <c r="AB1565" s="9"/>
    </row>
    <row r="1566" spans="1:28" ht="14.4" hidden="1">
      <c r="A1566" s="3">
        <f>LOOKUP(D1566,'AMFI DATA_2023H2'!F:L,'AMFI DATA_2023H2'!L:L)</f>
        <v>790</v>
      </c>
      <c r="B1566" s="4" t="s">
        <v>2297</v>
      </c>
      <c r="C1566" s="4" t="s">
        <v>2298</v>
      </c>
      <c r="D1566" s="5" t="s">
        <v>2299</v>
      </c>
      <c r="E1566" s="5">
        <v>2375.8000000000002</v>
      </c>
      <c r="F1566" s="6">
        <f>LOOKUP(D1566,'AMFI DATA_2023H2'!F:J,'AMFI DATA_2023H2'!J:J)</f>
        <v>2993.8134</v>
      </c>
      <c r="G1566" s="7">
        <f t="shared" si="14"/>
        <v>-5.6160480810193425E-3</v>
      </c>
      <c r="H1566" s="8">
        <v>2977</v>
      </c>
      <c r="I1566" s="8">
        <v>3040</v>
      </c>
      <c r="J1566" s="8">
        <v>3105</v>
      </c>
      <c r="K1566" s="8">
        <v>3077</v>
      </c>
      <c r="L1566" s="8">
        <v>3077</v>
      </c>
      <c r="M1566" s="8">
        <v>3041</v>
      </c>
      <c r="N1566" s="8">
        <v>3039</v>
      </c>
      <c r="O1566" s="8">
        <v>3055</v>
      </c>
      <c r="P1566" s="8">
        <v>3049</v>
      </c>
      <c r="Q1566" s="8">
        <v>3087</v>
      </c>
      <c r="R1566" s="7">
        <f t="shared" si="15"/>
        <v>2.0337473270712225E-2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</row>
    <row r="1567" spans="1:28" ht="14.4" hidden="1">
      <c r="A1567" s="3">
        <f>LOOKUP(D1567,'AMFI DATA_2023H2'!F:L,'AMFI DATA_2023H2'!L:L)</f>
        <v>2472</v>
      </c>
      <c r="B1567" s="4" t="s">
        <v>5275</v>
      </c>
      <c r="C1567" s="4" t="s">
        <v>5276</v>
      </c>
      <c r="D1567" s="5" t="s">
        <v>5277</v>
      </c>
      <c r="E1567" s="5">
        <v>51.71</v>
      </c>
      <c r="F1567" s="6">
        <f>LOOKUP(D1567,'AMFI DATA_2023H2'!F:J,'AMFI DATA_2023H2'!J:J)</f>
        <v>86.392499999999998</v>
      </c>
      <c r="G1567" s="7">
        <f t="shared" si="14"/>
        <v>0.36585930491651486</v>
      </c>
      <c r="H1567" s="9">
        <v>118</v>
      </c>
      <c r="I1567" s="9">
        <v>117</v>
      </c>
      <c r="J1567" s="9">
        <v>118</v>
      </c>
      <c r="K1567" s="9">
        <v>113</v>
      </c>
      <c r="L1567" s="9">
        <v>107</v>
      </c>
      <c r="M1567" s="9">
        <v>109</v>
      </c>
      <c r="N1567" s="9">
        <v>105</v>
      </c>
      <c r="O1567" s="9">
        <v>104</v>
      </c>
      <c r="P1567" s="9">
        <v>101</v>
      </c>
      <c r="Q1567" s="9">
        <v>102</v>
      </c>
      <c r="R1567" s="7">
        <f t="shared" si="15"/>
        <v>0.26631362676158243</v>
      </c>
      <c r="S1567" s="9"/>
      <c r="T1567" s="9"/>
      <c r="U1567" s="9"/>
      <c r="V1567" s="9"/>
      <c r="W1567" s="9"/>
      <c r="X1567" s="9"/>
      <c r="Y1567" s="9"/>
      <c r="Z1567" s="9"/>
      <c r="AA1567" s="9"/>
      <c r="AB1567" s="9"/>
    </row>
    <row r="1568" spans="1:28" ht="14.4" hidden="1">
      <c r="A1568" s="3">
        <f>LOOKUP(D1568,'AMFI DATA_2023H2'!F:L,'AMFI DATA_2023H2'!L:L)</f>
        <v>188</v>
      </c>
      <c r="B1568" s="4" t="s">
        <v>573</v>
      </c>
      <c r="C1568" s="4" t="s">
        <v>574</v>
      </c>
      <c r="D1568" s="5" t="s">
        <v>575</v>
      </c>
      <c r="E1568" s="5">
        <v>27487.58</v>
      </c>
      <c r="F1568" s="6">
        <f>LOOKUP(D1568,'AMFI DATA_2023H2'!F:J,'AMFI DATA_2023H2'!J:J)</f>
        <v>33214.455799999996</v>
      </c>
      <c r="G1568" s="7">
        <f t="shared" si="14"/>
        <v>0.14254468682277799</v>
      </c>
      <c r="H1568" s="8">
        <v>37949</v>
      </c>
      <c r="I1568" s="8">
        <v>38031</v>
      </c>
      <c r="J1568" s="8">
        <v>37377</v>
      </c>
      <c r="K1568" s="8">
        <v>37608</v>
      </c>
      <c r="L1568" s="8">
        <v>37840</v>
      </c>
      <c r="M1568" s="8">
        <v>37796</v>
      </c>
      <c r="N1568" s="8">
        <v>37110</v>
      </c>
      <c r="O1568" s="8">
        <v>36037</v>
      </c>
      <c r="P1568" s="8">
        <v>33931</v>
      </c>
      <c r="Q1568" s="8">
        <v>33838</v>
      </c>
      <c r="R1568" s="7">
        <f t="shared" si="15"/>
        <v>0.10649712948179624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</row>
    <row r="1569" spans="1:28" ht="14.4" hidden="1">
      <c r="A1569" s="3">
        <f>LOOKUP(D1569,'AMFI DATA_2023H2'!F:L,'AMFI DATA_2023H2'!L:L)</f>
        <v>2206</v>
      </c>
      <c r="B1569" s="4" t="s">
        <v>5027</v>
      </c>
      <c r="C1569" s="4" t="s">
        <v>5028</v>
      </c>
      <c r="D1569" s="5" t="s">
        <v>5029</v>
      </c>
      <c r="E1569" s="5">
        <v>95.99</v>
      </c>
      <c r="F1569" s="6">
        <f>LOOKUP(D1569,'AMFI DATA_2023H2'!F:J,'AMFI DATA_2023H2'!J:J)</f>
        <v>130.63589999999999</v>
      </c>
      <c r="G1569" s="7">
        <f t="shared" si="14"/>
        <v>0.11761009033504588</v>
      </c>
      <c r="H1569" s="9">
        <v>146</v>
      </c>
      <c r="I1569" s="9">
        <v>147</v>
      </c>
      <c r="J1569" s="9">
        <v>146</v>
      </c>
      <c r="K1569" s="9">
        <v>147</v>
      </c>
      <c r="L1569" s="9">
        <v>149</v>
      </c>
      <c r="M1569" s="9">
        <v>142</v>
      </c>
      <c r="N1569" s="9">
        <v>148</v>
      </c>
      <c r="O1569" s="9">
        <v>146</v>
      </c>
      <c r="P1569" s="9">
        <v>150</v>
      </c>
      <c r="Q1569" s="9">
        <v>147</v>
      </c>
      <c r="R1569" s="7">
        <f t="shared" si="15"/>
        <v>0.12373398124099144</v>
      </c>
      <c r="S1569" s="9"/>
      <c r="T1569" s="9"/>
      <c r="U1569" s="9"/>
      <c r="V1569" s="9"/>
      <c r="W1569" s="9"/>
      <c r="X1569" s="9"/>
      <c r="Y1569" s="9"/>
      <c r="Z1569" s="9"/>
      <c r="AA1569" s="9"/>
      <c r="AB1569" s="9"/>
    </row>
    <row r="1570" spans="1:28" ht="14.4">
      <c r="A1570" s="3">
        <f>LOOKUP(D1570,'AMFI DATA_2023H2'!F:L,'AMFI DATA_2023H2'!L:L)</f>
        <v>300</v>
      </c>
      <c r="B1570" s="4" t="s">
        <v>909</v>
      </c>
      <c r="C1570" s="4" t="s">
        <v>910</v>
      </c>
      <c r="D1570" s="5" t="s">
        <v>911</v>
      </c>
      <c r="E1570" s="5">
        <v>11259.07</v>
      </c>
      <c r="F1570" s="6">
        <f>LOOKUP(D1570,'AMFI DATA_2023H2'!F:J,'AMFI DATA_2023H2'!J:J)</f>
        <v>16315.191350000001</v>
      </c>
      <c r="G1570" s="7">
        <f t="shared" si="14"/>
        <v>0.22965152964632551</v>
      </c>
      <c r="H1570" s="8">
        <v>20062</v>
      </c>
      <c r="I1570" s="8">
        <v>19774</v>
      </c>
      <c r="J1570" s="8">
        <v>19792</v>
      </c>
      <c r="K1570" s="8">
        <v>19900</v>
      </c>
      <c r="L1570" s="8">
        <v>20273</v>
      </c>
      <c r="M1570" s="8">
        <v>20753</v>
      </c>
      <c r="N1570" s="8">
        <v>20465</v>
      </c>
      <c r="O1570" s="8">
        <v>20735</v>
      </c>
      <c r="P1570" s="8">
        <v>20896</v>
      </c>
      <c r="Q1570" s="8">
        <v>21029</v>
      </c>
      <c r="R1570" s="14">
        <f t="shared" si="15"/>
        <v>0.24840092666151903</v>
      </c>
      <c r="S1570" s="8"/>
      <c r="T1570" s="8">
        <v>716.25</v>
      </c>
      <c r="U1570" s="15">
        <f ca="1">IFERROR(__xludf.DUMMYFUNCTION("GOOGLEFINANCE(C1570,""PRICE"")"),763.5)</f>
        <v>763.5</v>
      </c>
      <c r="V1570" s="13" t="s">
        <v>5787</v>
      </c>
      <c r="W1570" s="7">
        <f ca="1">U1570/T1570-1</f>
        <v>6.5968586387434636E-2</v>
      </c>
      <c r="X1570" s="8"/>
      <c r="Y1570" s="8"/>
      <c r="Z1570" s="8"/>
      <c r="AA1570" s="8"/>
      <c r="AB1570" s="8"/>
    </row>
    <row r="1571" spans="1:28" ht="14.4" hidden="1">
      <c r="A1571" s="3">
        <f>LOOKUP(D1571,'AMFI DATA_2023H2'!F:L,'AMFI DATA_2023H2'!L:L)</f>
        <v>1568</v>
      </c>
      <c r="B1571" s="4" t="s">
        <v>4091</v>
      </c>
      <c r="C1571" s="4" t="s">
        <v>4092</v>
      </c>
      <c r="D1571" s="5" t="s">
        <v>4093</v>
      </c>
      <c r="E1571" s="5">
        <v>349.94</v>
      </c>
      <c r="F1571" s="6">
        <f>LOOKUP(D1571,'AMFI DATA_2023H2'!F:J,'AMFI DATA_2023H2'!J:J)</f>
        <v>440.04904999999997</v>
      </c>
      <c r="G1571" s="7">
        <f t="shared" si="14"/>
        <v>5.2155435854253085E-2</v>
      </c>
      <c r="H1571" s="9">
        <v>463</v>
      </c>
      <c r="I1571" s="9">
        <v>470</v>
      </c>
      <c r="J1571" s="9">
        <v>472</v>
      </c>
      <c r="K1571" s="9">
        <v>492</v>
      </c>
      <c r="L1571" s="9">
        <v>493</v>
      </c>
      <c r="M1571" s="9">
        <v>470</v>
      </c>
      <c r="N1571" s="9">
        <v>456</v>
      </c>
      <c r="O1571" s="9">
        <v>449</v>
      </c>
      <c r="P1571" s="9">
        <v>444</v>
      </c>
      <c r="Q1571" s="9">
        <v>453</v>
      </c>
      <c r="R1571" s="7">
        <f t="shared" si="15"/>
        <v>5.9427352473548245E-2</v>
      </c>
      <c r="S1571" s="9"/>
      <c r="T1571" s="9"/>
      <c r="U1571" s="9"/>
      <c r="V1571" s="9"/>
      <c r="W1571" s="9"/>
      <c r="X1571" s="9"/>
      <c r="Y1571" s="9"/>
      <c r="Z1571" s="9"/>
      <c r="AA1571" s="9"/>
      <c r="AB1571" s="9"/>
    </row>
    <row r="1572" spans="1:28" ht="14.4" hidden="1">
      <c r="A1572" s="3">
        <f>LOOKUP(D1572,'AMFI DATA_2023H2'!F:L,'AMFI DATA_2023H2'!L:L)</f>
        <v>1063</v>
      </c>
      <c r="B1572" s="4" t="s">
        <v>3026</v>
      </c>
      <c r="C1572" s="4" t="s">
        <v>3027</v>
      </c>
      <c r="D1572" s="5" t="s">
        <v>3028</v>
      </c>
      <c r="E1572" s="5">
        <v>1369.76</v>
      </c>
      <c r="F1572" s="6">
        <f>LOOKUP(D1572,'AMFI DATA_2023H2'!F:J,'AMFI DATA_2023H2'!J:J)</f>
        <v>1434.84375</v>
      </c>
      <c r="G1572" s="7">
        <f t="shared" si="14"/>
        <v>0.17713165632146355</v>
      </c>
      <c r="H1572" s="8">
        <v>1689</v>
      </c>
      <c r="I1572" s="8">
        <v>1723</v>
      </c>
      <c r="J1572" s="8">
        <v>1716</v>
      </c>
      <c r="K1572" s="8">
        <v>1714</v>
      </c>
      <c r="L1572" s="8">
        <v>1651</v>
      </c>
      <c r="M1572" s="8">
        <v>1571</v>
      </c>
      <c r="N1572" s="8">
        <v>1574</v>
      </c>
      <c r="O1572" s="8">
        <v>1555</v>
      </c>
      <c r="P1572" s="8">
        <v>1586</v>
      </c>
      <c r="Q1572" s="8">
        <v>1556</v>
      </c>
      <c r="R1572" s="7">
        <f t="shared" si="15"/>
        <v>0.13845148644233918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</row>
    <row r="1573" spans="1:28" ht="14.4" hidden="1">
      <c r="A1573" s="3">
        <f>LOOKUP(D1573,'AMFI DATA_2023H2'!F:L,'AMFI DATA_2023H2'!L:L)</f>
        <v>1133</v>
      </c>
      <c r="B1573" s="4" t="s">
        <v>3191</v>
      </c>
      <c r="C1573" s="4" t="s">
        <v>3192</v>
      </c>
      <c r="D1573" s="5" t="s">
        <v>3193</v>
      </c>
      <c r="E1573" s="5">
        <v>1058.8900000000001</v>
      </c>
      <c r="F1573" s="6">
        <f>LOOKUP(D1573,'AMFI DATA_2023H2'!F:J,'AMFI DATA_2023H2'!J:J)</f>
        <v>1244.0823</v>
      </c>
      <c r="G1573" s="7">
        <f t="shared" si="14"/>
        <v>0.47659041528040391</v>
      </c>
      <c r="H1573" s="8">
        <v>1837</v>
      </c>
      <c r="I1573" s="8">
        <v>1821</v>
      </c>
      <c r="J1573" s="8">
        <v>1805</v>
      </c>
      <c r="K1573" s="8">
        <v>1813</v>
      </c>
      <c r="L1573" s="8">
        <v>1906</v>
      </c>
      <c r="M1573" s="8">
        <v>1666</v>
      </c>
      <c r="N1573" s="8">
        <v>1596</v>
      </c>
      <c r="O1573" s="8">
        <v>1615</v>
      </c>
      <c r="P1573" s="8">
        <v>1687</v>
      </c>
      <c r="Q1573" s="8">
        <v>1733</v>
      </c>
      <c r="R1573" s="7">
        <f t="shared" si="15"/>
        <v>0.40497135920991734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</row>
    <row r="1574" spans="1:28" ht="14.4" hidden="1">
      <c r="A1574" s="3">
        <f>LOOKUP(D1574,'AMFI DATA_2023H2'!F:L,'AMFI DATA_2023H2'!L:L)</f>
        <v>564</v>
      </c>
      <c r="B1574" s="4" t="s">
        <v>1671</v>
      </c>
      <c r="C1574" s="4" t="s">
        <v>1672</v>
      </c>
      <c r="D1574" s="5" t="s">
        <v>1673</v>
      </c>
      <c r="E1574" s="5">
        <v>4269.6000000000004</v>
      </c>
      <c r="F1574" s="6">
        <f>LOOKUP(D1574,'AMFI DATA_2023H2'!F:J,'AMFI DATA_2023H2'!J:J)</f>
        <v>6111.2626500000006</v>
      </c>
      <c r="G1574" s="7">
        <f t="shared" si="14"/>
        <v>0.34702114300389275</v>
      </c>
      <c r="H1574" s="8">
        <v>8232</v>
      </c>
      <c r="I1574" s="8">
        <v>8133</v>
      </c>
      <c r="J1574" s="8">
        <v>7884</v>
      </c>
      <c r="K1574" s="8">
        <v>7907</v>
      </c>
      <c r="L1574" s="8">
        <v>8033</v>
      </c>
      <c r="M1574" s="8">
        <v>8027</v>
      </c>
      <c r="N1574" s="8">
        <v>7767</v>
      </c>
      <c r="O1574" s="8">
        <v>7308</v>
      </c>
      <c r="P1574" s="8">
        <v>7338</v>
      </c>
      <c r="Q1574" s="8">
        <v>7376</v>
      </c>
      <c r="R1574" s="7">
        <f t="shared" si="15"/>
        <v>0.27641380296426954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</row>
    <row r="1575" spans="1:28" ht="14.4" hidden="1">
      <c r="A1575" s="3">
        <f>LOOKUP(D1575,'AMFI DATA_2023H2'!F:L,'AMFI DATA_2023H2'!L:L)</f>
        <v>1235</v>
      </c>
      <c r="B1575" s="4" t="s">
        <v>3431</v>
      </c>
      <c r="C1575" s="4" t="s">
        <v>3432</v>
      </c>
      <c r="D1575" s="5" t="s">
        <v>3433</v>
      </c>
      <c r="E1575" s="5">
        <v>1092.6600000000001</v>
      </c>
      <c r="F1575" s="6">
        <f>LOOKUP(D1575,'AMFI DATA_2023H2'!F:J,'AMFI DATA_2023H2'!J:J)</f>
        <v>959.57584999999995</v>
      </c>
      <c r="G1575" s="7">
        <f t="shared" si="14"/>
        <v>-4.8537955597777849E-2</v>
      </c>
      <c r="H1575" s="9">
        <v>913</v>
      </c>
      <c r="I1575" s="9">
        <v>919</v>
      </c>
      <c r="J1575" s="9">
        <v>923</v>
      </c>
      <c r="K1575" s="9">
        <v>926</v>
      </c>
      <c r="L1575" s="9">
        <v>905</v>
      </c>
      <c r="M1575" s="9">
        <v>906</v>
      </c>
      <c r="N1575" s="9">
        <v>896</v>
      </c>
      <c r="O1575" s="9">
        <v>896</v>
      </c>
      <c r="P1575" s="9">
        <v>904</v>
      </c>
      <c r="Q1575" s="9">
        <v>922</v>
      </c>
      <c r="R1575" s="7">
        <f t="shared" si="15"/>
        <v>-5.0622209802382967E-2</v>
      </c>
      <c r="S1575" s="9"/>
      <c r="T1575" s="9"/>
      <c r="U1575" s="9"/>
      <c r="V1575" s="9"/>
      <c r="W1575" s="9"/>
      <c r="X1575" s="9"/>
      <c r="Y1575" s="9"/>
      <c r="Z1575" s="9"/>
      <c r="AA1575" s="9"/>
      <c r="AB1575" s="9"/>
    </row>
    <row r="1576" spans="1:28" ht="14.4" hidden="1">
      <c r="A1576" s="3">
        <f>LOOKUP(D1576,'AMFI DATA_2023H2'!F:L,'AMFI DATA_2023H2'!L:L)</f>
        <v>1390</v>
      </c>
      <c r="B1576" s="4" t="s">
        <v>3755</v>
      </c>
      <c r="C1576" s="4" t="s">
        <v>3756</v>
      </c>
      <c r="D1576" s="5" t="s">
        <v>3757</v>
      </c>
      <c r="E1576" s="5">
        <v>560.37</v>
      </c>
      <c r="F1576" s="6">
        <f>LOOKUP(D1576,'AMFI DATA_2023H2'!F:J,'AMFI DATA_2023H2'!J:J)</f>
        <v>653.59720000000004</v>
      </c>
      <c r="G1576" s="7">
        <f t="shared" si="14"/>
        <v>0.4305446840959537</v>
      </c>
      <c r="H1576" s="9">
        <v>935</v>
      </c>
      <c r="I1576" s="9">
        <v>950</v>
      </c>
      <c r="J1576" s="9">
        <v>946</v>
      </c>
      <c r="K1576" s="9">
        <v>976</v>
      </c>
      <c r="L1576" s="9">
        <v>996</v>
      </c>
      <c r="M1576" s="9">
        <v>974</v>
      </c>
      <c r="N1576" s="9">
        <v>970</v>
      </c>
      <c r="O1576" s="9">
        <v>947</v>
      </c>
      <c r="P1576" s="9">
        <v>958</v>
      </c>
      <c r="Q1576" s="9">
        <v>992</v>
      </c>
      <c r="R1576" s="7">
        <f t="shared" si="15"/>
        <v>0.47552651694346282</v>
      </c>
      <c r="S1576" s="9"/>
      <c r="T1576" s="9"/>
      <c r="U1576" s="9"/>
      <c r="V1576" s="9"/>
      <c r="W1576" s="9"/>
      <c r="X1576" s="9"/>
      <c r="Y1576" s="9"/>
      <c r="Z1576" s="9"/>
      <c r="AA1576" s="9"/>
      <c r="AB1576" s="9"/>
    </row>
    <row r="1577" spans="1:28" ht="14.4" hidden="1">
      <c r="A1577" s="3">
        <f>LOOKUP(D1577,'AMFI DATA_2023H2'!F:L,'AMFI DATA_2023H2'!L:L)</f>
        <v>3397</v>
      </c>
      <c r="B1577" s="4" t="s">
        <v>5668</v>
      </c>
      <c r="C1577" s="4" t="s">
        <v>5669</v>
      </c>
      <c r="D1577" s="5" t="s">
        <v>5670</v>
      </c>
      <c r="E1577" s="5">
        <v>12.28</v>
      </c>
      <c r="F1577" s="6">
        <f>LOOKUP(D1577,'AMFI DATA_2023H2'!F:J,'AMFI DATA_2023H2'!J:J)</f>
        <v>21.312200000000001</v>
      </c>
      <c r="G1577" s="7">
        <f t="shared" si="14"/>
        <v>7.4501928472893386E-2</v>
      </c>
      <c r="H1577" s="9">
        <v>22.9</v>
      </c>
      <c r="I1577" s="9">
        <v>22.2</v>
      </c>
      <c r="J1577" s="9">
        <v>21.8</v>
      </c>
      <c r="K1577" s="9">
        <v>21.4</v>
      </c>
      <c r="L1577" s="9">
        <v>21.1</v>
      </c>
      <c r="M1577" s="9">
        <v>20.7</v>
      </c>
      <c r="N1577" s="9">
        <v>20.399999999999999</v>
      </c>
      <c r="O1577" s="9">
        <v>20</v>
      </c>
      <c r="P1577" s="9">
        <v>19.8</v>
      </c>
      <c r="Q1577" s="9">
        <v>19.8</v>
      </c>
      <c r="R1577" s="7">
        <f t="shared" si="15"/>
        <v>-1.4179671737314936E-2</v>
      </c>
      <c r="S1577" s="9"/>
      <c r="T1577" s="9"/>
      <c r="U1577" s="9"/>
      <c r="V1577" s="9"/>
      <c r="W1577" s="9"/>
      <c r="X1577" s="9"/>
      <c r="Y1577" s="9"/>
      <c r="Z1577" s="9"/>
      <c r="AA1577" s="9"/>
      <c r="AB1577" s="9"/>
    </row>
    <row r="1578" spans="1:28" ht="14.4" hidden="1">
      <c r="A1578" s="3">
        <f>LOOKUP(D1578,'AMFI DATA_2023H2'!F:L,'AMFI DATA_2023H2'!L:L)</f>
        <v>1984</v>
      </c>
      <c r="B1578" s="4" t="s">
        <v>4706</v>
      </c>
      <c r="C1578" s="4" t="s">
        <v>4707</v>
      </c>
      <c r="D1578" s="5" t="s">
        <v>4708</v>
      </c>
      <c r="E1578" s="5">
        <v>189.39</v>
      </c>
      <c r="F1578" s="6">
        <f>LOOKUP(D1578,'AMFI DATA_2023H2'!F:J,'AMFI DATA_2023H2'!J:J)</f>
        <v>192.13045</v>
      </c>
      <c r="G1578" s="7">
        <f t="shared" si="14"/>
        <v>7.7392990023184893E-2</v>
      </c>
      <c r="H1578" s="9">
        <v>207</v>
      </c>
      <c r="I1578" s="9">
        <v>206</v>
      </c>
      <c r="J1578" s="9">
        <v>203</v>
      </c>
      <c r="K1578" s="9">
        <v>202</v>
      </c>
      <c r="L1578" s="9">
        <v>204</v>
      </c>
      <c r="M1578" s="9">
        <v>202</v>
      </c>
      <c r="N1578" s="9">
        <v>200</v>
      </c>
      <c r="O1578" s="9">
        <v>203</v>
      </c>
      <c r="P1578" s="9">
        <v>207</v>
      </c>
      <c r="Q1578" s="9">
        <v>195</v>
      </c>
      <c r="R1578" s="7">
        <f t="shared" si="15"/>
        <v>5.6053322104851144E-2</v>
      </c>
      <c r="S1578" s="9"/>
      <c r="T1578" s="9"/>
      <c r="U1578" s="9"/>
      <c r="V1578" s="9"/>
      <c r="W1578" s="9"/>
      <c r="X1578" s="9"/>
      <c r="Y1578" s="9"/>
      <c r="Z1578" s="9"/>
      <c r="AA1578" s="9"/>
      <c r="AB1578" s="9"/>
    </row>
    <row r="1579" spans="1:28" ht="14.4" hidden="1">
      <c r="A1579" s="3">
        <f>LOOKUP(D1579,'AMFI DATA_2023H2'!F:L,'AMFI DATA_2023H2'!L:L)</f>
        <v>1798</v>
      </c>
      <c r="B1579" s="4" t="s">
        <v>4475</v>
      </c>
      <c r="C1579" s="4" t="s">
        <v>4476</v>
      </c>
      <c r="D1579" s="5" t="s">
        <v>4477</v>
      </c>
      <c r="E1579" s="5">
        <v>132.9</v>
      </c>
      <c r="F1579" s="6">
        <f>LOOKUP(D1579,'AMFI DATA_2023H2'!F:J,'AMFI DATA_2023H2'!J:J)</f>
        <v>272.26274999999998</v>
      </c>
      <c r="G1579" s="7">
        <f t="shared" si="14"/>
        <v>0.6160859316964955</v>
      </c>
      <c r="H1579" s="9">
        <v>440</v>
      </c>
      <c r="I1579" s="9">
        <v>431</v>
      </c>
      <c r="J1579" s="9">
        <v>434</v>
      </c>
      <c r="K1579" s="9">
        <v>443</v>
      </c>
      <c r="L1579" s="9">
        <v>452</v>
      </c>
      <c r="M1579" s="9">
        <v>461</v>
      </c>
      <c r="N1579" s="9">
        <v>470</v>
      </c>
      <c r="O1579" s="9">
        <v>480</v>
      </c>
      <c r="P1579" s="9">
        <v>484</v>
      </c>
      <c r="Q1579" s="9">
        <v>480</v>
      </c>
      <c r="R1579" s="7">
        <f t="shared" si="15"/>
        <v>0.68036207670715165</v>
      </c>
      <c r="S1579" s="9"/>
      <c r="T1579" s="9"/>
      <c r="U1579" s="9"/>
      <c r="V1579" s="9"/>
      <c r="W1579" s="9"/>
      <c r="X1579" s="9"/>
      <c r="Y1579" s="9"/>
      <c r="Z1579" s="9"/>
      <c r="AA1579" s="9"/>
      <c r="AB1579" s="9"/>
    </row>
    <row r="1580" spans="1:28" ht="14.4" hidden="1">
      <c r="A1580" s="3">
        <f>LOOKUP(D1580,'AMFI DATA_2023H2'!F:L,'AMFI DATA_2023H2'!L:L)</f>
        <v>1200</v>
      </c>
      <c r="B1580" s="4" t="s">
        <v>3350</v>
      </c>
      <c r="C1580" s="4" t="s">
        <v>3351</v>
      </c>
      <c r="D1580" s="5" t="s">
        <v>3352</v>
      </c>
      <c r="E1580" s="5">
        <v>923.36</v>
      </c>
      <c r="F1580" s="6">
        <f>LOOKUP(D1580,'AMFI DATA_2023H2'!F:J,'AMFI DATA_2023H2'!J:J)</f>
        <v>1049.3388</v>
      </c>
      <c r="G1580" s="7">
        <f t="shared" si="14"/>
        <v>6.3011107566013358E-4</v>
      </c>
      <c r="H1580" s="9">
        <v>1050</v>
      </c>
      <c r="I1580" s="9">
        <v>1057</v>
      </c>
      <c r="J1580" s="9">
        <v>1032</v>
      </c>
      <c r="K1580" s="9">
        <v>1040</v>
      </c>
      <c r="L1580" s="9">
        <v>1037</v>
      </c>
      <c r="M1580" s="9">
        <v>1047</v>
      </c>
      <c r="N1580" s="9">
        <v>997</v>
      </c>
      <c r="O1580" s="9">
        <v>1002</v>
      </c>
      <c r="P1580" s="9">
        <v>986</v>
      </c>
      <c r="Q1580" s="9">
        <v>987</v>
      </c>
      <c r="R1580" s="7">
        <f t="shared" si="15"/>
        <v>-2.4623886965773112E-2</v>
      </c>
      <c r="S1580" s="9"/>
      <c r="T1580" s="9"/>
      <c r="U1580" s="9"/>
      <c r="V1580" s="9"/>
      <c r="W1580" s="9"/>
      <c r="X1580" s="9"/>
      <c r="Y1580" s="9"/>
      <c r="Z1580" s="9"/>
      <c r="AA1580" s="9"/>
      <c r="AB1580" s="9"/>
    </row>
    <row r="1581" spans="1:28" ht="14.4" hidden="1">
      <c r="A1581" s="3">
        <f>LOOKUP(D1581,'AMFI DATA_2023H2'!F:L,'AMFI DATA_2023H2'!L:L)</f>
        <v>1193</v>
      </c>
      <c r="B1581" s="4" t="s">
        <v>3329</v>
      </c>
      <c r="C1581" s="4" t="s">
        <v>3330</v>
      </c>
      <c r="D1581" s="5" t="s">
        <v>3331</v>
      </c>
      <c r="E1581" s="5">
        <v>858.2</v>
      </c>
      <c r="F1581" s="6">
        <f>LOOKUP(D1581,'AMFI DATA_2023H2'!F:J,'AMFI DATA_2023H2'!J:J)</f>
        <v>1068.73215</v>
      </c>
      <c r="G1581" s="7">
        <f t="shared" si="14"/>
        <v>-5.7762040750809263E-2</v>
      </c>
      <c r="H1581" s="9">
        <v>1007</v>
      </c>
      <c r="I1581" s="9">
        <v>1004</v>
      </c>
      <c r="J1581" s="9">
        <v>1009</v>
      </c>
      <c r="K1581" s="9">
        <v>1004</v>
      </c>
      <c r="L1581" s="9">
        <v>996</v>
      </c>
      <c r="M1581" s="9">
        <v>960</v>
      </c>
      <c r="N1581" s="9">
        <v>961</v>
      </c>
      <c r="O1581" s="9">
        <v>980</v>
      </c>
      <c r="P1581" s="9">
        <v>988</v>
      </c>
      <c r="Q1581" s="9">
        <v>980</v>
      </c>
      <c r="R1581" s="7">
        <f t="shared" si="15"/>
        <v>-7.4697996125596133E-2</v>
      </c>
      <c r="S1581" s="9"/>
      <c r="T1581" s="9"/>
      <c r="U1581" s="9"/>
      <c r="V1581" s="9"/>
      <c r="W1581" s="9"/>
      <c r="X1581" s="9"/>
      <c r="Y1581" s="9"/>
      <c r="Z1581" s="9"/>
      <c r="AA1581" s="9"/>
      <c r="AB1581" s="9"/>
    </row>
    <row r="1582" spans="1:28" ht="14.4" hidden="1">
      <c r="A1582" s="3">
        <f>LOOKUP(D1582,'AMFI DATA_2023H2'!F:L,'AMFI DATA_2023H2'!L:L)</f>
        <v>1436</v>
      </c>
      <c r="B1582" s="4" t="s">
        <v>3839</v>
      </c>
      <c r="C1582" s="4" t="s">
        <v>3840</v>
      </c>
      <c r="D1582" s="5" t="s">
        <v>3841</v>
      </c>
      <c r="E1582" s="5">
        <v>437.9</v>
      </c>
      <c r="F1582" s="6">
        <f>LOOKUP(D1582,'AMFI DATA_2023H2'!F:J,'AMFI DATA_2023H2'!J:J)</f>
        <v>590.40054999999995</v>
      </c>
      <c r="G1582" s="7">
        <f t="shared" si="14"/>
        <v>0.47018833231100499</v>
      </c>
      <c r="H1582" s="9">
        <v>868</v>
      </c>
      <c r="I1582" s="9">
        <v>885</v>
      </c>
      <c r="J1582" s="9">
        <v>877</v>
      </c>
      <c r="K1582" s="9">
        <v>890</v>
      </c>
      <c r="L1582" s="9">
        <v>939</v>
      </c>
      <c r="M1582" s="9">
        <v>934</v>
      </c>
      <c r="N1582" s="9">
        <v>934</v>
      </c>
      <c r="O1582" s="9">
        <v>919</v>
      </c>
      <c r="P1582" s="9">
        <v>872</v>
      </c>
      <c r="Q1582" s="9">
        <v>868</v>
      </c>
      <c r="R1582" s="7">
        <f t="shared" si="15"/>
        <v>0.5220175523210473</v>
      </c>
      <c r="S1582" s="9"/>
      <c r="T1582" s="9"/>
      <c r="U1582" s="9"/>
      <c r="V1582" s="9"/>
      <c r="W1582" s="9"/>
      <c r="X1582" s="9"/>
      <c r="Y1582" s="9"/>
      <c r="Z1582" s="9"/>
      <c r="AA1582" s="9"/>
      <c r="AB1582" s="9"/>
    </row>
    <row r="1583" spans="1:28" ht="14.4" hidden="1">
      <c r="A1583" s="3">
        <f>LOOKUP(D1583,'AMFI DATA_2023H2'!F:L,'AMFI DATA_2023H2'!L:L)</f>
        <v>95</v>
      </c>
      <c r="B1583" s="4" t="s">
        <v>297</v>
      </c>
      <c r="C1583" s="4" t="s">
        <v>298</v>
      </c>
      <c r="D1583" s="5" t="s">
        <v>299</v>
      </c>
      <c r="E1583" s="5">
        <v>69795.289999999994</v>
      </c>
      <c r="F1583" s="6">
        <f>LOOKUP(D1583,'AMFI DATA_2023H2'!F:J,'AMFI DATA_2023H2'!J:J)</f>
        <v>68383.545849999995</v>
      </c>
      <c r="G1583" s="7">
        <f t="shared" si="14"/>
        <v>7.5273285203592666E-2</v>
      </c>
      <c r="H1583" s="8">
        <v>73531</v>
      </c>
      <c r="I1583" s="8">
        <v>74286</v>
      </c>
      <c r="J1583" s="8">
        <v>74299</v>
      </c>
      <c r="K1583" s="8">
        <v>73619</v>
      </c>
      <c r="L1583" s="8">
        <v>73124</v>
      </c>
      <c r="M1583" s="8">
        <v>73576</v>
      </c>
      <c r="N1583" s="8">
        <v>73084</v>
      </c>
      <c r="O1583" s="8">
        <v>73248</v>
      </c>
      <c r="P1583" s="8">
        <v>73876</v>
      </c>
      <c r="Q1583" s="8">
        <v>72750</v>
      </c>
      <c r="R1583" s="7">
        <f t="shared" si="15"/>
        <v>7.5394659430343181E-2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</row>
    <row r="1584" spans="1:28" ht="14.4" hidden="1">
      <c r="A1584" s="3">
        <f>LOOKUP(D1584,'AMFI DATA_2023H2'!F:L,'AMFI DATA_2023H2'!L:L)</f>
        <v>1688</v>
      </c>
      <c r="B1584" s="4" t="s">
        <v>4316</v>
      </c>
      <c r="C1584" s="4" t="s">
        <v>4317</v>
      </c>
      <c r="D1584" s="5" t="s">
        <v>4318</v>
      </c>
      <c r="E1584" s="5">
        <v>69795.289999999994</v>
      </c>
      <c r="F1584" s="6">
        <f>LOOKUP(D1584,'AMFI DATA_2023H2'!F:J,'AMFI DATA_2023H2'!J:J)</f>
        <v>335.92494999999997</v>
      </c>
      <c r="G1584" s="7">
        <f t="shared" si="14"/>
        <v>5.6783665518146398E-2</v>
      </c>
      <c r="H1584" s="9">
        <v>355</v>
      </c>
      <c r="I1584" s="9">
        <v>357</v>
      </c>
      <c r="J1584" s="9">
        <v>361</v>
      </c>
      <c r="K1584" s="9">
        <v>358</v>
      </c>
      <c r="L1584" s="9">
        <v>361</v>
      </c>
      <c r="M1584" s="9">
        <v>359</v>
      </c>
      <c r="N1584" s="9">
        <v>361</v>
      </c>
      <c r="O1584" s="9">
        <v>359</v>
      </c>
      <c r="P1584" s="9">
        <v>364</v>
      </c>
      <c r="Q1584" s="9">
        <v>372</v>
      </c>
      <c r="R1584" s="7">
        <f t="shared" si="15"/>
        <v>7.3751741274353133E-2</v>
      </c>
      <c r="S1584" s="9"/>
      <c r="T1584" s="9"/>
      <c r="U1584" s="9"/>
      <c r="V1584" s="9"/>
      <c r="W1584" s="9"/>
      <c r="X1584" s="9"/>
      <c r="Y1584" s="9"/>
      <c r="Z1584" s="9"/>
      <c r="AA1584" s="9"/>
      <c r="AB1584" s="9"/>
    </row>
    <row r="1585" spans="1:28" ht="14.4" hidden="1">
      <c r="A1585" s="3">
        <f>LOOKUP(D1585,'AMFI DATA_2023H2'!F:L,'AMFI DATA_2023H2'!L:L)</f>
        <v>3180</v>
      </c>
      <c r="B1585" s="4" t="s">
        <v>5605</v>
      </c>
      <c r="C1585" s="4" t="s">
        <v>5606</v>
      </c>
      <c r="D1585" s="5" t="s">
        <v>5607</v>
      </c>
      <c r="E1585" s="5">
        <v>29.33</v>
      </c>
      <c r="F1585" s="6">
        <f>LOOKUP(D1585,'AMFI DATA_2023H2'!F:J,'AMFI DATA_2023H2'!J:J)</f>
        <v>29.131149999999998</v>
      </c>
      <c r="G1585" s="7">
        <f t="shared" si="14"/>
        <v>2.6043891161179702</v>
      </c>
      <c r="H1585" s="9">
        <v>105</v>
      </c>
      <c r="I1585" s="9">
        <v>106</v>
      </c>
      <c r="J1585" s="9">
        <v>104</v>
      </c>
      <c r="K1585" s="9">
        <v>100</v>
      </c>
      <c r="L1585" s="9">
        <v>96.2</v>
      </c>
      <c r="M1585" s="9">
        <v>91.6</v>
      </c>
      <c r="N1585" s="9">
        <v>87.7</v>
      </c>
      <c r="O1585" s="9">
        <v>83.7</v>
      </c>
      <c r="P1585" s="9">
        <v>81.7</v>
      </c>
      <c r="Q1585" s="9">
        <v>77.400000000000006</v>
      </c>
      <c r="R1585" s="7">
        <f t="shared" si="15"/>
        <v>2.2037870114980018</v>
      </c>
      <c r="S1585" s="9"/>
      <c r="T1585" s="9"/>
      <c r="U1585" s="9"/>
      <c r="V1585" s="9"/>
      <c r="W1585" s="9"/>
      <c r="X1585" s="9"/>
      <c r="Y1585" s="9"/>
      <c r="Z1585" s="9"/>
      <c r="AA1585" s="9"/>
      <c r="AB1585" s="9"/>
    </row>
    <row r="1586" spans="1:28" ht="14.4" hidden="1">
      <c r="A1586" s="3">
        <f>LOOKUP(D1586,'AMFI DATA_2023H2'!F:L,'AMFI DATA_2023H2'!L:L)</f>
        <v>2141</v>
      </c>
      <c r="B1586" s="4" t="s">
        <v>4940</v>
      </c>
      <c r="C1586" s="4" t="s">
        <v>4941</v>
      </c>
      <c r="D1586" s="5" t="s">
        <v>4942</v>
      </c>
      <c r="E1586" s="5">
        <v>187.05</v>
      </c>
      <c r="F1586" s="6">
        <f>LOOKUP(D1586,'AMFI DATA_2023H2'!F:J,'AMFI DATA_2023H2'!J:J)</f>
        <v>147.8886</v>
      </c>
      <c r="G1586" s="7">
        <f t="shared" si="14"/>
        <v>0.10218096594328441</v>
      </c>
      <c r="H1586" s="9">
        <v>163</v>
      </c>
      <c r="I1586" s="9">
        <v>160</v>
      </c>
      <c r="J1586" s="9">
        <v>157</v>
      </c>
      <c r="K1586" s="9">
        <v>159</v>
      </c>
      <c r="L1586" s="9">
        <v>158</v>
      </c>
      <c r="M1586" s="9">
        <v>156</v>
      </c>
      <c r="N1586" s="9">
        <v>154</v>
      </c>
      <c r="O1586" s="9">
        <v>154</v>
      </c>
      <c r="P1586" s="9">
        <v>157</v>
      </c>
      <c r="Q1586" s="9">
        <v>154</v>
      </c>
      <c r="R1586" s="7">
        <f t="shared" si="15"/>
        <v>6.2962256725670462E-2</v>
      </c>
      <c r="S1586" s="9"/>
      <c r="T1586" s="9"/>
      <c r="U1586" s="9"/>
      <c r="V1586" s="9"/>
      <c r="W1586" s="9"/>
      <c r="X1586" s="9"/>
      <c r="Y1586" s="9"/>
      <c r="Z1586" s="9"/>
      <c r="AA1586" s="9"/>
      <c r="AB1586" s="9"/>
    </row>
    <row r="1587" spans="1:28" ht="14.4" hidden="1">
      <c r="A1587" s="3">
        <f>LOOKUP(D1587,'AMFI DATA_2023H2'!F:L,'AMFI DATA_2023H2'!L:L)</f>
        <v>544</v>
      </c>
      <c r="B1587" s="4" t="s">
        <v>1611</v>
      </c>
      <c r="C1587" s="4" t="s">
        <v>1612</v>
      </c>
      <c r="D1587" s="5" t="s">
        <v>1613</v>
      </c>
      <c r="E1587" s="5">
        <v>4907.3900000000003</v>
      </c>
      <c r="F1587" s="6">
        <f>LOOKUP(D1587,'AMFI DATA_2023H2'!F:J,'AMFI DATA_2023H2'!J:J)</f>
        <v>6515.9035999999996</v>
      </c>
      <c r="G1587" s="7">
        <f t="shared" si="14"/>
        <v>0.12401908462856936</v>
      </c>
      <c r="H1587" s="8">
        <v>7324</v>
      </c>
      <c r="I1587" s="8">
        <v>7301</v>
      </c>
      <c r="J1587" s="8">
        <v>7190</v>
      </c>
      <c r="K1587" s="8">
        <v>7180</v>
      </c>
      <c r="L1587" s="8">
        <v>7134</v>
      </c>
      <c r="M1587" s="8">
        <v>7154</v>
      </c>
      <c r="N1587" s="8">
        <v>7037</v>
      </c>
      <c r="O1587" s="8">
        <v>7130</v>
      </c>
      <c r="P1587" s="8">
        <v>7004</v>
      </c>
      <c r="Q1587" s="8">
        <v>7045</v>
      </c>
      <c r="R1587" s="7">
        <f t="shared" si="15"/>
        <v>9.7299843416959186E-2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</row>
    <row r="1588" spans="1:28" ht="14.4" hidden="1">
      <c r="A1588" s="3">
        <f>LOOKUP(D1588,'AMFI DATA_2023H2'!F:L,'AMFI DATA_2023H2'!L:L)</f>
        <v>177</v>
      </c>
      <c r="B1588" s="4" t="s">
        <v>540</v>
      </c>
      <c r="C1588" s="4" t="s">
        <v>541</v>
      </c>
      <c r="D1588" s="5" t="s">
        <v>542</v>
      </c>
      <c r="E1588" s="5">
        <v>32400.73</v>
      </c>
      <c r="F1588" s="6">
        <f>LOOKUP(D1588,'AMFI DATA_2023H2'!F:J,'AMFI DATA_2023H2'!J:J)</f>
        <v>34646.212200000002</v>
      </c>
      <c r="G1588" s="7">
        <f t="shared" si="14"/>
        <v>-7.3924739166724929E-2</v>
      </c>
      <c r="H1588" s="8">
        <v>32085</v>
      </c>
      <c r="I1588" s="8">
        <v>32599</v>
      </c>
      <c r="J1588" s="8">
        <v>32141</v>
      </c>
      <c r="K1588" s="8">
        <v>32182</v>
      </c>
      <c r="L1588" s="8">
        <v>31814</v>
      </c>
      <c r="M1588" s="8">
        <v>31142</v>
      </c>
      <c r="N1588" s="8">
        <v>31551</v>
      </c>
      <c r="O1588" s="8">
        <v>31361</v>
      </c>
      <c r="P1588" s="8">
        <v>31191</v>
      </c>
      <c r="Q1588" s="8">
        <v>30522</v>
      </c>
      <c r="R1588" s="7">
        <f t="shared" si="15"/>
        <v>-8.6226228216659151E-2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</row>
    <row r="1589" spans="1:28" ht="14.4" hidden="1">
      <c r="A1589" s="3">
        <f>LOOKUP(D1589,'AMFI DATA_2023H2'!F:L,'AMFI DATA_2023H2'!L:L)</f>
        <v>1712</v>
      </c>
      <c r="B1589" s="4" t="s">
        <v>4355</v>
      </c>
      <c r="C1589" s="4" t="s">
        <v>4356</v>
      </c>
      <c r="D1589" s="5" t="s">
        <v>4357</v>
      </c>
      <c r="E1589" s="5">
        <v>265.81</v>
      </c>
      <c r="F1589" s="6">
        <f>LOOKUP(D1589,'AMFI DATA_2023H2'!F:J,'AMFI DATA_2023H2'!J:J)</f>
        <v>325.25889999999998</v>
      </c>
      <c r="G1589" s="7">
        <f t="shared" si="14"/>
        <v>0.10988507923995328</v>
      </c>
      <c r="H1589" s="9">
        <v>361</v>
      </c>
      <c r="I1589" s="9">
        <v>359</v>
      </c>
      <c r="J1589" s="9">
        <v>358</v>
      </c>
      <c r="K1589" s="9">
        <v>359</v>
      </c>
      <c r="L1589" s="9">
        <v>361</v>
      </c>
      <c r="M1589" s="9">
        <v>362</v>
      </c>
      <c r="N1589" s="9">
        <v>367</v>
      </c>
      <c r="O1589" s="9">
        <v>368</v>
      </c>
      <c r="P1589" s="9">
        <v>366</v>
      </c>
      <c r="Q1589" s="9">
        <v>355</v>
      </c>
      <c r="R1589" s="7">
        <f t="shared" si="15"/>
        <v>0.11172976358218034</v>
      </c>
      <c r="S1589" s="9"/>
      <c r="T1589" s="9"/>
      <c r="U1589" s="9"/>
      <c r="V1589" s="9"/>
      <c r="W1589" s="9"/>
      <c r="X1589" s="9"/>
      <c r="Y1589" s="9"/>
      <c r="Z1589" s="9"/>
      <c r="AA1589" s="9"/>
      <c r="AB1589" s="9"/>
    </row>
    <row r="1590" spans="1:28" ht="14.4" hidden="1">
      <c r="A1590" s="3">
        <f>LOOKUP(D1590,'AMFI DATA_2023H2'!F:L,'AMFI DATA_2023H2'!L:L)</f>
        <v>2020</v>
      </c>
      <c r="B1590" s="4" t="s">
        <v>4772</v>
      </c>
      <c r="C1590" s="4" t="s">
        <v>4773</v>
      </c>
      <c r="D1590" s="5" t="s">
        <v>4774</v>
      </c>
      <c r="E1590" s="5">
        <v>125.92</v>
      </c>
      <c r="F1590" s="6">
        <f>LOOKUP(D1590,'AMFI DATA_2023H2'!F:J,'AMFI DATA_2023H2'!J:J)</f>
        <v>183.06990000000002</v>
      </c>
      <c r="G1590" s="7">
        <f t="shared" si="14"/>
        <v>0.7315790307418093</v>
      </c>
      <c r="H1590" s="9">
        <v>317</v>
      </c>
      <c r="I1590" s="9">
        <v>320</v>
      </c>
      <c r="J1590" s="9">
        <v>337</v>
      </c>
      <c r="K1590" s="9">
        <v>344</v>
      </c>
      <c r="L1590" s="9">
        <v>328</v>
      </c>
      <c r="M1590" s="9">
        <v>345</v>
      </c>
      <c r="N1590" s="9">
        <v>363</v>
      </c>
      <c r="O1590" s="9">
        <v>382</v>
      </c>
      <c r="P1590" s="9">
        <v>413</v>
      </c>
      <c r="Q1590" s="9">
        <v>341</v>
      </c>
      <c r="R1590" s="7">
        <f t="shared" si="15"/>
        <v>0.90637565214161353</v>
      </c>
      <c r="S1590" s="9"/>
      <c r="T1590" s="9"/>
      <c r="U1590" s="9"/>
      <c r="V1590" s="9"/>
      <c r="W1590" s="9"/>
      <c r="X1590" s="9"/>
      <c r="Y1590" s="9"/>
      <c r="Z1590" s="9"/>
      <c r="AA1590" s="9"/>
      <c r="AB1590" s="9"/>
    </row>
    <row r="1591" spans="1:28" ht="14.4" hidden="1">
      <c r="A1591" s="3">
        <f>LOOKUP(D1591,'AMFI DATA_2023H2'!F:L,'AMFI DATA_2023H2'!L:L)</f>
        <v>9</v>
      </c>
      <c r="B1591" s="4" t="s">
        <v>31</v>
      </c>
      <c r="C1591" s="4" t="s">
        <v>32</v>
      </c>
      <c r="D1591" s="5" t="s">
        <v>33</v>
      </c>
      <c r="E1591" s="5">
        <v>499461.33</v>
      </c>
      <c r="F1591" s="6">
        <f>LOOKUP(D1591,'AMFI DATA_2023H2'!F:J,'AMFI DATA_2023H2'!J:J)</f>
        <v>525981.53894999996</v>
      </c>
      <c r="G1591" s="7">
        <f t="shared" si="14"/>
        <v>8.906103652138464E-2</v>
      </c>
      <c r="H1591" s="8">
        <v>572826</v>
      </c>
      <c r="I1591" s="8">
        <v>573629</v>
      </c>
      <c r="J1591" s="8">
        <v>574209</v>
      </c>
      <c r="K1591" s="8">
        <v>570684</v>
      </c>
      <c r="L1591" s="8">
        <v>572915</v>
      </c>
      <c r="M1591" s="8">
        <v>572915</v>
      </c>
      <c r="N1591" s="8">
        <v>581081</v>
      </c>
      <c r="O1591" s="8">
        <v>578806</v>
      </c>
      <c r="P1591" s="8">
        <v>569524</v>
      </c>
      <c r="Q1591" s="8">
        <v>568275</v>
      </c>
      <c r="R1591" s="7">
        <f t="shared" si="15"/>
        <v>9.0316593895733543E-2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</row>
    <row r="1592" spans="1:28" ht="14.4" hidden="1">
      <c r="A1592" s="3">
        <f>LOOKUP(D1592,'AMFI DATA_2023H2'!F:L,'AMFI DATA_2023H2'!L:L)</f>
        <v>166</v>
      </c>
      <c r="B1592" s="4" t="s">
        <v>507</v>
      </c>
      <c r="C1592" s="4" t="s">
        <v>508</v>
      </c>
      <c r="D1592" s="5" t="s">
        <v>509</v>
      </c>
      <c r="E1592" s="5">
        <v>35121.230000000003</v>
      </c>
      <c r="F1592" s="6">
        <f>LOOKUP(D1592,'AMFI DATA_2023H2'!F:J,'AMFI DATA_2023H2'!J:J)</f>
        <v>38380.709499999997</v>
      </c>
      <c r="G1592" s="7">
        <f t="shared" si="14"/>
        <v>0.25862707149798791</v>
      </c>
      <c r="H1592" s="8">
        <v>48307</v>
      </c>
      <c r="I1592" s="8">
        <v>49009</v>
      </c>
      <c r="J1592" s="8">
        <v>49195</v>
      </c>
      <c r="K1592" s="8">
        <v>50805</v>
      </c>
      <c r="L1592" s="8">
        <v>51487</v>
      </c>
      <c r="M1592" s="8">
        <v>51053</v>
      </c>
      <c r="N1592" s="8">
        <v>50772</v>
      </c>
      <c r="O1592" s="8">
        <v>47687</v>
      </c>
      <c r="P1592" s="8">
        <v>46890</v>
      </c>
      <c r="Q1592" s="8">
        <v>46572</v>
      </c>
      <c r="R1592" s="7">
        <f t="shared" si="15"/>
        <v>0.28131294706784926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</row>
    <row r="1593" spans="1:28" ht="14.4" hidden="1">
      <c r="A1593" s="3">
        <f>LOOKUP(D1593,'AMFI DATA_2023H2'!F:L,'AMFI DATA_2023H2'!L:L)</f>
        <v>2388</v>
      </c>
      <c r="B1593" s="4" t="s">
        <v>5201</v>
      </c>
      <c r="C1593" s="4" t="s">
        <v>5202</v>
      </c>
      <c r="D1593" s="5" t="s">
        <v>5203</v>
      </c>
      <c r="E1593" s="5">
        <v>93.85</v>
      </c>
      <c r="F1593" s="6">
        <f>LOOKUP(D1593,'AMFI DATA_2023H2'!F:J,'AMFI DATA_2023H2'!J:J)</f>
        <v>98.663300000000007</v>
      </c>
      <c r="G1593" s="7">
        <f t="shared" si="14"/>
        <v>0.17571579300509899</v>
      </c>
      <c r="H1593" s="9">
        <v>116</v>
      </c>
      <c r="I1593" s="9">
        <v>110</v>
      </c>
      <c r="J1593" s="9">
        <v>110</v>
      </c>
      <c r="K1593" s="9">
        <v>110</v>
      </c>
      <c r="L1593" s="9">
        <v>112</v>
      </c>
      <c r="M1593" s="9">
        <v>111</v>
      </c>
      <c r="N1593" s="9">
        <v>112</v>
      </c>
      <c r="O1593" s="9">
        <v>116</v>
      </c>
      <c r="P1593" s="9">
        <v>105</v>
      </c>
      <c r="Q1593" s="9">
        <v>106</v>
      </c>
      <c r="R1593" s="7">
        <f t="shared" si="15"/>
        <v>0.12301129193935334</v>
      </c>
      <c r="S1593" s="9"/>
      <c r="T1593" s="9"/>
      <c r="U1593" s="9"/>
      <c r="V1593" s="9"/>
      <c r="W1593" s="9"/>
      <c r="X1593" s="9"/>
      <c r="Y1593" s="9"/>
      <c r="Z1593" s="9"/>
      <c r="AA1593" s="9"/>
      <c r="AB1593" s="9"/>
    </row>
    <row r="1594" spans="1:28" ht="14.4" hidden="1">
      <c r="A1594" s="3">
        <f>LOOKUP(D1594,'AMFI DATA_2023H2'!F:L,'AMFI DATA_2023H2'!L:L)</f>
        <v>1210</v>
      </c>
      <c r="B1594" s="4" t="s">
        <v>3377</v>
      </c>
      <c r="C1594" s="4" t="s">
        <v>3378</v>
      </c>
      <c r="D1594" s="5" t="s">
        <v>3379</v>
      </c>
      <c r="E1594" s="5">
        <v>1383.94</v>
      </c>
      <c r="F1594" s="6">
        <f>LOOKUP(D1594,'AMFI DATA_2023H2'!F:J,'AMFI DATA_2023H2'!J:J)</f>
        <v>1022.3905</v>
      </c>
      <c r="G1594" s="7">
        <f t="shared" si="14"/>
        <v>0.51898907511366743</v>
      </c>
      <c r="H1594" s="8">
        <v>1553</v>
      </c>
      <c r="I1594" s="8">
        <v>1578</v>
      </c>
      <c r="J1594" s="8">
        <v>1316</v>
      </c>
      <c r="K1594" s="8">
        <v>1253</v>
      </c>
      <c r="L1594" s="8">
        <v>1241</v>
      </c>
      <c r="M1594" s="8">
        <v>1245</v>
      </c>
      <c r="N1594" s="8">
        <v>1251</v>
      </c>
      <c r="O1594" s="8">
        <v>1269</v>
      </c>
      <c r="P1594" s="8">
        <v>1270</v>
      </c>
      <c r="Q1594" s="8">
        <v>1198</v>
      </c>
      <c r="R1594" s="7">
        <f t="shared" si="15"/>
        <v>0.28854874923035778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</row>
    <row r="1595" spans="1:28" ht="14.4" hidden="1">
      <c r="A1595" s="3">
        <f>LOOKUP(D1595,'AMFI DATA_2023H2'!F:L,'AMFI DATA_2023H2'!L:L)</f>
        <v>679</v>
      </c>
      <c r="B1595" s="4" t="s">
        <v>1992</v>
      </c>
      <c r="C1595" s="4" t="s">
        <v>1993</v>
      </c>
      <c r="D1595" s="5" t="s">
        <v>1994</v>
      </c>
      <c r="E1595" s="5">
        <v>2457.4899999999998</v>
      </c>
      <c r="F1595" s="6">
        <f>LOOKUP(D1595,'AMFI DATA_2023H2'!F:J,'AMFI DATA_2023H2'!J:J)</f>
        <v>4052.9445500000002</v>
      </c>
      <c r="G1595" s="7">
        <f t="shared" si="14"/>
        <v>-1.3803433358100192E-2</v>
      </c>
      <c r="H1595" s="8">
        <v>3997</v>
      </c>
      <c r="I1595" s="8">
        <v>4048</v>
      </c>
      <c r="J1595" s="8">
        <v>4049</v>
      </c>
      <c r="K1595" s="8">
        <v>4108</v>
      </c>
      <c r="L1595" s="8">
        <v>4115</v>
      </c>
      <c r="M1595" s="8">
        <v>4078</v>
      </c>
      <c r="N1595" s="8">
        <v>4046</v>
      </c>
      <c r="O1595" s="8">
        <v>4112</v>
      </c>
      <c r="P1595" s="8">
        <v>4099</v>
      </c>
      <c r="Q1595" s="8">
        <v>4109</v>
      </c>
      <c r="R1595" s="7">
        <f t="shared" si="15"/>
        <v>5.7132412532019394E-3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</row>
    <row r="1596" spans="1:28" ht="14.4" hidden="1">
      <c r="A1596" s="3">
        <f>LOOKUP(D1596,'AMFI DATA_2023H2'!F:L,'AMFI DATA_2023H2'!L:L)</f>
        <v>1134</v>
      </c>
      <c r="B1596" s="4" t="s">
        <v>3194</v>
      </c>
      <c r="C1596" s="4" t="s">
        <v>3195</v>
      </c>
      <c r="D1596" s="5" t="s">
        <v>3196</v>
      </c>
      <c r="E1596" s="5">
        <v>991.79</v>
      </c>
      <c r="F1596" s="6">
        <f>LOOKUP(D1596,'AMFI DATA_2023H2'!F:J,'AMFI DATA_2023H2'!J:J)</f>
        <v>1240.86105</v>
      </c>
      <c r="G1596" s="7">
        <f t="shared" si="14"/>
        <v>7.3448151185017796E-2</v>
      </c>
      <c r="H1596" s="8">
        <v>1332</v>
      </c>
      <c r="I1596" s="8">
        <v>1320</v>
      </c>
      <c r="J1596" s="8">
        <v>1273</v>
      </c>
      <c r="K1596" s="8">
        <v>1264</v>
      </c>
      <c r="L1596" s="8">
        <v>1247</v>
      </c>
      <c r="M1596" s="8">
        <v>1254</v>
      </c>
      <c r="N1596" s="8">
        <v>1236</v>
      </c>
      <c r="O1596" s="8">
        <v>1251</v>
      </c>
      <c r="P1596" s="8">
        <v>1262</v>
      </c>
      <c r="Q1596" s="8">
        <v>1255</v>
      </c>
      <c r="R1596" s="7">
        <f t="shared" si="15"/>
        <v>2.2999311647343701E-2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</row>
    <row r="1597" spans="1:28" ht="14.4" hidden="1">
      <c r="A1597" s="3">
        <f>LOOKUP(D1597,'AMFI DATA_2023H2'!F:L,'AMFI DATA_2023H2'!L:L)</f>
        <v>1592</v>
      </c>
      <c r="B1597" s="4" t="s">
        <v>4130</v>
      </c>
      <c r="C1597" s="4" t="s">
        <v>4131</v>
      </c>
      <c r="D1597" s="5" t="s">
        <v>4132</v>
      </c>
      <c r="E1597" s="5">
        <v>267.31</v>
      </c>
      <c r="F1597" s="6">
        <f>LOOKUP(D1597,'AMFI DATA_2023H2'!F:J,'AMFI DATA_2023H2'!J:J)</f>
        <v>417.96320000000003</v>
      </c>
      <c r="G1597" s="7">
        <f t="shared" si="14"/>
        <v>0.34461598533076576</v>
      </c>
      <c r="H1597" s="9">
        <v>562</v>
      </c>
      <c r="I1597" s="9">
        <v>575</v>
      </c>
      <c r="J1597" s="9">
        <v>572</v>
      </c>
      <c r="K1597" s="9">
        <v>557</v>
      </c>
      <c r="L1597" s="9">
        <v>592</v>
      </c>
      <c r="M1597" s="9">
        <v>598</v>
      </c>
      <c r="N1597" s="9">
        <v>584</v>
      </c>
      <c r="O1597" s="9">
        <v>608</v>
      </c>
      <c r="P1597" s="9">
        <v>605</v>
      </c>
      <c r="Q1597" s="9">
        <v>557</v>
      </c>
      <c r="R1597" s="7">
        <f t="shared" si="15"/>
        <v>0.39007453287753546</v>
      </c>
      <c r="S1597" s="9"/>
      <c r="T1597" s="9"/>
      <c r="U1597" s="9"/>
      <c r="V1597" s="9"/>
      <c r="W1597" s="9"/>
      <c r="X1597" s="9"/>
      <c r="Y1597" s="9"/>
      <c r="Z1597" s="9"/>
      <c r="AA1597" s="9"/>
      <c r="AB1597" s="9"/>
    </row>
    <row r="1598" spans="1:28" ht="14.4" hidden="1">
      <c r="A1598" s="3">
        <f>LOOKUP(D1598,'AMFI DATA_2023H2'!F:L,'AMFI DATA_2023H2'!L:L)</f>
        <v>536</v>
      </c>
      <c r="B1598" s="4" t="s">
        <v>1587</v>
      </c>
      <c r="C1598" s="4" t="s">
        <v>1588</v>
      </c>
      <c r="D1598" s="5" t="s">
        <v>1589</v>
      </c>
      <c r="E1598" s="5">
        <v>5584.97</v>
      </c>
      <c r="F1598" s="6">
        <f>LOOKUP(D1598,'AMFI DATA_2023H2'!F:J,'AMFI DATA_2023H2'!J:J)</f>
        <v>6659.5430999999999</v>
      </c>
      <c r="G1598" s="7">
        <f t="shared" si="14"/>
        <v>0.56767511572978635</v>
      </c>
      <c r="H1598" s="8">
        <v>10440</v>
      </c>
      <c r="I1598" s="8">
        <v>10372</v>
      </c>
      <c r="J1598" s="8">
        <v>10451</v>
      </c>
      <c r="K1598" s="8">
        <v>10295</v>
      </c>
      <c r="L1598" s="8">
        <v>10383</v>
      </c>
      <c r="M1598" s="8">
        <v>10079</v>
      </c>
      <c r="N1598" s="8">
        <v>10136</v>
      </c>
      <c r="O1598" s="8">
        <v>9950</v>
      </c>
      <c r="P1598" s="8">
        <v>10223</v>
      </c>
      <c r="Q1598" s="8">
        <v>10254</v>
      </c>
      <c r="R1598" s="7">
        <f t="shared" si="15"/>
        <v>0.54039096165621325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</row>
    <row r="1599" spans="1:28" ht="14.4" hidden="1">
      <c r="A1599" s="3">
        <f>LOOKUP(D1599,'AMFI DATA_2023H2'!F:L,'AMFI DATA_2023H2'!L:L)</f>
        <v>1120</v>
      </c>
      <c r="B1599" s="4" t="s">
        <v>3161</v>
      </c>
      <c r="C1599" s="4" t="s">
        <v>3162</v>
      </c>
      <c r="D1599" s="5" t="s">
        <v>3163</v>
      </c>
      <c r="E1599" s="5">
        <v>1292.27</v>
      </c>
      <c r="F1599" s="6">
        <f>LOOKUP(D1599,'AMFI DATA_2023H2'!F:J,'AMFI DATA_2023H2'!J:J)</f>
        <v>1279.0857000000001</v>
      </c>
      <c r="G1599" s="7">
        <f t="shared" si="14"/>
        <v>0.14769479480538328</v>
      </c>
      <c r="H1599" s="8">
        <v>1468</v>
      </c>
      <c r="I1599" s="8">
        <v>1387</v>
      </c>
      <c r="J1599" s="8">
        <v>1298</v>
      </c>
      <c r="K1599" s="8">
        <v>1302</v>
      </c>
      <c r="L1599" s="8">
        <v>1311</v>
      </c>
      <c r="M1599" s="8">
        <v>1284</v>
      </c>
      <c r="N1599" s="8">
        <v>1236</v>
      </c>
      <c r="O1599" s="8">
        <v>1240</v>
      </c>
      <c r="P1599" s="8">
        <v>1240</v>
      </c>
      <c r="Q1599" s="8">
        <v>1236</v>
      </c>
      <c r="R1599" s="7">
        <f t="shared" si="15"/>
        <v>1.6507338014958517E-2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</row>
    <row r="1600" spans="1:28" ht="14.4" hidden="1">
      <c r="A1600" s="3">
        <f>LOOKUP(D1600,'AMFI DATA_2023H2'!F:L,'AMFI DATA_2023H2'!L:L)</f>
        <v>569</v>
      </c>
      <c r="B1600" s="4" t="s">
        <v>1686</v>
      </c>
      <c r="C1600" s="4" t="s">
        <v>1687</v>
      </c>
      <c r="D1600" s="5" t="s">
        <v>1688</v>
      </c>
      <c r="E1600" s="5">
        <v>6462.27</v>
      </c>
      <c r="F1600" s="6">
        <f>LOOKUP(D1600,'AMFI DATA_2023H2'!F:J,'AMFI DATA_2023H2'!J:J)</f>
        <v>6080.6923499999994</v>
      </c>
      <c r="G1600" s="7">
        <f t="shared" si="14"/>
        <v>-2.8071203108968268E-2</v>
      </c>
      <c r="H1600" s="8">
        <v>5910</v>
      </c>
      <c r="I1600" s="8">
        <v>5936</v>
      </c>
      <c r="J1600" s="8">
        <v>5832</v>
      </c>
      <c r="K1600" s="8">
        <v>5846</v>
      </c>
      <c r="L1600" s="8">
        <v>5916</v>
      </c>
      <c r="M1600" s="8">
        <v>5708</v>
      </c>
      <c r="N1600" s="8">
        <v>5708</v>
      </c>
      <c r="O1600" s="8">
        <v>5726</v>
      </c>
      <c r="P1600" s="8">
        <v>5750</v>
      </c>
      <c r="Q1600" s="8">
        <v>5794</v>
      </c>
      <c r="R1600" s="7">
        <f t="shared" si="15"/>
        <v>-4.4089115937595347E-2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</row>
    <row r="1601" spans="1:28" ht="14.4" hidden="1">
      <c r="A1601" s="3">
        <f>LOOKUP(D1601,'AMFI DATA_2023H2'!F:L,'AMFI DATA_2023H2'!L:L)</f>
        <v>2960</v>
      </c>
      <c r="B1601" s="4" t="s">
        <v>5533</v>
      </c>
      <c r="C1601" s="4" t="s">
        <v>5534</v>
      </c>
      <c r="D1601" s="5" t="s">
        <v>5535</v>
      </c>
      <c r="E1601" s="5">
        <v>40.85</v>
      </c>
      <c r="F1601" s="6">
        <f>LOOKUP(D1601,'AMFI DATA_2023H2'!F:J,'AMFI DATA_2023H2'!J:J)</f>
        <v>40.495350000000002</v>
      </c>
      <c r="G1601" s="7">
        <f t="shared" si="14"/>
        <v>0.2322402448676204</v>
      </c>
      <c r="H1601" s="9">
        <v>49.9</v>
      </c>
      <c r="I1601" s="9">
        <v>45.2</v>
      </c>
      <c r="J1601" s="9">
        <v>43.9</v>
      </c>
      <c r="K1601" s="9">
        <v>43.4</v>
      </c>
      <c r="L1601" s="9">
        <v>44.9</v>
      </c>
      <c r="M1601" s="9">
        <v>43.2</v>
      </c>
      <c r="N1601" s="9">
        <v>43.4</v>
      </c>
      <c r="O1601" s="9">
        <v>43.9</v>
      </c>
      <c r="P1601" s="9">
        <v>42.5</v>
      </c>
      <c r="Q1601" s="9">
        <v>41.3</v>
      </c>
      <c r="R1601" s="7">
        <f t="shared" si="15"/>
        <v>9.0495575417918195E-2</v>
      </c>
      <c r="S1601" s="9"/>
      <c r="T1601" s="9"/>
      <c r="U1601" s="9"/>
      <c r="V1601" s="9"/>
      <c r="W1601" s="9"/>
      <c r="X1601" s="9"/>
      <c r="Y1601" s="9"/>
      <c r="Z1601" s="9"/>
      <c r="AA1601" s="9"/>
      <c r="AB1601" s="9"/>
    </row>
    <row r="1602" spans="1:28" ht="14.4" hidden="1">
      <c r="A1602" s="3">
        <f>LOOKUP(D1602,'AMFI DATA_2023H2'!F:L,'AMFI DATA_2023H2'!L:L)</f>
        <v>1010</v>
      </c>
      <c r="B1602" s="4" t="s">
        <v>2891</v>
      </c>
      <c r="C1602" s="4" t="s">
        <v>2892</v>
      </c>
      <c r="D1602" s="5" t="s">
        <v>2893</v>
      </c>
      <c r="E1602" s="5">
        <v>1454.95</v>
      </c>
      <c r="F1602" s="6">
        <f>LOOKUP(D1602,'AMFI DATA_2023H2'!F:J,'AMFI DATA_2023H2'!J:J)</f>
        <v>1667.8670999999999</v>
      </c>
      <c r="G1602" s="7">
        <f t="shared" si="14"/>
        <v>-4.6087065330325139E-2</v>
      </c>
      <c r="H1602" s="8">
        <v>1591</v>
      </c>
      <c r="I1602" s="8">
        <v>1583</v>
      </c>
      <c r="J1602" s="8">
        <v>1545</v>
      </c>
      <c r="K1602" s="8">
        <v>1541</v>
      </c>
      <c r="L1602" s="8">
        <v>1517</v>
      </c>
      <c r="M1602" s="8">
        <v>1488</v>
      </c>
      <c r="N1602" s="8">
        <v>1517</v>
      </c>
      <c r="O1602" s="8">
        <v>1527</v>
      </c>
      <c r="P1602" s="8">
        <v>1528</v>
      </c>
      <c r="Q1602" s="8">
        <v>1534</v>
      </c>
      <c r="R1602" s="7">
        <f t="shared" si="15"/>
        <v>-7.8403788887016268E-2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</row>
    <row r="1603" spans="1:28" ht="14.4" hidden="1">
      <c r="A1603" s="3">
        <f>LOOKUP(D1603,'AMFI DATA_2023H2'!F:L,'AMFI DATA_2023H2'!L:L)</f>
        <v>655</v>
      </c>
      <c r="B1603" s="4" t="s">
        <v>1917</v>
      </c>
      <c r="C1603" s="4" t="s">
        <v>1918</v>
      </c>
      <c r="D1603" s="5" t="s">
        <v>1919</v>
      </c>
      <c r="E1603" s="5">
        <v>3020.21</v>
      </c>
      <c r="F1603" s="6">
        <f>LOOKUP(D1603,'AMFI DATA_2023H2'!F:J,'AMFI DATA_2023H2'!J:J)</f>
        <v>4397.9762499999997</v>
      </c>
      <c r="G1603" s="7">
        <f t="shared" si="14"/>
        <v>0.49273202646330816</v>
      </c>
      <c r="H1603" s="8">
        <v>6565</v>
      </c>
      <c r="I1603" s="8">
        <v>6673</v>
      </c>
      <c r="J1603" s="8">
        <v>6320</v>
      </c>
      <c r="K1603" s="8">
        <v>6207</v>
      </c>
      <c r="L1603" s="8">
        <v>5995</v>
      </c>
      <c r="M1603" s="8">
        <v>5968</v>
      </c>
      <c r="N1603" s="8">
        <v>5899</v>
      </c>
      <c r="O1603" s="8">
        <v>6019</v>
      </c>
      <c r="P1603" s="8">
        <v>5979</v>
      </c>
      <c r="Q1603" s="8">
        <v>5841</v>
      </c>
      <c r="R1603" s="7">
        <f t="shared" si="15"/>
        <v>0.39759736083158725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</row>
    <row r="1604" spans="1:28" ht="14.4" hidden="1">
      <c r="A1604" s="3">
        <f>LOOKUP(D1604,'AMFI DATA_2023H2'!F:L,'AMFI DATA_2023H2'!L:L)</f>
        <v>798</v>
      </c>
      <c r="B1604" s="4" t="s">
        <v>2321</v>
      </c>
      <c r="C1604" s="4" t="s">
        <v>2322</v>
      </c>
      <c r="D1604" s="5" t="s">
        <v>2323</v>
      </c>
      <c r="E1604" s="5">
        <v>2117.64</v>
      </c>
      <c r="F1604" s="6">
        <f>LOOKUP(D1604,'AMFI DATA_2023H2'!F:J,'AMFI DATA_2023H2'!J:J)</f>
        <v>2878.97145</v>
      </c>
      <c r="G1604" s="7">
        <f t="shared" si="14"/>
        <v>-2.9861862645425008E-2</v>
      </c>
      <c r="H1604" s="8">
        <v>2793</v>
      </c>
      <c r="I1604" s="8">
        <v>2810</v>
      </c>
      <c r="J1604" s="8">
        <v>2858</v>
      </c>
      <c r="K1604" s="8">
        <v>2875</v>
      </c>
      <c r="L1604" s="8">
        <v>2893</v>
      </c>
      <c r="M1604" s="8">
        <v>2907</v>
      </c>
      <c r="N1604" s="8">
        <v>2915</v>
      </c>
      <c r="O1604" s="8">
        <v>2951</v>
      </c>
      <c r="P1604" s="8">
        <v>2966</v>
      </c>
      <c r="Q1604" s="8">
        <v>2973</v>
      </c>
      <c r="R1604" s="7">
        <f t="shared" si="15"/>
        <v>5.2548454414163004E-3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</row>
    <row r="1605" spans="1:28" ht="14.4" hidden="1">
      <c r="A1605" s="3">
        <f>LOOKUP(D1605,'AMFI DATA_2023H2'!F:L,'AMFI DATA_2023H2'!L:L)</f>
        <v>892</v>
      </c>
      <c r="B1605" s="4" t="s">
        <v>2585</v>
      </c>
      <c r="C1605" s="4" t="s">
        <v>2586</v>
      </c>
      <c r="D1605" s="5" t="s">
        <v>2587</v>
      </c>
      <c r="E1605" s="5">
        <v>1470.35</v>
      </c>
      <c r="F1605" s="6">
        <f>LOOKUP(D1605,'AMFI DATA_2023H2'!F:J,'AMFI DATA_2023H2'!J:J)</f>
        <v>2173.9094</v>
      </c>
      <c r="G1605" s="7">
        <f t="shared" si="14"/>
        <v>0.21026202839915964</v>
      </c>
      <c r="H1605" s="8">
        <v>2631</v>
      </c>
      <c r="I1605" s="8">
        <v>2645</v>
      </c>
      <c r="J1605" s="8">
        <v>2668</v>
      </c>
      <c r="K1605" s="8">
        <v>2648</v>
      </c>
      <c r="L1605" s="8">
        <v>2549</v>
      </c>
      <c r="M1605" s="8">
        <v>2542</v>
      </c>
      <c r="N1605" s="8">
        <v>2528</v>
      </c>
      <c r="O1605" s="8">
        <v>2524</v>
      </c>
      <c r="P1605" s="8">
        <v>2553</v>
      </c>
      <c r="Q1605" s="8">
        <v>2642</v>
      </c>
      <c r="R1605" s="7">
        <f t="shared" si="15"/>
        <v>0.1927819991026305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</row>
    <row r="1606" spans="1:28" ht="14.4" hidden="1">
      <c r="A1606" s="3">
        <f>LOOKUP(D1606,'AMFI DATA_2023H2'!F:L,'AMFI DATA_2023H2'!L:L)</f>
        <v>973</v>
      </c>
      <c r="B1606" s="4" t="s">
        <v>2789</v>
      </c>
      <c r="C1606" s="4" t="s">
        <v>2790</v>
      </c>
      <c r="D1606" s="5" t="s">
        <v>2791</v>
      </c>
      <c r="E1606" s="5">
        <v>1729.12</v>
      </c>
      <c r="F1606" s="6">
        <f>LOOKUP(D1606,'AMFI DATA_2023H2'!F:J,'AMFI DATA_2023H2'!J:J)</f>
        <v>1840.5712000000001</v>
      </c>
      <c r="G1606" s="7">
        <f t="shared" si="14"/>
        <v>0.19582442667797895</v>
      </c>
      <c r="H1606" s="8">
        <v>2201</v>
      </c>
      <c r="I1606" s="8">
        <v>1919</v>
      </c>
      <c r="J1606" s="8">
        <v>1912</v>
      </c>
      <c r="K1606" s="8">
        <v>1926</v>
      </c>
      <c r="L1606" s="8">
        <v>1958</v>
      </c>
      <c r="M1606" s="8">
        <v>1913</v>
      </c>
      <c r="N1606" s="8">
        <v>1944</v>
      </c>
      <c r="O1606" s="8">
        <v>1995</v>
      </c>
      <c r="P1606" s="8">
        <v>2068</v>
      </c>
      <c r="Q1606" s="8">
        <v>2001</v>
      </c>
      <c r="R1606" s="7">
        <f t="shared" si="15"/>
        <v>7.7763250886463853E-2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</row>
    <row r="1607" spans="1:28" ht="14.4" hidden="1">
      <c r="A1607" s="3">
        <f>LOOKUP(D1607,'AMFI DATA_2023H2'!F:L,'AMFI DATA_2023H2'!L:L)</f>
        <v>815</v>
      </c>
      <c r="B1607" s="4" t="s">
        <v>2366</v>
      </c>
      <c r="C1607" s="4" t="s">
        <v>2367</v>
      </c>
      <c r="D1607" s="5" t="s">
        <v>2368</v>
      </c>
      <c r="E1607" s="5">
        <v>2076.21</v>
      </c>
      <c r="F1607" s="6">
        <f>LOOKUP(D1607,'AMFI DATA_2023H2'!F:J,'AMFI DATA_2023H2'!J:J)</f>
        <v>2757.6049499999999</v>
      </c>
      <c r="G1607" s="7">
        <f t="shared" si="14"/>
        <v>0.55207148144987195</v>
      </c>
      <c r="H1607" s="8">
        <v>4280</v>
      </c>
      <c r="I1607" s="8">
        <v>4463</v>
      </c>
      <c r="J1607" s="8">
        <v>4412</v>
      </c>
      <c r="K1607" s="8">
        <v>4095</v>
      </c>
      <c r="L1607" s="8">
        <v>3679</v>
      </c>
      <c r="M1607" s="8">
        <v>3564</v>
      </c>
      <c r="N1607" s="8">
        <v>3597</v>
      </c>
      <c r="O1607" s="8">
        <v>3634</v>
      </c>
      <c r="P1607" s="8">
        <v>3541</v>
      </c>
      <c r="Q1607" s="8">
        <v>3588</v>
      </c>
      <c r="R1607" s="7">
        <f t="shared" si="15"/>
        <v>0.40894002964420273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</row>
    <row r="1608" spans="1:28" ht="14.4" hidden="1">
      <c r="A1608" s="3">
        <f>LOOKUP(D1608,'AMFI DATA_2023H2'!F:L,'AMFI DATA_2023H2'!L:L)</f>
        <v>744</v>
      </c>
      <c r="B1608" s="4" t="s">
        <v>2177</v>
      </c>
      <c r="C1608" s="4" t="s">
        <v>2178</v>
      </c>
      <c r="D1608" s="5" t="s">
        <v>2179</v>
      </c>
      <c r="E1608" s="5">
        <v>2836.49</v>
      </c>
      <c r="F1608" s="6">
        <f>LOOKUP(D1608,'AMFI DATA_2023H2'!F:J,'AMFI DATA_2023H2'!J:J)</f>
        <v>3396.6108000000004</v>
      </c>
      <c r="G1608" s="7">
        <f t="shared" si="14"/>
        <v>0.11493492277655104</v>
      </c>
      <c r="H1608" s="8">
        <v>3787</v>
      </c>
      <c r="I1608" s="8">
        <v>3765</v>
      </c>
      <c r="J1608" s="8">
        <v>3802</v>
      </c>
      <c r="K1608" s="8">
        <v>3805</v>
      </c>
      <c r="L1608" s="8">
        <v>3832</v>
      </c>
      <c r="M1608" s="8">
        <v>3807</v>
      </c>
      <c r="N1608" s="8">
        <v>3815</v>
      </c>
      <c r="O1608" s="8">
        <v>3799</v>
      </c>
      <c r="P1608" s="8">
        <v>3801</v>
      </c>
      <c r="Q1608" s="8">
        <v>3717</v>
      </c>
      <c r="R1608" s="7">
        <f t="shared" si="15"/>
        <v>0.11670138951451237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</row>
    <row r="1609" spans="1:28" ht="14.4" hidden="1">
      <c r="A1609" s="3">
        <f>LOOKUP(D1609,'AMFI DATA_2023H2'!F:L,'AMFI DATA_2023H2'!L:L)</f>
        <v>1380</v>
      </c>
      <c r="B1609" s="4" t="s">
        <v>3728</v>
      </c>
      <c r="C1609" s="4" t="s">
        <v>3729</v>
      </c>
      <c r="D1609" s="5" t="s">
        <v>3730</v>
      </c>
      <c r="E1609" s="5">
        <v>645.75</v>
      </c>
      <c r="F1609" s="6">
        <f>LOOKUP(D1609,'AMFI DATA_2023H2'!F:J,'AMFI DATA_2023H2'!J:J)</f>
        <v>669.34145000000001</v>
      </c>
      <c r="G1609" s="7">
        <f t="shared" si="14"/>
        <v>0.22060272824878835</v>
      </c>
      <c r="H1609" s="9">
        <v>817</v>
      </c>
      <c r="I1609" s="9">
        <v>787</v>
      </c>
      <c r="J1609" s="9">
        <v>775</v>
      </c>
      <c r="K1609" s="9">
        <v>758</v>
      </c>
      <c r="L1609" s="9">
        <v>758</v>
      </c>
      <c r="M1609" s="9">
        <v>764</v>
      </c>
      <c r="N1609" s="9">
        <v>788</v>
      </c>
      <c r="O1609" s="9">
        <v>791</v>
      </c>
      <c r="P1609" s="9">
        <v>801</v>
      </c>
      <c r="Q1609" s="9">
        <v>776</v>
      </c>
      <c r="R1609" s="7">
        <f t="shared" si="15"/>
        <v>0.16756552279856574</v>
      </c>
      <c r="S1609" s="9"/>
      <c r="T1609" s="9"/>
      <c r="U1609" s="9"/>
      <c r="V1609" s="9"/>
      <c r="W1609" s="9"/>
      <c r="X1609" s="9"/>
      <c r="Y1609" s="9"/>
      <c r="Z1609" s="9"/>
      <c r="AA1609" s="9"/>
      <c r="AB1609" s="9"/>
    </row>
    <row r="1610" spans="1:28" ht="14.4" hidden="1">
      <c r="A1610" s="3">
        <f>LOOKUP(D1610,'AMFI DATA_2023H2'!F:L,'AMFI DATA_2023H2'!L:L)</f>
        <v>683</v>
      </c>
      <c r="B1610" s="4" t="s">
        <v>2001</v>
      </c>
      <c r="C1610" s="4" t="s">
        <v>2002</v>
      </c>
      <c r="D1610" s="5" t="s">
        <v>2003</v>
      </c>
      <c r="E1610" s="5">
        <v>3279.6</v>
      </c>
      <c r="F1610" s="6">
        <f>LOOKUP(D1610,'AMFI DATA_2023H2'!F:J,'AMFI DATA_2023H2'!J:J)</f>
        <v>4037.1817499999997</v>
      </c>
      <c r="G1610" s="7">
        <f t="shared" si="14"/>
        <v>0.15872910601560108</v>
      </c>
      <c r="H1610" s="8">
        <v>4678</v>
      </c>
      <c r="I1610" s="8">
        <v>4200</v>
      </c>
      <c r="J1610" s="8">
        <v>4196</v>
      </c>
      <c r="K1610" s="8">
        <v>4145</v>
      </c>
      <c r="L1610" s="8">
        <v>4181</v>
      </c>
      <c r="M1610" s="8">
        <v>4209</v>
      </c>
      <c r="N1610" s="8">
        <v>4199</v>
      </c>
      <c r="O1610" s="8">
        <v>4013</v>
      </c>
      <c r="P1610" s="8">
        <v>4048</v>
      </c>
      <c r="Q1610" s="8">
        <v>3971</v>
      </c>
      <c r="R1610" s="7">
        <f t="shared" si="15"/>
        <v>3.6366519788216145E-2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</row>
    <row r="1611" spans="1:28" ht="14.4" hidden="1">
      <c r="A1611" s="3">
        <f>LOOKUP(D1611,'AMFI DATA_2023H2'!F:L,'AMFI DATA_2023H2'!L:L)</f>
        <v>3096</v>
      </c>
      <c r="B1611" s="4" t="s">
        <v>5578</v>
      </c>
      <c r="C1611" s="4" t="s">
        <v>5579</v>
      </c>
      <c r="D1611" s="5" t="s">
        <v>5580</v>
      </c>
      <c r="E1611" s="5">
        <v>32.06</v>
      </c>
      <c r="F1611" s="6">
        <f>LOOKUP(D1611,'AMFI DATA_2023H2'!F:J,'AMFI DATA_2023H2'!J:J)</f>
        <v>32.914400000000001</v>
      </c>
      <c r="G1611" s="7">
        <f t="shared" si="14"/>
        <v>0.44921371800792365</v>
      </c>
      <c r="H1611" s="9">
        <v>47.7</v>
      </c>
      <c r="I1611" s="9">
        <v>47.7</v>
      </c>
      <c r="J1611" s="9">
        <v>47.7</v>
      </c>
      <c r="K1611" s="9">
        <v>47.7</v>
      </c>
      <c r="L1611" s="9">
        <v>47.8</v>
      </c>
      <c r="M1611" s="9">
        <v>50.3</v>
      </c>
      <c r="N1611" s="9">
        <v>50.3</v>
      </c>
      <c r="O1611" s="9">
        <v>50.3</v>
      </c>
      <c r="P1611" s="9">
        <v>50.3</v>
      </c>
      <c r="Q1611" s="9">
        <v>52.9</v>
      </c>
      <c r="R1611" s="7">
        <f t="shared" si="15"/>
        <v>0.49691320516248205</v>
      </c>
      <c r="S1611" s="9"/>
      <c r="T1611" s="9"/>
      <c r="U1611" s="9"/>
      <c r="V1611" s="9"/>
      <c r="W1611" s="9"/>
      <c r="X1611" s="9"/>
      <c r="Y1611" s="9"/>
      <c r="Z1611" s="9"/>
      <c r="AA1611" s="9"/>
      <c r="AB1611" s="9"/>
    </row>
    <row r="1612" spans="1:28" ht="14.4" hidden="1">
      <c r="A1612" s="3">
        <f>LOOKUP(D1612,'AMFI DATA_2023H2'!F:L,'AMFI DATA_2023H2'!L:L)</f>
        <v>2343</v>
      </c>
      <c r="B1612" s="4" t="s">
        <v>5165</v>
      </c>
      <c r="C1612" s="4" t="s">
        <v>5166</v>
      </c>
      <c r="D1612" s="5" t="s">
        <v>5167</v>
      </c>
      <c r="E1612" s="5">
        <v>103.73</v>
      </c>
      <c r="F1612" s="6">
        <f>LOOKUP(D1612,'AMFI DATA_2023H2'!F:J,'AMFI DATA_2023H2'!J:J)</f>
        <v>105.6634</v>
      </c>
      <c r="G1612" s="7">
        <f t="shared" si="14"/>
        <v>0.67513065072674183</v>
      </c>
      <c r="H1612" s="9">
        <v>177</v>
      </c>
      <c r="I1612" s="9">
        <v>169</v>
      </c>
      <c r="J1612" s="9">
        <v>161</v>
      </c>
      <c r="K1612" s="9">
        <v>157</v>
      </c>
      <c r="L1612" s="9">
        <v>160</v>
      </c>
      <c r="M1612" s="9">
        <v>159</v>
      </c>
      <c r="N1612" s="9">
        <v>162</v>
      </c>
      <c r="O1612" s="9">
        <v>166</v>
      </c>
      <c r="P1612" s="9">
        <v>162</v>
      </c>
      <c r="Q1612" s="9">
        <v>154</v>
      </c>
      <c r="R1612" s="7">
        <f t="shared" si="15"/>
        <v>0.53979523657198225</v>
      </c>
      <c r="S1612" s="9"/>
      <c r="T1612" s="9"/>
      <c r="U1612" s="9"/>
      <c r="V1612" s="9"/>
      <c r="W1612" s="9"/>
      <c r="X1612" s="9"/>
      <c r="Y1612" s="9"/>
      <c r="Z1612" s="9"/>
      <c r="AA1612" s="9"/>
      <c r="AB1612" s="9"/>
    </row>
    <row r="1613" spans="1:28" ht="14.4" hidden="1">
      <c r="A1613" s="3">
        <f>LOOKUP(D1613,'AMFI DATA_2023H2'!F:L,'AMFI DATA_2023H2'!L:L)</f>
        <v>262</v>
      </c>
      <c r="B1613" s="4" t="s">
        <v>795</v>
      </c>
      <c r="C1613" s="4" t="s">
        <v>796</v>
      </c>
      <c r="D1613" s="5" t="s">
        <v>797</v>
      </c>
      <c r="E1613" s="5">
        <v>21641.4</v>
      </c>
      <c r="F1613" s="6">
        <f>LOOKUP(D1613,'AMFI DATA_2023H2'!F:J,'AMFI DATA_2023H2'!J:J)</f>
        <v>20549.278149999998</v>
      </c>
      <c r="G1613" s="7">
        <f t="shared" si="14"/>
        <v>1.7408000776903299E-2</v>
      </c>
      <c r="H1613" s="8">
        <v>20907</v>
      </c>
      <c r="I1613" s="8">
        <v>20255</v>
      </c>
      <c r="J1613" s="8">
        <v>20340</v>
      </c>
      <c r="K1613" s="8">
        <v>20715</v>
      </c>
      <c r="L1613" s="8">
        <v>20475</v>
      </c>
      <c r="M1613" s="8">
        <v>20178</v>
      </c>
      <c r="N1613" s="8">
        <v>20228</v>
      </c>
      <c r="O1613" s="8">
        <v>20300</v>
      </c>
      <c r="P1613" s="8">
        <v>20086</v>
      </c>
      <c r="Q1613" s="8">
        <v>20280</v>
      </c>
      <c r="R1613" s="7">
        <f t="shared" si="15"/>
        <v>-8.4128575582104181E-3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</row>
    <row r="1614" spans="1:28" ht="14.4">
      <c r="A1614" s="3">
        <f>LOOKUP(D1614,'AMFI DATA_2023H2'!F:L,'AMFI DATA_2023H2'!L:L)</f>
        <v>1163</v>
      </c>
      <c r="B1614" s="4" t="s">
        <v>3257</v>
      </c>
      <c r="C1614" s="4" t="s">
        <v>3258</v>
      </c>
      <c r="D1614" s="5" t="s">
        <v>3259</v>
      </c>
      <c r="E1614" s="5">
        <v>686.32</v>
      </c>
      <c r="F1614" s="6">
        <f>LOOKUP(D1614,'AMFI DATA_2023H2'!F:J,'AMFI DATA_2023H2'!J:J)</f>
        <v>1126.3301000000001</v>
      </c>
      <c r="G1614" s="7">
        <f t="shared" si="14"/>
        <v>0.25629244925621708</v>
      </c>
      <c r="H1614" s="8">
        <v>1415</v>
      </c>
      <c r="I1614" s="8">
        <v>1410</v>
      </c>
      <c r="J1614" s="8">
        <v>1381</v>
      </c>
      <c r="K1614" s="8">
        <v>1375</v>
      </c>
      <c r="L1614" s="8">
        <v>1380</v>
      </c>
      <c r="M1614" s="8">
        <v>1389</v>
      </c>
      <c r="N1614" s="8">
        <v>1408</v>
      </c>
      <c r="O1614" s="8">
        <v>1419</v>
      </c>
      <c r="P1614" s="8">
        <v>1443</v>
      </c>
      <c r="Q1614" s="8">
        <v>1443</v>
      </c>
      <c r="R1614" s="14">
        <f t="shared" si="15"/>
        <v>0.24856824833146152</v>
      </c>
      <c r="S1614" s="8"/>
      <c r="T1614" s="8">
        <v>1287</v>
      </c>
      <c r="U1614" s="15">
        <f ca="1">IFERROR(__xludf.DUMMYFUNCTION("GOOGLEFINANCE(C1614,""PRICE"")"),1360)</f>
        <v>1360</v>
      </c>
      <c r="V1614" s="13" t="s">
        <v>5787</v>
      </c>
      <c r="W1614" s="7">
        <f ca="1">U1614/T1614-1</f>
        <v>5.6721056721056762E-2</v>
      </c>
      <c r="X1614" s="8"/>
      <c r="Y1614" s="8"/>
      <c r="Z1614" s="8"/>
      <c r="AA1614" s="8"/>
      <c r="AB1614" s="8"/>
    </row>
    <row r="1615" spans="1:28" ht="14.4" hidden="1">
      <c r="A1615" s="3">
        <f>LOOKUP(D1615,'AMFI DATA_2023H2'!F:L,'AMFI DATA_2023H2'!L:L)</f>
        <v>479</v>
      </c>
      <c r="B1615" s="4" t="s">
        <v>1422</v>
      </c>
      <c r="C1615" s="4" t="s">
        <v>1423</v>
      </c>
      <c r="D1615" s="5" t="s">
        <v>1424</v>
      </c>
      <c r="E1615" s="5">
        <v>5967.69</v>
      </c>
      <c r="F1615" s="6">
        <f>LOOKUP(D1615,'AMFI DATA_2023H2'!F:J,'AMFI DATA_2023H2'!J:J)</f>
        <v>7822.5957500000004</v>
      </c>
      <c r="G1615" s="7">
        <f t="shared" si="14"/>
        <v>0.7446894146358003</v>
      </c>
      <c r="H1615" s="8">
        <v>13648</v>
      </c>
      <c r="I1615" s="8">
        <v>12491</v>
      </c>
      <c r="J1615" s="8">
        <v>12572</v>
      </c>
      <c r="K1615" s="8">
        <v>10979</v>
      </c>
      <c r="L1615" s="8">
        <v>9984</v>
      </c>
      <c r="M1615" s="8">
        <v>9285</v>
      </c>
      <c r="N1615" s="8">
        <v>8765</v>
      </c>
      <c r="O1615" s="8">
        <v>8585</v>
      </c>
      <c r="P1615" s="8">
        <v>8411</v>
      </c>
      <c r="Q1615" s="8">
        <v>8483</v>
      </c>
      <c r="R1615" s="7">
        <f t="shared" si="15"/>
        <v>0.31929353501361724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</row>
    <row r="1616" spans="1:28" ht="14.4" hidden="1">
      <c r="A1616" s="3">
        <f>LOOKUP(D1616,'AMFI DATA_2023H2'!F:L,'AMFI DATA_2023H2'!L:L)</f>
        <v>20</v>
      </c>
      <c r="B1616" s="4" t="s">
        <v>64</v>
      </c>
      <c r="C1616" s="4" t="s">
        <v>65</v>
      </c>
      <c r="D1616" s="5" t="s">
        <v>66</v>
      </c>
      <c r="E1616" s="5">
        <v>237246.3</v>
      </c>
      <c r="F1616" s="6">
        <f>LOOKUP(D1616,'AMFI DATA_2023H2'!F:J,'AMFI DATA_2023H2'!J:J)</f>
        <v>275688.43229999999</v>
      </c>
      <c r="G1616" s="7">
        <f t="shared" si="14"/>
        <v>0.13348607844363314</v>
      </c>
      <c r="H1616" s="8">
        <v>312489</v>
      </c>
      <c r="I1616" s="8">
        <v>315021</v>
      </c>
      <c r="J1616" s="8">
        <v>311458</v>
      </c>
      <c r="K1616" s="8">
        <v>310894</v>
      </c>
      <c r="L1616" s="8">
        <v>302184</v>
      </c>
      <c r="M1616" s="8">
        <v>302676</v>
      </c>
      <c r="N1616" s="8">
        <v>302796</v>
      </c>
      <c r="O1616" s="8">
        <v>300613</v>
      </c>
      <c r="P1616" s="8">
        <v>299293</v>
      </c>
      <c r="Q1616" s="8">
        <v>298393</v>
      </c>
      <c r="R1616" s="7">
        <f t="shared" si="15"/>
        <v>0.10843134567021151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</row>
    <row r="1617" spans="1:28" ht="14.4" hidden="1">
      <c r="A1617" s="3">
        <f>LOOKUP(D1617,'AMFI DATA_2023H2'!F:L,'AMFI DATA_2023H2'!L:L)</f>
        <v>235</v>
      </c>
      <c r="B1617" s="4" t="s">
        <v>714</v>
      </c>
      <c r="C1617" s="4" t="s">
        <v>715</v>
      </c>
      <c r="D1617" s="5" t="s">
        <v>716</v>
      </c>
      <c r="E1617" s="5">
        <v>17503.490000000002</v>
      </c>
      <c r="F1617" s="6">
        <f>LOOKUP(D1617,'AMFI DATA_2023H2'!F:J,'AMFI DATA_2023H2'!J:J)</f>
        <v>23886.327100000002</v>
      </c>
      <c r="G1617" s="7">
        <f t="shared" si="14"/>
        <v>0.18762503256517804</v>
      </c>
      <c r="H1617" s="8">
        <v>28368</v>
      </c>
      <c r="I1617" s="8">
        <v>28758</v>
      </c>
      <c r="J1617" s="8">
        <v>28374</v>
      </c>
      <c r="K1617" s="8">
        <v>28019</v>
      </c>
      <c r="L1617" s="8">
        <v>28130</v>
      </c>
      <c r="M1617" s="8">
        <v>27974</v>
      </c>
      <c r="N1617" s="8">
        <v>28195</v>
      </c>
      <c r="O1617" s="8">
        <v>27854</v>
      </c>
      <c r="P1617" s="8">
        <v>28052</v>
      </c>
      <c r="Q1617" s="8">
        <v>28593</v>
      </c>
      <c r="R1617" s="7">
        <f t="shared" si="15"/>
        <v>0.18191883925092855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</row>
    <row r="1618" spans="1:28" ht="14.4" hidden="1">
      <c r="A1618" s="3">
        <f>LOOKUP(D1618,'AMFI DATA_2023H2'!F:L,'AMFI DATA_2023H2'!L:L)</f>
        <v>1915</v>
      </c>
      <c r="B1618" s="4" t="s">
        <v>4622</v>
      </c>
      <c r="C1618" s="4" t="s">
        <v>4623</v>
      </c>
      <c r="D1618" s="5" t="s">
        <v>4624</v>
      </c>
      <c r="E1618" s="5">
        <v>127.42</v>
      </c>
      <c r="F1618" s="6">
        <f>LOOKUP(D1618,'AMFI DATA_2023H2'!F:J,'AMFI DATA_2023H2'!J:J)</f>
        <v>212.34105</v>
      </c>
      <c r="G1618" s="7">
        <f t="shared" si="14"/>
        <v>0.22444529684674719</v>
      </c>
      <c r="H1618" s="9">
        <v>260</v>
      </c>
      <c r="I1618" s="9">
        <v>255</v>
      </c>
      <c r="J1618" s="9">
        <v>261</v>
      </c>
      <c r="K1618" s="9">
        <v>262</v>
      </c>
      <c r="L1618" s="9">
        <v>262</v>
      </c>
      <c r="M1618" s="9">
        <v>265</v>
      </c>
      <c r="N1618" s="9">
        <v>247</v>
      </c>
      <c r="O1618" s="9">
        <v>253</v>
      </c>
      <c r="P1618" s="9">
        <v>251</v>
      </c>
      <c r="Q1618" s="9">
        <v>250</v>
      </c>
      <c r="R1618" s="7">
        <f t="shared" si="15"/>
        <v>0.20843331988798219</v>
      </c>
      <c r="S1618" s="9"/>
      <c r="T1618" s="9"/>
      <c r="U1618" s="9"/>
      <c r="V1618" s="9"/>
      <c r="W1618" s="9"/>
      <c r="X1618" s="9"/>
      <c r="Y1618" s="9"/>
      <c r="Z1618" s="9"/>
      <c r="AA1618" s="9"/>
      <c r="AB1618" s="9"/>
    </row>
    <row r="1619" spans="1:28" ht="14.4" hidden="1">
      <c r="A1619" s="3">
        <f>LOOKUP(D1619,'AMFI DATA_2023H2'!F:L,'AMFI DATA_2023H2'!L:L)</f>
        <v>800</v>
      </c>
      <c r="B1619" s="4" t="s">
        <v>2327</v>
      </c>
      <c r="C1619" s="4" t="s">
        <v>2328</v>
      </c>
      <c r="D1619" s="5" t="s">
        <v>2329</v>
      </c>
      <c r="E1619" s="5">
        <v>1926.41</v>
      </c>
      <c r="F1619" s="6">
        <f>LOOKUP(D1619,'AMFI DATA_2023H2'!F:J,'AMFI DATA_2023H2'!J:J)</f>
        <v>2867.1100999999999</v>
      </c>
      <c r="G1619" s="7">
        <f t="shared" si="14"/>
        <v>0.30410059941541845</v>
      </c>
      <c r="H1619" s="8">
        <v>3739</v>
      </c>
      <c r="I1619" s="8">
        <v>3266</v>
      </c>
      <c r="J1619" s="8">
        <v>3276</v>
      </c>
      <c r="K1619" s="8">
        <v>3245</v>
      </c>
      <c r="L1619" s="8">
        <v>3242</v>
      </c>
      <c r="M1619" s="8">
        <v>3244</v>
      </c>
      <c r="N1619" s="8">
        <v>3254</v>
      </c>
      <c r="O1619" s="8">
        <v>3263</v>
      </c>
      <c r="P1619" s="8">
        <v>3295</v>
      </c>
      <c r="Q1619" s="8">
        <v>3252</v>
      </c>
      <c r="R1619" s="7">
        <f t="shared" si="15"/>
        <v>0.15363550217342548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</row>
    <row r="1620" spans="1:28" ht="14.4" hidden="1">
      <c r="A1620" s="3">
        <f>LOOKUP(D1620,'AMFI DATA_2023H2'!F:L,'AMFI DATA_2023H2'!L:L)</f>
        <v>189</v>
      </c>
      <c r="B1620" s="4" t="s">
        <v>576</v>
      </c>
      <c r="C1620" s="4" t="s">
        <v>577</v>
      </c>
      <c r="D1620" s="5" t="s">
        <v>578</v>
      </c>
      <c r="E1620" s="5">
        <v>26395.439999999999</v>
      </c>
      <c r="F1620" s="6">
        <f>LOOKUP(D1620,'AMFI DATA_2023H2'!F:J,'AMFI DATA_2023H2'!J:J)</f>
        <v>33163.218500000003</v>
      </c>
      <c r="G1620" s="7">
        <f t="shared" si="14"/>
        <v>0.21064847792140551</v>
      </c>
      <c r="H1620" s="8">
        <v>40149</v>
      </c>
      <c r="I1620" s="8">
        <v>40142</v>
      </c>
      <c r="J1620" s="8">
        <v>40044</v>
      </c>
      <c r="K1620" s="8">
        <v>39219</v>
      </c>
      <c r="L1620" s="8">
        <v>38646</v>
      </c>
      <c r="M1620" s="8">
        <v>38994</v>
      </c>
      <c r="N1620" s="8">
        <v>39446</v>
      </c>
      <c r="O1620" s="8">
        <v>39859</v>
      </c>
      <c r="P1620" s="8">
        <v>38912</v>
      </c>
      <c r="Q1620" s="8">
        <v>39273</v>
      </c>
      <c r="R1620" s="7">
        <f t="shared" si="15"/>
        <v>0.19012574126362303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</row>
    <row r="1621" spans="1:28" ht="14.4" hidden="1">
      <c r="A1621" s="3">
        <f>LOOKUP(D1621,'AMFI DATA_2023H2'!F:L,'AMFI DATA_2023H2'!L:L)</f>
        <v>2208</v>
      </c>
      <c r="B1621" s="4" t="s">
        <v>5030</v>
      </c>
      <c r="C1621" s="4" t="s">
        <v>5031</v>
      </c>
      <c r="D1621" s="5" t="s">
        <v>5032</v>
      </c>
      <c r="E1621" s="5">
        <v>115.78</v>
      </c>
      <c r="F1621" s="6">
        <f>LOOKUP(D1621,'AMFI DATA_2023H2'!F:J,'AMFI DATA_2023H2'!J:J)</f>
        <v>130.45095000000001</v>
      </c>
      <c r="G1621" s="7">
        <f t="shared" si="14"/>
        <v>5.7868877152676967E-2</v>
      </c>
      <c r="H1621" s="9">
        <v>138</v>
      </c>
      <c r="I1621" s="9">
        <v>140</v>
      </c>
      <c r="J1621" s="9">
        <v>137</v>
      </c>
      <c r="K1621" s="9">
        <v>135</v>
      </c>
      <c r="L1621" s="9">
        <v>137</v>
      </c>
      <c r="M1621" s="9">
        <v>140</v>
      </c>
      <c r="N1621" s="9">
        <v>143</v>
      </c>
      <c r="O1621" s="9">
        <v>145</v>
      </c>
      <c r="P1621" s="9">
        <v>150</v>
      </c>
      <c r="Q1621" s="9">
        <v>152</v>
      </c>
      <c r="R1621" s="7">
        <f t="shared" si="15"/>
        <v>8.6232028206770339E-2</v>
      </c>
      <c r="S1621" s="9"/>
      <c r="T1621" s="9"/>
      <c r="U1621" s="9"/>
      <c r="V1621" s="9"/>
      <c r="W1621" s="9"/>
      <c r="X1621" s="9"/>
      <c r="Y1621" s="9"/>
      <c r="Z1621" s="9"/>
      <c r="AA1621" s="9"/>
      <c r="AB1621" s="9"/>
    </row>
    <row r="1622" spans="1:28" ht="14.4" hidden="1">
      <c r="A1622" s="3">
        <f>LOOKUP(D1622,'AMFI DATA_2023H2'!F:L,'AMFI DATA_2023H2'!L:L)</f>
        <v>218</v>
      </c>
      <c r="B1622" s="4" t="s">
        <v>663</v>
      </c>
      <c r="C1622" s="4" t="s">
        <v>664</v>
      </c>
      <c r="D1622" s="5" t="s">
        <v>665</v>
      </c>
      <c r="E1622" s="5">
        <v>21740.02</v>
      </c>
      <c r="F1622" s="6">
        <f>LOOKUP(D1622,'AMFI DATA_2023H2'!F:J,'AMFI DATA_2023H2'!J:J)</f>
        <v>26218.102800000001</v>
      </c>
      <c r="G1622" s="7">
        <f t="shared" si="14"/>
        <v>4.8019187719410272E-3</v>
      </c>
      <c r="H1622" s="8">
        <v>26344</v>
      </c>
      <c r="I1622" s="8">
        <v>26194</v>
      </c>
      <c r="J1622" s="8">
        <v>26146</v>
      </c>
      <c r="K1622" s="8">
        <v>25756</v>
      </c>
      <c r="L1622" s="8">
        <v>26161</v>
      </c>
      <c r="M1622" s="8">
        <v>26100</v>
      </c>
      <c r="N1622" s="8">
        <v>25938</v>
      </c>
      <c r="O1622" s="8">
        <v>25951</v>
      </c>
      <c r="P1622" s="8">
        <v>26161</v>
      </c>
      <c r="Q1622" s="8">
        <v>26467</v>
      </c>
      <c r="R1622" s="7">
        <f t="shared" si="15"/>
        <v>-3.6731414448493149E-3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</row>
    <row r="1623" spans="1:28" ht="14.4" hidden="1">
      <c r="A1623" s="3">
        <f>LOOKUP(D1623,'AMFI DATA_2023H2'!F:L,'AMFI DATA_2023H2'!L:L)</f>
        <v>717</v>
      </c>
      <c r="B1623" s="4" t="s">
        <v>2096</v>
      </c>
      <c r="C1623" s="4" t="s">
        <v>2097</v>
      </c>
      <c r="D1623" s="5" t="s">
        <v>2098</v>
      </c>
      <c r="E1623" s="5">
        <v>2630.1</v>
      </c>
      <c r="F1623" s="6">
        <f>LOOKUP(D1623,'AMFI DATA_2023H2'!F:J,'AMFI DATA_2023H2'!J:J)</f>
        <v>3637.9575</v>
      </c>
      <c r="G1623" s="7">
        <f t="shared" si="14"/>
        <v>3.4921381022180675E-2</v>
      </c>
      <c r="H1623" s="8">
        <v>3765</v>
      </c>
      <c r="I1623" s="8">
        <v>3741</v>
      </c>
      <c r="J1623" s="8">
        <v>3749</v>
      </c>
      <c r="K1623" s="8">
        <v>3786</v>
      </c>
      <c r="L1623" s="8">
        <v>3826</v>
      </c>
      <c r="M1623" s="8">
        <v>3759</v>
      </c>
      <c r="N1623" s="8">
        <v>3830</v>
      </c>
      <c r="O1623" s="8">
        <v>3858</v>
      </c>
      <c r="P1623" s="8">
        <v>3849</v>
      </c>
      <c r="Q1623" s="8">
        <v>3784</v>
      </c>
      <c r="R1623" s="7">
        <f t="shared" si="15"/>
        <v>4.3085302673272041E-2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</row>
    <row r="1624" spans="1:28" ht="14.4" hidden="1">
      <c r="A1624" s="3">
        <f>LOOKUP(D1624,'AMFI DATA_2023H2'!F:L,'AMFI DATA_2023H2'!L:L)</f>
        <v>566</v>
      </c>
      <c r="B1624" s="4" t="s">
        <v>1677</v>
      </c>
      <c r="C1624" s="4" t="s">
        <v>1678</v>
      </c>
      <c r="D1624" s="5" t="s">
        <v>1679</v>
      </c>
      <c r="E1624" s="5">
        <v>4541.2700000000004</v>
      </c>
      <c r="F1624" s="6">
        <f>LOOKUP(D1624,'AMFI DATA_2023H2'!F:J,'AMFI DATA_2023H2'!J:J)</f>
        <v>6088.3889499999996</v>
      </c>
      <c r="G1624" s="7">
        <f t="shared" si="14"/>
        <v>0.10291902425189181</v>
      </c>
      <c r="H1624" s="8">
        <v>6715</v>
      </c>
      <c r="I1624" s="8">
        <v>6902</v>
      </c>
      <c r="J1624" s="8">
        <v>6409</v>
      </c>
      <c r="K1624" s="8">
        <v>6385</v>
      </c>
      <c r="L1624" s="8">
        <v>6563</v>
      </c>
      <c r="M1624" s="8">
        <v>6524</v>
      </c>
      <c r="N1624" s="8">
        <v>6393</v>
      </c>
      <c r="O1624" s="8">
        <v>6281</v>
      </c>
      <c r="P1624" s="8">
        <v>6174</v>
      </c>
      <c r="Q1624" s="8">
        <v>6280</v>
      </c>
      <c r="R1624" s="7">
        <f t="shared" si="15"/>
        <v>6.1463065693265317E-2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</row>
    <row r="1625" spans="1:28" ht="14.4" hidden="1">
      <c r="A1625" s="3">
        <f>LOOKUP(D1625,'AMFI DATA_2023H2'!F:L,'AMFI DATA_2023H2'!L:L)</f>
        <v>2890</v>
      </c>
      <c r="B1625" s="4" t="s">
        <v>5500</v>
      </c>
      <c r="C1625" s="4" t="s">
        <v>5501</v>
      </c>
      <c r="D1625" s="5" t="s">
        <v>5502</v>
      </c>
      <c r="E1625" s="5">
        <v>41.28</v>
      </c>
      <c r="F1625" s="6">
        <f>LOOKUP(D1625,'AMFI DATA_2023H2'!F:J,'AMFI DATA_2023H2'!J:J)</f>
        <v>44.862499999999997</v>
      </c>
      <c r="G1625" s="7">
        <f t="shared" si="14"/>
        <v>0.13903594315965462</v>
      </c>
      <c r="H1625" s="9">
        <v>51.1</v>
      </c>
      <c r="I1625" s="9">
        <v>52</v>
      </c>
      <c r="J1625" s="9">
        <v>52.2</v>
      </c>
      <c r="K1625" s="9">
        <v>50.6</v>
      </c>
      <c r="L1625" s="9">
        <v>48.2</v>
      </c>
      <c r="M1625" s="9">
        <v>46</v>
      </c>
      <c r="N1625" s="9">
        <v>45.1</v>
      </c>
      <c r="O1625" s="9">
        <v>45.1</v>
      </c>
      <c r="P1625" s="9">
        <v>45.2</v>
      </c>
      <c r="Q1625" s="9">
        <v>45.4</v>
      </c>
      <c r="R1625" s="7">
        <f t="shared" si="15"/>
        <v>7.1942045137921573E-2</v>
      </c>
      <c r="S1625" s="9"/>
      <c r="T1625" s="9"/>
      <c r="U1625" s="9"/>
      <c r="V1625" s="9"/>
      <c r="W1625" s="9"/>
      <c r="X1625" s="9"/>
      <c r="Y1625" s="9"/>
      <c r="Z1625" s="9"/>
      <c r="AA1625" s="9"/>
      <c r="AB1625" s="9"/>
    </row>
    <row r="1626" spans="1:28" ht="14.4" hidden="1">
      <c r="A1626" s="3">
        <f>LOOKUP(D1626,'AMFI DATA_2023H2'!F:L,'AMFI DATA_2023H2'!L:L)</f>
        <v>1854</v>
      </c>
      <c r="B1626" s="4" t="s">
        <v>4541</v>
      </c>
      <c r="C1626" s="4" t="s">
        <v>4542</v>
      </c>
      <c r="D1626" s="5" t="s">
        <v>4543</v>
      </c>
      <c r="E1626" s="5">
        <v>251.11</v>
      </c>
      <c r="F1626" s="6">
        <f>LOOKUP(D1626,'AMFI DATA_2023H2'!F:J,'AMFI DATA_2023H2'!J:J)</f>
        <v>246.45505</v>
      </c>
      <c r="G1626" s="7">
        <f t="shared" si="14"/>
        <v>0.14828241498804751</v>
      </c>
      <c r="H1626" s="9">
        <v>283</v>
      </c>
      <c r="I1626" s="9">
        <v>286</v>
      </c>
      <c r="J1626" s="9">
        <v>277</v>
      </c>
      <c r="K1626" s="9">
        <v>278</v>
      </c>
      <c r="L1626" s="9">
        <v>281</v>
      </c>
      <c r="M1626" s="9">
        <v>275</v>
      </c>
      <c r="N1626" s="9">
        <v>280</v>
      </c>
      <c r="O1626" s="9">
        <v>283</v>
      </c>
      <c r="P1626" s="9">
        <v>272</v>
      </c>
      <c r="Q1626" s="9">
        <v>270</v>
      </c>
      <c r="R1626" s="7">
        <f t="shared" si="15"/>
        <v>0.13002350732922707</v>
      </c>
      <c r="S1626" s="9"/>
      <c r="T1626" s="9"/>
      <c r="U1626" s="9"/>
      <c r="V1626" s="9"/>
      <c r="W1626" s="9"/>
      <c r="X1626" s="9"/>
      <c r="Y1626" s="9"/>
      <c r="Z1626" s="9"/>
      <c r="AA1626" s="9"/>
      <c r="AB1626" s="9"/>
    </row>
    <row r="1627" spans="1:28" ht="14.4" hidden="1">
      <c r="A1627" s="3">
        <f>LOOKUP(D1627,'AMFI DATA_2023H2'!F:L,'AMFI DATA_2023H2'!L:L)</f>
        <v>594</v>
      </c>
      <c r="B1627" s="4" t="s">
        <v>1752</v>
      </c>
      <c r="C1627" s="4" t="s">
        <v>1753</v>
      </c>
      <c r="D1627" s="5" t="s">
        <v>1754</v>
      </c>
      <c r="E1627" s="5">
        <v>5001.3500000000004</v>
      </c>
      <c r="F1627" s="6">
        <f>LOOKUP(D1627,'AMFI DATA_2023H2'!F:J,'AMFI DATA_2023H2'!J:J)</f>
        <v>5481.9434499999998</v>
      </c>
      <c r="G1627" s="7">
        <f t="shared" si="14"/>
        <v>5.1179933277130107E-3</v>
      </c>
      <c r="H1627" s="8">
        <v>5510</v>
      </c>
      <c r="I1627" s="8">
        <v>5450</v>
      </c>
      <c r="J1627" s="8">
        <v>5524</v>
      </c>
      <c r="K1627" s="8">
        <v>5582</v>
      </c>
      <c r="L1627" s="8">
        <v>5687</v>
      </c>
      <c r="M1627" s="8">
        <v>5624</v>
      </c>
      <c r="N1627" s="8">
        <v>5570</v>
      </c>
      <c r="O1627" s="8">
        <v>5146</v>
      </c>
      <c r="P1627" s="8">
        <v>5048</v>
      </c>
      <c r="Q1627" s="8">
        <v>5132</v>
      </c>
      <c r="R1627" s="7">
        <f t="shared" si="15"/>
        <v>-9.9678974251365959E-3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</row>
    <row r="1628" spans="1:28" ht="14.4" hidden="1">
      <c r="A1628" s="3">
        <f>LOOKUP(D1628,'AMFI DATA_2023H2'!F:L,'AMFI DATA_2023H2'!L:L)</f>
        <v>3439</v>
      </c>
      <c r="B1628" s="4" t="s">
        <v>5680</v>
      </c>
      <c r="C1628" s="4" t="s">
        <v>5681</v>
      </c>
      <c r="D1628" s="5" t="s">
        <v>5682</v>
      </c>
      <c r="E1628" s="5">
        <v>23.13</v>
      </c>
      <c r="F1628" s="6">
        <f>LOOKUP(D1628,'AMFI DATA_2023H2'!F:J,'AMFI DATA_2023H2'!J:J)</f>
        <v>19.663399999999999</v>
      </c>
      <c r="G1628" s="7">
        <f t="shared" si="14"/>
        <v>0.39853738417567675</v>
      </c>
      <c r="H1628" s="9">
        <v>27.5</v>
      </c>
      <c r="I1628" s="9">
        <v>26.2</v>
      </c>
      <c r="J1628" s="9">
        <v>26.2</v>
      </c>
      <c r="K1628" s="9">
        <v>27.5</v>
      </c>
      <c r="L1628" s="9">
        <v>27.5</v>
      </c>
      <c r="M1628" s="9">
        <v>26.2</v>
      </c>
      <c r="N1628" s="9">
        <v>25</v>
      </c>
      <c r="O1628" s="9">
        <v>26.2</v>
      </c>
      <c r="P1628" s="9">
        <v>25</v>
      </c>
      <c r="Q1628" s="9">
        <v>26.2</v>
      </c>
      <c r="R1628" s="7">
        <f t="shared" si="15"/>
        <v>0.34005309356469393</v>
      </c>
      <c r="S1628" s="9"/>
      <c r="T1628" s="9"/>
      <c r="U1628" s="9"/>
      <c r="V1628" s="9"/>
      <c r="W1628" s="9"/>
      <c r="X1628" s="9"/>
      <c r="Y1628" s="9"/>
      <c r="Z1628" s="9"/>
      <c r="AA1628" s="9"/>
      <c r="AB1628" s="9"/>
    </row>
    <row r="1629" spans="1:28" ht="14.4" hidden="1">
      <c r="A1629" s="3">
        <f>LOOKUP(D1629,'AMFI DATA_2023H2'!F:L,'AMFI DATA_2023H2'!L:L)</f>
        <v>121</v>
      </c>
      <c r="B1629" s="4" t="s">
        <v>375</v>
      </c>
      <c r="C1629" s="4" t="s">
        <v>376</v>
      </c>
      <c r="D1629" s="5" t="s">
        <v>377</v>
      </c>
      <c r="E1629" s="5">
        <v>34108.06</v>
      </c>
      <c r="F1629" s="6">
        <f>LOOKUP(D1629,'AMFI DATA_2023H2'!F:J,'AMFI DATA_2023H2'!J:J)</f>
        <v>52528.382749999997</v>
      </c>
      <c r="G1629" s="7">
        <f t="shared" si="14"/>
        <v>6.1483279722713391E-2</v>
      </c>
      <c r="H1629" s="8">
        <v>55758</v>
      </c>
      <c r="I1629" s="8">
        <v>55872</v>
      </c>
      <c r="J1629" s="8">
        <v>56147</v>
      </c>
      <c r="K1629" s="8">
        <v>56828</v>
      </c>
      <c r="L1629" s="8">
        <v>56763</v>
      </c>
      <c r="M1629" s="8">
        <v>57274</v>
      </c>
      <c r="N1629" s="8">
        <v>57200</v>
      </c>
      <c r="O1629" s="8">
        <v>58851</v>
      </c>
      <c r="P1629" s="8">
        <v>58318</v>
      </c>
      <c r="Q1629" s="8">
        <v>57674</v>
      </c>
      <c r="R1629" s="7">
        <f t="shared" si="15"/>
        <v>8.6431696776348987E-2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</row>
    <row r="1630" spans="1:28" ht="14.4" hidden="1">
      <c r="A1630" s="3">
        <f>LOOKUP(D1630,'AMFI DATA_2023H2'!F:L,'AMFI DATA_2023H2'!L:L)</f>
        <v>2548</v>
      </c>
      <c r="B1630" s="4" t="s">
        <v>5335</v>
      </c>
      <c r="C1630" s="4" t="s">
        <v>5336</v>
      </c>
      <c r="D1630" s="5" t="s">
        <v>5337</v>
      </c>
      <c r="E1630" s="5">
        <v>59.8</v>
      </c>
      <c r="F1630" s="6">
        <f>LOOKUP(D1630,'AMFI DATA_2023H2'!F:J,'AMFI DATA_2023H2'!J:J)</f>
        <v>74.520499999999998</v>
      </c>
      <c r="G1630" s="7">
        <f t="shared" si="14"/>
        <v>0.97261156326111609</v>
      </c>
      <c r="H1630" s="9">
        <v>147</v>
      </c>
      <c r="I1630" s="9">
        <v>144</v>
      </c>
      <c r="J1630" s="9">
        <v>141</v>
      </c>
      <c r="K1630" s="9">
        <v>139</v>
      </c>
      <c r="L1630" s="9">
        <v>136</v>
      </c>
      <c r="M1630" s="9">
        <v>133</v>
      </c>
      <c r="N1630" s="9">
        <v>131</v>
      </c>
      <c r="O1630" s="9">
        <v>128</v>
      </c>
      <c r="P1630" s="9">
        <v>131</v>
      </c>
      <c r="Q1630" s="9">
        <v>126</v>
      </c>
      <c r="R1630" s="7">
        <f t="shared" si="15"/>
        <v>0.8196335236612744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</row>
    <row r="1631" spans="1:28" ht="14.4" hidden="1">
      <c r="A1631" s="3">
        <f>LOOKUP(D1631,'AMFI DATA_2023H2'!F:L,'AMFI DATA_2023H2'!L:L)</f>
        <v>426</v>
      </c>
      <c r="B1631" s="4" t="s">
        <v>1275</v>
      </c>
      <c r="C1631" s="4" t="s">
        <v>1276</v>
      </c>
      <c r="D1631" s="5" t="s">
        <v>1277</v>
      </c>
      <c r="E1631" s="5">
        <v>7159.18</v>
      </c>
      <c r="F1631" s="6">
        <f>LOOKUP(D1631,'AMFI DATA_2023H2'!F:J,'AMFI DATA_2023H2'!J:J)</f>
        <v>9520.5632499999992</v>
      </c>
      <c r="G1631" s="7">
        <f t="shared" si="14"/>
        <v>0.10623707058508347</v>
      </c>
      <c r="H1631" s="8">
        <v>10532</v>
      </c>
      <c r="I1631" s="8">
        <v>10481</v>
      </c>
      <c r="J1631" s="8">
        <v>10515</v>
      </c>
      <c r="K1631" s="8">
        <v>10287</v>
      </c>
      <c r="L1631" s="8">
        <v>10445</v>
      </c>
      <c r="M1631" s="8">
        <v>10493</v>
      </c>
      <c r="N1631" s="8">
        <v>10504</v>
      </c>
      <c r="O1631" s="8">
        <v>10303</v>
      </c>
      <c r="P1631" s="8">
        <v>10401</v>
      </c>
      <c r="Q1631" s="8">
        <v>10506</v>
      </c>
      <c r="R1631" s="7">
        <f t="shared" si="15"/>
        <v>9.7277516642726214E-2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</row>
    <row r="1632" spans="1:28" ht="14.4" hidden="1">
      <c r="A1632" s="3">
        <f>LOOKUP(D1632,'AMFI DATA_2023H2'!F:L,'AMFI DATA_2023H2'!L:L)</f>
        <v>905</v>
      </c>
      <c r="B1632" s="4" t="s">
        <v>2621</v>
      </c>
      <c r="C1632" s="4" t="s">
        <v>2622</v>
      </c>
      <c r="D1632" s="5" t="s">
        <v>2623</v>
      </c>
      <c r="E1632" s="5">
        <v>1790.52</v>
      </c>
      <c r="F1632" s="6">
        <f>LOOKUP(D1632,'AMFI DATA_2023H2'!F:J,'AMFI DATA_2023H2'!J:J)</f>
        <v>2140.2496000000001</v>
      </c>
      <c r="G1632" s="7">
        <f t="shared" si="14"/>
        <v>0.18070340954625097</v>
      </c>
      <c r="H1632" s="8">
        <v>2527</v>
      </c>
      <c r="I1632" s="8">
        <v>2592</v>
      </c>
      <c r="J1632" s="8">
        <v>2614</v>
      </c>
      <c r="K1632" s="8">
        <v>2630</v>
      </c>
      <c r="L1632" s="8">
        <v>2538</v>
      </c>
      <c r="M1632" s="8">
        <v>2535</v>
      </c>
      <c r="N1632" s="8">
        <v>2545</v>
      </c>
      <c r="O1632" s="8">
        <v>2541</v>
      </c>
      <c r="P1632" s="8">
        <v>2547</v>
      </c>
      <c r="Q1632" s="8">
        <v>2391</v>
      </c>
      <c r="R1632" s="7">
        <f t="shared" si="15"/>
        <v>0.18958087879095964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</row>
    <row r="1633" spans="1:28" ht="14.4" hidden="1">
      <c r="A1633" s="3">
        <f>LOOKUP(D1633,'AMFI DATA_2023H2'!F:L,'AMFI DATA_2023H2'!L:L)</f>
        <v>2224</v>
      </c>
      <c r="B1633" s="4" t="s">
        <v>5048</v>
      </c>
      <c r="C1633" s="4" t="s">
        <v>5049</v>
      </c>
      <c r="D1633" s="5" t="s">
        <v>5050</v>
      </c>
      <c r="E1633" s="5">
        <v>98.84</v>
      </c>
      <c r="F1633" s="6">
        <f>LOOKUP(D1633,'AMFI DATA_2023H2'!F:J,'AMFI DATA_2023H2'!J:J)</f>
        <v>126.39994999999999</v>
      </c>
      <c r="G1633" s="7">
        <f t="shared" si="14"/>
        <v>0.32911444980793125</v>
      </c>
      <c r="H1633" s="9">
        <v>168</v>
      </c>
      <c r="I1633" s="9">
        <v>164</v>
      </c>
      <c r="J1633" s="9">
        <v>168</v>
      </c>
      <c r="K1633" s="9">
        <v>169</v>
      </c>
      <c r="L1633" s="9">
        <v>163</v>
      </c>
      <c r="M1633" s="9">
        <v>165</v>
      </c>
      <c r="N1633" s="9">
        <v>160</v>
      </c>
      <c r="O1633" s="9">
        <v>161</v>
      </c>
      <c r="P1633" s="9">
        <v>162</v>
      </c>
      <c r="Q1633" s="9">
        <v>160</v>
      </c>
      <c r="R1633" s="7">
        <f t="shared" si="15"/>
        <v>0.29746886766964709</v>
      </c>
      <c r="S1633" s="9"/>
      <c r="T1633" s="9"/>
      <c r="U1633" s="9"/>
      <c r="V1633" s="9"/>
      <c r="W1633" s="9"/>
      <c r="X1633" s="9"/>
      <c r="Y1633" s="9"/>
      <c r="Z1633" s="9"/>
      <c r="AA1633" s="9"/>
      <c r="AB1633" s="9"/>
    </row>
    <row r="1634" spans="1:28" ht="14.4" hidden="1">
      <c r="A1634" s="3">
        <f>LOOKUP(D1634,'AMFI DATA_2023H2'!F:L,'AMFI DATA_2023H2'!L:L)</f>
        <v>2123</v>
      </c>
      <c r="B1634" s="4" t="s">
        <v>4916</v>
      </c>
      <c r="C1634" s="4" t="s">
        <v>4917</v>
      </c>
      <c r="D1634" s="5" t="s">
        <v>4918</v>
      </c>
      <c r="E1634" s="5">
        <v>132.52000000000001</v>
      </c>
      <c r="F1634" s="6">
        <f>LOOKUP(D1634,'AMFI DATA_2023H2'!F:J,'AMFI DATA_2023H2'!J:J)</f>
        <v>153.36345</v>
      </c>
      <c r="G1634" s="7">
        <f t="shared" si="14"/>
        <v>0.41493947873499204</v>
      </c>
      <c r="H1634" s="9">
        <v>217</v>
      </c>
      <c r="I1634" s="9">
        <v>217</v>
      </c>
      <c r="J1634" s="9">
        <v>216</v>
      </c>
      <c r="K1634" s="9">
        <v>217</v>
      </c>
      <c r="L1634" s="9">
        <v>215</v>
      </c>
      <c r="M1634" s="9">
        <v>208</v>
      </c>
      <c r="N1634" s="9">
        <v>208</v>
      </c>
      <c r="O1634" s="9">
        <v>208</v>
      </c>
      <c r="P1634" s="9">
        <v>218</v>
      </c>
      <c r="Q1634" s="9">
        <v>219</v>
      </c>
      <c r="R1634" s="7">
        <f t="shared" si="15"/>
        <v>0.39733424098114645</v>
      </c>
      <c r="S1634" s="9"/>
      <c r="T1634" s="9"/>
      <c r="U1634" s="9"/>
      <c r="V1634" s="9"/>
      <c r="W1634" s="9"/>
      <c r="X1634" s="9"/>
      <c r="Y1634" s="9"/>
      <c r="Z1634" s="9"/>
      <c r="AA1634" s="9"/>
      <c r="AB1634" s="9"/>
    </row>
    <row r="1635" spans="1:28" ht="14.4" hidden="1">
      <c r="A1635" s="3">
        <f>LOOKUP(D1635,'AMFI DATA_2023H2'!F:L,'AMFI DATA_2023H2'!L:L)</f>
        <v>1408</v>
      </c>
      <c r="B1635" s="4" t="s">
        <v>3791</v>
      </c>
      <c r="C1635" s="4" t="s">
        <v>3792</v>
      </c>
      <c r="D1635" s="5" t="s">
        <v>3793</v>
      </c>
      <c r="E1635" s="5">
        <v>354.99</v>
      </c>
      <c r="F1635" s="6">
        <f>LOOKUP(D1635,'AMFI DATA_2023H2'!F:J,'AMFI DATA_2023H2'!J:J)</f>
        <v>634.77575000000002</v>
      </c>
      <c r="G1635" s="7">
        <f t="shared" si="14"/>
        <v>0.74234759283101148</v>
      </c>
      <c r="H1635" s="9">
        <v>1106</v>
      </c>
      <c r="I1635" s="9">
        <v>1045</v>
      </c>
      <c r="J1635" s="9">
        <v>1049</v>
      </c>
      <c r="K1635" s="9">
        <v>1065</v>
      </c>
      <c r="L1635" s="9">
        <v>1048</v>
      </c>
      <c r="M1635" s="9">
        <v>1041</v>
      </c>
      <c r="N1635" s="9">
        <v>1031</v>
      </c>
      <c r="O1635" s="9">
        <v>992</v>
      </c>
      <c r="P1635" s="9">
        <v>961</v>
      </c>
      <c r="Q1635" s="9">
        <v>938</v>
      </c>
      <c r="R1635" s="7">
        <f t="shared" si="15"/>
        <v>0.61883940903539547</v>
      </c>
      <c r="S1635" s="9"/>
      <c r="T1635" s="9"/>
      <c r="U1635" s="9"/>
      <c r="V1635" s="9"/>
      <c r="W1635" s="9"/>
      <c r="X1635" s="9"/>
      <c r="Y1635" s="9"/>
      <c r="Z1635" s="9"/>
      <c r="AA1635" s="9"/>
      <c r="AB1635" s="9"/>
    </row>
    <row r="1636" spans="1:28" ht="14.4" hidden="1">
      <c r="A1636" s="3">
        <f>LOOKUP(D1636,'AMFI DATA_2023H2'!F:L,'AMFI DATA_2023H2'!L:L)</f>
        <v>605</v>
      </c>
      <c r="B1636" s="4" t="s">
        <v>1785</v>
      </c>
      <c r="C1636" s="4" t="s">
        <v>1786</v>
      </c>
      <c r="D1636" s="5" t="s">
        <v>1787</v>
      </c>
      <c r="E1636" s="5">
        <v>3892.18</v>
      </c>
      <c r="F1636" s="6">
        <f>LOOKUP(D1636,'AMFI DATA_2023H2'!F:J,'AMFI DATA_2023H2'!J:J)</f>
        <v>5273.62925</v>
      </c>
      <c r="G1636" s="7">
        <f t="shared" si="14"/>
        <v>0.57045548850442995</v>
      </c>
      <c r="H1636" s="8">
        <v>8282</v>
      </c>
      <c r="I1636" s="8">
        <v>8334</v>
      </c>
      <c r="J1636" s="8">
        <v>8426</v>
      </c>
      <c r="K1636" s="8">
        <v>8384</v>
      </c>
      <c r="L1636" s="8">
        <v>8680</v>
      </c>
      <c r="M1636" s="8">
        <v>8488</v>
      </c>
      <c r="N1636" s="8">
        <v>7088</v>
      </c>
      <c r="O1636" s="8">
        <v>7066</v>
      </c>
      <c r="P1636" s="8">
        <v>7155</v>
      </c>
      <c r="Q1636" s="8">
        <v>6595</v>
      </c>
      <c r="R1636" s="7">
        <f t="shared" si="15"/>
        <v>0.48850054258175235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</row>
    <row r="1637" spans="1:28" ht="14.4" hidden="1">
      <c r="A1637" s="3">
        <f>LOOKUP(D1637,'AMFI DATA_2023H2'!F:L,'AMFI DATA_2023H2'!L:L)</f>
        <v>2249</v>
      </c>
      <c r="B1637" s="4" t="s">
        <v>5072</v>
      </c>
      <c r="C1637" s="4" t="s">
        <v>5073</v>
      </c>
      <c r="D1637" s="5" t="s">
        <v>5074</v>
      </c>
      <c r="E1637" s="5">
        <v>106.53</v>
      </c>
      <c r="F1637" s="6">
        <f>LOOKUP(D1637,'AMFI DATA_2023H2'!F:J,'AMFI DATA_2023H2'!J:J)</f>
        <v>121.96940000000001</v>
      </c>
      <c r="G1637" s="7">
        <f t="shared" si="14"/>
        <v>0.13963010394410391</v>
      </c>
      <c r="H1637" s="9">
        <v>139</v>
      </c>
      <c r="I1637" s="9">
        <v>139</v>
      </c>
      <c r="J1637" s="9">
        <v>141</v>
      </c>
      <c r="K1637" s="9">
        <v>139</v>
      </c>
      <c r="L1637" s="9">
        <v>140</v>
      </c>
      <c r="M1637" s="9">
        <v>143</v>
      </c>
      <c r="N1637" s="9">
        <v>146</v>
      </c>
      <c r="O1637" s="9">
        <v>150</v>
      </c>
      <c r="P1637" s="9">
        <v>148</v>
      </c>
      <c r="Q1637" s="9">
        <v>137</v>
      </c>
      <c r="R1637" s="7">
        <f t="shared" si="15"/>
        <v>0.16586619266799696</v>
      </c>
      <c r="S1637" s="9"/>
      <c r="T1637" s="9"/>
      <c r="U1637" s="9"/>
      <c r="V1637" s="9"/>
      <c r="W1637" s="9"/>
      <c r="X1637" s="9"/>
      <c r="Y1637" s="9"/>
      <c r="Z1637" s="9"/>
      <c r="AA1637" s="9"/>
      <c r="AB1637" s="9"/>
    </row>
    <row r="1638" spans="1:28" ht="14.4" hidden="1">
      <c r="A1638" s="3">
        <f>LOOKUP(D1638,'AMFI DATA_2023H2'!F:L,'AMFI DATA_2023H2'!L:L)</f>
        <v>985</v>
      </c>
      <c r="B1638" s="4" t="s">
        <v>2822</v>
      </c>
      <c r="C1638" s="4" t="s">
        <v>2823</v>
      </c>
      <c r="D1638" s="5" t="s">
        <v>2824</v>
      </c>
      <c r="E1638" s="5">
        <v>1255.06</v>
      </c>
      <c r="F1638" s="6">
        <f>LOOKUP(D1638,'AMFI DATA_2023H2'!F:J,'AMFI DATA_2023H2'!J:J)</f>
        <v>1771.3051</v>
      </c>
      <c r="G1638" s="7">
        <f t="shared" si="14"/>
        <v>-2.5577242452471949E-2</v>
      </c>
      <c r="H1638" s="8">
        <v>1726</v>
      </c>
      <c r="I1638" s="8">
        <v>1721</v>
      </c>
      <c r="J1638" s="8">
        <v>1697</v>
      </c>
      <c r="K1638" s="8">
        <v>1701</v>
      </c>
      <c r="L1638" s="8">
        <v>1664</v>
      </c>
      <c r="M1638" s="8">
        <v>1667</v>
      </c>
      <c r="N1638" s="8">
        <v>1658</v>
      </c>
      <c r="O1638" s="8">
        <v>1664</v>
      </c>
      <c r="P1638" s="8">
        <v>1667</v>
      </c>
      <c r="Q1638" s="8">
        <v>1665</v>
      </c>
      <c r="R1638" s="7">
        <f t="shared" si="15"/>
        <v>-4.9853128069241137E-2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</row>
    <row r="1639" spans="1:28" ht="14.4" hidden="1">
      <c r="A1639" s="3">
        <f>LOOKUP(D1639,'AMFI DATA_2023H2'!F:L,'AMFI DATA_2023H2'!L:L)</f>
        <v>1258</v>
      </c>
      <c r="B1639" s="4" t="s">
        <v>3476</v>
      </c>
      <c r="C1639" s="4" t="s">
        <v>3477</v>
      </c>
      <c r="D1639" s="5" t="s">
        <v>3478</v>
      </c>
      <c r="E1639" s="5">
        <v>817.84</v>
      </c>
      <c r="F1639" s="6">
        <f>LOOKUP(D1639,'AMFI DATA_2023H2'!F:J,'AMFI DATA_2023H2'!J:J)</f>
        <v>892.56670000000008</v>
      </c>
      <c r="G1639" s="7">
        <f t="shared" si="14"/>
        <v>0.12484590787444771</v>
      </c>
      <c r="H1639" s="8">
        <v>1004</v>
      </c>
      <c r="I1639" s="8">
        <v>1021</v>
      </c>
      <c r="J1639" s="8">
        <v>990</v>
      </c>
      <c r="K1639" s="8">
        <v>1005</v>
      </c>
      <c r="L1639" s="8">
        <v>970</v>
      </c>
      <c r="M1639" s="8">
        <v>953</v>
      </c>
      <c r="N1639" s="8">
        <v>949</v>
      </c>
      <c r="O1639" s="8">
        <v>965</v>
      </c>
      <c r="P1639" s="8">
        <v>985</v>
      </c>
      <c r="Q1639" s="8">
        <v>1011</v>
      </c>
      <c r="R1639" s="7">
        <f t="shared" si="15"/>
        <v>0.10389509265806107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</row>
    <row r="1640" spans="1:28" ht="14.4" hidden="1">
      <c r="A1640" s="3">
        <f>LOOKUP(D1640,'AMFI DATA_2023H2'!F:L,'AMFI DATA_2023H2'!L:L)</f>
        <v>2823</v>
      </c>
      <c r="B1640" s="4" t="s">
        <v>5476</v>
      </c>
      <c r="C1640" s="4" t="s">
        <v>5477</v>
      </c>
      <c r="D1640" s="5" t="s">
        <v>5478</v>
      </c>
      <c r="E1640" s="5">
        <v>113.2</v>
      </c>
      <c r="F1640" s="6">
        <f>LOOKUP(D1640,'AMFI DATA_2023H2'!F:J,'AMFI DATA_2023H2'!J:J)</f>
        <v>49.668300000000002</v>
      </c>
      <c r="G1640" s="7">
        <f t="shared" si="14"/>
        <v>4.6649472601236752E-3</v>
      </c>
      <c r="H1640" s="9">
        <v>49.9</v>
      </c>
      <c r="I1640" s="9">
        <v>49</v>
      </c>
      <c r="J1640" s="9">
        <v>48.6</v>
      </c>
      <c r="K1640" s="9">
        <v>49.6</v>
      </c>
      <c r="L1640" s="9">
        <v>49.9</v>
      </c>
      <c r="M1640" s="9">
        <v>50.2</v>
      </c>
      <c r="N1640" s="9">
        <v>50.2</v>
      </c>
      <c r="O1640" s="9">
        <v>49.6</v>
      </c>
      <c r="P1640" s="9">
        <v>49.6</v>
      </c>
      <c r="Q1640" s="9">
        <v>50.5</v>
      </c>
      <c r="R1640" s="7">
        <f t="shared" si="15"/>
        <v>8.3956970542575782E-4</v>
      </c>
      <c r="S1640" s="9"/>
      <c r="T1640" s="9"/>
      <c r="U1640" s="9"/>
      <c r="V1640" s="9"/>
      <c r="W1640" s="9"/>
      <c r="X1640" s="9"/>
      <c r="Y1640" s="9"/>
      <c r="Z1640" s="9"/>
      <c r="AA1640" s="9"/>
      <c r="AB1640" s="9"/>
    </row>
    <row r="1641" spans="1:28" ht="14.4" hidden="1">
      <c r="A1641" s="3">
        <f>LOOKUP(D1641,'AMFI DATA_2023H2'!F:L,'AMFI DATA_2023H2'!L:L)</f>
        <v>1031</v>
      </c>
      <c r="B1641" s="4" t="s">
        <v>2945</v>
      </c>
      <c r="C1641" s="4" t="s">
        <v>2946</v>
      </c>
      <c r="D1641" s="5" t="s">
        <v>2947</v>
      </c>
      <c r="E1641" s="5">
        <v>1271.04</v>
      </c>
      <c r="F1641" s="6">
        <f>LOOKUP(D1641,'AMFI DATA_2023H2'!F:J,'AMFI DATA_2023H2'!J:J)</f>
        <v>1574.78015</v>
      </c>
      <c r="G1641" s="7">
        <f t="shared" si="14"/>
        <v>0.29732394709191623</v>
      </c>
      <c r="H1641" s="8">
        <v>2043</v>
      </c>
      <c r="I1641" s="8">
        <v>2029</v>
      </c>
      <c r="J1641" s="8">
        <v>2019</v>
      </c>
      <c r="K1641" s="8">
        <v>1936</v>
      </c>
      <c r="L1641" s="8">
        <v>1792</v>
      </c>
      <c r="M1641" s="8">
        <v>1755</v>
      </c>
      <c r="N1641" s="8">
        <v>1749</v>
      </c>
      <c r="O1641" s="8">
        <v>1784</v>
      </c>
      <c r="P1641" s="8">
        <v>1779</v>
      </c>
      <c r="Q1641" s="8">
        <v>1724</v>
      </c>
      <c r="R1641" s="7">
        <f t="shared" si="15"/>
        <v>0.18175225919630744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</row>
    <row r="1642" spans="1:28" ht="14.4" hidden="1">
      <c r="A1642" s="3">
        <f>LOOKUP(D1642,'AMFI DATA_2023H2'!F:L,'AMFI DATA_2023H2'!L:L)</f>
        <v>325</v>
      </c>
      <c r="B1642" s="4" t="s">
        <v>984</v>
      </c>
      <c r="C1642" s="4" t="s">
        <v>985</v>
      </c>
      <c r="D1642" s="5" t="s">
        <v>986</v>
      </c>
      <c r="E1642" s="5">
        <v>12205.57</v>
      </c>
      <c r="F1642" s="6">
        <f>LOOKUP(D1642,'AMFI DATA_2023H2'!F:J,'AMFI DATA_2023H2'!J:J)</f>
        <v>14290.19615</v>
      </c>
      <c r="G1642" s="7">
        <f t="shared" si="14"/>
        <v>0.32538418655645951</v>
      </c>
      <c r="H1642" s="8">
        <v>18940</v>
      </c>
      <c r="I1642" s="8">
        <v>19115</v>
      </c>
      <c r="J1642" s="8">
        <v>18829</v>
      </c>
      <c r="K1642" s="8">
        <v>18521</v>
      </c>
      <c r="L1642" s="8">
        <v>18583</v>
      </c>
      <c r="M1642" s="8">
        <v>18558</v>
      </c>
      <c r="N1642" s="8">
        <v>17792</v>
      </c>
      <c r="O1642" s="8">
        <v>17729</v>
      </c>
      <c r="P1642" s="8">
        <v>17952</v>
      </c>
      <c r="Q1642" s="8">
        <v>18128</v>
      </c>
      <c r="R1642" s="7">
        <f t="shared" si="15"/>
        <v>0.28862471912255749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</row>
    <row r="1643" spans="1:28" ht="14.4" hidden="1">
      <c r="A1643" s="3">
        <f>LOOKUP(D1643,'AMFI DATA_2023H2'!F:L,'AMFI DATA_2023H2'!L:L)</f>
        <v>2354</v>
      </c>
      <c r="B1643" s="4" t="s">
        <v>5174</v>
      </c>
      <c r="C1643" s="4" t="s">
        <v>5175</v>
      </c>
      <c r="D1643" s="5" t="s">
        <v>5176</v>
      </c>
      <c r="E1643" s="5">
        <v>86.87</v>
      </c>
      <c r="F1643" s="6">
        <f>LOOKUP(D1643,'AMFI DATA_2023H2'!F:J,'AMFI DATA_2023H2'!J:J)</f>
        <v>103.86879999999999</v>
      </c>
      <c r="G1643" s="7">
        <f t="shared" si="14"/>
        <v>0.91587849286792578</v>
      </c>
      <c r="H1643" s="9">
        <v>199</v>
      </c>
      <c r="I1643" s="9">
        <v>202</v>
      </c>
      <c r="J1643" s="9">
        <v>206</v>
      </c>
      <c r="K1643" s="9">
        <v>211</v>
      </c>
      <c r="L1643" s="9">
        <v>215</v>
      </c>
      <c r="M1643" s="9">
        <v>219</v>
      </c>
      <c r="N1643" s="9">
        <v>209</v>
      </c>
      <c r="O1643" s="9">
        <v>199</v>
      </c>
      <c r="P1643" s="9">
        <v>188</v>
      </c>
      <c r="Q1643" s="9">
        <v>180</v>
      </c>
      <c r="R1643" s="7">
        <f t="shared" si="15"/>
        <v>0.95246310730459993</v>
      </c>
      <c r="S1643" s="9"/>
      <c r="T1643" s="9"/>
      <c r="U1643" s="9"/>
      <c r="V1643" s="9"/>
      <c r="W1643" s="9"/>
      <c r="X1643" s="9"/>
      <c r="Y1643" s="9"/>
      <c r="Z1643" s="9"/>
      <c r="AA1643" s="9"/>
      <c r="AB1643" s="9"/>
    </row>
    <row r="1644" spans="1:28" ht="14.4" hidden="1">
      <c r="A1644" s="3">
        <f>LOOKUP(D1644,'AMFI DATA_2023H2'!F:L,'AMFI DATA_2023H2'!L:L)</f>
        <v>168</v>
      </c>
      <c r="B1644" s="4" t="s">
        <v>513</v>
      </c>
      <c r="C1644" s="4" t="s">
        <v>514</v>
      </c>
      <c r="D1644" s="5" t="s">
        <v>515</v>
      </c>
      <c r="E1644" s="5">
        <v>10634.65</v>
      </c>
      <c r="F1644" s="6">
        <f>LOOKUP(D1644,'AMFI DATA_2023H2'!F:J,'AMFI DATA_2023H2'!J:J)</f>
        <v>37519.146500000003</v>
      </c>
      <c r="G1644" s="7">
        <f t="shared" si="14"/>
        <v>0.45736257619826182</v>
      </c>
      <c r="H1644" s="8">
        <v>54679</v>
      </c>
      <c r="I1644" s="8">
        <v>52115</v>
      </c>
      <c r="J1644" s="8">
        <v>50944</v>
      </c>
      <c r="K1644" s="8">
        <v>51509</v>
      </c>
      <c r="L1644" s="8">
        <v>51819</v>
      </c>
      <c r="M1644" s="8">
        <v>51415</v>
      </c>
      <c r="N1644" s="8">
        <v>51428</v>
      </c>
      <c r="O1644" s="8">
        <v>49893</v>
      </c>
      <c r="P1644" s="8">
        <v>49745</v>
      </c>
      <c r="Q1644" s="8">
        <v>50163</v>
      </c>
      <c r="R1644" s="7">
        <f t="shared" si="15"/>
        <v>0.36919425925640392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</row>
    <row r="1645" spans="1:28" ht="14.4" hidden="1">
      <c r="A1645" s="3">
        <f>LOOKUP(D1645,'AMFI DATA_2023H2'!F:L,'AMFI DATA_2023H2'!L:L)</f>
        <v>2293</v>
      </c>
      <c r="B1645" s="4" t="s">
        <v>5120</v>
      </c>
      <c r="C1645" s="4" t="s">
        <v>5121</v>
      </c>
      <c r="D1645" s="5" t="s">
        <v>5122</v>
      </c>
      <c r="E1645" s="5">
        <v>231.38</v>
      </c>
      <c r="F1645" s="6">
        <f>LOOKUP(D1645,'AMFI DATA_2023H2'!F:J,'AMFI DATA_2023H2'!J:J)</f>
        <v>112.5348</v>
      </c>
      <c r="G1645" s="7">
        <f t="shared" si="14"/>
        <v>4.8564532926703485E-2</v>
      </c>
      <c r="H1645" s="9">
        <v>118</v>
      </c>
      <c r="I1645" s="9">
        <v>120</v>
      </c>
      <c r="J1645" s="9">
        <v>123</v>
      </c>
      <c r="K1645" s="9">
        <v>125</v>
      </c>
      <c r="L1645" s="9">
        <v>123</v>
      </c>
      <c r="M1645" s="9">
        <v>125</v>
      </c>
      <c r="N1645" s="9">
        <v>128</v>
      </c>
      <c r="O1645" s="9">
        <v>130</v>
      </c>
      <c r="P1645" s="9">
        <v>134</v>
      </c>
      <c r="Q1645" s="9">
        <v>129</v>
      </c>
      <c r="R1645" s="7">
        <f t="shared" si="15"/>
        <v>0.11521058374831594</v>
      </c>
      <c r="S1645" s="9"/>
      <c r="T1645" s="9"/>
      <c r="U1645" s="9"/>
      <c r="V1645" s="9"/>
      <c r="W1645" s="9"/>
      <c r="X1645" s="9"/>
      <c r="Y1645" s="9"/>
      <c r="Z1645" s="9"/>
      <c r="AA1645" s="9"/>
      <c r="AB1645" s="9"/>
    </row>
    <row r="1646" spans="1:28" ht="14.4" hidden="1">
      <c r="A1646" s="3">
        <f>LOOKUP(D1646,'AMFI DATA_2023H2'!F:L,'AMFI DATA_2023H2'!L:L)</f>
        <v>451</v>
      </c>
      <c r="B1646" s="4" t="s">
        <v>1344</v>
      </c>
      <c r="C1646" s="4" t="s">
        <v>1345</v>
      </c>
      <c r="D1646" s="5" t="s">
        <v>1346</v>
      </c>
      <c r="E1646" s="5">
        <v>6828.52</v>
      </c>
      <c r="F1646" s="6">
        <f>LOOKUP(D1646,'AMFI DATA_2023H2'!F:J,'AMFI DATA_2023H2'!J:J)</f>
        <v>8834.9567500000012</v>
      </c>
      <c r="G1646" s="7">
        <f t="shared" si="14"/>
        <v>0.67176822908612399</v>
      </c>
      <c r="H1646" s="8">
        <v>14770</v>
      </c>
      <c r="I1646" s="8">
        <v>13840</v>
      </c>
      <c r="J1646" s="8">
        <v>13176</v>
      </c>
      <c r="K1646" s="8">
        <v>13250</v>
      </c>
      <c r="L1646" s="8">
        <v>13410</v>
      </c>
      <c r="M1646" s="8">
        <v>13461</v>
      </c>
      <c r="N1646" s="8">
        <v>13551</v>
      </c>
      <c r="O1646" s="8">
        <v>13427</v>
      </c>
      <c r="P1646" s="8">
        <v>13293</v>
      </c>
      <c r="Q1646" s="8">
        <v>13365</v>
      </c>
      <c r="R1646" s="7">
        <f t="shared" si="15"/>
        <v>0.53416710274218349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</row>
    <row r="1647" spans="1:28" ht="14.4" hidden="1">
      <c r="A1647" s="3">
        <f>LOOKUP(D1647,'AMFI DATA_2023H2'!F:L,'AMFI DATA_2023H2'!L:L)</f>
        <v>844</v>
      </c>
      <c r="B1647" s="4" t="s">
        <v>2450</v>
      </c>
      <c r="C1647" s="4" t="s">
        <v>2451</v>
      </c>
      <c r="D1647" s="5" t="s">
        <v>2452</v>
      </c>
      <c r="E1647" s="5">
        <v>2072</v>
      </c>
      <c r="F1647" s="6">
        <f>LOOKUP(D1647,'AMFI DATA_2023H2'!F:J,'AMFI DATA_2023H2'!J:J)</f>
        <v>2545.3626999999997</v>
      </c>
      <c r="G1647" s="7">
        <f t="shared" si="14"/>
        <v>0.17075652911862038</v>
      </c>
      <c r="H1647" s="8">
        <v>2980</v>
      </c>
      <c r="I1647" s="8">
        <v>3005</v>
      </c>
      <c r="J1647" s="8">
        <v>2937</v>
      </c>
      <c r="K1647" s="8">
        <v>2908</v>
      </c>
      <c r="L1647" s="8">
        <v>2915</v>
      </c>
      <c r="M1647" s="8">
        <v>2954</v>
      </c>
      <c r="N1647" s="8">
        <v>3002</v>
      </c>
      <c r="O1647" s="8">
        <v>3013</v>
      </c>
      <c r="P1647" s="8">
        <v>3033</v>
      </c>
      <c r="Q1647" s="8">
        <v>2972</v>
      </c>
      <c r="R1647" s="7">
        <f t="shared" si="15"/>
        <v>0.16757427143880133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</row>
    <row r="1648" spans="1:28" ht="14.4" hidden="1">
      <c r="A1648" s="3">
        <f>LOOKUP(D1648,'AMFI DATA_2023H2'!F:L,'AMFI DATA_2023H2'!L:L)</f>
        <v>1283</v>
      </c>
      <c r="B1648" s="4" t="s">
        <v>3527</v>
      </c>
      <c r="C1648" s="4" t="s">
        <v>3528</v>
      </c>
      <c r="D1648" s="5" t="s">
        <v>3529</v>
      </c>
      <c r="E1648" s="5">
        <v>491.12</v>
      </c>
      <c r="F1648" s="6">
        <f>LOOKUP(D1648,'AMFI DATA_2023H2'!F:J,'AMFI DATA_2023H2'!J:J)</f>
        <v>836.36995000000002</v>
      </c>
      <c r="G1648" s="7">
        <f t="shared" si="14"/>
        <v>0.15020870847882573</v>
      </c>
      <c r="H1648" s="9">
        <v>962</v>
      </c>
      <c r="I1648" s="9">
        <v>907</v>
      </c>
      <c r="J1648" s="9">
        <v>914</v>
      </c>
      <c r="K1648" s="9">
        <v>964</v>
      </c>
      <c r="L1648" s="9">
        <v>960</v>
      </c>
      <c r="M1648" s="9">
        <v>805</v>
      </c>
      <c r="N1648" s="9">
        <v>804</v>
      </c>
      <c r="O1648" s="9">
        <v>835</v>
      </c>
      <c r="P1648" s="9">
        <v>847</v>
      </c>
      <c r="Q1648" s="9">
        <v>807</v>
      </c>
      <c r="R1648" s="7">
        <f t="shared" si="15"/>
        <v>5.276379190811431E-2</v>
      </c>
      <c r="S1648" s="9"/>
      <c r="T1648" s="9"/>
      <c r="U1648" s="9"/>
      <c r="V1648" s="9"/>
      <c r="W1648" s="9"/>
      <c r="X1648" s="9"/>
      <c r="Y1648" s="9"/>
      <c r="Z1648" s="9"/>
      <c r="AA1648" s="9"/>
      <c r="AB1648" s="9"/>
    </row>
    <row r="1649" spans="1:28" ht="14.4" hidden="1">
      <c r="A1649" s="3">
        <f>LOOKUP(D1649,'AMFI DATA_2023H2'!F:L,'AMFI DATA_2023H2'!L:L)</f>
        <v>567</v>
      </c>
      <c r="B1649" s="4" t="s">
        <v>1680</v>
      </c>
      <c r="C1649" s="4" t="s">
        <v>1681</v>
      </c>
      <c r="D1649" s="5" t="s">
        <v>1682</v>
      </c>
      <c r="E1649" s="5">
        <v>6879.65</v>
      </c>
      <c r="F1649" s="6">
        <f>LOOKUP(D1649,'AMFI DATA_2023H2'!F:J,'AMFI DATA_2023H2'!J:J)</f>
        <v>6085.9358000000002</v>
      </c>
      <c r="G1649" s="7">
        <f t="shared" si="14"/>
        <v>4.0102986298343746E-2</v>
      </c>
      <c r="H1649" s="8">
        <v>6330</v>
      </c>
      <c r="I1649" s="8">
        <v>6292</v>
      </c>
      <c r="J1649" s="8">
        <v>6308</v>
      </c>
      <c r="K1649" s="8">
        <v>6213</v>
      </c>
      <c r="L1649" s="8">
        <v>6055</v>
      </c>
      <c r="M1649" s="8">
        <v>6060</v>
      </c>
      <c r="N1649" s="8">
        <v>6054</v>
      </c>
      <c r="O1649" s="8">
        <v>6112</v>
      </c>
      <c r="P1649" s="8">
        <v>6083</v>
      </c>
      <c r="Q1649" s="8">
        <v>6055</v>
      </c>
      <c r="R1649" s="7">
        <f t="shared" si="15"/>
        <v>1.1545340323833031E-2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</row>
    <row r="1650" spans="1:28" ht="14.4" hidden="1">
      <c r="A1650" s="3">
        <f>LOOKUP(D1650,'AMFI DATA_2023H2'!F:L,'AMFI DATA_2023H2'!L:L)</f>
        <v>1264</v>
      </c>
      <c r="B1650" s="4" t="s">
        <v>3488</v>
      </c>
      <c r="C1650" s="4" t="s">
        <v>3489</v>
      </c>
      <c r="D1650" s="5" t="s">
        <v>3490</v>
      </c>
      <c r="E1650" s="5">
        <v>655.86</v>
      </c>
      <c r="F1650" s="6">
        <f>LOOKUP(D1650,'AMFI DATA_2023H2'!F:J,'AMFI DATA_2023H2'!J:J)</f>
        <v>878.12040000000002</v>
      </c>
      <c r="G1650" s="7">
        <f t="shared" si="14"/>
        <v>0.67744650961303243</v>
      </c>
      <c r="H1650" s="8">
        <v>1473</v>
      </c>
      <c r="I1650" s="8">
        <v>1480</v>
      </c>
      <c r="J1650" s="8">
        <v>1480</v>
      </c>
      <c r="K1650" s="8">
        <v>1499</v>
      </c>
      <c r="L1650" s="8">
        <v>1482</v>
      </c>
      <c r="M1650" s="8">
        <v>1414</v>
      </c>
      <c r="N1650" s="8">
        <v>1394</v>
      </c>
      <c r="O1650" s="8">
        <v>1424</v>
      </c>
      <c r="P1650" s="8">
        <v>1332</v>
      </c>
      <c r="Q1650" s="8">
        <v>1109</v>
      </c>
      <c r="R1650" s="7">
        <f t="shared" si="15"/>
        <v>0.60422192674261987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</row>
    <row r="1651" spans="1:28" ht="14.4" hidden="1">
      <c r="A1651" s="3">
        <f>LOOKUP(D1651,'AMFI DATA_2023H2'!F:L,'AMFI DATA_2023H2'!L:L)</f>
        <v>1685</v>
      </c>
      <c r="B1651" s="4" t="s">
        <v>4307</v>
      </c>
      <c r="C1651" s="4" t="s">
        <v>4308</v>
      </c>
      <c r="D1651" s="5" t="s">
        <v>4309</v>
      </c>
      <c r="E1651" s="5">
        <v>196.2</v>
      </c>
      <c r="F1651" s="6">
        <f>LOOKUP(D1651,'AMFI DATA_2023H2'!F:J,'AMFI DATA_2023H2'!J:J)</f>
        <v>336.80719999999997</v>
      </c>
      <c r="G1651" s="7">
        <f t="shared" si="14"/>
        <v>0.36873558522501915</v>
      </c>
      <c r="H1651" s="9">
        <v>461</v>
      </c>
      <c r="I1651" s="9">
        <v>453</v>
      </c>
      <c r="J1651" s="9">
        <v>456</v>
      </c>
      <c r="K1651" s="9">
        <v>460</v>
      </c>
      <c r="L1651" s="9">
        <v>455</v>
      </c>
      <c r="M1651" s="9">
        <v>447</v>
      </c>
      <c r="N1651" s="9">
        <v>447</v>
      </c>
      <c r="O1651" s="9">
        <v>436</v>
      </c>
      <c r="P1651" s="9">
        <v>449</v>
      </c>
      <c r="Q1651" s="9">
        <v>443</v>
      </c>
      <c r="R1651" s="7">
        <f t="shared" si="15"/>
        <v>0.33815429123842966</v>
      </c>
      <c r="S1651" s="9"/>
      <c r="T1651" s="9"/>
      <c r="U1651" s="9"/>
      <c r="V1651" s="9"/>
      <c r="W1651" s="9"/>
      <c r="X1651" s="9"/>
      <c r="Y1651" s="9"/>
      <c r="Z1651" s="9"/>
      <c r="AA1651" s="9"/>
      <c r="AB1651" s="9"/>
    </row>
    <row r="1652" spans="1:28" ht="14.4" hidden="1">
      <c r="A1652" s="3">
        <f>LOOKUP(D1652,'AMFI DATA_2023H2'!F:L,'AMFI DATA_2023H2'!L:L)</f>
        <v>202</v>
      </c>
      <c r="B1652" s="4" t="s">
        <v>615</v>
      </c>
      <c r="C1652" s="4" t="s">
        <v>616</v>
      </c>
      <c r="D1652" s="5" t="s">
        <v>617</v>
      </c>
      <c r="E1652" s="5">
        <v>25494.09</v>
      </c>
      <c r="F1652" s="6">
        <f>LOOKUP(D1652,'AMFI DATA_2023H2'!F:J,'AMFI DATA_2023H2'!J:J)</f>
        <v>30553.1558</v>
      </c>
      <c r="G1652" s="7">
        <f t="shared" si="14"/>
        <v>-4.9328973081072092E-2</v>
      </c>
      <c r="H1652" s="8">
        <v>29046</v>
      </c>
      <c r="I1652" s="8">
        <v>29303</v>
      </c>
      <c r="J1652" s="8">
        <v>29084</v>
      </c>
      <c r="K1652" s="8">
        <v>29013</v>
      </c>
      <c r="L1652" s="8">
        <v>28543</v>
      </c>
      <c r="M1652" s="8">
        <v>28187</v>
      </c>
      <c r="N1652" s="8">
        <v>28143</v>
      </c>
      <c r="O1652" s="8">
        <v>28018</v>
      </c>
      <c r="P1652" s="8">
        <v>28141</v>
      </c>
      <c r="Q1652" s="8">
        <v>28348</v>
      </c>
      <c r="R1652" s="7">
        <f t="shared" si="15"/>
        <v>-6.4495982441198474E-2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</row>
    <row r="1653" spans="1:28" ht="14.4" hidden="1">
      <c r="A1653" s="3">
        <f>LOOKUP(D1653,'AMFI DATA_2023H2'!F:L,'AMFI DATA_2023H2'!L:L)</f>
        <v>417</v>
      </c>
      <c r="B1653" s="4" t="s">
        <v>1251</v>
      </c>
      <c r="C1653" s="4" t="s">
        <v>1252</v>
      </c>
      <c r="D1653" s="5" t="s">
        <v>1253</v>
      </c>
      <c r="E1653" s="5">
        <v>5437.96</v>
      </c>
      <c r="F1653" s="6">
        <f>LOOKUP(D1653,'AMFI DATA_2023H2'!F:J,'AMFI DATA_2023H2'!J:J)</f>
        <v>9735.95075</v>
      </c>
      <c r="G1653" s="7">
        <f t="shared" si="14"/>
        <v>0.15171083830718834</v>
      </c>
      <c r="H1653" s="8">
        <v>11213</v>
      </c>
      <c r="I1653" s="8">
        <v>11349</v>
      </c>
      <c r="J1653" s="8">
        <v>11819</v>
      </c>
      <c r="K1653" s="8">
        <v>11690</v>
      </c>
      <c r="L1653" s="8">
        <v>11737</v>
      </c>
      <c r="M1653" s="8">
        <v>11826</v>
      </c>
      <c r="N1653" s="8">
        <v>11721</v>
      </c>
      <c r="O1653" s="8">
        <v>11718</v>
      </c>
      <c r="P1653" s="8">
        <v>11791</v>
      </c>
      <c r="Q1653" s="8">
        <v>11912</v>
      </c>
      <c r="R1653" s="7">
        <f t="shared" si="15"/>
        <v>0.19943088249496332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</row>
    <row r="1654" spans="1:28" ht="14.4" hidden="1">
      <c r="A1654" s="3">
        <f>LOOKUP(D1654,'AMFI DATA_2023H2'!F:L,'AMFI DATA_2023H2'!L:L)</f>
        <v>1976</v>
      </c>
      <c r="B1654" s="4" t="s">
        <v>4688</v>
      </c>
      <c r="C1654" s="4" t="s">
        <v>4689</v>
      </c>
      <c r="D1654" s="5" t="s">
        <v>4690</v>
      </c>
      <c r="E1654" s="5">
        <v>163.92</v>
      </c>
      <c r="F1654" s="6">
        <f>LOOKUP(D1654,'AMFI DATA_2023H2'!F:J,'AMFI DATA_2023H2'!J:J)</f>
        <v>195.13229999999999</v>
      </c>
      <c r="G1654" s="7">
        <f t="shared" si="14"/>
        <v>0.14281438798189749</v>
      </c>
      <c r="H1654" s="9">
        <v>223</v>
      </c>
      <c r="I1654" s="9">
        <v>227</v>
      </c>
      <c r="J1654" s="9">
        <v>226</v>
      </c>
      <c r="K1654" s="9">
        <v>231</v>
      </c>
      <c r="L1654" s="9">
        <v>235</v>
      </c>
      <c r="M1654" s="9">
        <v>215</v>
      </c>
      <c r="N1654" s="9">
        <v>215</v>
      </c>
      <c r="O1654" s="9">
        <v>216</v>
      </c>
      <c r="P1654" s="9">
        <v>219</v>
      </c>
      <c r="Q1654" s="9">
        <v>221</v>
      </c>
      <c r="R1654" s="7">
        <f t="shared" si="15"/>
        <v>0.14178944234245194</v>
      </c>
      <c r="S1654" s="9"/>
      <c r="T1654" s="9"/>
      <c r="U1654" s="9"/>
      <c r="V1654" s="9"/>
      <c r="W1654" s="9"/>
      <c r="X1654" s="9"/>
      <c r="Y1654" s="9"/>
      <c r="Z1654" s="9"/>
      <c r="AA1654" s="9"/>
      <c r="AB1654" s="9"/>
    </row>
    <row r="1655" spans="1:28" ht="14.4" hidden="1">
      <c r="A1655" s="3">
        <f>LOOKUP(D1655,'AMFI DATA_2023H2'!F:L,'AMFI DATA_2023H2'!L:L)</f>
        <v>2244</v>
      </c>
      <c r="B1655" s="4" t="s">
        <v>5066</v>
      </c>
      <c r="C1655" s="4" t="s">
        <v>5067</v>
      </c>
      <c r="D1655" s="5" t="s">
        <v>5068</v>
      </c>
      <c r="E1655" s="5">
        <v>107.41</v>
      </c>
      <c r="F1655" s="6">
        <f>LOOKUP(D1655,'AMFI DATA_2023H2'!F:J,'AMFI DATA_2023H2'!J:J)</f>
        <v>122.61845</v>
      </c>
      <c r="G1655" s="7">
        <f t="shared" si="14"/>
        <v>0.14175313747645646</v>
      </c>
      <c r="H1655" s="9">
        <v>140</v>
      </c>
      <c r="I1655" s="9">
        <v>142</v>
      </c>
      <c r="J1655" s="9">
        <v>139</v>
      </c>
      <c r="K1655" s="9">
        <v>138</v>
      </c>
      <c r="L1655" s="9">
        <v>140</v>
      </c>
      <c r="M1655" s="9">
        <v>137</v>
      </c>
      <c r="N1655" s="9">
        <v>140</v>
      </c>
      <c r="O1655" s="9">
        <v>137</v>
      </c>
      <c r="P1655" s="9">
        <v>140</v>
      </c>
      <c r="Q1655" s="9">
        <v>134</v>
      </c>
      <c r="R1655" s="7">
        <f t="shared" si="15"/>
        <v>0.1311511440570321</v>
      </c>
      <c r="S1655" s="9"/>
      <c r="T1655" s="9"/>
      <c r="U1655" s="9"/>
      <c r="V1655" s="9"/>
      <c r="W1655" s="9"/>
      <c r="X1655" s="9"/>
      <c r="Y1655" s="9"/>
      <c r="Z1655" s="9"/>
      <c r="AA1655" s="9"/>
      <c r="AB1655" s="9"/>
    </row>
    <row r="1656" spans="1:28" ht="14.4" hidden="1">
      <c r="A1656" s="3">
        <f>LOOKUP(D1656,'AMFI DATA_2023H2'!F:L,'AMFI DATA_2023H2'!L:L)</f>
        <v>1049</v>
      </c>
      <c r="B1656" s="4" t="s">
        <v>2993</v>
      </c>
      <c r="C1656" s="4" t="s">
        <v>2994</v>
      </c>
      <c r="D1656" s="5" t="s">
        <v>2995</v>
      </c>
      <c r="E1656" s="5">
        <v>1311.52</v>
      </c>
      <c r="F1656" s="6">
        <f>LOOKUP(D1656,'AMFI DATA_2023H2'!F:J,'AMFI DATA_2023H2'!J:J)</f>
        <v>1492.5020500000001</v>
      </c>
      <c r="G1656" s="7">
        <f t="shared" si="14"/>
        <v>2.1104125116611971E-2</v>
      </c>
      <c r="H1656" s="8">
        <v>1524</v>
      </c>
      <c r="I1656" s="8">
        <v>1530</v>
      </c>
      <c r="J1656" s="8">
        <v>1523</v>
      </c>
      <c r="K1656" s="8">
        <v>1499</v>
      </c>
      <c r="L1656" s="8">
        <v>1445</v>
      </c>
      <c r="M1656" s="8">
        <v>1431</v>
      </c>
      <c r="N1656" s="8">
        <v>1429</v>
      </c>
      <c r="O1656" s="8">
        <v>1431</v>
      </c>
      <c r="P1656" s="8">
        <v>1432</v>
      </c>
      <c r="Q1656" s="8">
        <v>1421</v>
      </c>
      <c r="R1656" s="7">
        <f t="shared" si="15"/>
        <v>-1.7421785115806054E-2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</row>
    <row r="1657" spans="1:28" ht="14.4" hidden="1">
      <c r="A1657" s="3">
        <f>LOOKUP(D1657,'AMFI DATA_2023H2'!F:L,'AMFI DATA_2023H2'!L:L)</f>
        <v>1741</v>
      </c>
      <c r="B1657" s="4" t="s">
        <v>4394</v>
      </c>
      <c r="C1657" s="4" t="s">
        <v>4395</v>
      </c>
      <c r="D1657" s="5" t="s">
        <v>4396</v>
      </c>
      <c r="E1657" s="5">
        <v>272.11</v>
      </c>
      <c r="F1657" s="6">
        <f>LOOKUP(D1657,'AMFI DATA_2023H2'!F:J,'AMFI DATA_2023H2'!J:J)</f>
        <v>302.30135000000001</v>
      </c>
      <c r="G1657" s="7">
        <f t="shared" si="14"/>
        <v>0.16109306160888792</v>
      </c>
      <c r="H1657" s="9">
        <v>351</v>
      </c>
      <c r="I1657" s="9">
        <v>349</v>
      </c>
      <c r="J1657" s="9">
        <v>342</v>
      </c>
      <c r="K1657" s="9">
        <v>347</v>
      </c>
      <c r="L1657" s="9">
        <v>344</v>
      </c>
      <c r="M1657" s="9">
        <v>341</v>
      </c>
      <c r="N1657" s="9">
        <v>340</v>
      </c>
      <c r="O1657" s="9">
        <v>345</v>
      </c>
      <c r="P1657" s="9">
        <v>355</v>
      </c>
      <c r="Q1657" s="9">
        <v>357</v>
      </c>
      <c r="R1657" s="7">
        <f t="shared" si="15"/>
        <v>0.14819202759101135</v>
      </c>
      <c r="S1657" s="9"/>
      <c r="T1657" s="9"/>
      <c r="U1657" s="9"/>
      <c r="V1657" s="9"/>
      <c r="W1657" s="9"/>
      <c r="X1657" s="9"/>
      <c r="Y1657" s="9"/>
      <c r="Z1657" s="9"/>
      <c r="AA1657" s="9"/>
      <c r="AB1657" s="9"/>
    </row>
    <row r="1658" spans="1:28" ht="14.4" hidden="1">
      <c r="A1658" s="3">
        <f>LOOKUP(D1658,'AMFI DATA_2023H2'!F:L,'AMFI DATA_2023H2'!L:L)</f>
        <v>1082</v>
      </c>
      <c r="B1658" s="4" t="s">
        <v>3071</v>
      </c>
      <c r="C1658" s="4" t="s">
        <v>3072</v>
      </c>
      <c r="D1658" s="5" t="s">
        <v>3073</v>
      </c>
      <c r="E1658" s="5">
        <v>628.07000000000005</v>
      </c>
      <c r="F1658" s="6">
        <f>LOOKUP(D1658,'AMFI DATA_2023H2'!F:J,'AMFI DATA_2023H2'!J:J)</f>
        <v>1378.73775</v>
      </c>
      <c r="G1658" s="7">
        <f t="shared" si="14"/>
        <v>0.34108172493282352</v>
      </c>
      <c r="H1658" s="8">
        <v>1849</v>
      </c>
      <c r="I1658" s="8">
        <v>1867</v>
      </c>
      <c r="J1658" s="8">
        <v>1862</v>
      </c>
      <c r="K1658" s="8">
        <v>1815</v>
      </c>
      <c r="L1658" s="8">
        <v>1821</v>
      </c>
      <c r="M1658" s="8">
        <v>1846</v>
      </c>
      <c r="N1658" s="8">
        <v>1846</v>
      </c>
      <c r="O1658" s="8">
        <v>1858</v>
      </c>
      <c r="P1658" s="8">
        <v>1885</v>
      </c>
      <c r="Q1658" s="8">
        <v>1874</v>
      </c>
      <c r="R1658" s="7">
        <f t="shared" si="15"/>
        <v>0.34347521854681928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</row>
    <row r="1659" spans="1:28" ht="14.4" hidden="1">
      <c r="A1659" s="3">
        <f>LOOKUP(D1659,'AMFI DATA_2023H2'!F:L,'AMFI DATA_2023H2'!L:L)</f>
        <v>983</v>
      </c>
      <c r="B1659" s="4" t="s">
        <v>2816</v>
      </c>
      <c r="C1659" s="4" t="s">
        <v>2817</v>
      </c>
      <c r="D1659" s="5" t="s">
        <v>2818</v>
      </c>
      <c r="E1659" s="5">
        <v>1585.67</v>
      </c>
      <c r="F1659" s="6">
        <f>LOOKUP(D1659,'AMFI DATA_2023H2'!F:J,'AMFI DATA_2023H2'!J:J)</f>
        <v>1784.3476499999999</v>
      </c>
      <c r="G1659" s="7">
        <f t="shared" si="14"/>
        <v>0.14607711115039712</v>
      </c>
      <c r="H1659" s="8">
        <v>2045</v>
      </c>
      <c r="I1659" s="8">
        <v>2041</v>
      </c>
      <c r="J1659" s="8">
        <v>2021</v>
      </c>
      <c r="K1659" s="8">
        <v>2022</v>
      </c>
      <c r="L1659" s="8">
        <v>2076</v>
      </c>
      <c r="M1659" s="8">
        <v>2069</v>
      </c>
      <c r="N1659" s="8">
        <v>2084</v>
      </c>
      <c r="O1659" s="8">
        <v>2077</v>
      </c>
      <c r="P1659" s="8">
        <v>2082</v>
      </c>
      <c r="Q1659" s="8">
        <v>2051</v>
      </c>
      <c r="R1659" s="7">
        <f t="shared" si="15"/>
        <v>0.15269017223185188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</row>
    <row r="1660" spans="1:28" ht="14.4" hidden="1">
      <c r="A1660" s="3">
        <f>LOOKUP(D1660,'AMFI DATA_2023H2'!F:L,'AMFI DATA_2023H2'!L:L)</f>
        <v>466</v>
      </c>
      <c r="B1660" s="4" t="s">
        <v>1386</v>
      </c>
      <c r="C1660" s="4" t="s">
        <v>1387</v>
      </c>
      <c r="D1660" s="5" t="s">
        <v>1388</v>
      </c>
      <c r="E1660" s="5">
        <v>6905.77</v>
      </c>
      <c r="F1660" s="6">
        <f>LOOKUP(D1660,'AMFI DATA_2023H2'!F:J,'AMFI DATA_2023H2'!J:J)</f>
        <v>8133.0120500000003</v>
      </c>
      <c r="G1660" s="7">
        <f t="shared" si="14"/>
        <v>-2.3608971537181E-2</v>
      </c>
      <c r="H1660" s="8">
        <v>7941</v>
      </c>
      <c r="I1660" s="8">
        <v>7924</v>
      </c>
      <c r="J1660" s="8">
        <v>7934</v>
      </c>
      <c r="K1660" s="8">
        <v>7952</v>
      </c>
      <c r="L1660" s="8">
        <v>7993</v>
      </c>
      <c r="M1660" s="8">
        <v>8000</v>
      </c>
      <c r="N1660" s="8">
        <v>7997</v>
      </c>
      <c r="O1660" s="8">
        <v>8034</v>
      </c>
      <c r="P1660" s="8">
        <v>8045</v>
      </c>
      <c r="Q1660" s="8">
        <v>8024</v>
      </c>
      <c r="R1660" s="7">
        <f t="shared" si="15"/>
        <v>-1.8272695169559094E-2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</row>
    <row r="1661" spans="1:28" ht="14.4" hidden="1">
      <c r="A1661" s="3">
        <f>LOOKUP(D1661,'AMFI DATA_2023H2'!F:L,'AMFI DATA_2023H2'!L:L)</f>
        <v>1305</v>
      </c>
      <c r="B1661" s="4" t="s">
        <v>3584</v>
      </c>
      <c r="C1661" s="4" t="s">
        <v>3585</v>
      </c>
      <c r="D1661" s="5" t="s">
        <v>3586</v>
      </c>
      <c r="E1661" s="5">
        <v>731.17</v>
      </c>
      <c r="F1661" s="6">
        <f>LOOKUP(D1661,'AMFI DATA_2023H2'!F:J,'AMFI DATA_2023H2'!J:J)</f>
        <v>794.66830000000004</v>
      </c>
      <c r="G1661" s="7">
        <f t="shared" si="14"/>
        <v>0.16904122134983868</v>
      </c>
      <c r="H1661" s="9">
        <v>929</v>
      </c>
      <c r="I1661" s="9">
        <v>929</v>
      </c>
      <c r="J1661" s="9">
        <v>907</v>
      </c>
      <c r="K1661" s="9">
        <v>902</v>
      </c>
      <c r="L1661" s="9">
        <v>913</v>
      </c>
      <c r="M1661" s="9">
        <v>901</v>
      </c>
      <c r="N1661" s="9">
        <v>918</v>
      </c>
      <c r="O1661" s="9">
        <v>910</v>
      </c>
      <c r="P1661" s="9">
        <v>925</v>
      </c>
      <c r="Q1661" s="9">
        <v>919</v>
      </c>
      <c r="R1661" s="7">
        <f t="shared" si="15"/>
        <v>0.1518013238982856</v>
      </c>
      <c r="S1661" s="9"/>
      <c r="T1661" s="9"/>
      <c r="U1661" s="9"/>
      <c r="V1661" s="9"/>
      <c r="W1661" s="9"/>
      <c r="X1661" s="9"/>
      <c r="Y1661" s="9"/>
      <c r="Z1661" s="9"/>
      <c r="AA1661" s="9"/>
      <c r="AB1661" s="9"/>
    </row>
    <row r="1662" spans="1:28" ht="14.4" hidden="1">
      <c r="A1662" s="3">
        <f>LOOKUP(D1662,'AMFI DATA_2023H2'!F:L,'AMFI DATA_2023H2'!L:L)</f>
        <v>3049</v>
      </c>
      <c r="B1662" s="4" t="s">
        <v>5566</v>
      </c>
      <c r="C1662" s="4" t="s">
        <v>5567</v>
      </c>
      <c r="D1662" s="5" t="s">
        <v>5568</v>
      </c>
      <c r="E1662" s="5">
        <v>25.33</v>
      </c>
      <c r="F1662" s="6">
        <f>LOOKUP(D1662,'AMFI DATA_2023H2'!F:J,'AMFI DATA_2023H2'!J:J)</f>
        <v>35.024550000000005</v>
      </c>
      <c r="G1662" s="7">
        <f t="shared" si="14"/>
        <v>0.30194392219171973</v>
      </c>
      <c r="H1662" s="9">
        <v>45.6</v>
      </c>
      <c r="I1662" s="9">
        <v>44.3</v>
      </c>
      <c r="J1662" s="9">
        <v>44.8</v>
      </c>
      <c r="K1662" s="9">
        <v>43.2</v>
      </c>
      <c r="L1662" s="9">
        <v>43.3</v>
      </c>
      <c r="M1662" s="9">
        <v>41.2</v>
      </c>
      <c r="N1662" s="9">
        <v>39.5</v>
      </c>
      <c r="O1662" s="9">
        <v>40.6</v>
      </c>
      <c r="P1662" s="9">
        <v>41.5</v>
      </c>
      <c r="Q1662" s="9">
        <v>42.5</v>
      </c>
      <c r="R1662" s="7">
        <f t="shared" si="15"/>
        <v>0.2177172868744921</v>
      </c>
      <c r="S1662" s="9"/>
      <c r="T1662" s="9"/>
      <c r="U1662" s="9"/>
      <c r="V1662" s="9"/>
      <c r="W1662" s="9"/>
      <c r="X1662" s="9"/>
      <c r="Y1662" s="9"/>
      <c r="Z1662" s="9"/>
      <c r="AA1662" s="9"/>
      <c r="AB1662" s="9"/>
    </row>
    <row r="1663" spans="1:28" ht="14.4" hidden="1">
      <c r="A1663" s="3">
        <f>LOOKUP(D1663,'AMFI DATA_2023H2'!F:L,'AMFI DATA_2023H2'!L:L)</f>
        <v>334</v>
      </c>
      <c r="B1663" s="4" t="s">
        <v>1011</v>
      </c>
      <c r="C1663" s="4" t="s">
        <v>1012</v>
      </c>
      <c r="D1663" s="5" t="s">
        <v>1013</v>
      </c>
      <c r="E1663" s="5">
        <v>9470.2099999999991</v>
      </c>
      <c r="F1663" s="6">
        <f>LOOKUP(D1663,'AMFI DATA_2023H2'!F:J,'AMFI DATA_2023H2'!J:J)</f>
        <v>13926.097300000001</v>
      </c>
      <c r="G1663" s="7">
        <f t="shared" si="14"/>
        <v>6.5696991791088344E-2</v>
      </c>
      <c r="H1663" s="8">
        <v>14841</v>
      </c>
      <c r="I1663" s="8">
        <v>14591</v>
      </c>
      <c r="J1663" s="8">
        <v>14622</v>
      </c>
      <c r="K1663" s="8">
        <v>14903</v>
      </c>
      <c r="L1663" s="8">
        <v>14786</v>
      </c>
      <c r="M1663" s="8">
        <v>14753</v>
      </c>
      <c r="N1663" s="8">
        <v>14771</v>
      </c>
      <c r="O1663" s="8">
        <v>14936</v>
      </c>
      <c r="P1663" s="8">
        <v>14585</v>
      </c>
      <c r="Q1663" s="8">
        <v>14632</v>
      </c>
      <c r="R1663" s="7">
        <f t="shared" si="15"/>
        <v>5.8588036721529901E-2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</row>
    <row r="1664" spans="1:28" ht="14.4" hidden="1">
      <c r="A1664" s="3">
        <f>LOOKUP(D1664,'AMFI DATA_2023H2'!F:L,'AMFI DATA_2023H2'!L:L)</f>
        <v>2925</v>
      </c>
      <c r="B1664" s="4" t="s">
        <v>5518</v>
      </c>
      <c r="C1664" s="4" t="s">
        <v>5519</v>
      </c>
      <c r="D1664" s="5" t="s">
        <v>5520</v>
      </c>
      <c r="E1664" s="5">
        <v>4.32</v>
      </c>
      <c r="F1664" s="6">
        <f>LOOKUP(D1664,'AMFI DATA_2023H2'!F:J,'AMFI DATA_2023H2'!J:J)</f>
        <v>42.671999999999997</v>
      </c>
      <c r="G1664" s="7">
        <f t="shared" si="14"/>
        <v>0.24671916010498696</v>
      </c>
      <c r="H1664" s="9">
        <v>53.2</v>
      </c>
      <c r="I1664" s="9">
        <v>51.6</v>
      </c>
      <c r="J1664" s="9">
        <v>50.5</v>
      </c>
      <c r="K1664" s="9">
        <v>49</v>
      </c>
      <c r="L1664" s="9">
        <v>48.9</v>
      </c>
      <c r="M1664" s="9">
        <v>49.2</v>
      </c>
      <c r="N1664" s="9">
        <v>51.7</v>
      </c>
      <c r="O1664" s="9">
        <v>49.3</v>
      </c>
      <c r="P1664" s="9">
        <v>46.7</v>
      </c>
      <c r="Q1664" s="9">
        <v>44.6</v>
      </c>
      <c r="R1664" s="7">
        <f t="shared" si="15"/>
        <v>0.159308211473566</v>
      </c>
      <c r="S1664" s="9"/>
      <c r="T1664" s="9"/>
      <c r="U1664" s="9"/>
      <c r="V1664" s="9"/>
      <c r="W1664" s="9"/>
      <c r="X1664" s="9"/>
      <c r="Y1664" s="9"/>
      <c r="Z1664" s="9"/>
      <c r="AA1664" s="9"/>
      <c r="AB1664" s="9"/>
    </row>
    <row r="1665" spans="1:28" ht="14.4" hidden="1">
      <c r="A1665" s="3">
        <f>LOOKUP(D1665,'AMFI DATA_2023H2'!F:L,'AMFI DATA_2023H2'!L:L)</f>
        <v>3904</v>
      </c>
      <c r="B1665" s="4" t="s">
        <v>5740</v>
      </c>
      <c r="C1665" s="4" t="s">
        <v>5741</v>
      </c>
      <c r="D1665" s="5" t="s">
        <v>5742</v>
      </c>
      <c r="E1665" s="5">
        <v>8.74</v>
      </c>
      <c r="F1665" s="6">
        <f>LOOKUP(D1665,'AMFI DATA_2023H2'!F:J,'AMFI DATA_2023H2'!J:J)</f>
        <v>9.7119</v>
      </c>
      <c r="G1665" s="7">
        <f t="shared" si="14"/>
        <v>7.0851223756422499E-2</v>
      </c>
      <c r="H1665" s="9">
        <v>10.4</v>
      </c>
      <c r="I1665" s="9">
        <v>10.199999999999999</v>
      </c>
      <c r="J1665" s="9">
        <v>10</v>
      </c>
      <c r="K1665" s="9">
        <v>9.85</v>
      </c>
      <c r="L1665" s="9">
        <v>10</v>
      </c>
      <c r="M1665" s="9">
        <v>9.85</v>
      </c>
      <c r="N1665" s="9">
        <v>10</v>
      </c>
      <c r="O1665" s="9">
        <v>10.199999999999999</v>
      </c>
      <c r="P1665" s="9">
        <v>10.4</v>
      </c>
      <c r="Q1665" s="9">
        <v>10.6</v>
      </c>
      <c r="R1665" s="7">
        <f t="shared" si="15"/>
        <v>4.5109607800739582E-2</v>
      </c>
      <c r="S1665" s="9"/>
      <c r="T1665" s="9"/>
      <c r="U1665" s="9"/>
      <c r="V1665" s="9"/>
      <c r="W1665" s="9"/>
      <c r="X1665" s="9"/>
      <c r="Y1665" s="9"/>
      <c r="Z1665" s="9"/>
      <c r="AA1665" s="9"/>
      <c r="AB1665" s="9"/>
    </row>
    <row r="1666" spans="1:28" ht="14.4" hidden="1">
      <c r="A1666" s="3">
        <f>LOOKUP(D1666,'AMFI DATA_2023H2'!F:L,'AMFI DATA_2023H2'!L:L)</f>
        <v>809</v>
      </c>
      <c r="B1666" s="4" t="s">
        <v>2351</v>
      </c>
      <c r="C1666" s="4" t="s">
        <v>2352</v>
      </c>
      <c r="D1666" s="5" t="s">
        <v>2353</v>
      </c>
      <c r="E1666" s="5">
        <v>1358.43</v>
      </c>
      <c r="F1666" s="6">
        <f>LOOKUP(D1666,'AMFI DATA_2023H2'!F:J,'AMFI DATA_2023H2'!J:J)</f>
        <v>2798.3935499999998</v>
      </c>
      <c r="G1666" s="7">
        <f t="shared" si="14"/>
        <v>0.4479736061427102</v>
      </c>
      <c r="H1666" s="8">
        <v>4052</v>
      </c>
      <c r="I1666" s="8">
        <v>4136</v>
      </c>
      <c r="J1666" s="8">
        <v>3959</v>
      </c>
      <c r="K1666" s="8">
        <v>4004</v>
      </c>
      <c r="L1666" s="8">
        <v>4040</v>
      </c>
      <c r="M1666" s="8">
        <v>3982</v>
      </c>
      <c r="N1666" s="8">
        <v>4000</v>
      </c>
      <c r="O1666" s="8">
        <v>4081</v>
      </c>
      <c r="P1666" s="8">
        <v>4120</v>
      </c>
      <c r="Q1666" s="8">
        <v>4087</v>
      </c>
      <c r="R1666" s="7">
        <f t="shared" si="15"/>
        <v>0.44586525365597707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</row>
    <row r="1667" spans="1:28" ht="14.4" hidden="1">
      <c r="A1667" s="3">
        <f>LOOKUP(D1667,'AMFI DATA_2023H2'!F:L,'AMFI DATA_2023H2'!L:L)</f>
        <v>2098</v>
      </c>
      <c r="B1667" s="4" t="s">
        <v>4874</v>
      </c>
      <c r="C1667" s="4" t="s">
        <v>4875</v>
      </c>
      <c r="D1667" s="5" t="s">
        <v>4876</v>
      </c>
      <c r="E1667" s="5">
        <v>145.41999999999999</v>
      </c>
      <c r="F1667" s="6">
        <f>LOOKUP(D1667,'AMFI DATA_2023H2'!F:J,'AMFI DATA_2023H2'!J:J)</f>
        <v>162.34995000000001</v>
      </c>
      <c r="G1667" s="7">
        <f t="shared" si="14"/>
        <v>0.2688639571493554</v>
      </c>
      <c r="H1667" s="9">
        <v>206</v>
      </c>
      <c r="I1667" s="9">
        <v>208</v>
      </c>
      <c r="J1667" s="9">
        <v>200</v>
      </c>
      <c r="K1667" s="9">
        <v>203</v>
      </c>
      <c r="L1667" s="9">
        <v>194</v>
      </c>
      <c r="M1667" s="9">
        <v>198</v>
      </c>
      <c r="N1667" s="9">
        <v>185</v>
      </c>
      <c r="O1667" s="9">
        <v>183</v>
      </c>
      <c r="P1667" s="9">
        <v>180</v>
      </c>
      <c r="Q1667" s="9">
        <v>181</v>
      </c>
      <c r="R1667" s="7">
        <f t="shared" si="15"/>
        <v>0.19371764512400524</v>
      </c>
      <c r="S1667" s="9"/>
      <c r="T1667" s="9"/>
      <c r="U1667" s="9"/>
      <c r="V1667" s="9"/>
      <c r="W1667" s="9"/>
      <c r="X1667" s="9"/>
      <c r="Y1667" s="9"/>
      <c r="Z1667" s="9"/>
      <c r="AA1667" s="9"/>
      <c r="AB1667" s="9"/>
    </row>
    <row r="1668" spans="1:28" ht="14.4" hidden="1">
      <c r="A1668" s="3">
        <f>LOOKUP(D1668,'AMFI DATA_2023H2'!F:L,'AMFI DATA_2023H2'!L:L)</f>
        <v>805</v>
      </c>
      <c r="B1668" s="4" t="s">
        <v>2339</v>
      </c>
      <c r="C1668" s="4" t="s">
        <v>2340</v>
      </c>
      <c r="D1668" s="5" t="s">
        <v>2341</v>
      </c>
      <c r="E1668" s="5">
        <v>3180.67</v>
      </c>
      <c r="F1668" s="6">
        <f>LOOKUP(D1668,'AMFI DATA_2023H2'!F:J,'AMFI DATA_2023H2'!J:J)</f>
        <v>2815.55285</v>
      </c>
      <c r="G1668" s="7">
        <f t="shared" si="14"/>
        <v>2.4310376557129754E-2</v>
      </c>
      <c r="H1668" s="8">
        <v>2884</v>
      </c>
      <c r="I1668" s="8">
        <v>2860</v>
      </c>
      <c r="J1668" s="8">
        <v>2852</v>
      </c>
      <c r="K1668" s="8">
        <v>2876</v>
      </c>
      <c r="L1668" s="8">
        <v>2809</v>
      </c>
      <c r="M1668" s="8">
        <v>2806</v>
      </c>
      <c r="N1668" s="8">
        <v>2843</v>
      </c>
      <c r="O1668" s="8">
        <v>2876</v>
      </c>
      <c r="P1668" s="8">
        <v>2844</v>
      </c>
      <c r="Q1668" s="8">
        <v>2901</v>
      </c>
      <c r="R1668" s="7">
        <f t="shared" si="15"/>
        <v>1.404596258954971E-2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</row>
    <row r="1669" spans="1:28" ht="14.4" hidden="1">
      <c r="A1669" s="3">
        <f>LOOKUP(D1669,'AMFI DATA_2023H2'!F:L,'AMFI DATA_2023H2'!L:L)</f>
        <v>689</v>
      </c>
      <c r="B1669" s="4" t="s">
        <v>2019</v>
      </c>
      <c r="C1669" s="4" t="s">
        <v>2020</v>
      </c>
      <c r="D1669" s="5" t="s">
        <v>2021</v>
      </c>
      <c r="E1669" s="5">
        <v>2564.0700000000002</v>
      </c>
      <c r="F1669" s="6">
        <f>LOOKUP(D1669,'AMFI DATA_2023H2'!F:J,'AMFI DATA_2023H2'!J:J)</f>
        <v>3987.2705500000002</v>
      </c>
      <c r="G1669" s="7">
        <f t="shared" si="14"/>
        <v>-6.678015616472277E-2</v>
      </c>
      <c r="H1669" s="8">
        <v>3721</v>
      </c>
      <c r="I1669" s="8">
        <v>3737</v>
      </c>
      <c r="J1669" s="8">
        <v>3781</v>
      </c>
      <c r="K1669" s="8">
        <v>3809</v>
      </c>
      <c r="L1669" s="8">
        <v>3382</v>
      </c>
      <c r="M1669" s="8">
        <v>3439</v>
      </c>
      <c r="N1669" s="8">
        <v>3549</v>
      </c>
      <c r="O1669" s="8">
        <v>3575</v>
      </c>
      <c r="P1669" s="8">
        <v>3579</v>
      </c>
      <c r="Q1669" s="8">
        <v>3596</v>
      </c>
      <c r="R1669" s="7">
        <f t="shared" si="15"/>
        <v>-9.2913321369677337E-2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</row>
    <row r="1670" spans="1:28" ht="14.4" hidden="1">
      <c r="A1670" s="3">
        <f>LOOKUP(D1670,'AMFI DATA_2023H2'!F:L,'AMFI DATA_2023H2'!L:L)</f>
        <v>224</v>
      </c>
      <c r="B1670" s="4" t="s">
        <v>681</v>
      </c>
      <c r="C1670" s="4" t="s">
        <v>682</v>
      </c>
      <c r="D1670" s="5" t="s">
        <v>683</v>
      </c>
      <c r="E1670" s="5">
        <v>24916.7</v>
      </c>
      <c r="F1670" s="6">
        <f>LOOKUP(D1670,'AMFI DATA_2023H2'!F:J,'AMFI DATA_2023H2'!J:J)</f>
        <v>25784.76355</v>
      </c>
      <c r="G1670" s="7">
        <f t="shared" si="14"/>
        <v>9.1458525319694006E-2</v>
      </c>
      <c r="H1670" s="8">
        <v>28143</v>
      </c>
      <c r="I1670" s="8">
        <v>28827</v>
      </c>
      <c r="J1670" s="8">
        <v>28355</v>
      </c>
      <c r="K1670" s="8">
        <v>28588</v>
      </c>
      <c r="L1670" s="8">
        <v>28478</v>
      </c>
      <c r="M1670" s="8">
        <v>28118</v>
      </c>
      <c r="N1670" s="8">
        <v>27641</v>
      </c>
      <c r="O1670" s="8">
        <v>27752</v>
      </c>
      <c r="P1670" s="8">
        <v>27873</v>
      </c>
      <c r="Q1670" s="8">
        <v>26038</v>
      </c>
      <c r="R1670" s="7">
        <f t="shared" si="15"/>
        <v>8.5187379971145782E-2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</row>
    <row r="1671" spans="1:28" ht="14.4">
      <c r="A1671" s="3">
        <f>LOOKUP(D1671,'AMFI DATA_2023H2'!F:L,'AMFI DATA_2023H2'!L:L)</f>
        <v>621</v>
      </c>
      <c r="B1671" s="4" t="s">
        <v>1833</v>
      </c>
      <c r="C1671" s="4" t="s">
        <v>1834</v>
      </c>
      <c r="D1671" s="5" t="s">
        <v>1835</v>
      </c>
      <c r="E1671" s="5">
        <v>4083.33</v>
      </c>
      <c r="F1671" s="6">
        <f>LOOKUP(D1671,'AMFI DATA_2023H2'!F:J,'AMFI DATA_2023H2'!J:J)</f>
        <v>4883.4746500000001</v>
      </c>
      <c r="G1671" s="7">
        <f t="shared" si="14"/>
        <v>0.27593577249346413</v>
      </c>
      <c r="H1671" s="8">
        <v>6231</v>
      </c>
      <c r="I1671" s="8">
        <v>6234</v>
      </c>
      <c r="J1671" s="8">
        <v>6045</v>
      </c>
      <c r="K1671" s="8">
        <v>6072</v>
      </c>
      <c r="L1671" s="8">
        <v>6008</v>
      </c>
      <c r="M1671" s="8">
        <v>5993</v>
      </c>
      <c r="N1671" s="8">
        <v>5760</v>
      </c>
      <c r="O1671" s="8">
        <v>5680</v>
      </c>
      <c r="P1671" s="8">
        <v>5612</v>
      </c>
      <c r="Q1671" s="8">
        <v>5505</v>
      </c>
      <c r="R1671" s="14">
        <f t="shared" si="15"/>
        <v>0.21102297520885061</v>
      </c>
      <c r="S1671" s="8"/>
      <c r="T1671" s="8">
        <v>333.65</v>
      </c>
      <c r="U1671" s="15">
        <f ca="1">IFERROR(__xludf.DUMMYFUNCTION("GOOGLEFINANCE(C1671,""PRICE"")"),343.8)</f>
        <v>343.8</v>
      </c>
      <c r="V1671" s="13" t="s">
        <v>5787</v>
      </c>
      <c r="W1671" s="7">
        <f ca="1">U1671/T1671-1</f>
        <v>3.0421099955042719E-2</v>
      </c>
      <c r="X1671" s="8"/>
      <c r="Y1671" s="8"/>
      <c r="Z1671" s="8"/>
      <c r="AA1671" s="8"/>
      <c r="AB1671" s="8"/>
    </row>
    <row r="1672" spans="1:28" ht="14.4" hidden="1">
      <c r="A1672" s="3">
        <f>LOOKUP(D1672,'AMFI DATA_2023H2'!F:L,'AMFI DATA_2023H2'!L:L)</f>
        <v>128</v>
      </c>
      <c r="B1672" s="4" t="s">
        <v>396</v>
      </c>
      <c r="C1672" s="4" t="s">
        <v>397</v>
      </c>
      <c r="D1672" s="5" t="s">
        <v>398</v>
      </c>
      <c r="E1672" s="5">
        <v>37104.959999999999</v>
      </c>
      <c r="F1672" s="6">
        <f>LOOKUP(D1672,'AMFI DATA_2023H2'!F:J,'AMFI DATA_2023H2'!J:J)</f>
        <v>49523.630399999995</v>
      </c>
      <c r="G1672" s="7">
        <f t="shared" si="14"/>
        <v>1.2102699159147301E-2</v>
      </c>
      <c r="H1672" s="8">
        <v>50123</v>
      </c>
      <c r="I1672" s="8">
        <v>50342</v>
      </c>
      <c r="J1672" s="8">
        <v>49710</v>
      </c>
      <c r="K1672" s="8">
        <v>49583</v>
      </c>
      <c r="L1672" s="8">
        <v>50352</v>
      </c>
      <c r="M1672" s="8">
        <v>50438</v>
      </c>
      <c r="N1672" s="8">
        <v>51568</v>
      </c>
      <c r="O1672" s="8">
        <v>49316</v>
      </c>
      <c r="P1672" s="8">
        <v>49479</v>
      </c>
      <c r="Q1672" s="8">
        <v>49309</v>
      </c>
      <c r="R1672" s="7">
        <f t="shared" si="15"/>
        <v>1.006326870576113E-2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</row>
    <row r="1673" spans="1:28" ht="14.4" hidden="1">
      <c r="A1673" s="3">
        <f>LOOKUP(D1673,'AMFI DATA_2023H2'!F:L,'AMFI DATA_2023H2'!L:L)</f>
        <v>2</v>
      </c>
      <c r="B1673" s="4" t="s">
        <v>10</v>
      </c>
      <c r="C1673" s="4" t="s">
        <v>11</v>
      </c>
      <c r="D1673" s="5" t="s">
        <v>12</v>
      </c>
      <c r="E1673" s="5">
        <v>1203827.8999999999</v>
      </c>
      <c r="F1673" s="6">
        <f>LOOKUP(D1673,'AMFI DATA_2023H2'!F:J,'AMFI DATA_2023H2'!J:J)</f>
        <v>1276552.7747</v>
      </c>
      <c r="G1673" s="7">
        <f t="shared" si="14"/>
        <v>7.1414380280066636E-2</v>
      </c>
      <c r="H1673" s="8">
        <v>1367717</v>
      </c>
      <c r="I1673" s="8">
        <v>1341701</v>
      </c>
      <c r="J1673" s="8">
        <v>1350757</v>
      </c>
      <c r="K1673" s="8">
        <v>1384292</v>
      </c>
      <c r="L1673" s="8">
        <v>1394318</v>
      </c>
      <c r="M1673" s="8">
        <v>1388592</v>
      </c>
      <c r="N1673" s="8">
        <v>1390824</v>
      </c>
      <c r="O1673" s="8">
        <v>1394538</v>
      </c>
      <c r="P1673" s="8">
        <v>1388339</v>
      </c>
      <c r="Q1673" s="8">
        <v>1399221</v>
      </c>
      <c r="R1673" s="7">
        <f t="shared" si="15"/>
        <v>8.1059809943476724E-2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</row>
    <row r="1674" spans="1:28" ht="14.4" hidden="1">
      <c r="A1674" s="3">
        <f>LOOKUP(D1674,'AMFI DATA_2023H2'!F:L,'AMFI DATA_2023H2'!L:L)</f>
        <v>73</v>
      </c>
      <c r="B1674" s="4" t="s">
        <v>231</v>
      </c>
      <c r="C1674" s="4" t="s">
        <v>232</v>
      </c>
      <c r="D1674" s="5" t="s">
        <v>233</v>
      </c>
      <c r="E1674" s="5">
        <v>70102</v>
      </c>
      <c r="F1674" s="6">
        <f>LOOKUP(D1674,'AMFI DATA_2023H2'!F:J,'AMFI DATA_2023H2'!J:J)</f>
        <v>82804.961200000005</v>
      </c>
      <c r="G1674" s="7">
        <f t="shared" si="14"/>
        <v>0.25655514466927842</v>
      </c>
      <c r="H1674" s="8">
        <v>104049</v>
      </c>
      <c r="I1674" s="8">
        <v>104565</v>
      </c>
      <c r="J1674" s="8">
        <v>100840</v>
      </c>
      <c r="K1674" s="8">
        <v>101959</v>
      </c>
      <c r="L1674" s="8">
        <v>100319</v>
      </c>
      <c r="M1674" s="8">
        <v>100965</v>
      </c>
      <c r="N1674" s="8">
        <v>96812</v>
      </c>
      <c r="O1674" s="8">
        <v>95521</v>
      </c>
      <c r="P1674" s="8">
        <v>93678</v>
      </c>
      <c r="Q1674" s="8">
        <v>92232</v>
      </c>
      <c r="R1674" s="7">
        <f t="shared" si="15"/>
        <v>0.19671573495043182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</row>
    <row r="1675" spans="1:28" ht="14.4" hidden="1">
      <c r="A1675" s="3">
        <f>LOOKUP(D1675,'AMFI DATA_2023H2'!F:L,'AMFI DATA_2023H2'!L:L)</f>
        <v>138</v>
      </c>
      <c r="B1675" s="4" t="s">
        <v>423</v>
      </c>
      <c r="C1675" s="4" t="s">
        <v>424</v>
      </c>
      <c r="D1675" s="5" t="s">
        <v>425</v>
      </c>
      <c r="E1675" s="5">
        <v>41725.46</v>
      </c>
      <c r="F1675" s="6">
        <f>LOOKUP(D1675,'AMFI DATA_2023H2'!F:J,'AMFI DATA_2023H2'!J:J)</f>
        <v>47910.05745</v>
      </c>
      <c r="G1675" s="7">
        <f t="shared" si="14"/>
        <v>0.12285400734788721</v>
      </c>
      <c r="H1675" s="8">
        <v>53796</v>
      </c>
      <c r="I1675" s="8">
        <v>53805</v>
      </c>
      <c r="J1675" s="8">
        <v>53558</v>
      </c>
      <c r="K1675" s="8">
        <v>54252</v>
      </c>
      <c r="L1675" s="8">
        <v>54471</v>
      </c>
      <c r="M1675" s="8">
        <v>54540</v>
      </c>
      <c r="N1675" s="8">
        <v>54522</v>
      </c>
      <c r="O1675" s="8">
        <v>54813</v>
      </c>
      <c r="P1675" s="8">
        <v>55179</v>
      </c>
      <c r="Q1675" s="8">
        <v>55243</v>
      </c>
      <c r="R1675" s="7">
        <f t="shared" si="15"/>
        <v>0.13583458038621088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</row>
    <row r="1676" spans="1:28" ht="14.4" hidden="1">
      <c r="A1676" s="3">
        <f>LOOKUP(D1676,'AMFI DATA_2023H2'!F:L,'AMFI DATA_2023H2'!L:L)</f>
        <v>308</v>
      </c>
      <c r="B1676" s="4" t="s">
        <v>933</v>
      </c>
      <c r="C1676" s="4" t="s">
        <v>934</v>
      </c>
      <c r="D1676" s="5" t="s">
        <v>935</v>
      </c>
      <c r="E1676" s="5">
        <v>10868.15</v>
      </c>
      <c r="F1676" s="6">
        <f>LOOKUP(D1676,'AMFI DATA_2023H2'!F:J,'AMFI DATA_2023H2'!J:J)</f>
        <v>15607.3717</v>
      </c>
      <c r="G1676" s="7">
        <f t="shared" si="14"/>
        <v>0.39100935233060419</v>
      </c>
      <c r="H1676" s="8">
        <v>21710</v>
      </c>
      <c r="I1676" s="8">
        <v>21476</v>
      </c>
      <c r="J1676" s="8">
        <v>21537</v>
      </c>
      <c r="K1676" s="8">
        <v>21317</v>
      </c>
      <c r="L1676" s="8">
        <v>21545</v>
      </c>
      <c r="M1676" s="8">
        <v>21670</v>
      </c>
      <c r="N1676" s="8">
        <v>21507</v>
      </c>
      <c r="O1676" s="8">
        <v>21541</v>
      </c>
      <c r="P1676" s="8">
        <v>21323</v>
      </c>
      <c r="Q1676" s="8">
        <v>21246</v>
      </c>
      <c r="R1676" s="7">
        <f t="shared" si="15"/>
        <v>0.37673404677098832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</row>
    <row r="1677" spans="1:28" ht="14.4" hidden="1">
      <c r="A1677" s="3">
        <f>LOOKUP(D1677,'AMFI DATA_2023H2'!F:L,'AMFI DATA_2023H2'!L:L)</f>
        <v>793</v>
      </c>
      <c r="B1677" s="4" t="s">
        <v>2306</v>
      </c>
      <c r="C1677" s="4" t="s">
        <v>2307</v>
      </c>
      <c r="D1677" s="5" t="s">
        <v>2308</v>
      </c>
      <c r="E1677" s="5">
        <v>2470.3000000000002</v>
      </c>
      <c r="F1677" s="6">
        <f>LOOKUP(D1677,'AMFI DATA_2023H2'!F:J,'AMFI DATA_2023H2'!J:J)</f>
        <v>2933.5083</v>
      </c>
      <c r="G1677" s="7">
        <f t="shared" si="14"/>
        <v>0.12663734409750949</v>
      </c>
      <c r="H1677" s="8">
        <v>3305</v>
      </c>
      <c r="I1677" s="8">
        <v>3314</v>
      </c>
      <c r="J1677" s="8">
        <v>3341</v>
      </c>
      <c r="K1677" s="8">
        <v>3422</v>
      </c>
      <c r="L1677" s="8">
        <v>3404</v>
      </c>
      <c r="M1677" s="8">
        <v>3394</v>
      </c>
      <c r="N1677" s="8">
        <v>3358</v>
      </c>
      <c r="O1677" s="8">
        <v>3356</v>
      </c>
      <c r="P1677" s="8">
        <v>3308</v>
      </c>
      <c r="Q1677" s="8">
        <v>3275</v>
      </c>
      <c r="R1677" s="7">
        <f t="shared" si="15"/>
        <v>0.1411932940499947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</row>
    <row r="1678" spans="1:28" ht="14.4" hidden="1">
      <c r="A1678" s="3">
        <f>LOOKUP(D1678,'AMFI DATA_2023H2'!F:L,'AMFI DATA_2023H2'!L:L)</f>
        <v>24</v>
      </c>
      <c r="B1678" s="4" t="s">
        <v>76</v>
      </c>
      <c r="C1678" s="4" t="s">
        <v>77</v>
      </c>
      <c r="D1678" s="5" t="s">
        <v>78</v>
      </c>
      <c r="E1678" s="5">
        <v>168081.48</v>
      </c>
      <c r="F1678" s="6">
        <f>LOOKUP(D1678,'AMFI DATA_2023H2'!F:J,'AMFI DATA_2023H2'!J:J)</f>
        <v>236483.45680000001</v>
      </c>
      <c r="G1678" s="7">
        <f t="shared" si="14"/>
        <v>0.22461420311917557</v>
      </c>
      <c r="H1678" s="8">
        <v>289601</v>
      </c>
      <c r="I1678" s="8">
        <v>291274</v>
      </c>
      <c r="J1678" s="8">
        <v>285998</v>
      </c>
      <c r="K1678" s="8">
        <v>287150</v>
      </c>
      <c r="L1678" s="8">
        <v>289406</v>
      </c>
      <c r="M1678" s="8">
        <v>286046</v>
      </c>
      <c r="N1678" s="8">
        <v>276181</v>
      </c>
      <c r="O1678" s="8">
        <v>271502</v>
      </c>
      <c r="P1678" s="8">
        <v>263688</v>
      </c>
      <c r="Q1678" s="8">
        <v>265539</v>
      </c>
      <c r="R1678" s="7">
        <f t="shared" si="15"/>
        <v>0.18671514615647311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</row>
    <row r="1679" spans="1:28" ht="14.4" hidden="1">
      <c r="A1679" s="3">
        <f>LOOKUP(D1679,'AMFI DATA_2023H2'!F:L,'AMFI DATA_2023H2'!L:L)</f>
        <v>24</v>
      </c>
      <c r="B1679" s="4" t="s">
        <v>76</v>
      </c>
      <c r="C1679" s="4" t="s">
        <v>79</v>
      </c>
      <c r="D1679" s="5" t="s">
        <v>80</v>
      </c>
      <c r="E1679" s="5">
        <v>168081.48</v>
      </c>
      <c r="F1679" s="6">
        <f>LOOKUP(D1679,'AMFI DATA_2023H2'!F:J,'AMFI DATA_2023H2'!J:J)</f>
        <v>236483.45680000001</v>
      </c>
      <c r="G1679" s="7">
        <f t="shared" si="14"/>
        <v>-0.88663900484729385</v>
      </c>
      <c r="H1679" s="8">
        <v>26808</v>
      </c>
      <c r="I1679" s="8">
        <v>26943</v>
      </c>
      <c r="J1679" s="8">
        <v>26335</v>
      </c>
      <c r="K1679" s="8">
        <v>26457</v>
      </c>
      <c r="L1679" s="8">
        <v>26724</v>
      </c>
      <c r="M1679" s="8">
        <v>26412</v>
      </c>
      <c r="N1679" s="8">
        <v>25710</v>
      </c>
      <c r="O1679" s="8">
        <v>25128</v>
      </c>
      <c r="P1679" s="8">
        <v>24627</v>
      </c>
      <c r="Q1679" s="8">
        <v>24759</v>
      </c>
      <c r="R1679" s="7">
        <f t="shared" si="15"/>
        <v>-0.89009675200248517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</row>
    <row r="1680" spans="1:28" ht="14.4" hidden="1">
      <c r="A1680" s="3">
        <f>LOOKUP(D1680,'AMFI DATA_2023H2'!F:L,'AMFI DATA_2023H2'!L:L)</f>
        <v>75</v>
      </c>
      <c r="B1680" s="4" t="s">
        <v>237</v>
      </c>
      <c r="C1680" s="4" t="s">
        <v>238</v>
      </c>
      <c r="D1680" s="5" t="s">
        <v>239</v>
      </c>
      <c r="E1680" s="5">
        <v>65958.62</v>
      </c>
      <c r="F1680" s="6">
        <f>LOOKUP(D1680,'AMFI DATA_2023H2'!F:J,'AMFI DATA_2023H2'!J:J)</f>
        <v>82412.960099999997</v>
      </c>
      <c r="G1680" s="7">
        <f t="shared" si="14"/>
        <v>0.32116356296247162</v>
      </c>
      <c r="H1680" s="8">
        <v>108881</v>
      </c>
      <c r="I1680" s="8">
        <v>107955</v>
      </c>
      <c r="J1680" s="8">
        <v>104296</v>
      </c>
      <c r="K1680" s="8">
        <v>105398</v>
      </c>
      <c r="L1680" s="8">
        <v>105430</v>
      </c>
      <c r="M1680" s="8">
        <v>106101</v>
      </c>
      <c r="N1680" s="8">
        <v>105318</v>
      </c>
      <c r="O1680" s="8">
        <v>103801</v>
      </c>
      <c r="P1680" s="8">
        <v>103992</v>
      </c>
      <c r="Q1680" s="8">
        <v>104376</v>
      </c>
      <c r="R1680" s="7">
        <f t="shared" si="15"/>
        <v>0.28080340606525556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</row>
    <row r="1681" spans="1:28" ht="14.4" hidden="1">
      <c r="A1681" s="3">
        <f>LOOKUP(D1681,'AMFI DATA_2023H2'!F:L,'AMFI DATA_2023H2'!L:L)</f>
        <v>36</v>
      </c>
      <c r="B1681" s="4" t="s">
        <v>114</v>
      </c>
      <c r="C1681" s="4" t="s">
        <v>115</v>
      </c>
      <c r="D1681" s="5" t="s">
        <v>116</v>
      </c>
      <c r="E1681" s="5">
        <v>135001.24</v>
      </c>
      <c r="F1681" s="6">
        <f>LOOKUP(D1681,'AMFI DATA_2023H2'!F:J,'AMFI DATA_2023H2'!J:J)</f>
        <v>151562.7268</v>
      </c>
      <c r="G1681" s="7">
        <f t="shared" si="14"/>
        <v>8.4395903069751199E-2</v>
      </c>
      <c r="H1681" s="8">
        <v>164354</v>
      </c>
      <c r="I1681" s="8">
        <v>165092</v>
      </c>
      <c r="J1681" s="8">
        <v>166383</v>
      </c>
      <c r="K1681" s="8">
        <v>171671</v>
      </c>
      <c r="L1681" s="8">
        <v>172040</v>
      </c>
      <c r="M1681" s="8">
        <v>171548</v>
      </c>
      <c r="N1681" s="8">
        <v>169888</v>
      </c>
      <c r="O1681" s="8">
        <v>168719</v>
      </c>
      <c r="P1681" s="8">
        <v>166322</v>
      </c>
      <c r="Q1681" s="8">
        <v>164231</v>
      </c>
      <c r="R1681" s="7">
        <f t="shared" si="15"/>
        <v>0.10861557816733591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</row>
    <row r="1682" spans="1:28" ht="14.4" hidden="1">
      <c r="A1682" s="3">
        <f>LOOKUP(D1682,'AMFI DATA_2023H2'!F:L,'AMFI DATA_2023H2'!L:L)</f>
        <v>130</v>
      </c>
      <c r="B1682" s="4" t="s">
        <v>402</v>
      </c>
      <c r="C1682" s="4" t="s">
        <v>403</v>
      </c>
      <c r="D1682" s="5" t="s">
        <v>404</v>
      </c>
      <c r="E1682" s="5">
        <v>2984.81</v>
      </c>
      <c r="F1682" s="6">
        <f>LOOKUP(D1682,'AMFI DATA_2023H2'!F:J,'AMFI DATA_2023H2'!J:J)</f>
        <v>49338.132299999997</v>
      </c>
      <c r="G1682" s="7">
        <f t="shared" si="14"/>
        <v>-3.6890985028227297E-2</v>
      </c>
      <c r="H1682" s="8">
        <v>47518</v>
      </c>
      <c r="I1682" s="8">
        <v>47518</v>
      </c>
      <c r="J1682" s="8">
        <v>47557</v>
      </c>
      <c r="K1682" s="8">
        <v>47948</v>
      </c>
      <c r="L1682" s="8">
        <v>47885</v>
      </c>
      <c r="M1682" s="8">
        <v>47887</v>
      </c>
      <c r="N1682" s="8">
        <v>47733</v>
      </c>
      <c r="O1682" s="8">
        <v>48664</v>
      </c>
      <c r="P1682" s="8">
        <v>48786</v>
      </c>
      <c r="Q1682" s="8">
        <v>49035</v>
      </c>
      <c r="R1682" s="7">
        <f t="shared" si="15"/>
        <v>-2.6045418423753297E-2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</row>
    <row r="1683" spans="1:28" ht="14.4" hidden="1">
      <c r="A1683" s="3">
        <f>LOOKUP(D1683,'AMFI DATA_2023H2'!F:L,'AMFI DATA_2023H2'!L:L)</f>
        <v>293</v>
      </c>
      <c r="B1683" s="4" t="s">
        <v>888</v>
      </c>
      <c r="C1683" s="4" t="s">
        <v>889</v>
      </c>
      <c r="D1683" s="5" t="s">
        <v>890</v>
      </c>
      <c r="E1683" s="5">
        <v>13326.47</v>
      </c>
      <c r="F1683" s="6">
        <f>LOOKUP(D1683,'AMFI DATA_2023H2'!F:J,'AMFI DATA_2023H2'!J:J)</f>
        <v>17236.2173</v>
      </c>
      <c r="G1683" s="7">
        <f t="shared" si="14"/>
        <v>3.8917048231922768E-2</v>
      </c>
      <c r="H1683" s="8">
        <v>17907</v>
      </c>
      <c r="I1683" s="8">
        <v>17946</v>
      </c>
      <c r="J1683" s="8">
        <v>17735</v>
      </c>
      <c r="K1683" s="8">
        <v>17862</v>
      </c>
      <c r="L1683" s="8">
        <v>17860</v>
      </c>
      <c r="M1683" s="8">
        <v>17931</v>
      </c>
      <c r="N1683" s="8">
        <v>17806</v>
      </c>
      <c r="O1683" s="8">
        <v>17995</v>
      </c>
      <c r="P1683" s="8">
        <v>17666</v>
      </c>
      <c r="Q1683" s="8">
        <v>17985</v>
      </c>
      <c r="R1683" s="7">
        <f t="shared" si="15"/>
        <v>3.6729793375255282E-2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</row>
    <row r="1684" spans="1:28" ht="14.4" hidden="1">
      <c r="A1684" s="3">
        <f>LOOKUP(D1684,'AMFI DATA_2023H2'!F:L,'AMFI DATA_2023H2'!L:L)</f>
        <v>712</v>
      </c>
      <c r="B1684" s="4" t="s">
        <v>2081</v>
      </c>
      <c r="C1684" s="4" t="s">
        <v>2082</v>
      </c>
      <c r="D1684" s="5" t="s">
        <v>2083</v>
      </c>
      <c r="E1684" s="5">
        <v>4057.16</v>
      </c>
      <c r="F1684" s="6">
        <f>LOOKUP(D1684,'AMFI DATA_2023H2'!F:J,'AMFI DATA_2023H2'!J:J)</f>
        <v>3680.3963999999996</v>
      </c>
      <c r="G1684" s="7">
        <f t="shared" si="14"/>
        <v>1.9727114177157778E-2</v>
      </c>
      <c r="H1684" s="8">
        <v>3753</v>
      </c>
      <c r="I1684" s="8">
        <v>3742</v>
      </c>
      <c r="J1684" s="8">
        <v>3724</v>
      </c>
      <c r="K1684" s="8">
        <v>3723</v>
      </c>
      <c r="L1684" s="8">
        <v>3746</v>
      </c>
      <c r="M1684" s="8">
        <v>3753</v>
      </c>
      <c r="N1684" s="8">
        <v>3695</v>
      </c>
      <c r="O1684" s="8">
        <v>3758</v>
      </c>
      <c r="P1684" s="8">
        <v>3797</v>
      </c>
      <c r="Q1684" s="8">
        <v>3667</v>
      </c>
      <c r="R1684" s="7">
        <f t="shared" si="15"/>
        <v>1.5053704541174051E-2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</row>
    <row r="1685" spans="1:28" ht="14.4" hidden="1">
      <c r="A1685" s="3">
        <f>LOOKUP(D1685,'AMFI DATA_2023H2'!F:L,'AMFI DATA_2023H2'!L:L)</f>
        <v>593</v>
      </c>
      <c r="B1685" s="4" t="s">
        <v>1749</v>
      </c>
      <c r="C1685" s="4" t="s">
        <v>1750</v>
      </c>
      <c r="D1685" s="5" t="s">
        <v>1751</v>
      </c>
      <c r="E1685" s="5">
        <v>6070.39</v>
      </c>
      <c r="F1685" s="6">
        <f>LOOKUP(D1685,'AMFI DATA_2023H2'!F:J,'AMFI DATA_2023H2'!J:J)</f>
        <v>5485.7730499999998</v>
      </c>
      <c r="G1685" s="7">
        <f t="shared" si="14"/>
        <v>-1.2901199038848232E-2</v>
      </c>
      <c r="H1685" s="8">
        <v>5415</v>
      </c>
      <c r="I1685" s="8">
        <v>5429</v>
      </c>
      <c r="J1685" s="8">
        <v>5307</v>
      </c>
      <c r="K1685" s="8">
        <v>5301</v>
      </c>
      <c r="L1685" s="8">
        <v>5306</v>
      </c>
      <c r="M1685" s="8">
        <v>5286</v>
      </c>
      <c r="N1685" s="8">
        <v>5199</v>
      </c>
      <c r="O1685" s="8">
        <v>5248</v>
      </c>
      <c r="P1685" s="8">
        <v>5289</v>
      </c>
      <c r="Q1685" s="8">
        <v>5318</v>
      </c>
      <c r="R1685" s="7">
        <f t="shared" si="15"/>
        <v>-3.207807694487097E-2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</row>
    <row r="1686" spans="1:28" ht="14.4" hidden="1">
      <c r="A1686" s="3">
        <f>LOOKUP(D1686,'AMFI DATA_2023H2'!F:L,'AMFI DATA_2023H2'!L:L)</f>
        <v>861</v>
      </c>
      <c r="B1686" s="4" t="s">
        <v>2495</v>
      </c>
      <c r="C1686" s="4" t="s">
        <v>2496</v>
      </c>
      <c r="D1686" s="5" t="s">
        <v>2497</v>
      </c>
      <c r="E1686" s="5">
        <v>2816.39</v>
      </c>
      <c r="F1686" s="6">
        <f>LOOKUP(D1686,'AMFI DATA_2023H2'!F:J,'AMFI DATA_2023H2'!J:J)</f>
        <v>2457.9776999999999</v>
      </c>
      <c r="G1686" s="7">
        <f t="shared" si="14"/>
        <v>4.760917887904359E-2</v>
      </c>
      <c r="H1686" s="8">
        <v>2575</v>
      </c>
      <c r="I1686" s="8">
        <v>2630</v>
      </c>
      <c r="J1686" s="8">
        <v>2576</v>
      </c>
      <c r="K1686" s="8">
        <v>2561</v>
      </c>
      <c r="L1686" s="8">
        <v>2382</v>
      </c>
      <c r="M1686" s="8">
        <v>2375</v>
      </c>
      <c r="N1686" s="8">
        <v>2301</v>
      </c>
      <c r="O1686" s="8">
        <v>2323</v>
      </c>
      <c r="P1686" s="8">
        <v>2349</v>
      </c>
      <c r="Q1686" s="8">
        <v>2325</v>
      </c>
      <c r="R1686" s="7">
        <f t="shared" si="15"/>
        <v>-7.4360723451640798E-3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</row>
    <row r="1687" spans="1:28" ht="14.4" hidden="1">
      <c r="A1687" s="3">
        <f>LOOKUP(D1687,'AMFI DATA_2023H2'!F:L,'AMFI DATA_2023H2'!L:L)</f>
        <v>980</v>
      </c>
      <c r="B1687" s="4" t="s">
        <v>2810</v>
      </c>
      <c r="C1687" s="4" t="s">
        <v>2811</v>
      </c>
      <c r="D1687" s="5" t="s">
        <v>2812</v>
      </c>
      <c r="E1687" s="5">
        <v>1301.51</v>
      </c>
      <c r="F1687" s="6">
        <f>LOOKUP(D1687,'AMFI DATA_2023H2'!F:J,'AMFI DATA_2023H2'!J:J)</f>
        <v>1804.9839499999998</v>
      </c>
      <c r="G1687" s="7">
        <f t="shared" si="14"/>
        <v>0.10527298594538759</v>
      </c>
      <c r="H1687" s="8">
        <v>1995</v>
      </c>
      <c r="I1687" s="8">
        <v>1965</v>
      </c>
      <c r="J1687" s="8">
        <v>1998</v>
      </c>
      <c r="K1687" s="8">
        <v>2052</v>
      </c>
      <c r="L1687" s="8">
        <v>2049</v>
      </c>
      <c r="M1687" s="8">
        <v>2054</v>
      </c>
      <c r="N1687" s="8">
        <v>2044</v>
      </c>
      <c r="O1687" s="8">
        <v>2051</v>
      </c>
      <c r="P1687" s="8">
        <v>1885</v>
      </c>
      <c r="Q1687" s="8">
        <v>1940</v>
      </c>
      <c r="R1687" s="7">
        <f t="shared" si="15"/>
        <v>0.10987136478415782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</row>
    <row r="1688" spans="1:28" ht="14.4" hidden="1">
      <c r="A1688" s="3">
        <f>LOOKUP(D1688,'AMFI DATA_2023H2'!F:L,'AMFI DATA_2023H2'!L:L)</f>
        <v>681</v>
      </c>
      <c r="B1688" s="4" t="s">
        <v>1998</v>
      </c>
      <c r="C1688" s="4" t="s">
        <v>1999</v>
      </c>
      <c r="D1688" s="5" t="s">
        <v>2000</v>
      </c>
      <c r="E1688" s="5">
        <v>2605.35</v>
      </c>
      <c r="F1688" s="6">
        <f>LOOKUP(D1688,'AMFI DATA_2023H2'!F:J,'AMFI DATA_2023H2'!J:J)</f>
        <v>4048.5288499999997</v>
      </c>
      <c r="G1688" s="7">
        <f t="shared" si="14"/>
        <v>9.6941670552749049E-2</v>
      </c>
      <c r="H1688" s="8">
        <v>4441</v>
      </c>
      <c r="I1688" s="8">
        <v>4310</v>
      </c>
      <c r="J1688" s="8">
        <v>4185</v>
      </c>
      <c r="K1688" s="8">
        <v>4178</v>
      </c>
      <c r="L1688" s="8">
        <v>4185</v>
      </c>
      <c r="M1688" s="8">
        <v>4067</v>
      </c>
      <c r="N1688" s="8">
        <v>4090</v>
      </c>
      <c r="O1688" s="8">
        <v>4095</v>
      </c>
      <c r="P1688" s="8">
        <v>4150</v>
      </c>
      <c r="Q1688" s="8">
        <v>4178</v>
      </c>
      <c r="R1688" s="7">
        <f t="shared" si="15"/>
        <v>3.4425134453469397E-2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</row>
    <row r="1689" spans="1:28" ht="14.4">
      <c r="A1689" s="3">
        <f>LOOKUP(D1689,'AMFI DATA_2023H2'!F:L,'AMFI DATA_2023H2'!L:L)</f>
        <v>667</v>
      </c>
      <c r="B1689" s="4" t="s">
        <v>1956</v>
      </c>
      <c r="C1689" s="4" t="s">
        <v>1957</v>
      </c>
      <c r="D1689" s="5" t="s">
        <v>1958</v>
      </c>
      <c r="E1689" s="5">
        <v>3997.07</v>
      </c>
      <c r="F1689" s="6">
        <f>LOOKUP(D1689,'AMFI DATA_2023H2'!F:J,'AMFI DATA_2023H2'!J:J)</f>
        <v>4238.5895500000006</v>
      </c>
      <c r="G1689" s="7">
        <f t="shared" si="14"/>
        <v>0.29264698441961645</v>
      </c>
      <c r="H1689" s="8">
        <v>5479</v>
      </c>
      <c r="I1689" s="8">
        <v>5340</v>
      </c>
      <c r="J1689" s="8">
        <v>5360</v>
      </c>
      <c r="K1689" s="8">
        <v>5274</v>
      </c>
      <c r="L1689" s="8">
        <v>5399</v>
      </c>
      <c r="M1689" s="8">
        <v>5361</v>
      </c>
      <c r="N1689" s="8">
        <v>5232</v>
      </c>
      <c r="O1689" s="8">
        <v>5198</v>
      </c>
      <c r="P1689" s="8">
        <v>4978</v>
      </c>
      <c r="Q1689" s="8">
        <v>4873</v>
      </c>
      <c r="R1689" s="14">
        <f t="shared" si="15"/>
        <v>0.23847802153902808</v>
      </c>
      <c r="S1689" s="8"/>
      <c r="T1689" s="8">
        <v>3267.9</v>
      </c>
      <c r="U1689" s="15">
        <f ca="1">IFERROR(__xludf.DUMMYFUNCTION("GOOGLEFINANCE(C1689,""PRICE"")"),3125)</f>
        <v>3125</v>
      </c>
      <c r="V1689" s="13" t="s">
        <v>5787</v>
      </c>
      <c r="W1689" s="7">
        <f ca="1">U1689/T1689-1</f>
        <v>-4.3728388261574769E-2</v>
      </c>
      <c r="X1689" s="8"/>
      <c r="Y1689" s="8"/>
      <c r="Z1689" s="8"/>
      <c r="AA1689" s="8"/>
      <c r="AB1689" s="8"/>
    </row>
    <row r="1690" spans="1:28" ht="14.4" hidden="1">
      <c r="A1690" s="3">
        <f>LOOKUP(D1690,'AMFI DATA_2023H2'!F:L,'AMFI DATA_2023H2'!L:L)</f>
        <v>2406</v>
      </c>
      <c r="B1690" s="4" t="s">
        <v>5210</v>
      </c>
      <c r="C1690" s="4" t="s">
        <v>5211</v>
      </c>
      <c r="D1690" s="5" t="s">
        <v>5212</v>
      </c>
      <c r="E1690" s="5">
        <v>167.22</v>
      </c>
      <c r="F1690" s="6">
        <f>LOOKUP(D1690,'AMFI DATA_2023H2'!F:J,'AMFI DATA_2023H2'!J:J)</f>
        <v>95.769199999999998</v>
      </c>
      <c r="G1690" s="7">
        <f t="shared" si="14"/>
        <v>9.6385894421170848E-2</v>
      </c>
      <c r="H1690" s="9">
        <v>105</v>
      </c>
      <c r="I1690" s="9">
        <v>107</v>
      </c>
      <c r="J1690" s="9">
        <v>109</v>
      </c>
      <c r="K1690" s="9">
        <v>103</v>
      </c>
      <c r="L1690" s="9">
        <v>99</v>
      </c>
      <c r="M1690" s="9">
        <v>94.7</v>
      </c>
      <c r="N1690" s="9">
        <v>90.4</v>
      </c>
      <c r="O1690" s="9">
        <v>86.1</v>
      </c>
      <c r="P1690" s="9">
        <v>90.4</v>
      </c>
      <c r="Q1690" s="9">
        <v>90.4</v>
      </c>
      <c r="R1690" s="7">
        <f t="shared" si="15"/>
        <v>1.8072616248230089E-2</v>
      </c>
      <c r="S1690" s="9"/>
      <c r="T1690" s="9"/>
      <c r="U1690" s="9"/>
      <c r="V1690" s="9"/>
      <c r="W1690" s="9"/>
      <c r="X1690" s="9"/>
      <c r="Y1690" s="9"/>
      <c r="Z1690" s="9"/>
      <c r="AA1690" s="9"/>
      <c r="AB1690" s="9"/>
    </row>
    <row r="1691" spans="1:28" ht="14.4" hidden="1">
      <c r="A1691" s="3">
        <f>LOOKUP(D1691,'AMFI DATA_2023H2'!F:L,'AMFI DATA_2023H2'!L:L)</f>
        <v>50</v>
      </c>
      <c r="B1691" s="4" t="s">
        <v>159</v>
      </c>
      <c r="C1691" s="4" t="s">
        <v>160</v>
      </c>
      <c r="D1691" s="5" t="s">
        <v>161</v>
      </c>
      <c r="E1691" s="5">
        <v>104119.02</v>
      </c>
      <c r="F1691" s="6">
        <f>LOOKUP(D1691,'AMFI DATA_2023H2'!F:J,'AMFI DATA_2023H2'!J:J)</f>
        <v>117663.09825</v>
      </c>
      <c r="G1691" s="7">
        <f t="shared" si="14"/>
        <v>3.6246723173465334E-2</v>
      </c>
      <c r="H1691" s="8">
        <v>121928</v>
      </c>
      <c r="I1691" s="8">
        <v>121776</v>
      </c>
      <c r="J1691" s="8">
        <v>121454</v>
      </c>
      <c r="K1691" s="8">
        <v>124744</v>
      </c>
      <c r="L1691" s="8">
        <v>126716</v>
      </c>
      <c r="M1691" s="8">
        <v>124227</v>
      </c>
      <c r="N1691" s="8">
        <v>125549</v>
      </c>
      <c r="O1691" s="8">
        <v>124964</v>
      </c>
      <c r="P1691" s="8">
        <v>125208</v>
      </c>
      <c r="Q1691" s="8">
        <v>124476</v>
      </c>
      <c r="R1691" s="7">
        <f t="shared" si="15"/>
        <v>5.4741901630998457E-2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</row>
    <row r="1692" spans="1:28" ht="14.4" hidden="1">
      <c r="A1692" s="3">
        <f>LOOKUP(D1692,'AMFI DATA_2023H2'!F:L,'AMFI DATA_2023H2'!L:L)</f>
        <v>3485</v>
      </c>
      <c r="B1692" s="4" t="s">
        <v>5692</v>
      </c>
      <c r="C1692" s="4" t="s">
        <v>5693</v>
      </c>
      <c r="D1692" s="5" t="s">
        <v>5694</v>
      </c>
      <c r="E1692" s="5">
        <v>13.27</v>
      </c>
      <c r="F1692" s="6">
        <f>LOOKUP(D1692,'AMFI DATA_2023H2'!F:J,'AMFI DATA_2023H2'!J:J)</f>
        <v>18.40325</v>
      </c>
      <c r="G1692" s="7">
        <f t="shared" si="14"/>
        <v>0.50516892396723412</v>
      </c>
      <c r="H1692" s="9">
        <v>27.7</v>
      </c>
      <c r="I1692" s="9">
        <v>26</v>
      </c>
      <c r="J1692" s="9">
        <v>25.2</v>
      </c>
      <c r="K1692" s="9">
        <v>23.6</v>
      </c>
      <c r="L1692" s="9">
        <v>22.9</v>
      </c>
      <c r="M1692" s="9">
        <v>21.8</v>
      </c>
      <c r="N1692" s="9">
        <v>20.8</v>
      </c>
      <c r="O1692" s="9">
        <v>20.5</v>
      </c>
      <c r="P1692" s="9">
        <v>20.100000000000001</v>
      </c>
      <c r="Q1692" s="9">
        <v>19.899999999999999</v>
      </c>
      <c r="R1692" s="7">
        <f t="shared" si="15"/>
        <v>0.24162851670221297</v>
      </c>
      <c r="S1692" s="9"/>
      <c r="T1692" s="9"/>
      <c r="U1692" s="9"/>
      <c r="V1692" s="9"/>
      <c r="W1692" s="9"/>
      <c r="X1692" s="9"/>
      <c r="Y1692" s="9"/>
      <c r="Z1692" s="9"/>
      <c r="AA1692" s="9"/>
      <c r="AB1692" s="9"/>
    </row>
    <row r="1693" spans="1:28" ht="14.4" hidden="1">
      <c r="A1693" s="3">
        <f>LOOKUP(D1693,'AMFI DATA_2023H2'!F:L,'AMFI DATA_2023H2'!L:L)</f>
        <v>573</v>
      </c>
      <c r="B1693" s="4" t="s">
        <v>1698</v>
      </c>
      <c r="C1693" s="4" t="s">
        <v>1699</v>
      </c>
      <c r="D1693" s="5" t="s">
        <v>1700</v>
      </c>
      <c r="E1693" s="5">
        <v>3878.4</v>
      </c>
      <c r="F1693" s="6">
        <f>LOOKUP(D1693,'AMFI DATA_2023H2'!F:J,'AMFI DATA_2023H2'!J:J)</f>
        <v>6011.8141500000002</v>
      </c>
      <c r="G1693" s="7">
        <f t="shared" si="14"/>
        <v>0.43816821083865332</v>
      </c>
      <c r="H1693" s="8">
        <v>8646</v>
      </c>
      <c r="I1693" s="8">
        <v>8718</v>
      </c>
      <c r="J1693" s="8">
        <v>8782</v>
      </c>
      <c r="K1693" s="8">
        <v>8788</v>
      </c>
      <c r="L1693" s="8">
        <v>8741</v>
      </c>
      <c r="M1693" s="8">
        <v>8590</v>
      </c>
      <c r="N1693" s="8">
        <v>8416</v>
      </c>
      <c r="O1693" s="8">
        <v>7977</v>
      </c>
      <c r="P1693" s="8">
        <v>7974</v>
      </c>
      <c r="Q1693" s="8">
        <v>8113</v>
      </c>
      <c r="R1693" s="7">
        <f t="shared" si="15"/>
        <v>0.40964104820173119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</row>
    <row r="1694" spans="1:28" ht="14.4">
      <c r="A1694" s="3">
        <f>LOOKUP(D1694,'AMFI DATA_2023H2'!F:L,'AMFI DATA_2023H2'!L:L)</f>
        <v>635</v>
      </c>
      <c r="B1694" s="4" t="s">
        <v>1875</v>
      </c>
      <c r="C1694" s="4" t="s">
        <v>1876</v>
      </c>
      <c r="D1694" s="5" t="s">
        <v>1877</v>
      </c>
      <c r="E1694" s="5">
        <v>3025.88</v>
      </c>
      <c r="F1694" s="6">
        <f>LOOKUP(D1694,'AMFI DATA_2023H2'!F:J,'AMFI DATA_2023H2'!J:J)</f>
        <v>4697.8271000000004</v>
      </c>
      <c r="G1694" s="7">
        <f t="shared" si="14"/>
        <v>0.23652911789793185</v>
      </c>
      <c r="H1694" s="8">
        <v>5809</v>
      </c>
      <c r="I1694" s="8">
        <v>5769</v>
      </c>
      <c r="J1694" s="8">
        <v>5737</v>
      </c>
      <c r="K1694" s="8">
        <v>5794</v>
      </c>
      <c r="L1694" s="8">
        <v>5752</v>
      </c>
      <c r="M1694" s="8">
        <v>5818</v>
      </c>
      <c r="N1694" s="8">
        <v>5745</v>
      </c>
      <c r="O1694" s="8">
        <v>5608</v>
      </c>
      <c r="P1694" s="8">
        <v>5796</v>
      </c>
      <c r="Q1694" s="8">
        <v>5864</v>
      </c>
      <c r="R1694" s="14">
        <f t="shared" si="15"/>
        <v>0.22805711602285217</v>
      </c>
      <c r="S1694" s="8"/>
      <c r="T1694" s="8">
        <v>2512.1999999999998</v>
      </c>
      <c r="U1694" s="15">
        <f ca="1">IFERROR(__xludf.DUMMYFUNCTION("GOOGLEFINANCE(C1694,""PRICE"")"),2205)</f>
        <v>2205</v>
      </c>
      <c r="V1694" s="13" t="s">
        <v>5787</v>
      </c>
      <c r="W1694" s="7">
        <f ca="1">U1694/T1694-1</f>
        <v>-0.12228325770241222</v>
      </c>
      <c r="X1694" s="8"/>
      <c r="Y1694" s="8"/>
      <c r="Z1694" s="8"/>
      <c r="AA1694" s="8"/>
      <c r="AB1694" s="8"/>
    </row>
    <row r="1695" spans="1:28" ht="14.4" hidden="1">
      <c r="A1695" s="3">
        <f>LOOKUP(D1695,'AMFI DATA_2023H2'!F:L,'AMFI DATA_2023H2'!L:L)</f>
        <v>3037</v>
      </c>
      <c r="B1695" s="4" t="s">
        <v>5557</v>
      </c>
      <c r="C1695" s="4" t="s">
        <v>5558</v>
      </c>
      <c r="D1695" s="5" t="s">
        <v>5559</v>
      </c>
      <c r="E1695" s="5">
        <v>50.1</v>
      </c>
      <c r="F1695" s="6">
        <f>LOOKUP(D1695,'AMFI DATA_2023H2'!F:J,'AMFI DATA_2023H2'!J:J)</f>
        <v>36.006950000000003</v>
      </c>
      <c r="G1695" s="7">
        <f t="shared" si="14"/>
        <v>8.8678713415049071E-2</v>
      </c>
      <c r="H1695" s="9">
        <v>39.200000000000003</v>
      </c>
      <c r="I1695" s="9">
        <v>39.200000000000003</v>
      </c>
      <c r="J1695" s="9">
        <v>39.200000000000003</v>
      </c>
      <c r="K1695" s="9">
        <v>40</v>
      </c>
      <c r="L1695" s="9">
        <v>39.299999999999997</v>
      </c>
      <c r="M1695" s="9">
        <v>40.1</v>
      </c>
      <c r="N1695" s="9">
        <v>40.9</v>
      </c>
      <c r="O1695" s="9">
        <v>41.7</v>
      </c>
      <c r="P1695" s="9">
        <v>37.6</v>
      </c>
      <c r="Q1695" s="9">
        <v>35.9</v>
      </c>
      <c r="R1695" s="7">
        <f t="shared" si="15"/>
        <v>9.1733679192489204E-2</v>
      </c>
      <c r="S1695" s="9"/>
      <c r="T1695" s="9"/>
      <c r="U1695" s="9"/>
      <c r="V1695" s="9"/>
      <c r="W1695" s="9"/>
      <c r="X1695" s="9"/>
      <c r="Y1695" s="9"/>
      <c r="Z1695" s="9"/>
      <c r="AA1695" s="9"/>
      <c r="AB1695" s="9"/>
    </row>
    <row r="1696" spans="1:28" ht="14.4" hidden="1">
      <c r="A1696" s="3">
        <f>LOOKUP(D1696,'AMFI DATA_2023H2'!F:L,'AMFI DATA_2023H2'!L:L)</f>
        <v>543</v>
      </c>
      <c r="B1696" s="4" t="s">
        <v>1608</v>
      </c>
      <c r="C1696" s="4" t="s">
        <v>1609</v>
      </c>
      <c r="D1696" s="5" t="s">
        <v>1610</v>
      </c>
      <c r="E1696" s="5">
        <v>4683.8500000000004</v>
      </c>
      <c r="F1696" s="6">
        <f>LOOKUP(D1696,'AMFI DATA_2023H2'!F:J,'AMFI DATA_2023H2'!J:J)</f>
        <v>6544.4382499999992</v>
      </c>
      <c r="G1696" s="7">
        <f t="shared" si="14"/>
        <v>0.20728467412768414</v>
      </c>
      <c r="H1696" s="8">
        <v>7901</v>
      </c>
      <c r="I1696" s="8">
        <v>7970</v>
      </c>
      <c r="J1696" s="8">
        <v>7843</v>
      </c>
      <c r="K1696" s="8">
        <v>7915</v>
      </c>
      <c r="L1696" s="8">
        <v>7918</v>
      </c>
      <c r="M1696" s="8">
        <v>7672</v>
      </c>
      <c r="N1696" s="8">
        <v>7766</v>
      </c>
      <c r="O1696" s="8">
        <v>8022</v>
      </c>
      <c r="P1696" s="8">
        <v>7808</v>
      </c>
      <c r="Q1696" s="8">
        <v>7235</v>
      </c>
      <c r="R1696" s="7">
        <f t="shared" si="15"/>
        <v>0.19261572985274955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</row>
    <row r="1697" spans="1:28" ht="14.4" hidden="1">
      <c r="A1697" s="3">
        <f>LOOKUP(D1697,'AMFI DATA_2023H2'!F:L,'AMFI DATA_2023H2'!L:L)</f>
        <v>328</v>
      </c>
      <c r="B1697" s="4" t="s">
        <v>993</v>
      </c>
      <c r="C1697" s="4" t="s">
        <v>994</v>
      </c>
      <c r="D1697" s="5" t="s">
        <v>995</v>
      </c>
      <c r="E1697" s="5">
        <v>10209.07</v>
      </c>
      <c r="F1697" s="6">
        <f>LOOKUP(D1697,'AMFI DATA_2023H2'!F:J,'AMFI DATA_2023H2'!J:J)</f>
        <v>14175.738499999999</v>
      </c>
      <c r="G1697" s="7">
        <f t="shared" si="14"/>
        <v>3.7970614370461231E-2</v>
      </c>
      <c r="H1697" s="8">
        <v>14714</v>
      </c>
      <c r="I1697" s="8">
        <v>14585</v>
      </c>
      <c r="J1697" s="8">
        <v>14499</v>
      </c>
      <c r="K1697" s="8">
        <v>14661</v>
      </c>
      <c r="L1697" s="8">
        <v>14844</v>
      </c>
      <c r="M1697" s="8">
        <v>14785</v>
      </c>
      <c r="N1697" s="8">
        <v>14713</v>
      </c>
      <c r="O1697" s="8">
        <v>14719</v>
      </c>
      <c r="P1697" s="8">
        <v>14546</v>
      </c>
      <c r="Q1697" s="8">
        <v>14511</v>
      </c>
      <c r="R1697" s="7">
        <f t="shared" si="15"/>
        <v>3.3999039979469181E-2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</row>
    <row r="1698" spans="1:28" ht="14.4" hidden="1">
      <c r="A1698" s="3">
        <f>LOOKUP(D1698,'AMFI DATA_2023H2'!F:L,'AMFI DATA_2023H2'!L:L)</f>
        <v>1813</v>
      </c>
      <c r="B1698" s="4" t="s">
        <v>4487</v>
      </c>
      <c r="C1698" s="4" t="s">
        <v>4488</v>
      </c>
      <c r="D1698" s="5" t="s">
        <v>4489</v>
      </c>
      <c r="E1698" s="5">
        <v>211.19</v>
      </c>
      <c r="F1698" s="6">
        <f>LOOKUP(D1698,'AMFI DATA_2023H2'!F:J,'AMFI DATA_2023H2'!J:J)</f>
        <v>265.13240000000002</v>
      </c>
      <c r="G1698" s="7">
        <f t="shared" si="14"/>
        <v>0.13151014361126734</v>
      </c>
      <c r="H1698" s="9">
        <v>300</v>
      </c>
      <c r="I1698" s="9">
        <v>299</v>
      </c>
      <c r="J1698" s="9">
        <v>300</v>
      </c>
      <c r="K1698" s="9">
        <v>300</v>
      </c>
      <c r="L1698" s="9">
        <v>298</v>
      </c>
      <c r="M1698" s="9">
        <v>303</v>
      </c>
      <c r="N1698" s="9">
        <v>302</v>
      </c>
      <c r="O1698" s="9">
        <v>300</v>
      </c>
      <c r="P1698" s="9">
        <v>305</v>
      </c>
      <c r="Q1698" s="9">
        <v>310</v>
      </c>
      <c r="R1698" s="7">
        <f t="shared" si="15"/>
        <v>0.13792203442506445</v>
      </c>
      <c r="S1698" s="9"/>
      <c r="T1698" s="9"/>
      <c r="U1698" s="9"/>
      <c r="V1698" s="9"/>
      <c r="W1698" s="9"/>
      <c r="X1698" s="9"/>
      <c r="Y1698" s="9"/>
      <c r="Z1698" s="9"/>
      <c r="AA1698" s="9"/>
      <c r="AB1698" s="9"/>
    </row>
    <row r="1699" spans="1:28" ht="14.4" hidden="1">
      <c r="A1699" s="3">
        <f>LOOKUP(D1699,'AMFI DATA_2023H2'!F:L,'AMFI DATA_2023H2'!L:L)</f>
        <v>2716</v>
      </c>
      <c r="B1699" s="4" t="s">
        <v>5434</v>
      </c>
      <c r="C1699" s="4" t="s">
        <v>5435</v>
      </c>
      <c r="D1699" s="5" t="s">
        <v>5436</v>
      </c>
      <c r="E1699" s="5">
        <v>50.7</v>
      </c>
      <c r="F1699" s="6">
        <f>LOOKUP(D1699,'AMFI DATA_2023H2'!F:J,'AMFI DATA_2023H2'!J:J)</f>
        <v>57.732500000000002</v>
      </c>
      <c r="G1699" s="7">
        <f t="shared" si="14"/>
        <v>0.32680898973714956</v>
      </c>
      <c r="H1699" s="9">
        <v>76.599999999999994</v>
      </c>
      <c r="I1699" s="9">
        <v>77.099999999999994</v>
      </c>
      <c r="J1699" s="9">
        <v>76.8</v>
      </c>
      <c r="K1699" s="9">
        <v>77.3</v>
      </c>
      <c r="L1699" s="9">
        <v>77.7</v>
      </c>
      <c r="M1699" s="9">
        <v>79.2</v>
      </c>
      <c r="N1699" s="9">
        <v>76.2</v>
      </c>
      <c r="O1699" s="9">
        <v>77.8</v>
      </c>
      <c r="P1699" s="9">
        <v>80</v>
      </c>
      <c r="Q1699" s="9">
        <v>79.2</v>
      </c>
      <c r="R1699" s="7">
        <f t="shared" si="15"/>
        <v>0.34742129649677378</v>
      </c>
      <c r="S1699" s="9"/>
      <c r="T1699" s="9"/>
      <c r="U1699" s="9"/>
      <c r="V1699" s="9"/>
      <c r="W1699" s="9"/>
      <c r="X1699" s="9"/>
      <c r="Y1699" s="9"/>
      <c r="Z1699" s="9"/>
      <c r="AA1699" s="9"/>
      <c r="AB1699" s="9"/>
    </row>
    <row r="1700" spans="1:28" ht="14.4" hidden="1">
      <c r="A1700" s="3">
        <f>LOOKUP(D1700,'AMFI DATA_2023H2'!F:L,'AMFI DATA_2023H2'!L:L)</f>
        <v>1188</v>
      </c>
      <c r="B1700" s="4" t="s">
        <v>3317</v>
      </c>
      <c r="C1700" s="4" t="s">
        <v>3318</v>
      </c>
      <c r="D1700" s="5" t="s">
        <v>3319</v>
      </c>
      <c r="E1700" s="5">
        <v>708.8</v>
      </c>
      <c r="F1700" s="6">
        <f>LOOKUP(D1700,'AMFI DATA_2023H2'!F:J,'AMFI DATA_2023H2'!J:J)</f>
        <v>1073.9521</v>
      </c>
      <c r="G1700" s="7">
        <f t="shared" si="14"/>
        <v>0.23748535898388767</v>
      </c>
      <c r="H1700" s="8">
        <v>1329</v>
      </c>
      <c r="I1700" s="8">
        <v>1339</v>
      </c>
      <c r="J1700" s="8">
        <v>1341</v>
      </c>
      <c r="K1700" s="8">
        <v>1338</v>
      </c>
      <c r="L1700" s="8">
        <v>1351</v>
      </c>
      <c r="M1700" s="8">
        <v>1334</v>
      </c>
      <c r="N1700" s="8">
        <v>1313</v>
      </c>
      <c r="O1700" s="8">
        <v>1358</v>
      </c>
      <c r="P1700" s="8">
        <v>1386</v>
      </c>
      <c r="Q1700" s="8">
        <v>1368</v>
      </c>
      <c r="R1700" s="7">
        <f t="shared" si="15"/>
        <v>0.25303540074087105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</row>
    <row r="1701" spans="1:28" ht="14.4" hidden="1">
      <c r="A1701" s="3">
        <f>LOOKUP(D1701,'AMFI DATA_2023H2'!F:L,'AMFI DATA_2023H2'!L:L)</f>
        <v>666</v>
      </c>
      <c r="B1701" s="4" t="s">
        <v>1953</v>
      </c>
      <c r="C1701" s="4" t="s">
        <v>1954</v>
      </c>
      <c r="D1701" s="5" t="s">
        <v>1955</v>
      </c>
      <c r="E1701" s="5">
        <v>1743.41</v>
      </c>
      <c r="F1701" s="6">
        <f>LOOKUP(D1701,'AMFI DATA_2023H2'!F:J,'AMFI DATA_2023H2'!J:J)</f>
        <v>4248.9231</v>
      </c>
      <c r="G1701" s="7">
        <f t="shared" si="14"/>
        <v>0.57475196479785673</v>
      </c>
      <c r="H1701" s="8">
        <v>6691</v>
      </c>
      <c r="I1701" s="8">
        <v>6659</v>
      </c>
      <c r="J1701" s="8">
        <v>6647</v>
      </c>
      <c r="K1701" s="8">
        <v>6545</v>
      </c>
      <c r="L1701" s="8">
        <v>6664</v>
      </c>
      <c r="M1701" s="8">
        <v>6565</v>
      </c>
      <c r="N1701" s="8">
        <v>6490</v>
      </c>
      <c r="O1701" s="8">
        <v>6653</v>
      </c>
      <c r="P1701" s="8">
        <v>6789</v>
      </c>
      <c r="Q1701" s="8">
        <v>6634</v>
      </c>
      <c r="R1701" s="7">
        <f t="shared" si="15"/>
        <v>0.56126619472119876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</row>
    <row r="1702" spans="1:28" ht="14.4" hidden="1">
      <c r="A1702" s="3">
        <f>LOOKUP(D1702,'AMFI DATA_2023H2'!F:L,'AMFI DATA_2023H2'!L:L)</f>
        <v>1949</v>
      </c>
      <c r="B1702" s="4" t="s">
        <v>4661</v>
      </c>
      <c r="C1702" s="4" t="s">
        <v>4662</v>
      </c>
      <c r="D1702" s="5" t="s">
        <v>4663</v>
      </c>
      <c r="E1702" s="5">
        <v>161.53</v>
      </c>
      <c r="F1702" s="6">
        <f>LOOKUP(D1702,'AMFI DATA_2023H2'!F:J,'AMFI DATA_2023H2'!J:J)</f>
        <v>203.71195</v>
      </c>
      <c r="G1702" s="7">
        <f t="shared" si="14"/>
        <v>0.11431852672364085</v>
      </c>
      <c r="H1702" s="9">
        <v>227</v>
      </c>
      <c r="I1702" s="9">
        <v>237</v>
      </c>
      <c r="J1702" s="9">
        <v>216</v>
      </c>
      <c r="K1702" s="9">
        <v>214</v>
      </c>
      <c r="L1702" s="9">
        <v>216</v>
      </c>
      <c r="M1702" s="9">
        <v>214</v>
      </c>
      <c r="N1702" s="9">
        <v>216</v>
      </c>
      <c r="O1702" s="9">
        <v>217</v>
      </c>
      <c r="P1702" s="9">
        <v>220</v>
      </c>
      <c r="Q1702" s="9">
        <v>219</v>
      </c>
      <c r="R1702" s="7">
        <f t="shared" si="15"/>
        <v>7.7992724530887791E-2</v>
      </c>
      <c r="S1702" s="9"/>
      <c r="T1702" s="9"/>
      <c r="U1702" s="9"/>
      <c r="V1702" s="9"/>
      <c r="W1702" s="9"/>
      <c r="X1702" s="9"/>
      <c r="Y1702" s="9"/>
      <c r="Z1702" s="9"/>
      <c r="AA1702" s="9"/>
      <c r="AB1702" s="9"/>
    </row>
    <row r="1703" spans="1:28" ht="14.4" hidden="1">
      <c r="A1703" s="3">
        <f>LOOKUP(D1703,'AMFI DATA_2023H2'!F:L,'AMFI DATA_2023H2'!L:L)</f>
        <v>3051</v>
      </c>
      <c r="B1703" s="4" t="s">
        <v>5569</v>
      </c>
      <c r="C1703" s="4" t="s">
        <v>5570</v>
      </c>
      <c r="D1703" s="5" t="s">
        <v>5571</v>
      </c>
      <c r="E1703" s="5">
        <v>29.79</v>
      </c>
      <c r="F1703" s="6">
        <f>LOOKUP(D1703,'AMFI DATA_2023H2'!F:J,'AMFI DATA_2023H2'!J:J)</f>
        <v>34.992350000000002</v>
      </c>
      <c r="G1703" s="7">
        <f t="shared" si="14"/>
        <v>0.20026234305498192</v>
      </c>
      <c r="H1703" s="9">
        <v>42</v>
      </c>
      <c r="I1703" s="9">
        <v>41.2</v>
      </c>
      <c r="J1703" s="9">
        <v>41.9</v>
      </c>
      <c r="K1703" s="9">
        <v>42.8</v>
      </c>
      <c r="L1703" s="9">
        <v>43.6</v>
      </c>
      <c r="M1703" s="9">
        <v>44.5</v>
      </c>
      <c r="N1703" s="9">
        <v>45.4</v>
      </c>
      <c r="O1703" s="9">
        <v>46.3</v>
      </c>
      <c r="P1703" s="9">
        <v>47</v>
      </c>
      <c r="Q1703" s="9">
        <v>48</v>
      </c>
      <c r="R1703" s="7">
        <f t="shared" si="15"/>
        <v>0.26513366492962009</v>
      </c>
      <c r="S1703" s="9"/>
      <c r="T1703" s="9"/>
      <c r="U1703" s="9"/>
      <c r="V1703" s="9"/>
      <c r="W1703" s="9"/>
      <c r="X1703" s="9"/>
      <c r="Y1703" s="9"/>
      <c r="Z1703" s="9"/>
      <c r="AA1703" s="9"/>
      <c r="AB1703" s="9"/>
    </row>
    <row r="1704" spans="1:28" ht="14.4" hidden="1">
      <c r="A1704" s="3">
        <f>LOOKUP(D1704,'AMFI DATA_2023H2'!F:L,'AMFI DATA_2023H2'!L:L)</f>
        <v>739</v>
      </c>
      <c r="B1704" s="4" t="s">
        <v>2162</v>
      </c>
      <c r="C1704" s="4" t="s">
        <v>2163</v>
      </c>
      <c r="D1704" s="5" t="s">
        <v>2164</v>
      </c>
      <c r="E1704" s="5">
        <v>1560.19</v>
      </c>
      <c r="F1704" s="6">
        <f>LOOKUP(D1704,'AMFI DATA_2023H2'!F:J,'AMFI DATA_2023H2'!J:J)</f>
        <v>3444.9784500000001</v>
      </c>
      <c r="G1704" s="7">
        <f t="shared" si="14"/>
        <v>9.2024247640794421E-2</v>
      </c>
      <c r="H1704" s="8">
        <v>3762</v>
      </c>
      <c r="I1704" s="8">
        <v>3741</v>
      </c>
      <c r="J1704" s="8">
        <v>3761</v>
      </c>
      <c r="K1704" s="8">
        <v>3757</v>
      </c>
      <c r="L1704" s="8">
        <v>3811</v>
      </c>
      <c r="M1704" s="8">
        <v>4124</v>
      </c>
      <c r="N1704" s="8">
        <v>4123</v>
      </c>
      <c r="O1704" s="8">
        <v>4177</v>
      </c>
      <c r="P1704" s="8">
        <v>4096</v>
      </c>
      <c r="Q1704" s="8">
        <v>3870</v>
      </c>
      <c r="R1704" s="7">
        <f t="shared" si="15"/>
        <v>0.13852671560253138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</row>
    <row r="1705" spans="1:28" ht="14.4" hidden="1">
      <c r="A1705" s="3">
        <f>LOOKUP(D1705,'AMFI DATA_2023H2'!F:L,'AMFI DATA_2023H2'!L:L)</f>
        <v>1040</v>
      </c>
      <c r="B1705" s="4" t="s">
        <v>2969</v>
      </c>
      <c r="C1705" s="4" t="s">
        <v>2970</v>
      </c>
      <c r="D1705" s="5" t="s">
        <v>2971</v>
      </c>
      <c r="E1705" s="5">
        <v>1616.05</v>
      </c>
      <c r="F1705" s="6">
        <f>LOOKUP(D1705,'AMFI DATA_2023H2'!F:J,'AMFI DATA_2023H2'!J:J)</f>
        <v>1519.0830000000001</v>
      </c>
      <c r="G1705" s="7">
        <f t="shared" si="14"/>
        <v>-1.1245600141664425E-2</v>
      </c>
      <c r="H1705" s="8">
        <v>1502</v>
      </c>
      <c r="I1705" s="8">
        <v>1513</v>
      </c>
      <c r="J1705" s="8">
        <v>1519</v>
      </c>
      <c r="K1705" s="8">
        <v>1518</v>
      </c>
      <c r="L1705" s="8">
        <v>1506</v>
      </c>
      <c r="M1705" s="8">
        <v>1509</v>
      </c>
      <c r="N1705" s="8">
        <v>1501</v>
      </c>
      <c r="O1705" s="8">
        <v>1499</v>
      </c>
      <c r="P1705" s="8">
        <v>1472</v>
      </c>
      <c r="Q1705" s="8">
        <v>1477</v>
      </c>
      <c r="R1705" s="7">
        <f t="shared" si="15"/>
        <v>-1.1508916892625454E-2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</row>
    <row r="1706" spans="1:28" ht="14.4">
      <c r="A1706" s="3">
        <f>LOOKUP(D1706,'AMFI DATA_2023H2'!F:L,'AMFI DATA_2023H2'!L:L)</f>
        <v>885</v>
      </c>
      <c r="B1706" s="4" t="s">
        <v>2567</v>
      </c>
      <c r="C1706" s="4" t="s">
        <v>2568</v>
      </c>
      <c r="D1706" s="5" t="s">
        <v>2569</v>
      </c>
      <c r="E1706" s="5">
        <v>1183.6099999999999</v>
      </c>
      <c r="F1706" s="6">
        <f>LOOKUP(D1706,'AMFI DATA_2023H2'!F:J,'AMFI DATA_2023H2'!J:J)</f>
        <v>2237.1968500000003</v>
      </c>
      <c r="G1706" s="7">
        <f t="shared" si="14"/>
        <v>0.20597344842497867</v>
      </c>
      <c r="H1706" s="8">
        <v>2698</v>
      </c>
      <c r="I1706" s="8">
        <v>2685</v>
      </c>
      <c r="J1706" s="8">
        <v>2695</v>
      </c>
      <c r="K1706" s="8">
        <v>2642</v>
      </c>
      <c r="L1706" s="8">
        <v>2667</v>
      </c>
      <c r="M1706" s="8">
        <v>2706</v>
      </c>
      <c r="N1706" s="8">
        <v>2744</v>
      </c>
      <c r="O1706" s="8">
        <v>2706</v>
      </c>
      <c r="P1706" s="8">
        <v>2713</v>
      </c>
      <c r="Q1706" s="8">
        <v>2615</v>
      </c>
      <c r="R1706" s="14">
        <f t="shared" si="15"/>
        <v>0.20110127993430682</v>
      </c>
      <c r="S1706" s="8"/>
      <c r="T1706" s="8">
        <v>2706</v>
      </c>
      <c r="U1706" s="15">
        <f ca="1">IFERROR(__xludf.DUMMYFUNCTION("GOOGLEFINANCE(C1706,""PRICE"")"),3025)</f>
        <v>3025</v>
      </c>
      <c r="V1706" s="13" t="s">
        <v>5787</v>
      </c>
      <c r="W1706" s="7">
        <f ca="1">U1706/T1706-1</f>
        <v>0.11788617886178865</v>
      </c>
      <c r="X1706" s="8"/>
      <c r="Y1706" s="8"/>
      <c r="Z1706" s="8"/>
      <c r="AA1706" s="8"/>
      <c r="AB1706" s="8"/>
    </row>
    <row r="1707" spans="1:28" ht="14.4" hidden="1">
      <c r="A1707" s="3">
        <f>LOOKUP(D1707,'AMFI DATA_2023H2'!F:L,'AMFI DATA_2023H2'!L:L)</f>
        <v>2017</v>
      </c>
      <c r="B1707" s="4" t="s">
        <v>4769</v>
      </c>
      <c r="C1707" s="4" t="s">
        <v>4770</v>
      </c>
      <c r="D1707" s="5" t="s">
        <v>4771</v>
      </c>
      <c r="E1707" s="5">
        <v>162.33000000000001</v>
      </c>
      <c r="F1707" s="6">
        <f>LOOKUP(D1707,'AMFI DATA_2023H2'!F:J,'AMFI DATA_2023H2'!J:J)</f>
        <v>183.23840000000001</v>
      </c>
      <c r="G1707" s="7">
        <f t="shared" si="14"/>
        <v>0.38617233069051027</v>
      </c>
      <c r="H1707" s="9">
        <v>254</v>
      </c>
      <c r="I1707" s="9">
        <v>246</v>
      </c>
      <c r="J1707" s="9">
        <v>241</v>
      </c>
      <c r="K1707" s="9">
        <v>238</v>
      </c>
      <c r="L1707" s="9">
        <v>242</v>
      </c>
      <c r="M1707" s="9">
        <v>243</v>
      </c>
      <c r="N1707" s="9">
        <v>253</v>
      </c>
      <c r="O1707" s="9">
        <v>246</v>
      </c>
      <c r="P1707" s="9">
        <v>235</v>
      </c>
      <c r="Q1707" s="9">
        <v>237</v>
      </c>
      <c r="R1707" s="7">
        <f t="shared" si="15"/>
        <v>0.32886993119346153</v>
      </c>
      <c r="S1707" s="9"/>
      <c r="T1707" s="9"/>
      <c r="U1707" s="9"/>
      <c r="V1707" s="9"/>
      <c r="W1707" s="9"/>
      <c r="X1707" s="9"/>
      <c r="Y1707" s="9"/>
      <c r="Z1707" s="9"/>
      <c r="AA1707" s="9"/>
      <c r="AB1707" s="9"/>
    </row>
    <row r="1708" spans="1:28" ht="14.4" hidden="1">
      <c r="A1708" s="3">
        <f>LOOKUP(D1708,'AMFI DATA_2023H2'!F:L,'AMFI DATA_2023H2'!L:L)</f>
        <v>186</v>
      </c>
      <c r="B1708" s="4" t="s">
        <v>567</v>
      </c>
      <c r="C1708" s="4" t="s">
        <v>568</v>
      </c>
      <c r="D1708" s="5" t="s">
        <v>569</v>
      </c>
      <c r="E1708" s="5">
        <v>27450.74</v>
      </c>
      <c r="F1708" s="6">
        <f>LOOKUP(D1708,'AMFI DATA_2023H2'!F:J,'AMFI DATA_2023H2'!J:J)</f>
        <v>33549.671849999999</v>
      </c>
      <c r="G1708" s="7">
        <f t="shared" si="14"/>
        <v>0.12144166918282395</v>
      </c>
      <c r="H1708" s="8">
        <v>37624</v>
      </c>
      <c r="I1708" s="8">
        <v>37681</v>
      </c>
      <c r="J1708" s="8">
        <v>36927</v>
      </c>
      <c r="K1708" s="8">
        <v>36963</v>
      </c>
      <c r="L1708" s="8">
        <v>38082</v>
      </c>
      <c r="M1708" s="8">
        <v>38070</v>
      </c>
      <c r="N1708" s="8">
        <v>37825</v>
      </c>
      <c r="O1708" s="8">
        <v>37447</v>
      </c>
      <c r="P1708" s="8">
        <v>37472</v>
      </c>
      <c r="Q1708" s="8">
        <v>37472</v>
      </c>
      <c r="R1708" s="7">
        <f t="shared" si="15"/>
        <v>0.11942376569027457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</row>
    <row r="1709" spans="1:28" ht="14.4" hidden="1">
      <c r="A1709" s="3">
        <f>LOOKUP(D1709,'AMFI DATA_2023H2'!F:L,'AMFI DATA_2023H2'!L:L)</f>
        <v>366</v>
      </c>
      <c r="B1709" s="4" t="s">
        <v>1104</v>
      </c>
      <c r="C1709" s="4" t="s">
        <v>1105</v>
      </c>
      <c r="D1709" s="5" t="s">
        <v>1106</v>
      </c>
      <c r="E1709" s="5">
        <v>9411.2000000000007</v>
      </c>
      <c r="F1709" s="6">
        <f>LOOKUP(D1709,'AMFI DATA_2023H2'!F:J,'AMFI DATA_2023H2'!J:J)</f>
        <v>11827.921600000001</v>
      </c>
      <c r="G1709" s="7">
        <f t="shared" si="14"/>
        <v>0.17924352829663648</v>
      </c>
      <c r="H1709" s="8">
        <v>13948</v>
      </c>
      <c r="I1709" s="8">
        <v>13918</v>
      </c>
      <c r="J1709" s="8">
        <v>14177</v>
      </c>
      <c r="K1709" s="8">
        <v>13963</v>
      </c>
      <c r="L1709" s="8">
        <v>13891</v>
      </c>
      <c r="M1709" s="8">
        <v>13959</v>
      </c>
      <c r="N1709" s="8">
        <v>13873</v>
      </c>
      <c r="O1709" s="8">
        <v>14020</v>
      </c>
      <c r="P1709" s="8">
        <v>14248</v>
      </c>
      <c r="Q1709" s="8">
        <v>14507</v>
      </c>
      <c r="R1709" s="7">
        <f t="shared" si="15"/>
        <v>0.1879010087452726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</row>
    <row r="1710" spans="1:28" ht="14.4" hidden="1">
      <c r="A1710" s="3">
        <f>LOOKUP(D1710,'AMFI DATA_2023H2'!F:L,'AMFI DATA_2023H2'!L:L)</f>
        <v>2356</v>
      </c>
      <c r="B1710" s="4" t="s">
        <v>5177</v>
      </c>
      <c r="C1710" s="4" t="s">
        <v>5178</v>
      </c>
      <c r="D1710" s="5" t="s">
        <v>5179</v>
      </c>
      <c r="E1710" s="5">
        <v>92.43</v>
      </c>
      <c r="F1710" s="6">
        <f>LOOKUP(D1710,'AMFI DATA_2023H2'!F:J,'AMFI DATA_2023H2'!J:J)</f>
        <v>103.47450000000001</v>
      </c>
      <c r="G1710" s="7">
        <f t="shared" si="14"/>
        <v>0.15004179773760673</v>
      </c>
      <c r="H1710" s="9">
        <v>119</v>
      </c>
      <c r="I1710" s="9">
        <v>109</v>
      </c>
      <c r="J1710" s="9">
        <v>108</v>
      </c>
      <c r="K1710" s="9">
        <v>106</v>
      </c>
      <c r="L1710" s="9">
        <v>107</v>
      </c>
      <c r="M1710" s="9">
        <v>106</v>
      </c>
      <c r="N1710" s="9">
        <v>108</v>
      </c>
      <c r="O1710" s="9">
        <v>110</v>
      </c>
      <c r="P1710" s="9">
        <v>109</v>
      </c>
      <c r="Q1710" s="9">
        <v>109</v>
      </c>
      <c r="R1710" s="7">
        <f t="shared" si="15"/>
        <v>5.4366051539268101E-2</v>
      </c>
      <c r="S1710" s="9"/>
      <c r="T1710" s="9"/>
      <c r="U1710" s="9"/>
      <c r="V1710" s="9"/>
      <c r="W1710" s="9"/>
      <c r="X1710" s="9"/>
      <c r="Y1710" s="9"/>
      <c r="Z1710" s="9"/>
      <c r="AA1710" s="9"/>
      <c r="AB1710" s="9"/>
    </row>
    <row r="1711" spans="1:28" ht="14.4" hidden="1">
      <c r="A1711" s="3">
        <f>LOOKUP(D1711,'AMFI DATA_2023H2'!F:L,'AMFI DATA_2023H2'!L:L)</f>
        <v>1321</v>
      </c>
      <c r="B1711" s="4" t="s">
        <v>3620</v>
      </c>
      <c r="C1711" s="4" t="s">
        <v>3621</v>
      </c>
      <c r="D1711" s="5" t="s">
        <v>3622</v>
      </c>
      <c r="E1711" s="5">
        <v>516.73</v>
      </c>
      <c r="F1711" s="6">
        <f>LOOKUP(D1711,'AMFI DATA_2023H2'!F:J,'AMFI DATA_2023H2'!J:J)</f>
        <v>769.62670000000003</v>
      </c>
      <c r="G1711" s="7">
        <f t="shared" si="14"/>
        <v>0.170697430325637</v>
      </c>
      <c r="H1711" s="9">
        <v>901</v>
      </c>
      <c r="I1711" s="9">
        <v>901</v>
      </c>
      <c r="J1711" s="9">
        <v>902</v>
      </c>
      <c r="K1711" s="9">
        <v>879</v>
      </c>
      <c r="L1711" s="9">
        <v>896</v>
      </c>
      <c r="M1711" s="9">
        <v>856</v>
      </c>
      <c r="N1711" s="9">
        <v>853</v>
      </c>
      <c r="O1711" s="9">
        <v>856</v>
      </c>
      <c r="P1711" s="9">
        <v>847</v>
      </c>
      <c r="Q1711" s="9">
        <v>862</v>
      </c>
      <c r="R1711" s="7">
        <f t="shared" si="15"/>
        <v>0.13730461794009985</v>
      </c>
      <c r="S1711" s="9"/>
      <c r="T1711" s="9"/>
      <c r="U1711" s="9"/>
      <c r="V1711" s="9"/>
      <c r="W1711" s="9"/>
      <c r="X1711" s="9"/>
      <c r="Y1711" s="9"/>
      <c r="Z1711" s="9"/>
      <c r="AA1711" s="9"/>
      <c r="AB1711" s="9"/>
    </row>
    <row r="1712" spans="1:28" ht="14.4" hidden="1">
      <c r="A1712" s="3">
        <f>LOOKUP(D1712,'AMFI DATA_2023H2'!F:L,'AMFI DATA_2023H2'!L:L)</f>
        <v>512</v>
      </c>
      <c r="B1712" s="4" t="s">
        <v>1521</v>
      </c>
      <c r="C1712" s="4" t="s">
        <v>1522</v>
      </c>
      <c r="D1712" s="5" t="s">
        <v>1523</v>
      </c>
      <c r="E1712" s="5">
        <v>6156.86</v>
      </c>
      <c r="F1712" s="6">
        <f>LOOKUP(D1712,'AMFI DATA_2023H2'!F:J,'AMFI DATA_2023H2'!J:J)</f>
        <v>7160.77225</v>
      </c>
      <c r="G1712" s="7">
        <f t="shared" si="14"/>
        <v>0.14875878087031746</v>
      </c>
      <c r="H1712" s="8">
        <v>8226</v>
      </c>
      <c r="I1712" s="8">
        <v>8463</v>
      </c>
      <c r="J1712" s="8">
        <v>8143</v>
      </c>
      <c r="K1712" s="8">
        <v>8090</v>
      </c>
      <c r="L1712" s="8">
        <v>8094</v>
      </c>
      <c r="M1712" s="8">
        <v>8023</v>
      </c>
      <c r="N1712" s="8">
        <v>7964</v>
      </c>
      <c r="O1712" s="8">
        <v>8000</v>
      </c>
      <c r="P1712" s="8">
        <v>8090</v>
      </c>
      <c r="Q1712" s="8">
        <v>7792</v>
      </c>
      <c r="R1712" s="7">
        <f t="shared" si="15"/>
        <v>0.12955694129219086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</row>
    <row r="1713" spans="1:28" ht="14.4" hidden="1">
      <c r="A1713" s="3">
        <f>LOOKUP(D1713,'AMFI DATA_2023H2'!F:L,'AMFI DATA_2023H2'!L:L)</f>
        <v>111</v>
      </c>
      <c r="B1713" s="4" t="s">
        <v>345</v>
      </c>
      <c r="C1713" s="4" t="s">
        <v>346</v>
      </c>
      <c r="D1713" s="5" t="s">
        <v>347</v>
      </c>
      <c r="E1713" s="5">
        <v>48137.83</v>
      </c>
      <c r="F1713" s="6">
        <f>LOOKUP(D1713,'AMFI DATA_2023H2'!F:J,'AMFI DATA_2023H2'!J:J)</f>
        <v>57990.794349999996</v>
      </c>
      <c r="G1713" s="7">
        <f t="shared" si="14"/>
        <v>0.11728078096243566</v>
      </c>
      <c r="H1713" s="8">
        <v>64792</v>
      </c>
      <c r="I1713" s="8">
        <v>65736</v>
      </c>
      <c r="J1713" s="8">
        <v>64152</v>
      </c>
      <c r="K1713" s="8">
        <v>62050</v>
      </c>
      <c r="L1713" s="8">
        <v>61958</v>
      </c>
      <c r="M1713" s="8">
        <v>62242</v>
      </c>
      <c r="N1713" s="8">
        <v>61681</v>
      </c>
      <c r="O1713" s="8">
        <v>62050</v>
      </c>
      <c r="P1713" s="8">
        <v>61972</v>
      </c>
      <c r="Q1713" s="8">
        <v>62384</v>
      </c>
      <c r="R1713" s="7">
        <f t="shared" si="15"/>
        <v>8.4684227989023864E-2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</row>
    <row r="1714" spans="1:28" ht="14.4" hidden="1">
      <c r="A1714" s="3">
        <f>LOOKUP(D1714,'AMFI DATA_2023H2'!F:L,'AMFI DATA_2023H2'!L:L)</f>
        <v>1545</v>
      </c>
      <c r="B1714" s="4" t="s">
        <v>4049</v>
      </c>
      <c r="C1714" s="4" t="s">
        <v>4050</v>
      </c>
      <c r="D1714" s="5" t="s">
        <v>4051</v>
      </c>
      <c r="E1714" s="5">
        <v>435.07</v>
      </c>
      <c r="F1714" s="6">
        <f>LOOKUP(D1714,'AMFI DATA_2023H2'!F:J,'AMFI DATA_2023H2'!J:J)</f>
        <v>461.45085</v>
      </c>
      <c r="G1714" s="7">
        <f t="shared" si="14"/>
        <v>0.43893981341674859</v>
      </c>
      <c r="H1714" s="9">
        <v>664</v>
      </c>
      <c r="I1714" s="9">
        <v>679</v>
      </c>
      <c r="J1714" s="9">
        <v>658</v>
      </c>
      <c r="K1714" s="9">
        <v>643</v>
      </c>
      <c r="L1714" s="9">
        <v>642</v>
      </c>
      <c r="M1714" s="9">
        <v>612</v>
      </c>
      <c r="N1714" s="9">
        <v>624</v>
      </c>
      <c r="O1714" s="9">
        <v>600</v>
      </c>
      <c r="P1714" s="9">
        <v>571</v>
      </c>
      <c r="Q1714" s="9">
        <v>554</v>
      </c>
      <c r="R1714" s="7">
        <f t="shared" si="15"/>
        <v>0.35377364674916101</v>
      </c>
      <c r="S1714" s="9"/>
      <c r="T1714" s="9"/>
      <c r="U1714" s="9"/>
      <c r="V1714" s="9"/>
      <c r="W1714" s="9"/>
      <c r="X1714" s="9"/>
      <c r="Y1714" s="9"/>
      <c r="Z1714" s="9"/>
      <c r="AA1714" s="9"/>
      <c r="AB1714" s="9"/>
    </row>
    <row r="1715" spans="1:28" ht="14.4" hidden="1">
      <c r="A1715" s="3">
        <f>LOOKUP(D1715,'AMFI DATA_2023H2'!F:L,'AMFI DATA_2023H2'!L:L)</f>
        <v>421</v>
      </c>
      <c r="B1715" s="4" t="s">
        <v>1263</v>
      </c>
      <c r="C1715" s="4" t="s">
        <v>1264</v>
      </c>
      <c r="D1715" s="5" t="s">
        <v>1265</v>
      </c>
      <c r="E1715" s="5">
        <v>5131.22</v>
      </c>
      <c r="F1715" s="6">
        <f>LOOKUP(D1715,'AMFI DATA_2023H2'!F:J,'AMFI DATA_2023H2'!J:J)</f>
        <v>9689.3378499999999</v>
      </c>
      <c r="G1715" s="7">
        <f t="shared" si="14"/>
        <v>0.47399133161612284</v>
      </c>
      <c r="H1715" s="8">
        <v>14282</v>
      </c>
      <c r="I1715" s="8">
        <v>14200</v>
      </c>
      <c r="J1715" s="8">
        <v>13759</v>
      </c>
      <c r="K1715" s="8">
        <v>13699</v>
      </c>
      <c r="L1715" s="8">
        <v>13737</v>
      </c>
      <c r="M1715" s="8">
        <v>13544</v>
      </c>
      <c r="N1715" s="8">
        <v>13776</v>
      </c>
      <c r="O1715" s="8">
        <v>13655</v>
      </c>
      <c r="P1715" s="8">
        <v>13858</v>
      </c>
      <c r="Q1715" s="8">
        <v>14062</v>
      </c>
      <c r="R1715" s="7">
        <f t="shared" si="15"/>
        <v>0.43014932645784465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</row>
    <row r="1716" spans="1:28" ht="14.4" hidden="1">
      <c r="A1716" s="3">
        <f>LOOKUP(D1716,'AMFI DATA_2023H2'!F:L,'AMFI DATA_2023H2'!L:L)</f>
        <v>505</v>
      </c>
      <c r="B1716" s="4" t="s">
        <v>1500</v>
      </c>
      <c r="C1716" s="4" t="s">
        <v>1501</v>
      </c>
      <c r="D1716" s="5" t="s">
        <v>1502</v>
      </c>
      <c r="E1716" s="5">
        <v>4451.47</v>
      </c>
      <c r="F1716" s="6">
        <f>LOOKUP(D1716,'AMFI DATA_2023H2'!F:J,'AMFI DATA_2023H2'!J:J)</f>
        <v>7206.9771500000006</v>
      </c>
      <c r="G1716" s="7">
        <f t="shared" si="14"/>
        <v>0.14222646036833897</v>
      </c>
      <c r="H1716" s="8">
        <v>8232</v>
      </c>
      <c r="I1716" s="8">
        <v>8227</v>
      </c>
      <c r="J1716" s="8">
        <v>8168</v>
      </c>
      <c r="K1716" s="8">
        <v>8130</v>
      </c>
      <c r="L1716" s="8">
        <v>8227</v>
      </c>
      <c r="M1716" s="8">
        <v>8114</v>
      </c>
      <c r="N1716" s="8">
        <v>8154</v>
      </c>
      <c r="O1716" s="8">
        <v>8138</v>
      </c>
      <c r="P1716" s="8">
        <v>8183</v>
      </c>
      <c r="Q1716" s="8">
        <v>8247</v>
      </c>
      <c r="R1716" s="7">
        <f t="shared" si="15"/>
        <v>0.1352887389132349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</row>
    <row r="1717" spans="1:28" ht="14.4" hidden="1">
      <c r="A1717" s="3">
        <f>LOOKUP(D1717,'AMFI DATA_2023H2'!F:L,'AMFI DATA_2023H2'!L:L)</f>
        <v>2197</v>
      </c>
      <c r="B1717" s="4" t="s">
        <v>5012</v>
      </c>
      <c r="C1717" s="4" t="s">
        <v>5013</v>
      </c>
      <c r="D1717" s="5" t="s">
        <v>5014</v>
      </c>
      <c r="E1717" s="5">
        <v>114.88</v>
      </c>
      <c r="F1717" s="6">
        <f>LOOKUP(D1717,'AMFI DATA_2023H2'!F:J,'AMFI DATA_2023H2'!J:J)</f>
        <v>133.06864999999999</v>
      </c>
      <c r="G1717" s="7">
        <f t="shared" si="14"/>
        <v>0.33014049515043564</v>
      </c>
      <c r="H1717" s="9">
        <v>177</v>
      </c>
      <c r="I1717" s="9">
        <v>180</v>
      </c>
      <c r="J1717" s="9">
        <v>187</v>
      </c>
      <c r="K1717" s="9">
        <v>164</v>
      </c>
      <c r="L1717" s="9">
        <v>177</v>
      </c>
      <c r="M1717" s="9">
        <v>145</v>
      </c>
      <c r="N1717" s="9">
        <v>139</v>
      </c>
      <c r="O1717" s="9">
        <v>136</v>
      </c>
      <c r="P1717" s="9">
        <v>132</v>
      </c>
      <c r="Q1717" s="9">
        <v>128</v>
      </c>
      <c r="R1717" s="7">
        <f t="shared" si="15"/>
        <v>0.1760846750906393</v>
      </c>
      <c r="S1717" s="9"/>
      <c r="T1717" s="9"/>
      <c r="U1717" s="9"/>
      <c r="V1717" s="9"/>
      <c r="W1717" s="9"/>
      <c r="X1717" s="9"/>
      <c r="Y1717" s="9"/>
      <c r="Z1717" s="9"/>
      <c r="AA1717" s="9"/>
      <c r="AB1717" s="9"/>
    </row>
    <row r="1718" spans="1:28" ht="14.4" hidden="1">
      <c r="A1718" s="3">
        <f>LOOKUP(D1718,'AMFI DATA_2023H2'!F:L,'AMFI DATA_2023H2'!L:L)</f>
        <v>227</v>
      </c>
      <c r="B1718" s="4" t="s">
        <v>690</v>
      </c>
      <c r="C1718" s="4" t="s">
        <v>691</v>
      </c>
      <c r="D1718" s="5" t="s">
        <v>692</v>
      </c>
      <c r="E1718" s="5">
        <v>18537.38</v>
      </c>
      <c r="F1718" s="6">
        <f>LOOKUP(D1718,'AMFI DATA_2023H2'!F:J,'AMFI DATA_2023H2'!J:J)</f>
        <v>24910.016950000001</v>
      </c>
      <c r="G1718" s="7">
        <f t="shared" si="14"/>
        <v>0.51633778795963448</v>
      </c>
      <c r="H1718" s="8">
        <v>37772</v>
      </c>
      <c r="I1718" s="8">
        <v>37566</v>
      </c>
      <c r="J1718" s="8">
        <v>35992</v>
      </c>
      <c r="K1718" s="8">
        <v>35234</v>
      </c>
      <c r="L1718" s="8">
        <v>35671</v>
      </c>
      <c r="M1718" s="8">
        <v>34649</v>
      </c>
      <c r="N1718" s="8">
        <v>35160</v>
      </c>
      <c r="O1718" s="8">
        <v>35259</v>
      </c>
      <c r="P1718" s="8">
        <v>35037</v>
      </c>
      <c r="Q1718" s="8">
        <v>35852</v>
      </c>
      <c r="R1718" s="7">
        <f t="shared" si="15"/>
        <v>0.43794362211383375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</row>
    <row r="1719" spans="1:28" ht="14.4" hidden="1">
      <c r="A1719" s="3">
        <f>LOOKUP(D1719,'AMFI DATA_2023H2'!F:L,'AMFI DATA_2023H2'!L:L)</f>
        <v>751</v>
      </c>
      <c r="B1719" s="4" t="s">
        <v>2198</v>
      </c>
      <c r="C1719" s="4" t="s">
        <v>2199</v>
      </c>
      <c r="D1719" s="5" t="s">
        <v>2200</v>
      </c>
      <c r="E1719" s="5">
        <v>1647.04</v>
      </c>
      <c r="F1719" s="6">
        <f>LOOKUP(D1719,'AMFI DATA_2023H2'!F:J,'AMFI DATA_2023H2'!J:J)</f>
        <v>3327.47055</v>
      </c>
      <c r="G1719" s="7">
        <f t="shared" si="14"/>
        <v>0.30339245226377742</v>
      </c>
      <c r="H1719" s="8">
        <v>4337</v>
      </c>
      <c r="I1719" s="8">
        <v>4343</v>
      </c>
      <c r="J1719" s="8">
        <v>4408</v>
      </c>
      <c r="K1719" s="8">
        <v>4380</v>
      </c>
      <c r="L1719" s="8">
        <v>4393</v>
      </c>
      <c r="M1719" s="8">
        <v>4258</v>
      </c>
      <c r="N1719" s="8">
        <v>4296</v>
      </c>
      <c r="O1719" s="8">
        <v>4300</v>
      </c>
      <c r="P1719" s="8">
        <v>4362</v>
      </c>
      <c r="Q1719" s="8">
        <v>4346</v>
      </c>
      <c r="R1719" s="7">
        <f t="shared" si="15"/>
        <v>0.30498525373875962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</row>
    <row r="1720" spans="1:28" ht="14.4" hidden="1">
      <c r="A1720" s="3">
        <f>LOOKUP(D1720,'AMFI DATA_2023H2'!F:L,'AMFI DATA_2023H2'!L:L)</f>
        <v>2466</v>
      </c>
      <c r="B1720" s="4" t="s">
        <v>5269</v>
      </c>
      <c r="C1720" s="4" t="s">
        <v>5270</v>
      </c>
      <c r="D1720" s="5" t="s">
        <v>5271</v>
      </c>
      <c r="E1720" s="5">
        <v>80.760000000000005</v>
      </c>
      <c r="F1720" s="6">
        <f>LOOKUP(D1720,'AMFI DATA_2023H2'!F:J,'AMFI DATA_2023H2'!J:J)</f>
        <v>87.552999999999997</v>
      </c>
      <c r="G1720" s="7">
        <f t="shared" si="14"/>
        <v>8.0488389889552536E-2</v>
      </c>
      <c r="H1720" s="9">
        <v>94.6</v>
      </c>
      <c r="I1720" s="9">
        <v>97.5</v>
      </c>
      <c r="J1720" s="9">
        <v>96</v>
      </c>
      <c r="K1720" s="9">
        <v>94.7</v>
      </c>
      <c r="L1720" s="9">
        <v>95</v>
      </c>
      <c r="M1720" s="9">
        <v>99.3</v>
      </c>
      <c r="N1720" s="9">
        <v>96</v>
      </c>
      <c r="O1720" s="9">
        <v>98.3</v>
      </c>
      <c r="P1720" s="9">
        <v>94.3</v>
      </c>
      <c r="Q1720" s="9">
        <v>94.1</v>
      </c>
      <c r="R1720" s="7">
        <f t="shared" si="15"/>
        <v>9.6250271264262777E-2</v>
      </c>
      <c r="S1720" s="9"/>
      <c r="T1720" s="9"/>
      <c r="U1720" s="9"/>
      <c r="V1720" s="9"/>
      <c r="W1720" s="9"/>
      <c r="X1720" s="9"/>
      <c r="Y1720" s="9"/>
      <c r="Z1720" s="9"/>
      <c r="AA1720" s="9"/>
      <c r="AB1720" s="9"/>
    </row>
    <row r="1721" spans="1:28" ht="14.4" hidden="1">
      <c r="A1721" s="3">
        <f>LOOKUP(D1721,'AMFI DATA_2023H2'!F:L,'AMFI DATA_2023H2'!L:L)</f>
        <v>181</v>
      </c>
      <c r="B1721" s="4" t="s">
        <v>552</v>
      </c>
      <c r="C1721" s="4" t="s">
        <v>553</v>
      </c>
      <c r="D1721" s="5" t="s">
        <v>554</v>
      </c>
      <c r="E1721" s="5">
        <v>25113</v>
      </c>
      <c r="F1721" s="6">
        <f>LOOKUP(D1721,'AMFI DATA_2023H2'!F:J,'AMFI DATA_2023H2'!J:J)</f>
        <v>34146.387950000004</v>
      </c>
      <c r="G1721" s="7">
        <f t="shared" si="14"/>
        <v>0.29032681478686229</v>
      </c>
      <c r="H1721" s="8">
        <v>44060</v>
      </c>
      <c r="I1721" s="8">
        <v>42245</v>
      </c>
      <c r="J1721" s="8">
        <v>41003</v>
      </c>
      <c r="K1721" s="8">
        <v>39931</v>
      </c>
      <c r="L1721" s="8">
        <v>40104</v>
      </c>
      <c r="M1721" s="8">
        <v>40074</v>
      </c>
      <c r="N1721" s="8">
        <v>40136</v>
      </c>
      <c r="O1721" s="8">
        <v>39891</v>
      </c>
      <c r="P1721" s="8">
        <v>41162</v>
      </c>
      <c r="Q1721" s="8">
        <v>41066</v>
      </c>
      <c r="R1721" s="7">
        <f t="shared" si="15"/>
        <v>0.19975208095180075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</row>
    <row r="1722" spans="1:28" ht="14.4" hidden="1">
      <c r="A1722" s="3">
        <f>LOOKUP(D1722,'AMFI DATA_2023H2'!F:L,'AMFI DATA_2023H2'!L:L)</f>
        <v>248</v>
      </c>
      <c r="B1722" s="4" t="s">
        <v>750</v>
      </c>
      <c r="C1722" s="4" t="s">
        <v>751</v>
      </c>
      <c r="D1722" s="5" t="s">
        <v>752</v>
      </c>
      <c r="E1722" s="5">
        <v>18292.27</v>
      </c>
      <c r="F1722" s="6">
        <f>LOOKUP(D1722,'AMFI DATA_2023H2'!F:J,'AMFI DATA_2023H2'!J:J)</f>
        <v>22250.643799999998</v>
      </c>
      <c r="G1722" s="7">
        <f t="shared" si="14"/>
        <v>9.0620128483653195E-2</v>
      </c>
      <c r="H1722" s="8">
        <v>24267</v>
      </c>
      <c r="I1722" s="8">
        <v>23934</v>
      </c>
      <c r="J1722" s="8">
        <v>23798</v>
      </c>
      <c r="K1722" s="8">
        <v>24091</v>
      </c>
      <c r="L1722" s="8">
        <v>23954</v>
      </c>
      <c r="M1722" s="8">
        <v>23985</v>
      </c>
      <c r="N1722" s="8">
        <v>24007</v>
      </c>
      <c r="O1722" s="8">
        <v>24007</v>
      </c>
      <c r="P1722" s="8">
        <v>23325</v>
      </c>
      <c r="Q1722" s="8">
        <v>23151</v>
      </c>
      <c r="R1722" s="7">
        <f t="shared" si="15"/>
        <v>7.1964488506170987E-2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</row>
    <row r="1723" spans="1:28" ht="14.4" hidden="1">
      <c r="A1723" s="3">
        <f>LOOKUP(D1723,'AMFI DATA_2023H2'!F:L,'AMFI DATA_2023H2'!L:L)</f>
        <v>1324</v>
      </c>
      <c r="B1723" s="4" t="s">
        <v>3623</v>
      </c>
      <c r="C1723" s="4" t="s">
        <v>3624</v>
      </c>
      <c r="D1723" s="5" t="s">
        <v>3625</v>
      </c>
      <c r="E1723" s="5">
        <v>624.65</v>
      </c>
      <c r="F1723" s="6">
        <f>LOOKUP(D1723,'AMFI DATA_2023H2'!F:J,'AMFI DATA_2023H2'!J:J)</f>
        <v>761.91229999999996</v>
      </c>
      <c r="G1723" s="7">
        <f t="shared" si="14"/>
        <v>3.4239767490300554E-2</v>
      </c>
      <c r="H1723" s="9">
        <v>788</v>
      </c>
      <c r="I1723" s="9">
        <v>790</v>
      </c>
      <c r="J1723" s="9">
        <v>798</v>
      </c>
      <c r="K1723" s="9">
        <v>778</v>
      </c>
      <c r="L1723" s="9">
        <v>795</v>
      </c>
      <c r="M1723" s="9">
        <v>783</v>
      </c>
      <c r="N1723" s="9">
        <v>765</v>
      </c>
      <c r="O1723" s="9">
        <v>789</v>
      </c>
      <c r="P1723" s="9">
        <v>759</v>
      </c>
      <c r="Q1723" s="9">
        <v>765</v>
      </c>
      <c r="R1723" s="7">
        <f t="shared" si="15"/>
        <v>2.5052358388229168E-2</v>
      </c>
      <c r="S1723" s="9"/>
      <c r="T1723" s="9"/>
      <c r="U1723" s="9"/>
      <c r="V1723" s="9"/>
      <c r="W1723" s="9"/>
      <c r="X1723" s="9"/>
      <c r="Y1723" s="9"/>
      <c r="Z1723" s="9"/>
      <c r="AA1723" s="9"/>
      <c r="AB1723" s="9"/>
    </row>
    <row r="1724" spans="1:28" ht="14.4" hidden="1">
      <c r="A1724" s="3">
        <f>LOOKUP(D1724,'AMFI DATA_2023H2'!F:L,'AMFI DATA_2023H2'!L:L)</f>
        <v>1320</v>
      </c>
      <c r="B1724" s="4" t="s">
        <v>3617</v>
      </c>
      <c r="C1724" s="4" t="s">
        <v>3618</v>
      </c>
      <c r="D1724" s="5" t="s">
        <v>3619</v>
      </c>
      <c r="E1724" s="5">
        <v>710.57</v>
      </c>
      <c r="F1724" s="6">
        <f>LOOKUP(D1724,'AMFI DATA_2023H2'!F:J,'AMFI DATA_2023H2'!J:J)</f>
        <v>773.72804999999994</v>
      </c>
      <c r="G1724" s="7">
        <f t="shared" si="14"/>
        <v>0.29244377271833444</v>
      </c>
      <c r="H1724" s="9">
        <v>1000</v>
      </c>
      <c r="I1724" s="9">
        <v>998</v>
      </c>
      <c r="J1724" s="9">
        <v>1008</v>
      </c>
      <c r="K1724" s="9">
        <v>919</v>
      </c>
      <c r="L1724" s="9">
        <v>850</v>
      </c>
      <c r="M1724" s="9">
        <v>851</v>
      </c>
      <c r="N1724" s="9">
        <v>855</v>
      </c>
      <c r="O1724" s="9">
        <v>842</v>
      </c>
      <c r="P1724" s="9">
        <v>811</v>
      </c>
      <c r="Q1724" s="9">
        <v>809</v>
      </c>
      <c r="R1724" s="7">
        <f t="shared" si="15"/>
        <v>0.1558324659420065</v>
      </c>
      <c r="S1724" s="9"/>
      <c r="T1724" s="9"/>
      <c r="U1724" s="9"/>
      <c r="V1724" s="9"/>
      <c r="W1724" s="9"/>
      <c r="X1724" s="9"/>
      <c r="Y1724" s="9"/>
      <c r="Z1724" s="9"/>
      <c r="AA1724" s="9"/>
      <c r="AB1724" s="9"/>
    </row>
    <row r="1725" spans="1:28" ht="14.4" hidden="1">
      <c r="A1725" s="3">
        <f>LOOKUP(D1725,'AMFI DATA_2023H2'!F:L,'AMFI DATA_2023H2'!L:L)</f>
        <v>613</v>
      </c>
      <c r="B1725" s="4" t="s">
        <v>1809</v>
      </c>
      <c r="C1725" s="4" t="s">
        <v>1810</v>
      </c>
      <c r="D1725" s="5" t="s">
        <v>1811</v>
      </c>
      <c r="E1725" s="5">
        <v>3624.59</v>
      </c>
      <c r="F1725" s="6">
        <f>LOOKUP(D1725,'AMFI DATA_2023H2'!F:J,'AMFI DATA_2023H2'!J:J)</f>
        <v>5027.6479500000005</v>
      </c>
      <c r="G1725" s="7">
        <f t="shared" si="14"/>
        <v>0.12796282802577674</v>
      </c>
      <c r="H1725" s="8">
        <v>5671</v>
      </c>
      <c r="I1725" s="8">
        <v>5640</v>
      </c>
      <c r="J1725" s="8">
        <v>5632</v>
      </c>
      <c r="K1725" s="8">
        <v>5661</v>
      </c>
      <c r="L1725" s="8">
        <v>5619</v>
      </c>
      <c r="M1725" s="8">
        <v>5590</v>
      </c>
      <c r="N1725" s="8">
        <v>5594</v>
      </c>
      <c r="O1725" s="8">
        <v>5583</v>
      </c>
      <c r="P1725" s="8">
        <v>5464</v>
      </c>
      <c r="Q1725" s="8">
        <v>5577</v>
      </c>
      <c r="R1725" s="7">
        <f t="shared" si="15"/>
        <v>0.11445750691434142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</row>
    <row r="1726" spans="1:28" ht="14.4" hidden="1">
      <c r="A1726" s="3">
        <f>LOOKUP(D1726,'AMFI DATA_2023H2'!F:L,'AMFI DATA_2023H2'!L:L)</f>
        <v>1374</v>
      </c>
      <c r="B1726" s="4" t="s">
        <v>3713</v>
      </c>
      <c r="C1726" s="4" t="s">
        <v>3714</v>
      </c>
      <c r="D1726" s="5" t="s">
        <v>3715</v>
      </c>
      <c r="E1726" s="5">
        <v>461.82</v>
      </c>
      <c r="F1726" s="6">
        <f>LOOKUP(D1726,'AMFI DATA_2023H2'!F:J,'AMFI DATA_2023H2'!J:J)</f>
        <v>677.6086499999999</v>
      </c>
      <c r="G1726" s="7">
        <f t="shared" si="14"/>
        <v>0.26031448978698868</v>
      </c>
      <c r="H1726" s="9">
        <v>854</v>
      </c>
      <c r="I1726" s="9">
        <v>872</v>
      </c>
      <c r="J1726" s="9">
        <v>830</v>
      </c>
      <c r="K1726" s="9">
        <v>835</v>
      </c>
      <c r="L1726" s="9">
        <v>828</v>
      </c>
      <c r="M1726" s="9">
        <v>824</v>
      </c>
      <c r="N1726" s="9">
        <v>832</v>
      </c>
      <c r="O1726" s="9">
        <v>830</v>
      </c>
      <c r="P1726" s="9">
        <v>852</v>
      </c>
      <c r="Q1726" s="9">
        <v>815</v>
      </c>
      <c r="R1726" s="7">
        <f t="shared" si="15"/>
        <v>0.23552141785675285</v>
      </c>
      <c r="S1726" s="9"/>
      <c r="T1726" s="9"/>
      <c r="U1726" s="9"/>
      <c r="V1726" s="9"/>
      <c r="W1726" s="9"/>
      <c r="X1726" s="9"/>
      <c r="Y1726" s="9"/>
      <c r="Z1726" s="9"/>
      <c r="AA1726" s="9"/>
      <c r="AB1726" s="9"/>
    </row>
    <row r="1727" spans="1:28" ht="14.4" hidden="1">
      <c r="A1727" s="3">
        <f>LOOKUP(D1727,'AMFI DATA_2023H2'!F:L,'AMFI DATA_2023H2'!L:L)</f>
        <v>678</v>
      </c>
      <c r="B1727" s="4" t="s">
        <v>1989</v>
      </c>
      <c r="C1727" s="4" t="s">
        <v>1990</v>
      </c>
      <c r="D1727" s="5" t="s">
        <v>1991</v>
      </c>
      <c r="E1727" s="5">
        <v>3418.9</v>
      </c>
      <c r="F1727" s="6">
        <f>LOOKUP(D1727,'AMFI DATA_2023H2'!F:J,'AMFI DATA_2023H2'!J:J)</f>
        <v>4062.3188500000001</v>
      </c>
      <c r="G1727" s="7">
        <f t="shared" si="14"/>
        <v>0.12866571268771776</v>
      </c>
      <c r="H1727" s="8">
        <v>4585</v>
      </c>
      <c r="I1727" s="8">
        <v>4596</v>
      </c>
      <c r="J1727" s="8">
        <v>4625</v>
      </c>
      <c r="K1727" s="8">
        <v>4780</v>
      </c>
      <c r="L1727" s="8">
        <v>4740</v>
      </c>
      <c r="M1727" s="8">
        <v>4702</v>
      </c>
      <c r="N1727" s="8">
        <v>4640</v>
      </c>
      <c r="O1727" s="8">
        <v>4611</v>
      </c>
      <c r="P1727" s="8">
        <v>4569</v>
      </c>
      <c r="Q1727" s="8">
        <v>4523</v>
      </c>
      <c r="R1727" s="7">
        <f t="shared" si="15"/>
        <v>0.14149089995729902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</row>
    <row r="1728" spans="1:28" ht="14.4" hidden="1">
      <c r="A1728" s="3">
        <f>LOOKUP(D1728,'AMFI DATA_2023H2'!F:L,'AMFI DATA_2023H2'!L:L)</f>
        <v>1149</v>
      </c>
      <c r="B1728" s="4" t="s">
        <v>3227</v>
      </c>
      <c r="C1728" s="4" t="s">
        <v>3228</v>
      </c>
      <c r="D1728" s="5" t="s">
        <v>3229</v>
      </c>
      <c r="E1728" s="5">
        <v>1159.6099999999999</v>
      </c>
      <c r="F1728" s="6">
        <f>LOOKUP(D1728,'AMFI DATA_2023H2'!F:J,'AMFI DATA_2023H2'!J:J)</f>
        <v>1184.9999</v>
      </c>
      <c r="G1728" s="7">
        <f t="shared" si="14"/>
        <v>-0.22700415417756581</v>
      </c>
      <c r="H1728" s="9">
        <v>916</v>
      </c>
      <c r="I1728" s="9">
        <v>911</v>
      </c>
      <c r="J1728" s="9">
        <v>914</v>
      </c>
      <c r="K1728" s="9">
        <v>916</v>
      </c>
      <c r="L1728" s="9">
        <v>925</v>
      </c>
      <c r="M1728" s="9">
        <v>922</v>
      </c>
      <c r="N1728" s="9">
        <v>912</v>
      </c>
      <c r="O1728" s="9">
        <v>917</v>
      </c>
      <c r="P1728" s="9">
        <v>928</v>
      </c>
      <c r="Q1728" s="9">
        <v>910</v>
      </c>
      <c r="R1728" s="7">
        <f t="shared" si="15"/>
        <v>-0.2260758840570366</v>
      </c>
      <c r="S1728" s="9"/>
      <c r="T1728" s="9"/>
      <c r="U1728" s="9"/>
      <c r="V1728" s="9"/>
      <c r="W1728" s="9"/>
      <c r="X1728" s="9"/>
      <c r="Y1728" s="9"/>
      <c r="Z1728" s="9"/>
      <c r="AA1728" s="9"/>
      <c r="AB1728" s="9"/>
    </row>
    <row r="1729" spans="1:28" ht="14.4" hidden="1">
      <c r="A1729" s="3">
        <f>LOOKUP(D1729,'AMFI DATA_2023H2'!F:L,'AMFI DATA_2023H2'!L:L)</f>
        <v>2112</v>
      </c>
      <c r="B1729" s="4" t="s">
        <v>4898</v>
      </c>
      <c r="C1729" s="4" t="s">
        <v>4899</v>
      </c>
      <c r="D1729" s="5" t="s">
        <v>4900</v>
      </c>
      <c r="E1729" s="5">
        <v>137.47999999999999</v>
      </c>
      <c r="F1729" s="6">
        <f>LOOKUP(D1729,'AMFI DATA_2023H2'!F:J,'AMFI DATA_2023H2'!J:J)</f>
        <v>155.25020000000001</v>
      </c>
      <c r="G1729" s="7">
        <f t="shared" si="14"/>
        <v>8.8565425358550165E-2</v>
      </c>
      <c r="H1729" s="9">
        <v>169</v>
      </c>
      <c r="I1729" s="9">
        <v>162</v>
      </c>
      <c r="J1729" s="9">
        <v>161</v>
      </c>
      <c r="K1729" s="9">
        <v>161</v>
      </c>
      <c r="L1729" s="9">
        <v>163</v>
      </c>
      <c r="M1729" s="9">
        <v>162</v>
      </c>
      <c r="N1729" s="9">
        <v>161</v>
      </c>
      <c r="O1729" s="9">
        <v>165</v>
      </c>
      <c r="P1729" s="9">
        <v>164</v>
      </c>
      <c r="Q1729" s="9">
        <v>163</v>
      </c>
      <c r="R1729" s="7">
        <f t="shared" si="15"/>
        <v>5.0562253704020899E-2</v>
      </c>
      <c r="S1729" s="9"/>
      <c r="T1729" s="9"/>
      <c r="U1729" s="9"/>
      <c r="V1729" s="9"/>
      <c r="W1729" s="9"/>
      <c r="X1729" s="9"/>
      <c r="Y1729" s="9"/>
      <c r="Z1729" s="9"/>
      <c r="AA1729" s="9"/>
      <c r="AB1729" s="9"/>
    </row>
    <row r="1730" spans="1:28" ht="14.4" hidden="1">
      <c r="A1730" s="3">
        <f>LOOKUP(D1730,'AMFI DATA_2023H2'!F:L,'AMFI DATA_2023H2'!L:L)</f>
        <v>2283</v>
      </c>
      <c r="B1730" s="4" t="s">
        <v>5108</v>
      </c>
      <c r="C1730" s="4" t="s">
        <v>5109</v>
      </c>
      <c r="D1730" s="5" t="s">
        <v>5110</v>
      </c>
      <c r="E1730" s="5">
        <v>76.849999999999994</v>
      </c>
      <c r="F1730" s="6">
        <f>LOOKUP(D1730,'AMFI DATA_2023H2'!F:J,'AMFI DATA_2023H2'!J:J)</f>
        <v>114.845</v>
      </c>
      <c r="G1730" s="7">
        <f t="shared" si="14"/>
        <v>0.33223039749227223</v>
      </c>
      <c r="H1730" s="9">
        <v>153</v>
      </c>
      <c r="I1730" s="9">
        <v>151</v>
      </c>
      <c r="J1730" s="9">
        <v>151</v>
      </c>
      <c r="K1730" s="9">
        <v>147</v>
      </c>
      <c r="L1730" s="9">
        <v>141</v>
      </c>
      <c r="M1730" s="9">
        <v>137</v>
      </c>
      <c r="N1730" s="9">
        <v>137</v>
      </c>
      <c r="O1730" s="9">
        <v>137</v>
      </c>
      <c r="P1730" s="9">
        <v>136</v>
      </c>
      <c r="Q1730" s="9">
        <v>139</v>
      </c>
      <c r="R1730" s="7">
        <f t="shared" si="15"/>
        <v>0.24428577648134442</v>
      </c>
      <c r="S1730" s="9"/>
      <c r="T1730" s="9"/>
      <c r="U1730" s="9"/>
      <c r="V1730" s="9"/>
      <c r="W1730" s="9"/>
      <c r="X1730" s="9"/>
      <c r="Y1730" s="9"/>
      <c r="Z1730" s="9"/>
      <c r="AA1730" s="9"/>
      <c r="AB1730" s="9"/>
    </row>
    <row r="1731" spans="1:28" ht="14.4" hidden="1">
      <c r="A1731" s="3">
        <f>LOOKUP(D1731,'AMFI DATA_2023H2'!F:L,'AMFI DATA_2023H2'!L:L)</f>
        <v>931</v>
      </c>
      <c r="B1731" s="4" t="s">
        <v>2687</v>
      </c>
      <c r="C1731" s="4" t="s">
        <v>2688</v>
      </c>
      <c r="D1731" s="5" t="s">
        <v>2689</v>
      </c>
      <c r="E1731" s="5">
        <v>435.07</v>
      </c>
      <c r="F1731" s="6">
        <f>LOOKUP(D1731,'AMFI DATA_2023H2'!F:J,'AMFI DATA_2023H2'!J:J)</f>
        <v>2034.115</v>
      </c>
      <c r="G1731" s="7">
        <f t="shared" si="14"/>
        <v>9.775750141953532E-3</v>
      </c>
      <c r="H1731" s="8">
        <v>2054</v>
      </c>
      <c r="I1731" s="8">
        <v>2033</v>
      </c>
      <c r="J1731" s="8">
        <v>2025</v>
      </c>
      <c r="K1731" s="8">
        <v>2021</v>
      </c>
      <c r="L1731" s="8">
        <v>2014</v>
      </c>
      <c r="M1731" s="8">
        <v>1981</v>
      </c>
      <c r="N1731" s="8">
        <v>1986</v>
      </c>
      <c r="O1731" s="8">
        <v>1997</v>
      </c>
      <c r="P1731" s="8">
        <v>1982</v>
      </c>
      <c r="Q1731" s="8">
        <v>2000</v>
      </c>
      <c r="R1731" s="7">
        <f t="shared" si="15"/>
        <v>-1.2199408588010052E-2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</row>
    <row r="1732" spans="1:28" ht="14.4" hidden="1">
      <c r="A1732" s="3">
        <f>LOOKUP(D1732,'AMFI DATA_2023H2'!F:L,'AMFI DATA_2023H2'!L:L)</f>
        <v>1041</v>
      </c>
      <c r="B1732" s="4" t="s">
        <v>2972</v>
      </c>
      <c r="C1732" s="4" t="s">
        <v>2973</v>
      </c>
      <c r="D1732" s="5" t="s">
        <v>2974</v>
      </c>
      <c r="E1732" s="5">
        <v>1241.1199999999999</v>
      </c>
      <c r="F1732" s="6">
        <f>LOOKUP(D1732,'AMFI DATA_2023H2'!F:J,'AMFI DATA_2023H2'!J:J)</f>
        <v>1518.2498000000001</v>
      </c>
      <c r="G1732" s="7">
        <f t="shared" si="14"/>
        <v>0.30940244484142188</v>
      </c>
      <c r="H1732" s="8">
        <v>1988</v>
      </c>
      <c r="I1732" s="8">
        <v>1986</v>
      </c>
      <c r="J1732" s="8">
        <v>2017</v>
      </c>
      <c r="K1732" s="8">
        <v>2010</v>
      </c>
      <c r="L1732" s="8">
        <v>2030</v>
      </c>
      <c r="M1732" s="8">
        <v>1959</v>
      </c>
      <c r="N1732" s="8">
        <v>1904</v>
      </c>
      <c r="O1732" s="8">
        <v>1926</v>
      </c>
      <c r="P1732" s="8">
        <v>2017</v>
      </c>
      <c r="Q1732" s="8">
        <v>1680</v>
      </c>
      <c r="R1732" s="7">
        <f t="shared" si="15"/>
        <v>0.28549333581338199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</row>
    <row r="1733" spans="1:28" ht="14.4" hidden="1">
      <c r="A1733" s="3">
        <f>LOOKUP(D1733,'AMFI DATA_2023H2'!F:L,'AMFI DATA_2023H2'!L:L)</f>
        <v>191</v>
      </c>
      <c r="B1733" s="4" t="s">
        <v>582</v>
      </c>
      <c r="C1733" s="4" t="s">
        <v>583</v>
      </c>
      <c r="D1733" s="5" t="s">
        <v>584</v>
      </c>
      <c r="E1733" s="5">
        <v>26152.79</v>
      </c>
      <c r="F1733" s="6">
        <f>LOOKUP(D1733,'AMFI DATA_2023H2'!F:J,'AMFI DATA_2023H2'!J:J)</f>
        <v>32803.751900000003</v>
      </c>
      <c r="G1733" s="7">
        <f t="shared" si="14"/>
        <v>0.16626903278097283</v>
      </c>
      <c r="H1733" s="8">
        <v>38258</v>
      </c>
      <c r="I1733" s="8">
        <v>37984</v>
      </c>
      <c r="J1733" s="8">
        <v>37773</v>
      </c>
      <c r="K1733" s="8">
        <v>36607</v>
      </c>
      <c r="L1733" s="8">
        <v>36748</v>
      </c>
      <c r="M1733" s="8">
        <v>36720</v>
      </c>
      <c r="N1733" s="8">
        <v>36778</v>
      </c>
      <c r="O1733" s="8">
        <v>35997</v>
      </c>
      <c r="P1733" s="8">
        <v>36532</v>
      </c>
      <c r="Q1733" s="8">
        <v>37459</v>
      </c>
      <c r="R1733" s="7">
        <f t="shared" si="15"/>
        <v>0.13052921851905586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</row>
    <row r="1734" spans="1:28" ht="14.4" hidden="1">
      <c r="A1734" s="3">
        <f>LOOKUP(D1734,'AMFI DATA_2023H2'!F:L,'AMFI DATA_2023H2'!L:L)</f>
        <v>911</v>
      </c>
      <c r="B1734" s="4" t="s">
        <v>2639</v>
      </c>
      <c r="C1734" s="4" t="s">
        <v>2640</v>
      </c>
      <c r="D1734" s="5" t="s">
        <v>2641</v>
      </c>
      <c r="E1734" s="5">
        <v>1925.46</v>
      </c>
      <c r="F1734" s="6">
        <f>LOOKUP(D1734,'AMFI DATA_2023H2'!F:J,'AMFI DATA_2023H2'!J:J)</f>
        <v>2116.7695000000003</v>
      </c>
      <c r="G1734" s="7">
        <f t="shared" si="14"/>
        <v>0.12293757067077915</v>
      </c>
      <c r="H1734" s="8">
        <v>2377</v>
      </c>
      <c r="I1734" s="8">
        <v>2395</v>
      </c>
      <c r="J1734" s="8">
        <v>2401</v>
      </c>
      <c r="K1734" s="8">
        <v>2424</v>
      </c>
      <c r="L1734" s="8">
        <v>2374</v>
      </c>
      <c r="M1734" s="8">
        <v>2245</v>
      </c>
      <c r="N1734" s="8">
        <v>2204</v>
      </c>
      <c r="O1734" s="8">
        <v>2297</v>
      </c>
      <c r="P1734" s="8">
        <v>2314</v>
      </c>
      <c r="Q1734" s="8">
        <v>2136</v>
      </c>
      <c r="R1734" s="7">
        <f t="shared" si="15"/>
        <v>9.4450765659652269E-2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</row>
    <row r="1735" spans="1:28" ht="14.4" hidden="1">
      <c r="A1735" s="3">
        <f>LOOKUP(D1735,'AMFI DATA_2023H2'!F:L,'AMFI DATA_2023H2'!L:L)</f>
        <v>586</v>
      </c>
      <c r="B1735" s="4" t="s">
        <v>1731</v>
      </c>
      <c r="C1735" s="4" t="s">
        <v>1732</v>
      </c>
      <c r="D1735" s="5" t="s">
        <v>1733</v>
      </c>
      <c r="E1735" s="5">
        <v>3145.42</v>
      </c>
      <c r="F1735" s="6">
        <f>LOOKUP(D1735,'AMFI DATA_2023H2'!F:J,'AMFI DATA_2023H2'!J:J)</f>
        <v>5680.7757000000001</v>
      </c>
      <c r="G1735" s="7">
        <f t="shared" si="14"/>
        <v>0.28485974195390251</v>
      </c>
      <c r="H1735" s="8">
        <v>7299</v>
      </c>
      <c r="I1735" s="8">
        <v>7134</v>
      </c>
      <c r="J1735" s="8">
        <v>7080</v>
      </c>
      <c r="K1735" s="8">
        <v>6896</v>
      </c>
      <c r="L1735" s="8">
        <v>6518</v>
      </c>
      <c r="M1735" s="8">
        <v>6407</v>
      </c>
      <c r="N1735" s="8">
        <v>6499</v>
      </c>
      <c r="O1735" s="8">
        <v>6482</v>
      </c>
      <c r="P1735" s="8">
        <v>6590</v>
      </c>
      <c r="Q1735" s="8">
        <v>6579</v>
      </c>
      <c r="R1735" s="7">
        <f t="shared" si="15"/>
        <v>0.18793635876170911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</row>
    <row r="1736" spans="1:28" ht="14.4" hidden="1">
      <c r="A1736" s="3">
        <f>LOOKUP(D1736,'AMFI DATA_2023H2'!F:L,'AMFI DATA_2023H2'!L:L)</f>
        <v>2483</v>
      </c>
      <c r="B1736" s="4" t="s">
        <v>5281</v>
      </c>
      <c r="C1736" s="4" t="s">
        <v>5282</v>
      </c>
      <c r="D1736" s="5" t="s">
        <v>5283</v>
      </c>
      <c r="E1736" s="5">
        <v>25.04</v>
      </c>
      <c r="F1736" s="6">
        <f>LOOKUP(D1736,'AMFI DATA_2023H2'!F:J,'AMFI DATA_2023H2'!J:J)</f>
        <v>84.833400000000012</v>
      </c>
      <c r="G1736" s="7">
        <f t="shared" si="14"/>
        <v>1.0628667482383114</v>
      </c>
      <c r="H1736" s="9">
        <v>175</v>
      </c>
      <c r="I1736" s="9">
        <v>171</v>
      </c>
      <c r="J1736" s="9">
        <v>168</v>
      </c>
      <c r="K1736" s="9">
        <v>165</v>
      </c>
      <c r="L1736" s="9">
        <v>162</v>
      </c>
      <c r="M1736" s="9">
        <v>159</v>
      </c>
      <c r="N1736" s="9">
        <v>155</v>
      </c>
      <c r="O1736" s="9">
        <v>154</v>
      </c>
      <c r="P1736" s="9">
        <v>153</v>
      </c>
      <c r="Q1736" s="9">
        <v>158</v>
      </c>
      <c r="R1736" s="7">
        <f t="shared" si="15"/>
        <v>0.90962521836917976</v>
      </c>
      <c r="S1736" s="9"/>
      <c r="T1736" s="9"/>
      <c r="U1736" s="9"/>
      <c r="V1736" s="9"/>
      <c r="W1736" s="9"/>
      <c r="X1736" s="9"/>
      <c r="Y1736" s="9"/>
      <c r="Z1736" s="9"/>
      <c r="AA1736" s="9"/>
      <c r="AB1736" s="9"/>
    </row>
    <row r="1737" spans="1:28" ht="14.4" hidden="1">
      <c r="A1737" s="3">
        <f>LOOKUP(D1737,'AMFI DATA_2023H2'!F:L,'AMFI DATA_2023H2'!L:L)</f>
        <v>789</v>
      </c>
      <c r="B1737" s="4" t="s">
        <v>2294</v>
      </c>
      <c r="C1737" s="4" t="s">
        <v>2295</v>
      </c>
      <c r="D1737" s="5" t="s">
        <v>2296</v>
      </c>
      <c r="E1737" s="5">
        <v>2575.5100000000002</v>
      </c>
      <c r="F1737" s="6">
        <f>LOOKUP(D1737,'AMFI DATA_2023H2'!F:J,'AMFI DATA_2023H2'!J:J)</f>
        <v>2999.3404</v>
      </c>
      <c r="G1737" s="7">
        <f t="shared" si="14"/>
        <v>0.16692323418842347</v>
      </c>
      <c r="H1737" s="8">
        <v>3500</v>
      </c>
      <c r="I1737" s="8">
        <v>3461</v>
      </c>
      <c r="J1737" s="8">
        <v>3519</v>
      </c>
      <c r="K1737" s="8">
        <v>3507</v>
      </c>
      <c r="L1737" s="8">
        <v>3449</v>
      </c>
      <c r="M1737" s="8">
        <v>3410</v>
      </c>
      <c r="N1737" s="8">
        <v>3484</v>
      </c>
      <c r="O1737" s="8">
        <v>3454</v>
      </c>
      <c r="P1737" s="8">
        <v>3526</v>
      </c>
      <c r="Q1737" s="8">
        <v>3578</v>
      </c>
      <c r="R1737" s="7">
        <f t="shared" si="15"/>
        <v>0.16318907983902076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</row>
    <row r="1738" spans="1:28" ht="14.4" hidden="1">
      <c r="A1738" s="3">
        <f>LOOKUP(D1738,'AMFI DATA_2023H2'!F:L,'AMFI DATA_2023H2'!L:L)</f>
        <v>920</v>
      </c>
      <c r="B1738" s="4" t="s">
        <v>2657</v>
      </c>
      <c r="C1738" s="4" t="s">
        <v>2658</v>
      </c>
      <c r="D1738" s="5" t="s">
        <v>2659</v>
      </c>
      <c r="E1738" s="5">
        <v>1600.24</v>
      </c>
      <c r="F1738" s="6">
        <f>LOOKUP(D1738,'AMFI DATA_2023H2'!F:J,'AMFI DATA_2023H2'!J:J)</f>
        <v>2088.2843000000003</v>
      </c>
      <c r="G1738" s="7">
        <f t="shared" si="14"/>
        <v>0.16459238811497068</v>
      </c>
      <c r="H1738" s="8">
        <v>2432</v>
      </c>
      <c r="I1738" s="8">
        <v>2415</v>
      </c>
      <c r="J1738" s="8">
        <v>2419</v>
      </c>
      <c r="K1738" s="8">
        <v>2434</v>
      </c>
      <c r="L1738" s="8">
        <v>2457</v>
      </c>
      <c r="M1738" s="8">
        <v>2464</v>
      </c>
      <c r="N1738" s="8">
        <v>2474</v>
      </c>
      <c r="O1738" s="8">
        <v>2484</v>
      </c>
      <c r="P1738" s="8">
        <v>2453</v>
      </c>
      <c r="Q1738" s="8">
        <v>2350</v>
      </c>
      <c r="R1738" s="7">
        <f t="shared" si="15"/>
        <v>0.16756133252546102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</row>
    <row r="1739" spans="1:28" ht="14.4" hidden="1">
      <c r="A1739" s="3">
        <f>LOOKUP(D1739,'AMFI DATA_2023H2'!F:L,'AMFI DATA_2023H2'!L:L)</f>
        <v>3519</v>
      </c>
      <c r="B1739" s="4" t="s">
        <v>5701</v>
      </c>
      <c r="C1739" s="4" t="s">
        <v>5702</v>
      </c>
      <c r="D1739" s="5" t="s">
        <v>5703</v>
      </c>
      <c r="E1739" s="5">
        <v>17.46</v>
      </c>
      <c r="F1739" s="6">
        <f>LOOKUP(D1739,'AMFI DATA_2023H2'!F:J,'AMFI DATA_2023H2'!J:J)</f>
        <v>17.270899999999997</v>
      </c>
      <c r="G1739" s="7">
        <f t="shared" si="14"/>
        <v>0.12906681180482793</v>
      </c>
      <c r="H1739" s="9">
        <v>19.5</v>
      </c>
      <c r="I1739" s="9">
        <v>18.600000000000001</v>
      </c>
      <c r="J1739" s="9">
        <v>18.3</v>
      </c>
      <c r="K1739" s="9">
        <v>18.3</v>
      </c>
      <c r="L1739" s="9">
        <v>18.899999999999999</v>
      </c>
      <c r="M1739" s="9">
        <v>18.3</v>
      </c>
      <c r="N1739" s="9">
        <v>18.399999999999999</v>
      </c>
      <c r="O1739" s="9">
        <v>17.899999999999999</v>
      </c>
      <c r="P1739" s="9">
        <v>18.399999999999999</v>
      </c>
      <c r="Q1739" s="9">
        <v>18.2</v>
      </c>
      <c r="R1739" s="7">
        <f t="shared" si="15"/>
        <v>7.0007932418113761E-2</v>
      </c>
      <c r="S1739" s="9"/>
      <c r="T1739" s="9"/>
      <c r="U1739" s="9"/>
      <c r="V1739" s="9"/>
      <c r="W1739" s="9"/>
      <c r="X1739" s="9"/>
      <c r="Y1739" s="9"/>
      <c r="Z1739" s="9"/>
      <c r="AA1739" s="9"/>
      <c r="AB1739" s="9"/>
    </row>
    <row r="1740" spans="1:28" ht="14.4" hidden="1">
      <c r="A1740" s="3">
        <f>LOOKUP(D1740,'AMFI DATA_2023H2'!F:L,'AMFI DATA_2023H2'!L:L)</f>
        <v>1755</v>
      </c>
      <c r="B1740" s="4" t="s">
        <v>4418</v>
      </c>
      <c r="C1740" s="4" t="s">
        <v>4419</v>
      </c>
      <c r="D1740" s="5" t="s">
        <v>4420</v>
      </c>
      <c r="E1740" s="5">
        <v>145.91999999999999</v>
      </c>
      <c r="F1740" s="6">
        <f>LOOKUP(D1740,'AMFI DATA_2023H2'!F:J,'AMFI DATA_2023H2'!J:J)</f>
        <v>296.52215000000001</v>
      </c>
      <c r="G1740" s="7">
        <f t="shared" si="14"/>
        <v>0.36920631392966752</v>
      </c>
      <c r="H1740" s="9">
        <v>406</v>
      </c>
      <c r="I1740" s="9">
        <v>405</v>
      </c>
      <c r="J1740" s="9">
        <v>398</v>
      </c>
      <c r="K1740" s="9">
        <v>379</v>
      </c>
      <c r="L1740" s="9">
        <v>361</v>
      </c>
      <c r="M1740" s="9">
        <v>344</v>
      </c>
      <c r="N1740" s="9">
        <v>349</v>
      </c>
      <c r="O1740" s="9">
        <v>355</v>
      </c>
      <c r="P1740" s="9">
        <v>392</v>
      </c>
      <c r="Q1740" s="9">
        <v>400</v>
      </c>
      <c r="R1740" s="7">
        <f t="shared" si="15"/>
        <v>0.27781347868953454</v>
      </c>
      <c r="S1740" s="9"/>
      <c r="T1740" s="9"/>
      <c r="U1740" s="9"/>
      <c r="V1740" s="9"/>
      <c r="W1740" s="9"/>
      <c r="X1740" s="9"/>
      <c r="Y1740" s="9"/>
      <c r="Z1740" s="9"/>
      <c r="AA1740" s="9"/>
      <c r="AB1740" s="9"/>
    </row>
    <row r="1741" spans="1:28" ht="14.4" hidden="1">
      <c r="A1741" s="3">
        <f>LOOKUP(D1741,'AMFI DATA_2023H2'!F:L,'AMFI DATA_2023H2'!L:L)</f>
        <v>675</v>
      </c>
      <c r="B1741" s="4" t="s">
        <v>1980</v>
      </c>
      <c r="C1741" s="4" t="s">
        <v>1981</v>
      </c>
      <c r="D1741" s="5" t="s">
        <v>1982</v>
      </c>
      <c r="E1741" s="5">
        <v>2289.98</v>
      </c>
      <c r="F1741" s="6">
        <f>LOOKUP(D1741,'AMFI DATA_2023H2'!F:J,'AMFI DATA_2023H2'!J:J)</f>
        <v>4076.5429999999997</v>
      </c>
      <c r="G1741" s="7">
        <f t="shared" si="14"/>
        <v>0.18777110900093552</v>
      </c>
      <c r="H1741" s="8">
        <v>4842</v>
      </c>
      <c r="I1741" s="8">
        <v>4829</v>
      </c>
      <c r="J1741" s="8">
        <v>4732</v>
      </c>
      <c r="K1741" s="8">
        <v>4614</v>
      </c>
      <c r="L1741" s="8">
        <v>4633</v>
      </c>
      <c r="M1741" s="8">
        <v>4636</v>
      </c>
      <c r="N1741" s="8">
        <v>4695</v>
      </c>
      <c r="O1741" s="8">
        <v>4623</v>
      </c>
      <c r="P1741" s="8">
        <v>4628</v>
      </c>
      <c r="Q1741" s="8">
        <v>4577</v>
      </c>
      <c r="R1741" s="7">
        <f t="shared" si="15"/>
        <v>0.14825233046726116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</row>
    <row r="1742" spans="1:28" ht="14.4" hidden="1">
      <c r="A1742" s="3">
        <f>LOOKUP(D1742,'AMFI DATA_2023H2'!F:L,'AMFI DATA_2023H2'!L:L)</f>
        <v>734</v>
      </c>
      <c r="B1742" s="4" t="s">
        <v>2147</v>
      </c>
      <c r="C1742" s="4" t="s">
        <v>2148</v>
      </c>
      <c r="D1742" s="5" t="s">
        <v>2149</v>
      </c>
      <c r="E1742" s="5">
        <v>2003.69</v>
      </c>
      <c r="F1742" s="6">
        <f>LOOKUP(D1742,'AMFI DATA_2023H2'!F:J,'AMFI DATA_2023H2'!J:J)</f>
        <v>3483.7811999999999</v>
      </c>
      <c r="G1742" s="7">
        <f t="shared" si="14"/>
        <v>0.17257650968436256</v>
      </c>
      <c r="H1742" s="8">
        <v>4085</v>
      </c>
      <c r="I1742" s="8">
        <v>4103</v>
      </c>
      <c r="J1742" s="8">
        <v>4121</v>
      </c>
      <c r="K1742" s="8">
        <v>4215</v>
      </c>
      <c r="L1742" s="8">
        <v>4202</v>
      </c>
      <c r="M1742" s="8">
        <v>4010</v>
      </c>
      <c r="N1742" s="8">
        <v>3985</v>
      </c>
      <c r="O1742" s="8">
        <v>4057</v>
      </c>
      <c r="P1742" s="8">
        <v>4088</v>
      </c>
      <c r="Q1742" s="8">
        <v>3984</v>
      </c>
      <c r="R1742" s="7">
        <f t="shared" si="15"/>
        <v>0.17257650968436256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</row>
    <row r="1743" spans="1:28" ht="14.4" hidden="1">
      <c r="A1743" s="3">
        <f>LOOKUP(D1743,'AMFI DATA_2023H2'!F:L,'AMFI DATA_2023H2'!L:L)</f>
        <v>2639</v>
      </c>
      <c r="B1743" s="4" t="s">
        <v>5404</v>
      </c>
      <c r="C1743" s="4" t="s">
        <v>5405</v>
      </c>
      <c r="D1743" s="5" t="s">
        <v>5406</v>
      </c>
      <c r="E1743" s="5">
        <v>47.57</v>
      </c>
      <c r="F1743" s="6">
        <f>LOOKUP(D1743,'AMFI DATA_2023H2'!F:J,'AMFI DATA_2023H2'!J:J)</f>
        <v>63.55565</v>
      </c>
      <c r="G1743" s="7">
        <f t="shared" si="14"/>
        <v>0.90384332470834616</v>
      </c>
      <c r="H1743" s="9">
        <v>121</v>
      </c>
      <c r="I1743" s="9">
        <v>119</v>
      </c>
      <c r="J1743" s="9">
        <v>125</v>
      </c>
      <c r="K1743" s="9">
        <v>122</v>
      </c>
      <c r="L1743" s="9">
        <v>128</v>
      </c>
      <c r="M1743" s="9">
        <v>122</v>
      </c>
      <c r="N1743" s="9">
        <v>129</v>
      </c>
      <c r="O1743" s="9">
        <v>134</v>
      </c>
      <c r="P1743" s="9">
        <v>140</v>
      </c>
      <c r="Q1743" s="9">
        <v>135</v>
      </c>
      <c r="R1743" s="7">
        <f t="shared" si="15"/>
        <v>1.0061159000025963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</row>
    <row r="1744" spans="1:28" ht="14.4" hidden="1">
      <c r="A1744" s="3">
        <f>LOOKUP(D1744,'AMFI DATA_2023H2'!F:L,'AMFI DATA_2023H2'!L:L)</f>
        <v>236</v>
      </c>
      <c r="B1744" s="4" t="s">
        <v>717</v>
      </c>
      <c r="C1744" s="4" t="s">
        <v>718</v>
      </c>
      <c r="D1744" s="5" t="s">
        <v>719</v>
      </c>
      <c r="E1744" s="5">
        <v>23110.39</v>
      </c>
      <c r="F1744" s="6">
        <f>LOOKUP(D1744,'AMFI DATA_2023H2'!F:J,'AMFI DATA_2023H2'!J:J)</f>
        <v>23735.8446</v>
      </c>
      <c r="G1744" s="7">
        <f t="shared" si="14"/>
        <v>2.9582069306267611E-2</v>
      </c>
      <c r="H1744" s="8">
        <v>24438</v>
      </c>
      <c r="I1744" s="8">
        <v>24224</v>
      </c>
      <c r="J1744" s="8">
        <v>23694</v>
      </c>
      <c r="K1744" s="8">
        <v>23927</v>
      </c>
      <c r="L1744" s="8">
        <v>24341</v>
      </c>
      <c r="M1744" s="8">
        <v>24469</v>
      </c>
      <c r="N1744" s="8">
        <v>24385</v>
      </c>
      <c r="O1744" s="8">
        <v>24329</v>
      </c>
      <c r="P1744" s="8">
        <v>24132</v>
      </c>
      <c r="Q1744" s="8">
        <v>24058</v>
      </c>
      <c r="R1744" s="7">
        <f t="shared" si="15"/>
        <v>1.9542401284511346E-2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</row>
    <row r="1745" spans="1:28" ht="14.4" hidden="1">
      <c r="A1745" s="3">
        <f>LOOKUP(D1745,'AMFI DATA_2023H2'!F:L,'AMFI DATA_2023H2'!L:L)</f>
        <v>1844</v>
      </c>
      <c r="B1745" s="4" t="s">
        <v>4529</v>
      </c>
      <c r="C1745" s="4" t="s">
        <v>4530</v>
      </c>
      <c r="D1745" s="5" t="s">
        <v>4531</v>
      </c>
      <c r="E1745" s="5">
        <v>189.02</v>
      </c>
      <c r="F1745" s="6">
        <f>LOOKUP(D1745,'AMFI DATA_2023H2'!F:J,'AMFI DATA_2023H2'!J:J)</f>
        <v>252.51659999999998</v>
      </c>
      <c r="G1745" s="7">
        <f t="shared" si="14"/>
        <v>0.60781509017625002</v>
      </c>
      <c r="H1745" s="9">
        <v>406</v>
      </c>
      <c r="I1745" s="9">
        <v>410</v>
      </c>
      <c r="J1745" s="9">
        <v>387</v>
      </c>
      <c r="K1745" s="9">
        <v>369</v>
      </c>
      <c r="L1745" s="9">
        <v>354</v>
      </c>
      <c r="M1745" s="9">
        <v>341</v>
      </c>
      <c r="N1745" s="9">
        <v>338</v>
      </c>
      <c r="O1745" s="9">
        <v>338</v>
      </c>
      <c r="P1745" s="9">
        <v>339</v>
      </c>
      <c r="Q1745" s="9">
        <v>319</v>
      </c>
      <c r="R1745" s="7">
        <f t="shared" si="15"/>
        <v>0.42604486200115188</v>
      </c>
      <c r="S1745" s="9"/>
      <c r="T1745" s="9"/>
      <c r="U1745" s="9"/>
      <c r="V1745" s="9"/>
      <c r="W1745" s="9"/>
      <c r="X1745" s="9"/>
      <c r="Y1745" s="9"/>
      <c r="Z1745" s="9"/>
      <c r="AA1745" s="9"/>
      <c r="AB1745" s="9"/>
    </row>
    <row r="1746" spans="1:28" ht="14.4" hidden="1">
      <c r="A1746" s="3">
        <f>LOOKUP(D1746,'AMFI DATA_2023H2'!F:L,'AMFI DATA_2023H2'!L:L)</f>
        <v>670</v>
      </c>
      <c r="B1746" s="4" t="s">
        <v>1965</v>
      </c>
      <c r="C1746" s="4" t="s">
        <v>1966</v>
      </c>
      <c r="D1746" s="5" t="s">
        <v>1967</v>
      </c>
      <c r="E1746" s="5">
        <v>2209.64</v>
      </c>
      <c r="F1746" s="6">
        <f>LOOKUP(D1746,'AMFI DATA_2023H2'!F:J,'AMFI DATA_2023H2'!J:J)</f>
        <v>4183.9050499999994</v>
      </c>
      <c r="G1746" s="7">
        <f t="shared" si="14"/>
        <v>0.13386894379928638</v>
      </c>
      <c r="H1746" s="8">
        <v>4744</v>
      </c>
      <c r="I1746" s="8">
        <v>4586</v>
      </c>
      <c r="J1746" s="8">
        <v>4458</v>
      </c>
      <c r="K1746" s="8">
        <v>4467</v>
      </c>
      <c r="L1746" s="8">
        <v>4541</v>
      </c>
      <c r="M1746" s="8">
        <v>4382</v>
      </c>
      <c r="N1746" s="8">
        <v>4391</v>
      </c>
      <c r="O1746" s="8">
        <v>4457</v>
      </c>
      <c r="P1746" s="8">
        <v>4525</v>
      </c>
      <c r="Q1746" s="8">
        <v>4512</v>
      </c>
      <c r="R1746" s="7">
        <f t="shared" si="15"/>
        <v>7.7055991029242099E-2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</row>
    <row r="1747" spans="1:28" ht="14.4" hidden="1">
      <c r="A1747" s="3">
        <f>LOOKUP(D1747,'AMFI DATA_2023H2'!F:L,'AMFI DATA_2023H2'!L:L)</f>
        <v>2369</v>
      </c>
      <c r="B1747" s="4" t="s">
        <v>5186</v>
      </c>
      <c r="C1747" s="4" t="s">
        <v>5187</v>
      </c>
      <c r="D1747" s="5" t="s">
        <v>5188</v>
      </c>
      <c r="E1747" s="5">
        <v>118.87</v>
      </c>
      <c r="F1747" s="6">
        <f>LOOKUP(D1747,'AMFI DATA_2023H2'!F:J,'AMFI DATA_2023H2'!J:J)</f>
        <v>101.6948</v>
      </c>
      <c r="G1747" s="7">
        <f t="shared" si="14"/>
        <v>0.72083528361332139</v>
      </c>
      <c r="H1747" s="9">
        <v>175</v>
      </c>
      <c r="I1747" s="9">
        <v>178</v>
      </c>
      <c r="J1747" s="9">
        <v>178</v>
      </c>
      <c r="K1747" s="9">
        <v>170</v>
      </c>
      <c r="L1747" s="9">
        <v>162</v>
      </c>
      <c r="M1747" s="9">
        <v>155</v>
      </c>
      <c r="N1747" s="9">
        <v>147</v>
      </c>
      <c r="O1747" s="9">
        <v>141</v>
      </c>
      <c r="P1747" s="9">
        <v>134</v>
      </c>
      <c r="Q1747" s="9">
        <v>128</v>
      </c>
      <c r="R1747" s="7">
        <f t="shared" si="15"/>
        <v>0.54186841411753606</v>
      </c>
      <c r="S1747" s="9"/>
      <c r="T1747" s="9"/>
      <c r="U1747" s="9"/>
      <c r="V1747" s="9"/>
      <c r="W1747" s="9"/>
      <c r="X1747" s="9"/>
      <c r="Y1747" s="9"/>
      <c r="Z1747" s="9"/>
      <c r="AA1747" s="9"/>
      <c r="AB1747" s="9"/>
    </row>
    <row r="1748" spans="1:28" ht="14.4" hidden="1">
      <c r="A1748" s="3">
        <f>LOOKUP(D1748,'AMFI DATA_2023H2'!F:L,'AMFI DATA_2023H2'!L:L)</f>
        <v>408</v>
      </c>
      <c r="B1748" s="4" t="s">
        <v>1227</v>
      </c>
      <c r="C1748" s="4" t="s">
        <v>1228</v>
      </c>
      <c r="D1748" s="5" t="s">
        <v>1229</v>
      </c>
      <c r="E1748" s="5">
        <v>3509.17</v>
      </c>
      <c r="F1748" s="6">
        <f>LOOKUP(D1748,'AMFI DATA_2023H2'!F:J,'AMFI DATA_2023H2'!J:J)</f>
        <v>9944.0466500000002</v>
      </c>
      <c r="G1748" s="7">
        <f t="shared" si="14"/>
        <v>0.3617192755225056</v>
      </c>
      <c r="H1748" s="8">
        <v>13541</v>
      </c>
      <c r="I1748" s="8">
        <v>13752</v>
      </c>
      <c r="J1748" s="8">
        <v>13655</v>
      </c>
      <c r="K1748" s="8">
        <v>13842</v>
      </c>
      <c r="L1748" s="8">
        <v>14069</v>
      </c>
      <c r="M1748" s="8">
        <v>14049</v>
      </c>
      <c r="N1748" s="8">
        <v>13727</v>
      </c>
      <c r="O1748" s="8">
        <v>13958</v>
      </c>
      <c r="P1748" s="8">
        <v>13995</v>
      </c>
      <c r="Q1748" s="8">
        <v>14112</v>
      </c>
      <c r="R1748" s="7">
        <f t="shared" si="15"/>
        <v>0.3948043978655309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</row>
    <row r="1749" spans="1:28" ht="14.4" hidden="1">
      <c r="A1749" s="3">
        <f>LOOKUP(D1749,'AMFI DATA_2023H2'!F:L,'AMFI DATA_2023H2'!L:L)</f>
        <v>18</v>
      </c>
      <c r="B1749" s="4" t="s">
        <v>58</v>
      </c>
      <c r="C1749" s="4" t="s">
        <v>59</v>
      </c>
      <c r="D1749" s="5" t="s">
        <v>60</v>
      </c>
      <c r="E1749" s="5">
        <v>230809.34</v>
      </c>
      <c r="F1749" s="6">
        <f>LOOKUP(D1749,'AMFI DATA_2023H2'!F:J,'AMFI DATA_2023H2'!J:J)</f>
        <v>287192.75569999998</v>
      </c>
      <c r="G1749" s="7">
        <f t="shared" si="14"/>
        <v>0.14687085054492566</v>
      </c>
      <c r="H1749" s="8">
        <v>329373</v>
      </c>
      <c r="I1749" s="8">
        <v>330230</v>
      </c>
      <c r="J1749" s="8">
        <v>327908</v>
      </c>
      <c r="K1749" s="8">
        <v>328343</v>
      </c>
      <c r="L1749" s="8">
        <v>326705</v>
      </c>
      <c r="M1749" s="8">
        <v>326346</v>
      </c>
      <c r="N1749" s="8">
        <v>329941</v>
      </c>
      <c r="O1749" s="8">
        <v>327527</v>
      </c>
      <c r="P1749" s="8">
        <v>324914</v>
      </c>
      <c r="Q1749" s="8">
        <v>322031</v>
      </c>
      <c r="R1749" s="7">
        <f t="shared" si="15"/>
        <v>0.13976342892830163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</row>
    <row r="1750" spans="1:28" ht="14.4" hidden="1">
      <c r="A1750" s="3">
        <f>LOOKUP(D1750,'AMFI DATA_2023H2'!F:L,'AMFI DATA_2023H2'!L:L)</f>
        <v>2383</v>
      </c>
      <c r="B1750" s="4" t="s">
        <v>5195</v>
      </c>
      <c r="C1750" s="4" t="s">
        <v>5196</v>
      </c>
      <c r="D1750" s="5" t="s">
        <v>5197</v>
      </c>
      <c r="E1750" s="5">
        <v>90.45</v>
      </c>
      <c r="F1750" s="6">
        <f>LOOKUP(D1750,'AMFI DATA_2023H2'!F:J,'AMFI DATA_2023H2'!J:J)</f>
        <v>99.961099999999988</v>
      </c>
      <c r="G1750" s="7">
        <f t="shared" si="14"/>
        <v>0.10042806651787561</v>
      </c>
      <c r="H1750" s="9">
        <v>110</v>
      </c>
      <c r="I1750" s="9">
        <v>111</v>
      </c>
      <c r="J1750" s="9">
        <v>110</v>
      </c>
      <c r="K1750" s="9">
        <v>110</v>
      </c>
      <c r="L1750" s="9">
        <v>111</v>
      </c>
      <c r="M1750" s="9">
        <v>111</v>
      </c>
      <c r="N1750" s="9">
        <v>114</v>
      </c>
      <c r="O1750" s="9">
        <v>115</v>
      </c>
      <c r="P1750" s="9">
        <v>105</v>
      </c>
      <c r="Q1750" s="9">
        <v>107</v>
      </c>
      <c r="R1750" s="7">
        <f t="shared" si="15"/>
        <v>0.10442962312339521</v>
      </c>
      <c r="S1750" s="9"/>
      <c r="T1750" s="9"/>
      <c r="U1750" s="9"/>
      <c r="V1750" s="9"/>
      <c r="W1750" s="9"/>
      <c r="X1750" s="9"/>
      <c r="Y1750" s="9"/>
      <c r="Z1750" s="9"/>
      <c r="AA1750" s="9"/>
      <c r="AB1750" s="9"/>
    </row>
    <row r="1751" spans="1:28" ht="14.4" hidden="1">
      <c r="A1751" s="3">
        <f>LOOKUP(D1751,'AMFI DATA_2023H2'!F:L,'AMFI DATA_2023H2'!L:L)</f>
        <v>100</v>
      </c>
      <c r="B1751" s="4" t="s">
        <v>312</v>
      </c>
      <c r="C1751" s="4" t="s">
        <v>313</v>
      </c>
      <c r="D1751" s="5" t="s">
        <v>314</v>
      </c>
      <c r="E1751" s="5">
        <v>54799.49</v>
      </c>
      <c r="F1751" s="6">
        <f>LOOKUP(D1751,'AMFI DATA_2023H2'!F:J,'AMFI DATA_2023H2'!J:J)</f>
        <v>67017.693700000003</v>
      </c>
      <c r="G1751" s="7">
        <f t="shared" si="14"/>
        <v>0.18828320706595725</v>
      </c>
      <c r="H1751" s="8">
        <v>79636</v>
      </c>
      <c r="I1751" s="8">
        <v>80269</v>
      </c>
      <c r="J1751" s="8">
        <v>79670</v>
      </c>
      <c r="K1751" s="8">
        <v>78557</v>
      </c>
      <c r="L1751" s="8">
        <v>77780</v>
      </c>
      <c r="M1751" s="8">
        <v>78030</v>
      </c>
      <c r="N1751" s="8">
        <v>76695</v>
      </c>
      <c r="O1751" s="8">
        <v>76616</v>
      </c>
      <c r="P1751" s="8">
        <v>77500</v>
      </c>
      <c r="Q1751" s="8">
        <v>75220</v>
      </c>
      <c r="R1751" s="7">
        <f t="shared" si="15"/>
        <v>0.16383145545338285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</row>
    <row r="1752" spans="1:28" ht="14.4" hidden="1">
      <c r="A1752" s="3">
        <f>LOOKUP(D1752,'AMFI DATA_2023H2'!F:L,'AMFI DATA_2023H2'!L:L)</f>
        <v>173</v>
      </c>
      <c r="B1752" s="4" t="s">
        <v>528</v>
      </c>
      <c r="C1752" s="4" t="s">
        <v>529</v>
      </c>
      <c r="D1752" s="5" t="s">
        <v>530</v>
      </c>
      <c r="E1752" s="5">
        <v>25596.36</v>
      </c>
      <c r="F1752" s="6">
        <f>LOOKUP(D1752,'AMFI DATA_2023H2'!F:J,'AMFI DATA_2023H2'!J:J)</f>
        <v>35646.117150000005</v>
      </c>
      <c r="G1752" s="7">
        <f t="shared" si="14"/>
        <v>0.3992547853139734</v>
      </c>
      <c r="H1752" s="8">
        <v>49878</v>
      </c>
      <c r="I1752" s="8">
        <v>48763</v>
      </c>
      <c r="J1752" s="8">
        <v>45313</v>
      </c>
      <c r="K1752" s="8">
        <v>45082</v>
      </c>
      <c r="L1752" s="8">
        <v>45286</v>
      </c>
      <c r="M1752" s="8">
        <v>44890</v>
      </c>
      <c r="N1752" s="8">
        <v>44169</v>
      </c>
      <c r="O1752" s="8">
        <v>43195</v>
      </c>
      <c r="P1752" s="8">
        <v>43808</v>
      </c>
      <c r="Q1752" s="8">
        <v>43904</v>
      </c>
      <c r="R1752" s="7">
        <f t="shared" si="15"/>
        <v>0.27443894685174697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</row>
    <row r="1753" spans="1:28" ht="14.4" hidden="1">
      <c r="A1753" s="3">
        <f>LOOKUP(D1753,'AMFI DATA_2023H2'!F:L,'AMFI DATA_2023H2'!L:L)</f>
        <v>1929</v>
      </c>
      <c r="B1753" s="4" t="s">
        <v>4640</v>
      </c>
      <c r="C1753" s="4" t="s">
        <v>4641</v>
      </c>
      <c r="D1753" s="5" t="s">
        <v>4642</v>
      </c>
      <c r="E1753" s="5">
        <v>227.09</v>
      </c>
      <c r="F1753" s="6">
        <f>LOOKUP(D1753,'AMFI DATA_2023H2'!F:J,'AMFI DATA_2023H2'!J:J)</f>
        <v>208.66220000000001</v>
      </c>
      <c r="G1753" s="7">
        <f t="shared" si="14"/>
        <v>-7.965985214380078E-3</v>
      </c>
      <c r="H1753" s="9">
        <v>207</v>
      </c>
      <c r="I1753" s="9">
        <v>210</v>
      </c>
      <c r="J1753" s="9">
        <v>208</v>
      </c>
      <c r="K1753" s="9">
        <v>211</v>
      </c>
      <c r="L1753" s="9">
        <v>215</v>
      </c>
      <c r="M1753" s="9">
        <v>209</v>
      </c>
      <c r="N1753" s="9">
        <v>202</v>
      </c>
      <c r="O1753" s="9">
        <v>194</v>
      </c>
      <c r="P1753" s="9">
        <v>198</v>
      </c>
      <c r="Q1753" s="9">
        <v>193</v>
      </c>
      <c r="R1753" s="7">
        <f t="shared" si="15"/>
        <v>-1.8988585378664768E-2</v>
      </c>
      <c r="S1753" s="9"/>
      <c r="T1753" s="9"/>
      <c r="U1753" s="9"/>
      <c r="V1753" s="9"/>
      <c r="W1753" s="9"/>
      <c r="X1753" s="9"/>
      <c r="Y1753" s="9"/>
      <c r="Z1753" s="9"/>
      <c r="AA1753" s="9"/>
      <c r="AB1753" s="9"/>
    </row>
    <row r="1754" spans="1:28" ht="14.4" hidden="1">
      <c r="A1754" s="3">
        <f>LOOKUP(D1754,'AMFI DATA_2023H2'!F:L,'AMFI DATA_2023H2'!L:L)</f>
        <v>2039</v>
      </c>
      <c r="B1754" s="4" t="s">
        <v>4793</v>
      </c>
      <c r="C1754" s="4" t="s">
        <v>4794</v>
      </c>
      <c r="D1754" s="5" t="s">
        <v>4795</v>
      </c>
      <c r="E1754" s="5">
        <v>167.22</v>
      </c>
      <c r="F1754" s="6">
        <f>LOOKUP(D1754,'AMFI DATA_2023H2'!F:J,'AMFI DATA_2023H2'!J:J)</f>
        <v>176.99270000000001</v>
      </c>
      <c r="G1754" s="7">
        <f t="shared" si="14"/>
        <v>5.0890799451050794E-2</v>
      </c>
      <c r="H1754" s="9">
        <v>186</v>
      </c>
      <c r="I1754" s="9">
        <v>185</v>
      </c>
      <c r="J1754" s="9">
        <v>179</v>
      </c>
      <c r="K1754" s="9">
        <v>179</v>
      </c>
      <c r="L1754" s="9">
        <v>183</v>
      </c>
      <c r="M1754" s="9">
        <v>183</v>
      </c>
      <c r="N1754" s="9">
        <v>189</v>
      </c>
      <c r="O1754" s="9">
        <v>189</v>
      </c>
      <c r="P1754" s="9">
        <v>186</v>
      </c>
      <c r="Q1754" s="9">
        <v>194</v>
      </c>
      <c r="R1754" s="7">
        <f t="shared" si="15"/>
        <v>4.6935834076772709E-2</v>
      </c>
      <c r="S1754" s="9"/>
      <c r="T1754" s="9"/>
      <c r="U1754" s="9"/>
      <c r="V1754" s="9"/>
      <c r="W1754" s="9"/>
      <c r="X1754" s="9"/>
      <c r="Y1754" s="9"/>
      <c r="Z1754" s="9"/>
      <c r="AA1754" s="9"/>
      <c r="AB1754" s="9"/>
    </row>
    <row r="1755" spans="1:28" ht="14.4" hidden="1">
      <c r="A1755" s="3">
        <f>LOOKUP(D1755,'AMFI DATA_2023H2'!F:L,'AMFI DATA_2023H2'!L:L)</f>
        <v>1245</v>
      </c>
      <c r="B1755" s="4" t="s">
        <v>3446</v>
      </c>
      <c r="C1755" s="4" t="s">
        <v>3447</v>
      </c>
      <c r="D1755" s="5" t="s">
        <v>3448</v>
      </c>
      <c r="E1755" s="5">
        <v>675.47</v>
      </c>
      <c r="F1755" s="6">
        <f>LOOKUP(D1755,'AMFI DATA_2023H2'!F:J,'AMFI DATA_2023H2'!J:J)</f>
        <v>928.05029999999999</v>
      </c>
      <c r="G1755" s="7">
        <f t="shared" si="14"/>
        <v>0.22407158318897147</v>
      </c>
      <c r="H1755" s="8">
        <v>1136</v>
      </c>
      <c r="I1755" s="8">
        <v>1151</v>
      </c>
      <c r="J1755" s="8">
        <v>1162</v>
      </c>
      <c r="K1755" s="8">
        <v>1177</v>
      </c>
      <c r="L1755" s="8">
        <v>1219</v>
      </c>
      <c r="M1755" s="8">
        <v>1148</v>
      </c>
      <c r="N1755" s="8">
        <v>1155</v>
      </c>
      <c r="O1755" s="8">
        <v>1191</v>
      </c>
      <c r="P1755" s="8">
        <v>1221</v>
      </c>
      <c r="Q1755" s="8">
        <v>1248</v>
      </c>
      <c r="R1755" s="7">
        <f t="shared" si="15"/>
        <v>0.27234482872318444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</row>
    <row r="1756" spans="1:28" ht="14.4" hidden="1">
      <c r="A1756" s="3">
        <f>LOOKUP(D1756,'AMFI DATA_2023H2'!F:L,'AMFI DATA_2023H2'!L:L)</f>
        <v>1652</v>
      </c>
      <c r="B1756" s="4" t="s">
        <v>4244</v>
      </c>
      <c r="C1756" s="4" t="s">
        <v>4245</v>
      </c>
      <c r="D1756" s="5" t="s">
        <v>4246</v>
      </c>
      <c r="E1756" s="5">
        <v>271.38</v>
      </c>
      <c r="F1756" s="6">
        <f>LOOKUP(D1756,'AMFI DATA_2023H2'!F:J,'AMFI DATA_2023H2'!J:J)</f>
        <v>363.68414999999999</v>
      </c>
      <c r="G1756" s="7">
        <f t="shared" si="14"/>
        <v>0.15209859984274821</v>
      </c>
      <c r="H1756" s="9">
        <v>419</v>
      </c>
      <c r="I1756" s="9">
        <v>417</v>
      </c>
      <c r="J1756" s="9">
        <v>413</v>
      </c>
      <c r="K1756" s="9">
        <v>419</v>
      </c>
      <c r="L1756" s="9">
        <v>402</v>
      </c>
      <c r="M1756" s="9">
        <v>401</v>
      </c>
      <c r="N1756" s="9">
        <v>401</v>
      </c>
      <c r="O1756" s="9">
        <v>405</v>
      </c>
      <c r="P1756" s="9">
        <v>418</v>
      </c>
      <c r="Q1756" s="9">
        <v>417</v>
      </c>
      <c r="R1756" s="7">
        <f t="shared" si="15"/>
        <v>0.13065141827049653</v>
      </c>
      <c r="S1756" s="9"/>
      <c r="T1756" s="9"/>
      <c r="U1756" s="9"/>
      <c r="V1756" s="9"/>
      <c r="W1756" s="9"/>
      <c r="X1756" s="9"/>
      <c r="Y1756" s="9"/>
      <c r="Z1756" s="9"/>
      <c r="AA1756" s="9"/>
      <c r="AB1756" s="9"/>
    </row>
    <row r="1757" spans="1:28" ht="14.4" hidden="1">
      <c r="A1757" s="3">
        <f>LOOKUP(D1757,'AMFI DATA_2023H2'!F:L,'AMFI DATA_2023H2'!L:L)</f>
        <v>1281</v>
      </c>
      <c r="B1757" s="4" t="s">
        <v>3521</v>
      </c>
      <c r="C1757" s="4" t="s">
        <v>3522</v>
      </c>
      <c r="D1757" s="5" t="s">
        <v>3523</v>
      </c>
      <c r="E1757" s="5">
        <v>771.21</v>
      </c>
      <c r="F1757" s="6">
        <f>LOOKUP(D1757,'AMFI DATA_2023H2'!F:J,'AMFI DATA_2023H2'!J:J)</f>
        <v>846.6558</v>
      </c>
      <c r="G1757" s="7">
        <f t="shared" si="14"/>
        <v>0.3571040321226171</v>
      </c>
      <c r="H1757" s="8">
        <v>1149</v>
      </c>
      <c r="I1757" s="8">
        <v>1176</v>
      </c>
      <c r="J1757" s="8">
        <v>1109</v>
      </c>
      <c r="K1757" s="8">
        <v>1086</v>
      </c>
      <c r="L1757" s="8">
        <v>1125</v>
      </c>
      <c r="M1757" s="8">
        <v>1126</v>
      </c>
      <c r="N1757" s="8">
        <v>1119</v>
      </c>
      <c r="O1757" s="8">
        <v>1150</v>
      </c>
      <c r="P1757" s="8">
        <v>1153</v>
      </c>
      <c r="Q1757" s="8">
        <v>1198</v>
      </c>
      <c r="R1757" s="7">
        <f t="shared" si="15"/>
        <v>0.34541096866046384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</row>
    <row r="1758" spans="1:28" ht="14.4" hidden="1">
      <c r="A1758" s="3">
        <f>LOOKUP(D1758,'AMFI DATA_2023H2'!F:L,'AMFI DATA_2023H2'!L:L)</f>
        <v>942</v>
      </c>
      <c r="B1758" s="4" t="s">
        <v>2717</v>
      </c>
      <c r="C1758" s="4" t="s">
        <v>2718</v>
      </c>
      <c r="D1758" s="5" t="s">
        <v>2719</v>
      </c>
      <c r="E1758" s="5">
        <v>911.92</v>
      </c>
      <c r="F1758" s="6">
        <f>LOOKUP(D1758,'AMFI DATA_2023H2'!F:J,'AMFI DATA_2023H2'!J:J)</f>
        <v>2001.7962499999999</v>
      </c>
      <c r="G1758" s="7">
        <f t="shared" si="14"/>
        <v>0.89080182361216842</v>
      </c>
      <c r="H1758" s="8">
        <v>3785</v>
      </c>
      <c r="I1758" s="8">
        <v>3558</v>
      </c>
      <c r="J1758" s="8">
        <v>3434</v>
      </c>
      <c r="K1758" s="8">
        <v>3382</v>
      </c>
      <c r="L1758" s="8">
        <v>3403</v>
      </c>
      <c r="M1758" s="8">
        <v>3306</v>
      </c>
      <c r="N1758" s="8">
        <v>3058</v>
      </c>
      <c r="O1758" s="8">
        <v>3122</v>
      </c>
      <c r="P1758" s="8">
        <v>3096</v>
      </c>
      <c r="Q1758" s="8">
        <v>3194</v>
      </c>
      <c r="R1758" s="7">
        <f t="shared" si="15"/>
        <v>0.66540425880006548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</row>
    <row r="1759" spans="1:28" ht="14.4" hidden="1">
      <c r="A1759" s="3">
        <f>LOOKUP(D1759,'AMFI DATA_2023H2'!F:L,'AMFI DATA_2023H2'!L:L)</f>
        <v>1209</v>
      </c>
      <c r="B1759" s="4" t="s">
        <v>3374</v>
      </c>
      <c r="C1759" s="4" t="s">
        <v>3375</v>
      </c>
      <c r="D1759" s="5" t="s">
        <v>3376</v>
      </c>
      <c r="E1759" s="5">
        <v>76.959999999999994</v>
      </c>
      <c r="F1759" s="6">
        <f>LOOKUP(D1759,'AMFI DATA_2023H2'!F:J,'AMFI DATA_2023H2'!J:J)</f>
        <v>1029.0383999999999</v>
      </c>
      <c r="G1759" s="7">
        <f t="shared" si="14"/>
        <v>0.29052521266456144</v>
      </c>
      <c r="H1759" s="8">
        <v>1328</v>
      </c>
      <c r="I1759" s="8">
        <v>1156</v>
      </c>
      <c r="J1759" s="8">
        <v>1134</v>
      </c>
      <c r="K1759" s="8">
        <v>1103</v>
      </c>
      <c r="L1759" s="8">
        <v>1099</v>
      </c>
      <c r="M1759" s="8">
        <v>1118</v>
      </c>
      <c r="N1759" s="8">
        <v>1144</v>
      </c>
      <c r="O1759" s="8">
        <v>1166</v>
      </c>
      <c r="P1759" s="8">
        <v>1098</v>
      </c>
      <c r="Q1759" s="8">
        <v>1088</v>
      </c>
      <c r="R1759" s="7">
        <f t="shared" si="15"/>
        <v>0.11113443385591859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</row>
    <row r="1760" spans="1:28" ht="14.4" hidden="1">
      <c r="A1760" s="3">
        <f>LOOKUP(D1760,'AMFI DATA_2023H2'!F:L,'AMFI DATA_2023H2'!L:L)</f>
        <v>555</v>
      </c>
      <c r="B1760" s="4" t="s">
        <v>1644</v>
      </c>
      <c r="C1760" s="4" t="s">
        <v>1645</v>
      </c>
      <c r="D1760" s="5" t="s">
        <v>1646</v>
      </c>
      <c r="E1760" s="5">
        <v>5013.53</v>
      </c>
      <c r="F1760" s="6">
        <f>LOOKUP(D1760,'AMFI DATA_2023H2'!F:J,'AMFI DATA_2023H2'!J:J)</f>
        <v>6215.7353999999996</v>
      </c>
      <c r="G1760" s="7">
        <f t="shared" si="14"/>
        <v>4.8950700185854235E-2</v>
      </c>
      <c r="H1760" s="8">
        <v>6520</v>
      </c>
      <c r="I1760" s="8">
        <v>6436</v>
      </c>
      <c r="J1760" s="8">
        <v>6394</v>
      </c>
      <c r="K1760" s="8">
        <v>6390</v>
      </c>
      <c r="L1760" s="8">
        <v>6437</v>
      </c>
      <c r="M1760" s="8">
        <v>6404</v>
      </c>
      <c r="N1760" s="8">
        <v>6310</v>
      </c>
      <c r="O1760" s="8">
        <v>6242</v>
      </c>
      <c r="P1760" s="8">
        <v>6364</v>
      </c>
      <c r="Q1760" s="8">
        <v>6341</v>
      </c>
      <c r="R1760" s="7">
        <f t="shared" si="15"/>
        <v>2.7038570528597594E-2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</row>
    <row r="1761" spans="1:28" ht="14.4" hidden="1">
      <c r="A1761" s="3">
        <f>LOOKUP(D1761,'AMFI DATA_2023H2'!F:L,'AMFI DATA_2023H2'!L:L)</f>
        <v>2760</v>
      </c>
      <c r="B1761" s="4" t="s">
        <v>5452</v>
      </c>
      <c r="C1761" s="4" t="s">
        <v>5453</v>
      </c>
      <c r="D1761" s="5" t="s">
        <v>5454</v>
      </c>
      <c r="E1761" s="5">
        <v>32.64</v>
      </c>
      <c r="F1761" s="6">
        <f>LOOKUP(D1761,'AMFI DATA_2023H2'!F:J,'AMFI DATA_2023H2'!J:J)</f>
        <v>54.158612479999995</v>
      </c>
      <c r="G1761" s="7">
        <f t="shared" si="14"/>
        <v>0.10785703792092427</v>
      </c>
      <c r="H1761" s="9">
        <v>60</v>
      </c>
      <c r="I1761" s="9">
        <v>60</v>
      </c>
      <c r="J1761" s="9">
        <v>61.5</v>
      </c>
      <c r="K1761" s="9">
        <v>59.8</v>
      </c>
      <c r="L1761" s="9">
        <v>60.1</v>
      </c>
      <c r="M1761" s="9">
        <v>61.4</v>
      </c>
      <c r="N1761" s="9">
        <v>59.8</v>
      </c>
      <c r="O1761" s="9">
        <v>59.5</v>
      </c>
      <c r="P1761" s="9">
        <v>58.1</v>
      </c>
      <c r="Q1761" s="9">
        <v>60.5</v>
      </c>
      <c r="R1761" s="7">
        <f t="shared" si="15"/>
        <v>0.10914953779849879</v>
      </c>
      <c r="S1761" s="9"/>
      <c r="T1761" s="9"/>
      <c r="U1761" s="9"/>
      <c r="V1761" s="9"/>
      <c r="W1761" s="9"/>
      <c r="X1761" s="9"/>
      <c r="Y1761" s="9"/>
      <c r="Z1761" s="9"/>
      <c r="AA1761" s="9"/>
      <c r="AB1761" s="9"/>
    </row>
    <row r="1762" spans="1:28" ht="14.4" hidden="1">
      <c r="A1762" s="3">
        <f>LOOKUP(D1762,'AMFI DATA_2023H2'!F:L,'AMFI DATA_2023H2'!L:L)</f>
        <v>2528</v>
      </c>
      <c r="B1762" s="4" t="s">
        <v>5314</v>
      </c>
      <c r="C1762" s="4" t="s">
        <v>5315</v>
      </c>
      <c r="D1762" s="5" t="s">
        <v>5316</v>
      </c>
      <c r="E1762" s="5">
        <v>69.08</v>
      </c>
      <c r="F1762" s="6">
        <f>LOOKUP(D1762,'AMFI DATA_2023H2'!F:J,'AMFI DATA_2023H2'!J:J)</f>
        <v>77.262699999999995</v>
      </c>
      <c r="G1762" s="7">
        <f t="shared" si="14"/>
        <v>0.32017131164196955</v>
      </c>
      <c r="H1762" s="9">
        <v>102</v>
      </c>
      <c r="I1762" s="9">
        <v>98</v>
      </c>
      <c r="J1762" s="9">
        <v>93.9</v>
      </c>
      <c r="K1762" s="9">
        <v>90</v>
      </c>
      <c r="L1762" s="9">
        <v>89.6</v>
      </c>
      <c r="M1762" s="9">
        <v>90.3</v>
      </c>
      <c r="N1762" s="9">
        <v>87.6</v>
      </c>
      <c r="O1762" s="9">
        <v>86.7</v>
      </c>
      <c r="P1762" s="9">
        <v>90.2</v>
      </c>
      <c r="Q1762" s="9">
        <v>87</v>
      </c>
      <c r="R1762" s="7">
        <f t="shared" si="15"/>
        <v>0.1846596093587205</v>
      </c>
      <c r="S1762" s="9"/>
      <c r="T1762" s="9"/>
      <c r="U1762" s="9"/>
      <c r="V1762" s="9"/>
      <c r="W1762" s="9"/>
      <c r="X1762" s="9"/>
      <c r="Y1762" s="9"/>
      <c r="Z1762" s="9"/>
      <c r="AA1762" s="9"/>
      <c r="AB1762" s="9"/>
    </row>
    <row r="1763" spans="1:28" ht="14.4" hidden="1">
      <c r="A1763" s="3">
        <f>LOOKUP(D1763,'AMFI DATA_2023H2'!F:L,'AMFI DATA_2023H2'!L:L)</f>
        <v>2150</v>
      </c>
      <c r="B1763" s="4" t="s">
        <v>4952</v>
      </c>
      <c r="C1763" s="4" t="s">
        <v>4953</v>
      </c>
      <c r="D1763" s="5" t="s">
        <v>4954</v>
      </c>
      <c r="E1763" s="5">
        <v>76.959999999999994</v>
      </c>
      <c r="F1763" s="6">
        <f>LOOKUP(D1763,'AMFI DATA_2023H2'!F:J,'AMFI DATA_2023H2'!J:J)</f>
        <v>146.37529999999998</v>
      </c>
      <c r="G1763" s="7">
        <f t="shared" si="14"/>
        <v>0.60546212373262454</v>
      </c>
      <c r="H1763" s="9">
        <v>235</v>
      </c>
      <c r="I1763" s="9">
        <v>230</v>
      </c>
      <c r="J1763" s="9">
        <v>226</v>
      </c>
      <c r="K1763" s="9">
        <v>221</v>
      </c>
      <c r="L1763" s="9">
        <v>217</v>
      </c>
      <c r="M1763" s="9">
        <v>213</v>
      </c>
      <c r="N1763" s="9">
        <v>216</v>
      </c>
      <c r="O1763" s="9">
        <v>220</v>
      </c>
      <c r="P1763" s="9">
        <v>223</v>
      </c>
      <c r="Q1763" s="9">
        <v>228</v>
      </c>
      <c r="R1763" s="7">
        <f t="shared" si="15"/>
        <v>0.52279790374468948</v>
      </c>
      <c r="S1763" s="9"/>
      <c r="T1763" s="9"/>
      <c r="U1763" s="9"/>
      <c r="V1763" s="9"/>
      <c r="W1763" s="9"/>
      <c r="X1763" s="9"/>
      <c r="Y1763" s="9"/>
      <c r="Z1763" s="9"/>
      <c r="AA1763" s="9"/>
      <c r="AB1763" s="9"/>
    </row>
    <row r="1764" spans="1:28" ht="14.4" hidden="1">
      <c r="A1764" s="3">
        <f>LOOKUP(D1764,'AMFI DATA_2023H2'!F:L,'AMFI DATA_2023H2'!L:L)</f>
        <v>80</v>
      </c>
      <c r="B1764" s="4" t="s">
        <v>252</v>
      </c>
      <c r="C1764" s="4" t="s">
        <v>253</v>
      </c>
      <c r="D1764" s="5" t="s">
        <v>254</v>
      </c>
      <c r="E1764" s="5">
        <v>49686.95</v>
      </c>
      <c r="F1764" s="6">
        <f>LOOKUP(D1764,'AMFI DATA_2023H2'!F:J,'AMFI DATA_2023H2'!J:J)</f>
        <v>78002.578349999996</v>
      </c>
      <c r="G1764" s="7">
        <f t="shared" si="14"/>
        <v>0.39912041766501427</v>
      </c>
      <c r="H1764" s="8">
        <v>109135</v>
      </c>
      <c r="I1764" s="8">
        <v>109058</v>
      </c>
      <c r="J1764" s="8">
        <v>108786</v>
      </c>
      <c r="K1764" s="8">
        <v>106500</v>
      </c>
      <c r="L1764" s="8">
        <v>106653</v>
      </c>
      <c r="M1764" s="8">
        <v>108626</v>
      </c>
      <c r="N1764" s="8">
        <v>107482</v>
      </c>
      <c r="O1764" s="8">
        <v>107119</v>
      </c>
      <c r="P1764" s="8">
        <v>105626</v>
      </c>
      <c r="Q1764" s="8">
        <v>105420</v>
      </c>
      <c r="R1764" s="7">
        <f t="shared" si="15"/>
        <v>0.3773967767823152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</row>
    <row r="1765" spans="1:28" ht="14.4" hidden="1">
      <c r="A1765" s="3">
        <f>LOOKUP(D1765,'AMFI DATA_2023H2'!F:L,'AMFI DATA_2023H2'!L:L)</f>
        <v>1839</v>
      </c>
      <c r="B1765" s="4" t="s">
        <v>4520</v>
      </c>
      <c r="C1765" s="4" t="s">
        <v>4521</v>
      </c>
      <c r="D1765" s="5" t="s">
        <v>4522</v>
      </c>
      <c r="E1765" s="5">
        <v>184.97</v>
      </c>
      <c r="F1765" s="6">
        <f>LOOKUP(D1765,'AMFI DATA_2023H2'!F:J,'AMFI DATA_2023H2'!J:J)</f>
        <v>254.24160000000001</v>
      </c>
      <c r="G1765" s="7">
        <f t="shared" si="14"/>
        <v>0.1917797874148055</v>
      </c>
      <c r="H1765" s="9">
        <v>303</v>
      </c>
      <c r="I1765" s="9">
        <v>277</v>
      </c>
      <c r="J1765" s="9">
        <v>276</v>
      </c>
      <c r="K1765" s="9">
        <v>278</v>
      </c>
      <c r="L1765" s="9">
        <v>278</v>
      </c>
      <c r="M1765" s="9">
        <v>281</v>
      </c>
      <c r="N1765" s="9">
        <v>276</v>
      </c>
      <c r="O1765" s="9">
        <v>277</v>
      </c>
      <c r="P1765" s="9">
        <v>280</v>
      </c>
      <c r="Q1765" s="9">
        <v>274</v>
      </c>
      <c r="R1765" s="7">
        <f t="shared" si="15"/>
        <v>0.10131465503678383</v>
      </c>
      <c r="S1765" s="9"/>
      <c r="T1765" s="9"/>
      <c r="U1765" s="9"/>
      <c r="V1765" s="9"/>
      <c r="W1765" s="9"/>
      <c r="X1765" s="9"/>
      <c r="Y1765" s="9"/>
      <c r="Z1765" s="9"/>
      <c r="AA1765" s="9"/>
      <c r="AB1765" s="9"/>
    </row>
    <row r="1766" spans="1:28" ht="14.4" hidden="1">
      <c r="A1766" s="3">
        <f>LOOKUP(D1766,'AMFI DATA_2023H2'!F:L,'AMFI DATA_2023H2'!L:L)</f>
        <v>1330</v>
      </c>
      <c r="B1766" s="4" t="s">
        <v>3629</v>
      </c>
      <c r="C1766" s="4" t="s">
        <v>3630</v>
      </c>
      <c r="D1766" s="5" t="s">
        <v>3631</v>
      </c>
      <c r="E1766" s="5">
        <v>487.15</v>
      </c>
      <c r="F1766" s="6">
        <f>LOOKUP(D1766,'AMFI DATA_2023H2'!F:J,'AMFI DATA_2023H2'!J:J)</f>
        <v>749.23209999999995</v>
      </c>
      <c r="G1766" s="7">
        <f t="shared" si="14"/>
        <v>0.11047030686485537</v>
      </c>
      <c r="H1766" s="9">
        <v>832</v>
      </c>
      <c r="I1766" s="9">
        <v>862</v>
      </c>
      <c r="J1766" s="9">
        <v>853</v>
      </c>
      <c r="K1766" s="9">
        <v>849</v>
      </c>
      <c r="L1766" s="9">
        <v>846</v>
      </c>
      <c r="M1766" s="9">
        <v>852</v>
      </c>
      <c r="N1766" s="9">
        <v>848</v>
      </c>
      <c r="O1766" s="9">
        <v>867</v>
      </c>
      <c r="P1766" s="9">
        <v>874</v>
      </c>
      <c r="Q1766" s="9">
        <v>912</v>
      </c>
      <c r="R1766" s="7">
        <f t="shared" si="15"/>
        <v>0.14717455378647015</v>
      </c>
      <c r="S1766" s="9"/>
      <c r="T1766" s="9"/>
      <c r="U1766" s="9"/>
      <c r="V1766" s="9"/>
      <c r="W1766" s="9"/>
      <c r="X1766" s="9"/>
      <c r="Y1766" s="9"/>
      <c r="Z1766" s="9"/>
      <c r="AA1766" s="9"/>
      <c r="AB1766" s="9"/>
    </row>
    <row r="1767" spans="1:28" ht="14.4" hidden="1">
      <c r="A1767" s="3">
        <f>LOOKUP(D1767,'AMFI DATA_2023H2'!F:L,'AMFI DATA_2023H2'!L:L)</f>
        <v>284</v>
      </c>
      <c r="B1767" s="4" t="s">
        <v>861</v>
      </c>
      <c r="C1767" s="4" t="s">
        <v>862</v>
      </c>
      <c r="D1767" s="5" t="s">
        <v>863</v>
      </c>
      <c r="E1767" s="5">
        <v>16254.6</v>
      </c>
      <c r="F1767" s="6">
        <f>LOOKUP(D1767,'AMFI DATA_2023H2'!F:J,'AMFI DATA_2023H2'!J:J)</f>
        <v>18267.520400000001</v>
      </c>
      <c r="G1767" s="7">
        <f t="shared" si="14"/>
        <v>0.14098681942624225</v>
      </c>
      <c r="H1767" s="8">
        <v>20843</v>
      </c>
      <c r="I1767" s="8">
        <v>19518</v>
      </c>
      <c r="J1767" s="8">
        <v>19324</v>
      </c>
      <c r="K1767" s="8">
        <v>19059</v>
      </c>
      <c r="L1767" s="8">
        <v>18636</v>
      </c>
      <c r="M1767" s="8">
        <v>18488</v>
      </c>
      <c r="N1767" s="8">
        <v>18294</v>
      </c>
      <c r="O1767" s="8">
        <v>18412</v>
      </c>
      <c r="P1767" s="8">
        <v>18381</v>
      </c>
      <c r="Q1767" s="8">
        <v>18422</v>
      </c>
      <c r="R1767" s="7">
        <f t="shared" si="15"/>
        <v>3.6686949587312334E-2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</row>
    <row r="1768" spans="1:28" ht="14.4" hidden="1">
      <c r="A1768" s="3">
        <f>LOOKUP(D1768,'AMFI DATA_2023H2'!F:L,'AMFI DATA_2023H2'!L:L)</f>
        <v>1630</v>
      </c>
      <c r="B1768" s="4" t="s">
        <v>4208</v>
      </c>
      <c r="C1768" s="4" t="s">
        <v>4209</v>
      </c>
      <c r="D1768" s="5" t="s">
        <v>4210</v>
      </c>
      <c r="E1768" s="5">
        <v>301.55</v>
      </c>
      <c r="F1768" s="6">
        <f>LOOKUP(D1768,'AMFI DATA_2023H2'!F:J,'AMFI DATA_2023H2'!J:J)</f>
        <v>384.73090000000002</v>
      </c>
      <c r="G1768" s="7">
        <f t="shared" si="14"/>
        <v>0.10466822394562003</v>
      </c>
      <c r="H1768" s="9">
        <v>425</v>
      </c>
      <c r="I1768" s="9">
        <v>420</v>
      </c>
      <c r="J1768" s="9">
        <v>413</v>
      </c>
      <c r="K1768" s="9">
        <v>406</v>
      </c>
      <c r="L1768" s="9">
        <v>411</v>
      </c>
      <c r="M1768" s="9">
        <v>409</v>
      </c>
      <c r="N1768" s="9">
        <v>421</v>
      </c>
      <c r="O1768" s="9">
        <v>425</v>
      </c>
      <c r="P1768" s="9">
        <v>434</v>
      </c>
      <c r="Q1768" s="9">
        <v>416</v>
      </c>
      <c r="R1768" s="7">
        <f t="shared" si="15"/>
        <v>8.6473688492398226E-2</v>
      </c>
      <c r="S1768" s="9"/>
      <c r="T1768" s="9"/>
      <c r="U1768" s="9"/>
      <c r="V1768" s="9"/>
      <c r="W1768" s="9"/>
      <c r="X1768" s="9"/>
      <c r="Y1768" s="9"/>
      <c r="Z1768" s="9"/>
      <c r="AA1768" s="9"/>
      <c r="AB1768" s="9"/>
    </row>
    <row r="1769" spans="1:28" ht="14.4" hidden="1">
      <c r="A1769" s="3">
        <f>LOOKUP(D1769,'AMFI DATA_2023H2'!F:L,'AMFI DATA_2023H2'!L:L)</f>
        <v>495</v>
      </c>
      <c r="B1769" s="4" t="s">
        <v>1470</v>
      </c>
      <c r="C1769" s="4" t="s">
        <v>1471</v>
      </c>
      <c r="D1769" s="5" t="s">
        <v>1472</v>
      </c>
      <c r="E1769" s="5">
        <v>6378.13</v>
      </c>
      <c r="F1769" s="6">
        <f>LOOKUP(D1769,'AMFI DATA_2023H2'!F:J,'AMFI DATA_2023H2'!J:J)</f>
        <v>7447.9284499999994</v>
      </c>
      <c r="G1769" s="7">
        <f t="shared" si="14"/>
        <v>2.1578550476006875E-3</v>
      </c>
      <c r="H1769" s="8">
        <v>7464</v>
      </c>
      <c r="I1769" s="8">
        <v>7464</v>
      </c>
      <c r="J1769" s="8">
        <v>7421</v>
      </c>
      <c r="K1769" s="8">
        <v>7434</v>
      </c>
      <c r="L1769" s="8">
        <v>7557</v>
      </c>
      <c r="M1769" s="8">
        <v>7560</v>
      </c>
      <c r="N1769" s="8">
        <v>7574</v>
      </c>
      <c r="O1769" s="8">
        <v>7365</v>
      </c>
      <c r="P1769" s="8">
        <v>7324</v>
      </c>
      <c r="Q1769" s="8">
        <v>7249</v>
      </c>
      <c r="R1769" s="7">
        <f t="shared" si="15"/>
        <v>-9.0339885045476187E-4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</row>
    <row r="1770" spans="1:28" ht="14.4" hidden="1">
      <c r="A1770" s="3">
        <f>LOOKUP(D1770,'AMFI DATA_2023H2'!F:L,'AMFI DATA_2023H2'!L:L)</f>
        <v>347</v>
      </c>
      <c r="B1770" s="4" t="s">
        <v>1050</v>
      </c>
      <c r="C1770" s="4" t="s">
        <v>1051</v>
      </c>
      <c r="D1770" s="5" t="s">
        <v>1052</v>
      </c>
      <c r="E1770" s="5">
        <v>10712.1</v>
      </c>
      <c r="F1770" s="6">
        <f>LOOKUP(D1770,'AMFI DATA_2023H2'!F:J,'AMFI DATA_2023H2'!J:J)</f>
        <v>12680.52535</v>
      </c>
      <c r="G1770" s="7">
        <f t="shared" si="14"/>
        <v>3.5051753593158486E-2</v>
      </c>
      <c r="H1770" s="8">
        <v>13125</v>
      </c>
      <c r="I1770" s="8">
        <v>13395</v>
      </c>
      <c r="J1770" s="8">
        <v>13433</v>
      </c>
      <c r="K1770" s="8">
        <v>13281</v>
      </c>
      <c r="L1770" s="8">
        <v>13348</v>
      </c>
      <c r="M1770" s="8">
        <v>13451</v>
      </c>
      <c r="N1770" s="8">
        <v>13476</v>
      </c>
      <c r="O1770" s="8">
        <v>13192</v>
      </c>
      <c r="P1770" s="8">
        <v>12974</v>
      </c>
      <c r="Q1770" s="8">
        <v>12775</v>
      </c>
      <c r="R1770" s="7">
        <f t="shared" si="15"/>
        <v>4.451508391172454E-2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</row>
    <row r="1771" spans="1:28" ht="14.4" hidden="1">
      <c r="A1771" s="3">
        <f>LOOKUP(D1771,'AMFI DATA_2023H2'!F:L,'AMFI DATA_2023H2'!L:L)</f>
        <v>1339</v>
      </c>
      <c r="B1771" s="4" t="s">
        <v>3644</v>
      </c>
      <c r="C1771" s="4" t="s">
        <v>3645</v>
      </c>
      <c r="D1771" s="5" t="s">
        <v>3646</v>
      </c>
      <c r="E1771" s="5">
        <v>680.23</v>
      </c>
      <c r="F1771" s="6">
        <f>LOOKUP(D1771,'AMFI DATA_2023H2'!F:J,'AMFI DATA_2023H2'!J:J)</f>
        <v>736.43899999999996</v>
      </c>
      <c r="G1771" s="7">
        <f t="shared" si="14"/>
        <v>0.28184411743538851</v>
      </c>
      <c r="H1771" s="9">
        <v>944</v>
      </c>
      <c r="I1771" s="9">
        <v>953</v>
      </c>
      <c r="J1771" s="9">
        <v>920</v>
      </c>
      <c r="K1771" s="9">
        <v>932</v>
      </c>
      <c r="L1771" s="9">
        <v>938</v>
      </c>
      <c r="M1771" s="9">
        <v>904</v>
      </c>
      <c r="N1771" s="9">
        <v>838</v>
      </c>
      <c r="O1771" s="9">
        <v>835</v>
      </c>
      <c r="P1771" s="9">
        <v>868</v>
      </c>
      <c r="Q1771" s="9">
        <v>883</v>
      </c>
      <c r="R1771" s="7">
        <f t="shared" si="15"/>
        <v>0.22413397443644345</v>
      </c>
      <c r="S1771" s="9"/>
      <c r="T1771" s="9"/>
      <c r="U1771" s="9"/>
      <c r="V1771" s="9"/>
      <c r="W1771" s="9"/>
      <c r="X1771" s="9"/>
      <c r="Y1771" s="9"/>
      <c r="Z1771" s="9"/>
      <c r="AA1771" s="9"/>
      <c r="AB1771" s="9"/>
    </row>
    <row r="1772" spans="1:28" ht="14.4" hidden="1">
      <c r="A1772" s="3">
        <f>LOOKUP(D1772,'AMFI DATA_2023H2'!F:L,'AMFI DATA_2023H2'!L:L)</f>
        <v>989</v>
      </c>
      <c r="B1772" s="4" t="s">
        <v>2831</v>
      </c>
      <c r="C1772" s="4" t="s">
        <v>2832</v>
      </c>
      <c r="D1772" s="5" t="s">
        <v>2833</v>
      </c>
      <c r="E1772" s="5">
        <v>1561.62</v>
      </c>
      <c r="F1772" s="6">
        <f>LOOKUP(D1772,'AMFI DATA_2023H2'!F:J,'AMFI DATA_2023H2'!J:J)</f>
        <v>1764.32</v>
      </c>
      <c r="G1772" s="7">
        <f t="shared" si="14"/>
        <v>8.2003264713884194E-2</v>
      </c>
      <c r="H1772" s="8">
        <v>1909</v>
      </c>
      <c r="I1772" s="8">
        <v>1916</v>
      </c>
      <c r="J1772" s="8">
        <v>1907</v>
      </c>
      <c r="K1772" s="8">
        <v>1913</v>
      </c>
      <c r="L1772" s="8">
        <v>1958</v>
      </c>
      <c r="M1772" s="8">
        <v>2001</v>
      </c>
      <c r="N1772" s="8">
        <v>1985</v>
      </c>
      <c r="O1772" s="8">
        <v>1994</v>
      </c>
      <c r="P1772" s="8">
        <v>1958</v>
      </c>
      <c r="Q1772" s="8">
        <v>1981</v>
      </c>
      <c r="R1772" s="7">
        <f t="shared" si="15"/>
        <v>0.1064886188446541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</row>
    <row r="1773" spans="1:28" ht="14.4" hidden="1">
      <c r="A1773" s="3">
        <f>LOOKUP(D1773,'AMFI DATA_2023H2'!F:L,'AMFI DATA_2023H2'!L:L)</f>
        <v>387</v>
      </c>
      <c r="B1773" s="4" t="s">
        <v>1164</v>
      </c>
      <c r="C1773" s="4" t="s">
        <v>1165</v>
      </c>
      <c r="D1773" s="5" t="s">
        <v>1166</v>
      </c>
      <c r="E1773" s="5">
        <v>10228.379999999999</v>
      </c>
      <c r="F1773" s="6">
        <f>LOOKUP(D1773,'AMFI DATA_2023H2'!F:J,'AMFI DATA_2023H2'!J:J)</f>
        <v>10793.973300000001</v>
      </c>
      <c r="G1773" s="7">
        <f t="shared" si="14"/>
        <v>-3.4553846821170242E-2</v>
      </c>
      <c r="H1773" s="8">
        <v>10421</v>
      </c>
      <c r="I1773" s="8">
        <v>10238</v>
      </c>
      <c r="J1773" s="8">
        <v>10332</v>
      </c>
      <c r="K1773" s="8">
        <v>10354</v>
      </c>
      <c r="L1773" s="8">
        <v>10347</v>
      </c>
      <c r="M1773" s="8">
        <v>10252</v>
      </c>
      <c r="N1773" s="8">
        <v>10262</v>
      </c>
      <c r="O1773" s="8">
        <v>10243</v>
      </c>
      <c r="P1773" s="8">
        <v>10290</v>
      </c>
      <c r="Q1773" s="8">
        <v>10253</v>
      </c>
      <c r="R1773" s="7">
        <f t="shared" si="15"/>
        <v>-4.5837921426023942E-2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</row>
    <row r="1774" spans="1:28" ht="14.4" hidden="1">
      <c r="A1774" s="3">
        <f>LOOKUP(D1774,'AMFI DATA_2023H2'!F:L,'AMFI DATA_2023H2'!L:L)</f>
        <v>106</v>
      </c>
      <c r="B1774" s="4" t="s">
        <v>330</v>
      </c>
      <c r="C1774" s="4" t="s">
        <v>331</v>
      </c>
      <c r="D1774" s="5" t="s">
        <v>332</v>
      </c>
      <c r="E1774" s="5">
        <v>52078.89</v>
      </c>
      <c r="F1774" s="6">
        <f>LOOKUP(D1774,'AMFI DATA_2023H2'!F:J,'AMFI DATA_2023H2'!J:J)</f>
        <v>61590.004699999998</v>
      </c>
      <c r="G1774" s="7">
        <f t="shared" si="14"/>
        <v>0.17371317557311383</v>
      </c>
      <c r="H1774" s="8">
        <v>72289</v>
      </c>
      <c r="I1774" s="8">
        <v>68835</v>
      </c>
      <c r="J1774" s="8">
        <v>68351</v>
      </c>
      <c r="K1774" s="8">
        <v>69650</v>
      </c>
      <c r="L1774" s="8">
        <v>69140</v>
      </c>
      <c r="M1774" s="8">
        <v>68435</v>
      </c>
      <c r="N1774" s="8">
        <v>68448</v>
      </c>
      <c r="O1774" s="8">
        <v>70594</v>
      </c>
      <c r="P1774" s="8">
        <v>69978</v>
      </c>
      <c r="Q1774" s="8">
        <v>69384</v>
      </c>
      <c r="R1774" s="7">
        <f t="shared" si="15"/>
        <v>0.12859871238165366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</row>
    <row r="1775" spans="1:28" ht="14.4" hidden="1">
      <c r="A1775" s="3">
        <f>LOOKUP(D1775,'AMFI DATA_2023H2'!F:L,'AMFI DATA_2023H2'!L:L)</f>
        <v>1125</v>
      </c>
      <c r="B1775" s="4" t="s">
        <v>3170</v>
      </c>
      <c r="C1775" s="4" t="s">
        <v>3171</v>
      </c>
      <c r="D1775" s="5" t="s">
        <v>3172</v>
      </c>
      <c r="E1775" s="5">
        <v>1270.42</v>
      </c>
      <c r="F1775" s="6">
        <f>LOOKUP(D1775,'AMFI DATA_2023H2'!F:J,'AMFI DATA_2023H2'!J:J)</f>
        <v>1262.2436</v>
      </c>
      <c r="G1775" s="7">
        <f t="shared" si="14"/>
        <v>0.14478694920695179</v>
      </c>
      <c r="H1775" s="8">
        <v>1445</v>
      </c>
      <c r="I1775" s="8">
        <v>1361</v>
      </c>
      <c r="J1775" s="8">
        <v>1300</v>
      </c>
      <c r="K1775" s="8">
        <v>1307</v>
      </c>
      <c r="L1775" s="8">
        <v>1296</v>
      </c>
      <c r="M1775" s="8">
        <v>1278</v>
      </c>
      <c r="N1775" s="8">
        <v>1271</v>
      </c>
      <c r="O1775" s="8">
        <v>1268</v>
      </c>
      <c r="P1775" s="8">
        <v>1286</v>
      </c>
      <c r="Q1775" s="8">
        <v>1274</v>
      </c>
      <c r="R1775" s="7">
        <f t="shared" si="15"/>
        <v>3.67253991226415E-2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</row>
    <row r="1776" spans="1:28" ht="14.4" hidden="1">
      <c r="A1776" s="3">
        <f>LOOKUP(D1776,'AMFI DATA_2023H2'!F:L,'AMFI DATA_2023H2'!L:L)</f>
        <v>3716</v>
      </c>
      <c r="B1776" s="4" t="s">
        <v>5722</v>
      </c>
      <c r="C1776" s="4" t="s">
        <v>5723</v>
      </c>
      <c r="D1776" s="5" t="s">
        <v>5724</v>
      </c>
      <c r="E1776" s="5">
        <v>8.68</v>
      </c>
      <c r="F1776" s="6">
        <f>LOOKUP(D1776,'AMFI DATA_2023H2'!F:J,'AMFI DATA_2023H2'!J:J)</f>
        <v>12.80175</v>
      </c>
      <c r="G1776" s="7">
        <f t="shared" si="14"/>
        <v>0.17952623664733336</v>
      </c>
      <c r="H1776" s="9">
        <v>15.1</v>
      </c>
      <c r="I1776" s="9">
        <v>15.1</v>
      </c>
      <c r="J1776" s="9">
        <v>15.1</v>
      </c>
      <c r="K1776" s="9">
        <v>15.1</v>
      </c>
      <c r="L1776" s="9">
        <v>15.3</v>
      </c>
      <c r="M1776" s="9">
        <v>15</v>
      </c>
      <c r="N1776" s="9">
        <v>15.3</v>
      </c>
      <c r="O1776" s="9">
        <v>15</v>
      </c>
      <c r="P1776" s="9">
        <v>15.5</v>
      </c>
      <c r="Q1776" s="9">
        <v>15.3</v>
      </c>
      <c r="R1776" s="7">
        <f t="shared" si="15"/>
        <v>0.185775382271955</v>
      </c>
      <c r="S1776" s="9"/>
      <c r="T1776" s="9"/>
      <c r="U1776" s="9"/>
      <c r="V1776" s="9"/>
      <c r="W1776" s="9"/>
      <c r="X1776" s="9"/>
      <c r="Y1776" s="9"/>
      <c r="Z1776" s="9"/>
      <c r="AA1776" s="9"/>
      <c r="AB1776" s="9"/>
    </row>
    <row r="1777" spans="1:28" ht="14.4" hidden="1">
      <c r="A1777" s="3">
        <f>LOOKUP(D1777,'AMFI DATA_2023H2'!F:L,'AMFI DATA_2023H2'!L:L)</f>
        <v>485</v>
      </c>
      <c r="B1777" s="4" t="s">
        <v>1440</v>
      </c>
      <c r="C1777" s="4" t="s">
        <v>1441</v>
      </c>
      <c r="D1777" s="5" t="s">
        <v>1442</v>
      </c>
      <c r="E1777" s="5">
        <v>5711.41</v>
      </c>
      <c r="F1777" s="6">
        <f>LOOKUP(D1777,'AMFI DATA_2023H2'!F:J,'AMFI DATA_2023H2'!J:J)</f>
        <v>7656.4718499999999</v>
      </c>
      <c r="G1777" s="7">
        <f t="shared" si="14"/>
        <v>0.21583415734755174</v>
      </c>
      <c r="H1777" s="8">
        <v>9309</v>
      </c>
      <c r="I1777" s="8">
        <v>9043</v>
      </c>
      <c r="J1777" s="8">
        <v>9060</v>
      </c>
      <c r="K1777" s="8">
        <v>9043</v>
      </c>
      <c r="L1777" s="8">
        <v>8927</v>
      </c>
      <c r="M1777" s="8">
        <v>8652</v>
      </c>
      <c r="N1777" s="8">
        <v>8687</v>
      </c>
      <c r="O1777" s="8">
        <v>8829</v>
      </c>
      <c r="P1777" s="8">
        <v>8946</v>
      </c>
      <c r="Q1777" s="8">
        <v>8743</v>
      </c>
      <c r="R1777" s="7">
        <f t="shared" si="15"/>
        <v>0.16553683926885987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</row>
    <row r="1778" spans="1:28" ht="14.4" hidden="1">
      <c r="A1778" s="3">
        <f>LOOKUP(D1778,'AMFI DATA_2023H2'!F:L,'AMFI DATA_2023H2'!L:L)</f>
        <v>1376</v>
      </c>
      <c r="B1778" s="4" t="s">
        <v>3716</v>
      </c>
      <c r="C1778" s="4" t="s">
        <v>3717</v>
      </c>
      <c r="D1778" s="5" t="s">
        <v>3718</v>
      </c>
      <c r="E1778" s="5">
        <v>676.62</v>
      </c>
      <c r="F1778" s="6">
        <f>LOOKUP(D1778,'AMFI DATA_2023H2'!F:J,'AMFI DATA_2023H2'!J:J)</f>
        <v>677.10339999999997</v>
      </c>
      <c r="G1778" s="7">
        <f t="shared" si="14"/>
        <v>-2.2305898921789469E-2</v>
      </c>
      <c r="H1778" s="9">
        <v>662</v>
      </c>
      <c r="I1778" s="9">
        <v>664</v>
      </c>
      <c r="J1778" s="9">
        <v>663</v>
      </c>
      <c r="K1778" s="9">
        <v>664</v>
      </c>
      <c r="L1778" s="9">
        <v>671</v>
      </c>
      <c r="M1778" s="9">
        <v>663</v>
      </c>
      <c r="N1778" s="9">
        <v>663</v>
      </c>
      <c r="O1778" s="9">
        <v>661</v>
      </c>
      <c r="P1778" s="9">
        <v>664</v>
      </c>
      <c r="Q1778" s="9">
        <v>659</v>
      </c>
      <c r="R1778" s="7">
        <f t="shared" si="15"/>
        <v>-2.0238267892318973E-2</v>
      </c>
      <c r="S1778" s="9"/>
      <c r="T1778" s="9"/>
      <c r="U1778" s="9"/>
      <c r="V1778" s="9"/>
      <c r="W1778" s="9"/>
      <c r="X1778" s="9"/>
      <c r="Y1778" s="9"/>
      <c r="Z1778" s="9"/>
      <c r="AA1778" s="9"/>
      <c r="AB1778" s="9"/>
    </row>
    <row r="1779" spans="1:28" ht="14.4" hidden="1">
      <c r="A1779" s="3">
        <f>LOOKUP(D1779,'AMFI DATA_2023H2'!F:L,'AMFI DATA_2023H2'!L:L)</f>
        <v>372</v>
      </c>
      <c r="B1779" s="4" t="s">
        <v>1122</v>
      </c>
      <c r="C1779" s="4" t="s">
        <v>1123</v>
      </c>
      <c r="D1779" s="5" t="s">
        <v>1124</v>
      </c>
      <c r="E1779" s="5">
        <v>676.62</v>
      </c>
      <c r="F1779" s="6">
        <f>LOOKUP(D1779,'AMFI DATA_2023H2'!F:J,'AMFI DATA_2023H2'!J:J)</f>
        <v>11714.053449999999</v>
      </c>
      <c r="G1779" s="7">
        <f t="shared" si="14"/>
        <v>0.40899135132425068</v>
      </c>
      <c r="H1779" s="8">
        <v>16505</v>
      </c>
      <c r="I1779" s="8">
        <v>16562</v>
      </c>
      <c r="J1779" s="8">
        <v>16855</v>
      </c>
      <c r="K1779" s="8">
        <v>16213</v>
      </c>
      <c r="L1779" s="8">
        <v>16182</v>
      </c>
      <c r="M1779" s="8">
        <v>15726</v>
      </c>
      <c r="N1779" s="8">
        <v>14665</v>
      </c>
      <c r="O1779" s="8">
        <v>14860</v>
      </c>
      <c r="P1779" s="8">
        <v>14805</v>
      </c>
      <c r="Q1779" s="8">
        <v>15253</v>
      </c>
      <c r="R1779" s="7">
        <f t="shared" si="15"/>
        <v>0.34561448496719982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</row>
    <row r="1780" spans="1:28" ht="14.4" hidden="1">
      <c r="A1780" s="3">
        <f>LOOKUP(D1780,'AMFI DATA_2023H2'!F:L,'AMFI DATA_2023H2'!L:L)</f>
        <v>86</v>
      </c>
      <c r="B1780" s="4" t="s">
        <v>270</v>
      </c>
      <c r="C1780" s="4" t="s">
        <v>271</v>
      </c>
      <c r="D1780" s="5" t="s">
        <v>272</v>
      </c>
      <c r="E1780" s="5">
        <v>54308.97</v>
      </c>
      <c r="F1780" s="6">
        <f>LOOKUP(D1780,'AMFI DATA_2023H2'!F:J,'AMFI DATA_2023H2'!J:J)</f>
        <v>74341.805850000004</v>
      </c>
      <c r="G1780" s="7">
        <f t="shared" si="14"/>
        <v>0.26492757237750086</v>
      </c>
      <c r="H1780" s="8">
        <v>94037</v>
      </c>
      <c r="I1780" s="8">
        <v>94193</v>
      </c>
      <c r="J1780" s="8">
        <v>94949</v>
      </c>
      <c r="K1780" s="8">
        <v>93554</v>
      </c>
      <c r="L1780" s="8">
        <v>95716</v>
      </c>
      <c r="M1780" s="8">
        <v>96398</v>
      </c>
      <c r="N1780" s="8">
        <v>95590</v>
      </c>
      <c r="O1780" s="8">
        <v>95657</v>
      </c>
      <c r="P1780" s="8">
        <v>94813</v>
      </c>
      <c r="Q1780" s="8">
        <v>93476</v>
      </c>
      <c r="R1780" s="7">
        <f t="shared" si="15"/>
        <v>0.27570616446089469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</row>
    <row r="1781" spans="1:28" ht="14.4">
      <c r="A1781" s="3">
        <f>LOOKUP(D1781,'AMFI DATA_2023H2'!F:L,'AMFI DATA_2023H2'!L:L)</f>
        <v>810</v>
      </c>
      <c r="B1781" s="4" t="s">
        <v>2354</v>
      </c>
      <c r="C1781" s="4" t="s">
        <v>2355</v>
      </c>
      <c r="D1781" s="5" t="s">
        <v>2356</v>
      </c>
      <c r="E1781" s="5">
        <v>2271.5300000000002</v>
      </c>
      <c r="F1781" s="6">
        <f>LOOKUP(D1781,'AMFI DATA_2023H2'!F:J,'AMFI DATA_2023H2'!J:J)</f>
        <v>2796.5050000000001</v>
      </c>
      <c r="G1781" s="7">
        <f t="shared" si="14"/>
        <v>0.21902160017593375</v>
      </c>
      <c r="H1781" s="8">
        <v>3409</v>
      </c>
      <c r="I1781" s="8">
        <v>3418</v>
      </c>
      <c r="J1781" s="8">
        <v>3424</v>
      </c>
      <c r="K1781" s="8">
        <v>3416</v>
      </c>
      <c r="L1781" s="8">
        <v>3451</v>
      </c>
      <c r="M1781" s="8">
        <v>3464</v>
      </c>
      <c r="N1781" s="8">
        <v>3511</v>
      </c>
      <c r="O1781" s="8">
        <v>3527</v>
      </c>
      <c r="P1781" s="8">
        <v>3564</v>
      </c>
      <c r="Q1781" s="8">
        <v>3485</v>
      </c>
      <c r="R1781" s="14">
        <f t="shared" si="15"/>
        <v>0.23972601515105452</v>
      </c>
      <c r="S1781" s="8"/>
      <c r="T1781" s="8">
        <v>4455</v>
      </c>
      <c r="U1781" s="15">
        <f ca="1">IFERROR(__xludf.DUMMYFUNCTION("GOOGLEFINANCE(C1781,""PRICE"")"),4556)</f>
        <v>4556</v>
      </c>
      <c r="V1781" s="13" t="s">
        <v>5787</v>
      </c>
      <c r="W1781" s="7">
        <f ca="1">U1781/T1781-1</f>
        <v>2.2671156004489434E-2</v>
      </c>
      <c r="X1781" s="8"/>
      <c r="Y1781" s="8"/>
      <c r="Z1781" s="8"/>
      <c r="AA1781" s="8"/>
      <c r="AB1781" s="8"/>
    </row>
    <row r="1782" spans="1:28" ht="14.4" hidden="1">
      <c r="A1782" s="3">
        <f>LOOKUP(D1782,'AMFI DATA_2023H2'!F:L,'AMFI DATA_2023H2'!L:L)</f>
        <v>435</v>
      </c>
      <c r="B1782" s="4" t="s">
        <v>1299</v>
      </c>
      <c r="C1782" s="4" t="s">
        <v>1300</v>
      </c>
      <c r="D1782" s="5" t="s">
        <v>1301</v>
      </c>
      <c r="E1782" s="5">
        <v>54308.97</v>
      </c>
      <c r="F1782" s="6">
        <f>LOOKUP(D1782,'AMFI DATA_2023H2'!F:J,'AMFI DATA_2023H2'!J:J)</f>
        <v>9237.7139500000012</v>
      </c>
      <c r="G1782" s="7">
        <f t="shared" si="14"/>
        <v>-5.2904209054882134E-2</v>
      </c>
      <c r="H1782" s="8">
        <v>8749</v>
      </c>
      <c r="I1782" s="8">
        <v>8779</v>
      </c>
      <c r="J1782" s="8">
        <v>8758</v>
      </c>
      <c r="K1782" s="8">
        <v>8747</v>
      </c>
      <c r="L1782" s="8">
        <v>8741</v>
      </c>
      <c r="M1782" s="8">
        <v>8710</v>
      </c>
      <c r="N1782" s="8">
        <v>8776</v>
      </c>
      <c r="O1782" s="8">
        <v>8774</v>
      </c>
      <c r="P1782" s="8">
        <v>8864</v>
      </c>
      <c r="Q1782" s="8">
        <v>8752</v>
      </c>
      <c r="R1782" s="7">
        <f t="shared" si="15"/>
        <v>-5.1172178805125368E-2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</row>
    <row r="1783" spans="1:28" ht="14.4" hidden="1">
      <c r="A1783" s="3">
        <f>LOOKUP(D1783,'AMFI DATA_2023H2'!F:L,'AMFI DATA_2023H2'!L:L)</f>
        <v>1738</v>
      </c>
      <c r="B1783" s="4" t="s">
        <v>4388</v>
      </c>
      <c r="C1783" s="4" t="s">
        <v>4389</v>
      </c>
      <c r="D1783" s="5" t="s">
        <v>4390</v>
      </c>
      <c r="E1783" s="5">
        <v>39237.620000000003</v>
      </c>
      <c r="F1783" s="6">
        <f>LOOKUP(D1783,'AMFI DATA_2023H2'!F:J,'AMFI DATA_2023H2'!J:J)</f>
        <v>305.03684999999996</v>
      </c>
      <c r="G1783" s="7">
        <f t="shared" si="14"/>
        <v>5.2331874001452672E-2</v>
      </c>
      <c r="H1783" s="9">
        <v>321</v>
      </c>
      <c r="I1783" s="9">
        <v>328</v>
      </c>
      <c r="J1783" s="9">
        <v>326</v>
      </c>
      <c r="K1783" s="9">
        <v>319</v>
      </c>
      <c r="L1783" s="9">
        <v>327</v>
      </c>
      <c r="M1783" s="9">
        <v>323</v>
      </c>
      <c r="N1783" s="9">
        <v>318</v>
      </c>
      <c r="O1783" s="9">
        <v>323</v>
      </c>
      <c r="P1783" s="9">
        <v>312</v>
      </c>
      <c r="Q1783" s="9">
        <v>310</v>
      </c>
      <c r="R1783" s="7">
        <f t="shared" si="15"/>
        <v>5.1348386268741164E-2</v>
      </c>
      <c r="S1783" s="9"/>
      <c r="T1783" s="9"/>
      <c r="U1783" s="9"/>
      <c r="V1783" s="9"/>
      <c r="W1783" s="9"/>
      <c r="X1783" s="9"/>
      <c r="Y1783" s="9"/>
      <c r="Z1783" s="9"/>
      <c r="AA1783" s="9"/>
      <c r="AB1783" s="9"/>
    </row>
    <row r="1784" spans="1:28" ht="14.4" hidden="1">
      <c r="A1784" s="3">
        <f>LOOKUP(D1784,'AMFI DATA_2023H2'!F:L,'AMFI DATA_2023H2'!L:L)</f>
        <v>157</v>
      </c>
      <c r="B1784" s="4" t="s">
        <v>480</v>
      </c>
      <c r="C1784" s="4" t="s">
        <v>481</v>
      </c>
      <c r="D1784" s="5" t="s">
        <v>482</v>
      </c>
      <c r="E1784" s="5">
        <v>32657.99</v>
      </c>
      <c r="F1784" s="6">
        <f>LOOKUP(D1784,'AMFI DATA_2023H2'!F:J,'AMFI DATA_2023H2'!J:J)</f>
        <v>42748.867549999995</v>
      </c>
      <c r="G1784" s="7">
        <f t="shared" si="14"/>
        <v>0.15731720710809816</v>
      </c>
      <c r="H1784" s="8">
        <v>49474</v>
      </c>
      <c r="I1784" s="8">
        <v>49856</v>
      </c>
      <c r="J1784" s="8">
        <v>49091</v>
      </c>
      <c r="K1784" s="8">
        <v>47644</v>
      </c>
      <c r="L1784" s="8">
        <v>47824</v>
      </c>
      <c r="M1784" s="8">
        <v>47513</v>
      </c>
      <c r="N1784" s="8">
        <v>47537</v>
      </c>
      <c r="O1784" s="8">
        <v>47704</v>
      </c>
      <c r="P1784" s="8">
        <v>46844</v>
      </c>
      <c r="Q1784" s="8">
        <v>47226</v>
      </c>
      <c r="R1784" s="7">
        <f t="shared" si="15"/>
        <v>0.12450464199489675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</row>
    <row r="1785" spans="1:28" ht="14.4" hidden="1">
      <c r="A1785" s="3">
        <f>LOOKUP(D1785,'AMFI DATA_2023H2'!F:L,'AMFI DATA_2023H2'!L:L)</f>
        <v>1982</v>
      </c>
      <c r="B1785" s="4" t="s">
        <v>4700</v>
      </c>
      <c r="C1785" s="4" t="s">
        <v>4701</v>
      </c>
      <c r="D1785" s="5" t="s">
        <v>4702</v>
      </c>
      <c r="E1785" s="5">
        <v>171.16</v>
      </c>
      <c r="F1785" s="6">
        <f>LOOKUP(D1785,'AMFI DATA_2023H2'!F:J,'AMFI DATA_2023H2'!J:J)</f>
        <v>192.73445000000001</v>
      </c>
      <c r="G1785" s="7">
        <f t="shared" si="14"/>
        <v>0.35419485203605272</v>
      </c>
      <c r="H1785" s="9">
        <v>261</v>
      </c>
      <c r="I1785" s="9">
        <v>257</v>
      </c>
      <c r="J1785" s="9">
        <v>257</v>
      </c>
      <c r="K1785" s="9">
        <v>227</v>
      </c>
      <c r="L1785" s="9">
        <v>225</v>
      </c>
      <c r="M1785" s="9">
        <v>214</v>
      </c>
      <c r="N1785" s="9">
        <v>214</v>
      </c>
      <c r="O1785" s="9">
        <v>215</v>
      </c>
      <c r="P1785" s="9">
        <v>217</v>
      </c>
      <c r="Q1785" s="9">
        <v>215</v>
      </c>
      <c r="R1785" s="7">
        <f t="shared" si="15"/>
        <v>0.19438948252375221</v>
      </c>
      <c r="S1785" s="9"/>
      <c r="T1785" s="9"/>
      <c r="U1785" s="9"/>
      <c r="V1785" s="9"/>
      <c r="W1785" s="9"/>
      <c r="X1785" s="9"/>
      <c r="Y1785" s="9"/>
      <c r="Z1785" s="9"/>
      <c r="AA1785" s="9"/>
      <c r="AB1785" s="9"/>
    </row>
    <row r="1786" spans="1:28" ht="14.4" hidden="1">
      <c r="A1786" s="3">
        <f>LOOKUP(D1786,'AMFI DATA_2023H2'!F:L,'AMFI DATA_2023H2'!L:L)</f>
        <v>764</v>
      </c>
      <c r="B1786" s="4" t="s">
        <v>2237</v>
      </c>
      <c r="C1786" s="4" t="s">
        <v>2238</v>
      </c>
      <c r="D1786" s="5" t="s">
        <v>2239</v>
      </c>
      <c r="E1786" s="5">
        <v>3180.28</v>
      </c>
      <c r="F1786" s="6">
        <f>LOOKUP(D1786,'AMFI DATA_2023H2'!F:J,'AMFI DATA_2023H2'!J:J)</f>
        <v>3172.1187500000001</v>
      </c>
      <c r="G1786" s="7">
        <f t="shared" si="14"/>
        <v>0.10084151168678668</v>
      </c>
      <c r="H1786" s="8">
        <v>3492</v>
      </c>
      <c r="I1786" s="8">
        <v>3514</v>
      </c>
      <c r="J1786" s="8">
        <v>3517</v>
      </c>
      <c r="K1786" s="8">
        <v>3513</v>
      </c>
      <c r="L1786" s="8">
        <v>3499</v>
      </c>
      <c r="M1786" s="8">
        <v>3492</v>
      </c>
      <c r="N1786" s="8">
        <v>3482</v>
      </c>
      <c r="O1786" s="8">
        <v>3483</v>
      </c>
      <c r="P1786" s="8">
        <v>3365</v>
      </c>
      <c r="Q1786" s="8">
        <v>3336</v>
      </c>
      <c r="R1786" s="7">
        <f t="shared" si="15"/>
        <v>9.3685411367402383E-2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</row>
    <row r="1787" spans="1:28" ht="14.4" hidden="1">
      <c r="A1787" s="3">
        <f>LOOKUP(D1787,'AMFI DATA_2023H2'!F:L,'AMFI DATA_2023H2'!L:L)</f>
        <v>1613</v>
      </c>
      <c r="B1787" s="4" t="s">
        <v>4175</v>
      </c>
      <c r="C1787" s="4" t="s">
        <v>4176</v>
      </c>
      <c r="D1787" s="5" t="s">
        <v>4177</v>
      </c>
      <c r="E1787" s="5">
        <v>293.48</v>
      </c>
      <c r="F1787" s="6">
        <f>LOOKUP(D1787,'AMFI DATA_2023H2'!F:J,'AMFI DATA_2023H2'!J:J)</f>
        <v>403.27089999999998</v>
      </c>
      <c r="G1787" s="7">
        <f t="shared" ref="G1787:G1928" si="16">H1787/F1787-1</f>
        <v>0.15555077244601589</v>
      </c>
      <c r="H1787" s="9">
        <v>466</v>
      </c>
      <c r="I1787" s="9">
        <v>481</v>
      </c>
      <c r="J1787" s="9">
        <v>457</v>
      </c>
      <c r="K1787" s="9">
        <v>451</v>
      </c>
      <c r="L1787" s="9">
        <v>438</v>
      </c>
      <c r="M1787" s="9">
        <v>434</v>
      </c>
      <c r="N1787" s="9">
        <v>430</v>
      </c>
      <c r="O1787" s="9">
        <v>431</v>
      </c>
      <c r="P1787" s="9">
        <v>425</v>
      </c>
      <c r="Q1787" s="9">
        <v>424</v>
      </c>
      <c r="R1787" s="7">
        <f t="shared" ref="R1787:R1928" si="17">AVERAGE(H1787:Q1787)/F1787-1</f>
        <v>0.10025295651136745</v>
      </c>
      <c r="S1787" s="9"/>
      <c r="T1787" s="9"/>
      <c r="U1787" s="9"/>
      <c r="V1787" s="9"/>
      <c r="W1787" s="9"/>
      <c r="X1787" s="9"/>
      <c r="Y1787" s="9"/>
      <c r="Z1787" s="9"/>
      <c r="AA1787" s="9"/>
      <c r="AB1787" s="9"/>
    </row>
    <row r="1788" spans="1:28" ht="14.4" hidden="1">
      <c r="A1788" s="3">
        <f>LOOKUP(D1788,'AMFI DATA_2023H2'!F:L,'AMFI DATA_2023H2'!L:L)</f>
        <v>842</v>
      </c>
      <c r="B1788" s="4" t="s">
        <v>2444</v>
      </c>
      <c r="C1788" s="4" t="s">
        <v>2445</v>
      </c>
      <c r="D1788" s="5" t="s">
        <v>2446</v>
      </c>
      <c r="E1788" s="5">
        <v>1373.7</v>
      </c>
      <c r="F1788" s="6">
        <f>LOOKUP(D1788,'AMFI DATA_2023H2'!F:J,'AMFI DATA_2023H2'!J:J)</f>
        <v>2557.21135</v>
      </c>
      <c r="G1788" s="7">
        <f t="shared" si="16"/>
        <v>2.9637225722465299E-2</v>
      </c>
      <c r="H1788" s="8">
        <v>2633</v>
      </c>
      <c r="I1788" s="8">
        <v>2590</v>
      </c>
      <c r="J1788" s="8">
        <v>2543</v>
      </c>
      <c r="K1788" s="8">
        <v>2527</v>
      </c>
      <c r="L1788" s="8">
        <v>2521</v>
      </c>
      <c r="M1788" s="8">
        <v>2499</v>
      </c>
      <c r="N1788" s="8">
        <v>2473</v>
      </c>
      <c r="O1788" s="8">
        <v>2514</v>
      </c>
      <c r="P1788" s="8">
        <v>2498</v>
      </c>
      <c r="Q1788" s="8">
        <v>2498</v>
      </c>
      <c r="R1788" s="7">
        <f t="shared" si="17"/>
        <v>-1.0797445428200603E-2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</row>
    <row r="1789" spans="1:28" ht="14.4" hidden="1">
      <c r="A1789" s="3">
        <f>LOOKUP(D1789,'AMFI DATA_2023H2'!F:L,'AMFI DATA_2023H2'!L:L)</f>
        <v>551</v>
      </c>
      <c r="B1789" s="4" t="s">
        <v>1632</v>
      </c>
      <c r="C1789" s="4" t="s">
        <v>1633</v>
      </c>
      <c r="D1789" s="5" t="s">
        <v>1634</v>
      </c>
      <c r="E1789" s="5">
        <v>3608.64</v>
      </c>
      <c r="F1789" s="6">
        <f>LOOKUP(D1789,'AMFI DATA_2023H2'!F:J,'AMFI DATA_2023H2'!J:J)</f>
        <v>6305.6399000000001</v>
      </c>
      <c r="G1789" s="7">
        <f t="shared" si="16"/>
        <v>0.12296295257837353</v>
      </c>
      <c r="H1789" s="8">
        <v>7081</v>
      </c>
      <c r="I1789" s="8">
        <v>7217</v>
      </c>
      <c r="J1789" s="8">
        <v>6878</v>
      </c>
      <c r="K1789" s="8">
        <v>6833</v>
      </c>
      <c r="L1789" s="8">
        <v>6879</v>
      </c>
      <c r="M1789" s="8">
        <v>6890</v>
      </c>
      <c r="N1789" s="8">
        <v>6928</v>
      </c>
      <c r="O1789" s="8">
        <v>6924</v>
      </c>
      <c r="P1789" s="8">
        <v>6895</v>
      </c>
      <c r="Q1789" s="8">
        <v>7039</v>
      </c>
      <c r="R1789" s="7">
        <f t="shared" si="17"/>
        <v>0.10320286447058291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</row>
    <row r="1790" spans="1:28" ht="14.4" hidden="1">
      <c r="A1790" s="3">
        <f>LOOKUP(D1790,'AMFI DATA_2023H2'!F:L,'AMFI DATA_2023H2'!L:L)</f>
        <v>400</v>
      </c>
      <c r="B1790" s="4" t="s">
        <v>1206</v>
      </c>
      <c r="C1790" s="4" t="s">
        <v>1207</v>
      </c>
      <c r="D1790" s="5" t="s">
        <v>1208</v>
      </c>
      <c r="E1790" s="5">
        <v>5842.09</v>
      </c>
      <c r="F1790" s="6">
        <f>LOOKUP(D1790,'AMFI DATA_2023H2'!F:J,'AMFI DATA_2023H2'!J:J)</f>
        <v>10149.764800000001</v>
      </c>
      <c r="G1790" s="7">
        <f t="shared" si="16"/>
        <v>0.12495217623170918</v>
      </c>
      <c r="H1790" s="8">
        <v>11418</v>
      </c>
      <c r="I1790" s="8">
        <v>11544</v>
      </c>
      <c r="J1790" s="8">
        <v>11117</v>
      </c>
      <c r="K1790" s="8">
        <v>11084</v>
      </c>
      <c r="L1790" s="8">
        <v>11164</v>
      </c>
      <c r="M1790" s="8">
        <v>11121</v>
      </c>
      <c r="N1790" s="8">
        <v>11097</v>
      </c>
      <c r="O1790" s="8">
        <v>11094</v>
      </c>
      <c r="P1790" s="8">
        <v>11180</v>
      </c>
      <c r="Q1790" s="8">
        <v>11289</v>
      </c>
      <c r="R1790" s="7">
        <f t="shared" si="17"/>
        <v>0.10453791008043845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</row>
    <row r="1791" spans="1:28" ht="14.4" hidden="1">
      <c r="A1791" s="3">
        <f>LOOKUP(D1791,'AMFI DATA_2023H2'!F:L,'AMFI DATA_2023H2'!L:L)</f>
        <v>22</v>
      </c>
      <c r="B1791" s="4" t="s">
        <v>70</v>
      </c>
      <c r="C1791" s="4" t="s">
        <v>71</v>
      </c>
      <c r="D1791" s="5" t="s">
        <v>72</v>
      </c>
      <c r="E1791" s="5">
        <v>216431.84</v>
      </c>
      <c r="F1791" s="6">
        <f>LOOKUP(D1791,'AMFI DATA_2023H2'!F:J,'AMFI DATA_2023H2'!J:J)</f>
        <v>248392.3934</v>
      </c>
      <c r="G1791" s="7">
        <f t="shared" si="16"/>
        <v>0.16516047870248518</v>
      </c>
      <c r="H1791" s="8">
        <v>289417</v>
      </c>
      <c r="I1791" s="8">
        <v>289114</v>
      </c>
      <c r="J1791" s="8">
        <v>291800</v>
      </c>
      <c r="K1791" s="8">
        <v>294569</v>
      </c>
      <c r="L1791" s="8">
        <v>302004</v>
      </c>
      <c r="M1791" s="8">
        <v>302796</v>
      </c>
      <c r="N1791" s="8">
        <v>300661</v>
      </c>
      <c r="O1791" s="8">
        <v>301538</v>
      </c>
      <c r="P1791" s="8">
        <v>289367</v>
      </c>
      <c r="Q1791" s="8">
        <v>287792</v>
      </c>
      <c r="R1791" s="7">
        <f t="shared" si="17"/>
        <v>0.18725777373181018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</row>
    <row r="1792" spans="1:28" ht="14.4" hidden="1">
      <c r="A1792" s="3">
        <f>LOOKUP(D1792,'AMFI DATA_2023H2'!F:L,'AMFI DATA_2023H2'!L:L)</f>
        <v>2067</v>
      </c>
      <c r="B1792" s="4" t="s">
        <v>4832</v>
      </c>
      <c r="C1792" s="4" t="s">
        <v>4833</v>
      </c>
      <c r="D1792" s="5" t="s">
        <v>4834</v>
      </c>
      <c r="E1792" s="5">
        <v>156.88999999999999</v>
      </c>
      <c r="F1792" s="6">
        <f>LOOKUP(D1792,'AMFI DATA_2023H2'!F:J,'AMFI DATA_2023H2'!J:J)</f>
        <v>170.48145</v>
      </c>
      <c r="G1792" s="7">
        <f t="shared" si="16"/>
        <v>7.9296310537011472E-2</v>
      </c>
      <c r="H1792" s="9">
        <v>184</v>
      </c>
      <c r="I1792" s="9">
        <v>185</v>
      </c>
      <c r="J1792" s="9">
        <v>187</v>
      </c>
      <c r="K1792" s="9">
        <v>187</v>
      </c>
      <c r="L1792" s="9">
        <v>188</v>
      </c>
      <c r="M1792" s="9">
        <v>182</v>
      </c>
      <c r="N1792" s="9">
        <v>182</v>
      </c>
      <c r="O1792" s="9">
        <v>182</v>
      </c>
      <c r="P1792" s="9">
        <v>171</v>
      </c>
      <c r="Q1792" s="9">
        <v>174</v>
      </c>
      <c r="R1792" s="7">
        <f t="shared" si="17"/>
        <v>6.8737977064366795E-2</v>
      </c>
      <c r="S1792" s="9"/>
      <c r="T1792" s="9"/>
      <c r="U1792" s="9"/>
      <c r="V1792" s="9"/>
      <c r="W1792" s="9"/>
      <c r="X1792" s="9"/>
      <c r="Y1792" s="9"/>
      <c r="Z1792" s="9"/>
      <c r="AA1792" s="9"/>
      <c r="AB1792" s="9"/>
    </row>
    <row r="1793" spans="1:28" ht="14.4" hidden="1">
      <c r="A1793" s="3">
        <f>LOOKUP(D1793,'AMFI DATA_2023H2'!F:L,'AMFI DATA_2023H2'!L:L)</f>
        <v>2121</v>
      </c>
      <c r="B1793" s="4" t="s">
        <v>4910</v>
      </c>
      <c r="C1793" s="4" t="s">
        <v>4911</v>
      </c>
      <c r="D1793" s="5" t="s">
        <v>4912</v>
      </c>
      <c r="E1793" s="5">
        <v>131.41</v>
      </c>
      <c r="F1793" s="6">
        <f>LOOKUP(D1793,'AMFI DATA_2023H2'!F:J,'AMFI DATA_2023H2'!J:J)</f>
        <v>153.84219999999999</v>
      </c>
      <c r="G1793" s="7">
        <f t="shared" si="16"/>
        <v>9.2028065121273706E-2</v>
      </c>
      <c r="H1793" s="9">
        <v>168</v>
      </c>
      <c r="I1793" s="9">
        <v>169</v>
      </c>
      <c r="J1793" s="9">
        <v>173</v>
      </c>
      <c r="K1793" s="9">
        <v>180</v>
      </c>
      <c r="L1793" s="9">
        <v>169</v>
      </c>
      <c r="M1793" s="9">
        <v>168</v>
      </c>
      <c r="N1793" s="9">
        <v>166</v>
      </c>
      <c r="O1793" s="9">
        <v>167</v>
      </c>
      <c r="P1793" s="9">
        <v>170</v>
      </c>
      <c r="Q1793" s="9">
        <v>164</v>
      </c>
      <c r="R1793" s="7">
        <f t="shared" si="17"/>
        <v>0.10112829899728437</v>
      </c>
      <c r="S1793" s="9"/>
      <c r="T1793" s="9"/>
      <c r="U1793" s="9"/>
      <c r="V1793" s="9"/>
      <c r="W1793" s="9"/>
      <c r="X1793" s="9"/>
      <c r="Y1793" s="9"/>
      <c r="Z1793" s="9"/>
      <c r="AA1793" s="9"/>
      <c r="AB1793" s="9"/>
    </row>
    <row r="1794" spans="1:28" ht="14.4" hidden="1">
      <c r="A1794" s="3">
        <f>LOOKUP(D1794,'AMFI DATA_2023H2'!F:L,'AMFI DATA_2023H2'!L:L)</f>
        <v>797</v>
      </c>
      <c r="B1794" s="4" t="s">
        <v>2318</v>
      </c>
      <c r="C1794" s="4" t="s">
        <v>2319</v>
      </c>
      <c r="D1794" s="5" t="s">
        <v>2320</v>
      </c>
      <c r="E1794" s="5">
        <v>2366.9899999999998</v>
      </c>
      <c r="F1794" s="6">
        <f>LOOKUP(D1794,'AMFI DATA_2023H2'!F:J,'AMFI DATA_2023H2'!J:J)</f>
        <v>2885.9155500000002</v>
      </c>
      <c r="G1794" s="7">
        <f t="shared" si="16"/>
        <v>9.9131261827810624E-2</v>
      </c>
      <c r="H1794" s="8">
        <v>3172</v>
      </c>
      <c r="I1794" s="8">
        <v>3192</v>
      </c>
      <c r="J1794" s="8">
        <v>3176</v>
      </c>
      <c r="K1794" s="8">
        <v>3011</v>
      </c>
      <c r="L1794" s="8">
        <v>2914</v>
      </c>
      <c r="M1794" s="8">
        <v>2882</v>
      </c>
      <c r="N1794" s="8">
        <v>2851</v>
      </c>
      <c r="O1794" s="8">
        <v>2901</v>
      </c>
      <c r="P1794" s="8">
        <v>2920</v>
      </c>
      <c r="Q1794" s="8">
        <v>2933</v>
      </c>
      <c r="R1794" s="7">
        <f t="shared" si="17"/>
        <v>3.7868207889866889E-2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</row>
    <row r="1795" spans="1:28" ht="14.4" hidden="1">
      <c r="A1795" s="3">
        <f>LOOKUP(D1795,'AMFI DATA_2023H2'!F:L,'AMFI DATA_2023H2'!L:L)</f>
        <v>3199</v>
      </c>
      <c r="B1795" s="4" t="s">
        <v>5614</v>
      </c>
      <c r="C1795" s="4" t="s">
        <v>5615</v>
      </c>
      <c r="D1795" s="5" t="s">
        <v>5616</v>
      </c>
      <c r="E1795" s="5">
        <v>23.06</v>
      </c>
      <c r="F1795" s="6">
        <f>LOOKUP(D1795,'AMFI DATA_2023H2'!F:J,'AMFI DATA_2023H2'!J:J)</f>
        <v>27.911200000000001</v>
      </c>
      <c r="G1795" s="7">
        <f t="shared" si="16"/>
        <v>0.10708246152082301</v>
      </c>
      <c r="H1795" s="9">
        <v>30.9</v>
      </c>
      <c r="I1795" s="9">
        <v>30.3</v>
      </c>
      <c r="J1795" s="9">
        <v>29.7</v>
      </c>
      <c r="K1795" s="9">
        <v>29.2</v>
      </c>
      <c r="L1795" s="9">
        <v>28.7</v>
      </c>
      <c r="M1795" s="9">
        <v>29</v>
      </c>
      <c r="N1795" s="9">
        <v>29.6</v>
      </c>
      <c r="O1795" s="9">
        <v>30.2</v>
      </c>
      <c r="P1795" s="9">
        <v>30.2</v>
      </c>
      <c r="Q1795" s="9">
        <v>30.3</v>
      </c>
      <c r="R1795" s="7">
        <f t="shared" si="17"/>
        <v>6.8030038120897807E-2</v>
      </c>
      <c r="S1795" s="9"/>
      <c r="T1795" s="9"/>
      <c r="U1795" s="9"/>
      <c r="V1795" s="9"/>
      <c r="W1795" s="9"/>
      <c r="X1795" s="9"/>
      <c r="Y1795" s="9"/>
      <c r="Z1795" s="9"/>
      <c r="AA1795" s="9"/>
      <c r="AB1795" s="9"/>
    </row>
    <row r="1796" spans="1:28" ht="14.4">
      <c r="A1796" s="3">
        <f>LOOKUP(D1796,'AMFI DATA_2023H2'!F:L,'AMFI DATA_2023H2'!L:L)</f>
        <v>91</v>
      </c>
      <c r="B1796" s="4" t="s">
        <v>285</v>
      </c>
      <c r="C1796" s="4" t="s">
        <v>286</v>
      </c>
      <c r="D1796" s="5" t="s">
        <v>287</v>
      </c>
      <c r="E1796" s="5">
        <v>49232.7</v>
      </c>
      <c r="F1796" s="6">
        <f>LOOKUP(D1796,'AMFI DATA_2023H2'!F:J,'AMFI DATA_2023H2'!J:J)</f>
        <v>71498.349199999997</v>
      </c>
      <c r="G1796" s="7">
        <f t="shared" si="16"/>
        <v>0.28814162886994321</v>
      </c>
      <c r="H1796" s="8">
        <v>92100</v>
      </c>
      <c r="I1796" s="8">
        <v>91951</v>
      </c>
      <c r="J1796" s="8">
        <v>91210</v>
      </c>
      <c r="K1796" s="8">
        <v>89617</v>
      </c>
      <c r="L1796" s="8">
        <v>89542</v>
      </c>
      <c r="M1796" s="8">
        <v>88282</v>
      </c>
      <c r="N1796" s="8">
        <v>87430</v>
      </c>
      <c r="O1796" s="8">
        <v>88208</v>
      </c>
      <c r="P1796" s="8">
        <v>86837</v>
      </c>
      <c r="Q1796" s="8">
        <v>87652</v>
      </c>
      <c r="R1796" s="14">
        <f t="shared" si="17"/>
        <v>0.24874071917733165</v>
      </c>
      <c r="S1796" s="8"/>
      <c r="T1796" s="8">
        <v>124.1</v>
      </c>
      <c r="U1796" s="15">
        <f ca="1">IFERROR(__xludf.DUMMYFUNCTION("GOOGLEFINANCE(C1796,""PRICE"")"),141.8)</f>
        <v>141.80000000000001</v>
      </c>
      <c r="V1796" s="13" t="s">
        <v>5787</v>
      </c>
      <c r="W1796" s="7">
        <f ca="1">U1796/T1796-1</f>
        <v>0.14262691377921044</v>
      </c>
      <c r="X1796" s="8"/>
      <c r="Y1796" s="8"/>
      <c r="Z1796" s="8"/>
      <c r="AA1796" s="8"/>
      <c r="AB1796" s="8"/>
    </row>
    <row r="1797" spans="1:28" ht="14.4" hidden="1">
      <c r="A1797" s="3">
        <f>LOOKUP(D1797,'AMFI DATA_2023H2'!F:L,'AMFI DATA_2023H2'!L:L)</f>
        <v>832</v>
      </c>
      <c r="B1797" s="4" t="s">
        <v>2417</v>
      </c>
      <c r="C1797" s="4" t="s">
        <v>2418</v>
      </c>
      <c r="D1797" s="5" t="s">
        <v>2419</v>
      </c>
      <c r="E1797" s="5">
        <v>2498.5</v>
      </c>
      <c r="F1797" s="6">
        <f>LOOKUP(D1797,'AMFI DATA_2023H2'!F:J,'AMFI DATA_2023H2'!J:J)</f>
        <v>2645.8816999999999</v>
      </c>
      <c r="G1797" s="7">
        <f t="shared" si="16"/>
        <v>-2.9435065067345945E-2</v>
      </c>
      <c r="H1797" s="8">
        <v>2568</v>
      </c>
      <c r="I1797" s="8">
        <v>2573</v>
      </c>
      <c r="J1797" s="8">
        <v>2604</v>
      </c>
      <c r="K1797" s="8">
        <v>2590</v>
      </c>
      <c r="L1797" s="8">
        <v>2597</v>
      </c>
      <c r="M1797" s="8">
        <v>2617</v>
      </c>
      <c r="N1797" s="8">
        <v>2609</v>
      </c>
      <c r="O1797" s="8">
        <v>2584</v>
      </c>
      <c r="P1797" s="8">
        <v>2458</v>
      </c>
      <c r="Q1797" s="8">
        <v>2420</v>
      </c>
      <c r="R1797" s="7">
        <f t="shared" si="17"/>
        <v>-3.1702740148964348E-2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</row>
    <row r="1798" spans="1:28" ht="14.4" hidden="1">
      <c r="A1798" s="3">
        <f>LOOKUP(D1798,'AMFI DATA_2023H2'!F:L,'AMFI DATA_2023H2'!L:L)</f>
        <v>1165</v>
      </c>
      <c r="B1798" s="4" t="s">
        <v>3263</v>
      </c>
      <c r="C1798" s="4" t="s">
        <v>3264</v>
      </c>
      <c r="D1798" s="5" t="s">
        <v>3265</v>
      </c>
      <c r="E1798" s="5">
        <v>1043.54</v>
      </c>
      <c r="F1798" s="6">
        <f>LOOKUP(D1798,'AMFI DATA_2023H2'!F:J,'AMFI DATA_2023H2'!J:J)</f>
        <v>1119.2064</v>
      </c>
      <c r="G1798" s="7">
        <f t="shared" si="16"/>
        <v>1.3217937281273517E-2</v>
      </c>
      <c r="H1798" s="8">
        <v>1134</v>
      </c>
      <c r="I1798" s="8">
        <v>1129</v>
      </c>
      <c r="J1798" s="8">
        <v>1135</v>
      </c>
      <c r="K1798" s="8">
        <v>1135</v>
      </c>
      <c r="L1798" s="8">
        <v>1124</v>
      </c>
      <c r="M1798" s="8">
        <v>1112</v>
      </c>
      <c r="N1798" s="8">
        <v>1113</v>
      </c>
      <c r="O1798" s="8">
        <v>1129</v>
      </c>
      <c r="P1798" s="8">
        <v>1143</v>
      </c>
      <c r="Q1798" s="8">
        <v>1099</v>
      </c>
      <c r="R1798" s="7">
        <f t="shared" si="17"/>
        <v>5.444572153983307E-3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</row>
    <row r="1799" spans="1:28" ht="14.4" hidden="1">
      <c r="A1799" s="3">
        <f>LOOKUP(D1799,'AMFI DATA_2023H2'!F:L,'AMFI DATA_2023H2'!L:L)</f>
        <v>1282</v>
      </c>
      <c r="B1799" s="4" t="s">
        <v>3524</v>
      </c>
      <c r="C1799" s="4" t="s">
        <v>3525</v>
      </c>
      <c r="D1799" s="5" t="s">
        <v>3526</v>
      </c>
      <c r="E1799" s="5">
        <v>388.61</v>
      </c>
      <c r="F1799" s="6">
        <f>LOOKUP(D1799,'AMFI DATA_2023H2'!F:J,'AMFI DATA_2023H2'!J:J)</f>
        <v>839.26009999999997</v>
      </c>
      <c r="G1799" s="7">
        <f t="shared" si="16"/>
        <v>1.7095295010450275</v>
      </c>
      <c r="H1799" s="8">
        <v>2274</v>
      </c>
      <c r="I1799" s="8">
        <v>2106</v>
      </c>
      <c r="J1799" s="8">
        <v>2064</v>
      </c>
      <c r="K1799" s="8">
        <v>1923</v>
      </c>
      <c r="L1799" s="8">
        <v>1876</v>
      </c>
      <c r="M1799" s="8">
        <v>1787</v>
      </c>
      <c r="N1799" s="8">
        <v>1703</v>
      </c>
      <c r="O1799" s="8">
        <v>1622</v>
      </c>
      <c r="P1799" s="8">
        <v>1635</v>
      </c>
      <c r="Q1799" s="8">
        <v>1753</v>
      </c>
      <c r="R1799" s="7">
        <f t="shared" si="17"/>
        <v>1.2332766683415546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</row>
    <row r="1800" spans="1:28" ht="14.4" hidden="1">
      <c r="A1800" s="3">
        <f>LOOKUP(D1800,'AMFI DATA_2023H2'!F:L,'AMFI DATA_2023H2'!L:L)</f>
        <v>158</v>
      </c>
      <c r="B1800" s="4" t="s">
        <v>483</v>
      </c>
      <c r="C1800" s="4" t="s">
        <v>484</v>
      </c>
      <c r="D1800" s="5" t="s">
        <v>485</v>
      </c>
      <c r="E1800" s="5">
        <v>39237.620000000003</v>
      </c>
      <c r="F1800" s="6">
        <f>LOOKUP(D1800,'AMFI DATA_2023H2'!F:J,'AMFI DATA_2023H2'!J:J)</f>
        <v>42002.710749999998</v>
      </c>
      <c r="G1800" s="7">
        <f t="shared" si="16"/>
        <v>0.1857568026130314</v>
      </c>
      <c r="H1800" s="8">
        <v>49805</v>
      </c>
      <c r="I1800" s="8">
        <v>50035</v>
      </c>
      <c r="J1800" s="8">
        <v>48320</v>
      </c>
      <c r="K1800" s="8">
        <v>47921</v>
      </c>
      <c r="L1800" s="8">
        <v>47376</v>
      </c>
      <c r="M1800" s="8">
        <v>47248</v>
      </c>
      <c r="N1800" s="8">
        <v>46349</v>
      </c>
      <c r="O1800" s="8">
        <v>45096</v>
      </c>
      <c r="P1800" s="8">
        <v>45279</v>
      </c>
      <c r="Q1800" s="8">
        <v>44541</v>
      </c>
      <c r="R1800" s="7">
        <f t="shared" si="17"/>
        <v>0.12366557198930317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</row>
    <row r="1801" spans="1:28" ht="14.4" hidden="1">
      <c r="A1801" s="3">
        <f>LOOKUP(D1801,'AMFI DATA_2023H2'!F:L,'AMFI DATA_2023H2'!L:L)</f>
        <v>1532</v>
      </c>
      <c r="B1801" s="4" t="s">
        <v>4019</v>
      </c>
      <c r="C1801" s="4" t="s">
        <v>4020</v>
      </c>
      <c r="D1801" s="5" t="s">
        <v>4021</v>
      </c>
      <c r="E1801" s="5">
        <v>451.8</v>
      </c>
      <c r="F1801" s="6">
        <f>LOOKUP(D1801,'AMFI DATA_2023H2'!F:J,'AMFI DATA_2023H2'!J:J)</f>
        <v>472.18134999999995</v>
      </c>
      <c r="G1801" s="7">
        <f t="shared" si="16"/>
        <v>0.21775245888047046</v>
      </c>
      <c r="H1801" s="9">
        <v>575</v>
      </c>
      <c r="I1801" s="9">
        <v>576</v>
      </c>
      <c r="J1801" s="9">
        <v>573</v>
      </c>
      <c r="K1801" s="9">
        <v>583</v>
      </c>
      <c r="L1801" s="9">
        <v>586</v>
      </c>
      <c r="M1801" s="9">
        <v>548</v>
      </c>
      <c r="N1801" s="9">
        <v>550</v>
      </c>
      <c r="O1801" s="9">
        <v>562</v>
      </c>
      <c r="P1801" s="9">
        <v>579</v>
      </c>
      <c r="Q1801" s="9">
        <v>580</v>
      </c>
      <c r="R1801" s="7">
        <f t="shared" si="17"/>
        <v>0.20970470350004322</v>
      </c>
      <c r="S1801" s="9"/>
      <c r="T1801" s="9"/>
      <c r="U1801" s="9"/>
      <c r="V1801" s="9"/>
      <c r="W1801" s="9"/>
      <c r="X1801" s="9"/>
      <c r="Y1801" s="9"/>
      <c r="Z1801" s="9"/>
      <c r="AA1801" s="9"/>
      <c r="AB1801" s="9"/>
    </row>
    <row r="1802" spans="1:28" ht="14.4" hidden="1">
      <c r="A1802" s="3">
        <f>LOOKUP(D1802,'AMFI DATA_2023H2'!F:L,'AMFI DATA_2023H2'!L:L)</f>
        <v>1946</v>
      </c>
      <c r="B1802" s="4" t="s">
        <v>4658</v>
      </c>
      <c r="C1802" s="4" t="s">
        <v>4659</v>
      </c>
      <c r="D1802" s="5" t="s">
        <v>4660</v>
      </c>
      <c r="E1802" s="5">
        <v>210.5</v>
      </c>
      <c r="F1802" s="6">
        <f>LOOKUP(D1802,'AMFI DATA_2023H2'!F:J,'AMFI DATA_2023H2'!J:J)</f>
        <v>204.49299999999999</v>
      </c>
      <c r="G1802" s="7">
        <f t="shared" si="16"/>
        <v>2.4793024700111577E-3</v>
      </c>
      <c r="H1802" s="9">
        <v>205</v>
      </c>
      <c r="I1802" s="9">
        <v>206</v>
      </c>
      <c r="J1802" s="9">
        <v>206</v>
      </c>
      <c r="K1802" s="9">
        <v>204</v>
      </c>
      <c r="L1802" s="9">
        <v>206</v>
      </c>
      <c r="M1802" s="9">
        <v>197</v>
      </c>
      <c r="N1802" s="9">
        <v>197</v>
      </c>
      <c r="O1802" s="9">
        <v>195</v>
      </c>
      <c r="P1802" s="9">
        <v>196</v>
      </c>
      <c r="Q1802" s="9">
        <v>201</v>
      </c>
      <c r="R1802" s="7">
        <f t="shared" si="17"/>
        <v>-1.5614226403837694E-2</v>
      </c>
      <c r="S1802" s="9"/>
      <c r="T1802" s="9"/>
      <c r="U1802" s="9"/>
      <c r="V1802" s="9"/>
      <c r="W1802" s="9"/>
      <c r="X1802" s="9"/>
      <c r="Y1802" s="9"/>
      <c r="Z1802" s="9"/>
      <c r="AA1802" s="9"/>
      <c r="AB1802" s="9"/>
    </row>
    <row r="1803" spans="1:28" ht="14.4" hidden="1">
      <c r="A1803" s="3">
        <f>LOOKUP(D1803,'AMFI DATA_2023H2'!F:L,'AMFI DATA_2023H2'!L:L)</f>
        <v>85</v>
      </c>
      <c r="B1803" s="4" t="s">
        <v>267</v>
      </c>
      <c r="C1803" s="4" t="s">
        <v>268</v>
      </c>
      <c r="D1803" s="5" t="s">
        <v>269</v>
      </c>
      <c r="E1803" s="5">
        <v>58627.13</v>
      </c>
      <c r="F1803" s="6">
        <f>LOOKUP(D1803,'AMFI DATA_2023H2'!F:J,'AMFI DATA_2023H2'!J:J)</f>
        <v>74659.073149999997</v>
      </c>
      <c r="G1803" s="7">
        <f t="shared" si="16"/>
        <v>7.3600255376328638E-2</v>
      </c>
      <c r="H1803" s="8">
        <v>80154</v>
      </c>
      <c r="I1803" s="8">
        <v>80634</v>
      </c>
      <c r="J1803" s="8">
        <v>79903</v>
      </c>
      <c r="K1803" s="8">
        <v>79529</v>
      </c>
      <c r="L1803" s="8">
        <v>80365</v>
      </c>
      <c r="M1803" s="8">
        <v>81282</v>
      </c>
      <c r="N1803" s="8">
        <v>79427</v>
      </c>
      <c r="O1803" s="8">
        <v>78765</v>
      </c>
      <c r="P1803" s="8">
        <v>78358</v>
      </c>
      <c r="Q1803" s="8">
        <v>78263</v>
      </c>
      <c r="R1803" s="7">
        <f t="shared" si="17"/>
        <v>6.7090664786802368E-2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</row>
    <row r="1804" spans="1:28" ht="14.4" hidden="1">
      <c r="A1804" s="3">
        <f>LOOKUP(D1804,'AMFI DATA_2023H2'!F:L,'AMFI DATA_2023H2'!L:L)</f>
        <v>4086</v>
      </c>
      <c r="B1804" s="4" t="s">
        <v>5764</v>
      </c>
      <c r="C1804" s="4" t="s">
        <v>5765</v>
      </c>
      <c r="D1804" s="5" t="s">
        <v>5766</v>
      </c>
      <c r="E1804" s="5">
        <v>8.7799999999999994</v>
      </c>
      <c r="F1804" s="6">
        <f>LOOKUP(D1804,'AMFI DATA_2023H2'!F:J,'AMFI DATA_2023H2'!J:J)</f>
        <v>7.4338999999999995</v>
      </c>
      <c r="G1804" s="7">
        <f t="shared" si="16"/>
        <v>2.0998399225171216E-2</v>
      </c>
      <c r="H1804" s="9">
        <v>7.59</v>
      </c>
      <c r="I1804" s="9">
        <v>7.95</v>
      </c>
      <c r="J1804" s="9">
        <v>6.09</v>
      </c>
      <c r="K1804" s="9">
        <v>6.24</v>
      </c>
      <c r="L1804" s="9">
        <v>6.38</v>
      </c>
      <c r="M1804" s="9">
        <v>6.67</v>
      </c>
      <c r="N1804" s="9">
        <v>6.65</v>
      </c>
      <c r="O1804" s="9">
        <v>6.96</v>
      </c>
      <c r="P1804" s="9">
        <v>8.9600000000000009</v>
      </c>
      <c r="Q1804" s="9">
        <v>8.4499999999999993</v>
      </c>
      <c r="R1804" s="7">
        <f t="shared" si="17"/>
        <v>-3.2271082473533386E-2</v>
      </c>
      <c r="S1804" s="9"/>
      <c r="T1804" s="9"/>
      <c r="U1804" s="9"/>
      <c r="V1804" s="9"/>
      <c r="W1804" s="9"/>
      <c r="X1804" s="9"/>
      <c r="Y1804" s="9"/>
      <c r="Z1804" s="9"/>
      <c r="AA1804" s="9"/>
      <c r="AB1804" s="9"/>
    </row>
    <row r="1805" spans="1:28" ht="14.4" hidden="1">
      <c r="A1805" s="3">
        <f>LOOKUP(D1805,'AMFI DATA_2023H2'!F:L,'AMFI DATA_2023H2'!L:L)</f>
        <v>2264</v>
      </c>
      <c r="B1805" s="4" t="s">
        <v>5090</v>
      </c>
      <c r="C1805" s="4" t="s">
        <v>5091</v>
      </c>
      <c r="D1805" s="5" t="s">
        <v>5092</v>
      </c>
      <c r="E1805" s="5">
        <v>102.65</v>
      </c>
      <c r="F1805" s="6">
        <f>LOOKUP(D1805,'AMFI DATA_2023H2'!F:J,'AMFI DATA_2023H2'!J:J)</f>
        <v>118.5951</v>
      </c>
      <c r="G1805" s="7">
        <f t="shared" si="16"/>
        <v>-1.3449965470748837E-2</v>
      </c>
      <c r="H1805" s="9">
        <v>117</v>
      </c>
      <c r="I1805" s="9">
        <v>118</v>
      </c>
      <c r="J1805" s="9">
        <v>117</v>
      </c>
      <c r="K1805" s="9">
        <v>117</v>
      </c>
      <c r="L1805" s="9">
        <v>120</v>
      </c>
      <c r="M1805" s="9">
        <v>117</v>
      </c>
      <c r="N1805" s="9">
        <v>117</v>
      </c>
      <c r="O1805" s="9">
        <v>116</v>
      </c>
      <c r="P1805" s="9">
        <v>117</v>
      </c>
      <c r="Q1805" s="9">
        <v>117</v>
      </c>
      <c r="R1805" s="7">
        <f t="shared" si="17"/>
        <v>-1.0920349997596945E-2</v>
      </c>
      <c r="S1805" s="9"/>
      <c r="T1805" s="9"/>
      <c r="U1805" s="9"/>
      <c r="V1805" s="9"/>
      <c r="W1805" s="9"/>
      <c r="X1805" s="9"/>
      <c r="Y1805" s="9"/>
      <c r="Z1805" s="9"/>
      <c r="AA1805" s="9"/>
      <c r="AB1805" s="9"/>
    </row>
    <row r="1806" spans="1:28" ht="14.4" hidden="1">
      <c r="A1806" s="3">
        <f>LOOKUP(D1806,'AMFI DATA_2023H2'!F:L,'AMFI DATA_2023H2'!L:L)</f>
        <v>1029</v>
      </c>
      <c r="B1806" s="4" t="s">
        <v>2939</v>
      </c>
      <c r="C1806" s="4" t="s">
        <v>2940</v>
      </c>
      <c r="D1806" s="5" t="s">
        <v>2941</v>
      </c>
      <c r="E1806" s="5">
        <v>1202.9000000000001</v>
      </c>
      <c r="F1806" s="6">
        <f>LOOKUP(D1806,'AMFI DATA_2023H2'!F:J,'AMFI DATA_2023H2'!J:J)</f>
        <v>1584.4985999999999</v>
      </c>
      <c r="G1806" s="7">
        <f t="shared" si="16"/>
        <v>0.14484165527189496</v>
      </c>
      <c r="H1806" s="8">
        <v>1814</v>
      </c>
      <c r="I1806" s="8">
        <v>1817</v>
      </c>
      <c r="J1806" s="8">
        <v>1815</v>
      </c>
      <c r="K1806" s="8">
        <v>1807</v>
      </c>
      <c r="L1806" s="8">
        <v>1804</v>
      </c>
      <c r="M1806" s="8">
        <v>1795</v>
      </c>
      <c r="N1806" s="8">
        <v>1757</v>
      </c>
      <c r="O1806" s="8">
        <v>1744</v>
      </c>
      <c r="P1806" s="8">
        <v>1747</v>
      </c>
      <c r="Q1806" s="8">
        <v>1746</v>
      </c>
      <c r="R1806" s="7">
        <f t="shared" si="17"/>
        <v>0.12628688974543745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</row>
    <row r="1807" spans="1:28" ht="14.4" hidden="1">
      <c r="A1807" s="3">
        <f>LOOKUP(D1807,'AMFI DATA_2023H2'!F:L,'AMFI DATA_2023H2'!L:L)</f>
        <v>1561</v>
      </c>
      <c r="B1807" s="4" t="s">
        <v>4079</v>
      </c>
      <c r="C1807" s="4" t="s">
        <v>4080</v>
      </c>
      <c r="D1807" s="5" t="s">
        <v>4081</v>
      </c>
      <c r="E1807" s="5">
        <v>457.59</v>
      </c>
      <c r="F1807" s="6">
        <f>LOOKUP(D1807,'AMFI DATA_2023H2'!F:J,'AMFI DATA_2023H2'!J:J)</f>
        <v>447.28325000000001</v>
      </c>
      <c r="G1807" s="7">
        <f t="shared" si="16"/>
        <v>1.5016770692843906E-2</v>
      </c>
      <c r="H1807" s="9">
        <v>454</v>
      </c>
      <c r="I1807" s="9">
        <v>456</v>
      </c>
      <c r="J1807" s="9">
        <v>456</v>
      </c>
      <c r="K1807" s="9">
        <v>452</v>
      </c>
      <c r="L1807" s="9">
        <v>461</v>
      </c>
      <c r="M1807" s="9">
        <v>470</v>
      </c>
      <c r="N1807" s="9">
        <v>516</v>
      </c>
      <c r="O1807" s="9">
        <v>434</v>
      </c>
      <c r="P1807" s="9">
        <v>433</v>
      </c>
      <c r="Q1807" s="9">
        <v>433</v>
      </c>
      <c r="R1807" s="7">
        <f t="shared" si="17"/>
        <v>2.0606070090932294E-2</v>
      </c>
      <c r="S1807" s="9"/>
      <c r="T1807" s="9"/>
      <c r="U1807" s="9"/>
      <c r="V1807" s="9"/>
      <c r="W1807" s="9"/>
      <c r="X1807" s="9"/>
      <c r="Y1807" s="9"/>
      <c r="Z1807" s="9"/>
      <c r="AA1807" s="9"/>
      <c r="AB1807" s="9"/>
    </row>
    <row r="1808" spans="1:28" ht="14.4" hidden="1">
      <c r="A1808" s="3">
        <f>LOOKUP(D1808,'AMFI DATA_2023H2'!F:L,'AMFI DATA_2023H2'!L:L)</f>
        <v>174</v>
      </c>
      <c r="B1808" s="4" t="s">
        <v>531</v>
      </c>
      <c r="C1808" s="4" t="s">
        <v>532</v>
      </c>
      <c r="D1808" s="5" t="s">
        <v>533</v>
      </c>
      <c r="E1808" s="5">
        <v>29857.88</v>
      </c>
      <c r="F1808" s="6">
        <f>LOOKUP(D1808,'AMFI DATA_2023H2'!F:J,'AMFI DATA_2023H2'!J:J)</f>
        <v>35063.516900000002</v>
      </c>
      <c r="G1808" s="7">
        <f t="shared" si="16"/>
        <v>0.14728936389150382</v>
      </c>
      <c r="H1808" s="8">
        <v>40228</v>
      </c>
      <c r="I1808" s="8">
        <v>39263</v>
      </c>
      <c r="J1808" s="8">
        <v>38105</v>
      </c>
      <c r="K1808" s="8">
        <v>38821</v>
      </c>
      <c r="L1808" s="8">
        <v>39257</v>
      </c>
      <c r="M1808" s="8">
        <v>39354</v>
      </c>
      <c r="N1808" s="8">
        <v>38509</v>
      </c>
      <c r="O1808" s="8">
        <v>38515</v>
      </c>
      <c r="P1808" s="8">
        <v>38084</v>
      </c>
      <c r="Q1808" s="8">
        <v>38351</v>
      </c>
      <c r="R1808" s="7">
        <f t="shared" si="17"/>
        <v>0.10795218034731691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</row>
    <row r="1809" spans="1:28" ht="14.4" hidden="1">
      <c r="A1809" s="3">
        <f>LOOKUP(D1809,'AMFI DATA_2023H2'!F:L,'AMFI DATA_2023H2'!L:L)</f>
        <v>962</v>
      </c>
      <c r="B1809" s="4" t="s">
        <v>2762</v>
      </c>
      <c r="C1809" s="4" t="s">
        <v>2763</v>
      </c>
      <c r="D1809" s="5" t="s">
        <v>2764</v>
      </c>
      <c r="E1809" s="5">
        <v>32657.99</v>
      </c>
      <c r="F1809" s="6">
        <f>LOOKUP(D1809,'AMFI DATA_2023H2'!F:J,'AMFI DATA_2023H2'!J:J)</f>
        <v>1892.7217500000002</v>
      </c>
      <c r="G1809" s="7">
        <f t="shared" si="16"/>
        <v>0.12430683485303629</v>
      </c>
      <c r="H1809" s="8">
        <v>2128</v>
      </c>
      <c r="I1809" s="8">
        <v>2054</v>
      </c>
      <c r="J1809" s="8">
        <v>2079</v>
      </c>
      <c r="K1809" s="8">
        <v>2122</v>
      </c>
      <c r="L1809" s="8">
        <v>2182</v>
      </c>
      <c r="M1809" s="8">
        <v>2250</v>
      </c>
      <c r="N1809" s="8">
        <v>2325</v>
      </c>
      <c r="O1809" s="8">
        <v>2304</v>
      </c>
      <c r="P1809" s="8">
        <v>2334</v>
      </c>
      <c r="Q1809" s="8">
        <v>2366</v>
      </c>
      <c r="R1809" s="7">
        <f t="shared" si="17"/>
        <v>0.16995538303503932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</row>
    <row r="1810" spans="1:28" ht="14.4" hidden="1">
      <c r="A1810" s="3">
        <f>LOOKUP(D1810,'AMFI DATA_2023H2'!F:L,'AMFI DATA_2023H2'!L:L)</f>
        <v>147</v>
      </c>
      <c r="B1810" s="4" t="s">
        <v>450</v>
      </c>
      <c r="C1810" s="4" t="s">
        <v>451</v>
      </c>
      <c r="D1810" s="5" t="s">
        <v>452</v>
      </c>
      <c r="E1810" s="5">
        <v>53947.53</v>
      </c>
      <c r="F1810" s="6">
        <f>LOOKUP(D1810,'AMFI DATA_2023H2'!F:J,'AMFI DATA_2023H2'!J:J)</f>
        <v>45467.2572</v>
      </c>
      <c r="G1810" s="7">
        <f t="shared" si="16"/>
        <v>-4.0430351712528623E-2</v>
      </c>
      <c r="H1810" s="8">
        <v>43629</v>
      </c>
      <c r="I1810" s="8">
        <v>44109</v>
      </c>
      <c r="J1810" s="8">
        <v>44128</v>
      </c>
      <c r="K1810" s="8">
        <v>44620</v>
      </c>
      <c r="L1810" s="8">
        <v>44443</v>
      </c>
      <c r="M1810" s="8">
        <v>44106</v>
      </c>
      <c r="N1810" s="8">
        <v>44233</v>
      </c>
      <c r="O1810" s="8">
        <v>43775</v>
      </c>
      <c r="P1810" s="8">
        <v>43989</v>
      </c>
      <c r="Q1810" s="8">
        <v>43659</v>
      </c>
      <c r="R1810" s="7">
        <f t="shared" si="17"/>
        <v>-3.075085866406746E-2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</row>
    <row r="1811" spans="1:28" ht="14.4" hidden="1">
      <c r="A1811" s="3">
        <f>LOOKUP(D1811,'AMFI DATA_2023H2'!F:L,'AMFI DATA_2023H2'!L:L)</f>
        <v>1744</v>
      </c>
      <c r="B1811" s="4" t="s">
        <v>4403</v>
      </c>
      <c r="C1811" s="4" t="s">
        <v>4404</v>
      </c>
      <c r="D1811" s="5" t="s">
        <v>4405</v>
      </c>
      <c r="E1811" s="5">
        <v>53947.53</v>
      </c>
      <c r="F1811" s="6">
        <f>LOOKUP(D1811,'AMFI DATA_2023H2'!F:J,'AMFI DATA_2023H2'!J:J)</f>
        <v>301.40655000000004</v>
      </c>
      <c r="G1811" s="7">
        <f t="shared" si="16"/>
        <v>0.17117560982002522</v>
      </c>
      <c r="H1811" s="9">
        <v>353</v>
      </c>
      <c r="I1811" s="9">
        <v>356</v>
      </c>
      <c r="J1811" s="9">
        <v>355</v>
      </c>
      <c r="K1811" s="9">
        <v>352</v>
      </c>
      <c r="L1811" s="9">
        <v>350</v>
      </c>
      <c r="M1811" s="9">
        <v>355</v>
      </c>
      <c r="N1811" s="9">
        <v>351</v>
      </c>
      <c r="O1811" s="9">
        <v>352</v>
      </c>
      <c r="P1811" s="9">
        <v>339</v>
      </c>
      <c r="Q1811" s="9">
        <v>328</v>
      </c>
      <c r="R1811" s="7">
        <f t="shared" si="17"/>
        <v>0.1582362758871696</v>
      </c>
      <c r="S1811" s="9"/>
      <c r="T1811" s="9"/>
      <c r="U1811" s="9"/>
      <c r="V1811" s="9"/>
      <c r="W1811" s="9"/>
      <c r="X1811" s="9"/>
      <c r="Y1811" s="9"/>
      <c r="Z1811" s="9"/>
      <c r="AA1811" s="9"/>
      <c r="AB1811" s="9"/>
    </row>
    <row r="1812" spans="1:28" ht="14.4" hidden="1">
      <c r="A1812" s="3">
        <f>LOOKUP(D1812,'AMFI DATA_2023H2'!F:L,'AMFI DATA_2023H2'!L:L)</f>
        <v>1454</v>
      </c>
      <c r="B1812" s="4" t="s">
        <v>3869</v>
      </c>
      <c r="C1812" s="4" t="s">
        <v>3870</v>
      </c>
      <c r="D1812" s="5" t="s">
        <v>3871</v>
      </c>
      <c r="E1812" s="5">
        <v>451.53</v>
      </c>
      <c r="F1812" s="6">
        <f>LOOKUP(D1812,'AMFI DATA_2023H2'!F:J,'AMFI DATA_2023H2'!J:J)</f>
        <v>572.45891615200003</v>
      </c>
      <c r="G1812" s="7">
        <f t="shared" si="16"/>
        <v>0.56867152325314096</v>
      </c>
      <c r="H1812" s="9">
        <v>898</v>
      </c>
      <c r="I1812" s="9">
        <v>817</v>
      </c>
      <c r="J1812" s="9">
        <v>809</v>
      </c>
      <c r="K1812" s="9">
        <v>794</v>
      </c>
      <c r="L1812" s="9">
        <v>781</v>
      </c>
      <c r="M1812" s="9">
        <v>771</v>
      </c>
      <c r="N1812" s="9">
        <v>767</v>
      </c>
      <c r="O1812" s="9">
        <v>786</v>
      </c>
      <c r="P1812" s="9">
        <v>801</v>
      </c>
      <c r="Q1812" s="9">
        <v>736</v>
      </c>
      <c r="R1812" s="7">
        <f t="shared" si="17"/>
        <v>0.39049279789476632</v>
      </c>
      <c r="S1812" s="9"/>
      <c r="T1812" s="9"/>
      <c r="U1812" s="9"/>
      <c r="V1812" s="9"/>
      <c r="W1812" s="9"/>
      <c r="X1812" s="9"/>
      <c r="Y1812" s="9"/>
      <c r="Z1812" s="9"/>
      <c r="AA1812" s="9"/>
      <c r="AB1812" s="9"/>
    </row>
    <row r="1813" spans="1:28" ht="14.4" hidden="1">
      <c r="A1813" s="3">
        <f>LOOKUP(D1813,'AMFI DATA_2023H2'!F:L,'AMFI DATA_2023H2'!L:L)</f>
        <v>3688</v>
      </c>
      <c r="B1813" s="4" t="s">
        <v>5719</v>
      </c>
      <c r="C1813" s="4" t="s">
        <v>5720</v>
      </c>
      <c r="D1813" s="5" t="s">
        <v>5721</v>
      </c>
      <c r="E1813" s="5">
        <v>10.5</v>
      </c>
      <c r="F1813" s="6">
        <f>LOOKUP(D1813,'AMFI DATA_2023H2'!F:J,'AMFI DATA_2023H2'!J:J)</f>
        <v>13.3598</v>
      </c>
      <c r="G1813" s="7">
        <f t="shared" si="16"/>
        <v>0.30241470680698801</v>
      </c>
      <c r="H1813" s="9">
        <v>17.399999999999999</v>
      </c>
      <c r="I1813" s="9">
        <v>16.2</v>
      </c>
      <c r="J1813" s="9">
        <v>16.399999999999999</v>
      </c>
      <c r="K1813" s="9">
        <v>16.100000000000001</v>
      </c>
      <c r="L1813" s="9">
        <v>15.9</v>
      </c>
      <c r="M1813" s="9">
        <v>16.2</v>
      </c>
      <c r="N1813" s="9">
        <v>16.2</v>
      </c>
      <c r="O1813" s="9">
        <v>15.4</v>
      </c>
      <c r="P1813" s="9">
        <v>14.9</v>
      </c>
      <c r="Q1813" s="9">
        <v>14.1</v>
      </c>
      <c r="R1813" s="7">
        <f t="shared" si="17"/>
        <v>0.18864054851120526</v>
      </c>
      <c r="S1813" s="9"/>
      <c r="T1813" s="9"/>
      <c r="U1813" s="9"/>
      <c r="V1813" s="9"/>
      <c r="W1813" s="9"/>
      <c r="X1813" s="9"/>
      <c r="Y1813" s="9"/>
      <c r="Z1813" s="9"/>
      <c r="AA1813" s="9"/>
      <c r="AB1813" s="9"/>
    </row>
    <row r="1814" spans="1:28" ht="14.4" hidden="1">
      <c r="A1814" s="3">
        <f>LOOKUP(D1814,'AMFI DATA_2023H2'!F:L,'AMFI DATA_2023H2'!L:L)</f>
        <v>413</v>
      </c>
      <c r="B1814" s="4" t="s">
        <v>1239</v>
      </c>
      <c r="C1814" s="4" t="s">
        <v>1240</v>
      </c>
      <c r="D1814" s="5" t="s">
        <v>1241</v>
      </c>
      <c r="E1814" s="5">
        <v>6540.6</v>
      </c>
      <c r="F1814" s="6">
        <f>LOOKUP(D1814,'AMFI DATA_2023H2'!F:J,'AMFI DATA_2023H2'!J:J)</f>
        <v>9832.5250999999989</v>
      </c>
      <c r="G1814" s="7">
        <f t="shared" si="16"/>
        <v>-3.7378506158097569E-2</v>
      </c>
      <c r="H1814" s="8">
        <v>9465</v>
      </c>
      <c r="I1814" s="8">
        <v>9528</v>
      </c>
      <c r="J1814" s="8">
        <v>9121</v>
      </c>
      <c r="K1814" s="8">
        <v>8994</v>
      </c>
      <c r="L1814" s="8">
        <v>8894</v>
      </c>
      <c r="M1814" s="8">
        <v>9060</v>
      </c>
      <c r="N1814" s="8">
        <v>9060</v>
      </c>
      <c r="O1814" s="8">
        <v>9226</v>
      </c>
      <c r="P1814" s="8">
        <v>9415</v>
      </c>
      <c r="Q1814" s="8">
        <v>9438</v>
      </c>
      <c r="R1814" s="7">
        <f t="shared" si="17"/>
        <v>-6.2285638101244101E-2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</row>
    <row r="1815" spans="1:28" ht="14.4" hidden="1">
      <c r="A1815" s="3">
        <f>LOOKUP(D1815,'AMFI DATA_2023H2'!F:L,'AMFI DATA_2023H2'!L:L)</f>
        <v>403</v>
      </c>
      <c r="B1815" s="4" t="s">
        <v>1215</v>
      </c>
      <c r="C1815" s="4" t="s">
        <v>1216</v>
      </c>
      <c r="D1815" s="5" t="s">
        <v>1217</v>
      </c>
      <c r="E1815" s="5">
        <v>8864.76</v>
      </c>
      <c r="F1815" s="6">
        <f>LOOKUP(D1815,'AMFI DATA_2023H2'!F:J,'AMFI DATA_2023H2'!J:J)</f>
        <v>10066.36225</v>
      </c>
      <c r="G1815" s="7">
        <f t="shared" si="16"/>
        <v>0.10685466341130323</v>
      </c>
      <c r="H1815" s="8">
        <v>11142</v>
      </c>
      <c r="I1815" s="8">
        <v>11137</v>
      </c>
      <c r="J1815" s="8">
        <v>11075</v>
      </c>
      <c r="K1815" s="8">
        <v>11083</v>
      </c>
      <c r="L1815" s="8">
        <v>11087</v>
      </c>
      <c r="M1815" s="8">
        <v>11020</v>
      </c>
      <c r="N1815" s="8">
        <v>10946</v>
      </c>
      <c r="O1815" s="8">
        <v>10776</v>
      </c>
      <c r="P1815" s="8">
        <v>10803</v>
      </c>
      <c r="Q1815" s="8">
        <v>10913</v>
      </c>
      <c r="R1815" s="7">
        <f t="shared" si="17"/>
        <v>9.256946321398285E-2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</row>
    <row r="1816" spans="1:28" ht="14.4" hidden="1">
      <c r="A1816" s="3">
        <f>LOOKUP(D1816,'AMFI DATA_2023H2'!F:L,'AMFI DATA_2023H2'!L:L)</f>
        <v>592</v>
      </c>
      <c r="B1816" s="4" t="s">
        <v>1746</v>
      </c>
      <c r="C1816" s="4" t="s">
        <v>1747</v>
      </c>
      <c r="D1816" s="5" t="s">
        <v>1748</v>
      </c>
      <c r="E1816" s="5">
        <v>8864.76</v>
      </c>
      <c r="F1816" s="6">
        <f>LOOKUP(D1816,'AMFI DATA_2023H2'!F:J,'AMFI DATA_2023H2'!J:J)</f>
        <v>5587.6141000000007</v>
      </c>
      <c r="G1816" s="7">
        <f t="shared" si="16"/>
        <v>0.15738128730113976</v>
      </c>
      <c r="H1816" s="8">
        <v>6467</v>
      </c>
      <c r="I1816" s="8">
        <v>6325</v>
      </c>
      <c r="J1816" s="8">
        <v>5850</v>
      </c>
      <c r="K1816" s="8">
        <v>5803</v>
      </c>
      <c r="L1816" s="8">
        <v>5851</v>
      </c>
      <c r="M1816" s="8">
        <v>5935</v>
      </c>
      <c r="N1816" s="8">
        <v>5766</v>
      </c>
      <c r="O1816" s="8">
        <v>5721</v>
      </c>
      <c r="P1816" s="8">
        <v>5815</v>
      </c>
      <c r="Q1816" s="8">
        <v>5752</v>
      </c>
      <c r="R1816" s="7">
        <f t="shared" si="17"/>
        <v>6.1007416385465696E-2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</row>
    <row r="1817" spans="1:28" ht="14.4" hidden="1">
      <c r="A1817" s="3">
        <f>LOOKUP(D1817,'AMFI DATA_2023H2'!F:L,'AMFI DATA_2023H2'!L:L)</f>
        <v>1036</v>
      </c>
      <c r="B1817" s="4" t="s">
        <v>2960</v>
      </c>
      <c r="C1817" s="4" t="s">
        <v>2961</v>
      </c>
      <c r="D1817" s="5" t="s">
        <v>2962</v>
      </c>
      <c r="E1817" s="5">
        <v>1022.28</v>
      </c>
      <c r="F1817" s="6">
        <f>LOOKUP(D1817,'AMFI DATA_2023H2'!F:J,'AMFI DATA_2023H2'!J:J)</f>
        <v>1540.7239</v>
      </c>
      <c r="G1817" s="7">
        <f t="shared" si="16"/>
        <v>-5.6622085241878617E-3</v>
      </c>
      <c r="H1817" s="8">
        <v>1532</v>
      </c>
      <c r="I1817" s="8">
        <v>1545</v>
      </c>
      <c r="J1817" s="8">
        <v>1562</v>
      </c>
      <c r="K1817" s="8">
        <v>1582</v>
      </c>
      <c r="L1817" s="8">
        <v>1577</v>
      </c>
      <c r="M1817" s="8">
        <v>1541</v>
      </c>
      <c r="N1817" s="8">
        <v>1494</v>
      </c>
      <c r="O1817" s="8">
        <v>1501</v>
      </c>
      <c r="P1817" s="8">
        <v>1502</v>
      </c>
      <c r="Q1817" s="8">
        <v>1520</v>
      </c>
      <c r="R1817" s="7">
        <f t="shared" si="17"/>
        <v>-3.3256445233309506E-3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</row>
    <row r="1818" spans="1:28" ht="14.4" hidden="1">
      <c r="A1818" s="3">
        <f>LOOKUP(D1818,'AMFI DATA_2023H2'!F:L,'AMFI DATA_2023H2'!L:L)</f>
        <v>780</v>
      </c>
      <c r="B1818" s="4" t="s">
        <v>2273</v>
      </c>
      <c r="C1818" s="4" t="s">
        <v>2274</v>
      </c>
      <c r="D1818" s="5" t="s">
        <v>2275</v>
      </c>
      <c r="E1818" s="5">
        <v>2108.6999999999998</v>
      </c>
      <c r="F1818" s="6">
        <f>LOOKUP(D1818,'AMFI DATA_2023H2'!F:J,'AMFI DATA_2023H2'!J:J)</f>
        <v>3053.9931500000002</v>
      </c>
      <c r="G1818" s="7">
        <f t="shared" si="16"/>
        <v>2.4232814667576985E-2</v>
      </c>
      <c r="H1818" s="8">
        <v>3128</v>
      </c>
      <c r="I1818" s="8">
        <v>3092</v>
      </c>
      <c r="J1818" s="8">
        <v>3166</v>
      </c>
      <c r="K1818" s="8">
        <v>3110</v>
      </c>
      <c r="L1818" s="8">
        <v>3204</v>
      </c>
      <c r="M1818" s="8">
        <v>3258</v>
      </c>
      <c r="N1818" s="8">
        <v>3262</v>
      </c>
      <c r="O1818" s="8">
        <v>3258</v>
      </c>
      <c r="P1818" s="8">
        <v>3284</v>
      </c>
      <c r="Q1818" s="8">
        <v>3311</v>
      </c>
      <c r="R1818" s="7">
        <f t="shared" si="17"/>
        <v>5.0198819208222556E-2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</row>
    <row r="1819" spans="1:28" ht="14.4" hidden="1">
      <c r="A1819" s="3">
        <f>LOOKUP(D1819,'AMFI DATA_2023H2'!F:L,'AMFI DATA_2023H2'!L:L)</f>
        <v>1419</v>
      </c>
      <c r="B1819" s="4" t="s">
        <v>3812</v>
      </c>
      <c r="C1819" s="4" t="s">
        <v>3813</v>
      </c>
      <c r="D1819" s="5" t="s">
        <v>3814</v>
      </c>
      <c r="E1819" s="5">
        <v>309.07</v>
      </c>
      <c r="F1819" s="6">
        <f>LOOKUP(D1819,'AMFI DATA_2023H2'!F:J,'AMFI DATA_2023H2'!J:J)</f>
        <v>622.67409999999995</v>
      </c>
      <c r="G1819" s="7">
        <f t="shared" si="16"/>
        <v>1.0588619311450405</v>
      </c>
      <c r="H1819" s="9">
        <v>1282</v>
      </c>
      <c r="I1819" s="9">
        <v>1260</v>
      </c>
      <c r="J1819" s="9">
        <v>1201</v>
      </c>
      <c r="K1819" s="9">
        <v>1144</v>
      </c>
      <c r="L1819" s="9">
        <v>1091</v>
      </c>
      <c r="M1819" s="9">
        <v>1047</v>
      </c>
      <c r="N1819" s="9">
        <v>1042</v>
      </c>
      <c r="O1819" s="9">
        <v>1061</v>
      </c>
      <c r="P1819" s="9">
        <v>998</v>
      </c>
      <c r="Q1819" s="9">
        <v>956</v>
      </c>
      <c r="R1819" s="7">
        <f t="shared" si="17"/>
        <v>0.77974320756235094</v>
      </c>
      <c r="S1819" s="9"/>
      <c r="T1819" s="9"/>
      <c r="U1819" s="9"/>
      <c r="V1819" s="9"/>
      <c r="W1819" s="9"/>
      <c r="X1819" s="9"/>
      <c r="Y1819" s="9"/>
      <c r="Z1819" s="9"/>
      <c r="AA1819" s="9"/>
      <c r="AB1819" s="9"/>
    </row>
    <row r="1820" spans="1:28" ht="14.4">
      <c r="A1820" s="3">
        <f>LOOKUP(D1820,'AMFI DATA_2023H2'!F:L,'AMFI DATA_2023H2'!L:L)</f>
        <v>760</v>
      </c>
      <c r="B1820" s="4" t="s">
        <v>2225</v>
      </c>
      <c r="C1820" s="4" t="s">
        <v>2226</v>
      </c>
      <c r="D1820" s="5" t="s">
        <v>2227</v>
      </c>
      <c r="E1820" s="5">
        <v>2351.08</v>
      </c>
      <c r="F1820" s="6">
        <f>LOOKUP(D1820,'AMFI DATA_2023H2'!F:J,'AMFI DATA_2023H2'!J:J)</f>
        <v>3241.9012499999999</v>
      </c>
      <c r="G1820" s="7">
        <f t="shared" si="16"/>
        <v>0.25636152550914382</v>
      </c>
      <c r="H1820" s="8">
        <v>4073</v>
      </c>
      <c r="I1820" s="8">
        <v>3982</v>
      </c>
      <c r="J1820" s="8">
        <v>4049</v>
      </c>
      <c r="K1820" s="8">
        <v>3889</v>
      </c>
      <c r="L1820" s="8">
        <v>3968</v>
      </c>
      <c r="M1820" s="8">
        <v>3908</v>
      </c>
      <c r="N1820" s="8">
        <v>3981</v>
      </c>
      <c r="O1820" s="8">
        <v>3792</v>
      </c>
      <c r="P1820" s="8">
        <v>3720</v>
      </c>
      <c r="Q1820" s="8">
        <v>3736</v>
      </c>
      <c r="R1820" s="14">
        <f t="shared" si="17"/>
        <v>0.20602069541754253</v>
      </c>
      <c r="S1820" s="8"/>
      <c r="T1820" s="8">
        <v>651.79999999999995</v>
      </c>
      <c r="U1820" s="15">
        <f ca="1">IFERROR(__xludf.DUMMYFUNCTION("GOOGLEFINANCE(C1820,""PRICE"")"),624.4)</f>
        <v>624.4</v>
      </c>
      <c r="V1820" s="13" t="s">
        <v>5787</v>
      </c>
      <c r="W1820" s="7">
        <f ca="1">U1820/T1820-1</f>
        <v>-4.203743479594968E-2</v>
      </c>
      <c r="X1820" s="8"/>
      <c r="Y1820" s="8"/>
      <c r="Z1820" s="8"/>
      <c r="AA1820" s="8"/>
      <c r="AB1820" s="8"/>
    </row>
    <row r="1821" spans="1:28" ht="14.4" hidden="1">
      <c r="A1821" s="3">
        <f>LOOKUP(D1821,'AMFI DATA_2023H2'!F:L,'AMFI DATA_2023H2'!L:L)</f>
        <v>968</v>
      </c>
      <c r="B1821" s="4" t="s">
        <v>2777</v>
      </c>
      <c r="C1821" s="4" t="s">
        <v>2778</v>
      </c>
      <c r="D1821" s="5" t="s">
        <v>2779</v>
      </c>
      <c r="E1821" s="5">
        <v>1759.37</v>
      </c>
      <c r="F1821" s="6">
        <f>LOOKUP(D1821,'AMFI DATA_2023H2'!F:J,'AMFI DATA_2023H2'!J:J)</f>
        <v>1869.10735</v>
      </c>
      <c r="G1821" s="7">
        <f t="shared" si="16"/>
        <v>-9.5290059182528974E-2</v>
      </c>
      <c r="H1821" s="8">
        <v>1691</v>
      </c>
      <c r="I1821" s="8">
        <v>1686</v>
      </c>
      <c r="J1821" s="8">
        <v>1727</v>
      </c>
      <c r="K1821" s="8">
        <v>1765</v>
      </c>
      <c r="L1821" s="8">
        <v>1805</v>
      </c>
      <c r="M1821" s="8">
        <v>1803</v>
      </c>
      <c r="N1821" s="8">
        <v>1747</v>
      </c>
      <c r="O1821" s="8">
        <v>1619</v>
      </c>
      <c r="P1821" s="8">
        <v>1598</v>
      </c>
      <c r="Q1821" s="8">
        <v>1618</v>
      </c>
      <c r="R1821" s="7">
        <f t="shared" si="17"/>
        <v>-8.7318339420151547E-2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</row>
    <row r="1822" spans="1:28" ht="14.4" hidden="1">
      <c r="A1822" s="3">
        <f>LOOKUP(D1822,'AMFI DATA_2023H2'!F:L,'AMFI DATA_2023H2'!L:L)</f>
        <v>538</v>
      </c>
      <c r="B1822" s="4" t="s">
        <v>1593</v>
      </c>
      <c r="C1822" s="4" t="s">
        <v>1594</v>
      </c>
      <c r="D1822" s="5" t="s">
        <v>1595</v>
      </c>
      <c r="E1822" s="5">
        <v>5050.8999999999996</v>
      </c>
      <c r="F1822" s="6">
        <f>LOOKUP(D1822,'AMFI DATA_2023H2'!F:J,'AMFI DATA_2023H2'!J:J)</f>
        <v>6612.3860000000004</v>
      </c>
      <c r="G1822" s="7">
        <f t="shared" si="16"/>
        <v>3.835438524006296E-2</v>
      </c>
      <c r="H1822" s="8">
        <v>6866</v>
      </c>
      <c r="I1822" s="8">
        <v>6927</v>
      </c>
      <c r="J1822" s="8">
        <v>7133</v>
      </c>
      <c r="K1822" s="8">
        <v>6730</v>
      </c>
      <c r="L1822" s="8">
        <v>6504</v>
      </c>
      <c r="M1822" s="8">
        <v>6566</v>
      </c>
      <c r="N1822" s="8">
        <v>6606</v>
      </c>
      <c r="O1822" s="8">
        <v>6659</v>
      </c>
      <c r="P1822" s="8">
        <v>6693</v>
      </c>
      <c r="Q1822" s="8">
        <v>6700</v>
      </c>
      <c r="R1822" s="7">
        <f t="shared" si="17"/>
        <v>1.9057266166857101E-2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</row>
    <row r="1823" spans="1:28" ht="14.4" hidden="1">
      <c r="A1823" s="3">
        <f>LOOKUP(D1823,'AMFI DATA_2023H2'!F:L,'AMFI DATA_2023H2'!L:L)</f>
        <v>2153</v>
      </c>
      <c r="B1823" s="4" t="s">
        <v>4955</v>
      </c>
      <c r="C1823" s="4" t="s">
        <v>4956</v>
      </c>
      <c r="D1823" s="5" t="s">
        <v>4957</v>
      </c>
      <c r="E1823" s="5">
        <v>151.49</v>
      </c>
      <c r="F1823" s="6">
        <f>LOOKUP(D1823,'AMFI DATA_2023H2'!F:J,'AMFI DATA_2023H2'!J:J)</f>
        <v>145.43049999999999</v>
      </c>
      <c r="G1823" s="7">
        <f t="shared" si="16"/>
        <v>0.3477227954246187</v>
      </c>
      <c r="H1823" s="9">
        <v>196</v>
      </c>
      <c r="I1823" s="9">
        <v>197</v>
      </c>
      <c r="J1823" s="9">
        <v>201</v>
      </c>
      <c r="K1823" s="9">
        <v>199</v>
      </c>
      <c r="L1823" s="9">
        <v>198</v>
      </c>
      <c r="M1823" s="9">
        <v>193</v>
      </c>
      <c r="N1823" s="9">
        <v>190</v>
      </c>
      <c r="O1823" s="9">
        <v>191</v>
      </c>
      <c r="P1823" s="9">
        <v>190</v>
      </c>
      <c r="Q1823" s="9">
        <v>190</v>
      </c>
      <c r="R1823" s="7">
        <f t="shared" si="17"/>
        <v>0.33740859035759363</v>
      </c>
      <c r="S1823" s="9"/>
      <c r="T1823" s="9"/>
      <c r="U1823" s="9"/>
      <c r="V1823" s="9"/>
      <c r="W1823" s="9"/>
      <c r="X1823" s="9"/>
      <c r="Y1823" s="9"/>
      <c r="Z1823" s="9"/>
      <c r="AA1823" s="9"/>
      <c r="AB1823" s="9"/>
    </row>
    <row r="1824" spans="1:28" ht="14.4" hidden="1">
      <c r="A1824" s="3">
        <f>LOOKUP(D1824,'AMFI DATA_2023H2'!F:L,'AMFI DATA_2023H2'!L:L)</f>
        <v>972</v>
      </c>
      <c r="B1824" s="4" t="s">
        <v>2786</v>
      </c>
      <c r="C1824" s="4" t="s">
        <v>2787</v>
      </c>
      <c r="D1824" s="5" t="s">
        <v>2788</v>
      </c>
      <c r="E1824" s="5">
        <v>1737.2</v>
      </c>
      <c r="F1824" s="6">
        <f>LOOKUP(D1824,'AMFI DATA_2023H2'!F:J,'AMFI DATA_2023H2'!J:J)</f>
        <v>1845.9341999999999</v>
      </c>
      <c r="G1824" s="7">
        <f t="shared" si="16"/>
        <v>0.22810444705992228</v>
      </c>
      <c r="H1824" s="8">
        <v>2267</v>
      </c>
      <c r="I1824" s="8">
        <v>2283</v>
      </c>
      <c r="J1824" s="8">
        <v>2070</v>
      </c>
      <c r="K1824" s="8">
        <v>2033</v>
      </c>
      <c r="L1824" s="8">
        <v>2040</v>
      </c>
      <c r="M1824" s="8">
        <v>2011</v>
      </c>
      <c r="N1824" s="8">
        <v>1995</v>
      </c>
      <c r="O1824" s="8">
        <v>1999</v>
      </c>
      <c r="P1824" s="8">
        <v>2031</v>
      </c>
      <c r="Q1824" s="8">
        <v>2045</v>
      </c>
      <c r="R1824" s="7">
        <f t="shared" si="17"/>
        <v>0.12539222687352569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</row>
    <row r="1825" spans="1:28" ht="14.4" hidden="1">
      <c r="A1825" s="3">
        <f>LOOKUP(D1825,'AMFI DATA_2023H2'!F:L,'AMFI DATA_2023H2'!L:L)</f>
        <v>1313</v>
      </c>
      <c r="B1825" s="4" t="s">
        <v>3605</v>
      </c>
      <c r="C1825" s="4" t="s">
        <v>3606</v>
      </c>
      <c r="D1825" s="5" t="s">
        <v>3607</v>
      </c>
      <c r="E1825" s="5">
        <v>1737.2</v>
      </c>
      <c r="F1825" s="6">
        <f>LOOKUP(D1825,'AMFI DATA_2023H2'!F:J,'AMFI DATA_2023H2'!J:J)</f>
        <v>786.10944999999992</v>
      </c>
      <c r="G1825" s="7">
        <f t="shared" si="16"/>
        <v>-4.084602977358931E-2</v>
      </c>
      <c r="H1825" s="9">
        <v>754</v>
      </c>
      <c r="I1825" s="9">
        <v>760</v>
      </c>
      <c r="J1825" s="9">
        <v>749</v>
      </c>
      <c r="K1825" s="9">
        <v>754</v>
      </c>
      <c r="L1825" s="9">
        <v>763</v>
      </c>
      <c r="M1825" s="9">
        <v>752</v>
      </c>
      <c r="N1825" s="9">
        <v>764</v>
      </c>
      <c r="O1825" s="9">
        <v>760</v>
      </c>
      <c r="P1825" s="9">
        <v>762</v>
      </c>
      <c r="Q1825" s="9">
        <v>769</v>
      </c>
      <c r="R1825" s="7">
        <f t="shared" si="17"/>
        <v>-3.486721855334507E-2</v>
      </c>
      <c r="S1825" s="9"/>
      <c r="T1825" s="9"/>
      <c r="U1825" s="9"/>
      <c r="V1825" s="9"/>
      <c r="W1825" s="9"/>
      <c r="X1825" s="9"/>
      <c r="Y1825" s="9"/>
      <c r="Z1825" s="9"/>
      <c r="AA1825" s="9"/>
      <c r="AB1825" s="9"/>
    </row>
    <row r="1826" spans="1:28" ht="14.4" hidden="1">
      <c r="A1826" s="3">
        <f>LOOKUP(D1826,'AMFI DATA_2023H2'!F:L,'AMFI DATA_2023H2'!L:L)</f>
        <v>1105</v>
      </c>
      <c r="B1826" s="4" t="s">
        <v>3122</v>
      </c>
      <c r="C1826" s="4" t="s">
        <v>3123</v>
      </c>
      <c r="D1826" s="5" t="s">
        <v>3124</v>
      </c>
      <c r="E1826" s="5">
        <v>1337.62</v>
      </c>
      <c r="F1826" s="6">
        <f>LOOKUP(D1826,'AMFI DATA_2023H2'!F:J,'AMFI DATA_2023H2'!J:J)</f>
        <v>1311.2937499999998</v>
      </c>
      <c r="G1826" s="7">
        <f t="shared" si="16"/>
        <v>6.0021829586238917E-2</v>
      </c>
      <c r="H1826" s="8">
        <v>1390</v>
      </c>
      <c r="I1826" s="8">
        <v>1372</v>
      </c>
      <c r="J1826" s="8">
        <v>1383</v>
      </c>
      <c r="K1826" s="8">
        <v>1409</v>
      </c>
      <c r="L1826" s="8">
        <v>1401</v>
      </c>
      <c r="M1826" s="8">
        <v>1396</v>
      </c>
      <c r="N1826" s="8">
        <v>1388</v>
      </c>
      <c r="O1826" s="8">
        <v>1411</v>
      </c>
      <c r="P1826" s="8">
        <v>1359</v>
      </c>
      <c r="Q1826" s="8">
        <v>1315</v>
      </c>
      <c r="R1826" s="7">
        <f t="shared" si="17"/>
        <v>5.422602677699051E-2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</row>
    <row r="1827" spans="1:28" ht="14.4" hidden="1">
      <c r="A1827" s="3">
        <f>LOOKUP(D1827,'AMFI DATA_2023H2'!F:L,'AMFI DATA_2023H2'!L:L)</f>
        <v>1566</v>
      </c>
      <c r="B1827" s="4" t="s">
        <v>4088</v>
      </c>
      <c r="C1827" s="4" t="s">
        <v>4089</v>
      </c>
      <c r="D1827" s="5" t="s">
        <v>4090</v>
      </c>
      <c r="E1827" s="5">
        <v>405.41</v>
      </c>
      <c r="F1827" s="6">
        <f>LOOKUP(D1827,'AMFI DATA_2023H2'!F:J,'AMFI DATA_2023H2'!J:J)</f>
        <v>444.71940000000001</v>
      </c>
      <c r="G1827" s="7">
        <f t="shared" si="16"/>
        <v>9.7321142275331285E-2</v>
      </c>
      <c r="H1827" s="9">
        <v>488</v>
      </c>
      <c r="I1827" s="9">
        <v>494</v>
      </c>
      <c r="J1827" s="9">
        <v>493</v>
      </c>
      <c r="K1827" s="9">
        <v>493</v>
      </c>
      <c r="L1827" s="9">
        <v>492</v>
      </c>
      <c r="M1827" s="9">
        <v>477</v>
      </c>
      <c r="N1827" s="9">
        <v>481</v>
      </c>
      <c r="O1827" s="9">
        <v>479</v>
      </c>
      <c r="P1827" s="9">
        <v>483</v>
      </c>
      <c r="Q1827" s="9">
        <v>476</v>
      </c>
      <c r="R1827" s="7">
        <f t="shared" si="17"/>
        <v>9.1924480919878926E-2</v>
      </c>
      <c r="S1827" s="9"/>
      <c r="T1827" s="9"/>
      <c r="U1827" s="9"/>
      <c r="V1827" s="9"/>
      <c r="W1827" s="9"/>
      <c r="X1827" s="9"/>
      <c r="Y1827" s="9"/>
      <c r="Z1827" s="9"/>
      <c r="AA1827" s="9"/>
      <c r="AB1827" s="9"/>
    </row>
    <row r="1828" spans="1:28" ht="14.4" hidden="1">
      <c r="A1828" s="3">
        <f>LOOKUP(D1828,'AMFI DATA_2023H2'!F:L,'AMFI DATA_2023H2'!L:L)</f>
        <v>1242</v>
      </c>
      <c r="B1828" s="4" t="s">
        <v>3437</v>
      </c>
      <c r="C1828" s="4" t="s">
        <v>3438</v>
      </c>
      <c r="D1828" s="5" t="s">
        <v>3439</v>
      </c>
      <c r="E1828" s="5">
        <v>870.35</v>
      </c>
      <c r="F1828" s="6">
        <f>LOOKUP(D1828,'AMFI DATA_2023H2'!F:J,'AMFI DATA_2023H2'!J:J)</f>
        <v>935.36505</v>
      </c>
      <c r="G1828" s="7">
        <f t="shared" si="16"/>
        <v>0.16638952887966041</v>
      </c>
      <c r="H1828" s="9">
        <v>1091</v>
      </c>
      <c r="I1828" s="9">
        <v>1085</v>
      </c>
      <c r="J1828" s="9">
        <v>1019</v>
      </c>
      <c r="K1828" s="9">
        <v>1015</v>
      </c>
      <c r="L1828" s="9">
        <v>1004</v>
      </c>
      <c r="M1828" s="9">
        <v>1009</v>
      </c>
      <c r="N1828" s="9">
        <v>1003</v>
      </c>
      <c r="O1828" s="9">
        <v>1008</v>
      </c>
      <c r="P1828" s="9">
        <v>1024</v>
      </c>
      <c r="Q1828" s="9">
        <v>970</v>
      </c>
      <c r="R1828" s="7">
        <f t="shared" si="17"/>
        <v>9.3476819558310442E-2</v>
      </c>
      <c r="S1828" s="9"/>
      <c r="T1828" s="9"/>
      <c r="U1828" s="9"/>
      <c r="V1828" s="9"/>
      <c r="W1828" s="9"/>
      <c r="X1828" s="9"/>
      <c r="Y1828" s="9"/>
      <c r="Z1828" s="9"/>
      <c r="AA1828" s="9"/>
      <c r="AB1828" s="9"/>
    </row>
    <row r="1829" spans="1:28" ht="14.4" hidden="1">
      <c r="A1829" s="3">
        <f>LOOKUP(D1829,'AMFI DATA_2023H2'!F:L,'AMFI DATA_2023H2'!L:L)</f>
        <v>2172</v>
      </c>
      <c r="B1829" s="4" t="s">
        <v>4979</v>
      </c>
      <c r="C1829" s="4" t="s">
        <v>4980</v>
      </c>
      <c r="D1829" s="5" t="s">
        <v>4981</v>
      </c>
      <c r="E1829" s="5">
        <v>70.98</v>
      </c>
      <c r="F1829" s="6">
        <f>LOOKUP(D1829,'AMFI DATA_2023H2'!F:J,'AMFI DATA_2023H2'!J:J)</f>
        <v>140.12835000000001</v>
      </c>
      <c r="G1829" s="7">
        <f t="shared" si="16"/>
        <v>0.17035560612823875</v>
      </c>
      <c r="H1829" s="9">
        <v>164</v>
      </c>
      <c r="I1829" s="9">
        <v>159</v>
      </c>
      <c r="J1829" s="9">
        <v>156</v>
      </c>
      <c r="K1829" s="9">
        <v>156</v>
      </c>
      <c r="L1829" s="9">
        <v>158</v>
      </c>
      <c r="M1829" s="9">
        <v>158</v>
      </c>
      <c r="N1829" s="9">
        <v>155</v>
      </c>
      <c r="O1829" s="9">
        <v>155</v>
      </c>
      <c r="P1829" s="9">
        <v>152</v>
      </c>
      <c r="Q1829" s="9">
        <v>152</v>
      </c>
      <c r="R1829" s="7">
        <f t="shared" si="17"/>
        <v>0.11683324609188639</v>
      </c>
      <c r="S1829" s="9"/>
      <c r="T1829" s="9"/>
      <c r="U1829" s="9"/>
      <c r="V1829" s="9"/>
      <c r="W1829" s="9"/>
      <c r="X1829" s="9"/>
      <c r="Y1829" s="9"/>
      <c r="Z1829" s="9"/>
      <c r="AA1829" s="9"/>
      <c r="AB1829" s="9"/>
    </row>
    <row r="1830" spans="1:28" ht="14.4" hidden="1">
      <c r="A1830" s="3">
        <f>LOOKUP(D1830,'AMFI DATA_2023H2'!F:L,'AMFI DATA_2023H2'!L:L)</f>
        <v>1006</v>
      </c>
      <c r="B1830" s="4" t="s">
        <v>2879</v>
      </c>
      <c r="C1830" s="4" t="s">
        <v>2880</v>
      </c>
      <c r="D1830" s="5" t="s">
        <v>2881</v>
      </c>
      <c r="E1830" s="5">
        <v>1498.98</v>
      </c>
      <c r="F1830" s="6">
        <f>LOOKUP(D1830,'AMFI DATA_2023H2'!F:J,'AMFI DATA_2023H2'!J:J)</f>
        <v>1684.6832999999999</v>
      </c>
      <c r="G1830" s="7">
        <f t="shared" si="16"/>
        <v>7.2011576300424096E-2</v>
      </c>
      <c r="H1830" s="8">
        <v>1806</v>
      </c>
      <c r="I1830" s="8">
        <v>1809</v>
      </c>
      <c r="J1830" s="8">
        <v>1804</v>
      </c>
      <c r="K1830" s="8">
        <v>1797</v>
      </c>
      <c r="L1830" s="8">
        <v>1812</v>
      </c>
      <c r="M1830" s="8">
        <v>1780</v>
      </c>
      <c r="N1830" s="8">
        <v>1811</v>
      </c>
      <c r="O1830" s="8">
        <v>1776</v>
      </c>
      <c r="P1830" s="8">
        <v>1785</v>
      </c>
      <c r="Q1830" s="8">
        <v>1797</v>
      </c>
      <c r="R1830" s="7">
        <f t="shared" si="17"/>
        <v>6.7084834283096528E-2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</row>
    <row r="1831" spans="1:28" ht="14.4" hidden="1">
      <c r="A1831" s="3">
        <f>LOOKUP(D1831,'AMFI DATA_2023H2'!F:L,'AMFI DATA_2023H2'!L:L)</f>
        <v>384</v>
      </c>
      <c r="B1831" s="4" t="s">
        <v>1155</v>
      </c>
      <c r="C1831" s="4" t="s">
        <v>1156</v>
      </c>
      <c r="D1831" s="5" t="s">
        <v>1157</v>
      </c>
      <c r="E1831" s="5">
        <v>9219.56</v>
      </c>
      <c r="F1831" s="6">
        <f>LOOKUP(D1831,'AMFI DATA_2023H2'!F:J,'AMFI DATA_2023H2'!J:J)</f>
        <v>10925.7003</v>
      </c>
      <c r="G1831" s="7">
        <f t="shared" si="16"/>
        <v>8.5394709206878527E-3</v>
      </c>
      <c r="H1831" s="8">
        <v>11019</v>
      </c>
      <c r="I1831" s="8">
        <v>11069</v>
      </c>
      <c r="J1831" s="8">
        <v>11046</v>
      </c>
      <c r="K1831" s="8">
        <v>11225</v>
      </c>
      <c r="L1831" s="8">
        <v>11393</v>
      </c>
      <c r="M1831" s="8">
        <v>11140</v>
      </c>
      <c r="N1831" s="8">
        <v>10917</v>
      </c>
      <c r="O1831" s="8">
        <v>11198</v>
      </c>
      <c r="P1831" s="8">
        <v>11296</v>
      </c>
      <c r="Q1831" s="8">
        <v>11354</v>
      </c>
      <c r="R1831" s="7">
        <f t="shared" si="17"/>
        <v>2.1966527857257834E-2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</row>
    <row r="1832" spans="1:28" ht="14.4">
      <c r="A1832" s="3">
        <f>LOOKUP(D1832,'AMFI DATA_2023H2'!F:L,'AMFI DATA_2023H2'!L:L)</f>
        <v>527</v>
      </c>
      <c r="B1832" s="4" t="s">
        <v>1563</v>
      </c>
      <c r="C1832" s="4" t="s">
        <v>1564</v>
      </c>
      <c r="D1832" s="5" t="s">
        <v>1565</v>
      </c>
      <c r="E1832" s="5">
        <v>4345.24</v>
      </c>
      <c r="F1832" s="6">
        <f>LOOKUP(D1832,'AMFI DATA_2023H2'!F:J,'AMFI DATA_2023H2'!J:J)</f>
        <v>6880.9933499999997</v>
      </c>
      <c r="G1832" s="7">
        <f t="shared" si="16"/>
        <v>0.24095454909864156</v>
      </c>
      <c r="H1832" s="8">
        <v>8539</v>
      </c>
      <c r="I1832" s="8">
        <v>8660</v>
      </c>
      <c r="J1832" s="8">
        <v>8480</v>
      </c>
      <c r="K1832" s="8">
        <v>8409</v>
      </c>
      <c r="L1832" s="8">
        <v>8526</v>
      </c>
      <c r="M1832" s="8">
        <v>8487</v>
      </c>
      <c r="N1832" s="8">
        <v>8457</v>
      </c>
      <c r="O1832" s="8">
        <v>8403</v>
      </c>
      <c r="P1832" s="8">
        <v>8353</v>
      </c>
      <c r="Q1832" s="8">
        <v>8312</v>
      </c>
      <c r="R1832" s="14">
        <f t="shared" si="17"/>
        <v>0.22985150101910801</v>
      </c>
      <c r="S1832" s="8"/>
      <c r="T1832" s="8">
        <v>560</v>
      </c>
      <c r="U1832" s="15">
        <f ca="1">IFERROR(__xludf.DUMMYFUNCTION("GOOGLEFINANCE(C1832,""PRICE"")"),541)</f>
        <v>541</v>
      </c>
      <c r="V1832" s="13" t="s">
        <v>5787</v>
      </c>
      <c r="W1832" s="7">
        <f ca="1">U1832/T1832-1</f>
        <v>-3.3928571428571419E-2</v>
      </c>
      <c r="X1832" s="8"/>
      <c r="Y1832" s="8"/>
      <c r="Z1832" s="8"/>
      <c r="AA1832" s="8"/>
      <c r="AB1832" s="8"/>
    </row>
    <row r="1833" spans="1:28" ht="14.4" hidden="1">
      <c r="A1833" s="3">
        <f>LOOKUP(D1833,'AMFI DATA_2023H2'!F:L,'AMFI DATA_2023H2'!L:L)</f>
        <v>49</v>
      </c>
      <c r="B1833" s="4" t="s">
        <v>156</v>
      </c>
      <c r="C1833" s="4" t="s">
        <v>157</v>
      </c>
      <c r="D1833" s="5" t="s">
        <v>158</v>
      </c>
      <c r="E1833" s="5">
        <v>91870.51</v>
      </c>
      <c r="F1833" s="6">
        <f>LOOKUP(D1833,'AMFI DATA_2023H2'!F:J,'AMFI DATA_2023H2'!J:J)</f>
        <v>122903.07755</v>
      </c>
      <c r="G1833" s="7">
        <f t="shared" si="16"/>
        <v>0.35219559438932868</v>
      </c>
      <c r="H1833" s="8">
        <v>166189</v>
      </c>
      <c r="I1833" s="8">
        <v>163701</v>
      </c>
      <c r="J1833" s="8">
        <v>159225</v>
      </c>
      <c r="K1833" s="8">
        <v>161103</v>
      </c>
      <c r="L1833" s="8">
        <v>161362</v>
      </c>
      <c r="M1833" s="8">
        <v>160713</v>
      </c>
      <c r="N1833" s="8">
        <v>161096</v>
      </c>
      <c r="O1833" s="8">
        <v>160654</v>
      </c>
      <c r="P1833" s="8">
        <v>162599</v>
      </c>
      <c r="Q1833" s="8">
        <v>160921</v>
      </c>
      <c r="R1833" s="7">
        <f t="shared" si="17"/>
        <v>0.31612896295614346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</row>
    <row r="1834" spans="1:28" ht="14.4" hidden="1">
      <c r="A1834" s="3">
        <f>LOOKUP(D1834,'AMFI DATA_2023H2'!F:L,'AMFI DATA_2023H2'!L:L)</f>
        <v>1084</v>
      </c>
      <c r="B1834" s="4" t="s">
        <v>3077</v>
      </c>
      <c r="C1834" s="4" t="s">
        <v>3078</v>
      </c>
      <c r="D1834" s="5" t="s">
        <v>3079</v>
      </c>
      <c r="E1834" s="5">
        <v>725.56</v>
      </c>
      <c r="F1834" s="6">
        <f>LOOKUP(D1834,'AMFI DATA_2023H2'!F:J,'AMFI DATA_2023H2'!J:J)</f>
        <v>1377.2135499999999</v>
      </c>
      <c r="G1834" s="7">
        <f t="shared" si="16"/>
        <v>0.19153634525306562</v>
      </c>
      <c r="H1834" s="8">
        <v>1641</v>
      </c>
      <c r="I1834" s="8">
        <v>1655</v>
      </c>
      <c r="J1834" s="8">
        <v>1617</v>
      </c>
      <c r="K1834" s="8">
        <v>1582</v>
      </c>
      <c r="L1834" s="8">
        <v>1626</v>
      </c>
      <c r="M1834" s="8">
        <v>1523</v>
      </c>
      <c r="N1834" s="8">
        <v>1518</v>
      </c>
      <c r="O1834" s="8">
        <v>1541</v>
      </c>
      <c r="P1834" s="8">
        <v>1589</v>
      </c>
      <c r="Q1834" s="8">
        <v>1578</v>
      </c>
      <c r="R1834" s="7">
        <f t="shared" si="17"/>
        <v>0.15232673974199584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</row>
    <row r="1835" spans="1:28" ht="14.4" hidden="1">
      <c r="A1835" s="3">
        <f>LOOKUP(D1835,'AMFI DATA_2023H2'!F:L,'AMFI DATA_2023H2'!L:L)</f>
        <v>2554</v>
      </c>
      <c r="B1835" s="4" t="s">
        <v>5341</v>
      </c>
      <c r="C1835" s="4" t="s">
        <v>5342</v>
      </c>
      <c r="D1835" s="5" t="s">
        <v>5343</v>
      </c>
      <c r="E1835" s="5">
        <v>65.31</v>
      </c>
      <c r="F1835" s="6">
        <f>LOOKUP(D1835,'AMFI DATA_2023H2'!F:J,'AMFI DATA_2023H2'!J:J)</f>
        <v>74.243849999999995</v>
      </c>
      <c r="G1835" s="7">
        <f t="shared" si="16"/>
        <v>0.26340430890908806</v>
      </c>
      <c r="H1835" s="9">
        <v>93.8</v>
      </c>
      <c r="I1835" s="9">
        <v>95.1</v>
      </c>
      <c r="J1835" s="9">
        <v>89</v>
      </c>
      <c r="K1835" s="9">
        <v>90.9</v>
      </c>
      <c r="L1835" s="9">
        <v>91.5</v>
      </c>
      <c r="M1835" s="9">
        <v>86.1</v>
      </c>
      <c r="N1835" s="9">
        <v>82</v>
      </c>
      <c r="O1835" s="9">
        <v>80</v>
      </c>
      <c r="P1835" s="9">
        <v>78.3</v>
      </c>
      <c r="Q1835" s="9">
        <v>75.400000000000006</v>
      </c>
      <c r="R1835" s="7">
        <f t="shared" si="17"/>
        <v>0.16117361909437622</v>
      </c>
      <c r="S1835" s="9"/>
      <c r="T1835" s="9"/>
      <c r="U1835" s="9"/>
      <c r="V1835" s="9"/>
      <c r="W1835" s="9"/>
      <c r="X1835" s="9"/>
      <c r="Y1835" s="9"/>
      <c r="Z1835" s="9"/>
      <c r="AA1835" s="9"/>
      <c r="AB1835" s="9"/>
    </row>
    <row r="1836" spans="1:28" ht="14.4" hidden="1">
      <c r="A1836" s="3">
        <f>LOOKUP(D1836,'AMFI DATA_2023H2'!F:L,'AMFI DATA_2023H2'!L:L)</f>
        <v>3075</v>
      </c>
      <c r="B1836" s="4" t="s">
        <v>5575</v>
      </c>
      <c r="C1836" s="4" t="s">
        <v>5576</v>
      </c>
      <c r="D1836" s="5" t="s">
        <v>5577</v>
      </c>
      <c r="E1836" s="5">
        <v>28.58</v>
      </c>
      <c r="F1836" s="6">
        <f>LOOKUP(D1836,'AMFI DATA_2023H2'!F:J,'AMFI DATA_2023H2'!J:J)</f>
        <v>34.019100000000002</v>
      </c>
      <c r="G1836" s="7">
        <f t="shared" si="16"/>
        <v>-0.16223533250438726</v>
      </c>
      <c r="H1836" s="9">
        <v>28.5</v>
      </c>
      <c r="I1836" s="9">
        <v>29.4</v>
      </c>
      <c r="J1836" s="9">
        <v>26.6</v>
      </c>
      <c r="K1836" s="9">
        <v>26.6</v>
      </c>
      <c r="L1836" s="9">
        <v>26.6</v>
      </c>
      <c r="M1836" s="9">
        <v>26.6</v>
      </c>
      <c r="N1836" s="9">
        <v>25.7</v>
      </c>
      <c r="O1836" s="9">
        <v>26.6</v>
      </c>
      <c r="P1836" s="9">
        <v>26.6</v>
      </c>
      <c r="Q1836" s="9">
        <v>26.6</v>
      </c>
      <c r="R1836" s="7">
        <f t="shared" si="17"/>
        <v>-0.20691611477082006</v>
      </c>
      <c r="S1836" s="9"/>
      <c r="T1836" s="9"/>
      <c r="U1836" s="9"/>
      <c r="V1836" s="9"/>
      <c r="W1836" s="9"/>
      <c r="X1836" s="9"/>
      <c r="Y1836" s="9"/>
      <c r="Z1836" s="9"/>
      <c r="AA1836" s="9"/>
      <c r="AB1836" s="9"/>
    </row>
    <row r="1837" spans="1:28" ht="14.4" hidden="1">
      <c r="A1837" s="3">
        <f>LOOKUP(D1837,'AMFI DATA_2023H2'!F:L,'AMFI DATA_2023H2'!L:L)</f>
        <v>198</v>
      </c>
      <c r="B1837" s="4" t="s">
        <v>603</v>
      </c>
      <c r="C1837" s="4" t="s">
        <v>604</v>
      </c>
      <c r="D1837" s="5" t="s">
        <v>605</v>
      </c>
      <c r="E1837" s="5">
        <v>29960</v>
      </c>
      <c r="F1837" s="6">
        <f>LOOKUP(D1837,'AMFI DATA_2023H2'!F:J,'AMFI DATA_2023H2'!J:J)</f>
        <v>31440.962149999999</v>
      </c>
      <c r="G1837" s="7">
        <f t="shared" si="16"/>
        <v>-6.5232168793536771E-2</v>
      </c>
      <c r="H1837" s="8">
        <v>29390</v>
      </c>
      <c r="I1837" s="8">
        <v>30078</v>
      </c>
      <c r="J1837" s="8">
        <v>30559</v>
      </c>
      <c r="K1837" s="8">
        <v>31000</v>
      </c>
      <c r="L1837" s="8">
        <v>31017</v>
      </c>
      <c r="M1837" s="8">
        <v>30951</v>
      </c>
      <c r="N1837" s="8">
        <v>30642</v>
      </c>
      <c r="O1837" s="8">
        <v>31422</v>
      </c>
      <c r="P1837" s="8">
        <v>31220</v>
      </c>
      <c r="Q1837" s="8">
        <v>31042</v>
      </c>
      <c r="R1837" s="7">
        <f t="shared" si="17"/>
        <v>-2.2545816079613812E-2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</row>
    <row r="1838" spans="1:28" ht="14.4" hidden="1">
      <c r="A1838" s="3">
        <f>LOOKUP(D1838,'AMFI DATA_2023H2'!F:L,'AMFI DATA_2023H2'!L:L)</f>
        <v>67</v>
      </c>
      <c r="B1838" s="4" t="s">
        <v>213</v>
      </c>
      <c r="C1838" s="4" t="s">
        <v>214</v>
      </c>
      <c r="D1838" s="5" t="s">
        <v>215</v>
      </c>
      <c r="E1838" s="5">
        <v>108408.8</v>
      </c>
      <c r="F1838" s="6">
        <f>LOOKUP(D1838,'AMFI DATA_2023H2'!F:J,'AMFI DATA_2023H2'!J:J)</f>
        <v>90717.803899999999</v>
      </c>
      <c r="G1838" s="7">
        <f t="shared" si="16"/>
        <v>8.9334130144215207E-2</v>
      </c>
      <c r="H1838" s="8">
        <v>98822</v>
      </c>
      <c r="I1838" s="8">
        <v>98933</v>
      </c>
      <c r="J1838" s="8">
        <v>98004</v>
      </c>
      <c r="K1838" s="8">
        <v>95960</v>
      </c>
      <c r="L1838" s="8">
        <v>95588</v>
      </c>
      <c r="M1838" s="8">
        <v>96090</v>
      </c>
      <c r="N1838" s="8">
        <v>95718</v>
      </c>
      <c r="O1838" s="8">
        <v>93822</v>
      </c>
      <c r="P1838" s="8">
        <v>97279</v>
      </c>
      <c r="Q1838" s="8">
        <v>96554</v>
      </c>
      <c r="R1838" s="7">
        <f t="shared" si="17"/>
        <v>6.5689377870841614E-2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</row>
    <row r="1839" spans="1:28" ht="14.4" hidden="1">
      <c r="A1839" s="3">
        <f>LOOKUP(D1839,'AMFI DATA_2023H2'!F:L,'AMFI DATA_2023H2'!L:L)</f>
        <v>816</v>
      </c>
      <c r="B1839" s="4" t="s">
        <v>2369</v>
      </c>
      <c r="C1839" s="4" t="s">
        <v>2370</v>
      </c>
      <c r="D1839" s="5" t="s">
        <v>2371</v>
      </c>
      <c r="E1839" s="5">
        <v>2362.35</v>
      </c>
      <c r="F1839" s="6">
        <f>LOOKUP(D1839,'AMFI DATA_2023H2'!F:J,'AMFI DATA_2023H2'!J:J)</f>
        <v>2754.6693999999998</v>
      </c>
      <c r="G1839" s="7">
        <f t="shared" si="16"/>
        <v>2.553141222681754E-2</v>
      </c>
      <c r="H1839" s="8">
        <v>2825</v>
      </c>
      <c r="I1839" s="8">
        <v>2798</v>
      </c>
      <c r="J1839" s="8">
        <v>2813</v>
      </c>
      <c r="K1839" s="8">
        <v>2750</v>
      </c>
      <c r="L1839" s="8">
        <v>2759</v>
      </c>
      <c r="M1839" s="8">
        <v>2749</v>
      </c>
      <c r="N1839" s="8">
        <v>2768</v>
      </c>
      <c r="O1839" s="8">
        <v>2753</v>
      </c>
      <c r="P1839" s="8">
        <v>2738</v>
      </c>
      <c r="Q1839" s="8">
        <v>2727</v>
      </c>
      <c r="R1839" s="7">
        <f t="shared" si="17"/>
        <v>4.8392739978162513E-3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</row>
    <row r="1840" spans="1:28" ht="14.4" hidden="1">
      <c r="A1840" s="3">
        <f>LOOKUP(D1840,'AMFI DATA_2023H2'!F:L,'AMFI DATA_2023H2'!L:L)</f>
        <v>817</v>
      </c>
      <c r="B1840" s="4" t="s">
        <v>2372</v>
      </c>
      <c r="C1840" s="4" t="s">
        <v>2373</v>
      </c>
      <c r="D1840" s="5" t="s">
        <v>2374</v>
      </c>
      <c r="E1840" s="5">
        <v>1724.58</v>
      </c>
      <c r="F1840" s="6">
        <f>LOOKUP(D1840,'AMFI DATA_2023H2'!F:J,'AMFI DATA_2023H2'!J:J)</f>
        <v>2747.3173500000003</v>
      </c>
      <c r="G1840" s="7">
        <f t="shared" si="16"/>
        <v>4.2471485866021119E-2</v>
      </c>
      <c r="H1840" s="8">
        <v>2864</v>
      </c>
      <c r="I1840" s="8">
        <v>2804</v>
      </c>
      <c r="J1840" s="8">
        <v>2799</v>
      </c>
      <c r="K1840" s="8">
        <v>2856</v>
      </c>
      <c r="L1840" s="8">
        <v>2890</v>
      </c>
      <c r="M1840" s="8">
        <v>2843</v>
      </c>
      <c r="N1840" s="8">
        <v>2757</v>
      </c>
      <c r="O1840" s="8">
        <v>2770</v>
      </c>
      <c r="P1840" s="8">
        <v>2786</v>
      </c>
      <c r="Q1840" s="8">
        <v>2787</v>
      </c>
      <c r="R1840" s="7">
        <f t="shared" si="17"/>
        <v>2.4854300141190278E-2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</row>
    <row r="1841" spans="1:28" ht="14.4" hidden="1">
      <c r="A1841" s="3">
        <f>LOOKUP(D1841,'AMFI DATA_2023H2'!F:L,'AMFI DATA_2023H2'!L:L)</f>
        <v>1627</v>
      </c>
      <c r="B1841" s="4" t="s">
        <v>4202</v>
      </c>
      <c r="C1841" s="4" t="s">
        <v>4203</v>
      </c>
      <c r="D1841" s="5" t="s">
        <v>4204</v>
      </c>
      <c r="E1841" s="5">
        <v>251.36</v>
      </c>
      <c r="F1841" s="6">
        <f>LOOKUP(D1841,'AMFI DATA_2023H2'!F:J,'AMFI DATA_2023H2'!J:J)</f>
        <v>385.53549999999996</v>
      </c>
      <c r="G1841" s="7">
        <f t="shared" si="16"/>
        <v>0.43177476522914238</v>
      </c>
      <c r="H1841" s="9">
        <v>552</v>
      </c>
      <c r="I1841" s="9">
        <v>554</v>
      </c>
      <c r="J1841" s="9">
        <v>551</v>
      </c>
      <c r="K1841" s="9">
        <v>535</v>
      </c>
      <c r="L1841" s="9">
        <v>539</v>
      </c>
      <c r="M1841" s="9">
        <v>542</v>
      </c>
      <c r="N1841" s="9">
        <v>551</v>
      </c>
      <c r="O1841" s="9">
        <v>529</v>
      </c>
      <c r="P1841" s="9">
        <v>528</v>
      </c>
      <c r="Q1841" s="9">
        <v>521</v>
      </c>
      <c r="R1841" s="7">
        <f t="shared" si="17"/>
        <v>0.40116798582750524</v>
      </c>
      <c r="S1841" s="9"/>
      <c r="T1841" s="9"/>
      <c r="U1841" s="9"/>
      <c r="V1841" s="9"/>
      <c r="W1841" s="9"/>
      <c r="X1841" s="9"/>
      <c r="Y1841" s="9"/>
      <c r="Z1841" s="9"/>
      <c r="AA1841" s="9"/>
      <c r="AB1841" s="9"/>
    </row>
    <row r="1842" spans="1:28" ht="14.4" hidden="1">
      <c r="A1842" s="3">
        <f>LOOKUP(D1842,'AMFI DATA_2023H2'!F:L,'AMFI DATA_2023H2'!L:L)</f>
        <v>1066</v>
      </c>
      <c r="B1842" s="4" t="s">
        <v>3032</v>
      </c>
      <c r="C1842" s="4" t="s">
        <v>3033</v>
      </c>
      <c r="D1842" s="5" t="s">
        <v>3034</v>
      </c>
      <c r="E1842" s="5">
        <v>1240.8900000000001</v>
      </c>
      <c r="F1842" s="6">
        <f>LOOKUP(D1842,'AMFI DATA_2023H2'!F:J,'AMFI DATA_2023H2'!J:J)</f>
        <v>1423.7896999999998</v>
      </c>
      <c r="G1842" s="7">
        <f t="shared" si="16"/>
        <v>0.34359730232631991</v>
      </c>
      <c r="H1842" s="8">
        <v>1913</v>
      </c>
      <c r="I1842" s="8">
        <v>1989</v>
      </c>
      <c r="J1842" s="8">
        <v>1980</v>
      </c>
      <c r="K1842" s="8">
        <v>1966</v>
      </c>
      <c r="L1842" s="8">
        <v>2005</v>
      </c>
      <c r="M1842" s="8">
        <v>1986</v>
      </c>
      <c r="N1842" s="8">
        <v>2003</v>
      </c>
      <c r="O1842" s="8">
        <v>2063</v>
      </c>
      <c r="P1842" s="8">
        <v>1993</v>
      </c>
      <c r="Q1842" s="8">
        <v>2076</v>
      </c>
      <c r="R1842" s="7">
        <f t="shared" si="17"/>
        <v>0.40287571963752811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</row>
    <row r="1843" spans="1:28" ht="14.4" hidden="1">
      <c r="A1843" s="3">
        <f>LOOKUP(D1843,'AMFI DATA_2023H2'!F:L,'AMFI DATA_2023H2'!L:L)</f>
        <v>1622</v>
      </c>
      <c r="B1843" s="4" t="s">
        <v>4193</v>
      </c>
      <c r="C1843" s="4" t="s">
        <v>4194</v>
      </c>
      <c r="D1843" s="5" t="s">
        <v>4195</v>
      </c>
      <c r="E1843" s="5">
        <v>271.64999999999998</v>
      </c>
      <c r="F1843" s="6">
        <f>LOOKUP(D1843,'AMFI DATA_2023H2'!F:J,'AMFI DATA_2023H2'!J:J)</f>
        <v>387.68770000000001</v>
      </c>
      <c r="G1843" s="7">
        <f t="shared" si="16"/>
        <v>0.73335393410727234</v>
      </c>
      <c r="H1843" s="9">
        <v>672</v>
      </c>
      <c r="I1843" s="9">
        <v>640</v>
      </c>
      <c r="J1843" s="9">
        <v>625</v>
      </c>
      <c r="K1843" s="9">
        <v>631</v>
      </c>
      <c r="L1843" s="9">
        <v>655</v>
      </c>
      <c r="M1843" s="9">
        <v>652</v>
      </c>
      <c r="N1843" s="9">
        <v>658</v>
      </c>
      <c r="O1843" s="9">
        <v>655</v>
      </c>
      <c r="P1843" s="9">
        <v>662</v>
      </c>
      <c r="Q1843" s="9">
        <v>685</v>
      </c>
      <c r="R1843" s="7">
        <f t="shared" si="17"/>
        <v>0.68563511300461677</v>
      </c>
      <c r="S1843" s="9"/>
      <c r="T1843" s="9"/>
      <c r="U1843" s="9"/>
      <c r="V1843" s="9"/>
      <c r="W1843" s="9"/>
      <c r="X1843" s="9"/>
      <c r="Y1843" s="9"/>
      <c r="Z1843" s="9"/>
      <c r="AA1843" s="9"/>
      <c r="AB1843" s="9"/>
    </row>
    <row r="1844" spans="1:28" ht="14.4" hidden="1">
      <c r="A1844" s="3">
        <f>LOOKUP(D1844,'AMFI DATA_2023H2'!F:L,'AMFI DATA_2023H2'!L:L)</f>
        <v>534</v>
      </c>
      <c r="B1844" s="4" t="s">
        <v>1581</v>
      </c>
      <c r="C1844" s="4" t="s">
        <v>1582</v>
      </c>
      <c r="D1844" s="5" t="s">
        <v>1583</v>
      </c>
      <c r="E1844" s="5">
        <v>3740.32</v>
      </c>
      <c r="F1844" s="6">
        <f>LOOKUP(D1844,'AMFI DATA_2023H2'!F:J,'AMFI DATA_2023H2'!J:J)</f>
        <v>6716.7369500000004</v>
      </c>
      <c r="G1844" s="7">
        <f t="shared" si="16"/>
        <v>7.2991253587800564E-2</v>
      </c>
      <c r="H1844" s="8">
        <v>7207</v>
      </c>
      <c r="I1844" s="8">
        <v>7126</v>
      </c>
      <c r="J1844" s="8">
        <v>7167</v>
      </c>
      <c r="K1844" s="8">
        <v>7269</v>
      </c>
      <c r="L1844" s="8">
        <v>7290</v>
      </c>
      <c r="M1844" s="8">
        <v>7283</v>
      </c>
      <c r="N1844" s="8">
        <v>7265</v>
      </c>
      <c r="O1844" s="8">
        <v>7267</v>
      </c>
      <c r="P1844" s="8">
        <v>7231</v>
      </c>
      <c r="Q1844" s="8">
        <v>7283</v>
      </c>
      <c r="R1844" s="7">
        <f t="shared" si="17"/>
        <v>7.7725695361644309E-2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</row>
    <row r="1845" spans="1:28" ht="14.4" hidden="1">
      <c r="A1845" s="3">
        <f>LOOKUP(D1845,'AMFI DATA_2023H2'!F:L,'AMFI DATA_2023H2'!L:L)</f>
        <v>1884</v>
      </c>
      <c r="B1845" s="4" t="s">
        <v>4583</v>
      </c>
      <c r="C1845" s="4" t="s">
        <v>4584</v>
      </c>
      <c r="D1845" s="5" t="s">
        <v>4585</v>
      </c>
      <c r="E1845" s="5">
        <v>184.83</v>
      </c>
      <c r="F1845" s="6">
        <f>LOOKUP(D1845,'AMFI DATA_2023H2'!F:J,'AMFI DATA_2023H2'!J:J)</f>
        <v>230.36110000000002</v>
      </c>
      <c r="G1845" s="7">
        <f t="shared" si="16"/>
        <v>4.1842568037745886E-2</v>
      </c>
      <c r="H1845" s="9">
        <v>240</v>
      </c>
      <c r="I1845" s="9">
        <v>231</v>
      </c>
      <c r="J1845" s="9">
        <v>229</v>
      </c>
      <c r="K1845" s="9">
        <v>222</v>
      </c>
      <c r="L1845" s="9">
        <v>221</v>
      </c>
      <c r="M1845" s="9">
        <v>220</v>
      </c>
      <c r="N1845" s="9">
        <v>222</v>
      </c>
      <c r="O1845" s="9">
        <v>223</v>
      </c>
      <c r="P1845" s="9">
        <v>222</v>
      </c>
      <c r="Q1845" s="9">
        <v>223</v>
      </c>
      <c r="R1845" s="7">
        <f t="shared" si="17"/>
        <v>-2.1970289254566011E-2</v>
      </c>
      <c r="S1845" s="9"/>
      <c r="T1845" s="9"/>
      <c r="U1845" s="9"/>
      <c r="V1845" s="9"/>
      <c r="W1845" s="9"/>
      <c r="X1845" s="9"/>
      <c r="Y1845" s="9"/>
      <c r="Z1845" s="9"/>
      <c r="AA1845" s="9"/>
      <c r="AB1845" s="9"/>
    </row>
    <row r="1846" spans="1:28" ht="14.4" hidden="1">
      <c r="A1846" s="3">
        <f>LOOKUP(D1846,'AMFI DATA_2023H2'!F:L,'AMFI DATA_2023H2'!L:L)</f>
        <v>341</v>
      </c>
      <c r="B1846" s="4" t="s">
        <v>1032</v>
      </c>
      <c r="C1846" s="4" t="s">
        <v>1033</v>
      </c>
      <c r="D1846" s="5" t="s">
        <v>1034</v>
      </c>
      <c r="E1846" s="5">
        <v>10901.71</v>
      </c>
      <c r="F1846" s="6">
        <f>LOOKUP(D1846,'AMFI DATA_2023H2'!F:J,'AMFI DATA_2023H2'!J:J)</f>
        <v>12883.231400000001</v>
      </c>
      <c r="G1846" s="7">
        <f t="shared" si="16"/>
        <v>-7.4695079993672975E-3</v>
      </c>
      <c r="H1846" s="8">
        <v>12787</v>
      </c>
      <c r="I1846" s="8">
        <v>12798</v>
      </c>
      <c r="J1846" s="8">
        <v>12776</v>
      </c>
      <c r="K1846" s="8">
        <v>12555</v>
      </c>
      <c r="L1846" s="8">
        <v>12640</v>
      </c>
      <c r="M1846" s="8">
        <v>12663</v>
      </c>
      <c r="N1846" s="8">
        <v>12325</v>
      </c>
      <c r="O1846" s="8">
        <v>12535</v>
      </c>
      <c r="P1846" s="8">
        <v>12571</v>
      </c>
      <c r="Q1846" s="8">
        <v>12715</v>
      </c>
      <c r="R1846" s="7">
        <f t="shared" si="17"/>
        <v>-1.9151359805584245E-2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</row>
    <row r="1847" spans="1:28" ht="14.4" hidden="1">
      <c r="A1847" s="3">
        <f>LOOKUP(D1847,'AMFI DATA_2023H2'!F:L,'AMFI DATA_2023H2'!L:L)</f>
        <v>921</v>
      </c>
      <c r="B1847" s="4" t="s">
        <v>2660</v>
      </c>
      <c r="C1847" s="4" t="s">
        <v>2661</v>
      </c>
      <c r="D1847" s="5" t="s">
        <v>2662</v>
      </c>
      <c r="E1847" s="5">
        <v>1778.87</v>
      </c>
      <c r="F1847" s="6">
        <f>LOOKUP(D1847,'AMFI DATA_2023H2'!F:J,'AMFI DATA_2023H2'!J:J)</f>
        <v>2087.2562499999999</v>
      </c>
      <c r="G1847" s="7">
        <f t="shared" si="16"/>
        <v>5.1473076197521284E-3</v>
      </c>
      <c r="H1847" s="8">
        <v>2098</v>
      </c>
      <c r="I1847" s="8">
        <v>2098</v>
      </c>
      <c r="J1847" s="8">
        <v>2117</v>
      </c>
      <c r="K1847" s="8">
        <v>2045</v>
      </c>
      <c r="L1847" s="8">
        <v>2064</v>
      </c>
      <c r="M1847" s="8">
        <v>2085</v>
      </c>
      <c r="N1847" s="8">
        <v>2066</v>
      </c>
      <c r="O1847" s="8">
        <v>2063</v>
      </c>
      <c r="P1847" s="8">
        <v>2076</v>
      </c>
      <c r="Q1847" s="8">
        <v>2049</v>
      </c>
      <c r="R1847" s="7">
        <f t="shared" si="17"/>
        <v>-5.3449354864789633E-3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</row>
    <row r="1848" spans="1:28" ht="14.4">
      <c r="A1848" s="3">
        <f>LOOKUP(D1848,'AMFI DATA_2023H2'!F:L,'AMFI DATA_2023H2'!L:L)</f>
        <v>596</v>
      </c>
      <c r="B1848" s="4" t="s">
        <v>1758</v>
      </c>
      <c r="C1848" s="4" t="s">
        <v>1759</v>
      </c>
      <c r="D1848" s="5" t="s">
        <v>1760</v>
      </c>
      <c r="E1848" s="5">
        <v>4076.04</v>
      </c>
      <c r="F1848" s="6">
        <f>LOOKUP(D1848,'AMFI DATA_2023H2'!F:J,'AMFI DATA_2023H2'!J:J)</f>
        <v>5444.7392999999993</v>
      </c>
      <c r="G1848" s="7">
        <f t="shared" si="16"/>
        <v>0.26433969024008208</v>
      </c>
      <c r="H1848" s="8">
        <v>6884</v>
      </c>
      <c r="I1848" s="8">
        <v>6813</v>
      </c>
      <c r="J1848" s="8">
        <v>6785</v>
      </c>
      <c r="K1848" s="8">
        <v>6921</v>
      </c>
      <c r="L1848" s="8">
        <v>6910</v>
      </c>
      <c r="M1848" s="8">
        <v>6861</v>
      </c>
      <c r="N1848" s="8">
        <v>6716</v>
      </c>
      <c r="O1848" s="8">
        <v>6602</v>
      </c>
      <c r="P1848" s="8">
        <v>6459</v>
      </c>
      <c r="Q1848" s="8">
        <v>6554</v>
      </c>
      <c r="R1848" s="14">
        <f t="shared" si="17"/>
        <v>0.23982060996015009</v>
      </c>
      <c r="S1848" s="8"/>
      <c r="T1848" s="8">
        <v>674.25</v>
      </c>
      <c r="U1848" s="15">
        <f ca="1">IFERROR(__xludf.DUMMYFUNCTION("GOOGLEFINANCE(C1848,""PRICE"")"),650)</f>
        <v>650</v>
      </c>
      <c r="V1848" s="13" t="s">
        <v>5787</v>
      </c>
      <c r="W1848" s="7">
        <f ca="1">U1848/T1848-1</f>
        <v>-3.5965888023730019E-2</v>
      </c>
      <c r="X1848" s="8"/>
      <c r="Y1848" s="8"/>
      <c r="Z1848" s="8"/>
      <c r="AA1848" s="8"/>
      <c r="AB1848" s="8"/>
    </row>
    <row r="1849" spans="1:28" ht="14.4" hidden="1">
      <c r="A1849" s="3">
        <f>LOOKUP(D1849,'AMFI DATA_2023H2'!F:L,'AMFI DATA_2023H2'!L:L)</f>
        <v>3611</v>
      </c>
      <c r="B1849" s="4" t="s">
        <v>5713</v>
      </c>
      <c r="C1849" s="4" t="s">
        <v>5714</v>
      </c>
      <c r="D1849" s="5" t="s">
        <v>5715</v>
      </c>
      <c r="E1849" s="5">
        <v>19.93</v>
      </c>
      <c r="F1849" s="6">
        <f>LOOKUP(D1849,'AMFI DATA_2023H2'!F:J,'AMFI DATA_2023H2'!J:J)</f>
        <v>15.193000000000001</v>
      </c>
      <c r="G1849" s="7">
        <f t="shared" si="16"/>
        <v>0.19792009478049089</v>
      </c>
      <c r="H1849" s="9">
        <v>18.2</v>
      </c>
      <c r="I1849" s="9">
        <v>18.2</v>
      </c>
      <c r="J1849" s="9">
        <v>17.8</v>
      </c>
      <c r="K1849" s="9">
        <v>17.2</v>
      </c>
      <c r="L1849" s="9">
        <v>16.2</v>
      </c>
      <c r="M1849" s="9">
        <v>15.8</v>
      </c>
      <c r="N1849" s="9">
        <v>15.9</v>
      </c>
      <c r="O1849" s="9">
        <v>16.100000000000001</v>
      </c>
      <c r="P1849" s="9">
        <v>16.100000000000001</v>
      </c>
      <c r="Q1849" s="9">
        <v>16.5</v>
      </c>
      <c r="R1849" s="7">
        <f t="shared" si="17"/>
        <v>0.10577239518199155</v>
      </c>
      <c r="S1849" s="9"/>
      <c r="T1849" s="9"/>
      <c r="U1849" s="9"/>
      <c r="V1849" s="9"/>
      <c r="W1849" s="9"/>
      <c r="X1849" s="9"/>
      <c r="Y1849" s="9"/>
      <c r="Z1849" s="9"/>
      <c r="AA1849" s="9"/>
      <c r="AB1849" s="9"/>
    </row>
    <row r="1850" spans="1:28" ht="14.4" hidden="1">
      <c r="A1850" s="3">
        <f>LOOKUP(D1850,'AMFI DATA_2023H2'!F:L,'AMFI DATA_2023H2'!L:L)</f>
        <v>1601</v>
      </c>
      <c r="B1850" s="4" t="s">
        <v>4145</v>
      </c>
      <c r="C1850" s="4" t="s">
        <v>4146</v>
      </c>
      <c r="D1850" s="5" t="s">
        <v>4147</v>
      </c>
      <c r="E1850" s="5">
        <v>289.75</v>
      </c>
      <c r="F1850" s="6">
        <f>LOOKUP(D1850,'AMFI DATA_2023H2'!F:J,'AMFI DATA_2023H2'!J:J)</f>
        <v>413.27774999999997</v>
      </c>
      <c r="G1850" s="7">
        <f t="shared" si="16"/>
        <v>0.35986028766368383</v>
      </c>
      <c r="H1850" s="9">
        <v>562</v>
      </c>
      <c r="I1850" s="9">
        <v>548</v>
      </c>
      <c r="J1850" s="9">
        <v>533</v>
      </c>
      <c r="K1850" s="9">
        <v>509</v>
      </c>
      <c r="L1850" s="9">
        <v>497</v>
      </c>
      <c r="M1850" s="9">
        <v>497</v>
      </c>
      <c r="N1850" s="9">
        <v>510</v>
      </c>
      <c r="O1850" s="9">
        <v>508</v>
      </c>
      <c r="P1850" s="9">
        <v>516</v>
      </c>
      <c r="Q1850" s="9">
        <v>535</v>
      </c>
      <c r="R1850" s="7">
        <f t="shared" si="17"/>
        <v>0.26186323846372095</v>
      </c>
      <c r="S1850" s="9"/>
      <c r="T1850" s="9"/>
      <c r="U1850" s="9"/>
      <c r="V1850" s="9"/>
      <c r="W1850" s="9"/>
      <c r="X1850" s="9"/>
      <c r="Y1850" s="9"/>
      <c r="Z1850" s="9"/>
      <c r="AA1850" s="9"/>
      <c r="AB1850" s="9"/>
    </row>
    <row r="1851" spans="1:28" ht="14.4" hidden="1">
      <c r="A1851" s="3">
        <f>LOOKUP(D1851,'AMFI DATA_2023H2'!F:L,'AMFI DATA_2023H2'!L:L)</f>
        <v>1386</v>
      </c>
      <c r="B1851" s="4" t="s">
        <v>3743</v>
      </c>
      <c r="C1851" s="4" t="s">
        <v>3744</v>
      </c>
      <c r="D1851" s="5" t="s">
        <v>3745</v>
      </c>
      <c r="E1851" s="5">
        <v>516.4</v>
      </c>
      <c r="F1851" s="6">
        <f>LOOKUP(D1851,'AMFI DATA_2023H2'!F:J,'AMFI DATA_2023H2'!J:J)</f>
        <v>657.57534353000005</v>
      </c>
      <c r="G1851" s="7">
        <f t="shared" si="16"/>
        <v>0.28958606545032706</v>
      </c>
      <c r="H1851" s="9">
        <v>848</v>
      </c>
      <c r="I1851" s="9">
        <v>833</v>
      </c>
      <c r="J1851" s="9">
        <v>743</v>
      </c>
      <c r="K1851" s="9">
        <v>747</v>
      </c>
      <c r="L1851" s="9">
        <v>713</v>
      </c>
      <c r="M1851" s="9">
        <v>713</v>
      </c>
      <c r="N1851" s="9">
        <v>713</v>
      </c>
      <c r="O1851" s="9">
        <v>711</v>
      </c>
      <c r="P1851" s="9">
        <v>713</v>
      </c>
      <c r="Q1851" s="9">
        <v>718</v>
      </c>
      <c r="R1851" s="7">
        <f t="shared" si="17"/>
        <v>0.13325416978016968</v>
      </c>
      <c r="S1851" s="9"/>
      <c r="T1851" s="9"/>
      <c r="U1851" s="9"/>
      <c r="V1851" s="9"/>
      <c r="W1851" s="9"/>
      <c r="X1851" s="9"/>
      <c r="Y1851" s="9"/>
      <c r="Z1851" s="9"/>
      <c r="AA1851" s="9"/>
      <c r="AB1851" s="9"/>
    </row>
    <row r="1852" spans="1:28" ht="14.4" hidden="1">
      <c r="A1852" s="3">
        <f>LOOKUP(D1852,'AMFI DATA_2023H2'!F:L,'AMFI DATA_2023H2'!L:L)</f>
        <v>1191</v>
      </c>
      <c r="B1852" s="4" t="s">
        <v>3326</v>
      </c>
      <c r="C1852" s="4" t="s">
        <v>3327</v>
      </c>
      <c r="D1852" s="5" t="s">
        <v>3328</v>
      </c>
      <c r="E1852" s="5">
        <v>815.99</v>
      </c>
      <c r="F1852" s="6">
        <f>LOOKUP(D1852,'AMFI DATA_2023H2'!F:J,'AMFI DATA_2023H2'!J:J)</f>
        <v>1071.5772999999999</v>
      </c>
      <c r="G1852" s="7">
        <f t="shared" si="16"/>
        <v>-7.8927857094397091E-2</v>
      </c>
      <c r="H1852" s="9">
        <v>987</v>
      </c>
      <c r="I1852" s="9">
        <v>978</v>
      </c>
      <c r="J1852" s="9">
        <v>970</v>
      </c>
      <c r="K1852" s="9">
        <v>916</v>
      </c>
      <c r="L1852" s="9">
        <v>898</v>
      </c>
      <c r="M1852" s="9">
        <v>894</v>
      </c>
      <c r="N1852" s="9">
        <v>907</v>
      </c>
      <c r="O1852" s="9">
        <v>900</v>
      </c>
      <c r="P1852" s="9">
        <v>899</v>
      </c>
      <c r="Q1852" s="9">
        <v>885</v>
      </c>
      <c r="R1852" s="7">
        <f t="shared" si="17"/>
        <v>-0.13827961827858803</v>
      </c>
      <c r="S1852" s="9"/>
      <c r="T1852" s="9"/>
      <c r="U1852" s="9"/>
      <c r="V1852" s="9"/>
      <c r="W1852" s="9"/>
      <c r="X1852" s="9"/>
      <c r="Y1852" s="9"/>
      <c r="Z1852" s="9"/>
      <c r="AA1852" s="9"/>
      <c r="AB1852" s="9"/>
    </row>
    <row r="1853" spans="1:28" ht="14.4" hidden="1">
      <c r="A1853" s="3">
        <f>LOOKUP(D1853,'AMFI DATA_2023H2'!F:L,'AMFI DATA_2023H2'!L:L)</f>
        <v>283</v>
      </c>
      <c r="B1853" s="4" t="s">
        <v>858</v>
      </c>
      <c r="C1853" s="4" t="s">
        <v>859</v>
      </c>
      <c r="D1853" s="5" t="s">
        <v>860</v>
      </c>
      <c r="E1853" s="5">
        <v>19367.240000000002</v>
      </c>
      <c r="F1853" s="6">
        <f>LOOKUP(D1853,'AMFI DATA_2023H2'!F:J,'AMFI DATA_2023H2'!J:J)</f>
        <v>18498.65165</v>
      </c>
      <c r="G1853" s="7">
        <f t="shared" si="16"/>
        <v>-3.1551037396825632E-2</v>
      </c>
      <c r="H1853" s="8">
        <v>17915</v>
      </c>
      <c r="I1853" s="8">
        <v>17889</v>
      </c>
      <c r="J1853" s="8">
        <v>18067</v>
      </c>
      <c r="K1853" s="8">
        <v>18128</v>
      </c>
      <c r="L1853" s="8">
        <v>17987</v>
      </c>
      <c r="M1853" s="8">
        <v>17833</v>
      </c>
      <c r="N1853" s="8">
        <v>18013</v>
      </c>
      <c r="O1853" s="8">
        <v>18074</v>
      </c>
      <c r="P1853" s="8">
        <v>17823</v>
      </c>
      <c r="Q1853" s="8">
        <v>17623</v>
      </c>
      <c r="R1853" s="7">
        <f t="shared" si="17"/>
        <v>-3.0459065917920469E-2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</row>
    <row r="1854" spans="1:28" ht="14.4" hidden="1">
      <c r="A1854" s="3">
        <f>LOOKUP(D1854,'AMFI DATA_2023H2'!F:L,'AMFI DATA_2023H2'!L:L)</f>
        <v>833</v>
      </c>
      <c r="B1854" s="4" t="s">
        <v>2420</v>
      </c>
      <c r="C1854" s="4" t="s">
        <v>2421</v>
      </c>
      <c r="D1854" s="5" t="s">
        <v>2422</v>
      </c>
      <c r="E1854" s="5">
        <v>2089.1799999999998</v>
      </c>
      <c r="F1854" s="6">
        <f>LOOKUP(D1854,'AMFI DATA_2023H2'!F:J,'AMFI DATA_2023H2'!J:J)</f>
        <v>2643.2944499999999</v>
      </c>
      <c r="G1854" s="7">
        <f t="shared" si="16"/>
        <v>3.1667130387233344E-2</v>
      </c>
      <c r="H1854" s="8">
        <v>2727</v>
      </c>
      <c r="I1854" s="8">
        <v>2751</v>
      </c>
      <c r="J1854" s="8">
        <v>2729</v>
      </c>
      <c r="K1854" s="8">
        <v>2753</v>
      </c>
      <c r="L1854" s="8">
        <v>2649</v>
      </c>
      <c r="M1854" s="8">
        <v>2619</v>
      </c>
      <c r="N1854" s="8">
        <v>2592</v>
      </c>
      <c r="O1854" s="8">
        <v>2612</v>
      </c>
      <c r="P1854" s="8">
        <v>2640</v>
      </c>
      <c r="Q1854" s="8">
        <v>2640</v>
      </c>
      <c r="R1854" s="7">
        <f t="shared" si="17"/>
        <v>1.0557109897461503E-2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</row>
    <row r="1855" spans="1:28" ht="14.4" hidden="1">
      <c r="A1855" s="3">
        <f>LOOKUP(D1855,'AMFI DATA_2023H2'!F:L,'AMFI DATA_2023H2'!L:L)</f>
        <v>2788</v>
      </c>
      <c r="B1855" s="4" t="s">
        <v>5458</v>
      </c>
      <c r="C1855" s="4" t="s">
        <v>5459</v>
      </c>
      <c r="D1855" s="5" t="s">
        <v>5460</v>
      </c>
      <c r="E1855" s="5">
        <v>46.52</v>
      </c>
      <c r="F1855" s="6">
        <f>LOOKUP(D1855,'AMFI DATA_2023H2'!F:J,'AMFI DATA_2023H2'!J:J)</f>
        <v>52.222999999999999</v>
      </c>
      <c r="G1855" s="7">
        <f t="shared" si="16"/>
        <v>0.32508664764567352</v>
      </c>
      <c r="H1855" s="9">
        <v>69.2</v>
      </c>
      <c r="I1855" s="9">
        <v>71.099999999999994</v>
      </c>
      <c r="J1855" s="9">
        <v>71.900000000000006</v>
      </c>
      <c r="K1855" s="9">
        <v>75.7</v>
      </c>
      <c r="L1855" s="9">
        <v>75.2</v>
      </c>
      <c r="M1855" s="9">
        <v>75</v>
      </c>
      <c r="N1855" s="9">
        <v>67.400000000000006</v>
      </c>
      <c r="O1855" s="9">
        <v>64.2</v>
      </c>
      <c r="P1855" s="9">
        <v>64.8</v>
      </c>
      <c r="Q1855" s="9">
        <v>62</v>
      </c>
      <c r="R1855" s="7">
        <f t="shared" si="17"/>
        <v>0.33370354058556595</v>
      </c>
      <c r="S1855" s="9"/>
      <c r="T1855" s="9"/>
      <c r="U1855" s="9"/>
      <c r="V1855" s="9"/>
      <c r="W1855" s="9"/>
      <c r="X1855" s="9"/>
      <c r="Y1855" s="9"/>
      <c r="Z1855" s="9"/>
      <c r="AA1855" s="9"/>
      <c r="AB1855" s="9"/>
    </row>
    <row r="1856" spans="1:28" ht="14.4" hidden="1">
      <c r="A1856" s="3">
        <f>LOOKUP(D1856,'AMFI DATA_2023H2'!F:L,'AMFI DATA_2023H2'!L:L)</f>
        <v>2496</v>
      </c>
      <c r="B1856" s="4" t="s">
        <v>5290</v>
      </c>
      <c r="C1856" s="4" t="s">
        <v>5291</v>
      </c>
      <c r="D1856" s="5" t="s">
        <v>5292</v>
      </c>
      <c r="E1856" s="5">
        <v>202.83</v>
      </c>
      <c r="F1856" s="6">
        <f>LOOKUP(D1856,'AMFI DATA_2023H2'!F:J,'AMFI DATA_2023H2'!J:J)</f>
        <v>82.307999999999993</v>
      </c>
      <c r="G1856" s="7">
        <f t="shared" si="16"/>
        <v>0.23924770374690207</v>
      </c>
      <c r="H1856" s="9">
        <v>102</v>
      </c>
      <c r="I1856" s="9">
        <v>100</v>
      </c>
      <c r="J1856" s="9">
        <v>95.8</v>
      </c>
      <c r="K1856" s="9">
        <v>91.9</v>
      </c>
      <c r="L1856" s="9">
        <v>90.2</v>
      </c>
      <c r="M1856" s="9">
        <v>88.4</v>
      </c>
      <c r="N1856" s="9">
        <v>88.9</v>
      </c>
      <c r="O1856" s="9">
        <v>90.5</v>
      </c>
      <c r="P1856" s="9">
        <v>91.4</v>
      </c>
      <c r="Q1856" s="9">
        <v>89.6</v>
      </c>
      <c r="R1856" s="7">
        <f t="shared" si="17"/>
        <v>0.12832288477426279</v>
      </c>
      <c r="S1856" s="9"/>
      <c r="T1856" s="9"/>
      <c r="U1856" s="9"/>
      <c r="V1856" s="9"/>
      <c r="W1856" s="9"/>
      <c r="X1856" s="9"/>
      <c r="Y1856" s="9"/>
      <c r="Z1856" s="9"/>
      <c r="AA1856" s="9"/>
      <c r="AB1856" s="9"/>
    </row>
    <row r="1857" spans="1:28" ht="14.4" hidden="1">
      <c r="A1857" s="3">
        <f>LOOKUP(D1857,'AMFI DATA_2023H2'!F:L,'AMFI DATA_2023H2'!L:L)</f>
        <v>1286</v>
      </c>
      <c r="B1857" s="4" t="s">
        <v>3533</v>
      </c>
      <c r="C1857" s="4" t="s">
        <v>3534</v>
      </c>
      <c r="D1857" s="5" t="s">
        <v>3535</v>
      </c>
      <c r="E1857" s="5">
        <v>801.68</v>
      </c>
      <c r="F1857" s="6">
        <f>LOOKUP(D1857,'AMFI DATA_2023H2'!F:J,'AMFI DATA_2023H2'!J:J)</f>
        <v>826.90329999999994</v>
      </c>
      <c r="G1857" s="7">
        <f t="shared" si="16"/>
        <v>1.9466242304269521E-2</v>
      </c>
      <c r="H1857" s="9">
        <v>843</v>
      </c>
      <c r="I1857" s="9">
        <v>835</v>
      </c>
      <c r="J1857" s="9">
        <v>847</v>
      </c>
      <c r="K1857" s="9">
        <v>827</v>
      </c>
      <c r="L1857" s="9">
        <v>834</v>
      </c>
      <c r="M1857" s="9">
        <v>834</v>
      </c>
      <c r="N1857" s="9">
        <v>834</v>
      </c>
      <c r="O1857" s="9">
        <v>842</v>
      </c>
      <c r="P1857" s="9">
        <v>844</v>
      </c>
      <c r="Q1857" s="9">
        <v>849</v>
      </c>
      <c r="R1857" s="7">
        <f t="shared" si="17"/>
        <v>1.4507984186300948E-2</v>
      </c>
      <c r="S1857" s="9"/>
      <c r="T1857" s="9"/>
      <c r="U1857" s="9"/>
      <c r="V1857" s="9"/>
      <c r="W1857" s="9"/>
      <c r="X1857" s="9"/>
      <c r="Y1857" s="9"/>
      <c r="Z1857" s="9"/>
      <c r="AA1857" s="9"/>
      <c r="AB1857" s="9"/>
    </row>
    <row r="1858" spans="1:28" ht="14.4" hidden="1">
      <c r="A1858" s="3">
        <f>LOOKUP(D1858,'AMFI DATA_2023H2'!F:L,'AMFI DATA_2023H2'!L:L)</f>
        <v>1621</v>
      </c>
      <c r="B1858" s="4" t="s">
        <v>4190</v>
      </c>
      <c r="C1858" s="4" t="s">
        <v>4191</v>
      </c>
      <c r="D1858" s="5" t="s">
        <v>4192</v>
      </c>
      <c r="E1858" s="5">
        <v>370.19</v>
      </c>
      <c r="F1858" s="6">
        <f>LOOKUP(D1858,'AMFI DATA_2023H2'!F:J,'AMFI DATA_2023H2'!J:J)</f>
        <v>390.00279999999998</v>
      </c>
      <c r="G1858" s="7">
        <f t="shared" si="16"/>
        <v>2.8197746272590862E-2</v>
      </c>
      <c r="H1858" s="9">
        <v>401</v>
      </c>
      <c r="I1858" s="9">
        <v>410</v>
      </c>
      <c r="J1858" s="9">
        <v>401</v>
      </c>
      <c r="K1858" s="9">
        <v>406</v>
      </c>
      <c r="L1858" s="9">
        <v>392</v>
      </c>
      <c r="M1858" s="9">
        <v>381</v>
      </c>
      <c r="N1858" s="9">
        <v>386</v>
      </c>
      <c r="O1858" s="9">
        <v>380</v>
      </c>
      <c r="P1858" s="9">
        <v>382</v>
      </c>
      <c r="Q1858" s="9">
        <v>384</v>
      </c>
      <c r="R1858" s="7">
        <f t="shared" si="17"/>
        <v>5.890214121539783E-3</v>
      </c>
      <c r="S1858" s="9"/>
      <c r="T1858" s="9"/>
      <c r="U1858" s="9"/>
      <c r="V1858" s="9"/>
      <c r="W1858" s="9"/>
      <c r="X1858" s="9"/>
      <c r="Y1858" s="9"/>
      <c r="Z1858" s="9"/>
      <c r="AA1858" s="9"/>
      <c r="AB1858" s="9"/>
    </row>
    <row r="1859" spans="1:28" ht="14.4" hidden="1">
      <c r="A1859" s="3">
        <f>LOOKUP(D1859,'AMFI DATA_2023H2'!F:L,'AMFI DATA_2023H2'!L:L)</f>
        <v>443</v>
      </c>
      <c r="B1859" s="4" t="s">
        <v>1320</v>
      </c>
      <c r="C1859" s="4" t="s">
        <v>1321</v>
      </c>
      <c r="D1859" s="5" t="s">
        <v>1322</v>
      </c>
      <c r="E1859" s="5">
        <v>8941.1200000000008</v>
      </c>
      <c r="F1859" s="6">
        <f>LOOKUP(D1859,'AMFI DATA_2023H2'!F:J,'AMFI DATA_2023H2'!J:J)</f>
        <v>8997.9498999999996</v>
      </c>
      <c r="G1859" s="7">
        <f t="shared" si="16"/>
        <v>-7.0788335907493782E-2</v>
      </c>
      <c r="H1859" s="8">
        <v>8361</v>
      </c>
      <c r="I1859" s="8">
        <v>8349</v>
      </c>
      <c r="J1859" s="8">
        <v>8407</v>
      </c>
      <c r="K1859" s="8">
        <v>8509</v>
      </c>
      <c r="L1859" s="8">
        <v>8671</v>
      </c>
      <c r="M1859" s="8">
        <v>8478</v>
      </c>
      <c r="N1859" s="8">
        <v>8479</v>
      </c>
      <c r="O1859" s="8">
        <v>8559</v>
      </c>
      <c r="P1859" s="8">
        <v>8652</v>
      </c>
      <c r="Q1859" s="8">
        <v>8627</v>
      </c>
      <c r="R1859" s="7">
        <f t="shared" si="17"/>
        <v>-5.4317917462509913E-2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</row>
    <row r="1860" spans="1:28" ht="14.4" hidden="1">
      <c r="A1860" s="3">
        <f>LOOKUP(D1860,'AMFI DATA_2023H2'!F:L,'AMFI DATA_2023H2'!L:L)</f>
        <v>1981</v>
      </c>
      <c r="B1860" s="4" t="s">
        <v>4697</v>
      </c>
      <c r="C1860" s="4" t="s">
        <v>4698</v>
      </c>
      <c r="D1860" s="5" t="s">
        <v>4699</v>
      </c>
      <c r="E1860" s="5">
        <v>178.34</v>
      </c>
      <c r="F1860" s="6">
        <f>LOOKUP(D1860,'AMFI DATA_2023H2'!F:J,'AMFI DATA_2023H2'!J:J)</f>
        <v>192.78899999999999</v>
      </c>
      <c r="G1860" s="7">
        <f t="shared" si="16"/>
        <v>0.14114394493461768</v>
      </c>
      <c r="H1860" s="9">
        <v>220</v>
      </c>
      <c r="I1860" s="9">
        <v>220</v>
      </c>
      <c r="J1860" s="9">
        <v>222</v>
      </c>
      <c r="K1860" s="9">
        <v>217</v>
      </c>
      <c r="L1860" s="9">
        <v>211</v>
      </c>
      <c r="M1860" s="9">
        <v>209</v>
      </c>
      <c r="N1860" s="9">
        <v>209</v>
      </c>
      <c r="O1860" s="9">
        <v>212</v>
      </c>
      <c r="P1860" s="9">
        <v>220</v>
      </c>
      <c r="Q1860" s="9">
        <v>211</v>
      </c>
      <c r="R1860" s="7">
        <f t="shared" si="17"/>
        <v>0.1157275570701648</v>
      </c>
      <c r="S1860" s="9"/>
      <c r="T1860" s="9"/>
      <c r="U1860" s="9"/>
      <c r="V1860" s="9"/>
      <c r="W1860" s="9"/>
      <c r="X1860" s="9"/>
      <c r="Y1860" s="9"/>
      <c r="Z1860" s="9"/>
      <c r="AA1860" s="9"/>
      <c r="AB1860" s="9"/>
    </row>
    <row r="1861" spans="1:28" ht="14.4" hidden="1">
      <c r="A1861" s="3">
        <f>LOOKUP(D1861,'AMFI DATA_2023H2'!F:L,'AMFI DATA_2023H2'!L:L)</f>
        <v>1742</v>
      </c>
      <c r="B1861" s="4" t="s">
        <v>4397</v>
      </c>
      <c r="C1861" s="4" t="s">
        <v>4398</v>
      </c>
      <c r="D1861" s="5" t="s">
        <v>4399</v>
      </c>
      <c r="E1861" s="5">
        <v>310.73</v>
      </c>
      <c r="F1861" s="6">
        <f>LOOKUP(D1861,'AMFI DATA_2023H2'!F:J,'AMFI DATA_2023H2'!J:J)</f>
        <v>301.73249999999996</v>
      </c>
      <c r="G1861" s="7">
        <f t="shared" si="16"/>
        <v>2.4085903904949024E-2</v>
      </c>
      <c r="H1861" s="9">
        <v>309</v>
      </c>
      <c r="I1861" s="9">
        <v>310</v>
      </c>
      <c r="J1861" s="9">
        <v>307</v>
      </c>
      <c r="K1861" s="9">
        <v>293</v>
      </c>
      <c r="L1861" s="9">
        <v>297</v>
      </c>
      <c r="M1861" s="9">
        <v>295</v>
      </c>
      <c r="N1861" s="9">
        <v>299</v>
      </c>
      <c r="O1861" s="9">
        <v>301</v>
      </c>
      <c r="P1861" s="9">
        <v>306</v>
      </c>
      <c r="Q1861" s="9">
        <v>316</v>
      </c>
      <c r="R1861" s="7">
        <f t="shared" si="17"/>
        <v>5.1949988814596892E-3</v>
      </c>
      <c r="S1861" s="9"/>
      <c r="T1861" s="9"/>
      <c r="U1861" s="9"/>
      <c r="V1861" s="9"/>
      <c r="W1861" s="9"/>
      <c r="X1861" s="9"/>
      <c r="Y1861" s="9"/>
      <c r="Z1861" s="9"/>
      <c r="AA1861" s="9"/>
      <c r="AB1861" s="9"/>
    </row>
    <row r="1862" spans="1:28" ht="14.4" hidden="1">
      <c r="A1862" s="3">
        <f>LOOKUP(D1862,'AMFI DATA_2023H2'!F:L,'AMFI DATA_2023H2'!L:L)</f>
        <v>3204</v>
      </c>
      <c r="B1862" s="4" t="s">
        <v>5617</v>
      </c>
      <c r="C1862" s="4" t="s">
        <v>5618</v>
      </c>
      <c r="D1862" s="5" t="s">
        <v>5619</v>
      </c>
      <c r="E1862" s="5">
        <v>28.23</v>
      </c>
      <c r="F1862" s="6">
        <f>LOOKUP(D1862,'AMFI DATA_2023H2'!F:J,'AMFI DATA_2023H2'!J:J)</f>
        <v>27.751950000000001</v>
      </c>
      <c r="G1862" s="7">
        <f t="shared" si="16"/>
        <v>0.3188262446422685</v>
      </c>
      <c r="H1862" s="9">
        <v>36.6</v>
      </c>
      <c r="I1862" s="9">
        <v>35.1</v>
      </c>
      <c r="J1862" s="9">
        <v>32.5</v>
      </c>
      <c r="K1862" s="9">
        <v>32.5</v>
      </c>
      <c r="L1862" s="9">
        <v>32.5</v>
      </c>
      <c r="M1862" s="9">
        <v>32.5</v>
      </c>
      <c r="N1862" s="9">
        <v>31.6</v>
      </c>
      <c r="O1862" s="9">
        <v>32.200000000000003</v>
      </c>
      <c r="P1862" s="9">
        <v>33.1</v>
      </c>
      <c r="Q1862" s="9">
        <v>32.200000000000003</v>
      </c>
      <c r="R1862" s="7">
        <f t="shared" si="17"/>
        <v>0.19198831073131783</v>
      </c>
      <c r="S1862" s="9"/>
      <c r="T1862" s="9"/>
      <c r="U1862" s="9"/>
      <c r="V1862" s="9"/>
      <c r="W1862" s="9"/>
      <c r="X1862" s="9"/>
      <c r="Y1862" s="9"/>
      <c r="Z1862" s="9"/>
      <c r="AA1862" s="9"/>
      <c r="AB1862" s="9"/>
    </row>
    <row r="1863" spans="1:28" ht="14.4" hidden="1">
      <c r="A1863" s="3">
        <f>LOOKUP(D1863,'AMFI DATA_2023H2'!F:L,'AMFI DATA_2023H2'!L:L)</f>
        <v>1332</v>
      </c>
      <c r="B1863" s="4" t="s">
        <v>3635</v>
      </c>
      <c r="C1863" s="4" t="s">
        <v>3636</v>
      </c>
      <c r="D1863" s="5" t="s">
        <v>3637</v>
      </c>
      <c r="E1863" s="5">
        <v>698</v>
      </c>
      <c r="F1863" s="6">
        <f>LOOKUP(D1863,'AMFI DATA_2023H2'!F:J,'AMFI DATA_2023H2'!J:J)</f>
        <v>748.44560000000001</v>
      </c>
      <c r="G1863" s="7">
        <f t="shared" si="16"/>
        <v>4.8840423405521971E-2</v>
      </c>
      <c r="H1863" s="9">
        <v>785</v>
      </c>
      <c r="I1863" s="9">
        <v>758</v>
      </c>
      <c r="J1863" s="9">
        <v>751</v>
      </c>
      <c r="K1863" s="9">
        <v>755</v>
      </c>
      <c r="L1863" s="9">
        <v>765</v>
      </c>
      <c r="M1863" s="9">
        <v>748</v>
      </c>
      <c r="N1863" s="9">
        <v>748</v>
      </c>
      <c r="O1863" s="9">
        <v>745</v>
      </c>
      <c r="P1863" s="9">
        <v>738</v>
      </c>
      <c r="Q1863" s="9">
        <v>733</v>
      </c>
      <c r="R1863" s="7">
        <f t="shared" si="17"/>
        <v>5.5507040191031809E-3</v>
      </c>
      <c r="S1863" s="9"/>
      <c r="T1863" s="9"/>
      <c r="U1863" s="9"/>
      <c r="V1863" s="9"/>
      <c r="W1863" s="9"/>
      <c r="X1863" s="9"/>
      <c r="Y1863" s="9"/>
      <c r="Z1863" s="9"/>
      <c r="AA1863" s="9"/>
      <c r="AB1863" s="9"/>
    </row>
    <row r="1864" spans="1:28" ht="14.4" hidden="1">
      <c r="A1864" s="3">
        <f>LOOKUP(D1864,'AMFI DATA_2023H2'!F:L,'AMFI DATA_2023H2'!L:L)</f>
        <v>2072</v>
      </c>
      <c r="B1864" s="4" t="s">
        <v>4841</v>
      </c>
      <c r="C1864" s="4" t="s">
        <v>4842</v>
      </c>
      <c r="D1864" s="5" t="s">
        <v>4843</v>
      </c>
      <c r="E1864" s="5">
        <v>176.92</v>
      </c>
      <c r="F1864" s="6">
        <f>LOOKUP(D1864,'AMFI DATA_2023H2'!F:J,'AMFI DATA_2023H2'!J:J)</f>
        <v>169.25444999999999</v>
      </c>
      <c r="G1864" s="7">
        <f t="shared" si="16"/>
        <v>0.22891894422864523</v>
      </c>
      <c r="H1864" s="9">
        <v>208</v>
      </c>
      <c r="I1864" s="9">
        <v>208</v>
      </c>
      <c r="J1864" s="9">
        <v>192</v>
      </c>
      <c r="K1864" s="9">
        <v>189</v>
      </c>
      <c r="L1864" s="9">
        <v>185</v>
      </c>
      <c r="M1864" s="9">
        <v>177</v>
      </c>
      <c r="N1864" s="9">
        <v>174</v>
      </c>
      <c r="O1864" s="9">
        <v>170</v>
      </c>
      <c r="P1864" s="9">
        <v>185</v>
      </c>
      <c r="Q1864" s="9">
        <v>189</v>
      </c>
      <c r="R1864" s="7">
        <f t="shared" si="17"/>
        <v>0.10898118188325334</v>
      </c>
      <c r="S1864" s="9"/>
      <c r="T1864" s="9"/>
      <c r="U1864" s="9"/>
      <c r="V1864" s="9"/>
      <c r="W1864" s="9"/>
      <c r="X1864" s="9"/>
      <c r="Y1864" s="9"/>
      <c r="Z1864" s="9"/>
      <c r="AA1864" s="9"/>
      <c r="AB1864" s="9"/>
    </row>
    <row r="1865" spans="1:28" ht="14.4" hidden="1">
      <c r="A1865" s="3">
        <f>LOOKUP(D1865,'AMFI DATA_2023H2'!F:L,'AMFI DATA_2023H2'!L:L)</f>
        <v>2072</v>
      </c>
      <c r="B1865" s="4" t="s">
        <v>4844</v>
      </c>
      <c r="C1865" s="4" t="s">
        <v>4845</v>
      </c>
      <c r="D1865" s="5" t="s">
        <v>4846</v>
      </c>
      <c r="E1865" s="5">
        <v>176.92</v>
      </c>
      <c r="F1865" s="6">
        <f>LOOKUP(D1865,'AMFI DATA_2023H2'!F:J,'AMFI DATA_2023H2'!J:J)</f>
        <v>169.25444999999999</v>
      </c>
      <c r="G1865" s="7">
        <f t="shared" si="16"/>
        <v>1.7591593603595062</v>
      </c>
      <c r="H1865" s="9">
        <v>467</v>
      </c>
      <c r="I1865" s="9">
        <v>446</v>
      </c>
      <c r="J1865" s="9">
        <v>438</v>
      </c>
      <c r="K1865" s="9">
        <v>443</v>
      </c>
      <c r="L1865" s="9">
        <v>428</v>
      </c>
      <c r="M1865" s="9">
        <v>438</v>
      </c>
      <c r="N1865" s="9">
        <v>438</v>
      </c>
      <c r="O1865" s="9">
        <v>447</v>
      </c>
      <c r="P1865" s="9">
        <v>450</v>
      </c>
      <c r="Q1865" s="9">
        <v>442</v>
      </c>
      <c r="R1865" s="7">
        <f t="shared" si="17"/>
        <v>1.621496805549278</v>
      </c>
      <c r="S1865" s="9"/>
      <c r="T1865" s="9"/>
      <c r="U1865" s="9"/>
      <c r="V1865" s="9"/>
      <c r="W1865" s="9"/>
      <c r="X1865" s="9"/>
      <c r="Y1865" s="9"/>
      <c r="Z1865" s="9"/>
      <c r="AA1865" s="9"/>
      <c r="AB1865" s="9"/>
    </row>
    <row r="1866" spans="1:28" ht="14.4" hidden="1">
      <c r="A1866" s="3">
        <f>LOOKUP(D1866,'AMFI DATA_2023H2'!F:L,'AMFI DATA_2023H2'!L:L)</f>
        <v>906</v>
      </c>
      <c r="B1866" s="4" t="s">
        <v>2624</v>
      </c>
      <c r="C1866" s="4" t="s">
        <v>2625</v>
      </c>
      <c r="D1866" s="5" t="s">
        <v>2626</v>
      </c>
      <c r="E1866" s="5">
        <v>1776.31</v>
      </c>
      <c r="F1866" s="6">
        <f>LOOKUP(D1866,'AMFI DATA_2023H2'!F:J,'AMFI DATA_2023H2'!J:J)</f>
        <v>2138.3530499999997</v>
      </c>
      <c r="G1866" s="7">
        <f t="shared" si="16"/>
        <v>4.4729260212666988E-2</v>
      </c>
      <c r="H1866" s="8">
        <v>2234</v>
      </c>
      <c r="I1866" s="8">
        <v>2250</v>
      </c>
      <c r="J1866" s="8">
        <v>2302</v>
      </c>
      <c r="K1866" s="8">
        <v>2282</v>
      </c>
      <c r="L1866" s="8">
        <v>2281</v>
      </c>
      <c r="M1866" s="8">
        <v>2330</v>
      </c>
      <c r="N1866" s="8">
        <v>2346</v>
      </c>
      <c r="O1866" s="8">
        <v>2341</v>
      </c>
      <c r="P1866" s="8">
        <v>2310</v>
      </c>
      <c r="Q1866" s="8">
        <v>2245</v>
      </c>
      <c r="R1866" s="7">
        <f t="shared" si="17"/>
        <v>7.1899703372181767E-2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</row>
    <row r="1867" spans="1:28" ht="14.4" hidden="1">
      <c r="A1867" s="3">
        <f>LOOKUP(D1867,'AMFI DATA_2023H2'!F:L,'AMFI DATA_2023H2'!L:L)</f>
        <v>864</v>
      </c>
      <c r="B1867" s="4" t="s">
        <v>2504</v>
      </c>
      <c r="C1867" s="4" t="s">
        <v>2505</v>
      </c>
      <c r="D1867" s="5" t="s">
        <v>2506</v>
      </c>
      <c r="E1867" s="5">
        <v>27277.58</v>
      </c>
      <c r="F1867" s="6">
        <f>LOOKUP(D1867,'AMFI DATA_2023H2'!F:J,'AMFI DATA_2023H2'!J:J)</f>
        <v>2415.6677</v>
      </c>
      <c r="G1867" s="7">
        <f t="shared" si="16"/>
        <v>0.13260611134552991</v>
      </c>
      <c r="H1867" s="8">
        <v>2736</v>
      </c>
      <c r="I1867" s="8">
        <v>2727</v>
      </c>
      <c r="J1867" s="8">
        <v>2750</v>
      </c>
      <c r="K1867" s="8">
        <v>2677</v>
      </c>
      <c r="L1867" s="8">
        <v>2712</v>
      </c>
      <c r="M1867" s="8">
        <v>2699</v>
      </c>
      <c r="N1867" s="8">
        <v>2768</v>
      </c>
      <c r="O1867" s="8">
        <v>2801</v>
      </c>
      <c r="P1867" s="8">
        <v>2707</v>
      </c>
      <c r="Q1867" s="8">
        <v>2548</v>
      </c>
      <c r="R1867" s="7">
        <f t="shared" si="17"/>
        <v>0.12287795212892894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</row>
    <row r="1868" spans="1:28" ht="14.4" hidden="1">
      <c r="A1868" s="3">
        <f>LOOKUP(D1868,'AMFI DATA_2023H2'!F:L,'AMFI DATA_2023H2'!L:L)</f>
        <v>1716</v>
      </c>
      <c r="B1868" s="4" t="s">
        <v>4361</v>
      </c>
      <c r="C1868" s="4" t="s">
        <v>4362</v>
      </c>
      <c r="D1868" s="5" t="s">
        <v>4363</v>
      </c>
      <c r="E1868" s="5">
        <v>310.33</v>
      </c>
      <c r="F1868" s="6">
        <f>LOOKUP(D1868,'AMFI DATA_2023H2'!F:J,'AMFI DATA_2023H2'!J:J)</f>
        <v>323.57974999999999</v>
      </c>
      <c r="G1868" s="7">
        <f t="shared" si="16"/>
        <v>-1.7243817018833818E-2</v>
      </c>
      <c r="H1868" s="9">
        <v>318</v>
      </c>
      <c r="I1868" s="9">
        <v>320</v>
      </c>
      <c r="J1868" s="9">
        <v>315</v>
      </c>
      <c r="K1868" s="9">
        <v>314</v>
      </c>
      <c r="L1868" s="9">
        <v>316</v>
      </c>
      <c r="M1868" s="9">
        <v>312</v>
      </c>
      <c r="N1868" s="9">
        <v>311</v>
      </c>
      <c r="O1868" s="9">
        <v>311</v>
      </c>
      <c r="P1868" s="9">
        <v>312</v>
      </c>
      <c r="Q1868" s="9">
        <v>310</v>
      </c>
      <c r="R1868" s="7">
        <f t="shared" si="17"/>
        <v>-2.9914572837144493E-2</v>
      </c>
      <c r="S1868" s="9"/>
      <c r="T1868" s="9"/>
      <c r="U1868" s="9"/>
      <c r="V1868" s="9"/>
      <c r="W1868" s="9"/>
      <c r="X1868" s="9"/>
      <c r="Y1868" s="9"/>
      <c r="Z1868" s="9"/>
      <c r="AA1868" s="9"/>
      <c r="AB1868" s="9"/>
    </row>
    <row r="1869" spans="1:28" ht="14.4" hidden="1">
      <c r="A1869" s="3">
        <f>LOOKUP(D1869,'AMFI DATA_2023H2'!F:L,'AMFI DATA_2023H2'!L:L)</f>
        <v>1656</v>
      </c>
      <c r="B1869" s="4" t="s">
        <v>4253</v>
      </c>
      <c r="C1869" s="4" t="s">
        <v>4254</v>
      </c>
      <c r="D1869" s="5" t="s">
        <v>4255</v>
      </c>
      <c r="E1869" s="5">
        <v>62.29</v>
      </c>
      <c r="F1869" s="6">
        <f>LOOKUP(D1869,'AMFI DATA_2023H2'!F:J,'AMFI DATA_2023H2'!J:J)</f>
        <v>362.54560000000004</v>
      </c>
      <c r="G1869" s="7">
        <f t="shared" si="16"/>
        <v>1.1569700473540432</v>
      </c>
      <c r="H1869" s="9">
        <v>782</v>
      </c>
      <c r="I1869" s="9">
        <v>813</v>
      </c>
      <c r="J1869" s="9">
        <v>777</v>
      </c>
      <c r="K1869" s="9">
        <v>740</v>
      </c>
      <c r="L1869" s="9">
        <v>705</v>
      </c>
      <c r="M1869" s="9">
        <v>641</v>
      </c>
      <c r="N1869" s="9">
        <v>583</v>
      </c>
      <c r="O1869" s="9">
        <v>530</v>
      </c>
      <c r="P1869" s="9">
        <v>440</v>
      </c>
      <c r="Q1869" s="9">
        <v>368</v>
      </c>
      <c r="R1869" s="7">
        <f t="shared" si="17"/>
        <v>0.75950280461271613</v>
      </c>
      <c r="S1869" s="9"/>
      <c r="T1869" s="9"/>
      <c r="U1869" s="9"/>
      <c r="V1869" s="9"/>
      <c r="W1869" s="9"/>
      <c r="X1869" s="9"/>
      <c r="Y1869" s="9"/>
      <c r="Z1869" s="9"/>
      <c r="AA1869" s="9"/>
      <c r="AB1869" s="9"/>
    </row>
    <row r="1870" spans="1:28" ht="14.4" hidden="1">
      <c r="A1870" s="3">
        <f>LOOKUP(D1870,'AMFI DATA_2023H2'!F:L,'AMFI DATA_2023H2'!L:L)</f>
        <v>1356</v>
      </c>
      <c r="B1870" s="4" t="s">
        <v>3674</v>
      </c>
      <c r="C1870" s="4" t="s">
        <v>3675</v>
      </c>
      <c r="D1870" s="5" t="s">
        <v>3676</v>
      </c>
      <c r="E1870" s="5">
        <v>645.52</v>
      </c>
      <c r="F1870" s="6">
        <f>LOOKUP(D1870,'AMFI DATA_2023H2'!F:J,'AMFI DATA_2023H2'!J:J)</f>
        <v>713.89750000000004</v>
      </c>
      <c r="G1870" s="7">
        <f t="shared" si="16"/>
        <v>5.0570985330527174E-2</v>
      </c>
      <c r="H1870" s="9">
        <v>750</v>
      </c>
      <c r="I1870" s="9">
        <v>757</v>
      </c>
      <c r="J1870" s="9">
        <v>735</v>
      </c>
      <c r="K1870" s="9">
        <v>742</v>
      </c>
      <c r="L1870" s="9">
        <v>713</v>
      </c>
      <c r="M1870" s="9">
        <v>712</v>
      </c>
      <c r="N1870" s="9">
        <v>712</v>
      </c>
      <c r="O1870" s="9">
        <v>707</v>
      </c>
      <c r="P1870" s="9">
        <v>709</v>
      </c>
      <c r="Q1870" s="9">
        <v>719</v>
      </c>
      <c r="R1870" s="7">
        <f t="shared" si="17"/>
        <v>1.6392409274440745E-2</v>
      </c>
      <c r="S1870" s="9"/>
      <c r="T1870" s="9"/>
      <c r="U1870" s="9"/>
      <c r="V1870" s="9"/>
      <c r="W1870" s="9"/>
      <c r="X1870" s="9"/>
      <c r="Y1870" s="9"/>
      <c r="Z1870" s="9"/>
      <c r="AA1870" s="9"/>
      <c r="AB1870" s="9"/>
    </row>
    <row r="1871" spans="1:28" ht="14.4" hidden="1">
      <c r="A1871" s="3">
        <f>LOOKUP(D1871,'AMFI DATA_2023H2'!F:L,'AMFI DATA_2023H2'!L:L)</f>
        <v>690</v>
      </c>
      <c r="B1871" s="4" t="s">
        <v>2022</v>
      </c>
      <c r="C1871" s="4" t="s">
        <v>2023</v>
      </c>
      <c r="D1871" s="5" t="s">
        <v>2024</v>
      </c>
      <c r="E1871" s="5">
        <v>4613.6099999999997</v>
      </c>
      <c r="F1871" s="6">
        <f>LOOKUP(D1871,'AMFI DATA_2023H2'!F:J,'AMFI DATA_2023H2'!J:J)</f>
        <v>3986.4477999999999</v>
      </c>
      <c r="G1871" s="7">
        <f t="shared" si="16"/>
        <v>9.1698729881775964E-2</v>
      </c>
      <c r="H1871" s="8">
        <v>4352</v>
      </c>
      <c r="I1871" s="8">
        <v>4203</v>
      </c>
      <c r="J1871" s="8">
        <v>4154</v>
      </c>
      <c r="K1871" s="8">
        <v>4058</v>
      </c>
      <c r="L1871" s="8">
        <v>3990</v>
      </c>
      <c r="M1871" s="8">
        <v>4009</v>
      </c>
      <c r="N1871" s="8">
        <v>4003</v>
      </c>
      <c r="O1871" s="8">
        <v>4033</v>
      </c>
      <c r="P1871" s="8">
        <v>4011</v>
      </c>
      <c r="Q1871" s="8">
        <v>4162</v>
      </c>
      <c r="R1871" s="7">
        <f t="shared" si="17"/>
        <v>2.7857432373753932E-2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</row>
    <row r="1872" spans="1:28" ht="14.4" hidden="1">
      <c r="A1872" s="3">
        <f>LOOKUP(D1872,'AMFI DATA_2023H2'!F:L,'AMFI DATA_2023H2'!L:L)</f>
        <v>119</v>
      </c>
      <c r="B1872" s="4" t="s">
        <v>369</v>
      </c>
      <c r="C1872" s="4" t="s">
        <v>370</v>
      </c>
      <c r="D1872" s="5" t="s">
        <v>371</v>
      </c>
      <c r="E1872" s="5">
        <v>30988.15</v>
      </c>
      <c r="F1872" s="6">
        <f>LOOKUP(D1872,'AMFI DATA_2023H2'!F:J,'AMFI DATA_2023H2'!J:J)</f>
        <v>52987.058449999997</v>
      </c>
      <c r="G1872" s="7">
        <f t="shared" si="16"/>
        <v>0.57098737757917584</v>
      </c>
      <c r="H1872" s="8">
        <v>83242</v>
      </c>
      <c r="I1872" s="8">
        <v>81782</v>
      </c>
      <c r="J1872" s="8">
        <v>77352</v>
      </c>
      <c r="K1872" s="8">
        <v>78131</v>
      </c>
      <c r="L1872" s="8">
        <v>82755</v>
      </c>
      <c r="M1872" s="8">
        <v>77985</v>
      </c>
      <c r="N1872" s="8">
        <v>64452</v>
      </c>
      <c r="O1872" s="8">
        <v>65474</v>
      </c>
      <c r="P1872" s="8">
        <v>64940</v>
      </c>
      <c r="Q1872" s="8">
        <v>66204</v>
      </c>
      <c r="R1872" s="7">
        <f t="shared" si="17"/>
        <v>0.4009401950487026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</row>
    <row r="1873" spans="1:28" ht="14.4" hidden="1">
      <c r="A1873" s="3">
        <f>LOOKUP(D1873,'AMFI DATA_2023H2'!F:L,'AMFI DATA_2023H2'!L:L)</f>
        <v>610</v>
      </c>
      <c r="B1873" s="4" t="s">
        <v>1800</v>
      </c>
      <c r="C1873" s="4" t="s">
        <v>1801</v>
      </c>
      <c r="D1873" s="5" t="s">
        <v>1802</v>
      </c>
      <c r="E1873" s="5">
        <v>3117.03</v>
      </c>
      <c r="F1873" s="6">
        <f>LOOKUP(D1873,'AMFI DATA_2023H2'!F:J,'AMFI DATA_2023H2'!J:J)</f>
        <v>5130.1278000000002</v>
      </c>
      <c r="G1873" s="7">
        <f t="shared" si="16"/>
        <v>0.3005523955952909</v>
      </c>
      <c r="H1873" s="8">
        <v>6672</v>
      </c>
      <c r="I1873" s="8">
        <v>6750</v>
      </c>
      <c r="J1873" s="8">
        <v>6464</v>
      </c>
      <c r="K1873" s="8">
        <v>6473</v>
      </c>
      <c r="L1873" s="8">
        <v>6796</v>
      </c>
      <c r="M1873" s="8">
        <v>6598</v>
      </c>
      <c r="N1873" s="8">
        <v>6497</v>
      </c>
      <c r="O1873" s="8">
        <v>6512</v>
      </c>
      <c r="P1873" s="8">
        <v>6329</v>
      </c>
      <c r="Q1873" s="8">
        <v>6257</v>
      </c>
      <c r="R1873" s="7">
        <f t="shared" si="17"/>
        <v>0.2738084224724382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</row>
    <row r="1874" spans="1:28" ht="14.4" hidden="1">
      <c r="A1874" s="3">
        <f>LOOKUP(D1874,'AMFI DATA_2023H2'!F:L,'AMFI DATA_2023H2'!L:L)</f>
        <v>213</v>
      </c>
      <c r="B1874" s="4" t="s">
        <v>648</v>
      </c>
      <c r="C1874" s="4" t="s">
        <v>649</v>
      </c>
      <c r="D1874" s="5" t="s">
        <v>650</v>
      </c>
      <c r="E1874" s="5">
        <v>27277.58</v>
      </c>
      <c r="F1874" s="6">
        <f>LOOKUP(D1874,'AMFI DATA_2023H2'!F:J,'AMFI DATA_2023H2'!J:J)</f>
        <v>27742.757750000001</v>
      </c>
      <c r="G1874" s="7">
        <f t="shared" si="16"/>
        <v>0.20373757724211816</v>
      </c>
      <c r="H1874" s="8">
        <v>33395</v>
      </c>
      <c r="I1874" s="8">
        <v>33555</v>
      </c>
      <c r="J1874" s="8">
        <v>32817</v>
      </c>
      <c r="K1874" s="8">
        <v>32920</v>
      </c>
      <c r="L1874" s="8">
        <v>32281</v>
      </c>
      <c r="M1874" s="8">
        <v>32375</v>
      </c>
      <c r="N1874" s="8">
        <v>32167</v>
      </c>
      <c r="O1874" s="8">
        <v>32600</v>
      </c>
      <c r="P1874" s="8">
        <v>31982</v>
      </c>
      <c r="Q1874" s="8">
        <v>31355</v>
      </c>
      <c r="R1874" s="7">
        <f t="shared" si="17"/>
        <v>0.17308813684897628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</row>
    <row r="1875" spans="1:28" ht="14.4" hidden="1">
      <c r="A1875" s="3">
        <f>LOOKUP(D1875,'AMFI DATA_2023H2'!F:L,'AMFI DATA_2023H2'!L:L)</f>
        <v>558</v>
      </c>
      <c r="B1875" s="4" t="s">
        <v>1653</v>
      </c>
      <c r="C1875" s="4" t="s">
        <v>1654</v>
      </c>
      <c r="D1875" s="5" t="s">
        <v>1655</v>
      </c>
      <c r="E1875" s="5">
        <v>5431.23</v>
      </c>
      <c r="F1875" s="6">
        <f>LOOKUP(D1875,'AMFI DATA_2023H2'!F:J,'AMFI DATA_2023H2'!J:J)</f>
        <v>6188.6108000000004</v>
      </c>
      <c r="G1875" s="7">
        <f t="shared" si="16"/>
        <v>2.9633338713108248E-2</v>
      </c>
      <c r="H1875" s="8">
        <v>6372</v>
      </c>
      <c r="I1875" s="8">
        <v>6394</v>
      </c>
      <c r="J1875" s="8">
        <v>6398</v>
      </c>
      <c r="K1875" s="8">
        <v>6451</v>
      </c>
      <c r="L1875" s="8">
        <v>6634</v>
      </c>
      <c r="M1875" s="8">
        <v>6711</v>
      </c>
      <c r="N1875" s="8">
        <v>6652</v>
      </c>
      <c r="O1875" s="8">
        <v>6582</v>
      </c>
      <c r="P1875" s="8">
        <v>6455</v>
      </c>
      <c r="Q1875" s="8">
        <v>6463</v>
      </c>
      <c r="R1875" s="7">
        <f t="shared" si="17"/>
        <v>5.2126270406275932E-2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</row>
    <row r="1876" spans="1:28" ht="14.4" hidden="1">
      <c r="A1876" s="3">
        <f>LOOKUP(D1876,'AMFI DATA_2023H2'!F:L,'AMFI DATA_2023H2'!L:L)</f>
        <v>602</v>
      </c>
      <c r="B1876" s="4" t="s">
        <v>1776</v>
      </c>
      <c r="C1876" s="4" t="s">
        <v>1777</v>
      </c>
      <c r="D1876" s="5" t="s">
        <v>1778</v>
      </c>
      <c r="E1876" s="5">
        <v>4983.43</v>
      </c>
      <c r="F1876" s="6">
        <f>LOOKUP(D1876,'AMFI DATA_2023H2'!F:J,'AMFI DATA_2023H2'!J:J)</f>
        <v>5300.3547500000004</v>
      </c>
      <c r="G1876" s="7">
        <f t="shared" si="16"/>
        <v>0.12313237147004163</v>
      </c>
      <c r="H1876" s="8">
        <v>5953</v>
      </c>
      <c r="I1876" s="8">
        <v>5939</v>
      </c>
      <c r="J1876" s="8">
        <v>6208</v>
      </c>
      <c r="K1876" s="8">
        <v>6269</v>
      </c>
      <c r="L1876" s="8">
        <v>5221</v>
      </c>
      <c r="M1876" s="8">
        <v>5248</v>
      </c>
      <c r="N1876" s="8">
        <v>5216</v>
      </c>
      <c r="O1876" s="8">
        <v>5223</v>
      </c>
      <c r="P1876" s="8">
        <v>5267</v>
      </c>
      <c r="Q1876" s="8">
        <v>5248</v>
      </c>
      <c r="R1876" s="7">
        <f t="shared" si="17"/>
        <v>5.2608790005989503E-2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</row>
    <row r="1877" spans="1:28" ht="14.4" hidden="1">
      <c r="A1877" s="3">
        <f>LOOKUP(D1877,'AMFI DATA_2023H2'!F:L,'AMFI DATA_2023H2'!L:L)</f>
        <v>1515</v>
      </c>
      <c r="B1877" s="4" t="s">
        <v>3992</v>
      </c>
      <c r="C1877" s="4" t="s">
        <v>3993</v>
      </c>
      <c r="D1877" s="5" t="s">
        <v>3994</v>
      </c>
      <c r="E1877" s="5">
        <v>182.84</v>
      </c>
      <c r="F1877" s="6">
        <f>LOOKUP(D1877,'AMFI DATA_2023H2'!F:J,'AMFI DATA_2023H2'!J:J)</f>
        <v>489.72275000000002</v>
      </c>
      <c r="G1877" s="7">
        <f t="shared" si="16"/>
        <v>0.17617570349754019</v>
      </c>
      <c r="H1877" s="9">
        <v>576</v>
      </c>
      <c r="I1877" s="9">
        <v>544</v>
      </c>
      <c r="J1877" s="9">
        <v>561</v>
      </c>
      <c r="K1877" s="9">
        <v>573</v>
      </c>
      <c r="L1877" s="9">
        <v>554</v>
      </c>
      <c r="M1877" s="9">
        <v>531</v>
      </c>
      <c r="N1877" s="9">
        <v>524</v>
      </c>
      <c r="O1877" s="9">
        <v>536</v>
      </c>
      <c r="P1877" s="9">
        <v>538</v>
      </c>
      <c r="Q1877" s="9">
        <v>517</v>
      </c>
      <c r="R1877" s="7">
        <f t="shared" si="17"/>
        <v>0.11369136924923318</v>
      </c>
      <c r="S1877" s="9"/>
      <c r="T1877" s="9"/>
      <c r="U1877" s="9"/>
      <c r="V1877" s="9"/>
      <c r="W1877" s="9"/>
      <c r="X1877" s="9"/>
      <c r="Y1877" s="9"/>
      <c r="Z1877" s="9"/>
      <c r="AA1877" s="9"/>
      <c r="AB1877" s="9"/>
    </row>
    <row r="1878" spans="1:28" ht="14.4" hidden="1">
      <c r="A1878" s="3">
        <f>LOOKUP(D1878,'AMFI DATA_2023H2'!F:L,'AMFI DATA_2023H2'!L:L)</f>
        <v>1403</v>
      </c>
      <c r="B1878" s="4" t="s">
        <v>3782</v>
      </c>
      <c r="C1878" s="4" t="s">
        <v>3783</v>
      </c>
      <c r="D1878" s="5" t="s">
        <v>3784</v>
      </c>
      <c r="E1878" s="5">
        <v>314.89999999999998</v>
      </c>
      <c r="F1878" s="6">
        <f>LOOKUP(D1878,'AMFI DATA_2023H2'!F:J,'AMFI DATA_2023H2'!J:J)</f>
        <v>641.10505000000001</v>
      </c>
      <c r="G1878" s="7">
        <f t="shared" si="16"/>
        <v>0.36327112070010981</v>
      </c>
      <c r="H1878" s="9">
        <v>874</v>
      </c>
      <c r="I1878" s="9">
        <v>877</v>
      </c>
      <c r="J1878" s="9">
        <v>895</v>
      </c>
      <c r="K1878" s="9">
        <v>870</v>
      </c>
      <c r="L1878" s="9">
        <v>884</v>
      </c>
      <c r="M1878" s="9">
        <v>867</v>
      </c>
      <c r="N1878" s="9">
        <v>864</v>
      </c>
      <c r="O1878" s="9">
        <v>898</v>
      </c>
      <c r="P1878" s="9">
        <v>908</v>
      </c>
      <c r="Q1878" s="9">
        <v>862</v>
      </c>
      <c r="R1878" s="7">
        <f t="shared" si="17"/>
        <v>0.37247398066822268</v>
      </c>
      <c r="S1878" s="9"/>
      <c r="T1878" s="9"/>
      <c r="U1878" s="9"/>
      <c r="V1878" s="9"/>
      <c r="W1878" s="9"/>
      <c r="X1878" s="9"/>
      <c r="Y1878" s="9"/>
      <c r="Z1878" s="9"/>
      <c r="AA1878" s="9"/>
      <c r="AB1878" s="9"/>
    </row>
    <row r="1879" spans="1:28" ht="14.4" hidden="1">
      <c r="A1879" s="3">
        <f>LOOKUP(D1879,'AMFI DATA_2023H2'!F:L,'AMFI DATA_2023H2'!L:L)</f>
        <v>1843</v>
      </c>
      <c r="B1879" s="4" t="s">
        <v>4526</v>
      </c>
      <c r="C1879" s="4" t="s">
        <v>4527</v>
      </c>
      <c r="D1879" s="5" t="s">
        <v>4528</v>
      </c>
      <c r="E1879" s="5">
        <v>145.24</v>
      </c>
      <c r="F1879" s="6">
        <f>LOOKUP(D1879,'AMFI DATA_2023H2'!F:J,'AMFI DATA_2023H2'!J:J)</f>
        <v>253.16185000000002</v>
      </c>
      <c r="G1879" s="7">
        <f t="shared" si="16"/>
        <v>0.67086786575465451</v>
      </c>
      <c r="H1879" s="9">
        <v>423</v>
      </c>
      <c r="I1879" s="9">
        <v>415</v>
      </c>
      <c r="J1879" s="9">
        <v>407</v>
      </c>
      <c r="K1879" s="9">
        <v>415</v>
      </c>
      <c r="L1879" s="9">
        <v>424</v>
      </c>
      <c r="M1879" s="9">
        <v>432</v>
      </c>
      <c r="N1879" s="9">
        <v>426</v>
      </c>
      <c r="O1879" s="9">
        <v>435</v>
      </c>
      <c r="P1879" s="9">
        <v>425</v>
      </c>
      <c r="Q1879" s="9">
        <v>429</v>
      </c>
      <c r="R1879" s="7">
        <f t="shared" si="17"/>
        <v>0.67126286997823725</v>
      </c>
      <c r="S1879" s="9"/>
      <c r="T1879" s="9"/>
      <c r="U1879" s="9"/>
      <c r="V1879" s="9"/>
      <c r="W1879" s="9"/>
      <c r="X1879" s="9"/>
      <c r="Y1879" s="9"/>
      <c r="Z1879" s="9"/>
      <c r="AA1879" s="9"/>
      <c r="AB1879" s="9"/>
    </row>
    <row r="1880" spans="1:28" ht="14.4" hidden="1">
      <c r="A1880" s="3">
        <f>LOOKUP(D1880,'AMFI DATA_2023H2'!F:L,'AMFI DATA_2023H2'!L:L)</f>
        <v>2536</v>
      </c>
      <c r="B1880" s="4" t="s">
        <v>5329</v>
      </c>
      <c r="C1880" s="4" t="s">
        <v>5330</v>
      </c>
      <c r="D1880" s="5" t="s">
        <v>5331</v>
      </c>
      <c r="E1880" s="5">
        <v>43.29</v>
      </c>
      <c r="F1880" s="6">
        <f>LOOKUP(D1880,'AMFI DATA_2023H2'!F:J,'AMFI DATA_2023H2'!J:J)</f>
        <v>75.677750000000003</v>
      </c>
      <c r="G1880" s="7">
        <f t="shared" si="16"/>
        <v>8.0898943216467067E-2</v>
      </c>
      <c r="H1880" s="9">
        <v>81.8</v>
      </c>
      <c r="I1880" s="9">
        <v>83.4</v>
      </c>
      <c r="J1880" s="9">
        <v>85.1</v>
      </c>
      <c r="K1880" s="9">
        <v>86.9</v>
      </c>
      <c r="L1880" s="9">
        <v>88.6</v>
      </c>
      <c r="M1880" s="9">
        <v>90.4</v>
      </c>
      <c r="N1880" s="9">
        <v>92.3</v>
      </c>
      <c r="O1880" s="9">
        <v>94</v>
      </c>
      <c r="P1880" s="9">
        <v>89.8</v>
      </c>
      <c r="Q1880" s="9">
        <v>86</v>
      </c>
      <c r="R1880" s="7">
        <f t="shared" si="17"/>
        <v>0.16057890198902558</v>
      </c>
      <c r="S1880" s="9"/>
      <c r="T1880" s="9"/>
      <c r="U1880" s="9"/>
      <c r="V1880" s="9"/>
      <c r="W1880" s="9"/>
      <c r="X1880" s="9"/>
      <c r="Y1880" s="9"/>
      <c r="Z1880" s="9"/>
      <c r="AA1880" s="9"/>
      <c r="AB1880" s="9"/>
    </row>
    <row r="1881" spans="1:28" ht="14.4" hidden="1">
      <c r="A1881" s="3">
        <f>LOOKUP(D1881,'AMFI DATA_2023H2'!F:L,'AMFI DATA_2023H2'!L:L)</f>
        <v>1634</v>
      </c>
      <c r="B1881" s="4" t="s">
        <v>4217</v>
      </c>
      <c r="C1881" s="4" t="s">
        <v>4218</v>
      </c>
      <c r="D1881" s="5" t="s">
        <v>4219</v>
      </c>
      <c r="E1881" s="5">
        <v>334.03</v>
      </c>
      <c r="F1881" s="6">
        <f>LOOKUP(D1881,'AMFI DATA_2023H2'!F:J,'AMFI DATA_2023H2'!J:J)</f>
        <v>380.48230000000001</v>
      </c>
      <c r="G1881" s="7">
        <f t="shared" si="16"/>
        <v>0.28258265890423817</v>
      </c>
      <c r="H1881" s="9">
        <v>488</v>
      </c>
      <c r="I1881" s="9">
        <v>485</v>
      </c>
      <c r="J1881" s="9">
        <v>494</v>
      </c>
      <c r="K1881" s="9">
        <v>505</v>
      </c>
      <c r="L1881" s="9">
        <v>483</v>
      </c>
      <c r="M1881" s="9">
        <v>460</v>
      </c>
      <c r="N1881" s="9">
        <v>440</v>
      </c>
      <c r="O1881" s="9">
        <v>437</v>
      </c>
      <c r="P1881" s="9">
        <v>429</v>
      </c>
      <c r="Q1881" s="9">
        <v>446</v>
      </c>
      <c r="R1881" s="7">
        <f t="shared" si="17"/>
        <v>0.22660107973485233</v>
      </c>
      <c r="S1881" s="9"/>
      <c r="T1881" s="9"/>
      <c r="U1881" s="9"/>
      <c r="V1881" s="9"/>
      <c r="W1881" s="9"/>
      <c r="X1881" s="9"/>
      <c r="Y1881" s="9"/>
      <c r="Z1881" s="9"/>
      <c r="AA1881" s="9"/>
      <c r="AB1881" s="9"/>
    </row>
    <row r="1882" spans="1:28" ht="14.4" hidden="1">
      <c r="A1882" s="3">
        <f>LOOKUP(D1882,'AMFI DATA_2023H2'!F:L,'AMFI DATA_2023H2'!L:L)</f>
        <v>1426</v>
      </c>
      <c r="B1882" s="4" t="s">
        <v>3824</v>
      </c>
      <c r="C1882" s="4" t="s">
        <v>3825</v>
      </c>
      <c r="D1882" s="5" t="s">
        <v>3826</v>
      </c>
      <c r="E1882" s="5">
        <v>335.34</v>
      </c>
      <c r="F1882" s="6">
        <f>LOOKUP(D1882,'AMFI DATA_2023H2'!F:J,'AMFI DATA_2023H2'!J:J)</f>
        <v>611.19614999999999</v>
      </c>
      <c r="G1882" s="7">
        <f t="shared" si="16"/>
        <v>0.8504697714473497</v>
      </c>
      <c r="H1882" s="9">
        <v>1131</v>
      </c>
      <c r="I1882" s="9">
        <v>1121</v>
      </c>
      <c r="J1882" s="9">
        <v>1114</v>
      </c>
      <c r="K1882" s="9">
        <v>1148</v>
      </c>
      <c r="L1882" s="9">
        <v>1046</v>
      </c>
      <c r="M1882" s="9">
        <v>1037</v>
      </c>
      <c r="N1882" s="9">
        <v>972</v>
      </c>
      <c r="O1882" s="9">
        <v>949</v>
      </c>
      <c r="P1882" s="9">
        <v>972</v>
      </c>
      <c r="Q1882" s="9">
        <v>978</v>
      </c>
      <c r="R1882" s="7">
        <f t="shared" si="17"/>
        <v>0.7127071235641782</v>
      </c>
      <c r="S1882" s="9"/>
      <c r="T1882" s="9"/>
      <c r="U1882" s="9"/>
      <c r="V1882" s="9"/>
      <c r="W1882" s="9"/>
      <c r="X1882" s="9"/>
      <c r="Y1882" s="9"/>
      <c r="Z1882" s="9"/>
      <c r="AA1882" s="9"/>
      <c r="AB1882" s="9"/>
    </row>
    <row r="1883" spans="1:28" ht="14.4" hidden="1">
      <c r="A1883" s="3">
        <f>LOOKUP(D1883,'AMFI DATA_2023H2'!F:L,'AMFI DATA_2023H2'!L:L)</f>
        <v>2059</v>
      </c>
      <c r="B1883" s="4" t="s">
        <v>4820</v>
      </c>
      <c r="C1883" s="4" t="s">
        <v>4821</v>
      </c>
      <c r="D1883" s="5" t="s">
        <v>4822</v>
      </c>
      <c r="E1883" s="5">
        <v>160.22</v>
      </c>
      <c r="F1883" s="6">
        <f>LOOKUP(D1883,'AMFI DATA_2023H2'!F:J,'AMFI DATA_2023H2'!J:J)</f>
        <v>171.50029999999998</v>
      </c>
      <c r="G1883" s="7">
        <f t="shared" si="16"/>
        <v>7.8715314200616726E-2</v>
      </c>
      <c r="H1883" s="9">
        <v>185</v>
      </c>
      <c r="I1883" s="9">
        <v>185</v>
      </c>
      <c r="J1883" s="9">
        <v>186</v>
      </c>
      <c r="K1883" s="9">
        <v>182</v>
      </c>
      <c r="L1883" s="9">
        <v>185</v>
      </c>
      <c r="M1883" s="9">
        <v>185</v>
      </c>
      <c r="N1883" s="9">
        <v>184</v>
      </c>
      <c r="O1883" s="9">
        <v>184</v>
      </c>
      <c r="P1883" s="9">
        <v>181</v>
      </c>
      <c r="Q1883" s="9">
        <v>182</v>
      </c>
      <c r="R1883" s="7">
        <f t="shared" si="17"/>
        <v>7.2301331251315659E-2</v>
      </c>
      <c r="S1883" s="9"/>
      <c r="T1883" s="9"/>
      <c r="U1883" s="9"/>
      <c r="V1883" s="9"/>
      <c r="W1883" s="9"/>
      <c r="X1883" s="9"/>
      <c r="Y1883" s="9"/>
      <c r="Z1883" s="9"/>
      <c r="AA1883" s="9"/>
      <c r="AB1883" s="9"/>
    </row>
    <row r="1884" spans="1:28" ht="14.4" hidden="1">
      <c r="A1884" s="3">
        <f>LOOKUP(D1884,'AMFI DATA_2023H2'!F:L,'AMFI DATA_2023H2'!L:L)</f>
        <v>390</v>
      </c>
      <c r="B1884" s="4" t="s">
        <v>1173</v>
      </c>
      <c r="C1884" s="4" t="s">
        <v>1174</v>
      </c>
      <c r="D1884" s="5" t="s">
        <v>1175</v>
      </c>
      <c r="E1884" s="5">
        <v>5833.73</v>
      </c>
      <c r="F1884" s="6">
        <f>LOOKUP(D1884,'AMFI DATA_2023H2'!F:J,'AMFI DATA_2023H2'!J:J)</f>
        <v>10685.470949999999</v>
      </c>
      <c r="G1884" s="7">
        <f t="shared" si="16"/>
        <v>0.36615410479404287</v>
      </c>
      <c r="H1884" s="8">
        <v>14598</v>
      </c>
      <c r="I1884" s="8">
        <v>14602</v>
      </c>
      <c r="J1884" s="8">
        <v>14618</v>
      </c>
      <c r="K1884" s="8">
        <v>14994</v>
      </c>
      <c r="L1884" s="8">
        <v>14943</v>
      </c>
      <c r="M1884" s="8">
        <v>14366</v>
      </c>
      <c r="N1884" s="8">
        <v>14345</v>
      </c>
      <c r="O1884" s="8">
        <v>14445</v>
      </c>
      <c r="P1884" s="8">
        <v>14262</v>
      </c>
      <c r="Q1884" s="8">
        <v>13883</v>
      </c>
      <c r="R1884" s="7">
        <f t="shared" si="17"/>
        <v>0.3575068490546971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</row>
    <row r="1885" spans="1:28" ht="14.4" hidden="1">
      <c r="A1885" s="3">
        <f>LOOKUP(D1885,'AMFI DATA_2023H2'!F:L,'AMFI DATA_2023H2'!L:L)</f>
        <v>695</v>
      </c>
      <c r="B1885" s="4" t="s">
        <v>2037</v>
      </c>
      <c r="C1885" s="4" t="s">
        <v>2038</v>
      </c>
      <c r="D1885" s="5" t="s">
        <v>2039</v>
      </c>
      <c r="E1885" s="5">
        <v>2166.67</v>
      </c>
      <c r="F1885" s="6">
        <f>LOOKUP(D1885,'AMFI DATA_2023H2'!F:J,'AMFI DATA_2023H2'!J:J)</f>
        <v>3938.00315</v>
      </c>
      <c r="G1885" s="7">
        <f t="shared" si="16"/>
        <v>0.17191374008931404</v>
      </c>
      <c r="H1885" s="8">
        <v>4615</v>
      </c>
      <c r="I1885" s="8">
        <v>4629</v>
      </c>
      <c r="J1885" s="8">
        <v>4579</v>
      </c>
      <c r="K1885" s="8">
        <v>4554</v>
      </c>
      <c r="L1885" s="8">
        <v>4496</v>
      </c>
      <c r="M1885" s="8">
        <v>4514</v>
      </c>
      <c r="N1885" s="8">
        <v>4496</v>
      </c>
      <c r="O1885" s="8">
        <v>4496</v>
      </c>
      <c r="P1885" s="8">
        <v>4505</v>
      </c>
      <c r="Q1885" s="8">
        <v>4566</v>
      </c>
      <c r="R1885" s="7">
        <f t="shared" si="17"/>
        <v>0.15413823373909685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</row>
    <row r="1886" spans="1:28" ht="14.4" hidden="1">
      <c r="A1886" s="3">
        <f>LOOKUP(D1886,'AMFI DATA_2023H2'!F:L,'AMFI DATA_2023H2'!L:L)</f>
        <v>1993</v>
      </c>
      <c r="B1886" s="4" t="s">
        <v>4721</v>
      </c>
      <c r="C1886" s="4" t="s">
        <v>4722</v>
      </c>
      <c r="D1886" s="5" t="s">
        <v>4723</v>
      </c>
      <c r="E1886" s="5">
        <v>7547.59</v>
      </c>
      <c r="F1886" s="6">
        <f>LOOKUP(D1886,'AMFI DATA_2023H2'!F:J,'AMFI DATA_2023H2'!J:J)</f>
        <v>190.39400000000001</v>
      </c>
      <c r="G1886" s="7">
        <f t="shared" si="16"/>
        <v>-1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7">
        <f t="shared" si="17"/>
        <v>-1</v>
      </c>
      <c r="S1886" s="9"/>
      <c r="T1886" s="9"/>
      <c r="U1886" s="9"/>
      <c r="V1886" s="9"/>
      <c r="W1886" s="9"/>
      <c r="X1886" s="9"/>
      <c r="Y1886" s="9"/>
      <c r="Z1886" s="9"/>
      <c r="AA1886" s="9"/>
      <c r="AB1886" s="9"/>
    </row>
    <row r="1887" spans="1:28" ht="14.4" hidden="1">
      <c r="A1887" s="3">
        <f>LOOKUP(D1887,'AMFI DATA_2023H2'!F:L,'AMFI DATA_2023H2'!L:L)</f>
        <v>1993</v>
      </c>
      <c r="B1887" s="4" t="s">
        <v>4724</v>
      </c>
      <c r="C1887" s="4" t="s">
        <v>4725</v>
      </c>
      <c r="D1887" s="5" t="s">
        <v>4726</v>
      </c>
      <c r="E1887" s="5">
        <v>108.7</v>
      </c>
      <c r="F1887" s="6">
        <f>LOOKUP(D1887,'AMFI DATA_2023H2'!F:J,'AMFI DATA_2023H2'!J:J)</f>
        <v>190.39400000000001</v>
      </c>
      <c r="G1887" s="7">
        <f t="shared" si="16"/>
        <v>0.24478712564471561</v>
      </c>
      <c r="H1887" s="9">
        <v>237</v>
      </c>
      <c r="I1887" s="9">
        <v>241</v>
      </c>
      <c r="J1887" s="9">
        <v>245</v>
      </c>
      <c r="K1887" s="9">
        <v>234</v>
      </c>
      <c r="L1887" s="9">
        <v>232</v>
      </c>
      <c r="M1887" s="9">
        <v>227</v>
      </c>
      <c r="N1887" s="9">
        <v>222</v>
      </c>
      <c r="O1887" s="9">
        <v>223</v>
      </c>
      <c r="P1887" s="9">
        <v>229</v>
      </c>
      <c r="Q1887" s="9">
        <v>230</v>
      </c>
      <c r="R1887" s="7">
        <f t="shared" si="17"/>
        <v>0.2185257938800591</v>
      </c>
      <c r="S1887" s="9"/>
      <c r="T1887" s="9"/>
      <c r="U1887" s="9"/>
      <c r="V1887" s="9"/>
      <c r="W1887" s="9"/>
      <c r="X1887" s="9"/>
      <c r="Y1887" s="9"/>
      <c r="Z1887" s="9"/>
      <c r="AA1887" s="9"/>
      <c r="AB1887" s="9"/>
    </row>
    <row r="1888" spans="1:28" ht="14.4" hidden="1">
      <c r="A1888" s="3">
        <f>LOOKUP(D1888,'AMFI DATA_2023H2'!F:L,'AMFI DATA_2023H2'!L:L)</f>
        <v>829</v>
      </c>
      <c r="B1888" s="4" t="s">
        <v>2408</v>
      </c>
      <c r="C1888" s="4" t="s">
        <v>2409</v>
      </c>
      <c r="D1888" s="5" t="s">
        <v>2410</v>
      </c>
      <c r="E1888" s="5">
        <v>1730.19</v>
      </c>
      <c r="F1888" s="6">
        <f>LOOKUP(D1888,'AMFI DATA_2023H2'!F:J,'AMFI DATA_2023H2'!J:J)</f>
        <v>2649.7271000000001</v>
      </c>
      <c r="G1888" s="7">
        <f t="shared" si="16"/>
        <v>7.7092052234360331E-2</v>
      </c>
      <c r="H1888" s="8">
        <v>2854</v>
      </c>
      <c r="I1888" s="8">
        <v>2845</v>
      </c>
      <c r="J1888" s="8">
        <v>2811</v>
      </c>
      <c r="K1888" s="8">
        <v>2880</v>
      </c>
      <c r="L1888" s="8">
        <v>2849</v>
      </c>
      <c r="M1888" s="8">
        <v>2948</v>
      </c>
      <c r="N1888" s="8">
        <v>2789</v>
      </c>
      <c r="O1888" s="8">
        <v>2820</v>
      </c>
      <c r="P1888" s="8">
        <v>2866</v>
      </c>
      <c r="Q1888" s="8">
        <v>2784</v>
      </c>
      <c r="R1888" s="7">
        <f t="shared" si="17"/>
        <v>7.3544517093854678E-2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</row>
    <row r="1889" spans="1:28" ht="14.4" hidden="1">
      <c r="A1889" s="3">
        <f>LOOKUP(D1889,'AMFI DATA_2023H2'!F:L,'AMFI DATA_2023H2'!L:L)</f>
        <v>668</v>
      </c>
      <c r="B1889" s="4" t="s">
        <v>1959</v>
      </c>
      <c r="C1889" s="4" t="s">
        <v>1960</v>
      </c>
      <c r="D1889" s="5" t="s">
        <v>1961</v>
      </c>
      <c r="E1889" s="5">
        <v>3480.45</v>
      </c>
      <c r="F1889" s="6">
        <f>LOOKUP(D1889,'AMFI DATA_2023H2'!F:J,'AMFI DATA_2023H2'!J:J)</f>
        <v>4218.3248999999996</v>
      </c>
      <c r="G1889" s="7">
        <f t="shared" si="16"/>
        <v>0.13030648729783723</v>
      </c>
      <c r="H1889" s="8">
        <v>4768</v>
      </c>
      <c r="I1889" s="8">
        <v>4721</v>
      </c>
      <c r="J1889" s="8">
        <v>4761</v>
      </c>
      <c r="K1889" s="8">
        <v>4727</v>
      </c>
      <c r="L1889" s="8">
        <v>4788</v>
      </c>
      <c r="M1889" s="8">
        <v>4834</v>
      </c>
      <c r="N1889" s="8">
        <v>4768</v>
      </c>
      <c r="O1889" s="8">
        <v>4837</v>
      </c>
      <c r="P1889" s="8">
        <v>4862</v>
      </c>
      <c r="Q1889" s="8">
        <v>4803</v>
      </c>
      <c r="R1889" s="7">
        <f t="shared" si="17"/>
        <v>0.13478693876804049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</row>
    <row r="1890" spans="1:28" ht="14.4" hidden="1">
      <c r="A1890" s="3">
        <f>LOOKUP(D1890,'AMFI DATA_2023H2'!F:L,'AMFI DATA_2023H2'!L:L)</f>
        <v>332</v>
      </c>
      <c r="B1890" s="4" t="s">
        <v>1005</v>
      </c>
      <c r="C1890" s="4" t="s">
        <v>1006</v>
      </c>
      <c r="D1890" s="5" t="s">
        <v>1007</v>
      </c>
      <c r="E1890" s="5">
        <v>11472.54</v>
      </c>
      <c r="F1890" s="6">
        <f>LOOKUP(D1890,'AMFI DATA_2023H2'!F:J,'AMFI DATA_2023H2'!J:J)</f>
        <v>13978.04465</v>
      </c>
      <c r="G1890" s="7">
        <f t="shared" si="16"/>
        <v>-8.3848970249211452E-2</v>
      </c>
      <c r="H1890" s="8">
        <v>12806</v>
      </c>
      <c r="I1890" s="8">
        <v>12733</v>
      </c>
      <c r="J1890" s="8">
        <v>12739</v>
      </c>
      <c r="K1890" s="8">
        <v>12800</v>
      </c>
      <c r="L1890" s="8">
        <v>12819</v>
      </c>
      <c r="M1890" s="8">
        <v>12650</v>
      </c>
      <c r="N1890" s="8">
        <v>12732</v>
      </c>
      <c r="O1890" s="8">
        <v>12532</v>
      </c>
      <c r="P1890" s="8">
        <v>12828</v>
      </c>
      <c r="Q1890" s="8">
        <v>12806</v>
      </c>
      <c r="R1890" s="7">
        <f t="shared" si="17"/>
        <v>-8.8248727263866567E-2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</row>
    <row r="1891" spans="1:28" ht="14.4" hidden="1">
      <c r="A1891" s="3">
        <f>LOOKUP(D1891,'AMFI DATA_2023H2'!F:L,'AMFI DATA_2023H2'!L:L)</f>
        <v>990</v>
      </c>
      <c r="B1891" s="4" t="s">
        <v>2834</v>
      </c>
      <c r="C1891" s="4" t="s">
        <v>2835</v>
      </c>
      <c r="D1891" s="5" t="s">
        <v>2836</v>
      </c>
      <c r="E1891" s="5">
        <v>1339.46</v>
      </c>
      <c r="F1891" s="6">
        <f>LOOKUP(D1891,'AMFI DATA_2023H2'!F:J,'AMFI DATA_2023H2'!J:J)</f>
        <v>1763.5893000000001</v>
      </c>
      <c r="G1891" s="7">
        <f t="shared" si="16"/>
        <v>-7.9150684345839495E-2</v>
      </c>
      <c r="H1891" s="8">
        <v>1624</v>
      </c>
      <c r="I1891" s="8">
        <v>1624</v>
      </c>
      <c r="J1891" s="8">
        <v>1644</v>
      </c>
      <c r="K1891" s="8">
        <v>1641</v>
      </c>
      <c r="L1891" s="8">
        <v>1651</v>
      </c>
      <c r="M1891" s="8">
        <v>1675</v>
      </c>
      <c r="N1891" s="8">
        <v>1666</v>
      </c>
      <c r="O1891" s="8">
        <v>1698</v>
      </c>
      <c r="P1891" s="8">
        <v>1676</v>
      </c>
      <c r="Q1891" s="8">
        <v>1639</v>
      </c>
      <c r="R1891" s="7">
        <f t="shared" si="17"/>
        <v>-6.2253326213762006E-2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</row>
    <row r="1892" spans="1:28" ht="14.4" hidden="1">
      <c r="A1892" s="3">
        <f>LOOKUP(D1892,'AMFI DATA_2023H2'!F:L,'AMFI DATA_2023H2'!L:L)</f>
        <v>270</v>
      </c>
      <c r="B1892" s="4" t="s">
        <v>819</v>
      </c>
      <c r="C1892" s="4" t="s">
        <v>820</v>
      </c>
      <c r="D1892" s="5" t="s">
        <v>821</v>
      </c>
      <c r="E1892" s="5">
        <v>17409.32</v>
      </c>
      <c r="F1892" s="6">
        <f>LOOKUP(D1892,'AMFI DATA_2023H2'!F:J,'AMFI DATA_2023H2'!J:J)</f>
        <v>19551.60095</v>
      </c>
      <c r="G1892" s="7">
        <f t="shared" si="16"/>
        <v>-0.11613376090309369</v>
      </c>
      <c r="H1892" s="8">
        <v>17281</v>
      </c>
      <c r="I1892" s="8">
        <v>17207</v>
      </c>
      <c r="J1892" s="8">
        <v>17308</v>
      </c>
      <c r="K1892" s="8">
        <v>17200</v>
      </c>
      <c r="L1892" s="8">
        <v>17293</v>
      </c>
      <c r="M1892" s="8">
        <v>17255</v>
      </c>
      <c r="N1892" s="8">
        <v>17241</v>
      </c>
      <c r="O1892" s="8">
        <v>17204</v>
      </c>
      <c r="P1892" s="8">
        <v>17320</v>
      </c>
      <c r="Q1892" s="8">
        <v>17245</v>
      </c>
      <c r="R1892" s="7">
        <f t="shared" si="17"/>
        <v>-0.11744311659552353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</row>
    <row r="1893" spans="1:28" ht="14.4" hidden="1">
      <c r="A1893" s="3">
        <f>LOOKUP(D1893,'AMFI DATA_2023H2'!F:L,'AMFI DATA_2023H2'!L:L)</f>
        <v>3187</v>
      </c>
      <c r="B1893" s="4" t="s">
        <v>5611</v>
      </c>
      <c r="C1893" s="4" t="s">
        <v>5612</v>
      </c>
      <c r="D1893" s="5" t="s">
        <v>5613</v>
      </c>
      <c r="E1893" s="5">
        <v>22.64</v>
      </c>
      <c r="F1893" s="6">
        <f>LOOKUP(D1893,'AMFI DATA_2023H2'!F:J,'AMFI DATA_2023H2'!J:J)</f>
        <v>28.723050000000001</v>
      </c>
      <c r="G1893" s="7">
        <f t="shared" si="16"/>
        <v>0.41001739021447925</v>
      </c>
      <c r="H1893" s="9">
        <v>40.5</v>
      </c>
      <c r="I1893" s="9">
        <v>40.299999999999997</v>
      </c>
      <c r="J1893" s="9">
        <v>40.200000000000003</v>
      </c>
      <c r="K1893" s="9">
        <v>40.799999999999997</v>
      </c>
      <c r="L1893" s="9">
        <v>39.5</v>
      </c>
      <c r="M1893" s="9">
        <v>38.6</v>
      </c>
      <c r="N1893" s="9">
        <v>38.799999999999997</v>
      </c>
      <c r="O1893" s="9">
        <v>40.200000000000003</v>
      </c>
      <c r="P1893" s="9">
        <v>39.4</v>
      </c>
      <c r="Q1893" s="9">
        <v>38.4</v>
      </c>
      <c r="R1893" s="7">
        <f t="shared" si="17"/>
        <v>0.38112073752613296</v>
      </c>
      <c r="S1893" s="9"/>
      <c r="T1893" s="9"/>
      <c r="U1893" s="9"/>
      <c r="V1893" s="9"/>
      <c r="W1893" s="9"/>
      <c r="X1893" s="9"/>
      <c r="Y1893" s="9"/>
      <c r="Z1893" s="9"/>
      <c r="AA1893" s="9"/>
      <c r="AB1893" s="9"/>
    </row>
    <row r="1894" spans="1:28" ht="14.4" hidden="1">
      <c r="A1894" s="3">
        <f>LOOKUP(D1894,'AMFI DATA_2023H2'!F:L,'AMFI DATA_2023H2'!L:L)</f>
        <v>1310</v>
      </c>
      <c r="B1894" s="4" t="s">
        <v>3596</v>
      </c>
      <c r="C1894" s="4" t="s">
        <v>3597</v>
      </c>
      <c r="D1894" s="5" t="s">
        <v>3598</v>
      </c>
      <c r="E1894" s="5">
        <v>557.01</v>
      </c>
      <c r="F1894" s="6">
        <f>LOOKUP(D1894,'AMFI DATA_2023H2'!F:J,'AMFI DATA_2023H2'!J:J)</f>
        <v>791.64490000000001</v>
      </c>
      <c r="G1894" s="7">
        <f t="shared" si="16"/>
        <v>0.31372033092109852</v>
      </c>
      <c r="H1894" s="9">
        <v>1040</v>
      </c>
      <c r="I1894" s="9">
        <v>1046</v>
      </c>
      <c r="J1894" s="9">
        <v>1054</v>
      </c>
      <c r="K1894" s="9">
        <v>1098</v>
      </c>
      <c r="L1894" s="9">
        <v>992</v>
      </c>
      <c r="M1894" s="9">
        <v>893</v>
      </c>
      <c r="N1894" s="9">
        <v>900</v>
      </c>
      <c r="O1894" s="9">
        <v>891</v>
      </c>
      <c r="P1894" s="9">
        <v>900</v>
      </c>
      <c r="Q1894" s="9">
        <v>892</v>
      </c>
      <c r="R1894" s="7">
        <f t="shared" si="17"/>
        <v>0.22605476268463298</v>
      </c>
      <c r="S1894" s="9"/>
      <c r="T1894" s="9"/>
      <c r="U1894" s="9"/>
      <c r="V1894" s="9"/>
      <c r="W1894" s="9"/>
      <c r="X1894" s="9"/>
      <c r="Y1894" s="9"/>
      <c r="Z1894" s="9"/>
      <c r="AA1894" s="9"/>
      <c r="AB1894" s="9"/>
    </row>
    <row r="1895" spans="1:28" ht="14.4" hidden="1">
      <c r="A1895" s="3">
        <f>LOOKUP(D1895,'AMFI DATA_2023H2'!F:L,'AMFI DATA_2023H2'!L:L)</f>
        <v>1537</v>
      </c>
      <c r="B1895" s="4" t="s">
        <v>4028</v>
      </c>
      <c r="C1895" s="4" t="s">
        <v>4029</v>
      </c>
      <c r="D1895" s="5" t="s">
        <v>4030</v>
      </c>
      <c r="E1895" s="5">
        <v>297.63</v>
      </c>
      <c r="F1895" s="6">
        <f>LOOKUP(D1895,'AMFI DATA_2023H2'!F:J,'AMFI DATA_2023H2'!J:J)</f>
        <v>469.79965000000004</v>
      </c>
      <c r="G1895" s="7">
        <f t="shared" si="16"/>
        <v>0.16858324607095798</v>
      </c>
      <c r="H1895" s="9">
        <v>549</v>
      </c>
      <c r="I1895" s="9">
        <v>550</v>
      </c>
      <c r="J1895" s="9">
        <v>555</v>
      </c>
      <c r="K1895" s="9">
        <v>560</v>
      </c>
      <c r="L1895" s="9">
        <v>565</v>
      </c>
      <c r="M1895" s="9">
        <v>562</v>
      </c>
      <c r="N1895" s="9">
        <v>557</v>
      </c>
      <c r="O1895" s="9">
        <v>564</v>
      </c>
      <c r="P1895" s="9">
        <v>574</v>
      </c>
      <c r="Q1895" s="9">
        <v>589</v>
      </c>
      <c r="R1895" s="7">
        <f t="shared" si="17"/>
        <v>0.19731889966286675</v>
      </c>
      <c r="S1895" s="9"/>
      <c r="T1895" s="9"/>
      <c r="U1895" s="9"/>
      <c r="V1895" s="9"/>
      <c r="W1895" s="9"/>
      <c r="X1895" s="9"/>
      <c r="Y1895" s="9"/>
      <c r="Z1895" s="9"/>
      <c r="AA1895" s="9"/>
      <c r="AB1895" s="9"/>
    </row>
    <row r="1896" spans="1:28" ht="14.4" hidden="1">
      <c r="A1896" s="3">
        <f>LOOKUP(D1896,'AMFI DATA_2023H2'!F:L,'AMFI DATA_2023H2'!L:L)</f>
        <v>3044</v>
      </c>
      <c r="B1896" s="4" t="s">
        <v>5560</v>
      </c>
      <c r="C1896" s="4" t="s">
        <v>5561</v>
      </c>
      <c r="D1896" s="5" t="s">
        <v>5562</v>
      </c>
      <c r="E1896" s="5">
        <v>297.63</v>
      </c>
      <c r="F1896" s="6">
        <f>LOOKUP(D1896,'AMFI DATA_2023H2'!F:J,'AMFI DATA_2023H2'!J:J)</f>
        <v>35.420850000000002</v>
      </c>
      <c r="G1896" s="7">
        <f t="shared" si="16"/>
        <v>-0.29137781843179933</v>
      </c>
      <c r="H1896" s="9">
        <v>25.1</v>
      </c>
      <c r="I1896" s="9">
        <v>25.1</v>
      </c>
      <c r="J1896" s="9">
        <v>24.6</v>
      </c>
      <c r="K1896" s="9">
        <v>24.8</v>
      </c>
      <c r="L1896" s="9">
        <v>24.5</v>
      </c>
      <c r="M1896" s="9">
        <v>24</v>
      </c>
      <c r="N1896" s="9">
        <v>24.5</v>
      </c>
      <c r="O1896" s="9">
        <v>25</v>
      </c>
      <c r="P1896" s="9">
        <v>24.6</v>
      </c>
      <c r="Q1896" s="9">
        <v>25.5</v>
      </c>
      <c r="R1896" s="7">
        <f t="shared" si="17"/>
        <v>-0.30069436504205849</v>
      </c>
      <c r="S1896" s="9"/>
      <c r="T1896" s="9"/>
      <c r="U1896" s="9"/>
      <c r="V1896" s="9"/>
      <c r="W1896" s="9"/>
      <c r="X1896" s="9"/>
      <c r="Y1896" s="9"/>
      <c r="Z1896" s="9"/>
      <c r="AA1896" s="9"/>
      <c r="AB1896" s="9"/>
    </row>
    <row r="1897" spans="1:28" ht="14.4" hidden="1">
      <c r="A1897" s="3">
        <f>LOOKUP(D1897,'AMFI DATA_2023H2'!F:L,'AMFI DATA_2023H2'!L:L)</f>
        <v>28</v>
      </c>
      <c r="B1897" s="4" t="s">
        <v>90</v>
      </c>
      <c r="C1897" s="4" t="s">
        <v>91</v>
      </c>
      <c r="D1897" s="5" t="s">
        <v>92</v>
      </c>
      <c r="E1897" s="5">
        <v>212996.82</v>
      </c>
      <c r="F1897" s="6">
        <f>LOOKUP(D1897,'AMFI DATA_2023H2'!F:J,'AMFI DATA_2023H2'!J:J)</f>
        <v>218284.78019999998</v>
      </c>
      <c r="G1897" s="7">
        <f t="shared" si="16"/>
        <v>9.3145384581421409E-2</v>
      </c>
      <c r="H1897" s="8">
        <v>238617</v>
      </c>
      <c r="I1897" s="8">
        <v>236344</v>
      </c>
      <c r="J1897" s="8">
        <v>238173</v>
      </c>
      <c r="K1897" s="8">
        <v>245121</v>
      </c>
      <c r="L1897" s="8">
        <v>249274</v>
      </c>
      <c r="M1897" s="8">
        <v>246427</v>
      </c>
      <c r="N1897" s="8">
        <v>245121</v>
      </c>
      <c r="O1897" s="8">
        <v>246035</v>
      </c>
      <c r="P1897" s="8">
        <v>245538</v>
      </c>
      <c r="Q1897" s="8">
        <v>241673</v>
      </c>
      <c r="R1897" s="7">
        <f t="shared" si="17"/>
        <v>0.11428886511071568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</row>
    <row r="1898" spans="1:28" ht="14.4" hidden="1">
      <c r="A1898" s="3">
        <f>LOOKUP(D1898,'AMFI DATA_2023H2'!F:L,'AMFI DATA_2023H2'!L:L)</f>
        <v>696</v>
      </c>
      <c r="B1898" s="4" t="s">
        <v>2040</v>
      </c>
      <c r="C1898" s="4" t="s">
        <v>2041</v>
      </c>
      <c r="D1898" s="5" t="s">
        <v>2042</v>
      </c>
      <c r="E1898" s="5">
        <v>2714.14</v>
      </c>
      <c r="F1898" s="6">
        <f>LOOKUP(D1898,'AMFI DATA_2023H2'!F:J,'AMFI DATA_2023H2'!J:J)</f>
        <v>3923.6253500000003</v>
      </c>
      <c r="G1898" s="7">
        <f t="shared" si="16"/>
        <v>0.7878873170191949</v>
      </c>
      <c r="H1898" s="8">
        <v>7015</v>
      </c>
      <c r="I1898" s="8">
        <v>7111</v>
      </c>
      <c r="J1898" s="8">
        <v>7116</v>
      </c>
      <c r="K1898" s="8">
        <v>6978</v>
      </c>
      <c r="L1898" s="8">
        <v>6772</v>
      </c>
      <c r="M1898" s="8">
        <v>6108</v>
      </c>
      <c r="N1898" s="8">
        <v>5926</v>
      </c>
      <c r="O1898" s="8">
        <v>6017</v>
      </c>
      <c r="P1898" s="8">
        <v>6039</v>
      </c>
      <c r="Q1898" s="8">
        <v>5918</v>
      </c>
      <c r="R1898" s="7">
        <f t="shared" si="17"/>
        <v>0.65663115618314571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</row>
    <row r="1899" spans="1:28" ht="14.4" hidden="1">
      <c r="A1899" s="3">
        <f>LOOKUP(D1899,'AMFI DATA_2023H2'!F:L,'AMFI DATA_2023H2'!L:L)</f>
        <v>1651</v>
      </c>
      <c r="B1899" s="4" t="s">
        <v>4241</v>
      </c>
      <c r="C1899" s="4" t="s">
        <v>4242</v>
      </c>
      <c r="D1899" s="5" t="s">
        <v>4243</v>
      </c>
      <c r="E1899" s="5">
        <v>308.16000000000003</v>
      </c>
      <c r="F1899" s="6">
        <f>LOOKUP(D1899,'AMFI DATA_2023H2'!F:J,'AMFI DATA_2023H2'!J:J)</f>
        <v>365.59659999999997</v>
      </c>
      <c r="G1899" s="7">
        <f t="shared" si="16"/>
        <v>0.3293340255352486</v>
      </c>
      <c r="H1899" s="9">
        <v>486</v>
      </c>
      <c r="I1899" s="9">
        <v>490</v>
      </c>
      <c r="J1899" s="9">
        <v>501</v>
      </c>
      <c r="K1899" s="9">
        <v>517</v>
      </c>
      <c r="L1899" s="9">
        <v>536</v>
      </c>
      <c r="M1899" s="9">
        <v>545</v>
      </c>
      <c r="N1899" s="9">
        <v>543</v>
      </c>
      <c r="O1899" s="9">
        <v>585</v>
      </c>
      <c r="P1899" s="9">
        <v>502</v>
      </c>
      <c r="Q1899" s="9">
        <v>413</v>
      </c>
      <c r="R1899" s="7">
        <f t="shared" si="17"/>
        <v>0.39990360960687288</v>
      </c>
      <c r="S1899" s="9"/>
      <c r="T1899" s="9"/>
      <c r="U1899" s="9"/>
      <c r="V1899" s="9"/>
      <c r="W1899" s="9"/>
      <c r="X1899" s="9"/>
      <c r="Y1899" s="9"/>
      <c r="Z1899" s="9"/>
      <c r="AA1899" s="9"/>
      <c r="AB1899" s="9"/>
    </row>
    <row r="1900" spans="1:28" ht="14.4" hidden="1">
      <c r="A1900" s="3">
        <f>LOOKUP(D1900,'AMFI DATA_2023H2'!F:L,'AMFI DATA_2023H2'!L:L)</f>
        <v>669</v>
      </c>
      <c r="B1900" s="4" t="s">
        <v>1962</v>
      </c>
      <c r="C1900" s="4" t="s">
        <v>1963</v>
      </c>
      <c r="D1900" s="5" t="s">
        <v>1964</v>
      </c>
      <c r="E1900" s="5">
        <v>2487.46</v>
      </c>
      <c r="F1900" s="6">
        <f>LOOKUP(D1900,'AMFI DATA_2023H2'!F:J,'AMFI DATA_2023H2'!J:J)</f>
        <v>4187.4423999999999</v>
      </c>
      <c r="G1900" s="7">
        <f t="shared" si="16"/>
        <v>0.17804605503349724</v>
      </c>
      <c r="H1900" s="8">
        <v>4933</v>
      </c>
      <c r="I1900" s="8">
        <v>4956</v>
      </c>
      <c r="J1900" s="8">
        <v>4876</v>
      </c>
      <c r="K1900" s="8">
        <v>4884</v>
      </c>
      <c r="L1900" s="8">
        <v>4877</v>
      </c>
      <c r="M1900" s="8">
        <v>4747</v>
      </c>
      <c r="N1900" s="8">
        <v>4752</v>
      </c>
      <c r="O1900" s="8">
        <v>4764</v>
      </c>
      <c r="P1900" s="8">
        <v>4746</v>
      </c>
      <c r="Q1900" s="8">
        <v>4775</v>
      </c>
      <c r="R1900" s="7">
        <f t="shared" si="17"/>
        <v>0.15368751102104716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</row>
    <row r="1901" spans="1:28" ht="14.4" hidden="1">
      <c r="A1901" s="3">
        <f>LOOKUP(D1901,'AMFI DATA_2023H2'!F:L,'AMFI DATA_2023H2'!L:L)</f>
        <v>2068</v>
      </c>
      <c r="B1901" s="4" t="s">
        <v>4835</v>
      </c>
      <c r="C1901" s="4" t="s">
        <v>4836</v>
      </c>
      <c r="D1901" s="5" t="s">
        <v>4837</v>
      </c>
      <c r="E1901" s="5">
        <v>159.21</v>
      </c>
      <c r="F1901" s="6">
        <f>LOOKUP(D1901,'AMFI DATA_2023H2'!F:J,'AMFI DATA_2023H2'!J:J)</f>
        <v>170.2867</v>
      </c>
      <c r="G1901" s="7">
        <f t="shared" si="16"/>
        <v>9.2275556458607744E-2</v>
      </c>
      <c r="H1901" s="9">
        <v>186</v>
      </c>
      <c r="I1901" s="9">
        <v>181</v>
      </c>
      <c r="J1901" s="9">
        <v>173</v>
      </c>
      <c r="K1901" s="9">
        <v>176</v>
      </c>
      <c r="L1901" s="9">
        <v>177</v>
      </c>
      <c r="M1901" s="9">
        <v>172</v>
      </c>
      <c r="N1901" s="9">
        <v>173</v>
      </c>
      <c r="O1901" s="9">
        <v>176</v>
      </c>
      <c r="P1901" s="9">
        <v>177</v>
      </c>
      <c r="Q1901" s="9">
        <v>175</v>
      </c>
      <c r="R1901" s="7">
        <f t="shared" si="17"/>
        <v>3.7074533712850188E-2</v>
      </c>
      <c r="S1901" s="9"/>
      <c r="T1901" s="9"/>
      <c r="U1901" s="9"/>
      <c r="V1901" s="9"/>
      <c r="W1901" s="9"/>
      <c r="X1901" s="9"/>
      <c r="Y1901" s="9"/>
      <c r="Z1901" s="9"/>
      <c r="AA1901" s="9"/>
      <c r="AB1901" s="9"/>
    </row>
    <row r="1902" spans="1:28" ht="14.4" hidden="1">
      <c r="A1902" s="3">
        <f>LOOKUP(D1902,'AMFI DATA_2023H2'!F:L,'AMFI DATA_2023H2'!L:L)</f>
        <v>1177</v>
      </c>
      <c r="B1902" s="4" t="s">
        <v>3287</v>
      </c>
      <c r="C1902" s="4" t="s">
        <v>3288</v>
      </c>
      <c r="D1902" s="5" t="s">
        <v>3289</v>
      </c>
      <c r="E1902" s="5">
        <v>697.82</v>
      </c>
      <c r="F1902" s="6">
        <f>LOOKUP(D1902,'AMFI DATA_2023H2'!F:J,'AMFI DATA_2023H2'!J:J)</f>
        <v>1091.4536499999999</v>
      </c>
      <c r="G1902" s="7">
        <f t="shared" si="16"/>
        <v>0.11411052590277193</v>
      </c>
      <c r="H1902" s="8">
        <v>1216</v>
      </c>
      <c r="I1902" s="8">
        <v>1233</v>
      </c>
      <c r="J1902" s="8">
        <v>1228</v>
      </c>
      <c r="K1902" s="8">
        <v>1201</v>
      </c>
      <c r="L1902" s="8">
        <v>1224</v>
      </c>
      <c r="M1902" s="8">
        <v>1205</v>
      </c>
      <c r="N1902" s="8">
        <v>1228</v>
      </c>
      <c r="O1902" s="8">
        <v>1229</v>
      </c>
      <c r="P1902" s="8">
        <v>1240</v>
      </c>
      <c r="Q1902" s="8">
        <v>1260</v>
      </c>
      <c r="R1902" s="7">
        <f t="shared" si="17"/>
        <v>0.12363910276904577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</row>
    <row r="1903" spans="1:28" ht="14.4" hidden="1">
      <c r="A1903" s="3">
        <f>LOOKUP(D1903,'AMFI DATA_2023H2'!F:L,'AMFI DATA_2023H2'!L:L)</f>
        <v>2201</v>
      </c>
      <c r="B1903" s="4" t="s">
        <v>5018</v>
      </c>
      <c r="C1903" s="4" t="s">
        <v>5019</v>
      </c>
      <c r="D1903" s="5" t="s">
        <v>5020</v>
      </c>
      <c r="E1903" s="5">
        <v>167.37</v>
      </c>
      <c r="F1903" s="6">
        <f>LOOKUP(D1903,'AMFI DATA_2023H2'!F:J,'AMFI DATA_2023H2'!J:J)</f>
        <v>131.74885</v>
      </c>
      <c r="G1903" s="7">
        <f t="shared" si="16"/>
        <v>0.3358750379984341</v>
      </c>
      <c r="H1903" s="9">
        <v>176</v>
      </c>
      <c r="I1903" s="9">
        <v>172</v>
      </c>
      <c r="J1903" s="9">
        <v>171</v>
      </c>
      <c r="K1903" s="9">
        <v>171</v>
      </c>
      <c r="L1903" s="9">
        <v>161</v>
      </c>
      <c r="M1903" s="9">
        <v>169</v>
      </c>
      <c r="N1903" s="9">
        <v>166</v>
      </c>
      <c r="O1903" s="9">
        <v>175</v>
      </c>
      <c r="P1903" s="9">
        <v>146</v>
      </c>
      <c r="Q1903" s="9">
        <v>147</v>
      </c>
      <c r="R1903" s="7">
        <f t="shared" si="17"/>
        <v>0.25541892775534669</v>
      </c>
      <c r="S1903" s="9"/>
      <c r="T1903" s="9"/>
      <c r="U1903" s="9"/>
      <c r="V1903" s="9"/>
      <c r="W1903" s="9"/>
      <c r="X1903" s="9"/>
      <c r="Y1903" s="9"/>
      <c r="Z1903" s="9"/>
      <c r="AA1903" s="9"/>
      <c r="AB1903" s="9"/>
    </row>
    <row r="1904" spans="1:28" ht="14.4">
      <c r="A1904" s="3">
        <f>LOOKUP(D1904,'AMFI DATA_2023H2'!F:L,'AMFI DATA_2023H2'!L:L)</f>
        <v>976</v>
      </c>
      <c r="B1904" s="4" t="s">
        <v>2798</v>
      </c>
      <c r="C1904" s="4" t="s">
        <v>2799</v>
      </c>
      <c r="D1904" s="5" t="s">
        <v>2800</v>
      </c>
      <c r="E1904" s="5">
        <v>1229.17</v>
      </c>
      <c r="F1904" s="6">
        <f>LOOKUP(D1904,'AMFI DATA_2023H2'!F:J,'AMFI DATA_2023H2'!J:J)</f>
        <v>1811.6079</v>
      </c>
      <c r="G1904" s="7">
        <f t="shared" si="16"/>
        <v>0.31651004613084321</v>
      </c>
      <c r="H1904" s="8">
        <v>2385</v>
      </c>
      <c r="I1904" s="8">
        <v>2332</v>
      </c>
      <c r="J1904" s="8">
        <v>2336</v>
      </c>
      <c r="K1904" s="8">
        <v>2129</v>
      </c>
      <c r="L1904" s="8">
        <v>2157</v>
      </c>
      <c r="M1904" s="8">
        <v>2150</v>
      </c>
      <c r="N1904" s="8">
        <v>2136</v>
      </c>
      <c r="O1904" s="8">
        <v>2164</v>
      </c>
      <c r="P1904" s="8">
        <v>2298</v>
      </c>
      <c r="Q1904" s="8">
        <v>2351</v>
      </c>
      <c r="R1904" s="14">
        <f t="shared" si="17"/>
        <v>0.23856823543328565</v>
      </c>
      <c r="S1904" s="8"/>
      <c r="T1904" s="8">
        <v>1150</v>
      </c>
      <c r="U1904" s="15">
        <f ca="1">IFERROR(__xludf.DUMMYFUNCTION("GOOGLEFINANCE(C1904,""PRICE"")"),1200)</f>
        <v>1200</v>
      </c>
      <c r="V1904" s="13" t="s">
        <v>5787</v>
      </c>
      <c r="W1904" s="7">
        <f ca="1">U1904/T1904-1</f>
        <v>4.3478260869565188E-2</v>
      </c>
      <c r="X1904" s="8"/>
      <c r="Y1904" s="8"/>
      <c r="Z1904" s="8"/>
      <c r="AA1904" s="8"/>
      <c r="AB1904" s="8"/>
    </row>
    <row r="1905" spans="1:28" ht="14.4" hidden="1">
      <c r="A1905" s="3">
        <f>LOOKUP(D1905,'AMFI DATA_2023H2'!F:L,'AMFI DATA_2023H2'!L:L)</f>
        <v>2306</v>
      </c>
      <c r="B1905" s="4" t="s">
        <v>5138</v>
      </c>
      <c r="C1905" s="4" t="s">
        <v>5139</v>
      </c>
      <c r="D1905" s="5" t="s">
        <v>5140</v>
      </c>
      <c r="E1905" s="5">
        <v>133.1</v>
      </c>
      <c r="F1905" s="6">
        <f>LOOKUP(D1905,'AMFI DATA_2023H2'!F:J,'AMFI DATA_2023H2'!J:J)</f>
        <v>110.55295</v>
      </c>
      <c r="G1905" s="7">
        <f t="shared" si="16"/>
        <v>0.16686167126250373</v>
      </c>
      <c r="H1905" s="9">
        <v>129</v>
      </c>
      <c r="I1905" s="9">
        <v>117</v>
      </c>
      <c r="J1905" s="9">
        <v>113</v>
      </c>
      <c r="K1905" s="9">
        <v>113</v>
      </c>
      <c r="L1905" s="9">
        <v>111</v>
      </c>
      <c r="M1905" s="9">
        <v>106</v>
      </c>
      <c r="N1905" s="9">
        <v>107</v>
      </c>
      <c r="O1905" s="9">
        <v>109</v>
      </c>
      <c r="P1905" s="9">
        <v>109</v>
      </c>
      <c r="Q1905" s="9">
        <v>112</v>
      </c>
      <c r="R1905" s="7">
        <f t="shared" si="17"/>
        <v>1.8516466543859744E-2</v>
      </c>
      <c r="S1905" s="9"/>
      <c r="T1905" s="9"/>
      <c r="U1905" s="9"/>
      <c r="V1905" s="9"/>
      <c r="W1905" s="9"/>
      <c r="X1905" s="9"/>
      <c r="Y1905" s="9"/>
      <c r="Z1905" s="9"/>
      <c r="AA1905" s="9"/>
      <c r="AB1905" s="9"/>
    </row>
    <row r="1906" spans="1:28" ht="14.4" hidden="1">
      <c r="A1906" s="3">
        <f>LOOKUP(D1906,'AMFI DATA_2023H2'!F:L,'AMFI DATA_2023H2'!L:L)</f>
        <v>953</v>
      </c>
      <c r="B1906" s="4" t="s">
        <v>2738</v>
      </c>
      <c r="C1906" s="4" t="s">
        <v>2739</v>
      </c>
      <c r="D1906" s="5" t="s">
        <v>2740</v>
      </c>
      <c r="E1906" s="5">
        <v>133.1</v>
      </c>
      <c r="F1906" s="6">
        <f>LOOKUP(D1906,'AMFI DATA_2023H2'!F:J,'AMFI DATA_2023H2'!J:J)</f>
        <v>1938.8611000000001</v>
      </c>
      <c r="G1906" s="7">
        <f t="shared" si="16"/>
        <v>-3.8095096136592788E-2</v>
      </c>
      <c r="H1906" s="8">
        <v>1865</v>
      </c>
      <c r="I1906" s="8">
        <v>1914</v>
      </c>
      <c r="J1906" s="8">
        <v>1932</v>
      </c>
      <c r="K1906" s="8">
        <v>1941</v>
      </c>
      <c r="L1906" s="8">
        <v>1961</v>
      </c>
      <c r="M1906" s="8">
        <v>1863</v>
      </c>
      <c r="N1906" s="8">
        <v>1843</v>
      </c>
      <c r="O1906" s="8">
        <v>1850</v>
      </c>
      <c r="P1906" s="8">
        <v>1886</v>
      </c>
      <c r="Q1906" s="8">
        <v>1811</v>
      </c>
      <c r="R1906" s="7">
        <f t="shared" si="17"/>
        <v>-2.69545353197298E-2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</row>
    <row r="1907" spans="1:28" ht="14.4" hidden="1">
      <c r="A1907" s="3">
        <f>LOOKUP(D1907,'AMFI DATA_2023H2'!F:L,'AMFI DATA_2023H2'!L:L)</f>
        <v>761</v>
      </c>
      <c r="B1907" s="4" t="s">
        <v>2228</v>
      </c>
      <c r="C1907" s="4" t="s">
        <v>2229</v>
      </c>
      <c r="D1907" s="5" t="s">
        <v>2230</v>
      </c>
      <c r="E1907" s="5">
        <v>133.1</v>
      </c>
      <c r="F1907" s="6">
        <f>LOOKUP(D1907,'AMFI DATA_2023H2'!F:J,'AMFI DATA_2023H2'!J:J)</f>
        <v>3231.5095000000001</v>
      </c>
      <c r="G1907" s="7">
        <f t="shared" si="16"/>
        <v>-1.0860249675886946E-3</v>
      </c>
      <c r="H1907" s="8">
        <v>3228</v>
      </c>
      <c r="I1907" s="8">
        <v>3219</v>
      </c>
      <c r="J1907" s="8">
        <v>3187</v>
      </c>
      <c r="K1907" s="8">
        <v>3170</v>
      </c>
      <c r="L1907" s="8">
        <v>3219</v>
      </c>
      <c r="M1907" s="8">
        <v>3228</v>
      </c>
      <c r="N1907" s="8">
        <v>3222</v>
      </c>
      <c r="O1907" s="8">
        <v>3267</v>
      </c>
      <c r="P1907" s="8">
        <v>3258</v>
      </c>
      <c r="Q1907" s="8">
        <v>3265</v>
      </c>
      <c r="R1907" s="7">
        <f t="shared" si="17"/>
        <v>-1.6120949048733513E-3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</row>
    <row r="1908" spans="1:28" ht="14.4" hidden="1">
      <c r="A1908" s="3">
        <f>LOOKUP(D1908,'AMFI DATA_2023H2'!F:L,'AMFI DATA_2023H2'!L:L)</f>
        <v>910</v>
      </c>
      <c r="B1908" s="4" t="s">
        <v>2636</v>
      </c>
      <c r="C1908" s="4" t="s">
        <v>2637</v>
      </c>
      <c r="D1908" s="5" t="s">
        <v>2638</v>
      </c>
      <c r="E1908" s="5">
        <v>133.1</v>
      </c>
      <c r="F1908" s="6">
        <f>LOOKUP(D1908,'AMFI DATA_2023H2'!F:J,'AMFI DATA_2023H2'!J:J)</f>
        <v>2124.6133500000001</v>
      </c>
      <c r="G1908" s="7">
        <f t="shared" si="16"/>
        <v>0.10043552159737668</v>
      </c>
      <c r="H1908" s="8">
        <v>2338</v>
      </c>
      <c r="I1908" s="8">
        <v>2327</v>
      </c>
      <c r="J1908" s="8">
        <v>2386</v>
      </c>
      <c r="K1908" s="8">
        <v>2383</v>
      </c>
      <c r="L1908" s="8">
        <v>2335</v>
      </c>
      <c r="M1908" s="8">
        <v>2260</v>
      </c>
      <c r="N1908" s="8">
        <v>2275</v>
      </c>
      <c r="O1908" s="8">
        <v>2246</v>
      </c>
      <c r="P1908" s="8">
        <v>2220</v>
      </c>
      <c r="Q1908" s="8">
        <v>2201</v>
      </c>
      <c r="R1908" s="7">
        <f t="shared" si="17"/>
        <v>8.1184960077559376E-2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</row>
    <row r="1909" spans="1:28" ht="14.4">
      <c r="A1909" s="3">
        <f>LOOKUP(D1909,'AMFI DATA_2023H2'!F:L,'AMFI DATA_2023H2'!L:L)</f>
        <v>124</v>
      </c>
      <c r="B1909" s="4" t="s">
        <v>384</v>
      </c>
      <c r="C1909" s="4" t="s">
        <v>385</v>
      </c>
      <c r="D1909" s="5" t="s">
        <v>386</v>
      </c>
      <c r="E1909" s="5">
        <v>48018.99</v>
      </c>
      <c r="F1909" s="6">
        <f>LOOKUP(D1909,'AMFI DATA_2023H2'!F:J,'AMFI DATA_2023H2'!J:J)</f>
        <v>51888.841350000002</v>
      </c>
      <c r="G1909" s="7">
        <f t="shared" si="16"/>
        <v>0.33030528730431929</v>
      </c>
      <c r="H1909" s="8">
        <v>69028</v>
      </c>
      <c r="I1909" s="8">
        <v>66871</v>
      </c>
      <c r="J1909" s="8">
        <v>65835</v>
      </c>
      <c r="K1909" s="8">
        <v>66727</v>
      </c>
      <c r="L1909" s="8">
        <v>65145</v>
      </c>
      <c r="M1909" s="8">
        <v>61722</v>
      </c>
      <c r="N1909" s="8">
        <v>60054</v>
      </c>
      <c r="O1909" s="8">
        <v>60256</v>
      </c>
      <c r="P1909" s="8">
        <v>60227</v>
      </c>
      <c r="Q1909" s="8">
        <v>60543</v>
      </c>
      <c r="R1909" s="14">
        <f t="shared" si="17"/>
        <v>0.2264833506443289</v>
      </c>
      <c r="S1909" s="8"/>
      <c r="T1909" s="8">
        <v>23.95</v>
      </c>
      <c r="U1909" s="15">
        <f ca="1">IFERROR(__xludf.DUMMYFUNCTION("GOOGLEFINANCE(C1909,""PRICE"")"),25.2)</f>
        <v>25.2</v>
      </c>
      <c r="V1909" s="13" t="s">
        <v>5787</v>
      </c>
      <c r="W1909" s="7">
        <f ca="1">U1909/T1909-1</f>
        <v>5.2192066805845538E-2</v>
      </c>
      <c r="X1909" s="8"/>
      <c r="Y1909" s="8"/>
      <c r="Z1909" s="8"/>
      <c r="AA1909" s="8"/>
      <c r="AB1909" s="8"/>
    </row>
    <row r="1910" spans="1:28" ht="14.4" hidden="1">
      <c r="A1910" s="3">
        <f>LOOKUP(D1910,'AMFI DATA_2023H2'!F:L,'AMFI DATA_2023H2'!L:L)</f>
        <v>1273</v>
      </c>
      <c r="B1910" s="4" t="s">
        <v>3500</v>
      </c>
      <c r="C1910" s="4" t="s">
        <v>3501</v>
      </c>
      <c r="D1910" s="5" t="s">
        <v>3502</v>
      </c>
      <c r="E1910" s="5">
        <v>667.93</v>
      </c>
      <c r="F1910" s="6">
        <f>LOOKUP(D1910,'AMFI DATA_2023H2'!F:J,'AMFI DATA_2023H2'!J:J)</f>
        <v>863.5249</v>
      </c>
      <c r="G1910" s="7">
        <f t="shared" si="16"/>
        <v>0.11172242977591029</v>
      </c>
      <c r="H1910" s="9">
        <v>960</v>
      </c>
      <c r="I1910" s="9">
        <v>965</v>
      </c>
      <c r="J1910" s="9">
        <v>983</v>
      </c>
      <c r="K1910" s="9">
        <v>888</v>
      </c>
      <c r="L1910" s="9">
        <v>900</v>
      </c>
      <c r="M1910" s="9">
        <v>930</v>
      </c>
      <c r="N1910" s="9">
        <v>932</v>
      </c>
      <c r="O1910" s="9">
        <v>927</v>
      </c>
      <c r="P1910" s="9">
        <v>916</v>
      </c>
      <c r="Q1910" s="9">
        <v>848</v>
      </c>
      <c r="R1910" s="7">
        <f t="shared" si="17"/>
        <v>7.1075078437228489E-2</v>
      </c>
      <c r="S1910" s="9"/>
      <c r="T1910" s="9"/>
      <c r="U1910" s="9"/>
      <c r="V1910" s="9"/>
      <c r="W1910" s="9"/>
      <c r="X1910" s="9"/>
      <c r="Y1910" s="9"/>
      <c r="Z1910" s="9"/>
      <c r="AA1910" s="9"/>
      <c r="AB1910" s="9"/>
    </row>
    <row r="1911" spans="1:28" ht="14.4" hidden="1">
      <c r="A1911" s="3">
        <f>LOOKUP(D1911,'AMFI DATA_2023H2'!F:L,'AMFI DATA_2023H2'!L:L)</f>
        <v>818</v>
      </c>
      <c r="B1911" s="4" t="s">
        <v>2375</v>
      </c>
      <c r="C1911" s="4" t="s">
        <v>2376</v>
      </c>
      <c r="D1911" s="5" t="s">
        <v>2377</v>
      </c>
      <c r="E1911" s="5">
        <v>667.93</v>
      </c>
      <c r="F1911" s="6">
        <f>LOOKUP(D1911,'AMFI DATA_2023H2'!F:J,'AMFI DATA_2023H2'!J:J)</f>
        <v>2745.8929499999999</v>
      </c>
      <c r="G1911" s="7">
        <f t="shared" si="16"/>
        <v>-2.2540190432405627E-2</v>
      </c>
      <c r="H1911" s="8">
        <v>2684</v>
      </c>
      <c r="I1911" s="8">
        <v>2672</v>
      </c>
      <c r="J1911" s="8">
        <v>2702</v>
      </c>
      <c r="K1911" s="8">
        <v>2619</v>
      </c>
      <c r="L1911" s="8">
        <v>2651</v>
      </c>
      <c r="M1911" s="8">
        <v>2721</v>
      </c>
      <c r="N1911" s="8">
        <v>2662</v>
      </c>
      <c r="O1911" s="8">
        <v>2697</v>
      </c>
      <c r="P1911" s="8">
        <v>2712</v>
      </c>
      <c r="Q1911" s="8">
        <v>2740</v>
      </c>
      <c r="R1911" s="7">
        <f t="shared" si="17"/>
        <v>-2.1811829918569781E-2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</row>
    <row r="1912" spans="1:28" ht="14.4" hidden="1">
      <c r="A1912" s="3">
        <f>LOOKUP(D1912,'AMFI DATA_2023H2'!F:L,'AMFI DATA_2023H2'!L:L)</f>
        <v>231</v>
      </c>
      <c r="B1912" s="4" t="s">
        <v>702</v>
      </c>
      <c r="C1912" s="4" t="s">
        <v>703</v>
      </c>
      <c r="D1912" s="5" t="s">
        <v>704</v>
      </c>
      <c r="E1912" s="5">
        <v>19602.349999999999</v>
      </c>
      <c r="F1912" s="6">
        <f>LOOKUP(D1912,'AMFI DATA_2023H2'!F:J,'AMFI DATA_2023H2'!J:J)</f>
        <v>24389.603650000001</v>
      </c>
      <c r="G1912" s="7">
        <f t="shared" si="16"/>
        <v>0.11469626116699927</v>
      </c>
      <c r="H1912" s="8">
        <v>27187</v>
      </c>
      <c r="I1912" s="8">
        <v>27913</v>
      </c>
      <c r="J1912" s="8">
        <v>27442</v>
      </c>
      <c r="K1912" s="8">
        <v>27634</v>
      </c>
      <c r="L1912" s="8">
        <v>27375</v>
      </c>
      <c r="M1912" s="8">
        <v>26381</v>
      </c>
      <c r="N1912" s="8">
        <v>26035</v>
      </c>
      <c r="O1912" s="8">
        <v>25559</v>
      </c>
      <c r="P1912" s="8">
        <v>25415</v>
      </c>
      <c r="Q1912" s="8">
        <v>25699</v>
      </c>
      <c r="R1912" s="7">
        <f t="shared" si="17"/>
        <v>9.3252698265967826E-2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</row>
    <row r="1913" spans="1:28" ht="14.4" hidden="1">
      <c r="A1913" s="3">
        <f>LOOKUP(D1913,'AMFI DATA_2023H2'!F:L,'AMFI DATA_2023H2'!L:L)</f>
        <v>2062</v>
      </c>
      <c r="B1913" s="4" t="s">
        <v>4823</v>
      </c>
      <c r="C1913" s="4" t="s">
        <v>4824</v>
      </c>
      <c r="D1913" s="5" t="s">
        <v>4825</v>
      </c>
      <c r="E1913" s="5">
        <v>141.13</v>
      </c>
      <c r="F1913" s="6">
        <f>LOOKUP(D1913,'AMFI DATA_2023H2'!F:J,'AMFI DATA_2023H2'!J:J)</f>
        <v>170.88339999999999</v>
      </c>
      <c r="G1913" s="7">
        <f t="shared" si="16"/>
        <v>0.58002474201707144</v>
      </c>
      <c r="H1913" s="9">
        <v>270</v>
      </c>
      <c r="I1913" s="9">
        <v>256</v>
      </c>
      <c r="J1913" s="9">
        <v>245</v>
      </c>
      <c r="K1913" s="9">
        <v>234</v>
      </c>
      <c r="L1913" s="9">
        <v>223</v>
      </c>
      <c r="M1913" s="9">
        <v>214</v>
      </c>
      <c r="N1913" s="9">
        <v>204</v>
      </c>
      <c r="O1913" s="9">
        <v>215</v>
      </c>
      <c r="P1913" s="9">
        <v>219</v>
      </c>
      <c r="Q1913" s="9">
        <v>202</v>
      </c>
      <c r="R1913" s="7">
        <f t="shared" si="17"/>
        <v>0.33541350417887283</v>
      </c>
      <c r="S1913" s="9"/>
      <c r="T1913" s="9"/>
      <c r="U1913" s="9"/>
      <c r="V1913" s="9"/>
      <c r="W1913" s="9"/>
      <c r="X1913" s="9"/>
      <c r="Y1913" s="9"/>
      <c r="Z1913" s="9"/>
      <c r="AA1913" s="9"/>
      <c r="AB1913" s="9"/>
    </row>
    <row r="1914" spans="1:28" ht="14.4" hidden="1">
      <c r="A1914" s="3">
        <f>LOOKUP(D1914,'AMFI DATA_2023H2'!F:L,'AMFI DATA_2023H2'!L:L)</f>
        <v>1290</v>
      </c>
      <c r="B1914" s="4" t="s">
        <v>3545</v>
      </c>
      <c r="C1914" s="4" t="s">
        <v>3546</v>
      </c>
      <c r="D1914" s="5" t="s">
        <v>3547</v>
      </c>
      <c r="E1914" s="5">
        <v>618.22</v>
      </c>
      <c r="F1914" s="6">
        <f>LOOKUP(D1914,'AMFI DATA_2023H2'!F:J,'AMFI DATA_2023H2'!J:J)</f>
        <v>822.26520000000005</v>
      </c>
      <c r="G1914" s="7">
        <f t="shared" si="16"/>
        <v>0.2769602799680686</v>
      </c>
      <c r="H1914" s="9">
        <v>1050</v>
      </c>
      <c r="I1914" s="9">
        <v>1057</v>
      </c>
      <c r="J1914" s="9">
        <v>1042</v>
      </c>
      <c r="K1914" s="9">
        <v>1020</v>
      </c>
      <c r="L1914" s="9">
        <v>1010</v>
      </c>
      <c r="M1914" s="9">
        <v>946</v>
      </c>
      <c r="N1914" s="9">
        <v>951</v>
      </c>
      <c r="O1914" s="9">
        <v>964</v>
      </c>
      <c r="P1914" s="9">
        <v>960</v>
      </c>
      <c r="Q1914" s="9">
        <v>982</v>
      </c>
      <c r="R1914" s="7">
        <f t="shared" si="17"/>
        <v>0.2139635728229774</v>
      </c>
      <c r="S1914" s="9"/>
      <c r="T1914" s="9"/>
      <c r="U1914" s="9"/>
      <c r="V1914" s="9"/>
      <c r="W1914" s="9"/>
      <c r="X1914" s="9"/>
      <c r="Y1914" s="9"/>
      <c r="Z1914" s="9"/>
      <c r="AA1914" s="9"/>
      <c r="AB1914" s="9"/>
    </row>
    <row r="1915" spans="1:28" ht="14.4" hidden="1">
      <c r="A1915" s="3">
        <f>LOOKUP(D1915,'AMFI DATA_2023H2'!F:L,'AMFI DATA_2023H2'!L:L)</f>
        <v>571</v>
      </c>
      <c r="B1915" s="4" t="s">
        <v>1692</v>
      </c>
      <c r="C1915" s="4" t="s">
        <v>1693</v>
      </c>
      <c r="D1915" s="5" t="s">
        <v>1694</v>
      </c>
      <c r="E1915" s="5">
        <v>2327.2800000000002</v>
      </c>
      <c r="F1915" s="6">
        <f>LOOKUP(D1915,'AMFI DATA_2023H2'!F:J,'AMFI DATA_2023H2'!J:J)</f>
        <v>6022.9603999999999</v>
      </c>
      <c r="G1915" s="7">
        <f t="shared" si="16"/>
        <v>7.3890507398986172E-2</v>
      </c>
      <c r="H1915" s="8">
        <v>6468</v>
      </c>
      <c r="I1915" s="8">
        <v>6466</v>
      </c>
      <c r="J1915" s="8">
        <v>6537</v>
      </c>
      <c r="K1915" s="8">
        <v>6547</v>
      </c>
      <c r="L1915" s="8">
        <v>6631</v>
      </c>
      <c r="M1915" s="8">
        <v>6692</v>
      </c>
      <c r="N1915" s="8">
        <v>6779</v>
      </c>
      <c r="O1915" s="8">
        <v>6803</v>
      </c>
      <c r="P1915" s="8">
        <v>6477</v>
      </c>
      <c r="Q1915" s="8">
        <v>6277</v>
      </c>
      <c r="R1915" s="7">
        <f t="shared" si="17"/>
        <v>9.0443828918416846E-2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</row>
    <row r="1916" spans="1:28" ht="14.4" hidden="1">
      <c r="A1916" s="3">
        <f>LOOKUP(D1916,'AMFI DATA_2023H2'!F:L,'AMFI DATA_2023H2'!L:L)</f>
        <v>2632</v>
      </c>
      <c r="B1916" s="4" t="s">
        <v>5395</v>
      </c>
      <c r="C1916" s="4" t="s">
        <v>5396</v>
      </c>
      <c r="D1916" s="5" t="s">
        <v>5397</v>
      </c>
      <c r="E1916" s="5">
        <v>50.67</v>
      </c>
      <c r="F1916" s="6">
        <f>LOOKUP(D1916,'AMFI DATA_2023H2'!F:J,'AMFI DATA_2023H2'!J:J)</f>
        <v>64.682899999999989</v>
      </c>
      <c r="G1916" s="7">
        <f t="shared" si="16"/>
        <v>0.35893721524545152</v>
      </c>
      <c r="H1916" s="9">
        <v>87.9</v>
      </c>
      <c r="I1916" s="9">
        <v>85.8</v>
      </c>
      <c r="J1916" s="9">
        <v>85.1</v>
      </c>
      <c r="K1916" s="9">
        <v>85.1</v>
      </c>
      <c r="L1916" s="9">
        <v>87.1</v>
      </c>
      <c r="M1916" s="9">
        <v>86.4</v>
      </c>
      <c r="N1916" s="9">
        <v>89.4</v>
      </c>
      <c r="O1916" s="9">
        <v>89.2</v>
      </c>
      <c r="P1916" s="9">
        <v>84.7</v>
      </c>
      <c r="Q1916" s="9">
        <v>85.2</v>
      </c>
      <c r="R1916" s="7">
        <f t="shared" si="17"/>
        <v>0.33868456732768659</v>
      </c>
      <c r="S1916" s="9"/>
      <c r="T1916" s="9"/>
      <c r="U1916" s="9"/>
      <c r="V1916" s="9"/>
      <c r="W1916" s="9"/>
      <c r="X1916" s="9"/>
      <c r="Y1916" s="9"/>
      <c r="Z1916" s="9"/>
      <c r="AA1916" s="9"/>
      <c r="AB1916" s="9"/>
    </row>
    <row r="1917" spans="1:28" ht="14.4" hidden="1">
      <c r="A1917" s="3">
        <f>LOOKUP(D1917,'AMFI DATA_2023H2'!F:L,'AMFI DATA_2023H2'!L:L)</f>
        <v>2580</v>
      </c>
      <c r="B1917" s="4" t="s">
        <v>5359</v>
      </c>
      <c r="C1917" s="4" t="s">
        <v>5360</v>
      </c>
      <c r="D1917" s="5" t="s">
        <v>5361</v>
      </c>
      <c r="E1917" s="5">
        <v>63.53</v>
      </c>
      <c r="F1917" s="6">
        <f>LOOKUP(D1917,'AMFI DATA_2023H2'!F:J,'AMFI DATA_2023H2'!J:J)</f>
        <v>71.4161</v>
      </c>
      <c r="G1917" s="7">
        <f t="shared" si="16"/>
        <v>0.44225181716727735</v>
      </c>
      <c r="H1917" s="9">
        <v>103</v>
      </c>
      <c r="I1917" s="9">
        <v>105</v>
      </c>
      <c r="J1917" s="9">
        <v>107</v>
      </c>
      <c r="K1917" s="9">
        <v>109</v>
      </c>
      <c r="L1917" s="9">
        <v>111</v>
      </c>
      <c r="M1917" s="9">
        <v>113</v>
      </c>
      <c r="N1917" s="9">
        <v>108</v>
      </c>
      <c r="O1917" s="9">
        <v>103</v>
      </c>
      <c r="P1917" s="9">
        <v>97.3</v>
      </c>
      <c r="Q1917" s="9">
        <v>93.2</v>
      </c>
      <c r="R1917" s="7">
        <f t="shared" si="17"/>
        <v>0.46955658457966765</v>
      </c>
      <c r="S1917" s="9"/>
      <c r="T1917" s="9"/>
      <c r="U1917" s="9"/>
      <c r="V1917" s="9"/>
      <c r="W1917" s="9"/>
      <c r="X1917" s="9"/>
      <c r="Y1917" s="9"/>
      <c r="Z1917" s="9"/>
      <c r="AA1917" s="9"/>
      <c r="AB1917" s="9"/>
    </row>
    <row r="1918" spans="1:28" ht="14.4" hidden="1">
      <c r="A1918" s="3">
        <f>LOOKUP(D1918,'AMFI DATA_2023H2'!F:L,'AMFI DATA_2023H2'!L:L)</f>
        <v>373</v>
      </c>
      <c r="B1918" s="4" t="s">
        <v>1125</v>
      </c>
      <c r="C1918" s="4" t="s">
        <v>1126</v>
      </c>
      <c r="D1918" s="5" t="s">
        <v>1127</v>
      </c>
      <c r="E1918" s="5">
        <v>6659.72</v>
      </c>
      <c r="F1918" s="6">
        <f>LOOKUP(D1918,'AMFI DATA_2023H2'!F:J,'AMFI DATA_2023H2'!J:J)</f>
        <v>11573.708500000001</v>
      </c>
      <c r="G1918" s="7">
        <f t="shared" si="16"/>
        <v>0.14284889756813901</v>
      </c>
      <c r="H1918" s="8">
        <v>13227</v>
      </c>
      <c r="I1918" s="8">
        <v>13245</v>
      </c>
      <c r="J1918" s="8">
        <v>13124</v>
      </c>
      <c r="K1918" s="8">
        <v>13402</v>
      </c>
      <c r="L1918" s="8">
        <v>13771</v>
      </c>
      <c r="M1918" s="8">
        <v>13830</v>
      </c>
      <c r="N1918" s="8">
        <v>14044</v>
      </c>
      <c r="O1918" s="8">
        <v>14209</v>
      </c>
      <c r="P1918" s="8">
        <v>14028</v>
      </c>
      <c r="Q1918" s="8">
        <v>14045</v>
      </c>
      <c r="R1918" s="7">
        <f t="shared" si="17"/>
        <v>0.1830693679558284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</row>
    <row r="1919" spans="1:28" ht="14.4" hidden="1">
      <c r="A1919" s="3">
        <f>LOOKUP(D1919,'AMFI DATA_2023H2'!F:L,'AMFI DATA_2023H2'!L:L)</f>
        <v>212</v>
      </c>
      <c r="B1919" s="4" t="s">
        <v>645</v>
      </c>
      <c r="C1919" s="4" t="s">
        <v>646</v>
      </c>
      <c r="D1919" s="5" t="s">
        <v>647</v>
      </c>
      <c r="E1919" s="5">
        <v>19506.11</v>
      </c>
      <c r="F1919" s="6">
        <f>LOOKUP(D1919,'AMFI DATA_2023H2'!F:J,'AMFI DATA_2023H2'!J:J)</f>
        <v>27907.59835</v>
      </c>
      <c r="G1919" s="7">
        <f t="shared" si="16"/>
        <v>9.382396927036174E-2</v>
      </c>
      <c r="H1919" s="8">
        <v>30526</v>
      </c>
      <c r="I1919" s="8">
        <v>30104</v>
      </c>
      <c r="J1919" s="8">
        <v>30298</v>
      </c>
      <c r="K1919" s="8">
        <v>30885</v>
      </c>
      <c r="L1919" s="8">
        <v>30977</v>
      </c>
      <c r="M1919" s="8">
        <v>30374</v>
      </c>
      <c r="N1919" s="8">
        <v>29388</v>
      </c>
      <c r="O1919" s="8">
        <v>29113</v>
      </c>
      <c r="P1919" s="8">
        <v>28977</v>
      </c>
      <c r="Q1919" s="8">
        <v>29457</v>
      </c>
      <c r="R1919" s="7">
        <f t="shared" si="17"/>
        <v>7.5330797857781295E-2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</row>
    <row r="1920" spans="1:28" ht="14.4" hidden="1">
      <c r="A1920" s="3">
        <f>LOOKUP(D1920,'AMFI DATA_2023H2'!F:L,'AMFI DATA_2023H2'!L:L)</f>
        <v>1441</v>
      </c>
      <c r="B1920" s="4" t="s">
        <v>3845</v>
      </c>
      <c r="C1920" s="4" t="s">
        <v>3846</v>
      </c>
      <c r="D1920" s="5" t="s">
        <v>3847</v>
      </c>
      <c r="E1920" s="5">
        <v>431.79</v>
      </c>
      <c r="F1920" s="6">
        <f>LOOKUP(D1920,'AMFI DATA_2023H2'!F:J,'AMFI DATA_2023H2'!J:J)</f>
        <v>581.20794999999998</v>
      </c>
      <c r="G1920" s="7">
        <f t="shared" si="16"/>
        <v>-2.7886662596408041E-2</v>
      </c>
      <c r="H1920" s="9">
        <v>565</v>
      </c>
      <c r="I1920" s="9">
        <v>565</v>
      </c>
      <c r="J1920" s="9">
        <v>562</v>
      </c>
      <c r="K1920" s="9">
        <v>573</v>
      </c>
      <c r="L1920" s="9">
        <v>576</v>
      </c>
      <c r="M1920" s="9">
        <v>565</v>
      </c>
      <c r="N1920" s="9">
        <v>562</v>
      </c>
      <c r="O1920" s="9">
        <v>584</v>
      </c>
      <c r="P1920" s="9">
        <v>559</v>
      </c>
      <c r="Q1920" s="9">
        <v>567</v>
      </c>
      <c r="R1920" s="7">
        <f t="shared" si="17"/>
        <v>-2.3069109773876995E-2</v>
      </c>
      <c r="S1920" s="9"/>
      <c r="T1920" s="9"/>
      <c r="U1920" s="9"/>
      <c r="V1920" s="9"/>
      <c r="W1920" s="9"/>
      <c r="X1920" s="9"/>
      <c r="Y1920" s="9"/>
      <c r="Z1920" s="9"/>
      <c r="AA1920" s="9"/>
      <c r="AB1920" s="9"/>
    </row>
    <row r="1921" spans="1:28" ht="14.4" hidden="1">
      <c r="A1921" s="3">
        <f>LOOKUP(D1921,'AMFI DATA_2023H2'!F:L,'AMFI DATA_2023H2'!L:L)</f>
        <v>1724</v>
      </c>
      <c r="B1921" s="4" t="s">
        <v>4367</v>
      </c>
      <c r="C1921" s="4" t="s">
        <v>4368</v>
      </c>
      <c r="D1921" s="5" t="s">
        <v>4369</v>
      </c>
      <c r="E1921" s="5">
        <v>240.82</v>
      </c>
      <c r="F1921" s="6">
        <f>LOOKUP(D1921,'AMFI DATA_2023H2'!F:J,'AMFI DATA_2023H2'!J:J)</f>
        <v>318.12479999999999</v>
      </c>
      <c r="G1921" s="7">
        <f t="shared" si="16"/>
        <v>9.7053734886434428E-2</v>
      </c>
      <c r="H1921" s="9">
        <v>349</v>
      </c>
      <c r="I1921" s="9">
        <v>336</v>
      </c>
      <c r="J1921" s="9">
        <v>332</v>
      </c>
      <c r="K1921" s="9">
        <v>334</v>
      </c>
      <c r="L1921" s="9">
        <v>335</v>
      </c>
      <c r="M1921" s="9">
        <v>328</v>
      </c>
      <c r="N1921" s="9">
        <v>333</v>
      </c>
      <c r="O1921" s="9">
        <v>333</v>
      </c>
      <c r="P1921" s="9">
        <v>335</v>
      </c>
      <c r="Q1921" s="9">
        <v>335</v>
      </c>
      <c r="R1921" s="7">
        <f t="shared" si="17"/>
        <v>5.3045848673225038E-2</v>
      </c>
      <c r="S1921" s="9"/>
      <c r="T1921" s="9"/>
      <c r="U1921" s="9"/>
      <c r="V1921" s="9"/>
      <c r="W1921" s="9"/>
      <c r="X1921" s="9"/>
      <c r="Y1921" s="9"/>
      <c r="Z1921" s="9"/>
      <c r="AA1921" s="9"/>
      <c r="AB1921" s="9"/>
    </row>
    <row r="1922" spans="1:28" ht="14.4" hidden="1">
      <c r="A1922" s="3">
        <f>LOOKUP(D1922,'AMFI DATA_2023H2'!F:L,'AMFI DATA_2023H2'!L:L)</f>
        <v>1944</v>
      </c>
      <c r="B1922" s="4" t="s">
        <v>4652</v>
      </c>
      <c r="C1922" s="4" t="s">
        <v>4653</v>
      </c>
      <c r="D1922" s="5" t="s">
        <v>4654</v>
      </c>
      <c r="E1922" s="5">
        <v>164.84</v>
      </c>
      <c r="F1922" s="6">
        <f>LOOKUP(D1922,'AMFI DATA_2023H2'!F:J,'AMFI DATA_2023H2'!J:J)</f>
        <v>204.91895</v>
      </c>
      <c r="G1922" s="7">
        <f t="shared" si="16"/>
        <v>0.8153518744850099</v>
      </c>
      <c r="H1922" s="9">
        <v>372</v>
      </c>
      <c r="I1922" s="9">
        <v>353</v>
      </c>
      <c r="J1922" s="9">
        <v>337</v>
      </c>
      <c r="K1922" s="9">
        <v>321</v>
      </c>
      <c r="L1922" s="9">
        <v>306</v>
      </c>
      <c r="M1922" s="9">
        <v>291</v>
      </c>
      <c r="N1922" s="9">
        <v>278</v>
      </c>
      <c r="O1922" s="9">
        <v>264</v>
      </c>
      <c r="P1922" s="9">
        <v>250</v>
      </c>
      <c r="Q1922" s="9">
        <v>239</v>
      </c>
      <c r="R1922" s="7">
        <f t="shared" si="17"/>
        <v>0.46936142313827012</v>
      </c>
      <c r="S1922" s="9"/>
      <c r="T1922" s="9"/>
      <c r="U1922" s="9"/>
      <c r="V1922" s="9"/>
      <c r="W1922" s="9"/>
      <c r="X1922" s="9"/>
      <c r="Y1922" s="9"/>
      <c r="Z1922" s="9"/>
      <c r="AA1922" s="9"/>
      <c r="AB1922" s="9"/>
    </row>
    <row r="1923" spans="1:28" ht="14.4">
      <c r="A1923" s="3">
        <f>LOOKUP(D1923,'AMFI DATA_2023H2'!F:L,'AMFI DATA_2023H2'!L:L)</f>
        <v>68</v>
      </c>
      <c r="B1923" s="4" t="s">
        <v>216</v>
      </c>
      <c r="C1923" s="4" t="s">
        <v>217</v>
      </c>
      <c r="D1923" s="5" t="s">
        <v>218</v>
      </c>
      <c r="E1923" s="5">
        <v>50363.01</v>
      </c>
      <c r="F1923" s="6">
        <f>LOOKUP(D1923,'AMFI DATA_2023H2'!F:J,'AMFI DATA_2023H2'!J:J)</f>
        <v>88796.760500000004</v>
      </c>
      <c r="G1923" s="7">
        <f t="shared" si="16"/>
        <v>0.30767157885224883</v>
      </c>
      <c r="H1923" s="8">
        <v>116117</v>
      </c>
      <c r="I1923" s="8">
        <v>113024</v>
      </c>
      <c r="J1923" s="8">
        <v>111108</v>
      </c>
      <c r="K1923" s="8">
        <v>112197</v>
      </c>
      <c r="L1923" s="8">
        <v>108451</v>
      </c>
      <c r="M1923" s="8">
        <v>107754</v>
      </c>
      <c r="N1923" s="8">
        <v>107318</v>
      </c>
      <c r="O1923" s="8">
        <v>110672</v>
      </c>
      <c r="P1923" s="8">
        <v>108929</v>
      </c>
      <c r="Q1923" s="8">
        <v>111935</v>
      </c>
      <c r="R1923" s="14">
        <f t="shared" si="17"/>
        <v>0.24723581554532048</v>
      </c>
      <c r="S1923" s="8"/>
      <c r="T1923" s="8">
        <v>133.5</v>
      </c>
      <c r="U1923" s="15">
        <f ca="1">IFERROR(__xludf.DUMMYFUNCTION("GOOGLEFINANCE(C1923,""PRICE"")"),134)</f>
        <v>134</v>
      </c>
      <c r="V1923" s="13" t="s">
        <v>5787</v>
      </c>
      <c r="W1923" s="7">
        <f ca="1">U1923/T1923-1</f>
        <v>3.7453183520599342E-3</v>
      </c>
      <c r="X1923" s="8"/>
      <c r="Y1923" s="8"/>
      <c r="Z1923" s="8"/>
      <c r="AA1923" s="8"/>
      <c r="AB1923" s="8"/>
    </row>
    <row r="1924" spans="1:28" ht="14.4" hidden="1">
      <c r="A1924" s="3">
        <f>LOOKUP(D1924,'AMFI DATA_2023H2'!F:L,'AMFI DATA_2023H2'!L:L)</f>
        <v>1179</v>
      </c>
      <c r="B1924" s="4" t="s">
        <v>3293</v>
      </c>
      <c r="C1924" s="4" t="s">
        <v>3294</v>
      </c>
      <c r="D1924" s="5" t="s">
        <v>3295</v>
      </c>
      <c r="E1924" s="5">
        <v>779.7</v>
      </c>
      <c r="F1924" s="6">
        <f>LOOKUP(D1924,'AMFI DATA_2023H2'!F:J,'AMFI DATA_2023H2'!J:J)</f>
        <v>1084.7447</v>
      </c>
      <c r="G1924" s="7">
        <f t="shared" si="16"/>
        <v>0.14036049219691971</v>
      </c>
      <c r="H1924" s="8">
        <v>1237</v>
      </c>
      <c r="I1924" s="8">
        <v>1238</v>
      </c>
      <c r="J1924" s="8">
        <v>1240</v>
      </c>
      <c r="K1924" s="8">
        <v>1233</v>
      </c>
      <c r="L1924" s="8">
        <v>1242</v>
      </c>
      <c r="M1924" s="8">
        <v>1221</v>
      </c>
      <c r="N1924" s="8">
        <v>1244</v>
      </c>
      <c r="O1924" s="8">
        <v>1220</v>
      </c>
      <c r="P1924" s="8">
        <v>1247</v>
      </c>
      <c r="Q1924" s="8">
        <v>1230</v>
      </c>
      <c r="R1924" s="7">
        <f t="shared" si="17"/>
        <v>0.1387011155712492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</row>
    <row r="1925" spans="1:28" ht="14.4" hidden="1">
      <c r="A1925" s="3">
        <f>LOOKUP(D1925,'AMFI DATA_2023H2'!F:L,'AMFI DATA_2023H2'!L:L)</f>
        <v>1373</v>
      </c>
      <c r="B1925" s="4" t="s">
        <v>3710</v>
      </c>
      <c r="C1925" s="4" t="s">
        <v>3711</v>
      </c>
      <c r="D1925" s="5" t="s">
        <v>3712</v>
      </c>
      <c r="E1925" s="5">
        <v>593.12</v>
      </c>
      <c r="F1925" s="6">
        <f>LOOKUP(D1925,'AMFI DATA_2023H2'!F:J,'AMFI DATA_2023H2'!J:J)</f>
        <v>678.60625000000005</v>
      </c>
      <c r="G1925" s="7">
        <f t="shared" si="16"/>
        <v>0.21867430487119721</v>
      </c>
      <c r="H1925" s="9">
        <v>827</v>
      </c>
      <c r="I1925" s="9">
        <v>834</v>
      </c>
      <c r="J1925" s="9">
        <v>840</v>
      </c>
      <c r="K1925" s="9">
        <v>834</v>
      </c>
      <c r="L1925" s="9">
        <v>828</v>
      </c>
      <c r="M1925" s="9">
        <v>794</v>
      </c>
      <c r="N1925" s="9">
        <v>773</v>
      </c>
      <c r="O1925" s="9">
        <v>786</v>
      </c>
      <c r="P1925" s="9">
        <v>810</v>
      </c>
      <c r="Q1925" s="9">
        <v>793</v>
      </c>
      <c r="R1925" s="7">
        <f t="shared" si="17"/>
        <v>0.19642281514501225</v>
      </c>
      <c r="S1925" s="9"/>
      <c r="T1925" s="9"/>
      <c r="U1925" s="9"/>
      <c r="V1925" s="9"/>
      <c r="W1925" s="9"/>
      <c r="X1925" s="9"/>
      <c r="Y1925" s="9"/>
      <c r="Z1925" s="9"/>
      <c r="AA1925" s="9"/>
      <c r="AB1925" s="9"/>
    </row>
    <row r="1926" spans="1:28" ht="14.4" hidden="1">
      <c r="A1926" s="3">
        <f>LOOKUP(D1926,'AMFI DATA_2023H2'!F:L,'AMFI DATA_2023H2'!L:L)</f>
        <v>1542</v>
      </c>
      <c r="B1926" s="4" t="s">
        <v>4043</v>
      </c>
      <c r="C1926" s="4" t="s">
        <v>4044</v>
      </c>
      <c r="D1926" s="5" t="s">
        <v>4045</v>
      </c>
      <c r="E1926" s="5">
        <v>384.75</v>
      </c>
      <c r="F1926" s="6">
        <f>LOOKUP(D1926,'AMFI DATA_2023H2'!F:J,'AMFI DATA_2023H2'!J:J)</f>
        <v>464.4282</v>
      </c>
      <c r="G1926" s="7">
        <f t="shared" si="16"/>
        <v>0.30267714148279534</v>
      </c>
      <c r="H1926" s="9">
        <v>605</v>
      </c>
      <c r="I1926" s="9">
        <v>610</v>
      </c>
      <c r="J1926" s="9">
        <v>601</v>
      </c>
      <c r="K1926" s="9">
        <v>604</v>
      </c>
      <c r="L1926" s="9">
        <v>602</v>
      </c>
      <c r="M1926" s="9">
        <v>587</v>
      </c>
      <c r="N1926" s="9">
        <v>584</v>
      </c>
      <c r="O1926" s="9">
        <v>585</v>
      </c>
      <c r="P1926" s="9">
        <v>607</v>
      </c>
      <c r="Q1926" s="9">
        <v>606</v>
      </c>
      <c r="R1926" s="7">
        <f t="shared" si="17"/>
        <v>0.28997334787164086</v>
      </c>
      <c r="S1926" s="9"/>
      <c r="T1926" s="9"/>
      <c r="U1926" s="9"/>
      <c r="V1926" s="9"/>
      <c r="W1926" s="9"/>
      <c r="X1926" s="9"/>
      <c r="Y1926" s="9"/>
      <c r="Z1926" s="9"/>
      <c r="AA1926" s="9"/>
      <c r="AB1926" s="9"/>
    </row>
    <row r="1927" spans="1:28" ht="14.4" hidden="1">
      <c r="A1927" s="3">
        <f>LOOKUP(D1927,'AMFI DATA_2023H2'!F:L,'AMFI DATA_2023H2'!L:L)</f>
        <v>104</v>
      </c>
      <c r="B1927" s="4" t="s">
        <v>324</v>
      </c>
      <c r="C1927" s="4" t="s">
        <v>325</v>
      </c>
      <c r="D1927" s="5" t="s">
        <v>326</v>
      </c>
      <c r="E1927" s="5">
        <v>49546.83</v>
      </c>
      <c r="F1927" s="6">
        <f>LOOKUP(D1927,'AMFI DATA_2023H2'!F:J,'AMFI DATA_2023H2'!J:J)</f>
        <v>63049.380250000002</v>
      </c>
      <c r="G1927" s="7">
        <f t="shared" si="16"/>
        <v>0.14602236712707417</v>
      </c>
      <c r="H1927" s="8">
        <v>72256</v>
      </c>
      <c r="I1927" s="8">
        <v>71841</v>
      </c>
      <c r="J1927" s="8">
        <v>71892</v>
      </c>
      <c r="K1927" s="8">
        <v>72187</v>
      </c>
      <c r="L1927" s="8">
        <v>70566</v>
      </c>
      <c r="M1927" s="8">
        <v>69726</v>
      </c>
      <c r="N1927" s="8">
        <v>69533</v>
      </c>
      <c r="O1927" s="8">
        <v>69711</v>
      </c>
      <c r="P1927" s="8">
        <v>68445</v>
      </c>
      <c r="Q1927" s="8">
        <v>68825</v>
      </c>
      <c r="R1927" s="7">
        <f t="shared" si="17"/>
        <v>0.11814263233776989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</row>
    <row r="1928" spans="1:28" ht="14.4" hidden="1">
      <c r="A1928" s="3">
        <f>LOOKUP(D1928,'AMFI DATA_2023H2'!F:L,'AMFI DATA_2023H2'!L:L)</f>
        <v>410</v>
      </c>
      <c r="B1928" s="4" t="s">
        <v>1233</v>
      </c>
      <c r="C1928" s="4" t="s">
        <v>1234</v>
      </c>
      <c r="D1928" s="5" t="s">
        <v>1235</v>
      </c>
      <c r="E1928" s="5">
        <v>9445.32</v>
      </c>
      <c r="F1928" s="6">
        <f>LOOKUP(D1928,'AMFI DATA_2023H2'!F:J,'AMFI DATA_2023H2'!J:J)</f>
        <v>9857.2752</v>
      </c>
      <c r="G1928" s="7">
        <f t="shared" si="16"/>
        <v>9.3811401349533252E-2</v>
      </c>
      <c r="H1928" s="8">
        <v>10782</v>
      </c>
      <c r="I1928" s="8">
        <v>10731</v>
      </c>
      <c r="J1928" s="8">
        <v>10767</v>
      </c>
      <c r="K1928" s="8">
        <v>10602</v>
      </c>
      <c r="L1928" s="8">
        <v>10636</v>
      </c>
      <c r="M1928" s="8">
        <v>10704</v>
      </c>
      <c r="N1928" s="8">
        <v>10415</v>
      </c>
      <c r="O1928" s="8">
        <v>10383</v>
      </c>
      <c r="P1928" s="8">
        <v>10203</v>
      </c>
      <c r="Q1928" s="8">
        <v>10118</v>
      </c>
      <c r="R1928" s="7">
        <f t="shared" si="17"/>
        <v>6.866246363903894E-2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</row>
  </sheetData>
  <autoFilter ref="A1:R1928" xr:uid="{00000000-0009-0000-0000-000002000000}">
    <filterColumn colId="5">
      <customFilters>
        <customFilter operator="greaterThan" val="1000"/>
      </customFilters>
    </filterColumn>
    <filterColumn colId="17">
      <customFilters and="1">
        <customFilter operator="greaterThanOrEqual" val="0.2"/>
        <customFilter operator="lessThanOrEqual" val="0.25"/>
      </customFilters>
    </filterColumn>
  </autoFilter>
  <conditionalFormatting sqref="G1:G1928">
    <cfRule type="cellIs" dxfId="5" priority="1" operator="greaterThan">
      <formula>"0%"</formula>
    </cfRule>
    <cfRule type="cellIs" dxfId="4" priority="2" operator="lessThan">
      <formula>"0%"</formula>
    </cfRule>
  </conditionalFormatting>
  <conditionalFormatting sqref="V1:V1923 W2:W1923">
    <cfRule type="cellIs" dxfId="3" priority="3" operator="greaterThan">
      <formula>0</formula>
    </cfRule>
    <cfRule type="cellIs" dxfId="2" priority="4" operator="lessThan">
      <formula>0</formula>
    </cfRule>
  </conditionalFormatting>
  <dataValidations count="1">
    <dataValidation type="custom" allowBlank="1" showDropDown="1" showInputMessage="1" prompt="Enter a valid date" sqref="H1:U1 W1:AB1" xr:uid="{00000000-0002-0000-0200-000000000000}">
      <formula1>OR(NOT(ISERROR(DATEVALUE(H1))), AND(ISNUMBER(H1), LEFT(CELL("format", H1))="D"))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W192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7.109375" customWidth="1"/>
    <col min="2" max="2" width="24.44140625" customWidth="1"/>
    <col min="3" max="5" width="16" customWidth="1"/>
    <col min="7" max="23" width="9.109375" customWidth="1"/>
  </cols>
  <sheetData>
    <row r="1" spans="1:23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2">
        <v>45292</v>
      </c>
      <c r="H1" s="2">
        <v>45289</v>
      </c>
      <c r="I1" s="2">
        <v>45288</v>
      </c>
      <c r="J1" s="2">
        <v>45287</v>
      </c>
      <c r="K1" s="2">
        <v>45286</v>
      </c>
      <c r="L1" s="2">
        <v>45284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.75" customHeight="1">
      <c r="A2" s="3" t="e">
        <f>LOOKUP(D2,'AMFI DATA_2023H1'!B:C,'AMFI DATA_2023H1'!C:C)</f>
        <v>#N/A</v>
      </c>
      <c r="B2" s="4" t="s">
        <v>4004</v>
      </c>
      <c r="C2" s="4" t="s">
        <v>4005</v>
      </c>
      <c r="D2" s="5" t="s">
        <v>4006</v>
      </c>
      <c r="E2" s="5" t="e">
        <f>LOOKUP(D2,'AMFI DATA_2023H1'!B:D,'AMFI DATA_2023H1'!D:D)</f>
        <v>#N/A</v>
      </c>
      <c r="F2" s="7" t="e">
        <f t="shared" ref="F2:F256" si="0">G2/E2-1</f>
        <v>#N/A</v>
      </c>
      <c r="G2" s="9">
        <v>623</v>
      </c>
      <c r="H2" s="9">
        <v>623</v>
      </c>
      <c r="I2" s="9">
        <v>633</v>
      </c>
      <c r="J2" s="9">
        <v>657</v>
      </c>
      <c r="K2" s="9">
        <v>667</v>
      </c>
      <c r="L2" s="9">
        <v>668</v>
      </c>
      <c r="M2" s="9"/>
      <c r="N2" s="9"/>
      <c r="O2" s="9"/>
      <c r="P2" s="9"/>
      <c r="Q2" s="9">
        <f ca="1">IFERROR(__xludf.DUMMYFUNCTION("GOOGLEFINANCE(C2,""changepct"")"),1.03)</f>
        <v>1.03</v>
      </c>
      <c r="R2" s="9"/>
      <c r="S2" s="9"/>
      <c r="T2" s="9"/>
      <c r="U2" s="9"/>
      <c r="V2" s="9"/>
      <c r="W2" s="9"/>
    </row>
    <row r="3" spans="1:23" ht="15.75" customHeight="1">
      <c r="A3" s="3">
        <f>LOOKUP(D3,'AMFI DATA_2023H1'!B:C,'AMFI DATA_2023H1'!C:C)</f>
        <v>3263</v>
      </c>
      <c r="B3" s="4" t="s">
        <v>5662</v>
      </c>
      <c r="C3" s="4" t="s">
        <v>5663</v>
      </c>
      <c r="D3" s="5" t="s">
        <v>5664</v>
      </c>
      <c r="E3" s="5">
        <f>LOOKUP(D3,'AMFI DATA_2023H1'!B:D,'AMFI DATA_2023H1'!D:D)</f>
        <v>20.69</v>
      </c>
      <c r="F3" s="7">
        <f t="shared" si="0"/>
        <v>0.63363943934267741</v>
      </c>
      <c r="G3" s="9">
        <v>33.799999999999997</v>
      </c>
      <c r="H3" s="9">
        <v>34.4</v>
      </c>
      <c r="I3" s="9">
        <v>34</v>
      </c>
      <c r="J3" s="9">
        <v>33.299999999999997</v>
      </c>
      <c r="K3" s="9">
        <v>35.700000000000003</v>
      </c>
      <c r="L3" s="9">
        <v>33.9</v>
      </c>
      <c r="M3" s="9"/>
      <c r="N3" s="9"/>
      <c r="O3" s="9"/>
      <c r="P3" s="9"/>
      <c r="Q3" s="9">
        <f ca="1">IFERROR(__xludf.DUMMYFUNCTION("GOOGLEFINANCE(C3,""changepct"")"),3.93)</f>
        <v>3.93</v>
      </c>
      <c r="R3" s="9"/>
      <c r="S3" s="9"/>
      <c r="T3" s="9"/>
      <c r="U3" s="9"/>
      <c r="V3" s="9"/>
      <c r="W3" s="9"/>
    </row>
    <row r="4" spans="1:23" ht="15.75" customHeight="1">
      <c r="A4" s="3">
        <f>LOOKUP(D4,'AMFI DATA_2023H1'!B:C,'AMFI DATA_2023H1'!C:C)</f>
        <v>267</v>
      </c>
      <c r="B4" s="4" t="s">
        <v>831</v>
      </c>
      <c r="C4" s="4" t="s">
        <v>832</v>
      </c>
      <c r="D4" s="5" t="s">
        <v>833</v>
      </c>
      <c r="E4" s="5">
        <f>LOOKUP(D4,'AMFI DATA_2023H1'!B:D,'AMFI DATA_2023H1'!D:D)</f>
        <v>15520.14</v>
      </c>
      <c r="F4" s="7">
        <f t="shared" si="0"/>
        <v>0.60075875604214923</v>
      </c>
      <c r="G4" s="8">
        <v>24844</v>
      </c>
      <c r="H4" s="8">
        <v>25444</v>
      </c>
      <c r="I4" s="8">
        <v>25376</v>
      </c>
      <c r="J4" s="8">
        <v>24177</v>
      </c>
      <c r="K4" s="8">
        <v>23362</v>
      </c>
      <c r="L4" s="8">
        <v>23577</v>
      </c>
      <c r="M4" s="8"/>
      <c r="N4" s="8"/>
      <c r="O4" s="8"/>
      <c r="P4" s="8"/>
      <c r="Q4" s="9">
        <f ca="1">IFERROR(__xludf.DUMMYFUNCTION("GOOGLEFINANCE(C4,""changepct"")"),-0.79)</f>
        <v>-0.79</v>
      </c>
      <c r="R4" s="8"/>
      <c r="S4" s="8"/>
      <c r="T4" s="8"/>
      <c r="U4" s="8"/>
      <c r="V4" s="8"/>
      <c r="W4" s="8"/>
    </row>
    <row r="5" spans="1:23" ht="15.75" customHeight="1">
      <c r="A5" s="3">
        <f>LOOKUP(D5,'AMFI DATA_2023H1'!B:C,'AMFI DATA_2023H1'!C:C)</f>
        <v>1263</v>
      </c>
      <c r="B5" s="4" t="s">
        <v>3779</v>
      </c>
      <c r="C5" s="4" t="s">
        <v>3780</v>
      </c>
      <c r="D5" s="5" t="s">
        <v>3781</v>
      </c>
      <c r="E5" s="5">
        <f>LOOKUP(D5,'AMFI DATA_2023H1'!B:D,'AMFI DATA_2023H1'!D:D)</f>
        <v>579.62</v>
      </c>
      <c r="F5" s="7">
        <f t="shared" si="0"/>
        <v>0.53031296366585012</v>
      </c>
      <c r="G5" s="9">
        <v>887</v>
      </c>
      <c r="H5" s="9">
        <v>830</v>
      </c>
      <c r="I5" s="9">
        <v>766</v>
      </c>
      <c r="J5" s="9">
        <v>762</v>
      </c>
      <c r="K5" s="9">
        <v>757</v>
      </c>
      <c r="L5" s="9">
        <v>763</v>
      </c>
      <c r="M5" s="9"/>
      <c r="N5" s="9"/>
      <c r="O5" s="9"/>
      <c r="P5" s="9"/>
      <c r="Q5" s="9">
        <f ca="1">IFERROR(__xludf.DUMMYFUNCTION("GOOGLEFINANCE(C5,""changepct"")"),4.44)</f>
        <v>4.4400000000000004</v>
      </c>
      <c r="R5" s="9"/>
      <c r="S5" s="9"/>
      <c r="T5" s="9"/>
      <c r="U5" s="9"/>
      <c r="V5" s="9"/>
      <c r="W5" s="9"/>
    </row>
    <row r="6" spans="1:23" ht="15.75" customHeight="1">
      <c r="A6" s="3">
        <f>LOOKUP(D6,'AMFI DATA_2023H1'!B:C,'AMFI DATA_2023H1'!C:C)</f>
        <v>184</v>
      </c>
      <c r="B6" s="4" t="s">
        <v>555</v>
      </c>
      <c r="C6" s="4" t="s">
        <v>556</v>
      </c>
      <c r="D6" s="5" t="s">
        <v>557</v>
      </c>
      <c r="E6" s="5">
        <f>LOOKUP(D6,'AMFI DATA_2023H1'!B:D,'AMFI DATA_2023H1'!D:D)</f>
        <v>26633.53</v>
      </c>
      <c r="F6" s="7">
        <f t="shared" si="0"/>
        <v>0.55127765639778126</v>
      </c>
      <c r="G6" s="8">
        <v>41316</v>
      </c>
      <c r="H6" s="8">
        <v>41586</v>
      </c>
      <c r="I6" s="8">
        <v>39554</v>
      </c>
      <c r="J6" s="8">
        <v>40984</v>
      </c>
      <c r="K6" s="8">
        <v>35390</v>
      </c>
      <c r="L6" s="8">
        <v>35142</v>
      </c>
      <c r="M6" s="8"/>
      <c r="N6" s="8"/>
      <c r="O6" s="8"/>
      <c r="P6" s="8"/>
      <c r="Q6" s="9">
        <f ca="1">IFERROR(__xludf.DUMMYFUNCTION("GOOGLEFINANCE(C6,""changepct"")"),-0.36)</f>
        <v>-0.36</v>
      </c>
      <c r="R6" s="8"/>
      <c r="S6" s="8"/>
      <c r="T6" s="8"/>
      <c r="U6" s="8"/>
      <c r="V6" s="8"/>
      <c r="W6" s="8"/>
    </row>
    <row r="7" spans="1:23" ht="15.75" customHeight="1">
      <c r="A7" s="3">
        <f>LOOKUP(D7,'AMFI DATA_2023H1'!B:C,'AMFI DATA_2023H1'!C:C)</f>
        <v>2798</v>
      </c>
      <c r="B7" s="4" t="s">
        <v>5512</v>
      </c>
      <c r="C7" s="4" t="s">
        <v>5513</v>
      </c>
      <c r="D7" s="5" t="s">
        <v>5514</v>
      </c>
      <c r="E7" s="5">
        <f>LOOKUP(D7,'AMFI DATA_2023H1'!B:D,'AMFI DATA_2023H1'!D:D)</f>
        <v>40.590000000000003</v>
      </c>
      <c r="F7" s="7">
        <f t="shared" si="0"/>
        <v>0.20226656812022648</v>
      </c>
      <c r="G7" s="9">
        <v>48.8</v>
      </c>
      <c r="H7" s="9">
        <v>48.6</v>
      </c>
      <c r="I7" s="9">
        <v>48.2</v>
      </c>
      <c r="J7" s="9">
        <v>48.5</v>
      </c>
      <c r="K7" s="9">
        <v>48.1</v>
      </c>
      <c r="L7" s="9">
        <v>47.4</v>
      </c>
      <c r="M7" s="9"/>
      <c r="N7" s="9"/>
      <c r="O7" s="9"/>
      <c r="P7" s="9"/>
      <c r="Q7" s="9">
        <f ca="1">IFERROR(__xludf.DUMMYFUNCTION("GOOGLEFINANCE(C7,""changepct"")"),9.02)</f>
        <v>9.02</v>
      </c>
      <c r="R7" s="9"/>
      <c r="S7" s="9"/>
      <c r="T7" s="9"/>
      <c r="U7" s="9"/>
      <c r="V7" s="9"/>
      <c r="W7" s="9"/>
    </row>
    <row r="8" spans="1:23" ht="15.75" customHeight="1">
      <c r="A8" s="3">
        <f>LOOKUP(D8,'AMFI DATA_2023H1'!B:C,'AMFI DATA_2023H1'!C:C)</f>
        <v>1075</v>
      </c>
      <c r="B8" s="4" t="s">
        <v>3056</v>
      </c>
      <c r="C8" s="4" t="s">
        <v>3057</v>
      </c>
      <c r="D8" s="5" t="s">
        <v>3058</v>
      </c>
      <c r="E8" s="5">
        <f>LOOKUP(D8,'AMFI DATA_2023H1'!B:D,'AMFI DATA_2023H1'!D:D)</f>
        <v>954.15</v>
      </c>
      <c r="F8" s="7">
        <f t="shared" si="0"/>
        <v>0.96195566734790128</v>
      </c>
      <c r="G8" s="8">
        <v>1872</v>
      </c>
      <c r="H8" s="8">
        <v>1767</v>
      </c>
      <c r="I8" s="8">
        <v>1725</v>
      </c>
      <c r="J8" s="8">
        <v>1708</v>
      </c>
      <c r="K8" s="8">
        <v>1688</v>
      </c>
      <c r="L8" s="8">
        <v>1564</v>
      </c>
      <c r="M8" s="8"/>
      <c r="N8" s="8"/>
      <c r="O8" s="8"/>
      <c r="P8" s="8"/>
      <c r="Q8" s="9">
        <f ca="1">IFERROR(__xludf.DUMMYFUNCTION("GOOGLEFINANCE(C8,""changepct"")"),5.45)</f>
        <v>5.45</v>
      </c>
      <c r="R8" s="8"/>
      <c r="S8" s="8"/>
      <c r="T8" s="8"/>
      <c r="U8" s="8"/>
      <c r="V8" s="8"/>
      <c r="W8" s="8"/>
    </row>
    <row r="9" spans="1:23" ht="15.75" customHeight="1">
      <c r="A9" s="3">
        <f>LOOKUP(D9,'AMFI DATA_2023H1'!B:C,'AMFI DATA_2023H1'!C:C)</f>
        <v>1136</v>
      </c>
      <c r="B9" s="4" t="s">
        <v>2975</v>
      </c>
      <c r="C9" s="4" t="s">
        <v>2976</v>
      </c>
      <c r="D9" s="5" t="s">
        <v>2977</v>
      </c>
      <c r="E9" s="5">
        <f>LOOKUP(D9,'AMFI DATA_2023H1'!B:D,'AMFI DATA_2023H1'!D:D)</f>
        <v>816.3</v>
      </c>
      <c r="F9" s="7">
        <f t="shared" si="0"/>
        <v>1.6277104005880192</v>
      </c>
      <c r="G9" s="8">
        <v>2145</v>
      </c>
      <c r="H9" s="8">
        <v>2172</v>
      </c>
      <c r="I9" s="8">
        <v>2202</v>
      </c>
      <c r="J9" s="8">
        <v>2110</v>
      </c>
      <c r="K9" s="8">
        <v>2182</v>
      </c>
      <c r="L9" s="8">
        <v>2267</v>
      </c>
      <c r="M9" s="8"/>
      <c r="N9" s="8"/>
      <c r="O9" s="8"/>
      <c r="P9" s="8"/>
      <c r="Q9" s="9">
        <f ca="1">IFERROR(__xludf.DUMMYFUNCTION("GOOGLEFINANCE(C9,""changepct"")"),2.8)</f>
        <v>2.8</v>
      </c>
      <c r="R9" s="8"/>
      <c r="S9" s="8"/>
      <c r="T9" s="8"/>
      <c r="U9" s="8"/>
      <c r="V9" s="8"/>
      <c r="W9" s="8"/>
    </row>
    <row r="10" spans="1:23" ht="15.75" customHeight="1">
      <c r="A10" s="3">
        <f>LOOKUP(D10,'AMFI DATA_2023H1'!B:C,'AMFI DATA_2023H1'!C:C)</f>
        <v>2032</v>
      </c>
      <c r="B10" s="4" t="s">
        <v>4865</v>
      </c>
      <c r="C10" s="4" t="s">
        <v>4866</v>
      </c>
      <c r="D10" s="5" t="s">
        <v>4867</v>
      </c>
      <c r="E10" s="5">
        <f>LOOKUP(D10,'AMFI DATA_2023H1'!B:D,'AMFI DATA_2023H1'!D:D)</f>
        <v>134.02000000000001</v>
      </c>
      <c r="F10" s="7">
        <f t="shared" si="0"/>
        <v>0.61169974630652124</v>
      </c>
      <c r="G10" s="9">
        <v>216</v>
      </c>
      <c r="H10" s="9">
        <v>206</v>
      </c>
      <c r="I10" s="9">
        <v>202</v>
      </c>
      <c r="J10" s="9">
        <v>198</v>
      </c>
      <c r="K10" s="9">
        <v>197</v>
      </c>
      <c r="L10" s="9">
        <v>192</v>
      </c>
      <c r="M10" s="9"/>
      <c r="N10" s="9"/>
      <c r="O10" s="9"/>
      <c r="P10" s="9"/>
      <c r="Q10" s="9">
        <f ca="1">IFERROR(__xludf.DUMMYFUNCTION("GOOGLEFINANCE(C10,""changepct"")"),2.23)</f>
        <v>2.23</v>
      </c>
      <c r="R10" s="9"/>
      <c r="S10" s="9"/>
      <c r="T10" s="9"/>
      <c r="U10" s="9"/>
      <c r="V10" s="9"/>
      <c r="W10" s="9"/>
    </row>
    <row r="11" spans="1:23" ht="15.75" customHeight="1">
      <c r="A11" s="3">
        <f>LOOKUP(D11,'AMFI DATA_2023H1'!B:C,'AMFI DATA_2023H1'!C:C)</f>
        <v>2396</v>
      </c>
      <c r="B11" s="4" t="s">
        <v>5293</v>
      </c>
      <c r="C11" s="4" t="s">
        <v>5294</v>
      </c>
      <c r="D11" s="5" t="s">
        <v>5295</v>
      </c>
      <c r="E11" s="5">
        <f>LOOKUP(D11,'AMFI DATA_2023H1'!B:D,'AMFI DATA_2023H1'!D:D)</f>
        <v>73.459999999999994</v>
      </c>
      <c r="F11" s="7">
        <f t="shared" si="0"/>
        <v>0.52463925946093126</v>
      </c>
      <c r="G11" s="9">
        <v>112</v>
      </c>
      <c r="H11" s="9">
        <v>107</v>
      </c>
      <c r="I11" s="9">
        <v>107</v>
      </c>
      <c r="J11" s="9">
        <v>108</v>
      </c>
      <c r="K11" s="9">
        <v>108</v>
      </c>
      <c r="L11" s="9">
        <v>110</v>
      </c>
      <c r="M11" s="9"/>
      <c r="N11" s="9"/>
      <c r="O11" s="9"/>
      <c r="P11" s="9"/>
      <c r="Q11" s="9">
        <f ca="1">IFERROR(__xludf.DUMMYFUNCTION("GOOGLEFINANCE(C11,""changepct"")"),2.11)</f>
        <v>2.11</v>
      </c>
      <c r="R11" s="9"/>
      <c r="S11" s="9"/>
      <c r="T11" s="9"/>
      <c r="U11" s="9"/>
      <c r="V11" s="9"/>
      <c r="W11" s="9"/>
    </row>
    <row r="12" spans="1:23" ht="15.75" customHeight="1">
      <c r="A12" s="3">
        <f>LOOKUP(D12,'AMFI DATA_2023H1'!B:C,'AMFI DATA_2023H1'!C:C)</f>
        <v>2474</v>
      </c>
      <c r="B12" s="4" t="s">
        <v>5371</v>
      </c>
      <c r="C12" s="4" t="s">
        <v>5372</v>
      </c>
      <c r="D12" s="5" t="s">
        <v>5373</v>
      </c>
      <c r="E12" s="5">
        <f>LOOKUP(D12,'AMFI DATA_2023H1'!B:D,'AMFI DATA_2023H1'!D:D)</f>
        <v>66.489999999999995</v>
      </c>
      <c r="F12" s="7">
        <f t="shared" si="0"/>
        <v>0.83486238532110102</v>
      </c>
      <c r="G12" s="9">
        <v>122</v>
      </c>
      <c r="H12" s="9">
        <v>116</v>
      </c>
      <c r="I12" s="9">
        <v>117</v>
      </c>
      <c r="J12" s="9">
        <v>111</v>
      </c>
      <c r="K12" s="9">
        <v>106</v>
      </c>
      <c r="L12" s="9">
        <v>101</v>
      </c>
      <c r="M12" s="9"/>
      <c r="N12" s="9"/>
      <c r="O12" s="9"/>
      <c r="P12" s="9"/>
      <c r="Q12" s="9">
        <f ca="1">IFERROR(__xludf.DUMMYFUNCTION("GOOGLEFINANCE(C12,""changepct"")"),-4.04)</f>
        <v>-4.04</v>
      </c>
      <c r="R12" s="9"/>
      <c r="S12" s="9"/>
      <c r="T12" s="9"/>
      <c r="U12" s="9"/>
      <c r="V12" s="9"/>
      <c r="W12" s="9"/>
    </row>
    <row r="13" spans="1:23" ht="15.75" customHeight="1">
      <c r="A13" s="3">
        <f>LOOKUP(D13,'AMFI DATA_2023H1'!B:C,'AMFI DATA_2023H1'!C:C)</f>
        <v>2357</v>
      </c>
      <c r="B13" s="4" t="s">
        <v>5129</v>
      </c>
      <c r="C13" s="4" t="s">
        <v>5130</v>
      </c>
      <c r="D13" s="5" t="s">
        <v>5131</v>
      </c>
      <c r="E13" s="5">
        <f>LOOKUP(D13,'AMFI DATA_2023H1'!B:D,'AMFI DATA_2023H1'!D:D)</f>
        <v>77.62</v>
      </c>
      <c r="F13" s="7">
        <f t="shared" si="0"/>
        <v>0.98402473589281092</v>
      </c>
      <c r="G13" s="9">
        <v>154</v>
      </c>
      <c r="H13" s="9">
        <v>126</v>
      </c>
      <c r="I13" s="9">
        <v>127</v>
      </c>
      <c r="J13" s="9">
        <v>124</v>
      </c>
      <c r="K13" s="9">
        <v>124</v>
      </c>
      <c r="L13" s="9">
        <v>116</v>
      </c>
      <c r="M13" s="9"/>
      <c r="N13" s="9"/>
      <c r="O13" s="9"/>
      <c r="P13" s="9"/>
      <c r="Q13" s="9">
        <f ca="1">IFERROR(__xludf.DUMMYFUNCTION("GOOGLEFINANCE(C13,""changepct"")"),0.55)</f>
        <v>0.55000000000000004</v>
      </c>
      <c r="R13" s="9"/>
      <c r="S13" s="9"/>
      <c r="T13" s="9"/>
      <c r="U13" s="9"/>
      <c r="V13" s="9"/>
      <c r="W13" s="9"/>
    </row>
    <row r="14" spans="1:23" ht="15.75" customHeight="1">
      <c r="A14" s="3">
        <f>LOOKUP(D14,'AMFI DATA_2023H1'!B:C,'AMFI DATA_2023H1'!C:C)</f>
        <v>1785</v>
      </c>
      <c r="B14" s="4" t="s">
        <v>4493</v>
      </c>
      <c r="C14" s="4" t="s">
        <v>4494</v>
      </c>
      <c r="D14" s="5" t="s">
        <v>4495</v>
      </c>
      <c r="E14" s="5">
        <f>LOOKUP(D14,'AMFI DATA_2023H1'!B:D,'AMFI DATA_2023H1'!D:D)</f>
        <v>200.75</v>
      </c>
      <c r="F14" s="7">
        <f t="shared" si="0"/>
        <v>0.50435865504358657</v>
      </c>
      <c r="G14" s="9">
        <v>302</v>
      </c>
      <c r="H14" s="9">
        <v>295</v>
      </c>
      <c r="I14" s="9">
        <v>296</v>
      </c>
      <c r="J14" s="9">
        <v>296</v>
      </c>
      <c r="K14" s="9">
        <v>298</v>
      </c>
      <c r="L14" s="9">
        <v>301</v>
      </c>
      <c r="M14" s="9"/>
      <c r="N14" s="9"/>
      <c r="O14" s="9"/>
      <c r="P14" s="9"/>
      <c r="Q14" s="9">
        <f ca="1">IFERROR(__xludf.DUMMYFUNCTION("GOOGLEFINANCE(C14,""changepct"")"),3.31)</f>
        <v>3.31</v>
      </c>
      <c r="R14" s="9"/>
      <c r="S14" s="9"/>
      <c r="T14" s="9"/>
      <c r="U14" s="9"/>
      <c r="V14" s="9"/>
      <c r="W14" s="9"/>
    </row>
    <row r="15" spans="1:23" ht="15.75" customHeight="1">
      <c r="A15" s="3">
        <f>LOOKUP(D15,'AMFI DATA_2023H1'!B:C,'AMFI DATA_2023H1'!C:C)</f>
        <v>1785</v>
      </c>
      <c r="B15" s="4" t="s">
        <v>4904</v>
      </c>
      <c r="C15" s="4" t="s">
        <v>4905</v>
      </c>
      <c r="D15" s="5" t="s">
        <v>4906</v>
      </c>
      <c r="E15" s="5">
        <f>LOOKUP(D15,'AMFI DATA_2023H1'!B:D,'AMFI DATA_2023H1'!D:D)</f>
        <v>200.75</v>
      </c>
      <c r="F15" s="7">
        <f t="shared" si="0"/>
        <v>-0.25280199252801994</v>
      </c>
      <c r="G15" s="9">
        <v>150</v>
      </c>
      <c r="H15" s="9">
        <v>143</v>
      </c>
      <c r="I15" s="9">
        <v>148</v>
      </c>
      <c r="J15" s="9">
        <v>151</v>
      </c>
      <c r="K15" s="9">
        <v>148</v>
      </c>
      <c r="L15" s="9">
        <v>141</v>
      </c>
      <c r="M15" s="9"/>
      <c r="N15" s="9"/>
      <c r="O15" s="9"/>
      <c r="P15" s="9"/>
      <c r="Q15" s="9">
        <f ca="1">IFERROR(__xludf.DUMMYFUNCTION("GOOGLEFINANCE(C15,""changepct"")"),5.19)</f>
        <v>5.19</v>
      </c>
      <c r="R15" s="9"/>
      <c r="S15" s="9"/>
      <c r="T15" s="9"/>
      <c r="U15" s="9"/>
      <c r="V15" s="9"/>
      <c r="W15" s="9"/>
    </row>
    <row r="16" spans="1:23" ht="15.75" customHeight="1">
      <c r="A16" s="3">
        <f>LOOKUP(D16,'AMFI DATA_2023H1'!B:C,'AMFI DATA_2023H1'!C:C)</f>
        <v>591</v>
      </c>
      <c r="B16" s="4" t="s">
        <v>1848</v>
      </c>
      <c r="C16" s="4" t="s">
        <v>1849</v>
      </c>
      <c r="D16" s="5" t="s">
        <v>1850</v>
      </c>
      <c r="E16" s="5">
        <f>LOOKUP(D16,'AMFI DATA_2023H1'!B:D,'AMFI DATA_2023H1'!D:D)</f>
        <v>3849.55</v>
      </c>
      <c r="F16" s="7">
        <f t="shared" si="0"/>
        <v>0.19156784559234197</v>
      </c>
      <c r="G16" s="8">
        <v>4587</v>
      </c>
      <c r="H16" s="8">
        <v>4529</v>
      </c>
      <c r="I16" s="8">
        <v>4572</v>
      </c>
      <c r="J16" s="8">
        <v>4610</v>
      </c>
      <c r="K16" s="8">
        <v>4575</v>
      </c>
      <c r="L16" s="8">
        <v>4625</v>
      </c>
      <c r="M16" s="8"/>
      <c r="N16" s="8"/>
      <c r="O16" s="8"/>
      <c r="P16" s="8"/>
      <c r="Q16" s="9">
        <f ca="1">IFERROR(__xludf.DUMMYFUNCTION("GOOGLEFINANCE(C16,""changepct"")"),1.05)</f>
        <v>1.05</v>
      </c>
      <c r="R16" s="8"/>
      <c r="S16" s="8"/>
      <c r="T16" s="8"/>
      <c r="U16" s="8"/>
      <c r="V16" s="8"/>
      <c r="W16" s="8"/>
    </row>
    <row r="17" spans="1:23" ht="15.75" customHeight="1">
      <c r="A17" s="3">
        <f>LOOKUP(D17,'AMFI DATA_2023H1'!B:C,'AMFI DATA_2023H1'!C:C)</f>
        <v>231</v>
      </c>
      <c r="B17" s="4" t="s">
        <v>867</v>
      </c>
      <c r="C17" s="4" t="s">
        <v>868</v>
      </c>
      <c r="D17" s="5" t="s">
        <v>869</v>
      </c>
      <c r="E17" s="5">
        <f>LOOKUP(D17,'AMFI DATA_2023H1'!B:D,'AMFI DATA_2023H1'!D:D)</f>
        <v>19410.27</v>
      </c>
      <c r="F17" s="7">
        <f t="shared" si="0"/>
        <v>0.21693309778792358</v>
      </c>
      <c r="G17" s="8">
        <v>23621</v>
      </c>
      <c r="H17" s="8">
        <v>23554</v>
      </c>
      <c r="I17" s="8">
        <v>23169</v>
      </c>
      <c r="J17" s="8">
        <v>23409</v>
      </c>
      <c r="K17" s="8">
        <v>22964</v>
      </c>
      <c r="L17" s="8">
        <v>21698</v>
      </c>
      <c r="M17" s="8"/>
      <c r="N17" s="8"/>
      <c r="O17" s="8"/>
      <c r="P17" s="8"/>
      <c r="Q17" s="9">
        <f ca="1">IFERROR(__xludf.DUMMYFUNCTION("GOOGLEFINANCE(C17,""changepct"")"),9.55)</f>
        <v>9.5500000000000007</v>
      </c>
      <c r="R17" s="8"/>
      <c r="S17" s="8"/>
      <c r="T17" s="8"/>
      <c r="U17" s="8"/>
      <c r="V17" s="8"/>
      <c r="W17" s="8"/>
    </row>
    <row r="18" spans="1:23" ht="15.75" customHeight="1">
      <c r="A18" s="3">
        <f>LOOKUP(D18,'AMFI DATA_2023H1'!B:C,'AMFI DATA_2023H1'!C:C)</f>
        <v>646</v>
      </c>
      <c r="B18" s="4" t="s">
        <v>2087</v>
      </c>
      <c r="C18" s="4" t="s">
        <v>2088</v>
      </c>
      <c r="D18" s="5" t="s">
        <v>2089</v>
      </c>
      <c r="E18" s="5">
        <f>LOOKUP(D18,'AMFI DATA_2023H1'!B:D,'AMFI DATA_2023H1'!D:D)</f>
        <v>3067.34</v>
      </c>
      <c r="F18" s="7">
        <f t="shared" si="0"/>
        <v>0.49282440159877927</v>
      </c>
      <c r="G18" s="8">
        <v>4579</v>
      </c>
      <c r="H18" s="8">
        <v>4572</v>
      </c>
      <c r="I18" s="8">
        <v>4672</v>
      </c>
      <c r="J18" s="8">
        <v>4809</v>
      </c>
      <c r="K18" s="8">
        <v>4574</v>
      </c>
      <c r="L18" s="8">
        <v>4542</v>
      </c>
      <c r="M18" s="8"/>
      <c r="N18" s="8"/>
      <c r="O18" s="8"/>
      <c r="P18" s="8"/>
      <c r="Q18" s="9">
        <f ca="1">IFERROR(__xludf.DUMMYFUNCTION("GOOGLEFINANCE(C18,""changepct"")"),1.96)</f>
        <v>1.96</v>
      </c>
      <c r="R18" s="8"/>
      <c r="S18" s="8"/>
      <c r="T18" s="8"/>
      <c r="U18" s="8"/>
      <c r="V18" s="8"/>
      <c r="W18" s="8"/>
    </row>
    <row r="19" spans="1:23" ht="15.75" customHeight="1">
      <c r="A19" s="3">
        <f>LOOKUP(D19,'AMFI DATA_2023H1'!B:C,'AMFI DATA_2023H1'!C:C)</f>
        <v>1342</v>
      </c>
      <c r="B19" s="4" t="s">
        <v>3977</v>
      </c>
      <c r="C19" s="4" t="s">
        <v>3978</v>
      </c>
      <c r="D19" s="5" t="s">
        <v>3979</v>
      </c>
      <c r="E19" s="5">
        <f>LOOKUP(D19,'AMFI DATA_2023H1'!B:D,'AMFI DATA_2023H1'!D:D)</f>
        <v>463.23</v>
      </c>
      <c r="F19" s="7">
        <f t="shared" si="0"/>
        <v>0.31252293677007104</v>
      </c>
      <c r="G19" s="9">
        <v>608</v>
      </c>
      <c r="H19" s="9">
        <v>607</v>
      </c>
      <c r="I19" s="9">
        <v>603</v>
      </c>
      <c r="J19" s="9">
        <v>572</v>
      </c>
      <c r="K19" s="9">
        <v>514</v>
      </c>
      <c r="L19" s="9">
        <v>501</v>
      </c>
      <c r="M19" s="9"/>
      <c r="N19" s="9"/>
      <c r="O19" s="9"/>
      <c r="P19" s="9"/>
      <c r="Q19" s="9">
        <f ca="1">IFERROR(__xludf.DUMMYFUNCTION("GOOGLEFINANCE(C19,""changepct"")"),4.85)</f>
        <v>4.8499999999999996</v>
      </c>
      <c r="R19" s="9"/>
      <c r="S19" s="9"/>
      <c r="T19" s="9"/>
      <c r="U19" s="9"/>
      <c r="V19" s="9"/>
      <c r="W19" s="9"/>
    </row>
    <row r="20" spans="1:23" ht="15.75" customHeight="1">
      <c r="A20" s="3">
        <f>LOOKUP(D20,'AMFI DATA_2023H1'!B:C,'AMFI DATA_2023H1'!C:C)</f>
        <v>2618</v>
      </c>
      <c r="B20" s="4" t="s">
        <v>5437</v>
      </c>
      <c r="C20" s="4" t="s">
        <v>5438</v>
      </c>
      <c r="D20" s="5" t="s">
        <v>5439</v>
      </c>
      <c r="E20" s="5">
        <f>LOOKUP(D20,'AMFI DATA_2023H1'!B:D,'AMFI DATA_2023H1'!D:D)</f>
        <v>51.78</v>
      </c>
      <c r="F20" s="7">
        <f t="shared" si="0"/>
        <v>0.34801081498648112</v>
      </c>
      <c r="G20" s="9">
        <v>69.8</v>
      </c>
      <c r="H20" s="9">
        <v>66.2</v>
      </c>
      <c r="I20" s="9">
        <v>68.5</v>
      </c>
      <c r="J20" s="9">
        <v>70.599999999999994</v>
      </c>
      <c r="K20" s="9">
        <v>64.599999999999994</v>
      </c>
      <c r="L20" s="9">
        <v>62.8</v>
      </c>
      <c r="M20" s="9"/>
      <c r="N20" s="9"/>
      <c r="O20" s="9"/>
      <c r="P20" s="9"/>
      <c r="Q20" s="9">
        <f ca="1">IFERROR(__xludf.DUMMYFUNCTION("GOOGLEFINANCE(C20,""changepct"")"),0.52)</f>
        <v>0.52</v>
      </c>
      <c r="R20" s="9"/>
      <c r="S20" s="9"/>
      <c r="T20" s="9"/>
      <c r="U20" s="9"/>
      <c r="V20" s="9"/>
      <c r="W20" s="9"/>
    </row>
    <row r="21" spans="1:23" ht="15.75" customHeight="1">
      <c r="A21" s="3">
        <f>LOOKUP(D21,'AMFI DATA_2023H1'!B:C,'AMFI DATA_2023H1'!C:C)</f>
        <v>1783</v>
      </c>
      <c r="B21" s="4" t="s">
        <v>4685</v>
      </c>
      <c r="C21" s="4" t="s">
        <v>4686</v>
      </c>
      <c r="D21" s="5" t="s">
        <v>4687</v>
      </c>
      <c r="E21" s="5">
        <f>LOOKUP(D21,'AMFI DATA_2023H1'!B:D,'AMFI DATA_2023H1'!D:D)</f>
        <v>201.17</v>
      </c>
      <c r="F21" s="7">
        <f t="shared" si="0"/>
        <v>0.14331162698215438</v>
      </c>
      <c r="G21" s="9">
        <v>230</v>
      </c>
      <c r="H21" s="9">
        <v>233</v>
      </c>
      <c r="I21" s="9">
        <v>246</v>
      </c>
      <c r="J21" s="9">
        <v>243</v>
      </c>
      <c r="K21" s="9">
        <v>203</v>
      </c>
      <c r="L21" s="9">
        <v>204</v>
      </c>
      <c r="M21" s="9"/>
      <c r="N21" s="9"/>
      <c r="O21" s="9"/>
      <c r="P21" s="9"/>
      <c r="Q21" s="9">
        <f ca="1">IFERROR(__xludf.DUMMYFUNCTION("GOOGLEFINANCE(C21,""changepct"")"),-1.75)</f>
        <v>-1.75</v>
      </c>
      <c r="R21" s="9"/>
      <c r="S21" s="9"/>
      <c r="T21" s="9"/>
      <c r="U21" s="9"/>
      <c r="V21" s="9"/>
      <c r="W21" s="9"/>
    </row>
    <row r="22" spans="1:23" ht="15.75" customHeight="1">
      <c r="A22" s="3">
        <f>LOOKUP(D22,'AMFI DATA_2023H1'!B:C,'AMFI DATA_2023H1'!C:C)</f>
        <v>293</v>
      </c>
      <c r="B22" s="4" t="s">
        <v>1059</v>
      </c>
      <c r="C22" s="4" t="s">
        <v>1060</v>
      </c>
      <c r="D22" s="5" t="s">
        <v>1061</v>
      </c>
      <c r="E22" s="5">
        <f>LOOKUP(D22,'AMFI DATA_2023H1'!B:D,'AMFI DATA_2023H1'!D:D)</f>
        <v>13058.14</v>
      </c>
      <c r="F22" s="7">
        <f t="shared" si="0"/>
        <v>-5.3846872525489808E-2</v>
      </c>
      <c r="G22" s="8">
        <v>12355</v>
      </c>
      <c r="H22" s="8">
        <v>12125</v>
      </c>
      <c r="I22" s="8">
        <v>11889</v>
      </c>
      <c r="J22" s="8">
        <v>11804</v>
      </c>
      <c r="K22" s="8">
        <v>11577</v>
      </c>
      <c r="L22" s="8">
        <v>11712</v>
      </c>
      <c r="M22" s="8"/>
      <c r="N22" s="8"/>
      <c r="O22" s="8"/>
      <c r="P22" s="8"/>
      <c r="Q22" s="9">
        <f ca="1">IFERROR(__xludf.DUMMYFUNCTION("GOOGLEFINANCE(C22,""changepct"")"),1.26)</f>
        <v>1.26</v>
      </c>
      <c r="R22" s="8"/>
      <c r="S22" s="8"/>
      <c r="T22" s="8"/>
      <c r="U22" s="8"/>
      <c r="V22" s="8"/>
      <c r="W22" s="8"/>
    </row>
    <row r="23" spans="1:23" ht="15.75" customHeight="1">
      <c r="A23" s="3">
        <f>LOOKUP(D23,'AMFI DATA_2023H1'!B:C,'AMFI DATA_2023H1'!C:C)</f>
        <v>1708</v>
      </c>
      <c r="B23" s="4" t="s">
        <v>4463</v>
      </c>
      <c r="C23" s="4" t="s">
        <v>4464</v>
      </c>
      <c r="D23" s="5" t="s">
        <v>4465</v>
      </c>
      <c r="E23" s="5">
        <f>LOOKUP(D23,'AMFI DATA_2023H1'!B:D,'AMFI DATA_2023H1'!D:D)</f>
        <v>238.51</v>
      </c>
      <c r="F23" s="7">
        <f t="shared" si="0"/>
        <v>0.34166282336170406</v>
      </c>
      <c r="G23" s="9">
        <v>320</v>
      </c>
      <c r="H23" s="9">
        <v>308</v>
      </c>
      <c r="I23" s="9">
        <v>306</v>
      </c>
      <c r="J23" s="9">
        <v>311</v>
      </c>
      <c r="K23" s="9">
        <v>317</v>
      </c>
      <c r="L23" s="9">
        <v>308</v>
      </c>
      <c r="M23" s="9"/>
      <c r="N23" s="9"/>
      <c r="O23" s="9"/>
      <c r="P23" s="9"/>
      <c r="Q23" s="9">
        <f ca="1">IFERROR(__xludf.DUMMYFUNCTION("GOOGLEFINANCE(C23,""changepct"")"),3.99)</f>
        <v>3.99</v>
      </c>
      <c r="R23" s="9"/>
      <c r="S23" s="9"/>
      <c r="T23" s="9"/>
      <c r="U23" s="9"/>
      <c r="V23" s="9"/>
      <c r="W23" s="9"/>
    </row>
    <row r="24" spans="1:23" ht="15.75" customHeight="1">
      <c r="A24" s="3">
        <f>LOOKUP(D24,'AMFI DATA_2023H1'!B:C,'AMFI DATA_2023H1'!C:C)</f>
        <v>984</v>
      </c>
      <c r="B24" s="4" t="s">
        <v>2954</v>
      </c>
      <c r="C24" s="4" t="s">
        <v>2955</v>
      </c>
      <c r="D24" s="5" t="s">
        <v>2956</v>
      </c>
      <c r="E24" s="5">
        <f>LOOKUP(D24,'AMFI DATA_2023H1'!B:D,'AMFI DATA_2023H1'!D:D)</f>
        <v>1237.1099999999999</v>
      </c>
      <c r="F24" s="7">
        <f t="shared" si="0"/>
        <v>0.34022035227263547</v>
      </c>
      <c r="G24" s="8">
        <v>1658</v>
      </c>
      <c r="H24" s="8">
        <v>1593</v>
      </c>
      <c r="I24" s="8">
        <v>1586</v>
      </c>
      <c r="J24" s="8">
        <v>1585</v>
      </c>
      <c r="K24" s="8">
        <v>1592</v>
      </c>
      <c r="L24" s="8">
        <v>1573</v>
      </c>
      <c r="M24" s="8"/>
      <c r="N24" s="8"/>
      <c r="O24" s="8"/>
      <c r="P24" s="8"/>
      <c r="Q24" s="9" t="str">
        <f ca="1">IFERROR(__xludf.DUMMYFUNCTION("GOOGLEFINANCE(C24,""changepct"")"),"#N/A")</f>
        <v>#N/A</v>
      </c>
      <c r="R24" s="8"/>
      <c r="S24" s="8"/>
      <c r="T24" s="8"/>
      <c r="U24" s="8"/>
      <c r="V24" s="8"/>
      <c r="W24" s="8"/>
    </row>
    <row r="25" spans="1:23" ht="15.75" customHeight="1">
      <c r="A25" s="3">
        <f>LOOKUP(D25,'AMFI DATA_2023H1'!B:C,'AMFI DATA_2023H1'!C:C)</f>
        <v>71</v>
      </c>
      <c r="B25" s="4" t="s">
        <v>207</v>
      </c>
      <c r="C25" s="4" t="s">
        <v>208</v>
      </c>
      <c r="D25" s="5" t="s">
        <v>209</v>
      </c>
      <c r="E25" s="5">
        <f>LOOKUP(D25,'AMFI DATA_2023H1'!B:D,'AMFI DATA_2023H1'!D:D)</f>
        <v>73163.05</v>
      </c>
      <c r="F25" s="7">
        <f t="shared" si="0"/>
        <v>0.35508292778936901</v>
      </c>
      <c r="G25" s="8">
        <v>99142</v>
      </c>
      <c r="H25" s="8">
        <v>99037</v>
      </c>
      <c r="I25" s="8">
        <v>98434</v>
      </c>
      <c r="J25" s="8">
        <v>100619</v>
      </c>
      <c r="K25" s="8">
        <v>101060</v>
      </c>
      <c r="L25" s="8">
        <v>100847</v>
      </c>
      <c r="M25" s="8"/>
      <c r="N25" s="8"/>
      <c r="O25" s="8"/>
      <c r="P25" s="8"/>
      <c r="Q25" s="9">
        <f ca="1">IFERROR(__xludf.DUMMYFUNCTION("GOOGLEFINANCE(C25,""changepct"")"),1.48)</f>
        <v>1.48</v>
      </c>
      <c r="R25" s="8"/>
      <c r="S25" s="8"/>
      <c r="T25" s="8"/>
      <c r="U25" s="8"/>
      <c r="V25" s="8"/>
      <c r="W25" s="8"/>
    </row>
    <row r="26" spans="1:23" ht="15.75" customHeight="1">
      <c r="A26" s="3">
        <f>LOOKUP(D26,'AMFI DATA_2023H1'!B:C,'AMFI DATA_2023H1'!C:C)</f>
        <v>71</v>
      </c>
      <c r="B26" s="4" t="s">
        <v>210</v>
      </c>
      <c r="C26" s="4" t="s">
        <v>211</v>
      </c>
      <c r="D26" s="5" t="s">
        <v>212</v>
      </c>
      <c r="E26" s="5">
        <f>LOOKUP(D26,'AMFI DATA_2023H1'!B:D,'AMFI DATA_2023H1'!D:D)</f>
        <v>73163.05</v>
      </c>
      <c r="F26" s="7">
        <f t="shared" si="0"/>
        <v>-0.34003571474945349</v>
      </c>
      <c r="G26" s="8">
        <v>48285</v>
      </c>
      <c r="H26" s="8">
        <v>48663</v>
      </c>
      <c r="I26" s="8">
        <v>48131</v>
      </c>
      <c r="J26" s="8">
        <v>48085</v>
      </c>
      <c r="K26" s="8">
        <v>47766</v>
      </c>
      <c r="L26" s="8">
        <v>48034</v>
      </c>
      <c r="M26" s="8"/>
      <c r="N26" s="8"/>
      <c r="O26" s="8"/>
      <c r="P26" s="8"/>
      <c r="Q26" s="9">
        <f ca="1">IFERROR(__xludf.DUMMYFUNCTION("GOOGLEFINANCE(C26,""changepct"")"),-2.09)</f>
        <v>-2.09</v>
      </c>
      <c r="R26" s="8"/>
      <c r="S26" s="8"/>
      <c r="T26" s="8"/>
      <c r="U26" s="8"/>
      <c r="V26" s="8"/>
      <c r="W26" s="8"/>
    </row>
    <row r="27" spans="1:23" ht="15.75" customHeight="1">
      <c r="A27" s="3">
        <f>LOOKUP(D27,'AMFI DATA_2023H1'!B:C,'AMFI DATA_2023H1'!C:C)</f>
        <v>2637</v>
      </c>
      <c r="B27" s="4" t="s">
        <v>5527</v>
      </c>
      <c r="C27" s="4" t="s">
        <v>5528</v>
      </c>
      <c r="D27" s="5" t="s">
        <v>5529</v>
      </c>
      <c r="E27" s="5">
        <f>LOOKUP(D27,'AMFI DATA_2023H1'!B:D,'AMFI DATA_2023H1'!D:D)</f>
        <v>50.19</v>
      </c>
      <c r="F27" s="7">
        <f t="shared" si="0"/>
        <v>-2.1717473600318726E-2</v>
      </c>
      <c r="G27" s="9">
        <v>49.1</v>
      </c>
      <c r="H27" s="9">
        <v>51.6</v>
      </c>
      <c r="I27" s="9">
        <v>53.2</v>
      </c>
      <c r="J27" s="9">
        <v>54.5</v>
      </c>
      <c r="K27" s="9">
        <v>51.9</v>
      </c>
      <c r="L27" s="9">
        <v>49.4</v>
      </c>
      <c r="M27" s="9"/>
      <c r="N27" s="9"/>
      <c r="O27" s="9"/>
      <c r="P27" s="9"/>
      <c r="Q27" s="9">
        <f ca="1">IFERROR(__xludf.DUMMYFUNCTION("GOOGLEFINANCE(C27,""changepct"")"),4.38)</f>
        <v>4.38</v>
      </c>
      <c r="R27" s="9"/>
      <c r="S27" s="9"/>
      <c r="T27" s="9"/>
      <c r="U27" s="9"/>
      <c r="V27" s="9"/>
      <c r="W27" s="9"/>
    </row>
    <row r="28" spans="1:23" ht="15.75" customHeight="1">
      <c r="A28" s="3">
        <f>LOOKUP(D28,'AMFI DATA_2023H1'!B:C,'AMFI DATA_2023H1'!C:C)</f>
        <v>147</v>
      </c>
      <c r="B28" s="4" t="s">
        <v>519</v>
      </c>
      <c r="C28" s="4" t="s">
        <v>520</v>
      </c>
      <c r="D28" s="5" t="s">
        <v>521</v>
      </c>
      <c r="E28" s="5">
        <f>LOOKUP(D28,'AMFI DATA_2023H1'!B:D,'AMFI DATA_2023H1'!D:D)</f>
        <v>35284.449999999997</v>
      </c>
      <c r="F28" s="7">
        <f t="shared" si="0"/>
        <v>0.19389702829433375</v>
      </c>
      <c r="G28" s="8">
        <v>42126</v>
      </c>
      <c r="H28" s="8">
        <v>41480</v>
      </c>
      <c r="I28" s="8">
        <v>40763</v>
      </c>
      <c r="J28" s="8">
        <v>40709</v>
      </c>
      <c r="K28" s="8">
        <v>39682</v>
      </c>
      <c r="L28" s="8">
        <v>39262</v>
      </c>
      <c r="M28" s="8"/>
      <c r="N28" s="8"/>
      <c r="O28" s="8"/>
      <c r="P28" s="8"/>
      <c r="Q28" s="9">
        <f ca="1">IFERROR(__xludf.DUMMYFUNCTION("GOOGLEFINANCE(C28,""changepct"")"),1.06)</f>
        <v>1.06</v>
      </c>
      <c r="R28" s="8"/>
      <c r="S28" s="8"/>
      <c r="T28" s="8"/>
      <c r="U28" s="8"/>
      <c r="V28" s="8"/>
      <c r="W28" s="8"/>
    </row>
    <row r="29" spans="1:23" ht="15.75" customHeight="1">
      <c r="A29" s="3">
        <f>LOOKUP(D29,'AMFI DATA_2023H1'!B:C,'AMFI DATA_2023H1'!C:C)</f>
        <v>793</v>
      </c>
      <c r="B29" s="4" t="s">
        <v>2597</v>
      </c>
      <c r="C29" s="4" t="s">
        <v>2598</v>
      </c>
      <c r="D29" s="5" t="s">
        <v>2599</v>
      </c>
      <c r="E29" s="5">
        <f>LOOKUP(D29,'AMFI DATA_2023H1'!B:D,'AMFI DATA_2023H1'!D:D)</f>
        <v>1957.06</v>
      </c>
      <c r="F29" s="7">
        <f t="shared" si="0"/>
        <v>8.6323362594912911E-2</v>
      </c>
      <c r="G29" s="8">
        <v>2126</v>
      </c>
      <c r="H29" s="8">
        <v>2114</v>
      </c>
      <c r="I29" s="8">
        <v>2135</v>
      </c>
      <c r="J29" s="8">
        <v>2130</v>
      </c>
      <c r="K29" s="8">
        <v>2091</v>
      </c>
      <c r="L29" s="8">
        <v>2072</v>
      </c>
      <c r="M29" s="8"/>
      <c r="N29" s="8"/>
      <c r="O29" s="8"/>
      <c r="P29" s="8"/>
      <c r="Q29" s="9">
        <f ca="1">IFERROR(__xludf.DUMMYFUNCTION("GOOGLEFINANCE(C29,""changepct"")"),-6.41)</f>
        <v>-6.41</v>
      </c>
      <c r="R29" s="8"/>
      <c r="S29" s="8"/>
      <c r="T29" s="8"/>
      <c r="U29" s="8"/>
      <c r="V29" s="8"/>
      <c r="W29" s="8"/>
    </row>
    <row r="30" spans="1:23" ht="15.75" customHeight="1">
      <c r="A30" s="3">
        <f>LOOKUP(D30,'AMFI DATA_2023H1'!B:C,'AMFI DATA_2023H1'!C:C)</f>
        <v>1731</v>
      </c>
      <c r="B30" s="4" t="s">
        <v>4988</v>
      </c>
      <c r="C30" s="4" t="s">
        <v>4989</v>
      </c>
      <c r="D30" s="5" t="s">
        <v>4990</v>
      </c>
      <c r="E30" s="5">
        <f>LOOKUP(D30,'AMFI DATA_2023H1'!B:D,'AMFI DATA_2023H1'!D:D)</f>
        <v>224.86</v>
      </c>
      <c r="F30" s="7">
        <f t="shared" si="0"/>
        <v>-0.35515431824246202</v>
      </c>
      <c r="G30" s="9">
        <v>145</v>
      </c>
      <c r="H30" s="9">
        <v>145</v>
      </c>
      <c r="I30" s="9">
        <v>143</v>
      </c>
      <c r="J30" s="9">
        <v>143</v>
      </c>
      <c r="K30" s="9">
        <v>143</v>
      </c>
      <c r="L30" s="9">
        <v>142</v>
      </c>
      <c r="M30" s="9"/>
      <c r="N30" s="9"/>
      <c r="O30" s="9"/>
      <c r="P30" s="9"/>
      <c r="Q30" s="9">
        <f ca="1">IFERROR(__xludf.DUMMYFUNCTION("GOOGLEFINANCE(C30,""changepct"")"),10)</f>
        <v>10</v>
      </c>
      <c r="R30" s="9"/>
      <c r="S30" s="9"/>
      <c r="T30" s="9"/>
      <c r="U30" s="9"/>
      <c r="V30" s="9"/>
      <c r="W30" s="9"/>
    </row>
    <row r="31" spans="1:23" ht="15.75" customHeight="1">
      <c r="A31" s="3">
        <f>LOOKUP(D31,'AMFI DATA_2023H1'!B:C,'AMFI DATA_2023H1'!C:C)</f>
        <v>2686</v>
      </c>
      <c r="B31" s="4" t="s">
        <v>5554</v>
      </c>
      <c r="C31" s="4" t="s">
        <v>5555</v>
      </c>
      <c r="D31" s="5" t="s">
        <v>5556</v>
      </c>
      <c r="E31" s="5">
        <f>LOOKUP(D31,'AMFI DATA_2023H1'!B:D,'AMFI DATA_2023H1'!D:D)</f>
        <v>47.2</v>
      </c>
      <c r="F31" s="7">
        <f t="shared" si="0"/>
        <v>-0.12076271186440679</v>
      </c>
      <c r="G31" s="9">
        <v>41.5</v>
      </c>
      <c r="H31" s="9">
        <v>41.3</v>
      </c>
      <c r="I31" s="9">
        <v>40.799999999999997</v>
      </c>
      <c r="J31" s="9">
        <v>41.4</v>
      </c>
      <c r="K31" s="9">
        <v>41.9</v>
      </c>
      <c r="L31" s="9">
        <v>42.1</v>
      </c>
      <c r="M31" s="9"/>
      <c r="N31" s="9"/>
      <c r="O31" s="9"/>
      <c r="P31" s="9"/>
      <c r="Q31" s="9">
        <f ca="1">IFERROR(__xludf.DUMMYFUNCTION("GOOGLEFINANCE(C31,""changepct"")"),1.12)</f>
        <v>1.1200000000000001</v>
      </c>
      <c r="R31" s="9"/>
      <c r="S31" s="9"/>
      <c r="T31" s="9"/>
      <c r="U31" s="9"/>
      <c r="V31" s="9"/>
      <c r="W31" s="9"/>
    </row>
    <row r="32" spans="1:23" ht="15.75" customHeight="1">
      <c r="A32" s="3">
        <f>LOOKUP(D32,'AMFI DATA_2023H1'!B:C,'AMFI DATA_2023H1'!C:C)</f>
        <v>522</v>
      </c>
      <c r="B32" s="4" t="s">
        <v>1335</v>
      </c>
      <c r="C32" s="4" t="s">
        <v>1336</v>
      </c>
      <c r="D32" s="5" t="s">
        <v>1337</v>
      </c>
      <c r="E32" s="5">
        <f>LOOKUP(D32,'AMFI DATA_2023H1'!B:D,'AMFI DATA_2023H1'!D:D)</f>
        <v>4773.5600000000004</v>
      </c>
      <c r="F32" s="7">
        <f t="shared" si="0"/>
        <v>1.104299516503406</v>
      </c>
      <c r="G32" s="8">
        <v>10045</v>
      </c>
      <c r="H32" s="8">
        <v>9874</v>
      </c>
      <c r="I32" s="8">
        <v>9884</v>
      </c>
      <c r="J32" s="8">
        <v>10011</v>
      </c>
      <c r="K32" s="8">
        <v>10098</v>
      </c>
      <c r="L32" s="8">
        <v>10135</v>
      </c>
      <c r="M32" s="8"/>
      <c r="N32" s="8"/>
      <c r="O32" s="8"/>
      <c r="P32" s="8"/>
      <c r="Q32" s="9">
        <f ca="1">IFERROR(__xludf.DUMMYFUNCTION("GOOGLEFINANCE(C32,""changepct"")"),0.3)</f>
        <v>0.3</v>
      </c>
      <c r="R32" s="8"/>
      <c r="S32" s="8"/>
      <c r="T32" s="8"/>
      <c r="U32" s="8"/>
      <c r="V32" s="8"/>
      <c r="W32" s="8"/>
    </row>
    <row r="33" spans="1:23" ht="15.75" customHeight="1">
      <c r="A33" s="3">
        <f>LOOKUP(D33,'AMFI DATA_2023H1'!B:C,'AMFI DATA_2023H1'!C:C)</f>
        <v>1314</v>
      </c>
      <c r="B33" s="4" t="s">
        <v>198</v>
      </c>
      <c r="C33" s="4" t="s">
        <v>199</v>
      </c>
      <c r="D33" s="5" t="s">
        <v>200</v>
      </c>
      <c r="E33" s="5">
        <f>LOOKUP(D33,'AMFI DATA_2023H1'!B:D,'AMFI DATA_2023H1'!D:D)</f>
        <v>494.76</v>
      </c>
      <c r="F33" s="7">
        <f t="shared" si="0"/>
        <v>236.65866278599725</v>
      </c>
      <c r="G33" s="8">
        <v>117584</v>
      </c>
      <c r="H33" s="8">
        <v>116681</v>
      </c>
      <c r="I33" s="8">
        <v>114288</v>
      </c>
      <c r="J33" s="8">
        <v>118081</v>
      </c>
      <c r="K33" s="8">
        <v>116156</v>
      </c>
      <c r="L33" s="8">
        <v>114661</v>
      </c>
      <c r="M33" s="8"/>
      <c r="N33" s="8"/>
      <c r="O33" s="8"/>
      <c r="P33" s="8"/>
      <c r="Q33" s="9">
        <f ca="1">IFERROR(__xludf.DUMMYFUNCTION("GOOGLEFINANCE(C33,""changepct"")"),5.49)</f>
        <v>5.49</v>
      </c>
      <c r="R33" s="8"/>
      <c r="S33" s="8"/>
      <c r="T33" s="8"/>
      <c r="U33" s="8"/>
      <c r="V33" s="8"/>
      <c r="W33" s="8"/>
    </row>
    <row r="34" spans="1:23" ht="15.75" customHeight="1">
      <c r="A34" s="3">
        <f>LOOKUP(D34,'AMFI DATA_2023H1'!B:C,'AMFI DATA_2023H1'!C:C)</f>
        <v>19</v>
      </c>
      <c r="B34" s="4" t="s">
        <v>61</v>
      </c>
      <c r="C34" s="4" t="s">
        <v>62</v>
      </c>
      <c r="D34" s="5" t="s">
        <v>63</v>
      </c>
      <c r="E34" s="5">
        <f>LOOKUP(D34,'AMFI DATA_2023H1'!B:D,'AMFI DATA_2023H1'!D:D)</f>
        <v>255987.28</v>
      </c>
      <c r="F34" s="7">
        <f t="shared" si="0"/>
        <v>0.29899813771996797</v>
      </c>
      <c r="G34" s="8">
        <v>332527</v>
      </c>
      <c r="H34" s="8">
        <v>324786</v>
      </c>
      <c r="I34" s="8">
        <v>320625</v>
      </c>
      <c r="J34" s="8">
        <v>324080</v>
      </c>
      <c r="K34" s="8">
        <v>326772</v>
      </c>
      <c r="L34" s="8">
        <v>320152</v>
      </c>
      <c r="M34" s="8"/>
      <c r="N34" s="8"/>
      <c r="O34" s="8"/>
      <c r="P34" s="8"/>
      <c r="Q34" s="9">
        <f ca="1">IFERROR(__xludf.DUMMYFUNCTION("GOOGLEFINANCE(C34,""changepct"")"),2.36)</f>
        <v>2.36</v>
      </c>
      <c r="R34" s="8"/>
      <c r="S34" s="8"/>
      <c r="T34" s="8"/>
      <c r="U34" s="8"/>
      <c r="V34" s="8"/>
      <c r="W34" s="8"/>
    </row>
    <row r="35" spans="1:23" ht="15.75" customHeight="1">
      <c r="A35" s="3">
        <f>LOOKUP(D35,'AMFI DATA_2023H1'!B:C,'AMFI DATA_2023H1'!C:C)</f>
        <v>31</v>
      </c>
      <c r="B35" s="4" t="s">
        <v>108</v>
      </c>
      <c r="C35" s="4" t="s">
        <v>109</v>
      </c>
      <c r="D35" s="5" t="s">
        <v>110</v>
      </c>
      <c r="E35" s="5">
        <f>LOOKUP(D35,'AMFI DATA_2023H1'!B:D,'AMFI DATA_2023H1'!D:D)</f>
        <v>162786.70000000001</v>
      </c>
      <c r="F35" s="7">
        <f t="shared" si="0"/>
        <v>0.55531133685982925</v>
      </c>
      <c r="G35" s="8">
        <v>253184</v>
      </c>
      <c r="H35" s="8">
        <v>252978</v>
      </c>
      <c r="I35" s="8">
        <v>247347</v>
      </c>
      <c r="J35" s="8">
        <v>253334</v>
      </c>
      <c r="K35" s="8">
        <v>253336</v>
      </c>
      <c r="L35" s="8">
        <v>242848</v>
      </c>
      <c r="M35" s="8"/>
      <c r="N35" s="8"/>
      <c r="O35" s="8"/>
      <c r="P35" s="8"/>
      <c r="Q35" s="9">
        <f ca="1">IFERROR(__xludf.DUMMYFUNCTION("GOOGLEFINANCE(C35,""changepct"")"),5.43)</f>
        <v>5.43</v>
      </c>
      <c r="R35" s="8"/>
      <c r="S35" s="8"/>
      <c r="T35" s="8"/>
      <c r="U35" s="8"/>
      <c r="V35" s="8"/>
      <c r="W35" s="8"/>
    </row>
    <row r="36" spans="1:23" ht="15.75" customHeight="1">
      <c r="A36" s="3">
        <f>LOOKUP(D36,'AMFI DATA_2023H1'!B:C,'AMFI DATA_2023H1'!C:C)</f>
        <v>34</v>
      </c>
      <c r="B36" s="4" t="s">
        <v>102</v>
      </c>
      <c r="C36" s="4" t="s">
        <v>103</v>
      </c>
      <c r="D36" s="5" t="s">
        <v>104</v>
      </c>
      <c r="E36" s="5">
        <f>LOOKUP(D36,'AMFI DATA_2023H1'!B:D,'AMFI DATA_2023H1'!D:D)</f>
        <v>147253.79999999999</v>
      </c>
      <c r="F36" s="7">
        <f t="shared" si="0"/>
        <v>0.53743400849417822</v>
      </c>
      <c r="G36" s="8">
        <v>226393</v>
      </c>
      <c r="H36" s="8">
        <v>221231</v>
      </c>
      <c r="I36" s="8">
        <v>219697</v>
      </c>
      <c r="J36" s="8">
        <v>221263</v>
      </c>
      <c r="K36" s="8">
        <v>222213</v>
      </c>
      <c r="L36" s="8">
        <v>221954</v>
      </c>
      <c r="M36" s="8"/>
      <c r="N36" s="8"/>
      <c r="O36" s="8"/>
      <c r="P36" s="8"/>
      <c r="Q36" s="9">
        <f ca="1">IFERROR(__xludf.DUMMYFUNCTION("GOOGLEFINANCE(C36,""changepct"")"),3.19)</f>
        <v>3.19</v>
      </c>
      <c r="R36" s="8"/>
      <c r="S36" s="8"/>
      <c r="T36" s="8"/>
      <c r="U36" s="8"/>
      <c r="V36" s="8"/>
      <c r="W36" s="8"/>
    </row>
    <row r="37" spans="1:23" ht="15.75" customHeight="1">
      <c r="A37" s="3">
        <f>LOOKUP(D37,'AMFI DATA_2023H1'!B:C,'AMFI DATA_2023H1'!C:C)</f>
        <v>61</v>
      </c>
      <c r="B37" s="4" t="s">
        <v>132</v>
      </c>
      <c r="C37" s="4" t="s">
        <v>133</v>
      </c>
      <c r="D37" s="5" t="s">
        <v>134</v>
      </c>
      <c r="E37" s="5">
        <f>LOOKUP(D37,'AMFI DATA_2023H1'!B:D,'AMFI DATA_2023H1'!D:D)</f>
        <v>86184.17</v>
      </c>
      <c r="F37" s="7">
        <f t="shared" si="0"/>
        <v>1.3508377466534749</v>
      </c>
      <c r="G37" s="8">
        <v>202605</v>
      </c>
      <c r="H37" s="8">
        <v>202431</v>
      </c>
      <c r="I37" s="8">
        <v>201043</v>
      </c>
      <c r="J37" s="8">
        <v>201159</v>
      </c>
      <c r="K37" s="8">
        <v>197649</v>
      </c>
      <c r="L37" s="8">
        <v>197687</v>
      </c>
      <c r="M37" s="8"/>
      <c r="N37" s="8"/>
      <c r="O37" s="8"/>
      <c r="P37" s="8"/>
      <c r="Q37" s="9">
        <f ca="1">IFERROR(__xludf.DUMMYFUNCTION("GOOGLEFINANCE(C37,""changepct"")"),2.76)</f>
        <v>2.76</v>
      </c>
      <c r="R37" s="8"/>
      <c r="S37" s="8"/>
      <c r="T37" s="8"/>
      <c r="U37" s="8"/>
      <c r="V37" s="8"/>
      <c r="W37" s="8"/>
    </row>
    <row r="38" spans="1:23" ht="15.75" customHeight="1">
      <c r="A38" s="3">
        <f>LOOKUP(D38,'AMFI DATA_2023H1'!B:C,'AMFI DATA_2023H1'!C:C)</f>
        <v>35</v>
      </c>
      <c r="B38" s="4" t="s">
        <v>264</v>
      </c>
      <c r="C38" s="4" t="s">
        <v>265</v>
      </c>
      <c r="D38" s="5" t="s">
        <v>266</v>
      </c>
      <c r="E38" s="5">
        <f>LOOKUP(D38,'AMFI DATA_2023H1'!B:D,'AMFI DATA_2023H1'!D:D)</f>
        <v>146818.6</v>
      </c>
      <c r="F38" s="7">
        <f t="shared" si="0"/>
        <v>-0.25015631534424121</v>
      </c>
      <c r="G38" s="8">
        <v>110091</v>
      </c>
      <c r="H38" s="8">
        <v>108733</v>
      </c>
      <c r="I38" s="8">
        <v>107787</v>
      </c>
      <c r="J38" s="8">
        <v>109910</v>
      </c>
      <c r="K38" s="8">
        <v>108999</v>
      </c>
      <c r="L38" s="8">
        <v>109574</v>
      </c>
      <c r="M38" s="8"/>
      <c r="N38" s="8"/>
      <c r="O38" s="8"/>
      <c r="P38" s="8"/>
      <c r="Q38" s="9">
        <f ca="1">IFERROR(__xludf.DUMMYFUNCTION("GOOGLEFINANCE(C38,""changepct"")"),6.7)</f>
        <v>6.7</v>
      </c>
      <c r="R38" s="8"/>
      <c r="S38" s="8"/>
      <c r="T38" s="8"/>
      <c r="U38" s="8"/>
      <c r="V38" s="8"/>
      <c r="W38" s="8"/>
    </row>
    <row r="39" spans="1:23" ht="15.75" customHeight="1">
      <c r="A39" s="3">
        <f>LOOKUP(D39,'AMFI DATA_2023H1'!B:C,'AMFI DATA_2023H1'!C:C)</f>
        <v>85</v>
      </c>
      <c r="B39" s="4" t="s">
        <v>438</v>
      </c>
      <c r="C39" s="4" t="s">
        <v>439</v>
      </c>
      <c r="D39" s="5" t="s">
        <v>440</v>
      </c>
      <c r="E39" s="5">
        <f>LOOKUP(D39,'AMFI DATA_2023H1'!B:D,'AMFI DATA_2023H1'!D:D)</f>
        <v>57003.72</v>
      </c>
      <c r="F39" s="7">
        <f t="shared" si="0"/>
        <v>-0.16324759156069113</v>
      </c>
      <c r="G39" s="8">
        <v>47698</v>
      </c>
      <c r="H39" s="8">
        <v>46126</v>
      </c>
      <c r="I39" s="8">
        <v>46041</v>
      </c>
      <c r="J39" s="8">
        <v>46554</v>
      </c>
      <c r="K39" s="8">
        <v>47198</v>
      </c>
      <c r="L39" s="8">
        <v>47471</v>
      </c>
      <c r="M39" s="8"/>
      <c r="N39" s="8"/>
      <c r="O39" s="8"/>
      <c r="P39" s="8"/>
      <c r="Q39" s="9">
        <f ca="1">IFERROR(__xludf.DUMMYFUNCTION("GOOGLEFINANCE(C39,""changepct"")"),2.08)</f>
        <v>2.08</v>
      </c>
      <c r="R39" s="8"/>
      <c r="S39" s="8"/>
      <c r="T39" s="8"/>
      <c r="U39" s="8"/>
      <c r="V39" s="8"/>
      <c r="W39" s="8"/>
    </row>
    <row r="40" spans="1:23" ht="14.4">
      <c r="A40" s="3">
        <f>LOOKUP(D40,'AMFI DATA_2023H1'!B:C,'AMFI DATA_2023H1'!C:C)</f>
        <v>846</v>
      </c>
      <c r="B40" s="4" t="s">
        <v>2516</v>
      </c>
      <c r="C40" s="4" t="s">
        <v>2517</v>
      </c>
      <c r="D40" s="5" t="s">
        <v>2518</v>
      </c>
      <c r="E40" s="5">
        <f>LOOKUP(D40,'AMFI DATA_2023H1'!B:D,'AMFI DATA_2023H1'!D:D)</f>
        <v>1731.47</v>
      </c>
      <c r="F40" s="7">
        <f t="shared" si="0"/>
        <v>0.2659763091477183</v>
      </c>
      <c r="G40" s="8">
        <v>2192</v>
      </c>
      <c r="H40" s="8">
        <v>2199</v>
      </c>
      <c r="I40" s="8">
        <v>2177</v>
      </c>
      <c r="J40" s="8">
        <v>2182</v>
      </c>
      <c r="K40" s="8">
        <v>2184</v>
      </c>
      <c r="L40" s="8">
        <v>2181</v>
      </c>
      <c r="M40" s="8"/>
      <c r="N40" s="8"/>
      <c r="O40" s="8"/>
      <c r="P40" s="8"/>
      <c r="Q40" s="9">
        <f ca="1">IFERROR(__xludf.DUMMYFUNCTION("GOOGLEFINANCE(C40,""changepct"")"),-0.1)</f>
        <v>-0.1</v>
      </c>
      <c r="R40" s="8"/>
      <c r="S40" s="8"/>
      <c r="T40" s="8"/>
      <c r="U40" s="8"/>
      <c r="V40" s="8"/>
      <c r="W40" s="8"/>
    </row>
    <row r="41" spans="1:23" ht="14.4">
      <c r="A41" s="3">
        <f>LOOKUP(D41,'AMFI DATA_2023H1'!B:C,'AMFI DATA_2023H1'!C:C)</f>
        <v>138</v>
      </c>
      <c r="B41" s="4" t="s">
        <v>441</v>
      </c>
      <c r="C41" s="4" t="s">
        <v>442</v>
      </c>
      <c r="D41" s="5" t="s">
        <v>443</v>
      </c>
      <c r="E41" s="5">
        <f>LOOKUP(D41,'AMFI DATA_2023H1'!B:D,'AMFI DATA_2023H1'!D:D)</f>
        <v>38151.32</v>
      </c>
      <c r="F41" s="7">
        <f t="shared" si="0"/>
        <v>0.12973810604718272</v>
      </c>
      <c r="G41" s="8">
        <v>43101</v>
      </c>
      <c r="H41" s="8">
        <v>43244</v>
      </c>
      <c r="I41" s="8">
        <v>42035</v>
      </c>
      <c r="J41" s="8">
        <v>42048</v>
      </c>
      <c r="K41" s="8">
        <v>41541</v>
      </c>
      <c r="L41" s="8">
        <v>41515</v>
      </c>
      <c r="M41" s="8"/>
      <c r="N41" s="8"/>
      <c r="O41" s="8"/>
      <c r="P41" s="8"/>
      <c r="Q41" s="9">
        <f ca="1">IFERROR(__xludf.DUMMYFUNCTION("GOOGLEFINANCE(C41,""changepct"")"),-0.37)</f>
        <v>-0.37</v>
      </c>
      <c r="R41" s="8"/>
      <c r="S41" s="8"/>
      <c r="T41" s="8"/>
      <c r="U41" s="8"/>
      <c r="V41" s="8"/>
      <c r="W41" s="8"/>
    </row>
    <row r="42" spans="1:23" ht="14.4">
      <c r="A42" s="3">
        <f>LOOKUP(D42,'AMFI DATA_2023H1'!B:C,'AMFI DATA_2023H1'!C:C)</f>
        <v>213</v>
      </c>
      <c r="B42" s="4" t="s">
        <v>789</v>
      </c>
      <c r="C42" s="4" t="s">
        <v>790</v>
      </c>
      <c r="D42" s="5" t="s">
        <v>791</v>
      </c>
      <c r="E42" s="5">
        <f>LOOKUP(D42,'AMFI DATA_2023H1'!B:D,'AMFI DATA_2023H1'!D:D)</f>
        <v>21611.25</v>
      </c>
      <c r="F42" s="7">
        <f t="shared" si="0"/>
        <v>-8.1092023830181548E-3</v>
      </c>
      <c r="G42" s="8">
        <v>21436</v>
      </c>
      <c r="H42" s="8">
        <v>21223</v>
      </c>
      <c r="I42" s="8">
        <v>20877</v>
      </c>
      <c r="J42" s="8">
        <v>20810</v>
      </c>
      <c r="K42" s="8">
        <v>20986</v>
      </c>
      <c r="L42" s="8">
        <v>20862</v>
      </c>
      <c r="M42" s="8"/>
      <c r="N42" s="8"/>
      <c r="O42" s="8"/>
      <c r="P42" s="8"/>
      <c r="Q42" s="9">
        <f ca="1">IFERROR(__xludf.DUMMYFUNCTION("GOOGLEFINANCE(C42,""changepct"")"),1.14)</f>
        <v>1.1399999999999999</v>
      </c>
      <c r="R42" s="8"/>
      <c r="S42" s="8"/>
      <c r="T42" s="8"/>
      <c r="U42" s="8"/>
      <c r="V42" s="8"/>
      <c r="W42" s="8"/>
    </row>
    <row r="43" spans="1:23" ht="14.4">
      <c r="A43" s="3">
        <f>LOOKUP(D43,'AMFI DATA_2023H1'!B:C,'AMFI DATA_2023H1'!C:C)</f>
        <v>1573</v>
      </c>
      <c r="B43" s="4" t="s">
        <v>4016</v>
      </c>
      <c r="C43" s="4" t="s">
        <v>4017</v>
      </c>
      <c r="D43" s="5" t="s">
        <v>4018</v>
      </c>
      <c r="E43" s="5">
        <f>LOOKUP(D43,'AMFI DATA_2023H1'!B:D,'AMFI DATA_2023H1'!D:D)</f>
        <v>303.69</v>
      </c>
      <c r="F43" s="7">
        <f t="shared" si="0"/>
        <v>1.1205834897428297</v>
      </c>
      <c r="G43" s="9">
        <v>644</v>
      </c>
      <c r="H43" s="9">
        <v>586</v>
      </c>
      <c r="I43" s="9">
        <v>576</v>
      </c>
      <c r="J43" s="9">
        <v>586</v>
      </c>
      <c r="K43" s="9">
        <v>587</v>
      </c>
      <c r="L43" s="9">
        <v>582</v>
      </c>
      <c r="M43" s="9"/>
      <c r="N43" s="9"/>
      <c r="O43" s="9"/>
      <c r="P43" s="9"/>
      <c r="Q43" s="9">
        <f ca="1">IFERROR(__xludf.DUMMYFUNCTION("GOOGLEFINANCE(C43,""changepct"")"),-0.38)</f>
        <v>-0.38</v>
      </c>
      <c r="R43" s="9"/>
      <c r="S43" s="9"/>
      <c r="T43" s="9"/>
      <c r="U43" s="9"/>
      <c r="V43" s="9"/>
      <c r="W43" s="9"/>
    </row>
    <row r="44" spans="1:23" ht="14.4">
      <c r="A44" s="3">
        <f>LOOKUP(D44,'AMFI DATA_2023H1'!B:C,'AMFI DATA_2023H1'!C:C)</f>
        <v>326</v>
      </c>
      <c r="B44" s="4" t="s">
        <v>1074</v>
      </c>
      <c r="C44" s="4" t="s">
        <v>1075</v>
      </c>
      <c r="D44" s="5" t="s">
        <v>1076</v>
      </c>
      <c r="E44" s="5">
        <f>LOOKUP(D44,'AMFI DATA_2023H1'!B:D,'AMFI DATA_2023H1'!D:D)</f>
        <v>10893.34</v>
      </c>
      <c r="F44" s="7">
        <f t="shared" si="0"/>
        <v>0.25113142525616561</v>
      </c>
      <c r="G44" s="8">
        <v>13629</v>
      </c>
      <c r="H44" s="8">
        <v>13521</v>
      </c>
      <c r="I44" s="8">
        <v>13598</v>
      </c>
      <c r="J44" s="8">
        <v>13540</v>
      </c>
      <c r="K44" s="8">
        <v>13612</v>
      </c>
      <c r="L44" s="8">
        <v>13696</v>
      </c>
      <c r="M44" s="8"/>
      <c r="N44" s="8"/>
      <c r="O44" s="8"/>
      <c r="P44" s="8"/>
      <c r="Q44" s="9">
        <f ca="1">IFERROR(__xludf.DUMMYFUNCTION("GOOGLEFINANCE(C44,""changepct"")"),2.21)</f>
        <v>2.21</v>
      </c>
      <c r="R44" s="8"/>
      <c r="S44" s="8"/>
      <c r="T44" s="8"/>
      <c r="U44" s="8"/>
      <c r="V44" s="8"/>
      <c r="W44" s="8"/>
    </row>
    <row r="45" spans="1:23" ht="14.4">
      <c r="A45" s="3">
        <f>LOOKUP(D45,'AMFI DATA_2023H1'!B:C,'AMFI DATA_2023H1'!C:C)</f>
        <v>946</v>
      </c>
      <c r="B45" s="4" t="s">
        <v>2855</v>
      </c>
      <c r="C45" s="4" t="s">
        <v>2856</v>
      </c>
      <c r="D45" s="5" t="s">
        <v>2857</v>
      </c>
      <c r="E45" s="5">
        <f>LOOKUP(D45,'AMFI DATA_2023H1'!B:D,'AMFI DATA_2023H1'!D:D)</f>
        <v>1325.64</v>
      </c>
      <c r="F45" s="7">
        <f t="shared" si="0"/>
        <v>0.549440270359977</v>
      </c>
      <c r="G45" s="8">
        <v>2054</v>
      </c>
      <c r="H45" s="8">
        <v>2054</v>
      </c>
      <c r="I45" s="8">
        <v>2080</v>
      </c>
      <c r="J45" s="8">
        <v>2050</v>
      </c>
      <c r="K45" s="8">
        <v>2051</v>
      </c>
      <c r="L45" s="8">
        <v>2039</v>
      </c>
      <c r="M45" s="8"/>
      <c r="N45" s="8"/>
      <c r="O45" s="8"/>
      <c r="P45" s="8"/>
      <c r="Q45" s="9">
        <f ca="1">IFERROR(__xludf.DUMMYFUNCTION("GOOGLEFINANCE(C45,""changepct"")"),-0.04)</f>
        <v>-0.04</v>
      </c>
      <c r="R45" s="8"/>
      <c r="S45" s="8"/>
      <c r="T45" s="8"/>
      <c r="U45" s="8"/>
      <c r="V45" s="8"/>
      <c r="W45" s="8"/>
    </row>
    <row r="46" spans="1:23" ht="14.4">
      <c r="A46" s="3">
        <f>LOOKUP(D46,'AMFI DATA_2023H1'!B:C,'AMFI DATA_2023H1'!C:C)</f>
        <v>2808</v>
      </c>
      <c r="B46" s="4" t="s">
        <v>5521</v>
      </c>
      <c r="C46" s="4" t="s">
        <v>5522</v>
      </c>
      <c r="D46" s="5" t="s">
        <v>5523</v>
      </c>
      <c r="E46" s="5">
        <f>LOOKUP(D46,'AMFI DATA_2023H1'!B:D,'AMFI DATA_2023H1'!D:D)</f>
        <v>39.93</v>
      </c>
      <c r="F46" s="7">
        <f t="shared" si="0"/>
        <v>0.24718256949661899</v>
      </c>
      <c r="G46" s="9">
        <v>49.8</v>
      </c>
      <c r="H46" s="9">
        <v>47</v>
      </c>
      <c r="I46" s="9">
        <v>43.6</v>
      </c>
      <c r="J46" s="9">
        <v>43.9</v>
      </c>
      <c r="K46" s="9">
        <v>44.7</v>
      </c>
      <c r="L46" s="9">
        <v>44.6</v>
      </c>
      <c r="M46" s="9"/>
      <c r="N46" s="9"/>
      <c r="O46" s="9"/>
      <c r="P46" s="9"/>
      <c r="Q46" s="9">
        <f ca="1">IFERROR(__xludf.DUMMYFUNCTION("GOOGLEFINANCE(C46,""changepct"")"),-1.2)</f>
        <v>-1.2</v>
      </c>
      <c r="R46" s="9"/>
      <c r="S46" s="9"/>
      <c r="T46" s="9"/>
      <c r="U46" s="9"/>
      <c r="V46" s="9"/>
      <c r="W46" s="9"/>
    </row>
    <row r="47" spans="1:23" ht="14.4">
      <c r="A47" s="3">
        <f>LOOKUP(D47,'AMFI DATA_2023H1'!B:C,'AMFI DATA_2023H1'!C:C)</f>
        <v>652</v>
      </c>
      <c r="B47" s="4" t="s">
        <v>2093</v>
      </c>
      <c r="C47" s="4" t="s">
        <v>2094</v>
      </c>
      <c r="D47" s="5" t="s">
        <v>2095</v>
      </c>
      <c r="E47" s="5">
        <f>LOOKUP(D47,'AMFI DATA_2023H1'!B:D,'AMFI DATA_2023H1'!D:D)</f>
        <v>3012.33</v>
      </c>
      <c r="F47" s="7">
        <f t="shared" si="0"/>
        <v>0.38829411120295587</v>
      </c>
      <c r="G47" s="8">
        <v>4182</v>
      </c>
      <c r="H47" s="8">
        <v>4197</v>
      </c>
      <c r="I47" s="8">
        <v>0</v>
      </c>
      <c r="J47" s="8">
        <v>4217</v>
      </c>
      <c r="K47" s="8">
        <v>4276</v>
      </c>
      <c r="L47" s="8">
        <v>4201</v>
      </c>
      <c r="M47" s="8"/>
      <c r="N47" s="8"/>
      <c r="O47" s="8"/>
      <c r="P47" s="8"/>
      <c r="Q47" s="9">
        <f ca="1">IFERROR(__xludf.DUMMYFUNCTION("GOOGLEFINANCE(C47,""changepct"")"),-0.2)</f>
        <v>-0.2</v>
      </c>
      <c r="R47" s="8"/>
      <c r="S47" s="8"/>
      <c r="T47" s="8"/>
      <c r="U47" s="8"/>
      <c r="V47" s="8"/>
      <c r="W47" s="8"/>
    </row>
    <row r="48" spans="1:23" ht="14.4">
      <c r="A48" s="3">
        <f>LOOKUP(D48,'AMFI DATA_2023H1'!B:C,'AMFI DATA_2023H1'!C:C)</f>
        <v>1468</v>
      </c>
      <c r="B48" s="4" t="s">
        <v>4073</v>
      </c>
      <c r="C48" s="4" t="s">
        <v>4074</v>
      </c>
      <c r="D48" s="5" t="s">
        <v>4075</v>
      </c>
      <c r="E48" s="5">
        <f>LOOKUP(D48,'AMFI DATA_2023H1'!B:D,'AMFI DATA_2023H1'!D:D)</f>
        <v>368.23</v>
      </c>
      <c r="F48" s="7">
        <f t="shared" si="0"/>
        <v>0.30896450587947744</v>
      </c>
      <c r="G48" s="9">
        <v>482</v>
      </c>
      <c r="H48" s="9">
        <v>474</v>
      </c>
      <c r="I48" s="9">
        <v>474</v>
      </c>
      <c r="J48" s="9">
        <v>468</v>
      </c>
      <c r="K48" s="9">
        <v>470</v>
      </c>
      <c r="L48" s="9">
        <v>478</v>
      </c>
      <c r="M48" s="9"/>
      <c r="N48" s="9"/>
      <c r="O48" s="9"/>
      <c r="P48" s="9"/>
      <c r="Q48" s="9">
        <f ca="1">IFERROR(__xludf.DUMMYFUNCTION("GOOGLEFINANCE(C48,""changepct"")"),5.14)</f>
        <v>5.14</v>
      </c>
      <c r="R48" s="9"/>
      <c r="S48" s="9"/>
      <c r="T48" s="9"/>
      <c r="U48" s="9"/>
      <c r="V48" s="9"/>
      <c r="W48" s="9"/>
    </row>
    <row r="49" spans="1:23" ht="14.4">
      <c r="A49" s="3">
        <f>LOOKUP(D49,'AMFI DATA_2023H1'!B:C,'AMFI DATA_2023H1'!C:C)</f>
        <v>297</v>
      </c>
      <c r="B49" s="4" t="s">
        <v>1092</v>
      </c>
      <c r="C49" s="4" t="s">
        <v>1093</v>
      </c>
      <c r="D49" s="5" t="s">
        <v>1094</v>
      </c>
      <c r="E49" s="5">
        <f>LOOKUP(D49,'AMFI DATA_2023H1'!B:D,'AMFI DATA_2023H1'!D:D)</f>
        <v>12769.12</v>
      </c>
      <c r="F49" s="7">
        <f t="shared" si="0"/>
        <v>-3.8696480258624044E-2</v>
      </c>
      <c r="G49" s="8">
        <v>12275</v>
      </c>
      <c r="H49" s="8">
        <v>12368</v>
      </c>
      <c r="I49" s="8">
        <v>12315</v>
      </c>
      <c r="J49" s="8">
        <v>12597</v>
      </c>
      <c r="K49" s="8">
        <v>12775</v>
      </c>
      <c r="L49" s="8">
        <v>12776</v>
      </c>
      <c r="M49" s="8"/>
      <c r="N49" s="8"/>
      <c r="O49" s="8"/>
      <c r="P49" s="8"/>
      <c r="Q49" s="9">
        <f ca="1">IFERROR(__xludf.DUMMYFUNCTION("GOOGLEFINANCE(C49,""changepct"")"),-1.73)</f>
        <v>-1.73</v>
      </c>
      <c r="R49" s="8"/>
      <c r="S49" s="8"/>
      <c r="T49" s="8"/>
      <c r="U49" s="8"/>
      <c r="V49" s="8"/>
      <c r="W49" s="8"/>
    </row>
    <row r="50" spans="1:23" ht="14.4">
      <c r="A50" s="3">
        <f>LOOKUP(D50,'AMFI DATA_2023H1'!B:C,'AMFI DATA_2023H1'!C:C)</f>
        <v>297</v>
      </c>
      <c r="B50" s="4" t="s">
        <v>2711</v>
      </c>
      <c r="C50" s="4" t="s">
        <v>2712</v>
      </c>
      <c r="D50" s="5" t="s">
        <v>2713</v>
      </c>
      <c r="E50" s="5">
        <f>LOOKUP(D50,'AMFI DATA_2023H1'!B:D,'AMFI DATA_2023H1'!D:D)</f>
        <v>12769.12</v>
      </c>
      <c r="F50" s="7">
        <f t="shared" si="0"/>
        <v>-0.84125765910258499</v>
      </c>
      <c r="G50" s="8">
        <v>2027</v>
      </c>
      <c r="H50" s="8">
        <v>2004</v>
      </c>
      <c r="I50" s="8">
        <v>0</v>
      </c>
      <c r="J50" s="8">
        <v>1913</v>
      </c>
      <c r="K50" s="8">
        <v>1910</v>
      </c>
      <c r="L50" s="8">
        <v>1924</v>
      </c>
      <c r="M50" s="8"/>
      <c r="N50" s="8"/>
      <c r="O50" s="8"/>
      <c r="P50" s="8"/>
      <c r="Q50" s="9">
        <f ca="1">IFERROR(__xludf.DUMMYFUNCTION("GOOGLEFINANCE(C50,""changepct"")"),3.67)</f>
        <v>3.67</v>
      </c>
      <c r="R50" s="8"/>
      <c r="S50" s="8"/>
      <c r="T50" s="8"/>
      <c r="U50" s="8"/>
      <c r="V50" s="8"/>
      <c r="W50" s="8"/>
    </row>
    <row r="51" spans="1:23" ht="14.4">
      <c r="A51" s="3">
        <f>LOOKUP(D51,'AMFI DATA_2023H1'!B:C,'AMFI DATA_2023H1'!C:C)</f>
        <v>318</v>
      </c>
      <c r="B51" s="4" t="s">
        <v>1044</v>
      </c>
      <c r="C51" s="4" t="s">
        <v>1045</v>
      </c>
      <c r="D51" s="5" t="s">
        <v>1046</v>
      </c>
      <c r="E51" s="5">
        <f>LOOKUP(D51,'AMFI DATA_2023H1'!B:D,'AMFI DATA_2023H1'!D:D)</f>
        <v>11451.22</v>
      </c>
      <c r="F51" s="7">
        <f t="shared" si="0"/>
        <v>2.2074503851991389E-2</v>
      </c>
      <c r="G51" s="8">
        <v>11704</v>
      </c>
      <c r="H51" s="8">
        <v>11761</v>
      </c>
      <c r="I51" s="8">
        <v>11645</v>
      </c>
      <c r="J51" s="8">
        <v>11704</v>
      </c>
      <c r="K51" s="8">
        <v>11774</v>
      </c>
      <c r="L51" s="8">
        <v>11775</v>
      </c>
      <c r="M51" s="8"/>
      <c r="N51" s="8"/>
      <c r="O51" s="8"/>
      <c r="P51" s="8"/>
      <c r="Q51" s="9">
        <f ca="1">IFERROR(__xludf.DUMMYFUNCTION("GOOGLEFINANCE(C51,""changepct"")"),0.38)</f>
        <v>0.38</v>
      </c>
      <c r="R51" s="8"/>
      <c r="S51" s="8"/>
      <c r="T51" s="8"/>
      <c r="U51" s="8"/>
      <c r="V51" s="8"/>
      <c r="W51" s="8"/>
    </row>
    <row r="52" spans="1:23" ht="14.4">
      <c r="A52" s="3">
        <f>LOOKUP(D52,'AMFI DATA_2023H1'!B:C,'AMFI DATA_2023H1'!C:C)</f>
        <v>290</v>
      </c>
      <c r="B52" s="4" t="s">
        <v>966</v>
      </c>
      <c r="C52" s="4" t="s">
        <v>967</v>
      </c>
      <c r="D52" s="5" t="s">
        <v>968</v>
      </c>
      <c r="E52" s="5">
        <f>LOOKUP(D52,'AMFI DATA_2023H1'!B:D,'AMFI DATA_2023H1'!D:D)</f>
        <v>13235.88</v>
      </c>
      <c r="F52" s="7">
        <f t="shared" si="0"/>
        <v>0.39809366660924717</v>
      </c>
      <c r="G52" s="8">
        <v>18505</v>
      </c>
      <c r="H52" s="8">
        <v>18304</v>
      </c>
      <c r="I52" s="8">
        <v>17556</v>
      </c>
      <c r="J52" s="8">
        <v>17010</v>
      </c>
      <c r="K52" s="8">
        <v>17161</v>
      </c>
      <c r="L52" s="8">
        <v>17058</v>
      </c>
      <c r="M52" s="8"/>
      <c r="N52" s="8"/>
      <c r="O52" s="8"/>
      <c r="P52" s="8"/>
      <c r="Q52" s="9">
        <f ca="1">IFERROR(__xludf.DUMMYFUNCTION("GOOGLEFINANCE(C52,""changepct"")"),-1.52)</f>
        <v>-1.52</v>
      </c>
      <c r="R52" s="8"/>
      <c r="S52" s="8"/>
      <c r="T52" s="8"/>
      <c r="U52" s="8"/>
      <c r="V52" s="8"/>
      <c r="W52" s="8"/>
    </row>
    <row r="53" spans="1:23" ht="14.4">
      <c r="A53" s="3">
        <f>LOOKUP(D53,'AMFI DATA_2023H1'!B:C,'AMFI DATA_2023H1'!C:C)</f>
        <v>1084</v>
      </c>
      <c r="B53" s="4" t="s">
        <v>3113</v>
      </c>
      <c r="C53" s="4" t="s">
        <v>3114</v>
      </c>
      <c r="D53" s="5" t="s">
        <v>3115</v>
      </c>
      <c r="E53" s="5">
        <f>LOOKUP(D53,'AMFI DATA_2023H1'!B:D,'AMFI DATA_2023H1'!D:D)</f>
        <v>923.52</v>
      </c>
      <c r="F53" s="7">
        <f t="shared" si="0"/>
        <v>0.55383749133749127</v>
      </c>
      <c r="G53" s="8">
        <v>1435</v>
      </c>
      <c r="H53" s="8">
        <v>1384</v>
      </c>
      <c r="I53" s="8">
        <v>1367</v>
      </c>
      <c r="J53" s="8">
        <v>1391</v>
      </c>
      <c r="K53" s="8">
        <v>1377</v>
      </c>
      <c r="L53" s="8">
        <v>1407</v>
      </c>
      <c r="M53" s="8"/>
      <c r="N53" s="8"/>
      <c r="O53" s="8"/>
      <c r="P53" s="8"/>
      <c r="Q53" s="9">
        <f ca="1">IFERROR(__xludf.DUMMYFUNCTION("GOOGLEFINANCE(C53,""changepct"")"),-1.65)</f>
        <v>-1.65</v>
      </c>
      <c r="R53" s="8"/>
      <c r="S53" s="8"/>
      <c r="T53" s="8"/>
      <c r="U53" s="8"/>
      <c r="V53" s="8"/>
      <c r="W53" s="8"/>
    </row>
    <row r="54" spans="1:23" ht="14.4">
      <c r="A54" s="3">
        <f>LOOKUP(D54,'AMFI DATA_2023H1'!B:C,'AMFI DATA_2023H1'!C:C)</f>
        <v>681</v>
      </c>
      <c r="B54" s="4" t="s">
        <v>1791</v>
      </c>
      <c r="C54" s="4" t="s">
        <v>1792</v>
      </c>
      <c r="D54" s="5" t="s">
        <v>1793</v>
      </c>
      <c r="E54" s="5">
        <f>LOOKUP(D54,'AMFI DATA_2023H1'!B:D,'AMFI DATA_2023H1'!D:D)</f>
        <v>2742.02</v>
      </c>
      <c r="F54" s="7">
        <f t="shared" si="0"/>
        <v>0.95330449814370422</v>
      </c>
      <c r="G54" s="8">
        <v>5356</v>
      </c>
      <c r="H54" s="8">
        <v>5345</v>
      </c>
      <c r="I54" s="8">
        <v>5381</v>
      </c>
      <c r="J54" s="8">
        <v>5480</v>
      </c>
      <c r="K54" s="8">
        <v>5460</v>
      </c>
      <c r="L54" s="8">
        <v>5383</v>
      </c>
      <c r="M54" s="8"/>
      <c r="N54" s="8"/>
      <c r="O54" s="8"/>
      <c r="P54" s="8"/>
      <c r="Q54" s="9">
        <f ca="1">IFERROR(__xludf.DUMMYFUNCTION("GOOGLEFINANCE(C54,""changepct"")"),-4.73)</f>
        <v>-4.7300000000000004</v>
      </c>
      <c r="R54" s="8"/>
      <c r="S54" s="8"/>
      <c r="T54" s="8"/>
      <c r="U54" s="8"/>
      <c r="V54" s="8"/>
      <c r="W54" s="8"/>
    </row>
    <row r="55" spans="1:23" ht="14.4">
      <c r="A55" s="3">
        <f>LOOKUP(D55,'AMFI DATA_2023H1'!B:C,'AMFI DATA_2023H1'!C:C)</f>
        <v>2532</v>
      </c>
      <c r="B55" s="4" t="s">
        <v>5171</v>
      </c>
      <c r="C55" s="4" t="s">
        <v>5172</v>
      </c>
      <c r="D55" s="5" t="s">
        <v>5173</v>
      </c>
      <c r="E55" s="5">
        <f>LOOKUP(D55,'AMFI DATA_2023H1'!B:D,'AMFI DATA_2023H1'!D:D)</f>
        <v>59.91</v>
      </c>
      <c r="F55" s="7">
        <f t="shared" si="0"/>
        <v>0.96962109831413801</v>
      </c>
      <c r="G55" s="9">
        <v>118</v>
      </c>
      <c r="H55" s="9">
        <v>115</v>
      </c>
      <c r="I55" s="9">
        <v>0</v>
      </c>
      <c r="J55" s="9">
        <v>117</v>
      </c>
      <c r="K55" s="9">
        <v>118</v>
      </c>
      <c r="L55" s="9">
        <v>117</v>
      </c>
      <c r="M55" s="9"/>
      <c r="N55" s="9"/>
      <c r="O55" s="9"/>
      <c r="P55" s="9"/>
      <c r="Q55" s="9">
        <f ca="1">IFERROR(__xludf.DUMMYFUNCTION("GOOGLEFINANCE(C55,""changepct"")"),-2.86)</f>
        <v>-2.86</v>
      </c>
      <c r="R55" s="9"/>
      <c r="S55" s="9"/>
      <c r="T55" s="9"/>
      <c r="U55" s="9"/>
      <c r="V55" s="9"/>
      <c r="W55" s="9"/>
    </row>
    <row r="56" spans="1:23" ht="14.4">
      <c r="A56" s="3">
        <f>LOOKUP(D56,'AMFI DATA_2023H1'!B:C,'AMFI DATA_2023H1'!C:C)</f>
        <v>2387</v>
      </c>
      <c r="B56" s="4" t="s">
        <v>5332</v>
      </c>
      <c r="C56" s="4" t="s">
        <v>5333</v>
      </c>
      <c r="D56" s="5" t="s">
        <v>5334</v>
      </c>
      <c r="E56" s="5">
        <f>LOOKUP(D56,'AMFI DATA_2023H1'!B:D,'AMFI DATA_2023H1'!D:D)</f>
        <v>74.55</v>
      </c>
      <c r="F56" s="7">
        <f t="shared" si="0"/>
        <v>0.3547954393024817</v>
      </c>
      <c r="G56" s="9">
        <v>101</v>
      </c>
      <c r="H56" s="9">
        <v>91.6</v>
      </c>
      <c r="I56" s="9">
        <v>82</v>
      </c>
      <c r="J56" s="9">
        <v>80</v>
      </c>
      <c r="K56" s="9">
        <v>80.099999999999994</v>
      </c>
      <c r="L56" s="9">
        <v>79.599999999999994</v>
      </c>
      <c r="M56" s="9"/>
      <c r="N56" s="9"/>
      <c r="O56" s="9"/>
      <c r="P56" s="9"/>
      <c r="Q56" s="9">
        <f ca="1">IFERROR(__xludf.DUMMYFUNCTION("GOOGLEFINANCE(C56,""changepct"")"),9.19)</f>
        <v>9.19</v>
      </c>
      <c r="R56" s="9"/>
      <c r="S56" s="9"/>
      <c r="T56" s="9"/>
      <c r="U56" s="9"/>
      <c r="V56" s="9"/>
      <c r="W56" s="9"/>
    </row>
    <row r="57" spans="1:23" ht="14.4">
      <c r="A57" s="3">
        <f>LOOKUP(D57,'AMFI DATA_2023H1'!B:C,'AMFI DATA_2023H1'!C:C)</f>
        <v>782</v>
      </c>
      <c r="B57" s="4" t="s">
        <v>2684</v>
      </c>
      <c r="C57" s="4" t="s">
        <v>2685</v>
      </c>
      <c r="D57" s="5" t="s">
        <v>2686</v>
      </c>
      <c r="E57" s="5">
        <f>LOOKUP(D57,'AMFI DATA_2023H1'!B:D,'AMFI DATA_2023H1'!D:D)</f>
        <v>2043.83</v>
      </c>
      <c r="F57" s="7">
        <f t="shared" si="0"/>
        <v>3.3354046080153577E-2</v>
      </c>
      <c r="G57" s="8">
        <v>2112</v>
      </c>
      <c r="H57" s="8">
        <v>2122</v>
      </c>
      <c r="I57" s="8">
        <v>2050</v>
      </c>
      <c r="J57" s="8">
        <v>2060</v>
      </c>
      <c r="K57" s="8">
        <v>2074</v>
      </c>
      <c r="L57" s="8">
        <v>2084</v>
      </c>
      <c r="M57" s="8"/>
      <c r="N57" s="8"/>
      <c r="O57" s="8"/>
      <c r="P57" s="8"/>
      <c r="Q57" s="9">
        <f ca="1">IFERROR(__xludf.DUMMYFUNCTION("GOOGLEFINANCE(C57,""changepct"")"),0.42)</f>
        <v>0.42</v>
      </c>
      <c r="R57" s="8"/>
      <c r="S57" s="8"/>
      <c r="T57" s="8"/>
      <c r="U57" s="8"/>
      <c r="V57" s="8"/>
      <c r="W57" s="8"/>
    </row>
    <row r="58" spans="1:23" ht="14.4">
      <c r="A58" s="3">
        <f>LOOKUP(D58,'AMFI DATA_2023H1'!B:C,'AMFI DATA_2023H1'!C:C)</f>
        <v>1208</v>
      </c>
      <c r="B58" s="4" t="s">
        <v>3530</v>
      </c>
      <c r="C58" s="4" t="s">
        <v>3531</v>
      </c>
      <c r="D58" s="5" t="s">
        <v>3532</v>
      </c>
      <c r="E58" s="5">
        <f>LOOKUP(D58,'AMFI DATA_2023H1'!B:D,'AMFI DATA_2023H1'!D:D)</f>
        <v>686.24</v>
      </c>
      <c r="F58" s="7">
        <f t="shared" si="0"/>
        <v>0.6903707157845651</v>
      </c>
      <c r="G58" s="8">
        <v>1160</v>
      </c>
      <c r="H58" s="8">
        <v>1124</v>
      </c>
      <c r="I58" s="8">
        <v>1131</v>
      </c>
      <c r="J58" s="8">
        <v>1134</v>
      </c>
      <c r="K58" s="8">
        <v>1096</v>
      </c>
      <c r="L58" s="8">
        <v>1076</v>
      </c>
      <c r="M58" s="8"/>
      <c r="N58" s="8"/>
      <c r="O58" s="8"/>
      <c r="P58" s="8"/>
      <c r="Q58" s="9">
        <f ca="1">IFERROR(__xludf.DUMMYFUNCTION("GOOGLEFINANCE(C58,""changepct"")"),5.26)</f>
        <v>5.26</v>
      </c>
      <c r="R58" s="8"/>
      <c r="S58" s="8"/>
      <c r="T58" s="8"/>
      <c r="U58" s="8"/>
      <c r="V58" s="8"/>
      <c r="W58" s="8"/>
    </row>
    <row r="59" spans="1:23" ht="14.4">
      <c r="A59" s="3">
        <f>LOOKUP(D59,'AMFI DATA_2023H1'!B:C,'AMFI DATA_2023H1'!C:C)</f>
        <v>2058</v>
      </c>
      <c r="B59" s="4" t="s">
        <v>4958</v>
      </c>
      <c r="C59" s="4" t="s">
        <v>4959</v>
      </c>
      <c r="D59" s="5" t="s">
        <v>4960</v>
      </c>
      <c r="E59" s="5">
        <f>LOOKUP(D59,'AMFI DATA_2023H1'!B:D,'AMFI DATA_2023H1'!D:D)</f>
        <v>130.32</v>
      </c>
      <c r="F59" s="7">
        <f t="shared" si="0"/>
        <v>0.5423572744014733</v>
      </c>
      <c r="G59" s="9">
        <v>201</v>
      </c>
      <c r="H59" s="9">
        <v>172</v>
      </c>
      <c r="I59" s="9">
        <v>0</v>
      </c>
      <c r="J59" s="9">
        <v>159</v>
      </c>
      <c r="K59" s="9">
        <v>156</v>
      </c>
      <c r="L59" s="9">
        <v>148</v>
      </c>
      <c r="M59" s="9"/>
      <c r="N59" s="9"/>
      <c r="O59" s="9"/>
      <c r="P59" s="9"/>
      <c r="Q59" s="9">
        <f ca="1">IFERROR(__xludf.DUMMYFUNCTION("GOOGLEFINANCE(C59,""changepct"")"),-1.63)</f>
        <v>-1.63</v>
      </c>
      <c r="R59" s="9"/>
      <c r="S59" s="9"/>
      <c r="T59" s="9"/>
      <c r="U59" s="9"/>
      <c r="V59" s="9"/>
      <c r="W59" s="9"/>
    </row>
    <row r="60" spans="1:23" ht="14.4">
      <c r="A60" s="3">
        <f>LOOKUP(D60,'AMFI DATA_2023H1'!B:C,'AMFI DATA_2023H1'!C:C)</f>
        <v>611</v>
      </c>
      <c r="B60" s="4" t="s">
        <v>1824</v>
      </c>
      <c r="C60" s="4" t="s">
        <v>1825</v>
      </c>
      <c r="D60" s="5" t="s">
        <v>1826</v>
      </c>
      <c r="E60" s="5">
        <f>LOOKUP(D60,'AMFI DATA_2023H1'!B:D,'AMFI DATA_2023H1'!D:D)</f>
        <v>3534.57</v>
      </c>
      <c r="F60" s="7">
        <f t="shared" si="0"/>
        <v>0.48815838984657245</v>
      </c>
      <c r="G60" s="8">
        <v>5260</v>
      </c>
      <c r="H60" s="8">
        <v>5195</v>
      </c>
      <c r="I60" s="8">
        <v>0</v>
      </c>
      <c r="J60" s="8">
        <v>5261</v>
      </c>
      <c r="K60" s="8">
        <v>5339</v>
      </c>
      <c r="L60" s="8">
        <v>5365</v>
      </c>
      <c r="M60" s="8"/>
      <c r="N60" s="8"/>
      <c r="O60" s="8"/>
      <c r="P60" s="8"/>
      <c r="Q60" s="9">
        <f ca="1">IFERROR(__xludf.DUMMYFUNCTION("GOOGLEFINANCE(C60,""changepct"")"),-1.65)</f>
        <v>-1.65</v>
      </c>
      <c r="R60" s="8"/>
      <c r="S60" s="8"/>
      <c r="T60" s="8"/>
      <c r="U60" s="8"/>
      <c r="V60" s="8"/>
      <c r="W60" s="8"/>
    </row>
    <row r="61" spans="1:23" ht="14.4">
      <c r="A61" s="3">
        <f>LOOKUP(D61,'AMFI DATA_2023H1'!B:C,'AMFI DATA_2023H1'!C:C)</f>
        <v>183</v>
      </c>
      <c r="B61" s="4" t="s">
        <v>570</v>
      </c>
      <c r="C61" s="4" t="s">
        <v>571</v>
      </c>
      <c r="D61" s="5" t="s">
        <v>572</v>
      </c>
      <c r="E61" s="5">
        <f>LOOKUP(D61,'AMFI DATA_2023H1'!B:D,'AMFI DATA_2023H1'!D:D)</f>
        <v>26683.72</v>
      </c>
      <c r="F61" s="7">
        <f t="shared" si="0"/>
        <v>0.30150518743263688</v>
      </c>
      <c r="G61" s="8">
        <v>34729</v>
      </c>
      <c r="H61" s="8">
        <v>34800</v>
      </c>
      <c r="I61" s="8">
        <v>0</v>
      </c>
      <c r="J61" s="8">
        <v>34055</v>
      </c>
      <c r="K61" s="8">
        <v>33921</v>
      </c>
      <c r="L61" s="8">
        <v>33713</v>
      </c>
      <c r="M61" s="8"/>
      <c r="N61" s="8"/>
      <c r="O61" s="8"/>
      <c r="P61" s="8"/>
      <c r="Q61" s="9">
        <f ca="1">IFERROR(__xludf.DUMMYFUNCTION("GOOGLEFINANCE(C61,""changepct"")"),0.5)</f>
        <v>0.5</v>
      </c>
      <c r="R61" s="8"/>
      <c r="S61" s="8"/>
      <c r="T61" s="8"/>
      <c r="U61" s="8"/>
      <c r="V61" s="8"/>
      <c r="W61" s="8"/>
    </row>
    <row r="62" spans="1:23" ht="14.4">
      <c r="A62" s="3">
        <f>LOOKUP(D62,'AMFI DATA_2023H1'!B:C,'AMFI DATA_2023H1'!C:C)</f>
        <v>1792</v>
      </c>
      <c r="B62" s="4" t="s">
        <v>4451</v>
      </c>
      <c r="C62" s="4" t="s">
        <v>4452</v>
      </c>
      <c r="D62" s="5" t="s">
        <v>4453</v>
      </c>
      <c r="E62" s="5">
        <f>LOOKUP(D62,'AMFI DATA_2023H1'!B:D,'AMFI DATA_2023H1'!D:D)</f>
        <v>198.89</v>
      </c>
      <c r="F62" s="7">
        <f t="shared" si="0"/>
        <v>0.94077128060737114</v>
      </c>
      <c r="G62" s="9">
        <v>386</v>
      </c>
      <c r="H62" s="9">
        <v>343</v>
      </c>
      <c r="I62" s="9">
        <v>326</v>
      </c>
      <c r="J62" s="9">
        <v>336</v>
      </c>
      <c r="K62" s="9">
        <v>319</v>
      </c>
      <c r="L62" s="9">
        <v>304</v>
      </c>
      <c r="M62" s="9"/>
      <c r="N62" s="9"/>
      <c r="O62" s="9"/>
      <c r="P62" s="9"/>
      <c r="Q62" s="9">
        <f ca="1">IFERROR(__xludf.DUMMYFUNCTION("GOOGLEFINANCE(C62,""changepct"")"),-1.29)</f>
        <v>-1.29</v>
      </c>
      <c r="R62" s="9"/>
      <c r="S62" s="9"/>
      <c r="T62" s="9"/>
      <c r="U62" s="9"/>
      <c r="V62" s="9"/>
      <c r="W62" s="9"/>
    </row>
    <row r="63" spans="1:23" ht="14.4">
      <c r="A63" s="3">
        <f>LOOKUP(D63,'AMFI DATA_2023H1'!B:C,'AMFI DATA_2023H1'!C:C)</f>
        <v>2144</v>
      </c>
      <c r="B63" s="4" t="s">
        <v>4826</v>
      </c>
      <c r="C63" s="4" t="s">
        <v>4827</v>
      </c>
      <c r="D63" s="5" t="s">
        <v>4828</v>
      </c>
      <c r="E63" s="5">
        <f>LOOKUP(D63,'AMFI DATA_2023H1'!B:D,'AMFI DATA_2023H1'!D:D)</f>
        <v>113.84</v>
      </c>
      <c r="F63" s="7">
        <f t="shared" si="0"/>
        <v>0.72171468728039345</v>
      </c>
      <c r="G63" s="9">
        <v>196</v>
      </c>
      <c r="H63" s="9">
        <v>196</v>
      </c>
      <c r="I63" s="9">
        <v>193</v>
      </c>
      <c r="J63" s="9">
        <v>194</v>
      </c>
      <c r="K63" s="9">
        <v>194</v>
      </c>
      <c r="L63" s="9">
        <v>189</v>
      </c>
      <c r="M63" s="9"/>
      <c r="N63" s="9"/>
      <c r="O63" s="9"/>
      <c r="P63" s="9"/>
      <c r="Q63" s="9">
        <f ca="1">IFERROR(__xludf.DUMMYFUNCTION("GOOGLEFINANCE(C63,""changepct"")"),-0.04)</f>
        <v>-0.04</v>
      </c>
      <c r="R63" s="9"/>
      <c r="S63" s="9"/>
      <c r="T63" s="9"/>
      <c r="U63" s="9"/>
      <c r="V63" s="9"/>
      <c r="W63" s="9"/>
    </row>
    <row r="64" spans="1:23" ht="14.4">
      <c r="A64" s="3">
        <f>LOOKUP(D64,'AMFI DATA_2023H1'!B:C,'AMFI DATA_2023H1'!C:C)</f>
        <v>259</v>
      </c>
      <c r="B64" s="4" t="s">
        <v>747</v>
      </c>
      <c r="C64" s="4" t="s">
        <v>748</v>
      </c>
      <c r="D64" s="5" t="s">
        <v>749</v>
      </c>
      <c r="E64" s="5">
        <f>LOOKUP(D64,'AMFI DATA_2023H1'!B:D,'AMFI DATA_2023H1'!D:D)</f>
        <v>16178.33</v>
      </c>
      <c r="F64" s="7">
        <f t="shared" si="0"/>
        <v>0.6762545948809302</v>
      </c>
      <c r="G64" s="8">
        <v>27119</v>
      </c>
      <c r="H64" s="8">
        <v>26246</v>
      </c>
      <c r="I64" s="8">
        <v>25111</v>
      </c>
      <c r="J64" s="8">
        <v>25144</v>
      </c>
      <c r="K64" s="8">
        <v>24975</v>
      </c>
      <c r="L64" s="8">
        <v>24783</v>
      </c>
      <c r="M64" s="8"/>
      <c r="N64" s="8"/>
      <c r="O64" s="8"/>
      <c r="P64" s="8"/>
      <c r="Q64" s="9">
        <f ca="1">IFERROR(__xludf.DUMMYFUNCTION("GOOGLEFINANCE(C64,""changepct"")"),-0.37)</f>
        <v>-0.37</v>
      </c>
      <c r="R64" s="8"/>
      <c r="S64" s="8"/>
      <c r="T64" s="8"/>
      <c r="U64" s="8"/>
      <c r="V64" s="8"/>
      <c r="W64" s="8"/>
    </row>
    <row r="65" spans="1:23" ht="14.4">
      <c r="A65" s="3">
        <f>LOOKUP(D65,'AMFI DATA_2023H1'!B:C,'AMFI DATA_2023H1'!C:C)</f>
        <v>1024</v>
      </c>
      <c r="B65" s="4" t="s">
        <v>3053</v>
      </c>
      <c r="C65" s="4" t="s">
        <v>3054</v>
      </c>
      <c r="D65" s="5" t="s">
        <v>3055</v>
      </c>
      <c r="E65" s="5">
        <f>LOOKUP(D65,'AMFI DATA_2023H1'!B:D,'AMFI DATA_2023H1'!D:D)</f>
        <v>1082.57</v>
      </c>
      <c r="F65" s="7">
        <f t="shared" si="0"/>
        <v>0.46872719547003894</v>
      </c>
      <c r="G65" s="8">
        <v>1590</v>
      </c>
      <c r="H65" s="8">
        <v>1549</v>
      </c>
      <c r="I65" s="8">
        <v>1531</v>
      </c>
      <c r="J65" s="8">
        <v>1542</v>
      </c>
      <c r="K65" s="8">
        <v>1594</v>
      </c>
      <c r="L65" s="8">
        <v>1579</v>
      </c>
      <c r="M65" s="8"/>
      <c r="N65" s="8"/>
      <c r="O65" s="8"/>
      <c r="P65" s="8"/>
      <c r="Q65" s="9">
        <f ca="1">IFERROR(__xludf.DUMMYFUNCTION("GOOGLEFINANCE(C65,""changepct"")"),0.78)</f>
        <v>0.78</v>
      </c>
      <c r="R65" s="8"/>
      <c r="S65" s="8"/>
      <c r="T65" s="8"/>
      <c r="U65" s="8"/>
      <c r="V65" s="8"/>
      <c r="W65" s="8"/>
    </row>
    <row r="66" spans="1:23" ht="14.4">
      <c r="A66" s="3">
        <f>LOOKUP(D66,'AMFI DATA_2023H1'!B:C,'AMFI DATA_2023H1'!C:C)</f>
        <v>2703</v>
      </c>
      <c r="B66" s="4" t="s">
        <v>5530</v>
      </c>
      <c r="C66" s="4" t="s">
        <v>5531</v>
      </c>
      <c r="D66" s="5" t="s">
        <v>5532</v>
      </c>
      <c r="E66" s="5">
        <f>LOOKUP(D66,'AMFI DATA_2023H1'!B:D,'AMFI DATA_2023H1'!D:D)</f>
        <v>45.92</v>
      </c>
      <c r="F66" s="7">
        <f t="shared" si="0"/>
        <v>0.25871080139372804</v>
      </c>
      <c r="G66" s="9">
        <v>57.8</v>
      </c>
      <c r="H66" s="9">
        <v>56.1</v>
      </c>
      <c r="I66" s="9">
        <v>56.5</v>
      </c>
      <c r="J66" s="9">
        <v>59.1</v>
      </c>
      <c r="K66" s="9">
        <v>56.5</v>
      </c>
      <c r="L66" s="9">
        <v>53.9</v>
      </c>
      <c r="M66" s="9"/>
      <c r="N66" s="9"/>
      <c r="O66" s="9"/>
      <c r="P66" s="9"/>
      <c r="Q66" s="9">
        <f ca="1">IFERROR(__xludf.DUMMYFUNCTION("GOOGLEFINANCE(C66,""changepct"")"),0.75)</f>
        <v>0.75</v>
      </c>
      <c r="R66" s="9"/>
      <c r="S66" s="9"/>
      <c r="T66" s="9"/>
      <c r="U66" s="9"/>
      <c r="V66" s="9"/>
      <c r="W66" s="9"/>
    </row>
    <row r="67" spans="1:23" ht="14.4">
      <c r="A67" s="3">
        <f>LOOKUP(D67,'AMFI DATA_2023H1'!B:C,'AMFI DATA_2023H1'!C:C)</f>
        <v>2692</v>
      </c>
      <c r="B67" s="4" t="s">
        <v>5473</v>
      </c>
      <c r="C67" s="4" t="s">
        <v>5474</v>
      </c>
      <c r="D67" s="5" t="s">
        <v>5475</v>
      </c>
      <c r="E67" s="5">
        <f>LOOKUP(D67,'AMFI DATA_2023H1'!B:D,'AMFI DATA_2023H1'!D:D)</f>
        <v>46.81</v>
      </c>
      <c r="F67" s="7">
        <f t="shared" si="0"/>
        <v>0.52104251228370013</v>
      </c>
      <c r="G67" s="9">
        <v>71.2</v>
      </c>
      <c r="H67" s="9">
        <v>62.1</v>
      </c>
      <c r="I67" s="9">
        <v>59.5</v>
      </c>
      <c r="J67" s="9">
        <v>60.6</v>
      </c>
      <c r="K67" s="9">
        <v>61</v>
      </c>
      <c r="L67" s="9">
        <v>60.7</v>
      </c>
      <c r="M67" s="9"/>
      <c r="N67" s="9"/>
      <c r="O67" s="9"/>
      <c r="P67" s="9"/>
      <c r="Q67" s="9">
        <f ca="1">IFERROR(__xludf.DUMMYFUNCTION("GOOGLEFINANCE(C67,""changepct"")"),6.08)</f>
        <v>6.08</v>
      </c>
      <c r="R67" s="9"/>
      <c r="S67" s="9"/>
      <c r="T67" s="9"/>
      <c r="U67" s="9"/>
      <c r="V67" s="9"/>
      <c r="W67" s="9"/>
    </row>
    <row r="68" spans="1:23" ht="14.4">
      <c r="A68" s="3">
        <f>LOOKUP(D68,'AMFI DATA_2023H1'!B:C,'AMFI DATA_2023H1'!C:C)</f>
        <v>2229</v>
      </c>
      <c r="B68" s="4" t="s">
        <v>5284</v>
      </c>
      <c r="C68" s="4" t="s">
        <v>5285</v>
      </c>
      <c r="D68" s="5" t="s">
        <v>5286</v>
      </c>
      <c r="E68" s="5">
        <f>LOOKUP(D68,'AMFI DATA_2023H1'!B:D,'AMFI DATA_2023H1'!D:D)</f>
        <v>97.85</v>
      </c>
      <c r="F68" s="7">
        <f t="shared" si="0"/>
        <v>-0.19366377107818078</v>
      </c>
      <c r="G68" s="9">
        <v>78.900000000000006</v>
      </c>
      <c r="H68" s="9">
        <v>79.3</v>
      </c>
      <c r="I68" s="9">
        <v>77.8</v>
      </c>
      <c r="J68" s="9">
        <v>77.7</v>
      </c>
      <c r="K68" s="9">
        <v>77.099999999999994</v>
      </c>
      <c r="L68" s="9">
        <v>80.2</v>
      </c>
      <c r="M68" s="9"/>
      <c r="N68" s="9"/>
      <c r="O68" s="9"/>
      <c r="P68" s="9"/>
      <c r="Q68" s="9">
        <f ca="1">IFERROR(__xludf.DUMMYFUNCTION("GOOGLEFINANCE(C68,""changepct"")"),-0.42)</f>
        <v>-0.42</v>
      </c>
      <c r="R68" s="9"/>
      <c r="S68" s="9"/>
      <c r="T68" s="9"/>
      <c r="U68" s="9"/>
      <c r="V68" s="9"/>
      <c r="W68" s="9"/>
    </row>
    <row r="69" spans="1:23" ht="14.4">
      <c r="A69" s="3">
        <f>LOOKUP(D69,'AMFI DATA_2023H1'!B:C,'AMFI DATA_2023H1'!C:C)</f>
        <v>2016</v>
      </c>
      <c r="B69" s="4" t="s">
        <v>5039</v>
      </c>
      <c r="C69" s="4" t="s">
        <v>5040</v>
      </c>
      <c r="D69" s="5" t="s">
        <v>5041</v>
      </c>
      <c r="E69" s="5">
        <f>LOOKUP(D69,'AMFI DATA_2023H1'!B:D,'AMFI DATA_2023H1'!D:D)</f>
        <v>140.36000000000001</v>
      </c>
      <c r="F69" s="7">
        <f t="shared" si="0"/>
        <v>0.41778284411513233</v>
      </c>
      <c r="G69" s="9">
        <v>199</v>
      </c>
      <c r="H69" s="9">
        <v>190</v>
      </c>
      <c r="I69" s="9">
        <v>179</v>
      </c>
      <c r="J69" s="9">
        <v>172</v>
      </c>
      <c r="K69" s="9">
        <v>160</v>
      </c>
      <c r="L69" s="9">
        <v>155</v>
      </c>
      <c r="M69" s="9"/>
      <c r="N69" s="9"/>
      <c r="O69" s="9"/>
      <c r="P69" s="9"/>
      <c r="Q69" s="9">
        <f ca="1">IFERROR(__xludf.DUMMYFUNCTION("GOOGLEFINANCE(C69,""changepct"")"),3.86)</f>
        <v>3.86</v>
      </c>
      <c r="R69" s="9"/>
      <c r="S69" s="9"/>
      <c r="T69" s="9"/>
      <c r="U69" s="9"/>
      <c r="V69" s="9"/>
      <c r="W69" s="9"/>
    </row>
    <row r="70" spans="1:23" ht="14.4">
      <c r="A70" s="3">
        <f>LOOKUP(D70,'AMFI DATA_2023H1'!B:C,'AMFI DATA_2023H1'!C:C)</f>
        <v>1966</v>
      </c>
      <c r="B70" s="4" t="s">
        <v>4814</v>
      </c>
      <c r="C70" s="4" t="s">
        <v>4815</v>
      </c>
      <c r="D70" s="5" t="s">
        <v>4816</v>
      </c>
      <c r="E70" s="5">
        <f>LOOKUP(D70,'AMFI DATA_2023H1'!B:D,'AMFI DATA_2023H1'!D:D)</f>
        <v>149.97</v>
      </c>
      <c r="F70" s="7">
        <f t="shared" si="0"/>
        <v>0.35360405414416207</v>
      </c>
      <c r="G70" s="9">
        <v>203</v>
      </c>
      <c r="H70" s="9">
        <v>197</v>
      </c>
      <c r="I70" s="9">
        <v>188</v>
      </c>
      <c r="J70" s="9">
        <v>181</v>
      </c>
      <c r="K70" s="9">
        <v>176</v>
      </c>
      <c r="L70" s="9">
        <v>168</v>
      </c>
      <c r="M70" s="9"/>
      <c r="N70" s="9"/>
      <c r="O70" s="9"/>
      <c r="P70" s="9"/>
      <c r="Q70" s="9">
        <f ca="1">IFERROR(__xludf.DUMMYFUNCTION("GOOGLEFINANCE(C70,""changepct"")"),-0.39)</f>
        <v>-0.39</v>
      </c>
      <c r="R70" s="9"/>
      <c r="S70" s="9"/>
      <c r="T70" s="9"/>
      <c r="U70" s="9"/>
      <c r="V70" s="9"/>
      <c r="W70" s="9"/>
    </row>
    <row r="71" spans="1:23" ht="14.4">
      <c r="A71" s="3">
        <f>LOOKUP(D71,'AMFI DATA_2023H1'!B:C,'AMFI DATA_2023H1'!C:C)</f>
        <v>1918</v>
      </c>
      <c r="B71" s="4" t="s">
        <v>4799</v>
      </c>
      <c r="C71" s="4" t="s">
        <v>4800</v>
      </c>
      <c r="D71" s="5" t="s">
        <v>4801</v>
      </c>
      <c r="E71" s="5">
        <f>LOOKUP(D71,'AMFI DATA_2023H1'!B:D,'AMFI DATA_2023H1'!D:D)</f>
        <v>162.32</v>
      </c>
      <c r="F71" s="7">
        <f t="shared" si="0"/>
        <v>-0.35929029078363728</v>
      </c>
      <c r="G71" s="9">
        <v>104</v>
      </c>
      <c r="H71" s="9">
        <v>109</v>
      </c>
      <c r="I71" s="9">
        <v>114</v>
      </c>
      <c r="J71" s="9">
        <v>120</v>
      </c>
      <c r="K71" s="9">
        <v>128</v>
      </c>
      <c r="L71" s="9">
        <v>141</v>
      </c>
      <c r="M71" s="9"/>
      <c r="N71" s="9"/>
      <c r="O71" s="9"/>
      <c r="P71" s="9"/>
      <c r="Q71" s="9">
        <f ca="1">IFERROR(__xludf.DUMMYFUNCTION("GOOGLEFINANCE(C71,""changepct"")"),0)</f>
        <v>0</v>
      </c>
      <c r="R71" s="9"/>
      <c r="S71" s="9"/>
      <c r="T71" s="9"/>
      <c r="U71" s="9"/>
      <c r="V71" s="9"/>
      <c r="W71" s="9"/>
    </row>
    <row r="72" spans="1:23" ht="14.4">
      <c r="A72" s="3">
        <f>LOOKUP(D72,'AMFI DATA_2023H1'!B:C,'AMFI DATA_2023H1'!C:C)</f>
        <v>1823</v>
      </c>
      <c r="B72" s="4" t="s">
        <v>4634</v>
      </c>
      <c r="C72" s="4" t="s">
        <v>4635</v>
      </c>
      <c r="D72" s="5" t="s">
        <v>4636</v>
      </c>
      <c r="E72" s="5">
        <f>LOOKUP(D72,'AMFI DATA_2023H1'!B:D,'AMFI DATA_2023H1'!D:D)</f>
        <v>188.57</v>
      </c>
      <c r="F72" s="7">
        <f t="shared" si="0"/>
        <v>0.24622156228456271</v>
      </c>
      <c r="G72" s="9">
        <v>235</v>
      </c>
      <c r="H72" s="9">
        <v>240</v>
      </c>
      <c r="I72" s="9">
        <v>242</v>
      </c>
      <c r="J72" s="9">
        <v>258</v>
      </c>
      <c r="K72" s="9">
        <v>215</v>
      </c>
      <c r="L72" s="9">
        <v>212</v>
      </c>
      <c r="M72" s="9"/>
      <c r="N72" s="9"/>
      <c r="O72" s="9"/>
      <c r="P72" s="9"/>
      <c r="Q72" s="9">
        <f ca="1">IFERROR(__xludf.DUMMYFUNCTION("GOOGLEFINANCE(C72,""changepct"")"),3.51)</f>
        <v>3.51</v>
      </c>
      <c r="R72" s="9"/>
      <c r="S72" s="9"/>
      <c r="T72" s="9"/>
      <c r="U72" s="9"/>
      <c r="V72" s="9"/>
      <c r="W72" s="9"/>
    </row>
    <row r="73" spans="1:23" ht="14.4">
      <c r="A73" s="3">
        <f>LOOKUP(D73,'AMFI DATA_2023H1'!B:C,'AMFI DATA_2023H1'!C:C)</f>
        <v>337</v>
      </c>
      <c r="B73" s="4" t="s">
        <v>1107</v>
      </c>
      <c r="C73" s="4" t="s">
        <v>1108</v>
      </c>
      <c r="D73" s="5" t="s">
        <v>1109</v>
      </c>
      <c r="E73" s="5">
        <f>LOOKUP(D73,'AMFI DATA_2023H1'!B:D,'AMFI DATA_2023H1'!D:D)</f>
        <v>10542.95</v>
      </c>
      <c r="F73" s="7">
        <f t="shared" si="0"/>
        <v>0.11354032789684099</v>
      </c>
      <c r="G73" s="8">
        <v>11740</v>
      </c>
      <c r="H73" s="8">
        <v>11879</v>
      </c>
      <c r="I73" s="8">
        <v>11759</v>
      </c>
      <c r="J73" s="8">
        <v>11636</v>
      </c>
      <c r="K73" s="8">
        <v>11596</v>
      </c>
      <c r="L73" s="8">
        <v>11685</v>
      </c>
      <c r="M73" s="8"/>
      <c r="N73" s="8"/>
      <c r="O73" s="8"/>
      <c r="P73" s="8"/>
      <c r="Q73" s="9">
        <f ca="1">IFERROR(__xludf.DUMMYFUNCTION("GOOGLEFINANCE(C73,""changepct"")"),-1.32)</f>
        <v>-1.32</v>
      </c>
      <c r="R73" s="8"/>
      <c r="S73" s="8"/>
      <c r="T73" s="8"/>
      <c r="U73" s="8"/>
      <c r="V73" s="8"/>
      <c r="W73" s="8"/>
    </row>
    <row r="74" spans="1:23" ht="14.4">
      <c r="A74" s="3">
        <f>LOOKUP(D74,'AMFI DATA_2023H1'!B:C,'AMFI DATA_2023H1'!C:C)</f>
        <v>1828</v>
      </c>
      <c r="B74" s="4" t="s">
        <v>4478</v>
      </c>
      <c r="C74" s="4" t="s">
        <v>4479</v>
      </c>
      <c r="D74" s="5" t="s">
        <v>4480</v>
      </c>
      <c r="E74" s="5">
        <f>LOOKUP(D74,'AMFI DATA_2023H1'!B:D,'AMFI DATA_2023H1'!D:D)</f>
        <v>187.39</v>
      </c>
      <c r="F74" s="7">
        <f t="shared" si="0"/>
        <v>1.2893430812743478</v>
      </c>
      <c r="G74" s="9">
        <v>429</v>
      </c>
      <c r="H74" s="9">
        <v>411</v>
      </c>
      <c r="I74" s="9">
        <v>425</v>
      </c>
      <c r="J74" s="9">
        <v>404</v>
      </c>
      <c r="K74" s="9">
        <v>385</v>
      </c>
      <c r="L74" s="9">
        <v>367</v>
      </c>
      <c r="M74" s="9"/>
      <c r="N74" s="9"/>
      <c r="O74" s="9"/>
      <c r="P74" s="9"/>
      <c r="Q74" s="9">
        <f ca="1">IFERROR(__xludf.DUMMYFUNCTION("GOOGLEFINANCE(C74,""changepct"")"),-3.67)</f>
        <v>-3.67</v>
      </c>
      <c r="R74" s="9"/>
      <c r="S74" s="9"/>
      <c r="T74" s="9"/>
      <c r="U74" s="9"/>
      <c r="V74" s="9"/>
      <c r="W74" s="9"/>
    </row>
    <row r="75" spans="1:23" ht="14.4">
      <c r="A75" s="3">
        <f>LOOKUP(D75,'AMFI DATA_2023H1'!B:C,'AMFI DATA_2023H1'!C:C)</f>
        <v>1535</v>
      </c>
      <c r="B75" s="4" t="s">
        <v>4022</v>
      </c>
      <c r="C75" s="4" t="s">
        <v>4023</v>
      </c>
      <c r="D75" s="5" t="s">
        <v>4024</v>
      </c>
      <c r="E75" s="5">
        <f>LOOKUP(D75,'AMFI DATA_2023H1'!B:D,'AMFI DATA_2023H1'!D:D)</f>
        <v>324.45999999999998</v>
      </c>
      <c r="F75" s="7">
        <f t="shared" si="0"/>
        <v>0.69204216236207872</v>
      </c>
      <c r="G75" s="9">
        <v>549</v>
      </c>
      <c r="H75" s="9">
        <v>554</v>
      </c>
      <c r="I75" s="9">
        <v>562</v>
      </c>
      <c r="J75" s="9">
        <v>568</v>
      </c>
      <c r="K75" s="9">
        <v>556</v>
      </c>
      <c r="L75" s="9">
        <v>550</v>
      </c>
      <c r="M75" s="9"/>
      <c r="N75" s="9"/>
      <c r="O75" s="9"/>
      <c r="P75" s="9"/>
      <c r="Q75" s="9">
        <f ca="1">IFERROR(__xludf.DUMMYFUNCTION("GOOGLEFINANCE(C75,""changepct"")"),17.51)</f>
        <v>17.510000000000002</v>
      </c>
      <c r="R75" s="9"/>
      <c r="S75" s="9"/>
      <c r="T75" s="9"/>
      <c r="U75" s="9"/>
      <c r="V75" s="9"/>
      <c r="W75" s="9"/>
    </row>
    <row r="76" spans="1:23" ht="14.4">
      <c r="A76" s="3">
        <f>LOOKUP(D76,'AMFI DATA_2023H1'!B:C,'AMFI DATA_2023H1'!C:C)</f>
        <v>855</v>
      </c>
      <c r="B76" s="4" t="s">
        <v>2651</v>
      </c>
      <c r="C76" s="4" t="s">
        <v>2652</v>
      </c>
      <c r="D76" s="5" t="s">
        <v>2653</v>
      </c>
      <c r="E76" s="5">
        <f>LOOKUP(D76,'AMFI DATA_2023H1'!B:D,'AMFI DATA_2023H1'!D:D)</f>
        <v>1695.89</v>
      </c>
      <c r="F76" s="7">
        <f t="shared" si="0"/>
        <v>0.3821651168413045</v>
      </c>
      <c r="G76" s="8">
        <v>2344</v>
      </c>
      <c r="H76" s="8">
        <v>2324</v>
      </c>
      <c r="I76" s="8">
        <v>2335</v>
      </c>
      <c r="J76" s="8">
        <v>2356</v>
      </c>
      <c r="K76" s="8">
        <v>2392</v>
      </c>
      <c r="L76" s="8">
        <v>2366</v>
      </c>
      <c r="M76" s="8"/>
      <c r="N76" s="8"/>
      <c r="O76" s="8"/>
      <c r="P76" s="8"/>
      <c r="Q76" s="9">
        <f ca="1">IFERROR(__xludf.DUMMYFUNCTION("GOOGLEFINANCE(C76,""changepct"")"),0.59)</f>
        <v>0.59</v>
      </c>
      <c r="R76" s="8"/>
      <c r="S76" s="8"/>
      <c r="T76" s="8"/>
      <c r="U76" s="8"/>
      <c r="V76" s="8"/>
      <c r="W76" s="8"/>
    </row>
    <row r="77" spans="1:23" ht="14.4">
      <c r="A77" s="3">
        <f>LOOKUP(D77,'AMFI DATA_2023H1'!B:C,'AMFI DATA_2023H1'!C:C)</f>
        <v>332</v>
      </c>
      <c r="B77" s="4" t="s">
        <v>960</v>
      </c>
      <c r="C77" s="4" t="s">
        <v>961</v>
      </c>
      <c r="D77" s="5" t="s">
        <v>962</v>
      </c>
      <c r="E77" s="5">
        <f>LOOKUP(D77,'AMFI DATA_2023H1'!B:D,'AMFI DATA_2023H1'!D:D)</f>
        <v>10678.2</v>
      </c>
      <c r="F77" s="7">
        <f t="shared" si="0"/>
        <v>0.40988181528722056</v>
      </c>
      <c r="G77" s="8">
        <v>15055</v>
      </c>
      <c r="H77" s="8">
        <v>14927</v>
      </c>
      <c r="I77" s="8">
        <v>14911</v>
      </c>
      <c r="J77" s="8">
        <v>15144</v>
      </c>
      <c r="K77" s="8">
        <v>15274</v>
      </c>
      <c r="L77" s="8">
        <v>15198</v>
      </c>
      <c r="M77" s="8"/>
      <c r="N77" s="8"/>
      <c r="O77" s="8"/>
      <c r="P77" s="8"/>
      <c r="Q77" s="9">
        <f ca="1">IFERROR(__xludf.DUMMYFUNCTION("GOOGLEFINANCE(C77,""changepct"")"),0.95)</f>
        <v>0.95</v>
      </c>
      <c r="R77" s="8"/>
      <c r="S77" s="8"/>
      <c r="T77" s="8"/>
      <c r="U77" s="8"/>
      <c r="V77" s="8"/>
      <c r="W77" s="8"/>
    </row>
    <row r="78" spans="1:23" ht="14.4">
      <c r="A78" s="3">
        <f>LOOKUP(D78,'AMFI DATA_2023H1'!B:C,'AMFI DATA_2023H1'!C:C)</f>
        <v>956</v>
      </c>
      <c r="B78" s="4" t="s">
        <v>3083</v>
      </c>
      <c r="C78" s="4" t="s">
        <v>3084</v>
      </c>
      <c r="D78" s="5" t="s">
        <v>3085</v>
      </c>
      <c r="E78" s="5">
        <f>LOOKUP(D78,'AMFI DATA_2023H1'!B:D,'AMFI DATA_2023H1'!D:D)</f>
        <v>1300.54</v>
      </c>
      <c r="F78" s="7">
        <f t="shared" si="0"/>
        <v>6.9555723007366232E-2</v>
      </c>
      <c r="G78" s="8">
        <v>1391</v>
      </c>
      <c r="H78" s="8">
        <v>1400</v>
      </c>
      <c r="I78" s="8">
        <v>1403</v>
      </c>
      <c r="J78" s="8">
        <v>1410</v>
      </c>
      <c r="K78" s="8">
        <v>1365</v>
      </c>
      <c r="L78" s="8">
        <v>1329</v>
      </c>
      <c r="M78" s="8"/>
      <c r="N78" s="8"/>
      <c r="O78" s="8"/>
      <c r="P78" s="8"/>
      <c r="Q78" s="9">
        <f ca="1">IFERROR(__xludf.DUMMYFUNCTION("GOOGLEFINANCE(C78,""changepct"")"),-0.17)</f>
        <v>-0.17</v>
      </c>
      <c r="R78" s="8"/>
      <c r="S78" s="8"/>
      <c r="T78" s="8"/>
      <c r="U78" s="8"/>
      <c r="V78" s="8"/>
      <c r="W78" s="8"/>
    </row>
    <row r="79" spans="1:23" ht="14.4">
      <c r="A79" s="3">
        <f>LOOKUP(D79,'AMFI DATA_2023H1'!B:C,'AMFI DATA_2023H1'!C:C)</f>
        <v>2130</v>
      </c>
      <c r="B79" s="4" t="s">
        <v>5075</v>
      </c>
      <c r="C79" s="4" t="s">
        <v>5076</v>
      </c>
      <c r="D79" s="5" t="s">
        <v>5077</v>
      </c>
      <c r="E79" s="5">
        <f>LOOKUP(D79,'AMFI DATA_2023H1'!B:D,'AMFI DATA_2023H1'!D:D)</f>
        <v>116.22</v>
      </c>
      <c r="F79" s="7">
        <f t="shared" si="0"/>
        <v>0.20461194286697637</v>
      </c>
      <c r="G79" s="9">
        <v>140</v>
      </c>
      <c r="H79" s="9">
        <v>139</v>
      </c>
      <c r="I79" s="9">
        <v>141</v>
      </c>
      <c r="J79" s="9">
        <v>144</v>
      </c>
      <c r="K79" s="9">
        <v>144</v>
      </c>
      <c r="L79" s="9">
        <v>145</v>
      </c>
      <c r="M79" s="9"/>
      <c r="N79" s="9"/>
      <c r="O79" s="9"/>
      <c r="P79" s="9"/>
      <c r="Q79" s="9">
        <f ca="1">IFERROR(__xludf.DUMMYFUNCTION("GOOGLEFINANCE(C79,""changepct"")"),1.75)</f>
        <v>1.75</v>
      </c>
      <c r="R79" s="9"/>
      <c r="S79" s="9"/>
      <c r="T79" s="9"/>
      <c r="U79" s="9"/>
      <c r="V79" s="9"/>
      <c r="W79" s="9"/>
    </row>
    <row r="80" spans="1:23" ht="14.4">
      <c r="A80" s="3">
        <f>LOOKUP(D80,'AMFI DATA_2023H1'!B:C,'AMFI DATA_2023H1'!C:C)</f>
        <v>133</v>
      </c>
      <c r="B80" s="4" t="s">
        <v>429</v>
      </c>
      <c r="C80" s="4" t="s">
        <v>430</v>
      </c>
      <c r="D80" s="5" t="s">
        <v>431</v>
      </c>
      <c r="E80" s="5">
        <f>LOOKUP(D80,'AMFI DATA_2023H1'!B:D,'AMFI DATA_2023H1'!D:D)</f>
        <v>39033.769999999997</v>
      </c>
      <c r="F80" s="7">
        <f t="shared" si="0"/>
        <v>0.56830867220870562</v>
      </c>
      <c r="G80" s="8">
        <v>61217</v>
      </c>
      <c r="H80" s="8">
        <v>62101</v>
      </c>
      <c r="I80" s="8">
        <v>61379</v>
      </c>
      <c r="J80" s="8">
        <v>60799</v>
      </c>
      <c r="K80" s="8">
        <v>59530</v>
      </c>
      <c r="L80" s="8">
        <v>58759</v>
      </c>
      <c r="M80" s="8"/>
      <c r="N80" s="8"/>
      <c r="O80" s="8"/>
      <c r="P80" s="8"/>
      <c r="Q80" s="9">
        <f ca="1">IFERROR(__xludf.DUMMYFUNCTION("GOOGLEFINANCE(C80,""changepct"")"),-1.63)</f>
        <v>-1.63</v>
      </c>
      <c r="R80" s="8"/>
      <c r="S80" s="8"/>
      <c r="T80" s="8"/>
      <c r="U80" s="8"/>
      <c r="V80" s="8"/>
      <c r="W80" s="8"/>
    </row>
    <row r="81" spans="1:23" ht="14.4">
      <c r="A81" s="3">
        <f>LOOKUP(D81,'AMFI DATA_2023H1'!B:C,'AMFI DATA_2023H1'!C:C)</f>
        <v>296</v>
      </c>
      <c r="B81" s="4" t="s">
        <v>1101</v>
      </c>
      <c r="C81" s="4" t="s">
        <v>1102</v>
      </c>
      <c r="D81" s="5" t="s">
        <v>1103</v>
      </c>
      <c r="E81" s="5">
        <f>LOOKUP(D81,'AMFI DATA_2023H1'!B:D,'AMFI DATA_2023H1'!D:D)</f>
        <v>12870.96</v>
      </c>
      <c r="F81" s="7">
        <f t="shared" si="0"/>
        <v>7.2880344589681068E-2</v>
      </c>
      <c r="G81" s="8">
        <v>13809</v>
      </c>
      <c r="H81" s="8">
        <v>12972</v>
      </c>
      <c r="I81" s="8">
        <v>12535</v>
      </c>
      <c r="J81" s="8">
        <v>12979</v>
      </c>
      <c r="K81" s="8">
        <v>13141</v>
      </c>
      <c r="L81" s="8">
        <v>11783</v>
      </c>
      <c r="M81" s="8"/>
      <c r="N81" s="8"/>
      <c r="O81" s="8"/>
      <c r="P81" s="8"/>
      <c r="Q81" s="9">
        <f ca="1">IFERROR(__xludf.DUMMYFUNCTION("GOOGLEFINANCE(C81,""changepct"")"),-0.1)</f>
        <v>-0.1</v>
      </c>
      <c r="R81" s="8"/>
      <c r="S81" s="8"/>
      <c r="T81" s="8"/>
      <c r="U81" s="8"/>
      <c r="V81" s="8"/>
      <c r="W81" s="8"/>
    </row>
    <row r="82" spans="1:23" ht="14.4">
      <c r="A82" s="3">
        <f>LOOKUP(D82,'AMFI DATA_2023H1'!B:C,'AMFI DATA_2023H1'!C:C)</f>
        <v>1314</v>
      </c>
      <c r="B82" s="4" t="s">
        <v>2774</v>
      </c>
      <c r="C82" s="4" t="s">
        <v>2775</v>
      </c>
      <c r="D82" s="5" t="s">
        <v>2776</v>
      </c>
      <c r="E82" s="5">
        <f>LOOKUP(D82,'AMFI DATA_2023H1'!B:D,'AMFI DATA_2023H1'!D:D)</f>
        <v>494.76</v>
      </c>
      <c r="F82" s="7">
        <f t="shared" si="0"/>
        <v>2.330907914948662</v>
      </c>
      <c r="G82" s="8">
        <v>1648</v>
      </c>
      <c r="H82" s="8">
        <v>1614</v>
      </c>
      <c r="I82" s="8">
        <v>1601</v>
      </c>
      <c r="J82" s="8">
        <v>1623</v>
      </c>
      <c r="K82" s="8">
        <v>1641</v>
      </c>
      <c r="L82" s="8">
        <v>1573</v>
      </c>
      <c r="M82" s="8"/>
      <c r="N82" s="8"/>
      <c r="O82" s="8"/>
      <c r="P82" s="8"/>
      <c r="Q82" s="9">
        <f ca="1">IFERROR(__xludf.DUMMYFUNCTION("GOOGLEFINANCE(C82,""changepct"")"),-0.55)</f>
        <v>-0.55000000000000004</v>
      </c>
      <c r="R82" s="8"/>
      <c r="S82" s="8"/>
      <c r="T82" s="8"/>
      <c r="U82" s="8"/>
      <c r="V82" s="8"/>
      <c r="W82" s="8"/>
    </row>
    <row r="83" spans="1:23" ht="14.4">
      <c r="A83" s="3">
        <f>LOOKUP(D83,'AMFI DATA_2023H1'!B:C,'AMFI DATA_2023H1'!C:C)</f>
        <v>420</v>
      </c>
      <c r="B83" s="4" t="s">
        <v>1566</v>
      </c>
      <c r="C83" s="4" t="s">
        <v>1567</v>
      </c>
      <c r="D83" s="5" t="s">
        <v>1568</v>
      </c>
      <c r="E83" s="5">
        <f>LOOKUP(D83,'AMFI DATA_2023H1'!B:D,'AMFI DATA_2023H1'!D:D)</f>
        <v>7009.41</v>
      </c>
      <c r="F83" s="7">
        <f t="shared" si="0"/>
        <v>0.15673073767977619</v>
      </c>
      <c r="G83" s="8">
        <v>8108</v>
      </c>
      <c r="H83" s="8">
        <v>7899</v>
      </c>
      <c r="I83" s="8">
        <v>7752</v>
      </c>
      <c r="J83" s="8">
        <v>7878</v>
      </c>
      <c r="K83" s="8">
        <v>7962</v>
      </c>
      <c r="L83" s="8">
        <v>7543</v>
      </c>
      <c r="M83" s="8"/>
      <c r="N83" s="8"/>
      <c r="O83" s="8"/>
      <c r="P83" s="8"/>
      <c r="Q83" s="9">
        <f ca="1">IFERROR(__xludf.DUMMYFUNCTION("GOOGLEFINANCE(C83,""changepct"")"),-2)</f>
        <v>-2</v>
      </c>
      <c r="R83" s="8"/>
      <c r="S83" s="8"/>
      <c r="T83" s="8"/>
      <c r="U83" s="8"/>
      <c r="V83" s="8"/>
      <c r="W83" s="8"/>
    </row>
    <row r="84" spans="1:23" ht="14.4">
      <c r="A84" s="3">
        <f>LOOKUP(D84,'AMFI DATA_2023H1'!B:C,'AMFI DATA_2023H1'!C:C)</f>
        <v>35</v>
      </c>
      <c r="B84" s="4" t="s">
        <v>3356</v>
      </c>
      <c r="C84" s="4" t="s">
        <v>3357</v>
      </c>
      <c r="D84" s="5" t="s">
        <v>3358</v>
      </c>
      <c r="E84" s="5">
        <f>LOOKUP(D84,'AMFI DATA_2023H1'!B:D,'AMFI DATA_2023H1'!D:D)</f>
        <v>146818.6</v>
      </c>
      <c r="F84" s="7">
        <f t="shared" si="0"/>
        <v>-0.99113191380383681</v>
      </c>
      <c r="G84" s="8">
        <v>1302</v>
      </c>
      <c r="H84" s="8">
        <v>1279</v>
      </c>
      <c r="I84" s="8">
        <v>1268</v>
      </c>
      <c r="J84" s="8">
        <v>1304</v>
      </c>
      <c r="K84" s="8">
        <v>1299</v>
      </c>
      <c r="L84" s="8">
        <v>1275</v>
      </c>
      <c r="M84" s="8"/>
      <c r="N84" s="8"/>
      <c r="O84" s="8"/>
      <c r="P84" s="8"/>
      <c r="Q84" s="9">
        <f ca="1">IFERROR(__xludf.DUMMYFUNCTION("GOOGLEFINANCE(C84,""changepct"")"),6.58)</f>
        <v>6.58</v>
      </c>
      <c r="R84" s="8"/>
      <c r="S84" s="8"/>
      <c r="T84" s="8"/>
      <c r="U84" s="8"/>
      <c r="V84" s="8"/>
      <c r="W84" s="8"/>
    </row>
    <row r="85" spans="1:23" ht="14.4">
      <c r="A85" s="3">
        <f>LOOKUP(D85,'AMFI DATA_2023H1'!B:C,'AMFI DATA_2023H1'!C:C)</f>
        <v>1311</v>
      </c>
      <c r="B85" s="4" t="s">
        <v>3683</v>
      </c>
      <c r="C85" s="4" t="s">
        <v>3684</v>
      </c>
      <c r="D85" s="5" t="s">
        <v>3685</v>
      </c>
      <c r="E85" s="5">
        <f>LOOKUP(D85,'AMFI DATA_2023H1'!B:D,'AMFI DATA_2023H1'!D:D)</f>
        <v>502.41</v>
      </c>
      <c r="F85" s="7">
        <f t="shared" si="0"/>
        <v>0.49877590016122286</v>
      </c>
      <c r="G85" s="9">
        <v>753</v>
      </c>
      <c r="H85" s="9">
        <v>758</v>
      </c>
      <c r="I85" s="9">
        <v>759</v>
      </c>
      <c r="J85" s="9">
        <v>791</v>
      </c>
      <c r="K85" s="9">
        <v>764</v>
      </c>
      <c r="L85" s="9">
        <v>699</v>
      </c>
      <c r="M85" s="9"/>
      <c r="N85" s="9"/>
      <c r="O85" s="9"/>
      <c r="P85" s="9"/>
      <c r="Q85" s="9">
        <f ca="1">IFERROR(__xludf.DUMMYFUNCTION("GOOGLEFINANCE(C85,""changepct"")"),-1.09)</f>
        <v>-1.0900000000000001</v>
      </c>
      <c r="R85" s="9"/>
      <c r="S85" s="9"/>
      <c r="T85" s="9"/>
      <c r="U85" s="9"/>
      <c r="V85" s="9"/>
      <c r="W85" s="9"/>
    </row>
    <row r="86" spans="1:23" ht="14.4">
      <c r="A86" s="3">
        <f>LOOKUP(D86,'AMFI DATA_2023H1'!B:C,'AMFI DATA_2023H1'!C:C)</f>
        <v>1172</v>
      </c>
      <c r="B86" s="4" t="s">
        <v>3440</v>
      </c>
      <c r="C86" s="4" t="s">
        <v>3441</v>
      </c>
      <c r="D86" s="5" t="s">
        <v>3442</v>
      </c>
      <c r="E86" s="5">
        <f>LOOKUP(D86,'AMFI DATA_2023H1'!B:D,'AMFI DATA_2023H1'!D:D)</f>
        <v>744.82</v>
      </c>
      <c r="F86" s="7">
        <f t="shared" si="0"/>
        <v>0.3533471174243441</v>
      </c>
      <c r="G86" s="8">
        <v>1008</v>
      </c>
      <c r="H86" s="8">
        <v>994</v>
      </c>
      <c r="I86" s="8">
        <v>995</v>
      </c>
      <c r="J86" s="8">
        <v>1000</v>
      </c>
      <c r="K86" s="8">
        <v>986</v>
      </c>
      <c r="L86" s="8">
        <v>1008</v>
      </c>
      <c r="M86" s="8"/>
      <c r="N86" s="8"/>
      <c r="O86" s="8"/>
      <c r="P86" s="8"/>
      <c r="Q86" s="9">
        <f ca="1">IFERROR(__xludf.DUMMYFUNCTION("GOOGLEFINANCE(C86,""changepct"")"),1.53)</f>
        <v>1.53</v>
      </c>
      <c r="R86" s="8"/>
      <c r="S86" s="8"/>
      <c r="T86" s="8"/>
      <c r="U86" s="8"/>
      <c r="V86" s="8"/>
      <c r="W86" s="8"/>
    </row>
    <row r="87" spans="1:23" ht="14.4">
      <c r="A87" s="3">
        <f>LOOKUP(D87,'AMFI DATA_2023H1'!B:C,'AMFI DATA_2023H1'!C:C)</f>
        <v>1863</v>
      </c>
      <c r="B87" s="4" t="s">
        <v>4577</v>
      </c>
      <c r="C87" s="4" t="s">
        <v>4578</v>
      </c>
      <c r="D87" s="5" t="s">
        <v>4579</v>
      </c>
      <c r="E87" s="5">
        <f>LOOKUP(D87,'AMFI DATA_2023H1'!B:D,'AMFI DATA_2023H1'!D:D)</f>
        <v>175.68</v>
      </c>
      <c r="F87" s="7">
        <f t="shared" si="0"/>
        <v>0.3604280510018214</v>
      </c>
      <c r="G87" s="9">
        <v>239</v>
      </c>
      <c r="H87" s="9">
        <v>239</v>
      </c>
      <c r="I87" s="9">
        <v>236</v>
      </c>
      <c r="J87" s="9">
        <v>242</v>
      </c>
      <c r="K87" s="9">
        <v>243</v>
      </c>
      <c r="L87" s="9">
        <v>242</v>
      </c>
      <c r="M87" s="9"/>
      <c r="N87" s="9"/>
      <c r="O87" s="9"/>
      <c r="P87" s="9"/>
      <c r="Q87" s="9">
        <f ca="1">IFERROR(__xludf.DUMMYFUNCTION("GOOGLEFINANCE(C87,""changepct"")"),2.3)</f>
        <v>2.2999999999999998</v>
      </c>
      <c r="R87" s="9"/>
      <c r="S87" s="9"/>
      <c r="T87" s="9"/>
      <c r="U87" s="9"/>
      <c r="V87" s="9"/>
      <c r="W87" s="9"/>
    </row>
    <row r="88" spans="1:23" ht="14.4">
      <c r="A88" s="3">
        <f>LOOKUP(D88,'AMFI DATA_2023H1'!B:C,'AMFI DATA_2023H1'!C:C)</f>
        <v>429</v>
      </c>
      <c r="B88" s="4" t="s">
        <v>1302</v>
      </c>
      <c r="C88" s="4" t="s">
        <v>1303</v>
      </c>
      <c r="D88" s="5" t="s">
        <v>1304</v>
      </c>
      <c r="E88" s="5">
        <f>LOOKUP(D88,'AMFI DATA_2023H1'!B:D,'AMFI DATA_2023H1'!D:D)</f>
        <v>6707.84</v>
      </c>
      <c r="F88" s="7">
        <f t="shared" si="0"/>
        <v>0.5951483637057533</v>
      </c>
      <c r="G88" s="8">
        <v>10700</v>
      </c>
      <c r="H88" s="8">
        <v>10591</v>
      </c>
      <c r="I88" s="8">
        <v>10546</v>
      </c>
      <c r="J88" s="8">
        <v>10675</v>
      </c>
      <c r="K88" s="8">
        <v>10859</v>
      </c>
      <c r="L88" s="8">
        <v>10750</v>
      </c>
      <c r="M88" s="8"/>
      <c r="N88" s="8"/>
      <c r="O88" s="8"/>
      <c r="P88" s="8"/>
      <c r="Q88" s="9">
        <f ca="1">IFERROR(__xludf.DUMMYFUNCTION("GOOGLEFINANCE(C88,""changepct"")"),2.09)</f>
        <v>2.09</v>
      </c>
      <c r="R88" s="8"/>
      <c r="S88" s="8"/>
      <c r="T88" s="8"/>
      <c r="U88" s="8"/>
      <c r="V88" s="8"/>
      <c r="W88" s="8"/>
    </row>
    <row r="89" spans="1:23" ht="14.4">
      <c r="A89" s="3">
        <f>LOOKUP(D89,'AMFI DATA_2023H1'!B:C,'AMFI DATA_2023H1'!C:C)</f>
        <v>2063</v>
      </c>
      <c r="B89" s="4" t="s">
        <v>4838</v>
      </c>
      <c r="C89" s="4" t="s">
        <v>4839</v>
      </c>
      <c r="D89" s="5" t="s">
        <v>4840</v>
      </c>
      <c r="E89" s="5">
        <f>LOOKUP(D89,'AMFI DATA_2023H1'!B:D,'AMFI DATA_2023H1'!D:D)</f>
        <v>128.59</v>
      </c>
      <c r="F89" s="7">
        <f t="shared" si="0"/>
        <v>0.70308733182984673</v>
      </c>
      <c r="G89" s="9">
        <v>219</v>
      </c>
      <c r="H89" s="9">
        <v>217</v>
      </c>
      <c r="I89" s="9">
        <v>220</v>
      </c>
      <c r="J89" s="9">
        <v>221</v>
      </c>
      <c r="K89" s="9">
        <v>226</v>
      </c>
      <c r="L89" s="9">
        <v>212</v>
      </c>
      <c r="M89" s="9"/>
      <c r="N89" s="9"/>
      <c r="O89" s="9"/>
      <c r="P89" s="9"/>
      <c r="Q89" s="9">
        <f ca="1">IFERROR(__xludf.DUMMYFUNCTION("GOOGLEFINANCE(C89,""changepct"")"),1.07)</f>
        <v>1.07</v>
      </c>
      <c r="R89" s="9"/>
      <c r="S89" s="9"/>
      <c r="T89" s="9"/>
      <c r="U89" s="9"/>
      <c r="V89" s="9"/>
      <c r="W89" s="9"/>
    </row>
    <row r="90" spans="1:23" ht="14.4">
      <c r="A90" s="3">
        <f>LOOKUP(D90,'AMFI DATA_2023H1'!B:C,'AMFI DATA_2023H1'!C:C)</f>
        <v>1941</v>
      </c>
      <c r="B90" s="4" t="s">
        <v>4766</v>
      </c>
      <c r="C90" s="4" t="s">
        <v>4767</v>
      </c>
      <c r="D90" s="5" t="s">
        <v>4768</v>
      </c>
      <c r="E90" s="5">
        <f>LOOKUP(D90,'AMFI DATA_2023H1'!B:D,'AMFI DATA_2023H1'!D:D)</f>
        <v>156.94999999999999</v>
      </c>
      <c r="F90" s="7">
        <f t="shared" si="0"/>
        <v>0.17871933736858892</v>
      </c>
      <c r="G90" s="9">
        <v>185</v>
      </c>
      <c r="H90" s="9">
        <v>181</v>
      </c>
      <c r="I90" s="9">
        <v>182</v>
      </c>
      <c r="J90" s="9">
        <v>180</v>
      </c>
      <c r="K90" s="9">
        <v>182</v>
      </c>
      <c r="L90" s="9">
        <v>179</v>
      </c>
      <c r="M90" s="9"/>
      <c r="N90" s="9"/>
      <c r="O90" s="9"/>
      <c r="P90" s="9"/>
      <c r="Q90" s="9">
        <f ca="1">IFERROR(__xludf.DUMMYFUNCTION("GOOGLEFINANCE(C90,""changepct"")"),-0.87)</f>
        <v>-0.87</v>
      </c>
      <c r="R90" s="9"/>
      <c r="S90" s="9"/>
      <c r="T90" s="9"/>
      <c r="U90" s="9"/>
      <c r="V90" s="9"/>
      <c r="W90" s="9"/>
    </row>
    <row r="91" spans="1:23" ht="14.4">
      <c r="A91" s="3">
        <f>LOOKUP(D91,'AMFI DATA_2023H1'!B:C,'AMFI DATA_2023H1'!C:C)</f>
        <v>3992</v>
      </c>
      <c r="B91" s="4" t="s">
        <v>5758</v>
      </c>
      <c r="C91" s="4" t="s">
        <v>5759</v>
      </c>
      <c r="D91" s="5" t="s">
        <v>5760</v>
      </c>
      <c r="E91" s="5">
        <f>LOOKUP(D91,'AMFI DATA_2023H1'!B:D,'AMFI DATA_2023H1'!D:D)</f>
        <v>7.07</v>
      </c>
      <c r="F91" s="7">
        <f t="shared" si="0"/>
        <v>0.19236209335219234</v>
      </c>
      <c r="G91" s="9">
        <v>8.43</v>
      </c>
      <c r="H91" s="9">
        <v>8.48</v>
      </c>
      <c r="I91" s="9">
        <v>8.42</v>
      </c>
      <c r="J91" s="9">
        <v>8.1999999999999993</v>
      </c>
      <c r="K91" s="9">
        <v>8.2899999999999991</v>
      </c>
      <c r="L91" s="9">
        <v>8.2100000000000009</v>
      </c>
      <c r="M91" s="9"/>
      <c r="N91" s="9"/>
      <c r="O91" s="9"/>
      <c r="P91" s="9"/>
      <c r="Q91" s="9">
        <f ca="1">IFERROR(__xludf.DUMMYFUNCTION("GOOGLEFINANCE(C91,""changepct"")"),2.17)</f>
        <v>2.17</v>
      </c>
      <c r="R91" s="9"/>
      <c r="S91" s="9"/>
      <c r="T91" s="9"/>
      <c r="U91" s="9"/>
      <c r="V91" s="9"/>
      <c r="W91" s="9"/>
    </row>
    <row r="92" spans="1:23" ht="14.4">
      <c r="A92" s="3">
        <f>LOOKUP(D92,'AMFI DATA_2023H1'!B:C,'AMFI DATA_2023H1'!C:C)</f>
        <v>2399</v>
      </c>
      <c r="B92" s="4" t="s">
        <v>1137</v>
      </c>
      <c r="C92" s="4" t="s">
        <v>1138</v>
      </c>
      <c r="D92" s="5" t="s">
        <v>1139</v>
      </c>
      <c r="E92" s="5">
        <f>LOOKUP(D92,'AMFI DATA_2023H1'!B:D,'AMFI DATA_2023H1'!D:D)</f>
        <v>73.06</v>
      </c>
      <c r="F92" s="7">
        <f t="shared" si="0"/>
        <v>191.8415001368738</v>
      </c>
      <c r="G92" s="8">
        <v>14089</v>
      </c>
      <c r="H92" s="8">
        <v>13945</v>
      </c>
      <c r="I92" s="8">
        <v>14005</v>
      </c>
      <c r="J92" s="8">
        <v>13855</v>
      </c>
      <c r="K92" s="8">
        <v>13131</v>
      </c>
      <c r="L92" s="8">
        <v>12996</v>
      </c>
      <c r="M92" s="8"/>
      <c r="N92" s="8"/>
      <c r="O92" s="8"/>
      <c r="P92" s="8"/>
      <c r="Q92" s="9">
        <f ca="1">IFERROR(__xludf.DUMMYFUNCTION("GOOGLEFINANCE(C92,""changepct"")"),-0.05)</f>
        <v>-0.05</v>
      </c>
      <c r="R92" s="8"/>
      <c r="S92" s="8"/>
      <c r="T92" s="8"/>
      <c r="U92" s="8"/>
      <c r="V92" s="8"/>
      <c r="W92" s="8"/>
    </row>
    <row r="93" spans="1:23" ht="14.4">
      <c r="A93" s="3">
        <f>LOOKUP(D93,'AMFI DATA_2023H1'!B:C,'AMFI DATA_2023H1'!C:C)</f>
        <v>437</v>
      </c>
      <c r="B93" s="4" t="s">
        <v>1269</v>
      </c>
      <c r="C93" s="4" t="s">
        <v>1270</v>
      </c>
      <c r="D93" s="5" t="s">
        <v>1271</v>
      </c>
      <c r="E93" s="5">
        <f>LOOKUP(D93,'AMFI DATA_2023H1'!B:D,'AMFI DATA_2023H1'!D:D)</f>
        <v>6596.88</v>
      </c>
      <c r="F93" s="7">
        <f t="shared" si="0"/>
        <v>0.60378845757388344</v>
      </c>
      <c r="G93" s="8">
        <v>10580</v>
      </c>
      <c r="H93" s="8">
        <v>10563</v>
      </c>
      <c r="I93" s="8">
        <v>10425</v>
      </c>
      <c r="J93" s="8">
        <v>10538</v>
      </c>
      <c r="K93" s="8">
        <v>10247</v>
      </c>
      <c r="L93" s="8">
        <v>10282</v>
      </c>
      <c r="M93" s="8"/>
      <c r="N93" s="8"/>
      <c r="O93" s="8"/>
      <c r="P93" s="8"/>
      <c r="Q93" s="9">
        <f ca="1">IFERROR(__xludf.DUMMYFUNCTION("GOOGLEFINANCE(C93,""changepct"")"),-3.01)</f>
        <v>-3.01</v>
      </c>
      <c r="R93" s="8"/>
      <c r="S93" s="8"/>
      <c r="T93" s="8"/>
      <c r="U93" s="8"/>
      <c r="V93" s="8"/>
      <c r="W93" s="8"/>
    </row>
    <row r="94" spans="1:23" ht="14.4">
      <c r="A94" s="3">
        <f>LOOKUP(D94,'AMFI DATA_2023H1'!B:C,'AMFI DATA_2023H1'!C:C)</f>
        <v>2748</v>
      </c>
      <c r="B94" s="4" t="s">
        <v>5428</v>
      </c>
      <c r="C94" s="4" t="s">
        <v>5429</v>
      </c>
      <c r="D94" s="5" t="s">
        <v>5430</v>
      </c>
      <c r="E94" s="5">
        <f>LOOKUP(D94,'AMFI DATA_2023H1'!B:D,'AMFI DATA_2023H1'!D:D)</f>
        <v>43.21</v>
      </c>
      <c r="F94" s="7">
        <f t="shared" si="0"/>
        <v>0.19416801666280947</v>
      </c>
      <c r="G94" s="9">
        <v>51.6</v>
      </c>
      <c r="H94" s="9">
        <v>51.4</v>
      </c>
      <c r="I94" s="9">
        <v>50.8</v>
      </c>
      <c r="J94" s="9">
        <v>53.2</v>
      </c>
      <c r="K94" s="9">
        <v>56.2</v>
      </c>
      <c r="L94" s="9">
        <v>54.6</v>
      </c>
      <c r="M94" s="9"/>
      <c r="N94" s="9"/>
      <c r="O94" s="9"/>
      <c r="P94" s="9"/>
      <c r="Q94" s="9">
        <f ca="1">IFERROR(__xludf.DUMMYFUNCTION("GOOGLEFINANCE(C94,""changepct"")"),-1.46)</f>
        <v>-1.46</v>
      </c>
      <c r="R94" s="9"/>
      <c r="S94" s="9"/>
      <c r="T94" s="9"/>
      <c r="U94" s="9"/>
      <c r="V94" s="9"/>
      <c r="W94" s="9"/>
    </row>
    <row r="95" spans="1:23" ht="14.4">
      <c r="A95" s="3">
        <f>LOOKUP(D95,'AMFI DATA_2023H1'!B:C,'AMFI DATA_2023H1'!C:C)</f>
        <v>1104</v>
      </c>
      <c r="B95" s="4" t="s">
        <v>3461</v>
      </c>
      <c r="C95" s="4" t="s">
        <v>3462</v>
      </c>
      <c r="D95" s="5" t="s">
        <v>3463</v>
      </c>
      <c r="E95" s="5">
        <f>LOOKUP(D95,'AMFI DATA_2023H1'!B:D,'AMFI DATA_2023H1'!D:D)</f>
        <v>863.44</v>
      </c>
      <c r="F95" s="7">
        <f t="shared" si="0"/>
        <v>0.13383674603909945</v>
      </c>
      <c r="G95" s="9">
        <v>979</v>
      </c>
      <c r="H95" s="9">
        <v>984</v>
      </c>
      <c r="I95" s="9">
        <v>989</v>
      </c>
      <c r="J95" s="9">
        <v>984</v>
      </c>
      <c r="K95" s="9">
        <v>975</v>
      </c>
      <c r="L95" s="9">
        <v>997</v>
      </c>
      <c r="M95" s="9"/>
      <c r="N95" s="9"/>
      <c r="O95" s="9"/>
      <c r="P95" s="9"/>
      <c r="Q95" s="9">
        <f ca="1">IFERROR(__xludf.DUMMYFUNCTION("GOOGLEFINANCE(C95,""changepct"")"),-0.34)</f>
        <v>-0.34</v>
      </c>
      <c r="R95" s="9"/>
      <c r="S95" s="9"/>
      <c r="T95" s="9"/>
      <c r="U95" s="9"/>
      <c r="V95" s="9"/>
      <c r="W95" s="9"/>
    </row>
    <row r="96" spans="1:23" ht="14.4">
      <c r="A96" s="3">
        <f>LOOKUP(D96,'AMFI DATA_2023H1'!B:C,'AMFI DATA_2023H1'!C:C)</f>
        <v>63</v>
      </c>
      <c r="B96" s="4" t="s">
        <v>219</v>
      </c>
      <c r="C96" s="4" t="s">
        <v>220</v>
      </c>
      <c r="D96" s="5" t="s">
        <v>221</v>
      </c>
      <c r="E96" s="5">
        <f>LOOKUP(D96,'AMFI DATA_2023H1'!B:D,'AMFI DATA_2023H1'!D:D)</f>
        <v>81731.11</v>
      </c>
      <c r="F96" s="7">
        <f t="shared" si="0"/>
        <v>0.29904023082520226</v>
      </c>
      <c r="G96" s="8">
        <v>106172</v>
      </c>
      <c r="H96" s="8">
        <v>103442</v>
      </c>
      <c r="I96" s="8">
        <v>102112</v>
      </c>
      <c r="J96" s="8">
        <v>102559</v>
      </c>
      <c r="K96" s="8">
        <v>100345</v>
      </c>
      <c r="L96" s="8">
        <v>100037</v>
      </c>
      <c r="M96" s="8"/>
      <c r="N96" s="8"/>
      <c r="O96" s="8"/>
      <c r="P96" s="8"/>
      <c r="Q96" s="9">
        <f ca="1">IFERROR(__xludf.DUMMYFUNCTION("GOOGLEFINANCE(C96,""changepct"")"),3.02)</f>
        <v>3.02</v>
      </c>
      <c r="R96" s="8"/>
      <c r="S96" s="8"/>
      <c r="T96" s="8"/>
      <c r="U96" s="8"/>
      <c r="V96" s="8"/>
      <c r="W96" s="8"/>
    </row>
    <row r="97" spans="1:23" ht="14.4">
      <c r="A97" s="3">
        <f>LOOKUP(D97,'AMFI DATA_2023H1'!B:C,'AMFI DATA_2023H1'!C:C)</f>
        <v>2169</v>
      </c>
      <c r="B97" s="4" t="s">
        <v>5036</v>
      </c>
      <c r="C97" s="4" t="s">
        <v>5037</v>
      </c>
      <c r="D97" s="5" t="s">
        <v>5038</v>
      </c>
      <c r="E97" s="5">
        <f>LOOKUP(D97,'AMFI DATA_2023H1'!B:D,'AMFI DATA_2023H1'!D:D)</f>
        <v>108.9</v>
      </c>
      <c r="F97" s="7">
        <f t="shared" si="0"/>
        <v>0.4049586776859504</v>
      </c>
      <c r="G97" s="9">
        <v>153</v>
      </c>
      <c r="H97" s="9">
        <v>153</v>
      </c>
      <c r="I97" s="9">
        <v>150</v>
      </c>
      <c r="J97" s="9">
        <v>154</v>
      </c>
      <c r="K97" s="9">
        <v>155</v>
      </c>
      <c r="L97" s="9">
        <v>155</v>
      </c>
      <c r="M97" s="9"/>
      <c r="N97" s="9"/>
      <c r="O97" s="9"/>
      <c r="P97" s="9"/>
      <c r="Q97" s="9">
        <f ca="1">IFERROR(__xludf.DUMMYFUNCTION("GOOGLEFINANCE(C97,""changepct"")"),5.08)</f>
        <v>5.08</v>
      </c>
      <c r="R97" s="9"/>
      <c r="S97" s="9"/>
      <c r="T97" s="9"/>
      <c r="U97" s="9"/>
      <c r="V97" s="9"/>
      <c r="W97" s="9"/>
    </row>
    <row r="98" spans="1:23" ht="14.4">
      <c r="A98" s="3">
        <f>LOOKUP(D98,'AMFI DATA_2023H1'!B:C,'AMFI DATA_2023H1'!C:C)</f>
        <v>599</v>
      </c>
      <c r="B98" s="4" t="s">
        <v>1929</v>
      </c>
      <c r="C98" s="4" t="s">
        <v>1930</v>
      </c>
      <c r="D98" s="5" t="s">
        <v>1931</v>
      </c>
      <c r="E98" s="5">
        <f>LOOKUP(D98,'AMFI DATA_2023H1'!B:D,'AMFI DATA_2023H1'!D:D)</f>
        <v>3733.25</v>
      </c>
      <c r="F98" s="7">
        <f t="shared" si="0"/>
        <v>0.13252527958213345</v>
      </c>
      <c r="G98" s="8">
        <v>4228</v>
      </c>
      <c r="H98" s="8">
        <v>4138</v>
      </c>
      <c r="I98" s="8">
        <v>4249</v>
      </c>
      <c r="J98" s="8">
        <v>4359</v>
      </c>
      <c r="K98" s="8">
        <v>4339</v>
      </c>
      <c r="L98" s="8">
        <v>4427</v>
      </c>
      <c r="M98" s="8"/>
      <c r="N98" s="8"/>
      <c r="O98" s="8"/>
      <c r="P98" s="8"/>
      <c r="Q98" s="9">
        <f ca="1">IFERROR(__xludf.DUMMYFUNCTION("GOOGLEFINANCE(C98,""changepct"")"),-0.45)</f>
        <v>-0.45</v>
      </c>
      <c r="R98" s="8"/>
      <c r="S98" s="8"/>
      <c r="T98" s="8"/>
      <c r="U98" s="8"/>
      <c r="V98" s="8"/>
      <c r="W98" s="8"/>
    </row>
    <row r="99" spans="1:23" ht="14.4">
      <c r="A99" s="3">
        <f>LOOKUP(D99,'AMFI DATA_2023H1'!B:C,'AMFI DATA_2023H1'!C:C)</f>
        <v>2198</v>
      </c>
      <c r="B99" s="4" t="s">
        <v>3578</v>
      </c>
      <c r="C99" s="4" t="s">
        <v>3579</v>
      </c>
      <c r="D99" s="5" t="s">
        <v>3580</v>
      </c>
      <c r="E99" s="5">
        <f>LOOKUP(D99,'AMFI DATA_2023H1'!B:D,'AMFI DATA_2023H1'!D:D)</f>
        <v>103.8</v>
      </c>
      <c r="F99" s="7">
        <f t="shared" si="0"/>
        <v>7.9113680154142578</v>
      </c>
      <c r="G99" s="9">
        <v>925</v>
      </c>
      <c r="H99" s="9">
        <v>922</v>
      </c>
      <c r="I99" s="9">
        <v>927</v>
      </c>
      <c r="J99" s="9">
        <v>924</v>
      </c>
      <c r="K99" s="9">
        <v>917</v>
      </c>
      <c r="L99" s="9">
        <v>873</v>
      </c>
      <c r="M99" s="9"/>
      <c r="N99" s="9"/>
      <c r="O99" s="9"/>
      <c r="P99" s="9"/>
      <c r="Q99" s="9">
        <f ca="1">IFERROR(__xludf.DUMMYFUNCTION("GOOGLEFINANCE(C99,""changepct"")"),-1.02)</f>
        <v>-1.02</v>
      </c>
      <c r="R99" s="9"/>
      <c r="S99" s="9"/>
      <c r="T99" s="9"/>
      <c r="U99" s="9"/>
      <c r="V99" s="9"/>
      <c r="W99" s="9"/>
    </row>
    <row r="100" spans="1:23" ht="14.4">
      <c r="A100" s="3">
        <f>LOOKUP(D100,'AMFI DATA_2023H1'!B:C,'AMFI DATA_2023H1'!C:C)</f>
        <v>2198</v>
      </c>
      <c r="B100" s="4" t="s">
        <v>5003</v>
      </c>
      <c r="C100" s="4" t="s">
        <v>5004</v>
      </c>
      <c r="D100" s="5" t="s">
        <v>5005</v>
      </c>
      <c r="E100" s="5">
        <f>LOOKUP(D100,'AMFI DATA_2023H1'!B:D,'AMFI DATA_2023H1'!D:D)</f>
        <v>103.8</v>
      </c>
      <c r="F100" s="7">
        <f t="shared" si="0"/>
        <v>0.61849710982658967</v>
      </c>
      <c r="G100" s="9">
        <v>168</v>
      </c>
      <c r="H100" s="9">
        <v>167</v>
      </c>
      <c r="I100" s="9">
        <v>160</v>
      </c>
      <c r="J100" s="9">
        <v>156</v>
      </c>
      <c r="K100" s="9">
        <v>155</v>
      </c>
      <c r="L100" s="9">
        <v>158</v>
      </c>
      <c r="M100" s="9"/>
      <c r="N100" s="9"/>
      <c r="O100" s="9"/>
      <c r="P100" s="9"/>
      <c r="Q100" s="9">
        <f ca="1">IFERROR(__xludf.DUMMYFUNCTION("GOOGLEFINANCE(C100,""changepct"")"),8.15)</f>
        <v>8.15</v>
      </c>
      <c r="R100" s="9"/>
      <c r="S100" s="9"/>
      <c r="T100" s="9"/>
      <c r="U100" s="9"/>
      <c r="V100" s="9"/>
      <c r="W100" s="9"/>
    </row>
    <row r="101" spans="1:23" ht="14.4">
      <c r="A101" s="3">
        <f>LOOKUP(D101,'AMFI DATA_2023H1'!B:C,'AMFI DATA_2023H1'!C:C)</f>
        <v>815</v>
      </c>
      <c r="B101" s="4" t="s">
        <v>2795</v>
      </c>
      <c r="C101" s="4" t="s">
        <v>2796</v>
      </c>
      <c r="D101" s="5" t="s">
        <v>2797</v>
      </c>
      <c r="E101" s="5">
        <f>LOOKUP(D101,'AMFI DATA_2023H1'!B:D,'AMFI DATA_2023H1'!D:D)</f>
        <v>1866.9</v>
      </c>
      <c r="F101" s="7">
        <f t="shared" si="0"/>
        <v>-3.4763511703894245E-2</v>
      </c>
      <c r="G101" s="8">
        <v>1802</v>
      </c>
      <c r="H101" s="8">
        <v>1752</v>
      </c>
      <c r="I101" s="8">
        <v>1757</v>
      </c>
      <c r="J101" s="8">
        <v>1760</v>
      </c>
      <c r="K101" s="8">
        <v>1755</v>
      </c>
      <c r="L101" s="8">
        <v>1752</v>
      </c>
      <c r="M101" s="8"/>
      <c r="N101" s="8"/>
      <c r="O101" s="8"/>
      <c r="P101" s="8"/>
      <c r="Q101" s="9">
        <f ca="1">IFERROR(__xludf.DUMMYFUNCTION("GOOGLEFINANCE(C101,""changepct"")"),-0.55)</f>
        <v>-0.55000000000000004</v>
      </c>
      <c r="R101" s="8"/>
      <c r="S101" s="8"/>
      <c r="T101" s="8"/>
      <c r="U101" s="8"/>
      <c r="V101" s="8"/>
      <c r="W101" s="8"/>
    </row>
    <row r="102" spans="1:23" ht="14.4">
      <c r="A102" s="3">
        <f>LOOKUP(D102,'AMFI DATA_2023H1'!B:C,'AMFI DATA_2023H1'!C:C)</f>
        <v>622</v>
      </c>
      <c r="B102" s="4" t="s">
        <v>1494</v>
      </c>
      <c r="C102" s="4" t="s">
        <v>1495</v>
      </c>
      <c r="D102" s="5" t="s">
        <v>1496</v>
      </c>
      <c r="E102" s="5">
        <f>LOOKUP(D102,'AMFI DATA_2023H1'!B:D,'AMFI DATA_2023H1'!D:D)</f>
        <v>3427.72</v>
      </c>
      <c r="F102" s="7">
        <f t="shared" si="0"/>
        <v>2.1262763586290596</v>
      </c>
      <c r="G102" s="8">
        <v>10716</v>
      </c>
      <c r="H102" s="8">
        <v>10826</v>
      </c>
      <c r="I102" s="8">
        <v>10457</v>
      </c>
      <c r="J102" s="8">
        <v>10739</v>
      </c>
      <c r="K102" s="8">
        <v>10830</v>
      </c>
      <c r="L102" s="8">
        <v>10773</v>
      </c>
      <c r="M102" s="8"/>
      <c r="N102" s="8"/>
      <c r="O102" s="8"/>
      <c r="P102" s="8"/>
      <c r="Q102" s="9">
        <f ca="1">IFERROR(__xludf.DUMMYFUNCTION("GOOGLEFINANCE(C102,""changepct"")"),-0.62)</f>
        <v>-0.62</v>
      </c>
      <c r="R102" s="8"/>
      <c r="S102" s="8"/>
      <c r="T102" s="8"/>
      <c r="U102" s="8"/>
      <c r="V102" s="8"/>
      <c r="W102" s="8"/>
    </row>
    <row r="103" spans="1:23" ht="14.4">
      <c r="A103" s="3">
        <f>LOOKUP(D103,'AMFI DATA_2023H1'!B:C,'AMFI DATA_2023H1'!C:C)</f>
        <v>559</v>
      </c>
      <c r="B103" s="4" t="s">
        <v>1473</v>
      </c>
      <c r="C103" s="4" t="s">
        <v>1474</v>
      </c>
      <c r="D103" s="5" t="s">
        <v>1475</v>
      </c>
      <c r="E103" s="5">
        <f>LOOKUP(D103,'AMFI DATA_2023H1'!B:D,'AMFI DATA_2023H1'!D:D)</f>
        <v>4243.3100000000004</v>
      </c>
      <c r="F103" s="7">
        <f t="shared" si="0"/>
        <v>1.2786456799055452</v>
      </c>
      <c r="G103" s="8">
        <v>9669</v>
      </c>
      <c r="H103" s="8">
        <v>9556</v>
      </c>
      <c r="I103" s="8">
        <v>9472</v>
      </c>
      <c r="J103" s="8">
        <v>9579</v>
      </c>
      <c r="K103" s="8">
        <v>9689</v>
      </c>
      <c r="L103" s="8">
        <v>9825</v>
      </c>
      <c r="M103" s="8"/>
      <c r="N103" s="8"/>
      <c r="O103" s="8"/>
      <c r="P103" s="8"/>
      <c r="Q103" s="9">
        <f ca="1">IFERROR(__xludf.DUMMYFUNCTION("GOOGLEFINANCE(C103,""changepct"")"),-0.42)</f>
        <v>-0.42</v>
      </c>
      <c r="R103" s="8"/>
      <c r="S103" s="8"/>
      <c r="T103" s="8"/>
      <c r="U103" s="8"/>
      <c r="V103" s="8"/>
      <c r="W103" s="8"/>
    </row>
    <row r="104" spans="1:23" ht="14.4">
      <c r="A104" s="3">
        <f>LOOKUP(D104,'AMFI DATA_2023H1'!B:C,'AMFI DATA_2023H1'!C:C)</f>
        <v>1314</v>
      </c>
      <c r="B104" s="4" t="s">
        <v>3467</v>
      </c>
      <c r="C104" s="4" t="s">
        <v>3468</v>
      </c>
      <c r="D104" s="5" t="s">
        <v>3469</v>
      </c>
      <c r="E104" s="5">
        <f>LOOKUP(D104,'AMFI DATA_2023H1'!B:D,'AMFI DATA_2023H1'!D:D)</f>
        <v>494.76</v>
      </c>
      <c r="F104" s="7">
        <f t="shared" si="0"/>
        <v>1.1222410865874362</v>
      </c>
      <c r="G104" s="8">
        <v>1050</v>
      </c>
      <c r="H104" s="8">
        <v>1004</v>
      </c>
      <c r="I104" s="8">
        <v>1024</v>
      </c>
      <c r="J104" s="8">
        <v>1008</v>
      </c>
      <c r="K104" s="8">
        <v>1022</v>
      </c>
      <c r="L104" s="8">
        <v>1000</v>
      </c>
      <c r="M104" s="8"/>
      <c r="N104" s="8"/>
      <c r="O104" s="8"/>
      <c r="P104" s="8"/>
      <c r="Q104" s="9">
        <f ca="1">IFERROR(__xludf.DUMMYFUNCTION("GOOGLEFINANCE(C104,""changepct"")"),-1.56)</f>
        <v>-1.56</v>
      </c>
      <c r="R104" s="8"/>
      <c r="S104" s="8"/>
      <c r="T104" s="8"/>
      <c r="U104" s="8"/>
      <c r="V104" s="8"/>
      <c r="W104" s="8"/>
    </row>
    <row r="105" spans="1:23" ht="14.4">
      <c r="A105" s="3">
        <f>LOOKUP(D105,'AMFI DATA_2023H1'!B:C,'AMFI DATA_2023H1'!C:C)</f>
        <v>849</v>
      </c>
      <c r="B105" s="4" t="s">
        <v>2663</v>
      </c>
      <c r="C105" s="4" t="s">
        <v>2664</v>
      </c>
      <c r="D105" s="5" t="s">
        <v>2665</v>
      </c>
      <c r="E105" s="5">
        <f>LOOKUP(D105,'AMFI DATA_2023H1'!B:D,'AMFI DATA_2023H1'!D:D)</f>
        <v>1726.49</v>
      </c>
      <c r="F105" s="7">
        <f t="shared" si="0"/>
        <v>0.38604915174718646</v>
      </c>
      <c r="G105" s="8">
        <v>2393</v>
      </c>
      <c r="H105" s="8">
        <v>2425</v>
      </c>
      <c r="I105" s="8">
        <v>2419</v>
      </c>
      <c r="J105" s="8">
        <v>2418</v>
      </c>
      <c r="K105" s="8">
        <v>2416</v>
      </c>
      <c r="L105" s="8">
        <v>2350</v>
      </c>
      <c r="M105" s="8"/>
      <c r="N105" s="8"/>
      <c r="O105" s="8"/>
      <c r="P105" s="8"/>
      <c r="Q105" s="9">
        <f ca="1">IFERROR(__xludf.DUMMYFUNCTION("GOOGLEFINANCE(C105,""changepct"")"),-0.51)</f>
        <v>-0.51</v>
      </c>
      <c r="R105" s="8"/>
      <c r="S105" s="8"/>
      <c r="T105" s="8"/>
      <c r="U105" s="8"/>
      <c r="V105" s="8"/>
      <c r="W105" s="8"/>
    </row>
    <row r="106" spans="1:23" ht="14.4">
      <c r="A106" s="3">
        <f>LOOKUP(D106,'AMFI DATA_2023H1'!B:C,'AMFI DATA_2023H1'!C:C)</f>
        <v>338</v>
      </c>
      <c r="B106" s="4" t="s">
        <v>852</v>
      </c>
      <c r="C106" s="4" t="s">
        <v>853</v>
      </c>
      <c r="D106" s="5" t="s">
        <v>854</v>
      </c>
      <c r="E106" s="5">
        <f>LOOKUP(D106,'AMFI DATA_2023H1'!B:D,'AMFI DATA_2023H1'!D:D)</f>
        <v>10521.55</v>
      </c>
      <c r="F106" s="7">
        <f t="shared" si="0"/>
        <v>1.8599398377615466</v>
      </c>
      <c r="G106" s="8">
        <v>30091</v>
      </c>
      <c r="H106" s="8">
        <v>29294</v>
      </c>
      <c r="I106" s="8">
        <v>28700</v>
      </c>
      <c r="J106" s="8">
        <v>27880</v>
      </c>
      <c r="K106" s="8">
        <v>27627</v>
      </c>
      <c r="L106" s="8">
        <v>27637</v>
      </c>
      <c r="M106" s="8"/>
      <c r="N106" s="8"/>
      <c r="O106" s="8"/>
      <c r="P106" s="8"/>
      <c r="Q106" s="9">
        <f ca="1">IFERROR(__xludf.DUMMYFUNCTION("GOOGLEFINANCE(C106,""changepct"")"),-1.11)</f>
        <v>-1.1100000000000001</v>
      </c>
      <c r="R106" s="8"/>
      <c r="S106" s="8"/>
      <c r="T106" s="8"/>
      <c r="U106" s="8"/>
      <c r="V106" s="8"/>
      <c r="W106" s="8"/>
    </row>
    <row r="107" spans="1:23" ht="14.4">
      <c r="A107" s="3">
        <f>LOOKUP(D107,'AMFI DATA_2023H1'!B:C,'AMFI DATA_2023H1'!C:C)</f>
        <v>2252</v>
      </c>
      <c r="B107" s="4" t="s">
        <v>5111</v>
      </c>
      <c r="C107" s="4" t="s">
        <v>5112</v>
      </c>
      <c r="D107" s="5" t="s">
        <v>5113</v>
      </c>
      <c r="E107" s="5">
        <f>LOOKUP(D107,'AMFI DATA_2023H1'!B:D,'AMFI DATA_2023H1'!D:D)</f>
        <v>94.18</v>
      </c>
      <c r="F107" s="7">
        <f t="shared" si="0"/>
        <v>0.4971331492885962</v>
      </c>
      <c r="G107" s="9">
        <v>141</v>
      </c>
      <c r="H107" s="9">
        <v>137</v>
      </c>
      <c r="I107" s="9">
        <v>134</v>
      </c>
      <c r="J107" s="9">
        <v>132</v>
      </c>
      <c r="K107" s="9">
        <v>131</v>
      </c>
      <c r="L107" s="9">
        <v>132</v>
      </c>
      <c r="M107" s="9"/>
      <c r="N107" s="9"/>
      <c r="O107" s="9"/>
      <c r="P107" s="9"/>
      <c r="Q107" s="9">
        <f ca="1">IFERROR(__xludf.DUMMYFUNCTION("GOOGLEFINANCE(C107,""changepct"")"),0.52)</f>
        <v>0.52</v>
      </c>
      <c r="R107" s="9"/>
      <c r="S107" s="9"/>
      <c r="T107" s="9"/>
      <c r="U107" s="9"/>
      <c r="V107" s="9"/>
      <c r="W107" s="9"/>
    </row>
    <row r="108" spans="1:23" ht="14.4">
      <c r="A108" s="3">
        <f>LOOKUP(D108,'AMFI DATA_2023H1'!B:C,'AMFI DATA_2023H1'!C:C)</f>
        <v>1289</v>
      </c>
      <c r="B108" s="4" t="s">
        <v>3848</v>
      </c>
      <c r="C108" s="4" t="s">
        <v>3849</v>
      </c>
      <c r="D108" s="5" t="s">
        <v>3850</v>
      </c>
      <c r="E108" s="5">
        <f>LOOKUP(D108,'AMFI DATA_2023H1'!B:D,'AMFI DATA_2023H1'!D:D)</f>
        <v>545.16</v>
      </c>
      <c r="F108" s="7">
        <f t="shared" si="0"/>
        <v>0.14278376990241393</v>
      </c>
      <c r="G108" s="9">
        <v>623</v>
      </c>
      <c r="H108" s="9">
        <v>624</v>
      </c>
      <c r="I108" s="9">
        <v>620</v>
      </c>
      <c r="J108" s="9">
        <v>628</v>
      </c>
      <c r="K108" s="9">
        <v>631</v>
      </c>
      <c r="L108" s="9">
        <v>622</v>
      </c>
      <c r="M108" s="9"/>
      <c r="N108" s="9"/>
      <c r="O108" s="9"/>
      <c r="P108" s="9"/>
      <c r="Q108" s="9">
        <f ca="1">IFERROR(__xludf.DUMMYFUNCTION("GOOGLEFINANCE(C108,""changepct"")"),1.16)</f>
        <v>1.1599999999999999</v>
      </c>
      <c r="R108" s="9"/>
      <c r="S108" s="9"/>
      <c r="T108" s="9"/>
      <c r="U108" s="9"/>
      <c r="V108" s="9"/>
      <c r="W108" s="9"/>
    </row>
    <row r="109" spans="1:23" ht="14.4">
      <c r="A109" s="3">
        <f>LOOKUP(D109,'AMFI DATA_2023H1'!B:C,'AMFI DATA_2023H1'!C:C)</f>
        <v>2503</v>
      </c>
      <c r="B109" s="4" t="s">
        <v>5446</v>
      </c>
      <c r="C109" s="4" t="s">
        <v>5447</v>
      </c>
      <c r="D109" s="5" t="s">
        <v>5448</v>
      </c>
      <c r="E109" s="5">
        <f>LOOKUP(D109,'AMFI DATA_2023H1'!B:D,'AMFI DATA_2023H1'!D:D)</f>
        <v>63.53</v>
      </c>
      <c r="F109" s="7">
        <f t="shared" si="0"/>
        <v>6.8786400125924851E-2</v>
      </c>
      <c r="G109" s="9">
        <v>67.900000000000006</v>
      </c>
      <c r="H109" s="9">
        <v>71.400000000000006</v>
      </c>
      <c r="I109" s="9">
        <v>72</v>
      </c>
      <c r="J109" s="9">
        <v>69.099999999999994</v>
      </c>
      <c r="K109" s="9">
        <v>63.4</v>
      </c>
      <c r="L109" s="9">
        <v>63.5</v>
      </c>
      <c r="M109" s="9"/>
      <c r="N109" s="9"/>
      <c r="O109" s="9"/>
      <c r="P109" s="9"/>
      <c r="Q109" s="9">
        <f ca="1">IFERROR(__xludf.DUMMYFUNCTION("GOOGLEFINANCE(C109,""changepct"")"),0)</f>
        <v>0</v>
      </c>
      <c r="R109" s="9"/>
      <c r="S109" s="9"/>
      <c r="T109" s="9"/>
      <c r="U109" s="9"/>
      <c r="V109" s="9"/>
      <c r="W109" s="9"/>
    </row>
    <row r="110" spans="1:23" ht="14.4">
      <c r="A110" s="3">
        <f>LOOKUP(D110,'AMFI DATA_2023H1'!B:C,'AMFI DATA_2023H1'!C:C)</f>
        <v>1738</v>
      </c>
      <c r="B110" s="4" t="s">
        <v>4424</v>
      </c>
      <c r="C110" s="4" t="s">
        <v>4425</v>
      </c>
      <c r="D110" s="5" t="s">
        <v>4426</v>
      </c>
      <c r="E110" s="5">
        <f>LOOKUP(D110,'AMFI DATA_2023H1'!B:D,'AMFI DATA_2023H1'!D:D)</f>
        <v>220.16</v>
      </c>
      <c r="F110" s="7">
        <f t="shared" si="0"/>
        <v>0.65334302325581395</v>
      </c>
      <c r="G110" s="9">
        <v>364</v>
      </c>
      <c r="H110" s="9">
        <v>372</v>
      </c>
      <c r="I110" s="9">
        <v>372</v>
      </c>
      <c r="J110" s="9">
        <v>360</v>
      </c>
      <c r="K110" s="9">
        <v>355</v>
      </c>
      <c r="L110" s="9">
        <v>349</v>
      </c>
      <c r="M110" s="9"/>
      <c r="N110" s="9"/>
      <c r="O110" s="9"/>
      <c r="P110" s="9"/>
      <c r="Q110" s="9">
        <f ca="1">IFERROR(__xludf.DUMMYFUNCTION("GOOGLEFINANCE(C110,""changepct"")"),-0.76)</f>
        <v>-0.76</v>
      </c>
      <c r="R110" s="9"/>
      <c r="S110" s="9"/>
      <c r="T110" s="9"/>
      <c r="U110" s="9"/>
      <c r="V110" s="9"/>
      <c r="W110" s="9"/>
    </row>
    <row r="111" spans="1:23" ht="14.4">
      <c r="A111" s="3">
        <f>LOOKUP(D111,'AMFI DATA_2023H1'!B:C,'AMFI DATA_2023H1'!C:C)</f>
        <v>3682</v>
      </c>
      <c r="B111" s="4" t="s">
        <v>5716</v>
      </c>
      <c r="C111" s="4" t="s">
        <v>5717</v>
      </c>
      <c r="D111" s="5" t="s">
        <v>5718</v>
      </c>
      <c r="E111" s="5">
        <f>LOOKUP(D111,'AMFI DATA_2023H1'!B:D,'AMFI DATA_2023H1'!D:D)</f>
        <v>10.81</v>
      </c>
      <c r="F111" s="7">
        <f t="shared" si="0"/>
        <v>1.1554116558741905</v>
      </c>
      <c r="G111" s="9">
        <v>23.3</v>
      </c>
      <c r="H111" s="9">
        <v>22.5</v>
      </c>
      <c r="I111" s="9">
        <v>23.3</v>
      </c>
      <c r="J111" s="9">
        <v>22.5</v>
      </c>
      <c r="K111" s="9">
        <v>21.7</v>
      </c>
      <c r="L111" s="9">
        <v>20.9</v>
      </c>
      <c r="M111" s="9"/>
      <c r="N111" s="9"/>
      <c r="O111" s="9"/>
      <c r="P111" s="9"/>
      <c r="Q111" s="9">
        <f ca="1">IFERROR(__xludf.DUMMYFUNCTION("GOOGLEFINANCE(C111,""changepct"")"),-6.9)</f>
        <v>-6.9</v>
      </c>
      <c r="R111" s="9"/>
      <c r="S111" s="9"/>
      <c r="T111" s="9"/>
      <c r="U111" s="9"/>
      <c r="V111" s="9"/>
      <c r="W111" s="9"/>
    </row>
    <row r="112" spans="1:23" ht="14.4">
      <c r="A112" s="3">
        <f>LOOKUP(D112,'AMFI DATA_2023H1'!B:C,'AMFI DATA_2023H1'!C:C)</f>
        <v>1164</v>
      </c>
      <c r="B112" s="4" t="s">
        <v>3302</v>
      </c>
      <c r="C112" s="4" t="s">
        <v>3303</v>
      </c>
      <c r="D112" s="5" t="s">
        <v>3304</v>
      </c>
      <c r="E112" s="5">
        <f>LOOKUP(D112,'AMFI DATA_2023H1'!B:D,'AMFI DATA_2023H1'!D:D)</f>
        <v>767.36</v>
      </c>
      <c r="F112" s="7">
        <f t="shared" si="0"/>
        <v>0.83746872393661387</v>
      </c>
      <c r="G112" s="8">
        <v>1410</v>
      </c>
      <c r="H112" s="8">
        <v>1383</v>
      </c>
      <c r="I112" s="8">
        <v>1388</v>
      </c>
      <c r="J112" s="8">
        <v>1405</v>
      </c>
      <c r="K112" s="8">
        <v>1418</v>
      </c>
      <c r="L112" s="8">
        <v>1383</v>
      </c>
      <c r="M112" s="8"/>
      <c r="N112" s="8"/>
      <c r="O112" s="8"/>
      <c r="P112" s="8"/>
      <c r="Q112" s="9">
        <f ca="1">IFERROR(__xludf.DUMMYFUNCTION("GOOGLEFINANCE(C112,""changepct"")"),5.11)</f>
        <v>5.1100000000000003</v>
      </c>
      <c r="R112" s="8"/>
      <c r="S112" s="8"/>
      <c r="T112" s="8"/>
      <c r="U112" s="8"/>
      <c r="V112" s="8"/>
      <c r="W112" s="8"/>
    </row>
    <row r="113" spans="1:23" ht="14.4">
      <c r="A113" s="3">
        <f>LOOKUP(D113,'AMFI DATA_2023H1'!B:C,'AMFI DATA_2023H1'!C:C)</f>
        <v>356</v>
      </c>
      <c r="B113" s="4" t="s">
        <v>1197</v>
      </c>
      <c r="C113" s="4" t="s">
        <v>1198</v>
      </c>
      <c r="D113" s="5" t="s">
        <v>1199</v>
      </c>
      <c r="E113" s="5">
        <f>LOOKUP(D113,'AMFI DATA_2023H1'!B:D,'AMFI DATA_2023H1'!D:D)</f>
        <v>9506.11</v>
      </c>
      <c r="F113" s="7">
        <f t="shared" si="0"/>
        <v>0.21669115968571795</v>
      </c>
      <c r="G113" s="8">
        <v>11566</v>
      </c>
      <c r="H113" s="8">
        <v>11315</v>
      </c>
      <c r="I113" s="8">
        <v>10997</v>
      </c>
      <c r="J113" s="8">
        <v>10875</v>
      </c>
      <c r="K113" s="8">
        <v>10732</v>
      </c>
      <c r="L113" s="8">
        <v>10853</v>
      </c>
      <c r="M113" s="8"/>
      <c r="N113" s="8"/>
      <c r="O113" s="8"/>
      <c r="P113" s="8"/>
      <c r="Q113" s="9">
        <f ca="1">IFERROR(__xludf.DUMMYFUNCTION("GOOGLEFINANCE(C113,""changepct"")"),-1.04)</f>
        <v>-1.04</v>
      </c>
      <c r="R113" s="8"/>
      <c r="S113" s="8"/>
      <c r="T113" s="8"/>
      <c r="U113" s="8"/>
      <c r="V113" s="8"/>
      <c r="W113" s="8"/>
    </row>
    <row r="114" spans="1:23" ht="14.4">
      <c r="A114" s="3">
        <f>LOOKUP(D114,'AMFI DATA_2023H1'!B:C,'AMFI DATA_2023H1'!C:C)</f>
        <v>359</v>
      </c>
      <c r="B114" s="4" t="s">
        <v>849</v>
      </c>
      <c r="C114" s="4" t="s">
        <v>850</v>
      </c>
      <c r="D114" s="5" t="s">
        <v>851</v>
      </c>
      <c r="E114" s="5">
        <f>LOOKUP(D114,'AMFI DATA_2023H1'!B:D,'AMFI DATA_2023H1'!D:D)</f>
        <v>9421.4699999999993</v>
      </c>
      <c r="F114" s="7">
        <f t="shared" si="0"/>
        <v>1.5829302645977754</v>
      </c>
      <c r="G114" s="8">
        <v>24335</v>
      </c>
      <c r="H114" s="8">
        <v>24264</v>
      </c>
      <c r="I114" s="8">
        <v>24119</v>
      </c>
      <c r="J114" s="8">
        <v>23261</v>
      </c>
      <c r="K114" s="8">
        <v>22587</v>
      </c>
      <c r="L114" s="8">
        <v>22726</v>
      </c>
      <c r="M114" s="8"/>
      <c r="N114" s="8"/>
      <c r="O114" s="8"/>
      <c r="P114" s="8"/>
      <c r="Q114" s="9">
        <f ca="1">IFERROR(__xludf.DUMMYFUNCTION("GOOGLEFINANCE(C114,""changepct"")"),1.1)</f>
        <v>1.1000000000000001</v>
      </c>
      <c r="R114" s="8"/>
      <c r="S114" s="8"/>
      <c r="T114" s="8"/>
      <c r="U114" s="8"/>
      <c r="V114" s="8"/>
      <c r="W114" s="8"/>
    </row>
    <row r="115" spans="1:23" ht="14.4">
      <c r="A115" s="3">
        <f>LOOKUP(D115,'AMFI DATA_2023H1'!B:C,'AMFI DATA_2023H1'!C:C)</f>
        <v>714</v>
      </c>
      <c r="B115" s="4" t="s">
        <v>2396</v>
      </c>
      <c r="C115" s="4" t="s">
        <v>2397</v>
      </c>
      <c r="D115" s="5" t="s">
        <v>2398</v>
      </c>
      <c r="E115" s="5">
        <f>LOOKUP(D115,'AMFI DATA_2023H1'!B:D,'AMFI DATA_2023H1'!D:D)</f>
        <v>2471.04</v>
      </c>
      <c r="F115" s="7">
        <f t="shared" si="0"/>
        <v>5.9068246568246607E-2</v>
      </c>
      <c r="G115" s="8">
        <v>2617</v>
      </c>
      <c r="H115" s="8">
        <v>2656</v>
      </c>
      <c r="I115" s="8">
        <v>2645</v>
      </c>
      <c r="J115" s="8">
        <v>2701</v>
      </c>
      <c r="K115" s="8">
        <v>2628</v>
      </c>
      <c r="L115" s="8">
        <v>2590</v>
      </c>
      <c r="M115" s="8"/>
      <c r="N115" s="8"/>
      <c r="O115" s="8"/>
      <c r="P115" s="8"/>
      <c r="Q115" s="9">
        <f ca="1">IFERROR(__xludf.DUMMYFUNCTION("GOOGLEFINANCE(C115,""changepct"")"),3.32)</f>
        <v>3.32</v>
      </c>
      <c r="R115" s="8"/>
      <c r="S115" s="8"/>
      <c r="T115" s="8"/>
      <c r="U115" s="8"/>
      <c r="V115" s="8"/>
      <c r="W115" s="8"/>
    </row>
    <row r="116" spans="1:23" ht="14.4">
      <c r="A116" s="3">
        <f>LOOKUP(D116,'AMFI DATA_2023H1'!B:C,'AMFI DATA_2023H1'!C:C)</f>
        <v>1217</v>
      </c>
      <c r="B116" s="4" t="s">
        <v>3698</v>
      </c>
      <c r="C116" s="4" t="s">
        <v>3699</v>
      </c>
      <c r="D116" s="5" t="s">
        <v>3700</v>
      </c>
      <c r="E116" s="5">
        <f>LOOKUP(D116,'AMFI DATA_2023H1'!B:D,'AMFI DATA_2023H1'!D:D)</f>
        <v>668.55</v>
      </c>
      <c r="F116" s="7">
        <f t="shared" si="0"/>
        <v>4.7042106050407595E-2</v>
      </c>
      <c r="G116" s="9">
        <v>700</v>
      </c>
      <c r="H116" s="9">
        <v>699</v>
      </c>
      <c r="I116" s="9">
        <v>686</v>
      </c>
      <c r="J116" s="9">
        <v>684</v>
      </c>
      <c r="K116" s="9">
        <v>684</v>
      </c>
      <c r="L116" s="9">
        <v>676</v>
      </c>
      <c r="M116" s="9"/>
      <c r="N116" s="9"/>
      <c r="O116" s="9"/>
      <c r="P116" s="9"/>
      <c r="Q116" s="9">
        <f ca="1">IFERROR(__xludf.DUMMYFUNCTION("GOOGLEFINANCE(C116,""changepct"")"),0.3)</f>
        <v>0.3</v>
      </c>
      <c r="R116" s="9"/>
      <c r="S116" s="9"/>
      <c r="T116" s="9"/>
      <c r="U116" s="9"/>
      <c r="V116" s="9"/>
      <c r="W116" s="9"/>
    </row>
    <row r="117" spans="1:23" ht="14.4">
      <c r="A117" s="3">
        <f>LOOKUP(D117,'AMFI DATA_2023H1'!B:C,'AMFI DATA_2023H1'!C:C)</f>
        <v>158</v>
      </c>
      <c r="B117" s="4" t="s">
        <v>465</v>
      </c>
      <c r="C117" s="4" t="s">
        <v>466</v>
      </c>
      <c r="D117" s="5" t="s">
        <v>467</v>
      </c>
      <c r="E117" s="5">
        <f>LOOKUP(D117,'AMFI DATA_2023H1'!B:D,'AMFI DATA_2023H1'!D:D)</f>
        <v>33286.589999999997</v>
      </c>
      <c r="F117" s="7">
        <f t="shared" si="0"/>
        <v>0.27192361849020896</v>
      </c>
      <c r="G117" s="8">
        <v>42338</v>
      </c>
      <c r="H117" s="8">
        <v>42669</v>
      </c>
      <c r="I117" s="8">
        <v>42850</v>
      </c>
      <c r="J117" s="8">
        <v>43899</v>
      </c>
      <c r="K117" s="8">
        <v>44084</v>
      </c>
      <c r="L117" s="8">
        <v>44073</v>
      </c>
      <c r="M117" s="8"/>
      <c r="N117" s="8"/>
      <c r="O117" s="8"/>
      <c r="P117" s="8"/>
      <c r="Q117" s="9">
        <f ca="1">IFERROR(__xludf.DUMMYFUNCTION("GOOGLEFINANCE(C117,""changepct"")"),2.13)</f>
        <v>2.13</v>
      </c>
      <c r="R117" s="8"/>
      <c r="S117" s="8"/>
      <c r="T117" s="8"/>
      <c r="U117" s="8"/>
      <c r="V117" s="8"/>
      <c r="W117" s="8"/>
    </row>
    <row r="118" spans="1:23" ht="14.4">
      <c r="A118" s="3">
        <f>LOOKUP(D118,'AMFI DATA_2023H1'!B:C,'AMFI DATA_2023H1'!C:C)</f>
        <v>80</v>
      </c>
      <c r="B118" s="4" t="s">
        <v>273</v>
      </c>
      <c r="C118" s="4" t="s">
        <v>274</v>
      </c>
      <c r="D118" s="5" t="s">
        <v>275</v>
      </c>
      <c r="E118" s="5">
        <f>LOOKUP(D118,'AMFI DATA_2023H1'!B:D,'AMFI DATA_2023H1'!D:D)</f>
        <v>64907.67</v>
      </c>
      <c r="F118" s="7">
        <f t="shared" si="0"/>
        <v>0.27376317775695846</v>
      </c>
      <c r="G118" s="8">
        <v>82677</v>
      </c>
      <c r="H118" s="8">
        <v>81974</v>
      </c>
      <c r="I118" s="8">
        <v>82659</v>
      </c>
      <c r="J118" s="8">
        <v>81710</v>
      </c>
      <c r="K118" s="8">
        <v>81022</v>
      </c>
      <c r="L118" s="8">
        <v>79677</v>
      </c>
      <c r="M118" s="8"/>
      <c r="N118" s="8"/>
      <c r="O118" s="8"/>
      <c r="P118" s="8"/>
      <c r="Q118" s="9">
        <f ca="1">IFERROR(__xludf.DUMMYFUNCTION("GOOGLEFINANCE(C118,""changepct"")"),1.95)</f>
        <v>1.95</v>
      </c>
      <c r="R118" s="8"/>
      <c r="S118" s="8"/>
      <c r="T118" s="8"/>
      <c r="U118" s="8"/>
      <c r="V118" s="8"/>
      <c r="W118" s="8"/>
    </row>
    <row r="119" spans="1:23" ht="14.4">
      <c r="A119" s="3">
        <f>LOOKUP(D119,'AMFI DATA_2023H1'!B:C,'AMFI DATA_2023H1'!C:C)</f>
        <v>1200</v>
      </c>
      <c r="B119" s="4" t="s">
        <v>2765</v>
      </c>
      <c r="C119" s="4" t="s">
        <v>2766</v>
      </c>
      <c r="D119" s="5" t="s">
        <v>2767</v>
      </c>
      <c r="E119" s="5">
        <f>LOOKUP(D119,'AMFI DATA_2023H1'!B:D,'AMFI DATA_2023H1'!D:D)</f>
        <v>697.43</v>
      </c>
      <c r="F119" s="7">
        <f t="shared" si="0"/>
        <v>3.5151484736819469</v>
      </c>
      <c r="G119" s="8">
        <v>3149</v>
      </c>
      <c r="H119" s="8">
        <v>3000</v>
      </c>
      <c r="I119" s="8">
        <v>2858</v>
      </c>
      <c r="J119" s="8">
        <v>2958</v>
      </c>
      <c r="K119" s="8">
        <v>2987</v>
      </c>
      <c r="L119" s="8">
        <v>3013</v>
      </c>
      <c r="M119" s="8"/>
      <c r="N119" s="8"/>
      <c r="O119" s="8"/>
      <c r="P119" s="8"/>
      <c r="Q119" s="9">
        <f ca="1">IFERROR(__xludf.DUMMYFUNCTION("GOOGLEFINANCE(C119,""changepct"")"),-0.49)</f>
        <v>-0.49</v>
      </c>
      <c r="R119" s="8"/>
      <c r="S119" s="8"/>
      <c r="T119" s="8"/>
      <c r="U119" s="8"/>
      <c r="V119" s="8"/>
      <c r="W119" s="8"/>
    </row>
    <row r="120" spans="1:23" ht="14.4">
      <c r="A120" s="3">
        <f>LOOKUP(D120,'AMFI DATA_2023H1'!B:C,'AMFI DATA_2023H1'!C:C)</f>
        <v>740</v>
      </c>
      <c r="B120" s="4" t="s">
        <v>2381</v>
      </c>
      <c r="C120" s="4" t="s">
        <v>2382</v>
      </c>
      <c r="D120" s="5" t="s">
        <v>2383</v>
      </c>
      <c r="E120" s="5">
        <f>LOOKUP(D120,'AMFI DATA_2023H1'!B:D,'AMFI DATA_2023H1'!D:D)</f>
        <v>2270.2199999999998</v>
      </c>
      <c r="F120" s="7">
        <f t="shared" si="0"/>
        <v>0.18270475989111201</v>
      </c>
      <c r="G120" s="8">
        <v>2685</v>
      </c>
      <c r="H120" s="8">
        <v>2694</v>
      </c>
      <c r="I120" s="8">
        <v>2703</v>
      </c>
      <c r="J120" s="8">
        <v>2700</v>
      </c>
      <c r="K120" s="8">
        <v>2687</v>
      </c>
      <c r="L120" s="8">
        <v>2666</v>
      </c>
      <c r="M120" s="8"/>
      <c r="N120" s="8"/>
      <c r="O120" s="8"/>
      <c r="P120" s="8"/>
      <c r="Q120" s="9">
        <f ca="1">IFERROR(__xludf.DUMMYFUNCTION("GOOGLEFINANCE(C120,""changepct"")"),9.02)</f>
        <v>9.02</v>
      </c>
      <c r="R120" s="8"/>
      <c r="S120" s="8"/>
      <c r="T120" s="8"/>
      <c r="U120" s="8"/>
      <c r="V120" s="8"/>
      <c r="W120" s="8"/>
    </row>
    <row r="121" spans="1:23" ht="14.4">
      <c r="A121" s="3">
        <f>LOOKUP(D121,'AMFI DATA_2023H1'!B:C,'AMFI DATA_2023H1'!C:C)</f>
        <v>1532</v>
      </c>
      <c r="B121" s="4" t="s">
        <v>4169</v>
      </c>
      <c r="C121" s="4" t="s">
        <v>4170</v>
      </c>
      <c r="D121" s="5" t="s">
        <v>4171</v>
      </c>
      <c r="E121" s="5">
        <f>LOOKUP(D121,'AMFI DATA_2023H1'!B:D,'AMFI DATA_2023H1'!D:D)</f>
        <v>326.60000000000002</v>
      </c>
      <c r="F121" s="7">
        <f t="shared" si="0"/>
        <v>0.19412124923453766</v>
      </c>
      <c r="G121" s="9">
        <v>390</v>
      </c>
      <c r="H121" s="9">
        <v>393</v>
      </c>
      <c r="I121" s="9">
        <v>401</v>
      </c>
      <c r="J121" s="9">
        <v>403</v>
      </c>
      <c r="K121" s="9">
        <v>402</v>
      </c>
      <c r="L121" s="9">
        <v>404</v>
      </c>
      <c r="M121" s="9"/>
      <c r="N121" s="9"/>
      <c r="O121" s="9"/>
      <c r="P121" s="9"/>
      <c r="Q121" s="9">
        <f ca="1">IFERROR(__xludf.DUMMYFUNCTION("GOOGLEFINANCE(C121,""changepct"")"),-1.19)</f>
        <v>-1.19</v>
      </c>
      <c r="R121" s="9"/>
      <c r="S121" s="9"/>
      <c r="T121" s="9"/>
      <c r="U121" s="9"/>
      <c r="V121" s="9"/>
      <c r="W121" s="9"/>
    </row>
    <row r="122" spans="1:23" ht="14.4">
      <c r="A122" s="3">
        <f>LOOKUP(D122,'AMFI DATA_2023H1'!B:C,'AMFI DATA_2023H1'!C:C)</f>
        <v>209</v>
      </c>
      <c r="B122" s="4" t="s">
        <v>678</v>
      </c>
      <c r="C122" s="4" t="s">
        <v>679</v>
      </c>
      <c r="D122" s="5" t="s">
        <v>680</v>
      </c>
      <c r="E122" s="5">
        <f>LOOKUP(D122,'AMFI DATA_2023H1'!B:D,'AMFI DATA_2023H1'!D:D)</f>
        <v>21953.16</v>
      </c>
      <c r="F122" s="7">
        <f t="shared" si="0"/>
        <v>0.30924204078137274</v>
      </c>
      <c r="G122" s="8">
        <v>28742</v>
      </c>
      <c r="H122" s="8">
        <v>28802</v>
      </c>
      <c r="I122" s="8">
        <v>27897</v>
      </c>
      <c r="J122" s="8">
        <v>27671</v>
      </c>
      <c r="K122" s="8">
        <v>27335</v>
      </c>
      <c r="L122" s="8">
        <v>27154</v>
      </c>
      <c r="M122" s="8"/>
      <c r="N122" s="8"/>
      <c r="O122" s="8"/>
      <c r="P122" s="8"/>
      <c r="Q122" s="9">
        <f ca="1">IFERROR(__xludf.DUMMYFUNCTION("GOOGLEFINANCE(C122,""changepct"")"),5.17)</f>
        <v>5.17</v>
      </c>
      <c r="R122" s="8"/>
      <c r="S122" s="8"/>
      <c r="T122" s="8"/>
      <c r="U122" s="8"/>
      <c r="V122" s="8"/>
      <c r="W122" s="8"/>
    </row>
    <row r="123" spans="1:23" ht="14.4">
      <c r="A123" s="3">
        <f>LOOKUP(D123,'AMFI DATA_2023H1'!B:C,'AMFI DATA_2023H1'!C:C)</f>
        <v>857</v>
      </c>
      <c r="B123" s="4" t="s">
        <v>2870</v>
      </c>
      <c r="C123" s="4" t="s">
        <v>2871</v>
      </c>
      <c r="D123" s="5" t="s">
        <v>2872</v>
      </c>
      <c r="E123" s="5">
        <f>LOOKUP(D123,'AMFI DATA_2023H1'!B:D,'AMFI DATA_2023H1'!D:D)</f>
        <v>1688.81</v>
      </c>
      <c r="F123" s="7">
        <f t="shared" si="0"/>
        <v>-7.686477460460317E-2</v>
      </c>
      <c r="G123" s="8">
        <v>1559</v>
      </c>
      <c r="H123" s="8">
        <v>1508</v>
      </c>
      <c r="I123" s="8">
        <v>1516</v>
      </c>
      <c r="J123" s="8">
        <v>1536</v>
      </c>
      <c r="K123" s="8">
        <v>1542</v>
      </c>
      <c r="L123" s="8">
        <v>1559</v>
      </c>
      <c r="M123" s="8"/>
      <c r="N123" s="8"/>
      <c r="O123" s="8"/>
      <c r="P123" s="8"/>
      <c r="Q123" s="9">
        <f ca="1">IFERROR(__xludf.DUMMYFUNCTION("GOOGLEFINANCE(C123,""changepct"")"),1.52)</f>
        <v>1.52</v>
      </c>
      <c r="R123" s="8"/>
      <c r="S123" s="8"/>
      <c r="T123" s="8"/>
      <c r="U123" s="8"/>
      <c r="V123" s="8"/>
      <c r="W123" s="8"/>
    </row>
    <row r="124" spans="1:23" ht="14.4">
      <c r="A124" s="3">
        <f>LOOKUP(D124,'AMFI DATA_2023H1'!B:C,'AMFI DATA_2023H1'!C:C)</f>
        <v>292</v>
      </c>
      <c r="B124" s="4" t="s">
        <v>990</v>
      </c>
      <c r="C124" s="4" t="s">
        <v>991</v>
      </c>
      <c r="D124" s="5" t="s">
        <v>992</v>
      </c>
      <c r="E124" s="5">
        <f>LOOKUP(D124,'AMFI DATA_2023H1'!B:D,'AMFI DATA_2023H1'!D:D)</f>
        <v>13099.18</v>
      </c>
      <c r="F124" s="7">
        <f t="shared" si="0"/>
        <v>0.25733061153446246</v>
      </c>
      <c r="G124" s="8">
        <v>16470</v>
      </c>
      <c r="H124" s="8">
        <v>15951</v>
      </c>
      <c r="I124" s="8">
        <v>15968</v>
      </c>
      <c r="J124" s="8">
        <v>16265</v>
      </c>
      <c r="K124" s="8">
        <v>16535</v>
      </c>
      <c r="L124" s="8">
        <v>16427</v>
      </c>
      <c r="M124" s="8"/>
      <c r="N124" s="8"/>
      <c r="O124" s="8"/>
      <c r="P124" s="8"/>
      <c r="Q124" s="9">
        <f ca="1">IFERROR(__xludf.DUMMYFUNCTION("GOOGLEFINANCE(C124,""changepct"")"),-1.38)</f>
        <v>-1.38</v>
      </c>
      <c r="R124" s="8"/>
      <c r="S124" s="8"/>
      <c r="T124" s="8"/>
      <c r="U124" s="8"/>
      <c r="V124" s="8"/>
      <c r="W124" s="8"/>
    </row>
    <row r="125" spans="1:23" ht="14.4">
      <c r="A125" s="3">
        <f>LOOKUP(D125,'AMFI DATA_2023H1'!B:C,'AMFI DATA_2023H1'!C:C)</f>
        <v>409</v>
      </c>
      <c r="B125" s="4" t="s">
        <v>1524</v>
      </c>
      <c r="C125" s="4" t="s">
        <v>1525</v>
      </c>
      <c r="D125" s="5" t="s">
        <v>1526</v>
      </c>
      <c r="E125" s="5">
        <f>LOOKUP(D125,'AMFI DATA_2023H1'!B:D,'AMFI DATA_2023H1'!D:D)</f>
        <v>7263.66</v>
      </c>
      <c r="F125" s="7">
        <f t="shared" si="0"/>
        <v>9.9170390684585996E-2</v>
      </c>
      <c r="G125" s="8">
        <v>7984</v>
      </c>
      <c r="H125" s="8">
        <v>8050</v>
      </c>
      <c r="I125" s="8">
        <v>8018</v>
      </c>
      <c r="J125" s="8">
        <v>8010</v>
      </c>
      <c r="K125" s="8">
        <v>7948</v>
      </c>
      <c r="L125" s="8">
        <v>8005</v>
      </c>
      <c r="M125" s="8"/>
      <c r="N125" s="8"/>
      <c r="O125" s="8"/>
      <c r="P125" s="8"/>
      <c r="Q125" s="9">
        <f ca="1">IFERROR(__xludf.DUMMYFUNCTION("GOOGLEFINANCE(C125,""changepct"")"),3.8)</f>
        <v>3.8</v>
      </c>
      <c r="R125" s="8"/>
      <c r="S125" s="8"/>
      <c r="T125" s="8"/>
      <c r="U125" s="8"/>
      <c r="V125" s="8"/>
      <c r="W125" s="8"/>
    </row>
    <row r="126" spans="1:23" ht="14.4">
      <c r="A126" s="3">
        <f>LOOKUP(D126,'AMFI DATA_2023H1'!B:C,'AMFI DATA_2023H1'!C:C)</f>
        <v>2865</v>
      </c>
      <c r="B126" s="4" t="s">
        <v>5497</v>
      </c>
      <c r="C126" s="4" t="s">
        <v>5498</v>
      </c>
      <c r="D126" s="5" t="s">
        <v>5499</v>
      </c>
      <c r="E126" s="5">
        <f>LOOKUP(D126,'AMFI DATA_2023H1'!B:D,'AMFI DATA_2023H1'!D:D)</f>
        <v>36.6</v>
      </c>
      <c r="F126" s="7">
        <f t="shared" si="0"/>
        <v>0.39617486338797803</v>
      </c>
      <c r="G126" s="9">
        <v>51.1</v>
      </c>
      <c r="H126" s="9">
        <v>51.3</v>
      </c>
      <c r="I126" s="9">
        <v>52.5</v>
      </c>
      <c r="J126" s="9">
        <v>50.5</v>
      </c>
      <c r="K126" s="9">
        <v>54.9</v>
      </c>
      <c r="L126" s="9">
        <v>51.4</v>
      </c>
      <c r="M126" s="9"/>
      <c r="N126" s="9"/>
      <c r="O126" s="9"/>
      <c r="P126" s="9"/>
      <c r="Q126" s="9">
        <f ca="1">IFERROR(__xludf.DUMMYFUNCTION("GOOGLEFINANCE(C126,""changepct"")"),1.6)</f>
        <v>1.6</v>
      </c>
      <c r="R126" s="9"/>
      <c r="S126" s="9"/>
      <c r="T126" s="9"/>
      <c r="U126" s="9"/>
      <c r="V126" s="9"/>
      <c r="W126" s="9"/>
    </row>
    <row r="127" spans="1:23" ht="14.4">
      <c r="A127" s="3">
        <f>LOOKUP(D127,'AMFI DATA_2023H1'!B:C,'AMFI DATA_2023H1'!C:C)</f>
        <v>2056</v>
      </c>
      <c r="B127" s="4" t="s">
        <v>4919</v>
      </c>
      <c r="C127" s="4" t="s">
        <v>4920</v>
      </c>
      <c r="D127" s="5" t="s">
        <v>4921</v>
      </c>
      <c r="E127" s="5">
        <f>LOOKUP(D127,'AMFI DATA_2023H1'!B:D,'AMFI DATA_2023H1'!D:D)</f>
        <v>130.49</v>
      </c>
      <c r="F127" s="7">
        <f t="shared" si="0"/>
        <v>0.5556747643497586</v>
      </c>
      <c r="G127" s="9">
        <v>203</v>
      </c>
      <c r="H127" s="9">
        <v>194</v>
      </c>
      <c r="I127" s="9">
        <v>188</v>
      </c>
      <c r="J127" s="9">
        <v>180</v>
      </c>
      <c r="K127" s="9">
        <v>183</v>
      </c>
      <c r="L127" s="9">
        <v>185</v>
      </c>
      <c r="M127" s="9"/>
      <c r="N127" s="9"/>
      <c r="O127" s="9"/>
      <c r="P127" s="9"/>
      <c r="Q127" s="9">
        <f ca="1">IFERROR(__xludf.DUMMYFUNCTION("GOOGLEFINANCE(C127,""changepct"")"),4.71)</f>
        <v>4.71</v>
      </c>
      <c r="R127" s="9"/>
      <c r="S127" s="9"/>
      <c r="T127" s="9"/>
      <c r="U127" s="9"/>
      <c r="V127" s="9"/>
      <c r="W127" s="9"/>
    </row>
    <row r="128" spans="1:23" ht="14.4">
      <c r="A128" s="3">
        <f>LOOKUP(D128,'AMFI DATA_2023H1'!B:C,'AMFI DATA_2023H1'!C:C)</f>
        <v>2399</v>
      </c>
      <c r="B128" s="4" t="s">
        <v>5263</v>
      </c>
      <c r="C128" s="4" t="s">
        <v>5264</v>
      </c>
      <c r="D128" s="5" t="s">
        <v>5265</v>
      </c>
      <c r="E128" s="5">
        <f>LOOKUP(D128,'AMFI DATA_2023H1'!B:D,'AMFI DATA_2023H1'!D:D)</f>
        <v>73.06</v>
      </c>
      <c r="F128" s="7">
        <f t="shared" si="0"/>
        <v>0.34546947714207499</v>
      </c>
      <c r="G128" s="9">
        <v>98.3</v>
      </c>
      <c r="H128" s="9">
        <v>96.6</v>
      </c>
      <c r="I128" s="9">
        <v>98.2</v>
      </c>
      <c r="J128" s="9">
        <v>100</v>
      </c>
      <c r="K128" s="9">
        <v>102</v>
      </c>
      <c r="L128" s="9">
        <v>98.1</v>
      </c>
      <c r="M128" s="9"/>
      <c r="N128" s="9"/>
      <c r="O128" s="9"/>
      <c r="P128" s="9"/>
      <c r="Q128" s="9">
        <f ca="1">IFERROR(__xludf.DUMMYFUNCTION("GOOGLEFINANCE(C128,""changepct"")"),-0.15)</f>
        <v>-0.15</v>
      </c>
      <c r="R128" s="9"/>
      <c r="S128" s="9"/>
      <c r="T128" s="9"/>
      <c r="U128" s="9"/>
      <c r="V128" s="9"/>
      <c r="W128" s="9"/>
    </row>
    <row r="129" spans="1:23" ht="14.4">
      <c r="A129" s="3">
        <f>LOOKUP(D129,'AMFI DATA_2023H1'!B:C,'AMFI DATA_2023H1'!C:C)</f>
        <v>1730</v>
      </c>
      <c r="B129" s="4" t="s">
        <v>4556</v>
      </c>
      <c r="C129" s="4" t="s">
        <v>4557</v>
      </c>
      <c r="D129" s="5" t="s">
        <v>4558</v>
      </c>
      <c r="E129" s="5">
        <f>LOOKUP(D129,'AMFI DATA_2023H1'!B:D,'AMFI DATA_2023H1'!D:D)</f>
        <v>225.12</v>
      </c>
      <c r="F129" s="7">
        <f t="shared" si="0"/>
        <v>0.2260127931769722</v>
      </c>
      <c r="G129" s="9">
        <v>276</v>
      </c>
      <c r="H129" s="9">
        <v>266</v>
      </c>
      <c r="I129" s="9">
        <v>271</v>
      </c>
      <c r="J129" s="9">
        <v>274</v>
      </c>
      <c r="K129" s="9">
        <v>265</v>
      </c>
      <c r="L129" s="9">
        <v>264</v>
      </c>
      <c r="M129" s="9"/>
      <c r="N129" s="9"/>
      <c r="O129" s="9"/>
      <c r="P129" s="9"/>
      <c r="Q129" s="9">
        <f ca="1">IFERROR(__xludf.DUMMYFUNCTION("GOOGLEFINANCE(C129,""changepct"")"),12.01)</f>
        <v>12.01</v>
      </c>
      <c r="R129" s="9"/>
      <c r="S129" s="9"/>
      <c r="T129" s="9"/>
      <c r="U129" s="9"/>
      <c r="V129" s="9"/>
      <c r="W129" s="9"/>
    </row>
    <row r="130" spans="1:23" ht="14.4">
      <c r="A130" s="3">
        <f>LOOKUP(D130,'AMFI DATA_2023H1'!B:C,'AMFI DATA_2023H1'!C:C)</f>
        <v>1346</v>
      </c>
      <c r="B130" s="4" t="s">
        <v>3758</v>
      </c>
      <c r="C130" s="4" t="s">
        <v>3759</v>
      </c>
      <c r="D130" s="5" t="s">
        <v>3760</v>
      </c>
      <c r="E130" s="5">
        <f>LOOKUP(D130,'AMFI DATA_2023H1'!B:D,'AMFI DATA_2023H1'!D:D)</f>
        <v>460.58</v>
      </c>
      <c r="F130" s="7">
        <f t="shared" si="0"/>
        <v>0.59581397368535338</v>
      </c>
      <c r="G130" s="9">
        <v>735</v>
      </c>
      <c r="H130" s="9">
        <v>724</v>
      </c>
      <c r="I130" s="9">
        <v>719</v>
      </c>
      <c r="J130" s="9">
        <v>740</v>
      </c>
      <c r="K130" s="9">
        <v>733</v>
      </c>
      <c r="L130" s="9">
        <v>730</v>
      </c>
      <c r="M130" s="9"/>
      <c r="N130" s="9"/>
      <c r="O130" s="9"/>
      <c r="P130" s="9"/>
      <c r="Q130" s="9">
        <f ca="1">IFERROR(__xludf.DUMMYFUNCTION("GOOGLEFINANCE(C130,""changepct"")"),-1.62)</f>
        <v>-1.62</v>
      </c>
      <c r="R130" s="9"/>
      <c r="S130" s="9"/>
      <c r="T130" s="9"/>
      <c r="U130" s="9"/>
      <c r="V130" s="9"/>
      <c r="W130" s="9"/>
    </row>
    <row r="131" spans="1:23" ht="14.4">
      <c r="A131" s="3">
        <f>LOOKUP(D131,'AMFI DATA_2023H1'!B:C,'AMFI DATA_2023H1'!C:C)</f>
        <v>1123</v>
      </c>
      <c r="B131" s="4" t="s">
        <v>3536</v>
      </c>
      <c r="C131" s="4" t="s">
        <v>3537</v>
      </c>
      <c r="D131" s="5" t="s">
        <v>3538</v>
      </c>
      <c r="E131" s="5">
        <f>LOOKUP(D131,'AMFI DATA_2023H1'!B:D,'AMFI DATA_2023H1'!D:D)</f>
        <v>836.52</v>
      </c>
      <c r="F131" s="7">
        <f t="shared" si="0"/>
        <v>0.34605269449624632</v>
      </c>
      <c r="G131" s="8">
        <v>1126</v>
      </c>
      <c r="H131" s="8">
        <v>1115</v>
      </c>
      <c r="I131" s="8">
        <v>1108</v>
      </c>
      <c r="J131" s="8">
        <v>1086</v>
      </c>
      <c r="K131" s="8">
        <v>1107</v>
      </c>
      <c r="L131" s="8">
        <v>1077</v>
      </c>
      <c r="M131" s="8"/>
      <c r="N131" s="8"/>
      <c r="O131" s="8"/>
      <c r="P131" s="8"/>
      <c r="Q131" s="9">
        <f ca="1">IFERROR(__xludf.DUMMYFUNCTION("GOOGLEFINANCE(C131,""changepct"")"),16.06)</f>
        <v>16.059999999999999</v>
      </c>
      <c r="R131" s="8"/>
      <c r="S131" s="8"/>
      <c r="T131" s="8"/>
      <c r="U131" s="8"/>
      <c r="V131" s="8"/>
      <c r="W131" s="8"/>
    </row>
    <row r="132" spans="1:23" ht="14.4">
      <c r="A132" s="3">
        <f>LOOKUP(D132,'AMFI DATA_2023H1'!B:C,'AMFI DATA_2023H1'!C:C)</f>
        <v>952</v>
      </c>
      <c r="B132" s="4" t="s">
        <v>2735</v>
      </c>
      <c r="C132" s="4" t="s">
        <v>2736</v>
      </c>
      <c r="D132" s="5" t="s">
        <v>2737</v>
      </c>
      <c r="E132" s="5">
        <f>LOOKUP(D132,'AMFI DATA_2023H1'!B:D,'AMFI DATA_2023H1'!D:D)</f>
        <v>1307.08</v>
      </c>
      <c r="F132" s="7">
        <f t="shared" si="0"/>
        <v>0.89353367812222673</v>
      </c>
      <c r="G132" s="8">
        <v>2475</v>
      </c>
      <c r="H132" s="8">
        <v>2381</v>
      </c>
      <c r="I132" s="8">
        <v>2140</v>
      </c>
      <c r="J132" s="8">
        <v>2258</v>
      </c>
      <c r="K132" s="8">
        <v>2188</v>
      </c>
      <c r="L132" s="8">
        <v>2273</v>
      </c>
      <c r="M132" s="8"/>
      <c r="N132" s="8"/>
      <c r="O132" s="8"/>
      <c r="P132" s="8"/>
      <c r="Q132" s="9">
        <f ca="1">IFERROR(__xludf.DUMMYFUNCTION("GOOGLEFINANCE(C132,""changepct"")"),-0.56)</f>
        <v>-0.56000000000000005</v>
      </c>
      <c r="R132" s="8"/>
      <c r="S132" s="8"/>
      <c r="T132" s="8"/>
      <c r="U132" s="8"/>
      <c r="V132" s="8"/>
      <c r="W132" s="8"/>
    </row>
    <row r="133" spans="1:23" ht="14.4">
      <c r="A133" s="3">
        <f>LOOKUP(D133,'AMFI DATA_2023H1'!B:C,'AMFI DATA_2023H1'!C:C)</f>
        <v>2486</v>
      </c>
      <c r="B133" s="4" t="s">
        <v>5320</v>
      </c>
      <c r="C133" s="4" t="s">
        <v>5321</v>
      </c>
      <c r="D133" s="5" t="s">
        <v>5322</v>
      </c>
      <c r="E133" s="5">
        <f>LOOKUP(D133,'AMFI DATA_2023H1'!B:D,'AMFI DATA_2023H1'!D:D)</f>
        <v>65.47</v>
      </c>
      <c r="F133" s="7">
        <f t="shared" si="0"/>
        <v>0.19596761875668234</v>
      </c>
      <c r="G133" s="9">
        <v>78.3</v>
      </c>
      <c r="H133" s="9">
        <v>74.599999999999994</v>
      </c>
      <c r="I133" s="9">
        <v>75</v>
      </c>
      <c r="J133" s="9">
        <v>75.599999999999994</v>
      </c>
      <c r="K133" s="9">
        <v>74.3</v>
      </c>
      <c r="L133" s="9">
        <v>74.7</v>
      </c>
      <c r="M133" s="9"/>
      <c r="N133" s="9"/>
      <c r="O133" s="9"/>
      <c r="P133" s="9"/>
      <c r="Q133" s="9">
        <f ca="1">IFERROR(__xludf.DUMMYFUNCTION("GOOGLEFINANCE(C133,""changepct"")"),0.25)</f>
        <v>0.25</v>
      </c>
      <c r="R133" s="9"/>
      <c r="S133" s="9"/>
      <c r="T133" s="9"/>
      <c r="U133" s="9"/>
      <c r="V133" s="9"/>
      <c r="W133" s="9"/>
    </row>
    <row r="134" spans="1:23" ht="14.4">
      <c r="A134" s="3">
        <f>LOOKUP(D134,'AMFI DATA_2023H1'!B:C,'AMFI DATA_2023H1'!C:C)</f>
        <v>1461</v>
      </c>
      <c r="B134" s="4" t="s">
        <v>3860</v>
      </c>
      <c r="C134" s="4" t="s">
        <v>3861</v>
      </c>
      <c r="D134" s="5" t="s">
        <v>3862</v>
      </c>
      <c r="E134" s="5">
        <f>LOOKUP(D134,'AMFI DATA_2023H1'!B:D,'AMFI DATA_2023H1'!D:D)</f>
        <v>373.35</v>
      </c>
      <c r="F134" s="7">
        <f t="shared" si="0"/>
        <v>0.76242132047676425</v>
      </c>
      <c r="G134" s="9">
        <v>658</v>
      </c>
      <c r="H134" s="9">
        <v>663</v>
      </c>
      <c r="I134" s="9">
        <v>671</v>
      </c>
      <c r="J134" s="9">
        <v>619</v>
      </c>
      <c r="K134" s="9">
        <v>624</v>
      </c>
      <c r="L134" s="9">
        <v>630</v>
      </c>
      <c r="M134" s="9"/>
      <c r="N134" s="9"/>
      <c r="O134" s="9"/>
      <c r="P134" s="9"/>
      <c r="Q134" s="9">
        <f ca="1">IFERROR(__xludf.DUMMYFUNCTION("GOOGLEFINANCE(C134,""changepct"")"),2.24)</f>
        <v>2.2400000000000002</v>
      </c>
      <c r="R134" s="9"/>
      <c r="S134" s="9"/>
      <c r="T134" s="9"/>
      <c r="U134" s="9"/>
      <c r="V134" s="9"/>
      <c r="W134" s="9"/>
    </row>
    <row r="135" spans="1:23" ht="14.4">
      <c r="A135" s="3">
        <f>LOOKUP(D135,'AMFI DATA_2023H1'!B:C,'AMFI DATA_2023H1'!C:C)</f>
        <v>1891</v>
      </c>
      <c r="B135" s="4" t="s">
        <v>5054</v>
      </c>
      <c r="C135" s="4" t="s">
        <v>5055</v>
      </c>
      <c r="D135" s="5" t="s">
        <v>5056</v>
      </c>
      <c r="E135" s="5">
        <f>LOOKUP(D135,'AMFI DATA_2023H1'!B:D,'AMFI DATA_2023H1'!D:D)</f>
        <v>167.29</v>
      </c>
      <c r="F135" s="7">
        <f t="shared" si="0"/>
        <v>0.31508159483531606</v>
      </c>
      <c r="G135" s="9">
        <v>220</v>
      </c>
      <c r="H135" s="9">
        <v>224</v>
      </c>
      <c r="I135" s="9">
        <v>229</v>
      </c>
      <c r="J135" s="9">
        <v>233</v>
      </c>
      <c r="K135" s="9">
        <v>212</v>
      </c>
      <c r="L135" s="9">
        <v>211</v>
      </c>
      <c r="M135" s="9"/>
      <c r="N135" s="9"/>
      <c r="O135" s="9"/>
      <c r="P135" s="9"/>
      <c r="Q135" s="9">
        <f ca="1">IFERROR(__xludf.DUMMYFUNCTION("GOOGLEFINANCE(C135,""changepct"")"),-2.92)</f>
        <v>-2.92</v>
      </c>
      <c r="R135" s="9"/>
      <c r="S135" s="9"/>
      <c r="T135" s="9"/>
      <c r="U135" s="9"/>
      <c r="V135" s="9"/>
      <c r="W135" s="9"/>
    </row>
    <row r="136" spans="1:23" ht="14.4">
      <c r="A136" s="3">
        <f>LOOKUP(D136,'AMFI DATA_2023H1'!B:C,'AMFI DATA_2023H1'!C:C)</f>
        <v>1969</v>
      </c>
      <c r="B136" s="4" t="s">
        <v>5033</v>
      </c>
      <c r="C136" s="4" t="s">
        <v>5034</v>
      </c>
      <c r="D136" s="5" t="s">
        <v>5035</v>
      </c>
      <c r="E136" s="5">
        <f>LOOKUP(D136,'AMFI DATA_2023H1'!B:D,'AMFI DATA_2023H1'!D:D)</f>
        <v>149.72</v>
      </c>
      <c r="F136" s="7">
        <f t="shared" si="0"/>
        <v>-2.4846379909163718E-2</v>
      </c>
      <c r="G136" s="9">
        <v>146</v>
      </c>
      <c r="H136" s="9">
        <v>141</v>
      </c>
      <c r="I136" s="9">
        <v>143</v>
      </c>
      <c r="J136" s="9">
        <v>150</v>
      </c>
      <c r="K136" s="9">
        <v>153</v>
      </c>
      <c r="L136" s="9">
        <v>156</v>
      </c>
      <c r="M136" s="9"/>
      <c r="N136" s="9"/>
      <c r="O136" s="9"/>
      <c r="P136" s="9"/>
      <c r="Q136" s="9">
        <f ca="1">IFERROR(__xludf.DUMMYFUNCTION("GOOGLEFINANCE(C136,""changepct"")"),3.02)</f>
        <v>3.02</v>
      </c>
      <c r="R136" s="9"/>
      <c r="S136" s="9"/>
      <c r="T136" s="9"/>
      <c r="U136" s="9"/>
      <c r="V136" s="9"/>
      <c r="W136" s="9"/>
    </row>
    <row r="137" spans="1:23" ht="14.4">
      <c r="A137" s="3">
        <f>LOOKUP(D137,'AMFI DATA_2023H1'!B:C,'AMFI DATA_2023H1'!C:C)</f>
        <v>1045</v>
      </c>
      <c r="B137" s="4" t="s">
        <v>2723</v>
      </c>
      <c r="C137" s="4" t="s">
        <v>2724</v>
      </c>
      <c r="D137" s="5" t="s">
        <v>2725</v>
      </c>
      <c r="E137" s="5">
        <f>LOOKUP(D137,'AMFI DATA_2023H1'!B:D,'AMFI DATA_2023H1'!D:D)</f>
        <v>1043.9000000000001</v>
      </c>
      <c r="F137" s="7">
        <f t="shared" si="0"/>
        <v>1.2693744611552829</v>
      </c>
      <c r="G137" s="8">
        <v>2369</v>
      </c>
      <c r="H137" s="8">
        <v>2444</v>
      </c>
      <c r="I137" s="8">
        <v>2386</v>
      </c>
      <c r="J137" s="8">
        <v>2415</v>
      </c>
      <c r="K137" s="8">
        <v>2435</v>
      </c>
      <c r="L137" s="8">
        <v>2478</v>
      </c>
      <c r="M137" s="8"/>
      <c r="N137" s="8"/>
      <c r="O137" s="8"/>
      <c r="P137" s="8"/>
      <c r="Q137" s="9">
        <f ca="1">IFERROR(__xludf.DUMMYFUNCTION("GOOGLEFINANCE(C137,""changepct"")"),1.03)</f>
        <v>1.03</v>
      </c>
      <c r="R137" s="8"/>
      <c r="S137" s="8"/>
      <c r="T137" s="8"/>
      <c r="U137" s="8"/>
      <c r="V137" s="8"/>
      <c r="W137" s="8"/>
    </row>
    <row r="138" spans="1:23" ht="14.4">
      <c r="A138" s="3">
        <f>LOOKUP(D138,'AMFI DATA_2023H1'!B:C,'AMFI DATA_2023H1'!C:C)</f>
        <v>2111</v>
      </c>
      <c r="B138" s="4" t="s">
        <v>5000</v>
      </c>
      <c r="C138" s="4" t="s">
        <v>5001</v>
      </c>
      <c r="D138" s="5" t="s">
        <v>5002</v>
      </c>
      <c r="E138" s="5">
        <f>LOOKUP(D138,'AMFI DATA_2023H1'!B:D,'AMFI DATA_2023H1'!D:D)</f>
        <v>119.33</v>
      </c>
      <c r="F138" s="7">
        <f t="shared" si="0"/>
        <v>0.60060336880918475</v>
      </c>
      <c r="G138" s="9">
        <v>191</v>
      </c>
      <c r="H138" s="9">
        <v>191</v>
      </c>
      <c r="I138" s="9">
        <v>198</v>
      </c>
      <c r="J138" s="9">
        <v>194</v>
      </c>
      <c r="K138" s="9">
        <v>201</v>
      </c>
      <c r="L138" s="9">
        <v>201</v>
      </c>
      <c r="M138" s="9"/>
      <c r="N138" s="9"/>
      <c r="O138" s="9"/>
      <c r="P138" s="9"/>
      <c r="Q138" s="9">
        <f ca="1">IFERROR(__xludf.DUMMYFUNCTION("GOOGLEFINANCE(C138,""changepct"")"),4.99)</f>
        <v>4.99</v>
      </c>
      <c r="R138" s="9"/>
      <c r="S138" s="9"/>
      <c r="T138" s="9"/>
      <c r="U138" s="9"/>
      <c r="V138" s="9"/>
      <c r="W138" s="9"/>
    </row>
    <row r="139" spans="1:23" ht="14.4">
      <c r="A139" s="3">
        <f>LOOKUP(D139,'AMFI DATA_2023H1'!B:C,'AMFI DATA_2023H1'!C:C)</f>
        <v>579</v>
      </c>
      <c r="B139" s="4" t="s">
        <v>1863</v>
      </c>
      <c r="C139" s="4" t="s">
        <v>1864</v>
      </c>
      <c r="D139" s="5" t="s">
        <v>1865</v>
      </c>
      <c r="E139" s="5">
        <f>LOOKUP(D139,'AMFI DATA_2023H1'!B:D,'AMFI DATA_2023H1'!D:D)</f>
        <v>3972.1</v>
      </c>
      <c r="F139" s="7">
        <f t="shared" si="0"/>
        <v>0.38214042949573268</v>
      </c>
      <c r="G139" s="8">
        <v>5490</v>
      </c>
      <c r="H139" s="8">
        <v>5464</v>
      </c>
      <c r="I139" s="8">
        <v>5488</v>
      </c>
      <c r="J139" s="8">
        <v>5555</v>
      </c>
      <c r="K139" s="8">
        <v>5564</v>
      </c>
      <c r="L139" s="8">
        <v>5479</v>
      </c>
      <c r="M139" s="8"/>
      <c r="N139" s="8"/>
      <c r="O139" s="8"/>
      <c r="P139" s="8"/>
      <c r="Q139" s="9">
        <f ca="1">IFERROR(__xludf.DUMMYFUNCTION("GOOGLEFINANCE(C139,""changepct"")"),2)</f>
        <v>2</v>
      </c>
      <c r="R139" s="8"/>
      <c r="S139" s="8"/>
      <c r="T139" s="8"/>
      <c r="U139" s="8"/>
      <c r="V139" s="8"/>
      <c r="W139" s="8"/>
    </row>
    <row r="140" spans="1:23" ht="14.4">
      <c r="A140" s="3">
        <f>LOOKUP(D140,'AMFI DATA_2023H1'!B:C,'AMFI DATA_2023H1'!C:C)</f>
        <v>694</v>
      </c>
      <c r="B140" s="4" t="s">
        <v>1857</v>
      </c>
      <c r="C140" s="4" t="s">
        <v>1858</v>
      </c>
      <c r="D140" s="5" t="s">
        <v>1859</v>
      </c>
      <c r="E140" s="5">
        <f>LOOKUP(D140,'AMFI DATA_2023H1'!B:D,'AMFI DATA_2023H1'!D:D)</f>
        <v>2604.35</v>
      </c>
      <c r="F140" s="7">
        <f t="shared" si="0"/>
        <v>1.5326856989267958</v>
      </c>
      <c r="G140" s="8">
        <v>6596</v>
      </c>
      <c r="H140" s="8">
        <v>6840</v>
      </c>
      <c r="I140" s="8">
        <v>6753</v>
      </c>
      <c r="J140" s="8">
        <v>6807</v>
      </c>
      <c r="K140" s="8">
        <v>6958</v>
      </c>
      <c r="L140" s="8">
        <v>6783</v>
      </c>
      <c r="M140" s="8"/>
      <c r="N140" s="8"/>
      <c r="O140" s="8"/>
      <c r="P140" s="8"/>
      <c r="Q140" s="9">
        <f ca="1">IFERROR(__xludf.DUMMYFUNCTION("GOOGLEFINANCE(C140,""changepct"")"),2.87)</f>
        <v>2.87</v>
      </c>
      <c r="R140" s="8"/>
      <c r="S140" s="8"/>
      <c r="T140" s="8"/>
      <c r="U140" s="8"/>
      <c r="V140" s="8"/>
      <c r="W140" s="8"/>
    </row>
    <row r="141" spans="1:23" ht="14.4">
      <c r="A141" s="3">
        <f>LOOKUP(D141,'AMFI DATA_2023H1'!B:C,'AMFI DATA_2023H1'!C:C)</f>
        <v>930</v>
      </c>
      <c r="B141" s="4" t="s">
        <v>2909</v>
      </c>
      <c r="C141" s="4" t="s">
        <v>2910</v>
      </c>
      <c r="D141" s="5" t="s">
        <v>2911</v>
      </c>
      <c r="E141" s="5">
        <f>LOOKUP(D141,'AMFI DATA_2023H1'!B:D,'AMFI DATA_2023H1'!D:D)</f>
        <v>1373.8</v>
      </c>
      <c r="F141" s="7">
        <f t="shared" si="0"/>
        <v>0.42524384917746394</v>
      </c>
      <c r="G141" s="8">
        <v>1958</v>
      </c>
      <c r="H141" s="8">
        <v>1937</v>
      </c>
      <c r="I141" s="8">
        <v>1941</v>
      </c>
      <c r="J141" s="8">
        <v>1924</v>
      </c>
      <c r="K141" s="8">
        <v>1925</v>
      </c>
      <c r="L141" s="8">
        <v>1911</v>
      </c>
      <c r="M141" s="8"/>
      <c r="N141" s="8"/>
      <c r="O141" s="8"/>
      <c r="P141" s="8"/>
      <c r="Q141" s="9">
        <f ca="1">IFERROR(__xludf.DUMMYFUNCTION("GOOGLEFINANCE(C141,""changepct"")"),2.2)</f>
        <v>2.2000000000000002</v>
      </c>
      <c r="R141" s="8"/>
      <c r="S141" s="8"/>
      <c r="T141" s="8"/>
      <c r="U141" s="8"/>
      <c r="V141" s="8"/>
      <c r="W141" s="8"/>
    </row>
    <row r="142" spans="1:23" ht="14.4">
      <c r="A142" s="3">
        <f>LOOKUP(D142,'AMFI DATA_2023H1'!B:C,'AMFI DATA_2023H1'!C:C)</f>
        <v>311</v>
      </c>
      <c r="B142" s="4" t="s">
        <v>1014</v>
      </c>
      <c r="C142" s="4" t="s">
        <v>1015</v>
      </c>
      <c r="D142" s="5" t="s">
        <v>1016</v>
      </c>
      <c r="E142" s="5">
        <f>LOOKUP(D142,'AMFI DATA_2023H1'!B:D,'AMFI DATA_2023H1'!D:D)</f>
        <v>11745.9</v>
      </c>
      <c r="F142" s="7">
        <f t="shared" si="0"/>
        <v>0.18381733200521033</v>
      </c>
      <c r="G142" s="8">
        <v>13905</v>
      </c>
      <c r="H142" s="8">
        <v>14017</v>
      </c>
      <c r="I142" s="8">
        <v>13801</v>
      </c>
      <c r="J142" s="8">
        <v>13595</v>
      </c>
      <c r="K142" s="8">
        <v>13498</v>
      </c>
      <c r="L142" s="8">
        <v>13671</v>
      </c>
      <c r="M142" s="8"/>
      <c r="N142" s="8"/>
      <c r="O142" s="8"/>
      <c r="P142" s="8"/>
      <c r="Q142" s="9">
        <f ca="1">IFERROR(__xludf.DUMMYFUNCTION("GOOGLEFINANCE(C142,""changepct"")"),-1.9)</f>
        <v>-1.9</v>
      </c>
      <c r="R142" s="8"/>
      <c r="S142" s="8"/>
      <c r="T142" s="8"/>
      <c r="U142" s="8"/>
      <c r="V142" s="8"/>
      <c r="W142" s="8"/>
    </row>
    <row r="143" spans="1:23" ht="14.4">
      <c r="A143" s="3">
        <f>LOOKUP(D143,'AMFI DATA_2023H1'!B:C,'AMFI DATA_2023H1'!C:C)</f>
        <v>1665</v>
      </c>
      <c r="B143" s="4" t="s">
        <v>4400</v>
      </c>
      <c r="C143" s="4" t="s">
        <v>4401</v>
      </c>
      <c r="D143" s="5" t="s">
        <v>4402</v>
      </c>
      <c r="E143" s="5">
        <f>LOOKUP(D143,'AMFI DATA_2023H1'!B:D,'AMFI DATA_2023H1'!D:D)</f>
        <v>254.66</v>
      </c>
      <c r="F143" s="7">
        <f t="shared" si="0"/>
        <v>0.40186915887850461</v>
      </c>
      <c r="G143" s="9">
        <v>357</v>
      </c>
      <c r="H143" s="9">
        <v>365</v>
      </c>
      <c r="I143" s="9">
        <v>360</v>
      </c>
      <c r="J143" s="9">
        <v>356</v>
      </c>
      <c r="K143" s="9">
        <v>352</v>
      </c>
      <c r="L143" s="9">
        <v>342</v>
      </c>
      <c r="M143" s="9"/>
      <c r="N143" s="9"/>
      <c r="O143" s="9"/>
      <c r="P143" s="9"/>
      <c r="Q143" s="9">
        <f ca="1">IFERROR(__xludf.DUMMYFUNCTION("GOOGLEFINANCE(C143,""changepct"")"),-2.36)</f>
        <v>-2.36</v>
      </c>
      <c r="R143" s="9"/>
      <c r="S143" s="9"/>
      <c r="T143" s="9"/>
      <c r="U143" s="9"/>
      <c r="V143" s="9"/>
      <c r="W143" s="9"/>
    </row>
    <row r="144" spans="1:23" ht="14.4">
      <c r="A144" s="3">
        <f>LOOKUP(D144,'AMFI DATA_2023H1'!B:C,'AMFI DATA_2023H1'!C:C)</f>
        <v>1022</v>
      </c>
      <c r="B144" s="4" t="s">
        <v>2432</v>
      </c>
      <c r="C144" s="4" t="s">
        <v>2433</v>
      </c>
      <c r="D144" s="5" t="s">
        <v>2434</v>
      </c>
      <c r="E144" s="5">
        <f>LOOKUP(D144,'AMFI DATA_2023H1'!B:D,'AMFI DATA_2023H1'!D:D)</f>
        <v>1087.9000000000001</v>
      </c>
      <c r="F144" s="7">
        <f t="shared" si="0"/>
        <v>2.550877838036584</v>
      </c>
      <c r="G144" s="8">
        <v>3863</v>
      </c>
      <c r="H144" s="8">
        <v>3852</v>
      </c>
      <c r="I144" s="8">
        <v>3903</v>
      </c>
      <c r="J144" s="8">
        <v>3925</v>
      </c>
      <c r="K144" s="8">
        <v>3757</v>
      </c>
      <c r="L144" s="8">
        <v>3829</v>
      </c>
      <c r="M144" s="8"/>
      <c r="N144" s="8"/>
      <c r="O144" s="8"/>
      <c r="P144" s="8"/>
      <c r="Q144" s="9">
        <f ca="1">IFERROR(__xludf.DUMMYFUNCTION("GOOGLEFINANCE(C144,""changepct"")"),1.75)</f>
        <v>1.75</v>
      </c>
      <c r="R144" s="8"/>
      <c r="S144" s="8"/>
      <c r="T144" s="8"/>
      <c r="U144" s="8"/>
      <c r="V144" s="8"/>
      <c r="W144" s="8"/>
    </row>
    <row r="145" spans="1:23" ht="14.4">
      <c r="A145" s="3">
        <f>LOOKUP(D145,'AMFI DATA_2023H1'!B:C,'AMFI DATA_2023H1'!C:C)</f>
        <v>861</v>
      </c>
      <c r="B145" s="4" t="s">
        <v>2552</v>
      </c>
      <c r="C145" s="4" t="s">
        <v>2553</v>
      </c>
      <c r="D145" s="5" t="s">
        <v>2554</v>
      </c>
      <c r="E145" s="5">
        <f>LOOKUP(D145,'AMFI DATA_2023H1'!B:D,'AMFI DATA_2023H1'!D:D)</f>
        <v>1671.25</v>
      </c>
      <c r="F145" s="7">
        <f t="shared" si="0"/>
        <v>0.75796559461480917</v>
      </c>
      <c r="G145" s="8">
        <v>2938</v>
      </c>
      <c r="H145" s="8">
        <v>2793</v>
      </c>
      <c r="I145" s="8">
        <v>2772</v>
      </c>
      <c r="J145" s="8">
        <v>2766</v>
      </c>
      <c r="K145" s="8">
        <v>2763</v>
      </c>
      <c r="L145" s="8">
        <v>2819</v>
      </c>
      <c r="M145" s="8"/>
      <c r="N145" s="8"/>
      <c r="O145" s="8"/>
      <c r="P145" s="8"/>
      <c r="Q145" s="9">
        <f ca="1">IFERROR(__xludf.DUMMYFUNCTION("GOOGLEFINANCE(C145,""changepct"")"),2.04)</f>
        <v>2.04</v>
      </c>
      <c r="R145" s="8"/>
      <c r="S145" s="8"/>
      <c r="T145" s="8"/>
      <c r="U145" s="8"/>
      <c r="V145" s="8"/>
      <c r="W145" s="8"/>
    </row>
    <row r="146" spans="1:23" ht="14.4">
      <c r="A146" s="3">
        <f>LOOKUP(D146,'AMFI DATA_2023H1'!B:C,'AMFI DATA_2023H1'!C:C)</f>
        <v>1614</v>
      </c>
      <c r="B146" s="4" t="s">
        <v>4448</v>
      </c>
      <c r="C146" s="4" t="s">
        <v>4449</v>
      </c>
      <c r="D146" s="5" t="s">
        <v>4450</v>
      </c>
      <c r="E146" s="5">
        <f>LOOKUP(D146,'AMFI DATA_2023H1'!B:D,'AMFI DATA_2023H1'!D:D)</f>
        <v>279.12</v>
      </c>
      <c r="F146" s="7">
        <f t="shared" si="0"/>
        <v>0.19661794210375461</v>
      </c>
      <c r="G146" s="9">
        <v>334</v>
      </c>
      <c r="H146" s="9">
        <v>329</v>
      </c>
      <c r="I146" s="9">
        <v>328</v>
      </c>
      <c r="J146" s="9">
        <v>329</v>
      </c>
      <c r="K146" s="9">
        <v>337</v>
      </c>
      <c r="L146" s="9">
        <v>343</v>
      </c>
      <c r="M146" s="9"/>
      <c r="N146" s="9"/>
      <c r="O146" s="9"/>
      <c r="P146" s="9"/>
      <c r="Q146" s="9">
        <f ca="1">IFERROR(__xludf.DUMMYFUNCTION("GOOGLEFINANCE(C146,""changepct"")"),-1.58)</f>
        <v>-1.58</v>
      </c>
      <c r="R146" s="9"/>
      <c r="S146" s="9"/>
      <c r="T146" s="9"/>
      <c r="U146" s="9"/>
      <c r="V146" s="9"/>
      <c r="W146" s="9"/>
    </row>
    <row r="147" spans="1:23" ht="14.4">
      <c r="A147" s="3">
        <f>LOOKUP(D147,'AMFI DATA_2023H1'!B:C,'AMFI DATA_2023H1'!C:C)</f>
        <v>119</v>
      </c>
      <c r="B147" s="4" t="s">
        <v>381</v>
      </c>
      <c r="C147" s="4" t="s">
        <v>382</v>
      </c>
      <c r="D147" s="5" t="s">
        <v>383</v>
      </c>
      <c r="E147" s="5">
        <f>LOOKUP(D147,'AMFI DATA_2023H1'!B:D,'AMFI DATA_2023H1'!D:D)</f>
        <v>43197.71</v>
      </c>
      <c r="F147" s="7">
        <f t="shared" si="0"/>
        <v>0.2649050146408225</v>
      </c>
      <c r="G147" s="8">
        <v>54641</v>
      </c>
      <c r="H147" s="8">
        <v>53247</v>
      </c>
      <c r="I147" s="8">
        <v>51441</v>
      </c>
      <c r="J147" s="8">
        <v>51118</v>
      </c>
      <c r="K147" s="8">
        <v>51074</v>
      </c>
      <c r="L147" s="8">
        <v>50501</v>
      </c>
      <c r="M147" s="8"/>
      <c r="N147" s="8"/>
      <c r="O147" s="8"/>
      <c r="P147" s="8"/>
      <c r="Q147" s="9">
        <f ca="1">IFERROR(__xludf.DUMMYFUNCTION("GOOGLEFINANCE(C147,""changepct"")"),0.52)</f>
        <v>0.52</v>
      </c>
      <c r="R147" s="8"/>
      <c r="S147" s="8"/>
      <c r="T147" s="8"/>
      <c r="U147" s="8"/>
      <c r="V147" s="8"/>
      <c r="W147" s="8"/>
    </row>
    <row r="148" spans="1:23" ht="14.4">
      <c r="A148" s="3">
        <f>LOOKUP(D148,'AMFI DATA_2023H1'!B:C,'AMFI DATA_2023H1'!C:C)</f>
        <v>737</v>
      </c>
      <c r="B148" s="4" t="s">
        <v>2201</v>
      </c>
      <c r="C148" s="4" t="s">
        <v>2202</v>
      </c>
      <c r="D148" s="5" t="s">
        <v>2203</v>
      </c>
      <c r="E148" s="5">
        <f>LOOKUP(D148,'AMFI DATA_2023H1'!B:D,'AMFI DATA_2023H1'!D:D)</f>
        <v>2277.75</v>
      </c>
      <c r="F148" s="7">
        <f t="shared" si="0"/>
        <v>0.68850839644385897</v>
      </c>
      <c r="G148" s="8">
        <v>3846</v>
      </c>
      <c r="H148" s="8">
        <v>3908</v>
      </c>
      <c r="I148" s="8">
        <v>3846</v>
      </c>
      <c r="J148" s="8">
        <v>3881</v>
      </c>
      <c r="K148" s="8">
        <v>3930</v>
      </c>
      <c r="L148" s="8">
        <v>3859</v>
      </c>
      <c r="M148" s="8"/>
      <c r="N148" s="8"/>
      <c r="O148" s="8"/>
      <c r="P148" s="8"/>
      <c r="Q148" s="9">
        <f ca="1">IFERROR(__xludf.DUMMYFUNCTION("GOOGLEFINANCE(C148,""changepct"")"),0.62)</f>
        <v>0.62</v>
      </c>
      <c r="R148" s="8"/>
      <c r="S148" s="8"/>
      <c r="T148" s="8"/>
      <c r="U148" s="8"/>
      <c r="V148" s="8"/>
      <c r="W148" s="8"/>
    </row>
    <row r="149" spans="1:23" ht="14.4">
      <c r="A149" s="3">
        <f>LOOKUP(D149,'AMFI DATA_2023H1'!B:C,'AMFI DATA_2023H1'!C:C)</f>
        <v>2764</v>
      </c>
      <c r="B149" s="4" t="s">
        <v>5464</v>
      </c>
      <c r="C149" s="4" t="s">
        <v>5465</v>
      </c>
      <c r="D149" s="5" t="s">
        <v>5466</v>
      </c>
      <c r="E149" s="5">
        <f>LOOKUP(D149,'AMFI DATA_2023H1'!B:D,'AMFI DATA_2023H1'!D:D)</f>
        <v>42.11</v>
      </c>
      <c r="F149" s="7">
        <f t="shared" si="0"/>
        <v>0.93303253383994322</v>
      </c>
      <c r="G149" s="9">
        <v>81.400000000000006</v>
      </c>
      <c r="H149" s="9">
        <v>86.4</v>
      </c>
      <c r="I149" s="9">
        <v>72</v>
      </c>
      <c r="J149" s="9">
        <v>69.400000000000006</v>
      </c>
      <c r="K149" s="9">
        <v>64.099999999999994</v>
      </c>
      <c r="L149" s="9">
        <v>62.9</v>
      </c>
      <c r="M149" s="9"/>
      <c r="N149" s="9"/>
      <c r="O149" s="9"/>
      <c r="P149" s="9"/>
      <c r="Q149" s="9">
        <f ca="1">IFERROR(__xludf.DUMMYFUNCTION("GOOGLEFINANCE(C149,""changepct"")"),9.47)</f>
        <v>9.4700000000000006</v>
      </c>
      <c r="R149" s="9"/>
      <c r="S149" s="9"/>
      <c r="T149" s="9"/>
      <c r="U149" s="9"/>
      <c r="V149" s="9"/>
      <c r="W149" s="9"/>
    </row>
    <row r="150" spans="1:23" ht="14.4">
      <c r="A150" s="3">
        <f>LOOKUP(D150,'AMFI DATA_2023H1'!B:C,'AMFI DATA_2023H1'!C:C)</f>
        <v>1502</v>
      </c>
      <c r="B150" s="4" t="s">
        <v>3719</v>
      </c>
      <c r="C150" s="4" t="s">
        <v>3720</v>
      </c>
      <c r="D150" s="5" t="s">
        <v>3721</v>
      </c>
      <c r="E150" s="5">
        <f>LOOKUP(D150,'AMFI DATA_2023H1'!B:D,'AMFI DATA_2023H1'!D:D)</f>
        <v>344.24</v>
      </c>
      <c r="F150" s="7">
        <f t="shared" si="0"/>
        <v>2.0531024866372296</v>
      </c>
      <c r="G150" s="8">
        <v>1051</v>
      </c>
      <c r="H150" s="8">
        <v>1038</v>
      </c>
      <c r="I150" s="8">
        <v>1061</v>
      </c>
      <c r="J150" s="8">
        <v>1073</v>
      </c>
      <c r="K150" s="8">
        <v>1100</v>
      </c>
      <c r="L150" s="8">
        <v>1091</v>
      </c>
      <c r="M150" s="8"/>
      <c r="N150" s="8"/>
      <c r="O150" s="8"/>
      <c r="P150" s="8"/>
      <c r="Q150" s="9">
        <f ca="1">IFERROR(__xludf.DUMMYFUNCTION("GOOGLEFINANCE(C150,""changepct"")"),-2.34)</f>
        <v>-2.34</v>
      </c>
      <c r="R150" s="8"/>
      <c r="S150" s="8"/>
      <c r="T150" s="8"/>
      <c r="U150" s="8"/>
      <c r="V150" s="8"/>
      <c r="W150" s="8"/>
    </row>
    <row r="151" spans="1:23" ht="14.4">
      <c r="A151" s="3">
        <f>LOOKUP(D151,'AMFI DATA_2023H1'!B:C,'AMFI DATA_2023H1'!C:C)</f>
        <v>1268</v>
      </c>
      <c r="B151" s="4" t="s">
        <v>3539</v>
      </c>
      <c r="C151" s="4" t="s">
        <v>3540</v>
      </c>
      <c r="D151" s="5" t="s">
        <v>3541</v>
      </c>
      <c r="E151" s="5">
        <f>LOOKUP(D151,'AMFI DATA_2023H1'!B:D,'AMFI DATA_2023H1'!D:D)</f>
        <v>569.99</v>
      </c>
      <c r="F151" s="7">
        <f t="shared" si="0"/>
        <v>0.69652099159634373</v>
      </c>
      <c r="G151" s="9">
        <v>967</v>
      </c>
      <c r="H151" s="9">
        <v>953</v>
      </c>
      <c r="I151" s="9">
        <v>970</v>
      </c>
      <c r="J151" s="9">
        <v>992</v>
      </c>
      <c r="K151" s="9">
        <v>985</v>
      </c>
      <c r="L151" s="9">
        <v>908</v>
      </c>
      <c r="M151" s="9"/>
      <c r="N151" s="9"/>
      <c r="O151" s="9"/>
      <c r="P151" s="9"/>
      <c r="Q151" s="9">
        <f ca="1">IFERROR(__xludf.DUMMYFUNCTION("GOOGLEFINANCE(C151,""changepct"")"),0.54)</f>
        <v>0.54</v>
      </c>
      <c r="R151" s="9"/>
      <c r="S151" s="9"/>
      <c r="T151" s="9"/>
      <c r="U151" s="9"/>
      <c r="V151" s="9"/>
      <c r="W151" s="9"/>
    </row>
    <row r="152" spans="1:23" ht="14.4">
      <c r="A152" s="3">
        <f>LOOKUP(D152,'AMFI DATA_2023H1'!B:C,'AMFI DATA_2023H1'!C:C)</f>
        <v>1770</v>
      </c>
      <c r="B152" s="4" t="s">
        <v>4571</v>
      </c>
      <c r="C152" s="4" t="s">
        <v>4572</v>
      </c>
      <c r="D152" s="5" t="s">
        <v>4573</v>
      </c>
      <c r="E152" s="5">
        <f>LOOKUP(D152,'AMFI DATA_2023H1'!B:D,'AMFI DATA_2023H1'!D:D)</f>
        <v>205.52</v>
      </c>
      <c r="F152" s="7">
        <f t="shared" si="0"/>
        <v>0.2504865706500583</v>
      </c>
      <c r="G152" s="9">
        <v>257</v>
      </c>
      <c r="H152" s="9">
        <v>246</v>
      </c>
      <c r="I152" s="9">
        <v>245</v>
      </c>
      <c r="J152" s="9">
        <v>246</v>
      </c>
      <c r="K152" s="9">
        <v>248</v>
      </c>
      <c r="L152" s="9">
        <v>247</v>
      </c>
      <c r="M152" s="9"/>
      <c r="N152" s="9"/>
      <c r="O152" s="9"/>
      <c r="P152" s="9"/>
      <c r="Q152" s="9">
        <f ca="1">IFERROR(__xludf.DUMMYFUNCTION("GOOGLEFINANCE(C152,""changepct"")"),-3.15)</f>
        <v>-3.15</v>
      </c>
      <c r="R152" s="9"/>
      <c r="S152" s="9"/>
      <c r="T152" s="9"/>
      <c r="U152" s="9"/>
      <c r="V152" s="9"/>
      <c r="W152" s="9"/>
    </row>
    <row r="153" spans="1:23" ht="14.4">
      <c r="A153" s="3">
        <f>LOOKUP(D153,'AMFI DATA_2023H1'!B:C,'AMFI DATA_2023H1'!C:C)</f>
        <v>1717</v>
      </c>
      <c r="B153" s="4" t="s">
        <v>4310</v>
      </c>
      <c r="C153" s="4" t="s">
        <v>4311</v>
      </c>
      <c r="D153" s="5" t="s">
        <v>4312</v>
      </c>
      <c r="E153" s="5">
        <f>LOOKUP(D153,'AMFI DATA_2023H1'!B:D,'AMFI DATA_2023H1'!D:D)</f>
        <v>235.03</v>
      </c>
      <c r="F153" s="7">
        <f t="shared" si="0"/>
        <v>0.9018848657618177</v>
      </c>
      <c r="G153" s="9">
        <v>447</v>
      </c>
      <c r="H153" s="9">
        <v>448</v>
      </c>
      <c r="I153" s="9">
        <v>440</v>
      </c>
      <c r="J153" s="9">
        <v>438</v>
      </c>
      <c r="K153" s="9">
        <v>437</v>
      </c>
      <c r="L153" s="9">
        <v>442</v>
      </c>
      <c r="M153" s="9"/>
      <c r="N153" s="9"/>
      <c r="O153" s="9"/>
      <c r="P153" s="9"/>
      <c r="Q153" s="9">
        <f ca="1">IFERROR(__xludf.DUMMYFUNCTION("GOOGLEFINANCE(C153,""changepct"")"),-2.83)</f>
        <v>-2.83</v>
      </c>
      <c r="R153" s="9"/>
      <c r="S153" s="9"/>
      <c r="T153" s="9"/>
      <c r="U153" s="9"/>
      <c r="V153" s="9"/>
      <c r="W153" s="9"/>
    </row>
    <row r="154" spans="1:23" ht="14.4">
      <c r="A154" s="3">
        <f>LOOKUP(D154,'AMFI DATA_2023H1'!B:C,'AMFI DATA_2023H1'!C:C)</f>
        <v>16</v>
      </c>
      <c r="B154" s="4" t="s">
        <v>52</v>
      </c>
      <c r="C154" s="4" t="s">
        <v>53</v>
      </c>
      <c r="D154" s="5" t="s">
        <v>54</v>
      </c>
      <c r="E154" s="5">
        <f>LOOKUP(D154,'AMFI DATA_2023H1'!B:D,'AMFI DATA_2023H1'!D:D)</f>
        <v>283339.38</v>
      </c>
      <c r="F154" s="7">
        <f t="shared" si="0"/>
        <v>0.14864372188574704</v>
      </c>
      <c r="G154" s="8">
        <v>325456</v>
      </c>
      <c r="H154" s="8">
        <v>326357</v>
      </c>
      <c r="I154" s="8">
        <v>325571</v>
      </c>
      <c r="J154" s="8">
        <v>326415</v>
      </c>
      <c r="K154" s="8">
        <v>324506</v>
      </c>
      <c r="L154" s="8">
        <v>320497</v>
      </c>
      <c r="M154" s="8"/>
      <c r="N154" s="8"/>
      <c r="O154" s="8"/>
      <c r="P154" s="8"/>
      <c r="Q154" s="9">
        <f ca="1">IFERROR(__xludf.DUMMYFUNCTION("GOOGLEFINANCE(C154,""changepct"")"),-0.66)</f>
        <v>-0.66</v>
      </c>
      <c r="R154" s="8"/>
      <c r="S154" s="8"/>
      <c r="T154" s="8"/>
      <c r="U154" s="8"/>
      <c r="V154" s="8"/>
      <c r="W154" s="8"/>
    </row>
    <row r="155" spans="1:23" ht="14.4">
      <c r="A155" s="3">
        <f>LOOKUP(D155,'AMFI DATA_2023H1'!B:C,'AMFI DATA_2023H1'!C:C)</f>
        <v>1268</v>
      </c>
      <c r="B155" s="4" t="s">
        <v>1725</v>
      </c>
      <c r="C155" s="4" t="s">
        <v>1726</v>
      </c>
      <c r="D155" s="5" t="s">
        <v>1727</v>
      </c>
      <c r="E155" s="5">
        <f>LOOKUP(D155,'AMFI DATA_2023H1'!B:D,'AMFI DATA_2023H1'!D:D)</f>
        <v>569.99</v>
      </c>
      <c r="F155" s="7">
        <f t="shared" si="0"/>
        <v>8.8843839365602904</v>
      </c>
      <c r="G155" s="8">
        <v>5634</v>
      </c>
      <c r="H155" s="8">
        <v>5727</v>
      </c>
      <c r="I155" s="8">
        <v>5683</v>
      </c>
      <c r="J155" s="8">
        <v>5613</v>
      </c>
      <c r="K155" s="8">
        <v>5522</v>
      </c>
      <c r="L155" s="8">
        <v>5517</v>
      </c>
      <c r="M155" s="8"/>
      <c r="N155" s="8"/>
      <c r="O155" s="8"/>
      <c r="P155" s="8"/>
      <c r="Q155" s="9">
        <f ca="1">IFERROR(__xludf.DUMMYFUNCTION("GOOGLEFINANCE(C155,""changepct"")"),2.5)</f>
        <v>2.5</v>
      </c>
      <c r="R155" s="8"/>
      <c r="S155" s="8"/>
      <c r="T155" s="8"/>
      <c r="U155" s="8"/>
      <c r="V155" s="8"/>
      <c r="W155" s="8"/>
    </row>
    <row r="156" spans="1:23" ht="14.4">
      <c r="A156" s="3">
        <f>LOOKUP(D156,'AMFI DATA_2023H1'!B:C,'AMFI DATA_2023H1'!C:C)</f>
        <v>1878</v>
      </c>
      <c r="B156" s="4" t="s">
        <v>4727</v>
      </c>
      <c r="C156" s="4" t="s">
        <v>4728</v>
      </c>
      <c r="D156" s="5" t="s">
        <v>4729</v>
      </c>
      <c r="E156" s="5">
        <f>LOOKUP(D156,'AMFI DATA_2023H1'!B:D,'AMFI DATA_2023H1'!D:D)</f>
        <v>171.11</v>
      </c>
      <c r="F156" s="7">
        <f t="shared" si="0"/>
        <v>0.13961778972590722</v>
      </c>
      <c r="G156" s="9">
        <v>195</v>
      </c>
      <c r="H156" s="9">
        <v>194</v>
      </c>
      <c r="I156" s="9">
        <v>196</v>
      </c>
      <c r="J156" s="9">
        <v>196</v>
      </c>
      <c r="K156" s="9">
        <v>196</v>
      </c>
      <c r="L156" s="9">
        <v>199</v>
      </c>
      <c r="M156" s="9"/>
      <c r="N156" s="9"/>
      <c r="O156" s="9"/>
      <c r="P156" s="9"/>
      <c r="Q156" s="9">
        <f ca="1">IFERROR(__xludf.DUMMYFUNCTION("GOOGLEFINANCE(C156,""changepct"")"),-1.33)</f>
        <v>-1.33</v>
      </c>
      <c r="R156" s="9"/>
      <c r="S156" s="9"/>
      <c r="T156" s="9"/>
      <c r="U156" s="9"/>
      <c r="V156" s="9"/>
      <c r="W156" s="9"/>
    </row>
    <row r="157" spans="1:23" ht="14.4">
      <c r="A157" s="3">
        <f>LOOKUP(D157,'AMFI DATA_2023H1'!B:C,'AMFI DATA_2023H1'!C:C)</f>
        <v>1206</v>
      </c>
      <c r="B157" s="4" t="s">
        <v>3551</v>
      </c>
      <c r="C157" s="4" t="s">
        <v>3552</v>
      </c>
      <c r="D157" s="5" t="s">
        <v>3553</v>
      </c>
      <c r="E157" s="5">
        <f>LOOKUP(D157,'AMFI DATA_2023H1'!B:D,'AMFI DATA_2023H1'!D:D)</f>
        <v>688.28</v>
      </c>
      <c r="F157" s="7">
        <f t="shared" si="0"/>
        <v>0.31487185447782884</v>
      </c>
      <c r="G157" s="9">
        <v>905</v>
      </c>
      <c r="H157" s="9">
        <v>877</v>
      </c>
      <c r="I157" s="9">
        <v>868</v>
      </c>
      <c r="J157" s="9">
        <v>884</v>
      </c>
      <c r="K157" s="9">
        <v>875</v>
      </c>
      <c r="L157" s="9">
        <v>854</v>
      </c>
      <c r="M157" s="9"/>
      <c r="N157" s="9"/>
      <c r="O157" s="9"/>
      <c r="P157" s="9"/>
      <c r="Q157" s="9">
        <f ca="1">IFERROR(__xludf.DUMMYFUNCTION("GOOGLEFINANCE(C157,""changepct"")"),2.89)</f>
        <v>2.89</v>
      </c>
      <c r="R157" s="9"/>
      <c r="S157" s="9"/>
      <c r="T157" s="9"/>
      <c r="U157" s="9"/>
      <c r="V157" s="9"/>
      <c r="W157" s="9"/>
    </row>
    <row r="158" spans="1:23" ht="14.4">
      <c r="A158" s="3">
        <f>LOOKUP(D158,'AMFI DATA_2023H1'!B:C,'AMFI DATA_2023H1'!C:C)</f>
        <v>677</v>
      </c>
      <c r="B158" s="4" t="s">
        <v>2465</v>
      </c>
      <c r="C158" s="4" t="s">
        <v>2466</v>
      </c>
      <c r="D158" s="5" t="s">
        <v>2467</v>
      </c>
      <c r="E158" s="5">
        <f>LOOKUP(D158,'AMFI DATA_2023H1'!B:D,'AMFI DATA_2023H1'!D:D)</f>
        <v>2780.42</v>
      </c>
      <c r="F158" s="7">
        <f t="shared" si="0"/>
        <v>-0.23968321332748288</v>
      </c>
      <c r="G158" s="8">
        <v>2114</v>
      </c>
      <c r="H158" s="8">
        <v>2164</v>
      </c>
      <c r="I158" s="8">
        <v>2167</v>
      </c>
      <c r="J158" s="8">
        <v>2182</v>
      </c>
      <c r="K158" s="8">
        <v>2244</v>
      </c>
      <c r="L158" s="8">
        <v>2176</v>
      </c>
      <c r="M158" s="8"/>
      <c r="N158" s="8"/>
      <c r="O158" s="8"/>
      <c r="P158" s="8"/>
      <c r="Q158" s="9">
        <f ca="1">IFERROR(__xludf.DUMMYFUNCTION("GOOGLEFINANCE(C158,""changepct"")"),1.38)</f>
        <v>1.38</v>
      </c>
      <c r="R158" s="8"/>
      <c r="S158" s="8"/>
      <c r="T158" s="8"/>
      <c r="U158" s="8"/>
      <c r="V158" s="8"/>
      <c r="W158" s="8"/>
    </row>
    <row r="159" spans="1:23" ht="14.4">
      <c r="A159" s="3">
        <f>LOOKUP(D159,'AMFI DATA_2023H1'!B:C,'AMFI DATA_2023H1'!C:C)</f>
        <v>304</v>
      </c>
      <c r="B159" s="4" t="s">
        <v>900</v>
      </c>
      <c r="C159" s="4" t="s">
        <v>901</v>
      </c>
      <c r="D159" s="5" t="s">
        <v>902</v>
      </c>
      <c r="E159" s="5">
        <f>LOOKUP(D159,'AMFI DATA_2023H1'!B:D,'AMFI DATA_2023H1'!D:D)</f>
        <v>12170.69</v>
      </c>
      <c r="F159" s="7">
        <f t="shared" si="0"/>
        <v>0.65791750508804347</v>
      </c>
      <c r="G159" s="8">
        <v>20178</v>
      </c>
      <c r="H159" s="8">
        <v>20470</v>
      </c>
      <c r="I159" s="8">
        <v>20130</v>
      </c>
      <c r="J159" s="8">
        <v>20080</v>
      </c>
      <c r="K159" s="8">
        <v>19983</v>
      </c>
      <c r="L159" s="8">
        <v>19778</v>
      </c>
      <c r="M159" s="8"/>
      <c r="N159" s="8"/>
      <c r="O159" s="8"/>
      <c r="P159" s="8"/>
      <c r="Q159" s="9">
        <f ca="1">IFERROR(__xludf.DUMMYFUNCTION("GOOGLEFINANCE(C159,""changepct"")"),-0.18)</f>
        <v>-0.18</v>
      </c>
      <c r="R159" s="8"/>
      <c r="S159" s="8"/>
      <c r="T159" s="8"/>
      <c r="U159" s="8"/>
      <c r="V159" s="8"/>
      <c r="W159" s="8"/>
    </row>
    <row r="160" spans="1:23" ht="14.4">
      <c r="A160" s="3">
        <f>LOOKUP(D160,'AMFI DATA_2023H1'!B:C,'AMFI DATA_2023H1'!C:C)</f>
        <v>697</v>
      </c>
      <c r="B160" s="4" t="s">
        <v>1947</v>
      </c>
      <c r="C160" s="4" t="s">
        <v>1948</v>
      </c>
      <c r="D160" s="5" t="s">
        <v>1949</v>
      </c>
      <c r="E160" s="5">
        <f>LOOKUP(D160,'AMFI DATA_2023H1'!B:D,'AMFI DATA_2023H1'!D:D)</f>
        <v>2602.13</v>
      </c>
      <c r="F160" s="7">
        <f t="shared" si="0"/>
        <v>1.2081909820032051</v>
      </c>
      <c r="G160" s="8">
        <v>5746</v>
      </c>
      <c r="H160" s="8">
        <v>5726</v>
      </c>
      <c r="I160" s="8">
        <v>5820</v>
      </c>
      <c r="J160" s="8">
        <v>5762</v>
      </c>
      <c r="K160" s="8">
        <v>5833</v>
      </c>
      <c r="L160" s="8">
        <v>5777</v>
      </c>
      <c r="M160" s="8"/>
      <c r="N160" s="8"/>
      <c r="O160" s="8"/>
      <c r="P160" s="8"/>
      <c r="Q160" s="9">
        <f ca="1">IFERROR(__xludf.DUMMYFUNCTION("GOOGLEFINANCE(C160,""changepct"")"),-2.83)</f>
        <v>-2.83</v>
      </c>
      <c r="R160" s="8"/>
      <c r="S160" s="8"/>
      <c r="T160" s="8"/>
      <c r="U160" s="8"/>
      <c r="V160" s="8"/>
      <c r="W160" s="8"/>
    </row>
    <row r="161" spans="1:23" ht="14.4">
      <c r="A161" s="3">
        <f>LOOKUP(D161,'AMFI DATA_2023H1'!B:C,'AMFI DATA_2023H1'!C:C)</f>
        <v>124</v>
      </c>
      <c r="B161" s="4" t="s">
        <v>387</v>
      </c>
      <c r="C161" s="4" t="s">
        <v>388</v>
      </c>
      <c r="D161" s="5" t="s">
        <v>389</v>
      </c>
      <c r="E161" s="5">
        <f>LOOKUP(D161,'AMFI DATA_2023H1'!B:D,'AMFI DATA_2023H1'!D:D)</f>
        <v>42036.83</v>
      </c>
      <c r="F161" s="7">
        <f t="shared" si="0"/>
        <v>0.21731348438976017</v>
      </c>
      <c r="G161" s="8">
        <v>51172</v>
      </c>
      <c r="H161" s="8">
        <v>51229</v>
      </c>
      <c r="I161" s="8">
        <v>50878</v>
      </c>
      <c r="J161" s="8">
        <v>51415</v>
      </c>
      <c r="K161" s="8">
        <v>51645</v>
      </c>
      <c r="L161" s="8">
        <v>51950</v>
      </c>
      <c r="M161" s="8"/>
      <c r="N161" s="8"/>
      <c r="O161" s="8"/>
      <c r="P161" s="8"/>
      <c r="Q161" s="9">
        <f ca="1">IFERROR(__xludf.DUMMYFUNCTION("GOOGLEFINANCE(C161,""changepct"")"),1.98)</f>
        <v>1.98</v>
      </c>
      <c r="R161" s="8"/>
      <c r="S161" s="8"/>
      <c r="T161" s="8"/>
      <c r="U161" s="8"/>
      <c r="V161" s="8"/>
      <c r="W161" s="8"/>
    </row>
    <row r="162" spans="1:23" ht="14.4">
      <c r="A162" s="3">
        <f>LOOKUP(D162,'AMFI DATA_2023H1'!B:C,'AMFI DATA_2023H1'!C:C)</f>
        <v>380</v>
      </c>
      <c r="B162" s="4" t="s">
        <v>1152</v>
      </c>
      <c r="C162" s="4" t="s">
        <v>1153</v>
      </c>
      <c r="D162" s="5" t="s">
        <v>1154</v>
      </c>
      <c r="E162" s="5">
        <f>LOOKUP(D162,'AMFI DATA_2023H1'!B:D,'AMFI DATA_2023H1'!D:D)</f>
        <v>8391.5499999999993</v>
      </c>
      <c r="F162" s="7">
        <f t="shared" si="0"/>
        <v>0.67275413958088803</v>
      </c>
      <c r="G162" s="8">
        <v>14037</v>
      </c>
      <c r="H162" s="8">
        <v>13817</v>
      </c>
      <c r="I162" s="8">
        <v>14005</v>
      </c>
      <c r="J162" s="8">
        <v>13908</v>
      </c>
      <c r="K162" s="8">
        <v>14067</v>
      </c>
      <c r="L162" s="8">
        <v>13323</v>
      </c>
      <c r="M162" s="8"/>
      <c r="N162" s="8"/>
      <c r="O162" s="8"/>
      <c r="P162" s="8"/>
      <c r="Q162" s="9">
        <f ca="1">IFERROR(__xludf.DUMMYFUNCTION("GOOGLEFINANCE(C162,""changepct"")"),2.31)</f>
        <v>2.31</v>
      </c>
      <c r="R162" s="8"/>
      <c r="S162" s="8"/>
      <c r="T162" s="8"/>
      <c r="U162" s="8"/>
      <c r="V162" s="8"/>
      <c r="W162" s="8"/>
    </row>
    <row r="163" spans="1:23" ht="14.4">
      <c r="A163" s="3">
        <f>LOOKUP(D163,'AMFI DATA_2023H1'!B:C,'AMFI DATA_2023H1'!C:C)</f>
        <v>2084</v>
      </c>
      <c r="B163" s="4" t="s">
        <v>4982</v>
      </c>
      <c r="C163" s="4" t="s">
        <v>4983</v>
      </c>
      <c r="D163" s="5" t="s">
        <v>4984</v>
      </c>
      <c r="E163" s="5">
        <f>LOOKUP(D163,'AMFI DATA_2023H1'!B:D,'AMFI DATA_2023H1'!D:D)</f>
        <v>124.1</v>
      </c>
      <c r="F163" s="7">
        <f t="shared" si="0"/>
        <v>0.2409347300564062</v>
      </c>
      <c r="G163" s="9">
        <v>154</v>
      </c>
      <c r="H163" s="9">
        <v>151</v>
      </c>
      <c r="I163" s="9">
        <v>144</v>
      </c>
      <c r="J163" s="9">
        <v>141</v>
      </c>
      <c r="K163" s="9">
        <v>141</v>
      </c>
      <c r="L163" s="9">
        <v>135</v>
      </c>
      <c r="M163" s="9"/>
      <c r="N163" s="9"/>
      <c r="O163" s="9"/>
      <c r="P163" s="9"/>
      <c r="Q163" s="9">
        <f ca="1">IFERROR(__xludf.DUMMYFUNCTION("GOOGLEFINANCE(C163,""changepct"")"),2.64)</f>
        <v>2.64</v>
      </c>
      <c r="R163" s="9"/>
      <c r="S163" s="9"/>
      <c r="T163" s="9"/>
      <c r="U163" s="9"/>
      <c r="V163" s="9"/>
      <c r="W163" s="9"/>
    </row>
    <row r="164" spans="1:23" ht="14.4">
      <c r="A164" s="3">
        <f>LOOKUP(D164,'AMFI DATA_2023H1'!B:C,'AMFI DATA_2023H1'!C:C)</f>
        <v>1881</v>
      </c>
      <c r="B164" s="4" t="s">
        <v>4991</v>
      </c>
      <c r="C164" s="4" t="s">
        <v>4992</v>
      </c>
      <c r="D164" s="5" t="s">
        <v>4993</v>
      </c>
      <c r="E164" s="5">
        <f>LOOKUP(D164,'AMFI DATA_2023H1'!B:D,'AMFI DATA_2023H1'!D:D)</f>
        <v>169.99</v>
      </c>
      <c r="F164" s="7">
        <f t="shared" si="0"/>
        <v>-0.46879228189893529</v>
      </c>
      <c r="G164" s="9">
        <v>90.3</v>
      </c>
      <c r="H164" s="9">
        <v>90.1</v>
      </c>
      <c r="I164" s="9">
        <v>89.2</v>
      </c>
      <c r="J164" s="9">
        <v>89.8</v>
      </c>
      <c r="K164" s="9">
        <v>95.9</v>
      </c>
      <c r="L164" s="9">
        <v>94.4</v>
      </c>
      <c r="M164" s="9"/>
      <c r="N164" s="9"/>
      <c r="O164" s="9"/>
      <c r="P164" s="9"/>
      <c r="Q164" s="9">
        <f ca="1">IFERROR(__xludf.DUMMYFUNCTION("GOOGLEFINANCE(C164,""changepct"")"),6.18)</f>
        <v>6.18</v>
      </c>
      <c r="R164" s="9"/>
      <c r="S164" s="9"/>
      <c r="T164" s="9"/>
      <c r="U164" s="9"/>
      <c r="V164" s="9"/>
      <c r="W164" s="9"/>
    </row>
    <row r="165" spans="1:23" ht="14.4">
      <c r="A165" s="3">
        <f>LOOKUP(D165,'AMFI DATA_2023H1'!B:C,'AMFI DATA_2023H1'!C:C)</f>
        <v>1740</v>
      </c>
      <c r="B165" s="4" t="s">
        <v>4676</v>
      </c>
      <c r="C165" s="4" t="s">
        <v>4677</v>
      </c>
      <c r="D165" s="5" t="s">
        <v>4678</v>
      </c>
      <c r="E165" s="5">
        <f>LOOKUP(D165,'AMFI DATA_2023H1'!B:D,'AMFI DATA_2023H1'!D:D)</f>
        <v>218.85</v>
      </c>
      <c r="F165" s="7">
        <f t="shared" si="0"/>
        <v>6.8540095956137748E-4</v>
      </c>
      <c r="G165" s="9">
        <v>219</v>
      </c>
      <c r="H165" s="9">
        <v>225</v>
      </c>
      <c r="I165" s="9">
        <v>222</v>
      </c>
      <c r="J165" s="9">
        <v>215</v>
      </c>
      <c r="K165" s="9">
        <v>210</v>
      </c>
      <c r="L165" s="9">
        <v>215</v>
      </c>
      <c r="M165" s="9"/>
      <c r="N165" s="9"/>
      <c r="O165" s="9"/>
      <c r="P165" s="9"/>
      <c r="Q165" s="9">
        <f ca="1">IFERROR(__xludf.DUMMYFUNCTION("GOOGLEFINANCE(C165,""changepct"")"),6.72)</f>
        <v>6.72</v>
      </c>
      <c r="R165" s="9"/>
      <c r="S165" s="9"/>
      <c r="T165" s="9"/>
      <c r="U165" s="9"/>
      <c r="V165" s="9"/>
      <c r="W165" s="9"/>
    </row>
    <row r="166" spans="1:23" ht="14.4">
      <c r="A166" s="3">
        <f>LOOKUP(D166,'AMFI DATA_2023H1'!B:C,'AMFI DATA_2023H1'!C:C)</f>
        <v>2091</v>
      </c>
      <c r="B166" s="4" t="s">
        <v>3359</v>
      </c>
      <c r="C166" s="4" t="s">
        <v>3360</v>
      </c>
      <c r="D166" s="5" t="s">
        <v>3361</v>
      </c>
      <c r="E166" s="5">
        <f>LOOKUP(D166,'AMFI DATA_2023H1'!B:D,'AMFI DATA_2023H1'!D:D)</f>
        <v>122.64</v>
      </c>
      <c r="F166" s="7">
        <f t="shared" si="0"/>
        <v>-1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/>
      <c r="N166" s="9"/>
      <c r="O166" s="9"/>
      <c r="P166" s="9"/>
      <c r="Q166" s="9" t="str">
        <f ca="1">IFERROR(__xludf.DUMMYFUNCTION("GOOGLEFINANCE(C166,""changepct"")"),"#N/A")</f>
        <v>#N/A</v>
      </c>
      <c r="R166" s="9"/>
      <c r="S166" s="9"/>
      <c r="T166" s="9"/>
      <c r="U166" s="9"/>
      <c r="V166" s="9"/>
      <c r="W166" s="9"/>
    </row>
    <row r="167" spans="1:23" ht="14.4">
      <c r="A167" s="3">
        <f>LOOKUP(D167,'AMFI DATA_2023H1'!B:C,'AMFI DATA_2023H1'!C:C)</f>
        <v>1154</v>
      </c>
      <c r="B167" s="4" t="s">
        <v>3074</v>
      </c>
      <c r="C167" s="4" t="s">
        <v>3075</v>
      </c>
      <c r="D167" s="5" t="s">
        <v>3076</v>
      </c>
      <c r="E167" s="5">
        <f>LOOKUP(D167,'AMFI DATA_2023H1'!B:D,'AMFI DATA_2023H1'!D:D)</f>
        <v>782.6</v>
      </c>
      <c r="F167" s="7">
        <f t="shared" si="0"/>
        <v>1.0342448249424994</v>
      </c>
      <c r="G167" s="8">
        <v>1592</v>
      </c>
      <c r="H167" s="8">
        <v>1576</v>
      </c>
      <c r="I167" s="8">
        <v>1596</v>
      </c>
      <c r="J167" s="8">
        <v>1607</v>
      </c>
      <c r="K167" s="8">
        <v>1614</v>
      </c>
      <c r="L167" s="8">
        <v>1589</v>
      </c>
      <c r="M167" s="8"/>
      <c r="N167" s="8"/>
      <c r="O167" s="8"/>
      <c r="P167" s="8"/>
      <c r="Q167" s="9">
        <f ca="1">IFERROR(__xludf.DUMMYFUNCTION("GOOGLEFINANCE(C167,""changepct"")"),-2.44)</f>
        <v>-2.44</v>
      </c>
      <c r="R167" s="8"/>
      <c r="S167" s="8"/>
      <c r="T167" s="8"/>
      <c r="U167" s="8"/>
      <c r="V167" s="8"/>
      <c r="W167" s="8"/>
    </row>
    <row r="168" spans="1:23" ht="14.4">
      <c r="A168" s="3">
        <f>LOOKUP(D168,'AMFI DATA_2023H1'!B:C,'AMFI DATA_2023H1'!C:C)</f>
        <v>216</v>
      </c>
      <c r="B168" s="4" t="s">
        <v>804</v>
      </c>
      <c r="C168" s="4" t="s">
        <v>805</v>
      </c>
      <c r="D168" s="5" t="s">
        <v>806</v>
      </c>
      <c r="E168" s="5">
        <f>LOOKUP(D168,'AMFI DATA_2023H1'!B:D,'AMFI DATA_2023H1'!D:D)</f>
        <v>20883.560000000001</v>
      </c>
      <c r="F168" s="7">
        <f t="shared" si="0"/>
        <v>1.3189322127070247E-2</v>
      </c>
      <c r="G168" s="8">
        <v>21159</v>
      </c>
      <c r="H168" s="8">
        <v>21117</v>
      </c>
      <c r="I168" s="8">
        <v>20863</v>
      </c>
      <c r="J168" s="8">
        <v>20736</v>
      </c>
      <c r="K168" s="8">
        <v>20760</v>
      </c>
      <c r="L168" s="8">
        <v>20625</v>
      </c>
      <c r="M168" s="8"/>
      <c r="N168" s="8"/>
      <c r="O168" s="8"/>
      <c r="P168" s="8"/>
      <c r="Q168" s="9">
        <f ca="1">IFERROR(__xludf.DUMMYFUNCTION("GOOGLEFINANCE(C168,""changepct"")"),-2.01)</f>
        <v>-2.0099999999999998</v>
      </c>
      <c r="R168" s="8"/>
      <c r="S168" s="8"/>
      <c r="T168" s="8"/>
      <c r="U168" s="8"/>
      <c r="V168" s="8"/>
      <c r="W168" s="8"/>
    </row>
    <row r="169" spans="1:23" ht="14.4">
      <c r="A169" s="3">
        <f>LOOKUP(D169,'AMFI DATA_2023H1'!B:C,'AMFI DATA_2023H1'!C:C)</f>
        <v>116</v>
      </c>
      <c r="B169" s="4" t="s">
        <v>405</v>
      </c>
      <c r="C169" s="4" t="s">
        <v>406</v>
      </c>
      <c r="D169" s="5" t="s">
        <v>407</v>
      </c>
      <c r="E169" s="5">
        <f>LOOKUP(D169,'AMFI DATA_2023H1'!B:D,'AMFI DATA_2023H1'!D:D)</f>
        <v>44179.95</v>
      </c>
      <c r="F169" s="7">
        <f t="shared" si="0"/>
        <v>0.18981574220885267</v>
      </c>
      <c r="G169" s="8">
        <v>52566</v>
      </c>
      <c r="H169" s="8">
        <v>52633</v>
      </c>
      <c r="I169" s="8">
        <v>52743</v>
      </c>
      <c r="J169" s="8">
        <v>51623</v>
      </c>
      <c r="K169" s="8">
        <v>51456</v>
      </c>
      <c r="L169" s="8">
        <v>51169</v>
      </c>
      <c r="M169" s="8"/>
      <c r="N169" s="8"/>
      <c r="O169" s="8"/>
      <c r="P169" s="8"/>
      <c r="Q169" s="9">
        <f ca="1">IFERROR(__xludf.DUMMYFUNCTION("GOOGLEFINANCE(C169,""changepct"")"),2.17)</f>
        <v>2.17</v>
      </c>
      <c r="R169" s="8"/>
      <c r="S169" s="8"/>
      <c r="T169" s="8"/>
      <c r="U169" s="8"/>
      <c r="V169" s="8"/>
      <c r="W169" s="8"/>
    </row>
    <row r="170" spans="1:23" ht="14.4">
      <c r="A170" s="3">
        <f>LOOKUP(D170,'AMFI DATA_2023H1'!B:C,'AMFI DATA_2023H1'!C:C)</f>
        <v>1008</v>
      </c>
      <c r="B170" s="4" t="s">
        <v>2183</v>
      </c>
      <c r="C170" s="4" t="s">
        <v>2184</v>
      </c>
      <c r="D170" s="5" t="s">
        <v>2185</v>
      </c>
      <c r="E170" s="5">
        <f>LOOKUP(D170,'AMFI DATA_2023H1'!B:D,'AMFI DATA_2023H1'!D:D)</f>
        <v>1123.27</v>
      </c>
      <c r="F170" s="7">
        <f t="shared" si="0"/>
        <v>3.8616984340363407</v>
      </c>
      <c r="G170" s="8">
        <v>5461</v>
      </c>
      <c r="H170" s="8">
        <v>5387</v>
      </c>
      <c r="I170" s="8">
        <v>5424</v>
      </c>
      <c r="J170" s="8">
        <v>5476</v>
      </c>
      <c r="K170" s="8">
        <v>5568</v>
      </c>
      <c r="L170" s="8">
        <v>5398</v>
      </c>
      <c r="M170" s="8"/>
      <c r="N170" s="8"/>
      <c r="O170" s="8"/>
      <c r="P170" s="8"/>
      <c r="Q170" s="9">
        <f ca="1">IFERROR(__xludf.DUMMYFUNCTION("GOOGLEFINANCE(C170,""changepct"")"),-0.47)</f>
        <v>-0.47</v>
      </c>
      <c r="R170" s="8"/>
      <c r="S170" s="8"/>
      <c r="T170" s="8"/>
      <c r="U170" s="8"/>
      <c r="V170" s="8"/>
      <c r="W170" s="8"/>
    </row>
    <row r="171" spans="1:23" ht="14.4">
      <c r="A171" s="3">
        <f>LOOKUP(D171,'AMFI DATA_2023H1'!B:C,'AMFI DATA_2023H1'!C:C)</f>
        <v>168</v>
      </c>
      <c r="B171" s="4" t="s">
        <v>378</v>
      </c>
      <c r="C171" s="4" t="s">
        <v>379</v>
      </c>
      <c r="D171" s="5" t="s">
        <v>380</v>
      </c>
      <c r="E171" s="5">
        <f>LOOKUP(D171,'AMFI DATA_2023H1'!B:D,'AMFI DATA_2023H1'!D:D)</f>
        <v>31609.88</v>
      </c>
      <c r="F171" s="7">
        <f t="shared" si="0"/>
        <v>0.99703383878711338</v>
      </c>
      <c r="G171" s="8">
        <v>63126</v>
      </c>
      <c r="H171" s="8">
        <v>63507</v>
      </c>
      <c r="I171" s="8">
        <v>63832</v>
      </c>
      <c r="J171" s="8">
        <v>62666</v>
      </c>
      <c r="K171" s="8">
        <v>62338</v>
      </c>
      <c r="L171" s="8">
        <v>62484</v>
      </c>
      <c r="M171" s="8"/>
      <c r="N171" s="8"/>
      <c r="O171" s="8"/>
      <c r="P171" s="8"/>
      <c r="Q171" s="9">
        <f ca="1">IFERROR(__xludf.DUMMYFUNCTION("GOOGLEFINANCE(C171,""changepct"")"),2.24)</f>
        <v>2.2400000000000002</v>
      </c>
      <c r="R171" s="8"/>
      <c r="S171" s="8"/>
      <c r="T171" s="8"/>
      <c r="U171" s="8"/>
      <c r="V171" s="8"/>
      <c r="W171" s="8"/>
    </row>
    <row r="172" spans="1:23" ht="14.4">
      <c r="A172" s="3">
        <f>LOOKUP(D172,'AMFI DATA_2023H1'!B:C,'AMFI DATA_2023H1'!C:C)</f>
        <v>1262</v>
      </c>
      <c r="B172" s="4" t="s">
        <v>3950</v>
      </c>
      <c r="C172" s="4" t="s">
        <v>3951</v>
      </c>
      <c r="D172" s="5" t="s">
        <v>3952</v>
      </c>
      <c r="E172" s="5">
        <f>LOOKUP(D172,'AMFI DATA_2023H1'!B:D,'AMFI DATA_2023H1'!D:D)</f>
        <v>580.36</v>
      </c>
      <c r="F172" s="7">
        <f t="shared" si="0"/>
        <v>0.11482528086015575</v>
      </c>
      <c r="G172" s="9">
        <v>647</v>
      </c>
      <c r="H172" s="9">
        <v>654</v>
      </c>
      <c r="I172" s="9">
        <v>656</v>
      </c>
      <c r="J172" s="9">
        <v>658</v>
      </c>
      <c r="K172" s="9">
        <v>663</v>
      </c>
      <c r="L172" s="9">
        <v>662</v>
      </c>
      <c r="M172" s="9"/>
      <c r="N172" s="9"/>
      <c r="O172" s="9"/>
      <c r="P172" s="9"/>
      <c r="Q172" s="9">
        <f ca="1">IFERROR(__xludf.DUMMYFUNCTION("GOOGLEFINANCE(C172,""changepct"")"),2.14)</f>
        <v>2.14</v>
      </c>
      <c r="R172" s="9"/>
      <c r="S172" s="9"/>
      <c r="T172" s="9"/>
      <c r="U172" s="9"/>
      <c r="V172" s="9"/>
      <c r="W172" s="9"/>
    </row>
    <row r="173" spans="1:23" ht="14.4">
      <c r="A173" s="3">
        <f>LOOKUP(D173,'AMFI DATA_2023H1'!B:C,'AMFI DATA_2023H1'!C:C)</f>
        <v>2301</v>
      </c>
      <c r="B173" s="4" t="s">
        <v>5204</v>
      </c>
      <c r="C173" s="4" t="s">
        <v>5205</v>
      </c>
      <c r="D173" s="5" t="s">
        <v>5206</v>
      </c>
      <c r="E173" s="5">
        <f>LOOKUP(D173,'AMFI DATA_2023H1'!B:D,'AMFI DATA_2023H1'!D:D)</f>
        <v>87.03</v>
      </c>
      <c r="F173" s="7">
        <f t="shared" si="0"/>
        <v>6.4000919223256236E-2</v>
      </c>
      <c r="G173" s="9">
        <v>92.6</v>
      </c>
      <c r="H173" s="9">
        <v>91</v>
      </c>
      <c r="I173" s="9">
        <v>91.8</v>
      </c>
      <c r="J173" s="9">
        <v>92.3</v>
      </c>
      <c r="K173" s="9">
        <v>92.7</v>
      </c>
      <c r="L173" s="9">
        <v>94</v>
      </c>
      <c r="M173" s="9"/>
      <c r="N173" s="9"/>
      <c r="O173" s="9"/>
      <c r="P173" s="9"/>
      <c r="Q173" s="9">
        <f ca="1">IFERROR(__xludf.DUMMYFUNCTION("GOOGLEFINANCE(C173,""changepct"")"),10.36)</f>
        <v>10.36</v>
      </c>
      <c r="R173" s="9"/>
      <c r="S173" s="9"/>
      <c r="T173" s="9"/>
      <c r="U173" s="9"/>
      <c r="V173" s="9"/>
      <c r="W173" s="9"/>
    </row>
    <row r="174" spans="1:23" ht="14.4">
      <c r="A174" s="3">
        <f>LOOKUP(D174,'AMFI DATA_2023H1'!B:C,'AMFI DATA_2023H1'!C:C)</f>
        <v>1618</v>
      </c>
      <c r="B174" s="4" t="s">
        <v>4211</v>
      </c>
      <c r="C174" s="4" t="s">
        <v>4212</v>
      </c>
      <c r="D174" s="5" t="s">
        <v>4213</v>
      </c>
      <c r="E174" s="5">
        <f>LOOKUP(D174,'AMFI DATA_2023H1'!B:D,'AMFI DATA_2023H1'!D:D)</f>
        <v>277.24</v>
      </c>
      <c r="F174" s="7">
        <f t="shared" si="0"/>
        <v>0.85759630644928575</v>
      </c>
      <c r="G174" s="9">
        <v>515</v>
      </c>
      <c r="H174" s="9">
        <v>509</v>
      </c>
      <c r="I174" s="9">
        <v>512</v>
      </c>
      <c r="J174" s="9">
        <v>527</v>
      </c>
      <c r="K174" s="9">
        <v>543</v>
      </c>
      <c r="L174" s="9">
        <v>519</v>
      </c>
      <c r="M174" s="9"/>
      <c r="N174" s="9"/>
      <c r="O174" s="9"/>
      <c r="P174" s="9"/>
      <c r="Q174" s="9">
        <f ca="1">IFERROR(__xludf.DUMMYFUNCTION("GOOGLEFINANCE(C174,""changepct"")"),1.63)</f>
        <v>1.63</v>
      </c>
      <c r="R174" s="9"/>
      <c r="S174" s="9"/>
      <c r="T174" s="9"/>
      <c r="U174" s="9"/>
      <c r="V174" s="9"/>
      <c r="W174" s="9"/>
    </row>
    <row r="175" spans="1:23" ht="14.4">
      <c r="A175" s="3">
        <f>LOOKUP(D175,'AMFI DATA_2023H1'!B:C,'AMFI DATA_2023H1'!C:C)</f>
        <v>615</v>
      </c>
      <c r="B175" s="4" t="s">
        <v>2186</v>
      </c>
      <c r="C175" s="4" t="s">
        <v>2187</v>
      </c>
      <c r="D175" s="5" t="s">
        <v>2188</v>
      </c>
      <c r="E175" s="5">
        <f>LOOKUP(D175,'AMFI DATA_2023H1'!B:D,'AMFI DATA_2023H1'!D:D)</f>
        <v>3503.04</v>
      </c>
      <c r="F175" s="7">
        <f t="shared" si="0"/>
        <v>-6.5383210011875414E-2</v>
      </c>
      <c r="G175" s="8">
        <v>3274</v>
      </c>
      <c r="H175" s="8">
        <v>3242</v>
      </c>
      <c r="I175" s="8">
        <v>3249</v>
      </c>
      <c r="J175" s="8">
        <v>3261</v>
      </c>
      <c r="K175" s="8">
        <v>3264</v>
      </c>
      <c r="L175" s="8">
        <v>3328</v>
      </c>
      <c r="M175" s="8"/>
      <c r="N175" s="8"/>
      <c r="O175" s="8"/>
      <c r="P175" s="8"/>
      <c r="Q175" s="9">
        <f ca="1">IFERROR(__xludf.DUMMYFUNCTION("GOOGLEFINANCE(C175,""changepct"")"),0.97)</f>
        <v>0.97</v>
      </c>
      <c r="R175" s="8"/>
      <c r="S175" s="8"/>
      <c r="T175" s="8"/>
      <c r="U175" s="8"/>
      <c r="V175" s="8"/>
      <c r="W175" s="8"/>
    </row>
    <row r="176" spans="1:23" ht="14.4">
      <c r="A176" s="3">
        <f>LOOKUP(D176,'AMFI DATA_2023H1'!B:C,'AMFI DATA_2023H1'!C:C)</f>
        <v>1307</v>
      </c>
      <c r="B176" s="4" t="s">
        <v>3770</v>
      </c>
      <c r="C176" s="4" t="s">
        <v>3771</v>
      </c>
      <c r="D176" s="5" t="s">
        <v>3772</v>
      </c>
      <c r="E176" s="5">
        <f>LOOKUP(D176,'AMFI DATA_2023H1'!B:D,'AMFI DATA_2023H1'!D:D)</f>
        <v>510.3</v>
      </c>
      <c r="F176" s="7">
        <f t="shared" si="0"/>
        <v>0.30119537526944939</v>
      </c>
      <c r="G176" s="9">
        <v>664</v>
      </c>
      <c r="H176" s="9">
        <v>665</v>
      </c>
      <c r="I176" s="9">
        <v>655</v>
      </c>
      <c r="J176" s="9">
        <v>661</v>
      </c>
      <c r="K176" s="9">
        <v>654</v>
      </c>
      <c r="L176" s="9">
        <v>659</v>
      </c>
      <c r="M176" s="9"/>
      <c r="N176" s="9"/>
      <c r="O176" s="9"/>
      <c r="P176" s="9"/>
      <c r="Q176" s="9">
        <f ca="1">IFERROR(__xludf.DUMMYFUNCTION("GOOGLEFINANCE(C176,""changepct"")"),5.43)</f>
        <v>5.43</v>
      </c>
      <c r="R176" s="9"/>
      <c r="S176" s="9"/>
      <c r="T176" s="9"/>
      <c r="U176" s="9"/>
      <c r="V176" s="9"/>
      <c r="W176" s="9"/>
    </row>
    <row r="177" spans="1:23" ht="14.4">
      <c r="A177" s="3">
        <f>LOOKUP(D177,'AMFI DATA_2023H1'!B:C,'AMFI DATA_2023H1'!C:C)</f>
        <v>1071</v>
      </c>
      <c r="B177" s="4" t="s">
        <v>3140</v>
      </c>
      <c r="C177" s="4" t="s">
        <v>3141</v>
      </c>
      <c r="D177" s="5" t="s">
        <v>3142</v>
      </c>
      <c r="E177" s="5">
        <f>LOOKUP(D177,'AMFI DATA_2023H1'!B:D,'AMFI DATA_2023H1'!D:D)</f>
        <v>963.33</v>
      </c>
      <c r="F177" s="7">
        <f t="shared" si="0"/>
        <v>0.39308440513634979</v>
      </c>
      <c r="G177" s="8">
        <v>1342</v>
      </c>
      <c r="H177" s="8">
        <v>1338</v>
      </c>
      <c r="I177" s="8">
        <v>1332</v>
      </c>
      <c r="J177" s="8">
        <v>1315</v>
      </c>
      <c r="K177" s="8">
        <v>1330</v>
      </c>
      <c r="L177" s="8">
        <v>1361</v>
      </c>
      <c r="M177" s="8"/>
      <c r="N177" s="8"/>
      <c r="O177" s="8"/>
      <c r="P177" s="8"/>
      <c r="Q177" s="9">
        <f ca="1">IFERROR(__xludf.DUMMYFUNCTION("GOOGLEFINANCE(C177,""changepct"")"),-3.34)</f>
        <v>-3.34</v>
      </c>
      <c r="R177" s="8"/>
      <c r="S177" s="8"/>
      <c r="T177" s="8"/>
      <c r="U177" s="8"/>
      <c r="V177" s="8"/>
      <c r="W177" s="8"/>
    </row>
    <row r="178" spans="1:23" ht="14.4">
      <c r="A178" s="3">
        <f>LOOKUP(D178,'AMFI DATA_2023H1'!B:C,'AMFI DATA_2023H1'!C:C)</f>
        <v>666</v>
      </c>
      <c r="B178" s="4" t="s">
        <v>2114</v>
      </c>
      <c r="C178" s="4" t="s">
        <v>2115</v>
      </c>
      <c r="D178" s="5" t="s">
        <v>2116</v>
      </c>
      <c r="E178" s="5">
        <f>LOOKUP(D178,'AMFI DATA_2023H1'!B:D,'AMFI DATA_2023H1'!D:D)</f>
        <v>2852.8</v>
      </c>
      <c r="F178" s="7">
        <f t="shared" si="0"/>
        <v>0.252103196859226</v>
      </c>
      <c r="G178" s="8">
        <v>3572</v>
      </c>
      <c r="H178" s="8">
        <v>3617</v>
      </c>
      <c r="I178" s="8">
        <v>3627</v>
      </c>
      <c r="J178" s="8">
        <v>3715</v>
      </c>
      <c r="K178" s="8">
        <v>3659</v>
      </c>
      <c r="L178" s="8">
        <v>3619</v>
      </c>
      <c r="M178" s="8"/>
      <c r="N178" s="8"/>
      <c r="O178" s="8"/>
      <c r="P178" s="8"/>
      <c r="Q178" s="9">
        <f ca="1">IFERROR(__xludf.DUMMYFUNCTION("GOOGLEFINANCE(C178,""changepct"")"),0.83)</f>
        <v>0.83</v>
      </c>
      <c r="R178" s="8"/>
      <c r="S178" s="8"/>
      <c r="T178" s="8"/>
      <c r="U178" s="8"/>
      <c r="V178" s="8"/>
      <c r="W178" s="8"/>
    </row>
    <row r="179" spans="1:23" ht="14.4">
      <c r="A179" s="3">
        <f>LOOKUP(D179,'AMFI DATA_2023H1'!B:C,'AMFI DATA_2023H1'!C:C)</f>
        <v>508</v>
      </c>
      <c r="B179" s="4" t="s">
        <v>1743</v>
      </c>
      <c r="C179" s="4" t="s">
        <v>1744</v>
      </c>
      <c r="D179" s="5" t="s">
        <v>1745</v>
      </c>
      <c r="E179" s="5">
        <f>LOOKUP(D179,'AMFI DATA_2023H1'!B:D,'AMFI DATA_2023H1'!D:D)</f>
        <v>5093.22</v>
      </c>
      <c r="F179" s="7">
        <f t="shared" si="0"/>
        <v>0.16880873003718655</v>
      </c>
      <c r="G179" s="8">
        <v>5953</v>
      </c>
      <c r="H179" s="8">
        <v>5717</v>
      </c>
      <c r="I179" s="8">
        <v>5472</v>
      </c>
      <c r="J179" s="8">
        <v>5476</v>
      </c>
      <c r="K179" s="8">
        <v>5450</v>
      </c>
      <c r="L179" s="8">
        <v>5424</v>
      </c>
      <c r="M179" s="8"/>
      <c r="N179" s="8"/>
      <c r="O179" s="8"/>
      <c r="P179" s="8"/>
      <c r="Q179" s="9">
        <f ca="1">IFERROR(__xludf.DUMMYFUNCTION("GOOGLEFINANCE(C179,""changepct"")"),-0.05)</f>
        <v>-0.05</v>
      </c>
      <c r="R179" s="8"/>
      <c r="S179" s="8"/>
      <c r="T179" s="8"/>
      <c r="U179" s="8"/>
      <c r="V179" s="8"/>
      <c r="W179" s="8"/>
    </row>
    <row r="180" spans="1:23" ht="14.4">
      <c r="A180" s="3">
        <f>LOOKUP(D180,'AMFI DATA_2023H1'!B:C,'AMFI DATA_2023H1'!C:C)</f>
        <v>21</v>
      </c>
      <c r="B180" s="4" t="s">
        <v>73</v>
      </c>
      <c r="C180" s="4" t="s">
        <v>74</v>
      </c>
      <c r="D180" s="5" t="s">
        <v>75</v>
      </c>
      <c r="E180" s="5">
        <f>LOOKUP(D180,'AMFI DATA_2023H1'!B:D,'AMFI DATA_2023H1'!D:D)</f>
        <v>231087.57</v>
      </c>
      <c r="F180" s="7">
        <f t="shared" si="0"/>
        <v>0.14461803376096771</v>
      </c>
      <c r="G180" s="8">
        <v>264507</v>
      </c>
      <c r="H180" s="8">
        <v>265418</v>
      </c>
      <c r="I180" s="8">
        <v>262636</v>
      </c>
      <c r="J180" s="8">
        <v>261526</v>
      </c>
      <c r="K180" s="8">
        <v>261477</v>
      </c>
      <c r="L180" s="8">
        <v>260811</v>
      </c>
      <c r="M180" s="8"/>
      <c r="N180" s="8"/>
      <c r="O180" s="8"/>
      <c r="P180" s="8"/>
      <c r="Q180" s="9">
        <f ca="1">IFERROR(__xludf.DUMMYFUNCTION("GOOGLEFINANCE(C180,""changepct"")"),-1.81)</f>
        <v>-1.81</v>
      </c>
      <c r="R180" s="8"/>
      <c r="S180" s="8"/>
      <c r="T180" s="8"/>
      <c r="U180" s="8"/>
      <c r="V180" s="8"/>
      <c r="W180" s="8"/>
    </row>
    <row r="181" spans="1:23" ht="14.4">
      <c r="A181" s="3">
        <f>LOOKUP(D181,'AMFI DATA_2023H1'!B:C,'AMFI DATA_2023H1'!C:C)</f>
        <v>1612</v>
      </c>
      <c r="B181" s="4" t="s">
        <v>4313</v>
      </c>
      <c r="C181" s="4" t="s">
        <v>4314</v>
      </c>
      <c r="D181" s="5" t="s">
        <v>4315</v>
      </c>
      <c r="E181" s="5">
        <f>LOOKUP(D181,'AMFI DATA_2023H1'!B:D,'AMFI DATA_2023H1'!D:D)</f>
        <v>279.70999999999998</v>
      </c>
      <c r="F181" s="7">
        <f t="shared" si="0"/>
        <v>0.54088162739980716</v>
      </c>
      <c r="G181" s="9">
        <v>431</v>
      </c>
      <c r="H181" s="9">
        <v>443</v>
      </c>
      <c r="I181" s="9">
        <v>445</v>
      </c>
      <c r="J181" s="9">
        <v>462</v>
      </c>
      <c r="K181" s="9">
        <v>396</v>
      </c>
      <c r="L181" s="9">
        <v>397</v>
      </c>
      <c r="M181" s="9"/>
      <c r="N181" s="9"/>
      <c r="O181" s="9"/>
      <c r="P181" s="9"/>
      <c r="Q181" s="9">
        <f ca="1">IFERROR(__xludf.DUMMYFUNCTION("GOOGLEFINANCE(C181,""changepct"")"),-2.3)</f>
        <v>-2.2999999999999998</v>
      </c>
      <c r="R181" s="9"/>
      <c r="S181" s="9"/>
      <c r="T181" s="9"/>
      <c r="U181" s="9"/>
      <c r="V181" s="9"/>
      <c r="W181" s="9"/>
    </row>
    <row r="182" spans="1:23" ht="14.4">
      <c r="A182" s="3">
        <f>LOOKUP(D182,'AMFI DATA_2023H1'!B:C,'AMFI DATA_2023H1'!C:C)</f>
        <v>1943</v>
      </c>
      <c r="B182" s="4" t="s">
        <v>4763</v>
      </c>
      <c r="C182" s="4" t="s">
        <v>4764</v>
      </c>
      <c r="D182" s="5" t="s">
        <v>4765</v>
      </c>
      <c r="E182" s="5">
        <f>LOOKUP(D182,'AMFI DATA_2023H1'!B:D,'AMFI DATA_2023H1'!D:D)</f>
        <v>156.81</v>
      </c>
      <c r="F182" s="7">
        <f t="shared" si="0"/>
        <v>0.2244117084369619</v>
      </c>
      <c r="G182" s="9">
        <v>192</v>
      </c>
      <c r="H182" s="9">
        <v>190</v>
      </c>
      <c r="I182" s="9">
        <v>189</v>
      </c>
      <c r="J182" s="9">
        <v>188</v>
      </c>
      <c r="K182" s="9">
        <v>189</v>
      </c>
      <c r="L182" s="9">
        <v>184</v>
      </c>
      <c r="M182" s="9"/>
      <c r="N182" s="9"/>
      <c r="O182" s="9"/>
      <c r="P182" s="9"/>
      <c r="Q182" s="9">
        <f ca="1">IFERROR(__xludf.DUMMYFUNCTION("GOOGLEFINANCE(C182,""changepct"")"),16)</f>
        <v>16</v>
      </c>
      <c r="R182" s="9"/>
      <c r="S182" s="9"/>
      <c r="T182" s="9"/>
      <c r="U182" s="9"/>
      <c r="V182" s="9"/>
      <c r="W182" s="9"/>
    </row>
    <row r="183" spans="1:23" ht="14.4">
      <c r="A183" s="3">
        <f>LOOKUP(D183,'AMFI DATA_2023H1'!B:C,'AMFI DATA_2023H1'!C:C)</f>
        <v>2046</v>
      </c>
      <c r="B183" s="4" t="s">
        <v>5117</v>
      </c>
      <c r="C183" s="4" t="s">
        <v>5118</v>
      </c>
      <c r="D183" s="5" t="s">
        <v>5119</v>
      </c>
      <c r="E183" s="5">
        <f>LOOKUP(D183,'AMFI DATA_2023H1'!B:D,'AMFI DATA_2023H1'!D:D)</f>
        <v>132.18</v>
      </c>
      <c r="F183" s="7">
        <f t="shared" si="0"/>
        <v>-0.1451051596308065</v>
      </c>
      <c r="G183" s="9">
        <v>113</v>
      </c>
      <c r="H183" s="9">
        <v>112</v>
      </c>
      <c r="I183" s="9">
        <v>114</v>
      </c>
      <c r="J183" s="9">
        <v>114</v>
      </c>
      <c r="K183" s="9">
        <v>111</v>
      </c>
      <c r="L183" s="9">
        <v>112</v>
      </c>
      <c r="M183" s="9"/>
      <c r="N183" s="9"/>
      <c r="O183" s="9"/>
      <c r="P183" s="9"/>
      <c r="Q183" s="9">
        <f ca="1">IFERROR(__xludf.DUMMYFUNCTION("GOOGLEFINANCE(C183,""changepct"")"),11.55)</f>
        <v>11.55</v>
      </c>
      <c r="R183" s="9"/>
      <c r="S183" s="9"/>
      <c r="T183" s="9"/>
      <c r="U183" s="9"/>
      <c r="V183" s="9"/>
      <c r="W183" s="9"/>
    </row>
    <row r="184" spans="1:23" ht="14.4">
      <c r="A184" s="3">
        <f>LOOKUP(D184,'AMFI DATA_2023H1'!B:C,'AMFI DATA_2023H1'!C:C)</f>
        <v>920</v>
      </c>
      <c r="B184" s="4" t="s">
        <v>3125</v>
      </c>
      <c r="C184" s="4" t="s">
        <v>3126</v>
      </c>
      <c r="D184" s="5" t="s">
        <v>3127</v>
      </c>
      <c r="E184" s="5">
        <f>LOOKUP(D184,'AMFI DATA_2023H1'!B:D,'AMFI DATA_2023H1'!D:D)</f>
        <v>1400.57</v>
      </c>
      <c r="F184" s="7">
        <f t="shared" si="0"/>
        <v>2.8152823493291956E-2</v>
      </c>
      <c r="G184" s="8">
        <v>1440</v>
      </c>
      <c r="H184" s="8">
        <v>1391</v>
      </c>
      <c r="I184" s="8">
        <v>1371</v>
      </c>
      <c r="J184" s="8">
        <v>1384</v>
      </c>
      <c r="K184" s="8">
        <v>1376</v>
      </c>
      <c r="L184" s="8">
        <v>1378</v>
      </c>
      <c r="M184" s="8"/>
      <c r="N184" s="8"/>
      <c r="O184" s="8"/>
      <c r="P184" s="8"/>
      <c r="Q184" s="9">
        <f ca="1">IFERROR(__xludf.DUMMYFUNCTION("GOOGLEFINANCE(C184,""changepct"")"),2.04)</f>
        <v>2.04</v>
      </c>
      <c r="R184" s="8"/>
      <c r="S184" s="8"/>
      <c r="T184" s="8"/>
      <c r="U184" s="8"/>
      <c r="V184" s="8"/>
      <c r="W184" s="8"/>
    </row>
    <row r="185" spans="1:23" ht="14.4">
      <c r="A185" s="3">
        <f>LOOKUP(D185,'AMFI DATA_2023H1'!B:C,'AMFI DATA_2023H1'!C:C)</f>
        <v>17</v>
      </c>
      <c r="B185" s="4" t="s">
        <v>49</v>
      </c>
      <c r="C185" s="4" t="s">
        <v>50</v>
      </c>
      <c r="D185" s="5" t="s">
        <v>51</v>
      </c>
      <c r="E185" s="5">
        <f>LOOKUP(D185,'AMFI DATA_2023H1'!B:D,'AMFI DATA_2023H1'!D:D)</f>
        <v>275693.59000000003</v>
      </c>
      <c r="F185" s="7">
        <f t="shared" si="0"/>
        <v>0.22832380687559684</v>
      </c>
      <c r="G185" s="8">
        <v>338641</v>
      </c>
      <c r="H185" s="8">
        <v>340152</v>
      </c>
      <c r="I185" s="8">
        <v>341709</v>
      </c>
      <c r="J185" s="8">
        <v>341226</v>
      </c>
      <c r="K185" s="8">
        <v>337532</v>
      </c>
      <c r="L185" s="8">
        <v>335558</v>
      </c>
      <c r="M185" s="8"/>
      <c r="N185" s="8"/>
      <c r="O185" s="8"/>
      <c r="P185" s="8"/>
      <c r="Q185" s="9">
        <f ca="1">IFERROR(__xludf.DUMMYFUNCTION("GOOGLEFINANCE(C185,""changepct"")"),1.88)</f>
        <v>1.88</v>
      </c>
      <c r="R185" s="8"/>
      <c r="S185" s="8"/>
      <c r="T185" s="8"/>
      <c r="U185" s="8"/>
      <c r="V185" s="8"/>
      <c r="W185" s="8"/>
    </row>
    <row r="186" spans="1:23" ht="14.4">
      <c r="A186" s="3">
        <f>LOOKUP(D186,'AMFI DATA_2023H1'!B:C,'AMFI DATA_2023H1'!C:C)</f>
        <v>968</v>
      </c>
      <c r="B186" s="4" t="s">
        <v>2678</v>
      </c>
      <c r="C186" s="4" t="s">
        <v>2679</v>
      </c>
      <c r="D186" s="5" t="s">
        <v>2680</v>
      </c>
      <c r="E186" s="5">
        <f>LOOKUP(D186,'AMFI DATA_2023H1'!B:D,'AMFI DATA_2023H1'!D:D)</f>
        <v>1266.18</v>
      </c>
      <c r="F186" s="7">
        <f t="shared" si="0"/>
        <v>1.018670331232526</v>
      </c>
      <c r="G186" s="8">
        <v>2556</v>
      </c>
      <c r="H186" s="8">
        <v>2451</v>
      </c>
      <c r="I186" s="8">
        <v>2553</v>
      </c>
      <c r="J186" s="8">
        <v>2565</v>
      </c>
      <c r="K186" s="8">
        <v>2610</v>
      </c>
      <c r="L186" s="8">
        <v>2596</v>
      </c>
      <c r="M186" s="8"/>
      <c r="N186" s="8"/>
      <c r="O186" s="8"/>
      <c r="P186" s="8"/>
      <c r="Q186" s="9">
        <f ca="1">IFERROR(__xludf.DUMMYFUNCTION("GOOGLEFINANCE(C186,""changepct"")"),-3.28)</f>
        <v>-3.28</v>
      </c>
      <c r="R186" s="8"/>
      <c r="S186" s="8"/>
      <c r="T186" s="8"/>
      <c r="U186" s="8"/>
      <c r="V186" s="8"/>
      <c r="W186" s="8"/>
    </row>
    <row r="187" spans="1:23" ht="14.4">
      <c r="A187" s="3">
        <f>LOOKUP(D187,'AMFI DATA_2023H1'!B:C,'AMFI DATA_2023H1'!C:C)</f>
        <v>1074</v>
      </c>
      <c r="B187" s="4" t="s">
        <v>3893</v>
      </c>
      <c r="C187" s="4" t="s">
        <v>3894</v>
      </c>
      <c r="D187" s="5" t="s">
        <v>3895</v>
      </c>
      <c r="E187" s="5">
        <f>LOOKUP(D187,'AMFI DATA_2023H1'!B:D,'AMFI DATA_2023H1'!D:D)</f>
        <v>954.61</v>
      </c>
      <c r="F187" s="7">
        <f t="shared" si="0"/>
        <v>-0.26776379882884116</v>
      </c>
      <c r="G187" s="9">
        <v>699</v>
      </c>
      <c r="H187" s="9">
        <v>673</v>
      </c>
      <c r="I187" s="9">
        <v>668</v>
      </c>
      <c r="J187" s="9">
        <v>686</v>
      </c>
      <c r="K187" s="9">
        <v>687</v>
      </c>
      <c r="L187" s="9">
        <v>717</v>
      </c>
      <c r="M187" s="9"/>
      <c r="N187" s="9"/>
      <c r="O187" s="9"/>
      <c r="P187" s="9"/>
      <c r="Q187" s="9">
        <f ca="1">IFERROR(__xludf.DUMMYFUNCTION("GOOGLEFINANCE(C187,""changepct"")"),-7.9)</f>
        <v>-7.9</v>
      </c>
      <c r="R187" s="9"/>
      <c r="S187" s="9"/>
      <c r="T187" s="9"/>
      <c r="U187" s="9"/>
      <c r="V187" s="9"/>
      <c r="W187" s="9"/>
    </row>
    <row r="188" spans="1:23" ht="14.4">
      <c r="A188" s="3">
        <f>LOOKUP(D188,'AMFI DATA_2023H1'!B:C,'AMFI DATA_2023H1'!C:C)</f>
        <v>1498</v>
      </c>
      <c r="B188" s="4" t="s">
        <v>4283</v>
      </c>
      <c r="C188" s="4" t="s">
        <v>4284</v>
      </c>
      <c r="D188" s="5" t="s">
        <v>4285</v>
      </c>
      <c r="E188" s="5">
        <f>LOOKUP(D188,'AMFI DATA_2023H1'!B:D,'AMFI DATA_2023H1'!D:D)</f>
        <v>348.54</v>
      </c>
      <c r="F188" s="7">
        <f t="shared" si="0"/>
        <v>2.1403569174269776E-2</v>
      </c>
      <c r="G188" s="9">
        <v>356</v>
      </c>
      <c r="H188" s="9">
        <v>355</v>
      </c>
      <c r="I188" s="9">
        <v>353</v>
      </c>
      <c r="J188" s="9">
        <v>362</v>
      </c>
      <c r="K188" s="9">
        <v>362</v>
      </c>
      <c r="L188" s="9">
        <v>364</v>
      </c>
      <c r="M188" s="9"/>
      <c r="N188" s="9"/>
      <c r="O188" s="9"/>
      <c r="P188" s="9"/>
      <c r="Q188" s="9">
        <f ca="1">IFERROR(__xludf.DUMMYFUNCTION("GOOGLEFINANCE(C188,""changepct"")"),-2.66)</f>
        <v>-2.66</v>
      </c>
      <c r="R188" s="9"/>
      <c r="S188" s="9"/>
      <c r="T188" s="9"/>
      <c r="U188" s="9"/>
      <c r="V188" s="9"/>
      <c r="W188" s="9"/>
    </row>
    <row r="189" spans="1:23" ht="14.4">
      <c r="A189" s="3">
        <f>LOOKUP(D189,'AMFI DATA_2023H1'!B:C,'AMFI DATA_2023H1'!C:C)</f>
        <v>1330</v>
      </c>
      <c r="B189" s="4" t="s">
        <v>3965</v>
      </c>
      <c r="C189" s="4" t="s">
        <v>3966</v>
      </c>
      <c r="D189" s="5" t="s">
        <v>3967</v>
      </c>
      <c r="E189" s="5">
        <f>LOOKUP(D189,'AMFI DATA_2023H1'!B:D,'AMFI DATA_2023H1'!D:D)</f>
        <v>483.51</v>
      </c>
      <c r="F189" s="7">
        <f t="shared" si="0"/>
        <v>0.17887944406527279</v>
      </c>
      <c r="G189" s="9">
        <v>570</v>
      </c>
      <c r="H189" s="9">
        <v>570</v>
      </c>
      <c r="I189" s="9">
        <v>568</v>
      </c>
      <c r="J189" s="9">
        <v>574</v>
      </c>
      <c r="K189" s="9">
        <v>522</v>
      </c>
      <c r="L189" s="9">
        <v>534</v>
      </c>
      <c r="M189" s="9"/>
      <c r="N189" s="9"/>
      <c r="O189" s="9"/>
      <c r="P189" s="9"/>
      <c r="Q189" s="9">
        <f ca="1">IFERROR(__xludf.DUMMYFUNCTION("GOOGLEFINANCE(C189,""changepct"")"),-0.88)</f>
        <v>-0.88</v>
      </c>
      <c r="R189" s="9"/>
      <c r="S189" s="9"/>
      <c r="T189" s="9"/>
      <c r="U189" s="9"/>
      <c r="V189" s="9"/>
      <c r="W189" s="9"/>
    </row>
    <row r="190" spans="1:23" ht="14.4">
      <c r="A190" s="3">
        <f>LOOKUP(D190,'AMFI DATA_2023H1'!B:C,'AMFI DATA_2023H1'!C:C)</f>
        <v>1156</v>
      </c>
      <c r="B190" s="4" t="s">
        <v>3155</v>
      </c>
      <c r="C190" s="4" t="s">
        <v>3156</v>
      </c>
      <c r="D190" s="5" t="s">
        <v>3157</v>
      </c>
      <c r="E190" s="5">
        <f>LOOKUP(D190,'AMFI DATA_2023H1'!B:D,'AMFI DATA_2023H1'!D:D)</f>
        <v>781.57</v>
      </c>
      <c r="F190" s="7">
        <f t="shared" si="0"/>
        <v>0.95887764371713335</v>
      </c>
      <c r="G190" s="8">
        <v>1531</v>
      </c>
      <c r="H190" s="8">
        <v>1442</v>
      </c>
      <c r="I190" s="8">
        <v>1437</v>
      </c>
      <c r="J190" s="8">
        <v>1448</v>
      </c>
      <c r="K190" s="8">
        <v>1473</v>
      </c>
      <c r="L190" s="8">
        <v>1464</v>
      </c>
      <c r="M190" s="8"/>
      <c r="N190" s="8"/>
      <c r="O190" s="8"/>
      <c r="P190" s="8"/>
      <c r="Q190" s="9">
        <f ca="1">IFERROR(__xludf.DUMMYFUNCTION("GOOGLEFINANCE(C190,""changepct"")"),2.33)</f>
        <v>2.33</v>
      </c>
      <c r="R190" s="8"/>
      <c r="S190" s="8"/>
      <c r="T190" s="8"/>
      <c r="U190" s="8"/>
      <c r="V190" s="8"/>
      <c r="W190" s="8"/>
    </row>
    <row r="191" spans="1:23" ht="14.4">
      <c r="A191" s="3">
        <f>LOOKUP(D191,'AMFI DATA_2023H1'!B:C,'AMFI DATA_2023H1'!C:C)</f>
        <v>2302</v>
      </c>
      <c r="B191" s="4" t="s">
        <v>5096</v>
      </c>
      <c r="C191" s="4" t="s">
        <v>5097</v>
      </c>
      <c r="D191" s="5" t="s">
        <v>5098</v>
      </c>
      <c r="E191" s="5">
        <f>LOOKUP(D191,'AMFI DATA_2023H1'!B:D,'AMFI DATA_2023H1'!D:D)</f>
        <v>86.98</v>
      </c>
      <c r="F191" s="7">
        <f t="shared" si="0"/>
        <v>1.0924350425385145</v>
      </c>
      <c r="G191" s="9">
        <v>182</v>
      </c>
      <c r="H191" s="9">
        <v>175</v>
      </c>
      <c r="I191" s="9">
        <v>178</v>
      </c>
      <c r="J191" s="9">
        <v>179</v>
      </c>
      <c r="K191" s="9">
        <v>187</v>
      </c>
      <c r="L191" s="9">
        <v>186</v>
      </c>
      <c r="M191" s="9"/>
      <c r="N191" s="9"/>
      <c r="O191" s="9"/>
      <c r="P191" s="9"/>
      <c r="Q191" s="9">
        <f ca="1">IFERROR(__xludf.DUMMYFUNCTION("GOOGLEFINANCE(C191,""changepct"")"),0.76)</f>
        <v>0.76</v>
      </c>
      <c r="R191" s="9"/>
      <c r="S191" s="9"/>
      <c r="T191" s="9"/>
      <c r="U191" s="9"/>
      <c r="V191" s="9"/>
      <c r="W191" s="9"/>
    </row>
    <row r="192" spans="1:23" ht="14.4">
      <c r="A192" s="3">
        <f>LOOKUP(D192,'AMFI DATA_2023H1'!B:C,'AMFI DATA_2023H1'!C:C)</f>
        <v>1727</v>
      </c>
      <c r="B192" s="4" t="s">
        <v>4598</v>
      </c>
      <c r="C192" s="4" t="s">
        <v>4599</v>
      </c>
      <c r="D192" s="5" t="s">
        <v>4600</v>
      </c>
      <c r="E192" s="5">
        <f>LOOKUP(D192,'AMFI DATA_2023H1'!B:D,'AMFI DATA_2023H1'!D:D)</f>
        <v>227.12</v>
      </c>
      <c r="F192" s="7">
        <f t="shared" si="0"/>
        <v>-3.134906657273695E-2</v>
      </c>
      <c r="G192" s="9">
        <v>220</v>
      </c>
      <c r="H192" s="9">
        <v>218</v>
      </c>
      <c r="I192" s="9">
        <v>220</v>
      </c>
      <c r="J192" s="9">
        <v>220</v>
      </c>
      <c r="K192" s="9">
        <v>221</v>
      </c>
      <c r="L192" s="9">
        <v>223</v>
      </c>
      <c r="M192" s="9"/>
      <c r="N192" s="9"/>
      <c r="O192" s="9"/>
      <c r="P192" s="9"/>
      <c r="Q192" s="9">
        <f ca="1">IFERROR(__xludf.DUMMYFUNCTION("GOOGLEFINANCE(C192,""changepct"")"),1.6)</f>
        <v>1.6</v>
      </c>
      <c r="R192" s="9"/>
      <c r="S192" s="9"/>
      <c r="T192" s="9"/>
      <c r="U192" s="9"/>
      <c r="V192" s="9"/>
      <c r="W192" s="9"/>
    </row>
    <row r="193" spans="1:23" ht="14.4">
      <c r="A193" s="3">
        <f>LOOKUP(D193,'AMFI DATA_2023H1'!B:C,'AMFI DATA_2023H1'!C:C)</f>
        <v>1390</v>
      </c>
      <c r="B193" s="4" t="s">
        <v>4247</v>
      </c>
      <c r="C193" s="4" t="s">
        <v>4248</v>
      </c>
      <c r="D193" s="5" t="s">
        <v>4249</v>
      </c>
      <c r="E193" s="5">
        <f>LOOKUP(D193,'AMFI DATA_2023H1'!B:D,'AMFI DATA_2023H1'!D:D)</f>
        <v>423</v>
      </c>
      <c r="F193" s="7">
        <f t="shared" si="0"/>
        <v>-0.3427895981087471</v>
      </c>
      <c r="G193" s="9">
        <v>278</v>
      </c>
      <c r="H193" s="9">
        <v>267</v>
      </c>
      <c r="I193" s="9">
        <v>265</v>
      </c>
      <c r="J193" s="9">
        <v>267</v>
      </c>
      <c r="K193" s="9">
        <v>270</v>
      </c>
      <c r="L193" s="9">
        <v>264</v>
      </c>
      <c r="M193" s="9"/>
      <c r="N193" s="9"/>
      <c r="O193" s="9"/>
      <c r="P193" s="9"/>
      <c r="Q193" s="9">
        <f ca="1">IFERROR(__xludf.DUMMYFUNCTION("GOOGLEFINANCE(C193,""changepct"")"),-3.49)</f>
        <v>-3.49</v>
      </c>
      <c r="R193" s="9"/>
      <c r="S193" s="9"/>
      <c r="T193" s="9"/>
      <c r="U193" s="9"/>
      <c r="V193" s="9"/>
      <c r="W193" s="9"/>
    </row>
    <row r="194" spans="1:23" ht="14.4">
      <c r="A194" s="3">
        <f>LOOKUP(D194,'AMFI DATA_2023H1'!B:C,'AMFI DATA_2023H1'!C:C)</f>
        <v>45</v>
      </c>
      <c r="B194" s="4" t="s">
        <v>117</v>
      </c>
      <c r="C194" s="4" t="s">
        <v>118</v>
      </c>
      <c r="D194" s="5" t="s">
        <v>119</v>
      </c>
      <c r="E194" s="5">
        <f>LOOKUP(D194,'AMFI DATA_2023H1'!B:D,'AMFI DATA_2023H1'!D:D)</f>
        <v>117150.65</v>
      </c>
      <c r="F194" s="7">
        <f t="shared" si="0"/>
        <v>0.6196751789255972</v>
      </c>
      <c r="G194" s="8">
        <v>189746</v>
      </c>
      <c r="H194" s="8">
        <v>192333</v>
      </c>
      <c r="I194" s="8">
        <v>189675</v>
      </c>
      <c r="J194" s="8">
        <v>190091</v>
      </c>
      <c r="K194" s="8">
        <v>183100</v>
      </c>
      <c r="L194" s="8">
        <v>180303</v>
      </c>
      <c r="M194" s="8"/>
      <c r="N194" s="8"/>
      <c r="O194" s="8"/>
      <c r="P194" s="8"/>
      <c r="Q194" s="9">
        <f ca="1">IFERROR(__xludf.DUMMYFUNCTION("GOOGLEFINANCE(C194,""changepct"")"),0.01)</f>
        <v>0.01</v>
      </c>
      <c r="R194" s="8"/>
      <c r="S194" s="8"/>
      <c r="T194" s="8"/>
      <c r="U194" s="8"/>
      <c r="V194" s="8"/>
      <c r="W194" s="8"/>
    </row>
    <row r="195" spans="1:23" ht="14.4">
      <c r="A195" s="3">
        <f>LOOKUP(D195,'AMFI DATA_2023H1'!B:C,'AMFI DATA_2023H1'!C:C)</f>
        <v>710</v>
      </c>
      <c r="B195" s="4" t="s">
        <v>2216</v>
      </c>
      <c r="C195" s="4" t="s">
        <v>2217</v>
      </c>
      <c r="D195" s="5" t="s">
        <v>2218</v>
      </c>
      <c r="E195" s="5">
        <f>LOOKUP(D195,'AMFI DATA_2023H1'!B:D,'AMFI DATA_2023H1'!D:D)</f>
        <v>2495.4699999999998</v>
      </c>
      <c r="F195" s="7">
        <f t="shared" si="0"/>
        <v>0.29835261493826826</v>
      </c>
      <c r="G195" s="8">
        <v>3240</v>
      </c>
      <c r="H195" s="8">
        <v>3138</v>
      </c>
      <c r="I195" s="8">
        <v>2995</v>
      </c>
      <c r="J195" s="8">
        <v>3008</v>
      </c>
      <c r="K195" s="8">
        <v>3016</v>
      </c>
      <c r="L195" s="8">
        <v>3061</v>
      </c>
      <c r="M195" s="8"/>
      <c r="N195" s="8"/>
      <c r="O195" s="8"/>
      <c r="P195" s="8"/>
      <c r="Q195" s="9">
        <f ca="1">IFERROR(__xludf.DUMMYFUNCTION("GOOGLEFINANCE(C195,""changepct"")"),-1.01)</f>
        <v>-1.01</v>
      </c>
      <c r="R195" s="8"/>
      <c r="S195" s="8"/>
      <c r="T195" s="8"/>
      <c r="U195" s="8"/>
      <c r="V195" s="8"/>
      <c r="W195" s="8"/>
    </row>
    <row r="196" spans="1:23" ht="14.4">
      <c r="A196" s="3">
        <f>LOOKUP(D196,'AMFI DATA_2023H1'!B:C,'AMFI DATA_2023H1'!C:C)</f>
        <v>291</v>
      </c>
      <c r="B196" s="4" t="s">
        <v>1062</v>
      </c>
      <c r="C196" s="4" t="s">
        <v>1063</v>
      </c>
      <c r="D196" s="5" t="s">
        <v>1064</v>
      </c>
      <c r="E196" s="5">
        <f>LOOKUP(D196,'AMFI DATA_2023H1'!B:D,'AMFI DATA_2023H1'!D:D)</f>
        <v>13117.66</v>
      </c>
      <c r="F196" s="7">
        <f t="shared" si="0"/>
        <v>-0.1278170039473504</v>
      </c>
      <c r="G196" s="8">
        <v>11441</v>
      </c>
      <c r="H196" s="8">
        <v>11384</v>
      </c>
      <c r="I196" s="8">
        <v>11479</v>
      </c>
      <c r="J196" s="8">
        <v>11664</v>
      </c>
      <c r="K196" s="8">
        <v>11463</v>
      </c>
      <c r="L196" s="8">
        <v>11617</v>
      </c>
      <c r="M196" s="8"/>
      <c r="N196" s="8"/>
      <c r="O196" s="8"/>
      <c r="P196" s="8"/>
      <c r="Q196" s="9">
        <f ca="1">IFERROR(__xludf.DUMMYFUNCTION("GOOGLEFINANCE(C196,""changepct"")"),0.81)</f>
        <v>0.81</v>
      </c>
      <c r="R196" s="8"/>
      <c r="S196" s="8"/>
      <c r="T196" s="8"/>
      <c r="U196" s="8"/>
      <c r="V196" s="8"/>
      <c r="W196" s="8"/>
    </row>
    <row r="197" spans="1:23" ht="14.4">
      <c r="A197" s="3">
        <f>LOOKUP(D197,'AMFI DATA_2023H1'!B:C,'AMFI DATA_2023H1'!C:C)</f>
        <v>11</v>
      </c>
      <c r="B197" s="4" t="s">
        <v>34</v>
      </c>
      <c r="C197" s="4" t="s">
        <v>35</v>
      </c>
      <c r="D197" s="5" t="s">
        <v>36</v>
      </c>
      <c r="E197" s="5">
        <f>LOOKUP(D197,'AMFI DATA_2023H1'!B:D,'AMFI DATA_2023H1'!D:D)</f>
        <v>382541.49</v>
      </c>
      <c r="F197" s="7">
        <f t="shared" si="0"/>
        <v>0.1791165449792127</v>
      </c>
      <c r="G197" s="8">
        <v>451061</v>
      </c>
      <c r="H197" s="8">
        <v>451963</v>
      </c>
      <c r="I197" s="8">
        <v>448543</v>
      </c>
      <c r="J197" s="8">
        <v>447174</v>
      </c>
      <c r="K197" s="8">
        <v>442650</v>
      </c>
      <c r="L197" s="8">
        <v>450866</v>
      </c>
      <c r="M197" s="8"/>
      <c r="N197" s="8"/>
      <c r="O197" s="8"/>
      <c r="P197" s="8"/>
      <c r="Q197" s="9">
        <f ca="1">IFERROR(__xludf.DUMMYFUNCTION("GOOGLEFINANCE(C197,""changepct"")"),0.65)</f>
        <v>0.65</v>
      </c>
      <c r="R197" s="8"/>
      <c r="S197" s="8"/>
      <c r="T197" s="8"/>
      <c r="U197" s="8"/>
      <c r="V197" s="8"/>
      <c r="W197" s="8"/>
    </row>
    <row r="198" spans="1:23" ht="14.4">
      <c r="A198" s="3">
        <f>LOOKUP(D198,'AMFI DATA_2023H1'!B:C,'AMFI DATA_2023H1'!C:C)</f>
        <v>23</v>
      </c>
      <c r="B198" s="4" t="s">
        <v>67</v>
      </c>
      <c r="C198" s="4" t="s">
        <v>68</v>
      </c>
      <c r="D198" s="5" t="s">
        <v>69</v>
      </c>
      <c r="E198" s="5">
        <f>LOOKUP(D198,'AMFI DATA_2023H1'!B:D,'AMFI DATA_2023H1'!D:D)</f>
        <v>220562.71</v>
      </c>
      <c r="F198" s="7">
        <f t="shared" si="0"/>
        <v>0.21110680948742422</v>
      </c>
      <c r="G198" s="8">
        <v>267125</v>
      </c>
      <c r="H198" s="8">
        <v>268944</v>
      </c>
      <c r="I198" s="8">
        <v>268066</v>
      </c>
      <c r="J198" s="8">
        <v>266359</v>
      </c>
      <c r="K198" s="8">
        <v>262600</v>
      </c>
      <c r="L198" s="8">
        <v>266774</v>
      </c>
      <c r="M198" s="8"/>
      <c r="N198" s="8"/>
      <c r="O198" s="8"/>
      <c r="P198" s="8"/>
      <c r="Q198" s="9">
        <f ca="1">IFERROR(__xludf.DUMMYFUNCTION("GOOGLEFINANCE(C198,""changepct"")"),0.05)</f>
        <v>0.05</v>
      </c>
      <c r="R198" s="8"/>
      <c r="S198" s="8"/>
      <c r="T198" s="8"/>
      <c r="U198" s="8"/>
      <c r="V198" s="8"/>
      <c r="W198" s="8"/>
    </row>
    <row r="199" spans="1:23" ht="14.4">
      <c r="A199" s="3">
        <f>LOOKUP(D199,'AMFI DATA_2023H1'!B:C,'AMFI DATA_2023H1'!C:C)</f>
        <v>1079</v>
      </c>
      <c r="B199" s="4" t="s">
        <v>3335</v>
      </c>
      <c r="C199" s="4" t="s">
        <v>3336</v>
      </c>
      <c r="D199" s="5" t="s">
        <v>3337</v>
      </c>
      <c r="E199" s="5">
        <f>LOOKUP(D199,'AMFI DATA_2023H1'!B:D,'AMFI DATA_2023H1'!D:D)</f>
        <v>938.32</v>
      </c>
      <c r="F199" s="7">
        <f t="shared" si="0"/>
        <v>0.10836388438912081</v>
      </c>
      <c r="G199" s="8">
        <v>1040</v>
      </c>
      <c r="H199" s="8">
        <v>1038</v>
      </c>
      <c r="I199" s="8">
        <v>1038</v>
      </c>
      <c r="J199" s="8">
        <v>1042</v>
      </c>
      <c r="K199" s="8">
        <v>1046</v>
      </c>
      <c r="L199" s="8">
        <v>1055</v>
      </c>
      <c r="M199" s="8"/>
      <c r="N199" s="8"/>
      <c r="O199" s="8"/>
      <c r="P199" s="8"/>
      <c r="Q199" s="9">
        <f ca="1">IFERROR(__xludf.DUMMYFUNCTION("GOOGLEFINANCE(C199,""changepct"")"),-3.75)</f>
        <v>-3.75</v>
      </c>
      <c r="R199" s="8"/>
      <c r="S199" s="8"/>
      <c r="T199" s="8"/>
      <c r="U199" s="8"/>
      <c r="V199" s="8"/>
      <c r="W199" s="8"/>
    </row>
    <row r="200" spans="1:23" ht="14.4">
      <c r="A200" s="3">
        <f>LOOKUP(D200,'AMFI DATA_2023H1'!B:C,'AMFI DATA_2023H1'!C:C)</f>
        <v>821</v>
      </c>
      <c r="B200" s="4" t="s">
        <v>2231</v>
      </c>
      <c r="C200" s="4" t="s">
        <v>2232</v>
      </c>
      <c r="D200" s="5" t="s">
        <v>2233</v>
      </c>
      <c r="E200" s="5">
        <f>LOOKUP(D200,'AMFI DATA_2023H1'!B:D,'AMFI DATA_2023H1'!D:D)</f>
        <v>1832.42</v>
      </c>
      <c r="F200" s="7">
        <f t="shared" si="0"/>
        <v>0.96188646707632519</v>
      </c>
      <c r="G200" s="8">
        <v>3595</v>
      </c>
      <c r="H200" s="8">
        <v>3556</v>
      </c>
      <c r="I200" s="8">
        <v>3537</v>
      </c>
      <c r="J200" s="8">
        <v>3582</v>
      </c>
      <c r="K200" s="8">
        <v>3543</v>
      </c>
      <c r="L200" s="8">
        <v>3564</v>
      </c>
      <c r="M200" s="8"/>
      <c r="N200" s="8"/>
      <c r="O200" s="8"/>
      <c r="P200" s="8"/>
      <c r="Q200" s="9">
        <f ca="1">IFERROR(__xludf.DUMMYFUNCTION("GOOGLEFINANCE(C200,""changepct"")"),-0.19)</f>
        <v>-0.19</v>
      </c>
      <c r="R200" s="8"/>
      <c r="S200" s="8"/>
      <c r="T200" s="8"/>
      <c r="U200" s="8"/>
      <c r="V200" s="8"/>
      <c r="W200" s="8"/>
    </row>
    <row r="201" spans="1:23" ht="14.4">
      <c r="A201" s="3">
        <f>LOOKUP(D201,'AMFI DATA_2023H1'!B:C,'AMFI DATA_2023H1'!C:C)</f>
        <v>73</v>
      </c>
      <c r="B201" s="4" t="s">
        <v>243</v>
      </c>
      <c r="C201" s="4" t="s">
        <v>244</v>
      </c>
      <c r="D201" s="5" t="s">
        <v>245</v>
      </c>
      <c r="E201" s="5">
        <f>LOOKUP(D201,'AMFI DATA_2023H1'!B:D,'AMFI DATA_2023H1'!D:D)</f>
        <v>70421.59</v>
      </c>
      <c r="F201" s="7">
        <f t="shared" si="0"/>
        <v>0.22692486778557552</v>
      </c>
      <c r="G201" s="8">
        <v>86402</v>
      </c>
      <c r="H201" s="8">
        <v>85411</v>
      </c>
      <c r="I201" s="8">
        <v>85935</v>
      </c>
      <c r="J201" s="8">
        <v>88157</v>
      </c>
      <c r="K201" s="8">
        <v>87804</v>
      </c>
      <c r="L201" s="8">
        <v>87225</v>
      </c>
      <c r="M201" s="8"/>
      <c r="N201" s="8"/>
      <c r="O201" s="8"/>
      <c r="P201" s="8"/>
      <c r="Q201" s="9">
        <f ca="1">IFERROR(__xludf.DUMMYFUNCTION("GOOGLEFINANCE(C201,""changepct"")"),3.28)</f>
        <v>3.28</v>
      </c>
      <c r="R201" s="8"/>
      <c r="S201" s="8"/>
      <c r="T201" s="8"/>
      <c r="U201" s="8"/>
      <c r="V201" s="8"/>
      <c r="W201" s="8"/>
    </row>
    <row r="202" spans="1:23" ht="14.4">
      <c r="A202" s="3">
        <f>LOOKUP(D202,'AMFI DATA_2023H1'!B:C,'AMFI DATA_2023H1'!C:C)</f>
        <v>2070</v>
      </c>
      <c r="B202" s="4" t="s">
        <v>4922</v>
      </c>
      <c r="C202" s="4" t="s">
        <v>4923</v>
      </c>
      <c r="D202" s="5" t="s">
        <v>4924</v>
      </c>
      <c r="E202" s="5">
        <f>LOOKUP(D202,'AMFI DATA_2023H1'!B:D,'AMFI DATA_2023H1'!D:D)</f>
        <v>127.25</v>
      </c>
      <c r="F202" s="7">
        <f t="shared" si="0"/>
        <v>0.24950884086444014</v>
      </c>
      <c r="G202" s="9">
        <v>159</v>
      </c>
      <c r="H202" s="9">
        <v>158</v>
      </c>
      <c r="I202" s="9">
        <v>159</v>
      </c>
      <c r="J202" s="9">
        <v>160</v>
      </c>
      <c r="K202" s="9">
        <v>160</v>
      </c>
      <c r="L202" s="9">
        <v>161</v>
      </c>
      <c r="M202" s="9"/>
      <c r="N202" s="9"/>
      <c r="O202" s="9"/>
      <c r="P202" s="9"/>
      <c r="Q202" s="9">
        <f ca="1">IFERROR(__xludf.DUMMYFUNCTION("GOOGLEFINANCE(C202,""changepct"")"),6.44)</f>
        <v>6.44</v>
      </c>
      <c r="R202" s="9"/>
      <c r="S202" s="9"/>
      <c r="T202" s="9"/>
      <c r="U202" s="9"/>
      <c r="V202" s="9"/>
      <c r="W202" s="9"/>
    </row>
    <row r="203" spans="1:23" ht="14.4">
      <c r="A203" s="3">
        <f>LOOKUP(D203,'AMFI DATA_2023H1'!B:C,'AMFI DATA_2023H1'!C:C)</f>
        <v>408</v>
      </c>
      <c r="B203" s="4" t="s">
        <v>1533</v>
      </c>
      <c r="C203" s="4" t="s">
        <v>1534</v>
      </c>
      <c r="D203" s="5" t="s">
        <v>1535</v>
      </c>
      <c r="E203" s="5">
        <f>LOOKUP(D203,'AMFI DATA_2023H1'!B:D,'AMFI DATA_2023H1'!D:D)</f>
        <v>7312.37</v>
      </c>
      <c r="F203" s="7">
        <f t="shared" si="0"/>
        <v>0.19455115099482123</v>
      </c>
      <c r="G203" s="8">
        <v>8735</v>
      </c>
      <c r="H203" s="8">
        <v>8646</v>
      </c>
      <c r="I203" s="8">
        <v>8446</v>
      </c>
      <c r="J203" s="8">
        <v>8651</v>
      </c>
      <c r="K203" s="8">
        <v>8467</v>
      </c>
      <c r="L203" s="8">
        <v>7663</v>
      </c>
      <c r="M203" s="8"/>
      <c r="N203" s="8"/>
      <c r="O203" s="8"/>
      <c r="P203" s="8"/>
      <c r="Q203" s="9">
        <f ca="1">IFERROR(__xludf.DUMMYFUNCTION("GOOGLEFINANCE(C203,""changepct"")"),2.68)</f>
        <v>2.68</v>
      </c>
      <c r="R203" s="8"/>
      <c r="S203" s="8"/>
      <c r="T203" s="8"/>
      <c r="U203" s="8"/>
      <c r="V203" s="8"/>
      <c r="W203" s="8"/>
    </row>
    <row r="204" spans="1:23" ht="14.4">
      <c r="A204" s="3">
        <f>LOOKUP(D204,'AMFI DATA_2023H1'!B:C,'AMFI DATA_2023H1'!C:C)</f>
        <v>1387</v>
      </c>
      <c r="B204" s="4" t="s">
        <v>3764</v>
      </c>
      <c r="C204" s="4" t="s">
        <v>3765</v>
      </c>
      <c r="D204" s="5" t="s">
        <v>3766</v>
      </c>
      <c r="E204" s="5">
        <f>LOOKUP(D204,'AMFI DATA_2023H1'!B:D,'AMFI DATA_2023H1'!D:D)</f>
        <v>426</v>
      </c>
      <c r="F204" s="7">
        <f t="shared" si="0"/>
        <v>0.78169014084507049</v>
      </c>
      <c r="G204" s="9">
        <v>759</v>
      </c>
      <c r="H204" s="9">
        <v>754</v>
      </c>
      <c r="I204" s="9">
        <v>767</v>
      </c>
      <c r="J204" s="9">
        <v>781</v>
      </c>
      <c r="K204" s="9">
        <v>791</v>
      </c>
      <c r="L204" s="9">
        <v>785</v>
      </c>
      <c r="M204" s="9"/>
      <c r="N204" s="9"/>
      <c r="O204" s="9"/>
      <c r="P204" s="9"/>
      <c r="Q204" s="9">
        <f ca="1">IFERROR(__xludf.DUMMYFUNCTION("GOOGLEFINANCE(C204,""changepct"")"),-0.28)</f>
        <v>-0.28000000000000003</v>
      </c>
      <c r="R204" s="9"/>
      <c r="S204" s="9"/>
      <c r="T204" s="9"/>
      <c r="U204" s="9"/>
      <c r="V204" s="9"/>
      <c r="W204" s="9"/>
    </row>
    <row r="205" spans="1:23" ht="14.4">
      <c r="A205" s="3">
        <f>LOOKUP(D205,'AMFI DATA_2023H1'!B:C,'AMFI DATA_2023H1'!C:C)</f>
        <v>1284</v>
      </c>
      <c r="B205" s="4" t="s">
        <v>4040</v>
      </c>
      <c r="C205" s="4" t="s">
        <v>4041</v>
      </c>
      <c r="D205" s="5" t="s">
        <v>4042</v>
      </c>
      <c r="E205" s="5">
        <f>LOOKUP(D205,'AMFI DATA_2023H1'!B:D,'AMFI DATA_2023H1'!D:D)</f>
        <v>550.26</v>
      </c>
      <c r="F205" s="7">
        <f t="shared" si="0"/>
        <v>-0.18947406680478318</v>
      </c>
      <c r="G205" s="9">
        <v>446</v>
      </c>
      <c r="H205" s="9">
        <v>442</v>
      </c>
      <c r="I205" s="9">
        <v>449</v>
      </c>
      <c r="J205" s="9">
        <v>441</v>
      </c>
      <c r="K205" s="9">
        <v>444</v>
      </c>
      <c r="L205" s="9">
        <v>453</v>
      </c>
      <c r="M205" s="9"/>
      <c r="N205" s="9"/>
      <c r="O205" s="9"/>
      <c r="P205" s="9"/>
      <c r="Q205" s="9">
        <f ca="1">IFERROR(__xludf.DUMMYFUNCTION("GOOGLEFINANCE(C205,""changepct"")"),0.44)</f>
        <v>0.44</v>
      </c>
      <c r="R205" s="9"/>
      <c r="S205" s="9"/>
      <c r="T205" s="9"/>
      <c r="U205" s="9"/>
      <c r="V205" s="9"/>
      <c r="W205" s="9"/>
    </row>
    <row r="206" spans="1:23" ht="14.4">
      <c r="A206" s="3">
        <f>LOOKUP(D206,'AMFI DATA_2023H1'!B:C,'AMFI DATA_2023H1'!C:C)</f>
        <v>126</v>
      </c>
      <c r="B206" s="4" t="s">
        <v>417</v>
      </c>
      <c r="C206" s="4" t="s">
        <v>418</v>
      </c>
      <c r="D206" s="5" t="s">
        <v>419</v>
      </c>
      <c r="E206" s="5">
        <f>LOOKUP(D206,'AMFI DATA_2023H1'!B:D,'AMFI DATA_2023H1'!D:D)</f>
        <v>41798.050000000003</v>
      </c>
      <c r="F206" s="7">
        <f t="shared" si="0"/>
        <v>0.19151491516948749</v>
      </c>
      <c r="G206" s="8">
        <v>49803</v>
      </c>
      <c r="H206" s="8">
        <v>49654</v>
      </c>
      <c r="I206" s="8">
        <v>48745</v>
      </c>
      <c r="J206" s="8">
        <v>49061</v>
      </c>
      <c r="K206" s="8">
        <v>48661</v>
      </c>
      <c r="L206" s="8">
        <v>48360</v>
      </c>
      <c r="M206" s="8"/>
      <c r="N206" s="8"/>
      <c r="O206" s="8"/>
      <c r="P206" s="8"/>
      <c r="Q206" s="9">
        <f ca="1">IFERROR(__xludf.DUMMYFUNCTION("GOOGLEFINANCE(C206,""changepct"")"),7.79)</f>
        <v>7.79</v>
      </c>
      <c r="R206" s="8"/>
      <c r="S206" s="8"/>
      <c r="T206" s="8"/>
      <c r="U206" s="8"/>
      <c r="V206" s="8"/>
      <c r="W206" s="8"/>
    </row>
    <row r="207" spans="1:23" ht="14.4">
      <c r="A207" s="3">
        <f>LOOKUP(D207,'AMFI DATA_2023H1'!B:C,'AMFI DATA_2023H1'!C:C)</f>
        <v>2929</v>
      </c>
      <c r="B207" s="4" t="s">
        <v>5587</v>
      </c>
      <c r="C207" s="4" t="s">
        <v>5588</v>
      </c>
      <c r="D207" s="5" t="s">
        <v>5589</v>
      </c>
      <c r="E207" s="5">
        <f>LOOKUP(D207,'AMFI DATA_2023H1'!B:D,'AMFI DATA_2023H1'!D:D)</f>
        <v>33.58</v>
      </c>
      <c r="F207" s="7">
        <f t="shared" si="0"/>
        <v>0.16736152471709365</v>
      </c>
      <c r="G207" s="9">
        <v>39.200000000000003</v>
      </c>
      <c r="H207" s="9">
        <v>40</v>
      </c>
      <c r="I207" s="9">
        <v>37.700000000000003</v>
      </c>
      <c r="J207" s="9">
        <v>37.700000000000003</v>
      </c>
      <c r="K207" s="9">
        <v>38.9</v>
      </c>
      <c r="L207" s="9">
        <v>38.1</v>
      </c>
      <c r="M207" s="9"/>
      <c r="N207" s="9"/>
      <c r="O207" s="9"/>
      <c r="P207" s="9"/>
      <c r="Q207" s="9">
        <f ca="1">IFERROR(__xludf.DUMMYFUNCTION("GOOGLEFINANCE(C207,""changepct"")"),12.95)</f>
        <v>12.95</v>
      </c>
      <c r="R207" s="9"/>
      <c r="S207" s="9"/>
      <c r="T207" s="9"/>
      <c r="U207" s="9"/>
      <c r="V207" s="9"/>
      <c r="W207" s="9"/>
    </row>
    <row r="208" spans="1:23" ht="14.4">
      <c r="A208" s="3">
        <f>LOOKUP(D208,'AMFI DATA_2023H1'!B:C,'AMFI DATA_2023H1'!C:C)</f>
        <v>770</v>
      </c>
      <c r="B208" s="4" t="s">
        <v>2405</v>
      </c>
      <c r="C208" s="4" t="s">
        <v>2406</v>
      </c>
      <c r="D208" s="5" t="s">
        <v>2407</v>
      </c>
      <c r="E208" s="5">
        <f>LOOKUP(D208,'AMFI DATA_2023H1'!B:D,'AMFI DATA_2023H1'!D:D)</f>
        <v>2083.2600000000002</v>
      </c>
      <c r="F208" s="7">
        <f t="shared" si="0"/>
        <v>0.82838435912944108</v>
      </c>
      <c r="G208" s="8">
        <v>3809</v>
      </c>
      <c r="H208" s="8">
        <v>3741</v>
      </c>
      <c r="I208" s="8">
        <v>3800</v>
      </c>
      <c r="J208" s="8">
        <v>3790</v>
      </c>
      <c r="K208" s="8">
        <v>3937</v>
      </c>
      <c r="L208" s="8">
        <v>3846</v>
      </c>
      <c r="M208" s="8"/>
      <c r="N208" s="8"/>
      <c r="O208" s="8"/>
      <c r="P208" s="8"/>
      <c r="Q208" s="9">
        <f ca="1">IFERROR(__xludf.DUMMYFUNCTION("GOOGLEFINANCE(C208,""changepct"")"),5.35)</f>
        <v>5.35</v>
      </c>
      <c r="R208" s="8"/>
      <c r="S208" s="8"/>
      <c r="T208" s="8"/>
      <c r="U208" s="8"/>
      <c r="V208" s="8"/>
      <c r="W208" s="8"/>
    </row>
    <row r="209" spans="1:23" ht="14.4">
      <c r="A209" s="3">
        <f>LOOKUP(D209,'AMFI DATA_2023H1'!B:C,'AMFI DATA_2023H1'!C:C)</f>
        <v>394</v>
      </c>
      <c r="B209" s="4" t="s">
        <v>1371</v>
      </c>
      <c r="C209" s="4" t="s">
        <v>1372</v>
      </c>
      <c r="D209" s="5" t="s">
        <v>1373</v>
      </c>
      <c r="E209" s="5">
        <f>LOOKUP(D209,'AMFI DATA_2023H1'!B:D,'AMFI DATA_2023H1'!D:D)</f>
        <v>7912.35</v>
      </c>
      <c r="F209" s="7">
        <f t="shared" si="0"/>
        <v>5.6196957920213286E-2</v>
      </c>
      <c r="G209" s="8">
        <v>8357</v>
      </c>
      <c r="H209" s="8">
        <v>8281</v>
      </c>
      <c r="I209" s="8">
        <v>8097</v>
      </c>
      <c r="J209" s="8">
        <v>7992</v>
      </c>
      <c r="K209" s="8">
        <v>7835</v>
      </c>
      <c r="L209" s="8">
        <v>7846</v>
      </c>
      <c r="M209" s="8"/>
      <c r="N209" s="8"/>
      <c r="O209" s="8"/>
      <c r="P209" s="8"/>
      <c r="Q209" s="9">
        <f ca="1">IFERROR(__xludf.DUMMYFUNCTION("GOOGLEFINANCE(C209,""changepct"")"),-0.53)</f>
        <v>-0.53</v>
      </c>
      <c r="R209" s="8"/>
      <c r="S209" s="8"/>
      <c r="T209" s="8"/>
      <c r="U209" s="8"/>
      <c r="V209" s="8"/>
      <c r="W209" s="8"/>
    </row>
    <row r="210" spans="1:23" ht="14.4">
      <c r="A210" s="3">
        <f>LOOKUP(D210,'AMFI DATA_2023H1'!B:C,'AMFI DATA_2023H1'!C:C)</f>
        <v>2587</v>
      </c>
      <c r="B210" s="4" t="s">
        <v>5425</v>
      </c>
      <c r="C210" s="4" t="s">
        <v>5426</v>
      </c>
      <c r="D210" s="5" t="s">
        <v>5427</v>
      </c>
      <c r="E210" s="5">
        <f>LOOKUP(D210,'AMFI DATA_2023H1'!B:D,'AMFI DATA_2023H1'!D:D)</f>
        <v>54.02</v>
      </c>
      <c r="F210" s="7">
        <f t="shared" si="0"/>
        <v>0.16808589411329122</v>
      </c>
      <c r="G210" s="9">
        <v>63.1</v>
      </c>
      <c r="H210" s="9">
        <v>63.4</v>
      </c>
      <c r="I210" s="9">
        <v>64.2</v>
      </c>
      <c r="J210" s="9">
        <v>62.1</v>
      </c>
      <c r="K210" s="9">
        <v>63.2</v>
      </c>
      <c r="L210" s="9">
        <v>62.3</v>
      </c>
      <c r="M210" s="9"/>
      <c r="N210" s="9"/>
      <c r="O210" s="9"/>
      <c r="P210" s="9"/>
      <c r="Q210" s="9">
        <f ca="1">IFERROR(__xludf.DUMMYFUNCTION("GOOGLEFINANCE(C210,""changepct"")"),2.78)</f>
        <v>2.78</v>
      </c>
      <c r="R210" s="9"/>
      <c r="S210" s="9"/>
      <c r="T210" s="9"/>
      <c r="U210" s="9"/>
      <c r="V210" s="9"/>
      <c r="W210" s="9"/>
    </row>
    <row r="211" spans="1:23" ht="14.4">
      <c r="A211" s="3">
        <f>LOOKUP(D211,'AMFI DATA_2023H1'!B:C,'AMFI DATA_2023H1'!C:C)</f>
        <v>844</v>
      </c>
      <c r="B211" s="4" t="s">
        <v>2174</v>
      </c>
      <c r="C211" s="4" t="s">
        <v>2175</v>
      </c>
      <c r="D211" s="5" t="s">
        <v>2176</v>
      </c>
      <c r="E211" s="5">
        <f>LOOKUP(D211,'AMFI DATA_2023H1'!B:D,'AMFI DATA_2023H1'!D:D)</f>
        <v>1736.69</v>
      </c>
      <c r="F211" s="7">
        <f t="shared" si="0"/>
        <v>1.591711819610869</v>
      </c>
      <c r="G211" s="8">
        <v>4501</v>
      </c>
      <c r="H211" s="8">
        <v>4570</v>
      </c>
      <c r="I211" s="8">
        <v>4562</v>
      </c>
      <c r="J211" s="8">
        <v>4684</v>
      </c>
      <c r="K211" s="8">
        <v>4637</v>
      </c>
      <c r="L211" s="8">
        <v>4425</v>
      </c>
      <c r="M211" s="8"/>
      <c r="N211" s="8"/>
      <c r="O211" s="8"/>
      <c r="P211" s="8"/>
      <c r="Q211" s="9">
        <f ca="1">IFERROR(__xludf.DUMMYFUNCTION("GOOGLEFINANCE(C211,""changepct"")"),2.32)</f>
        <v>2.3199999999999998</v>
      </c>
      <c r="R211" s="8"/>
      <c r="S211" s="8"/>
      <c r="T211" s="8"/>
      <c r="U211" s="8"/>
      <c r="V211" s="8"/>
      <c r="W211" s="8"/>
    </row>
    <row r="212" spans="1:23" ht="14.4">
      <c r="A212" s="3">
        <f>LOOKUP(D212,'AMFI DATA_2023H1'!B:C,'AMFI DATA_2023H1'!C:C)</f>
        <v>140</v>
      </c>
      <c r="B212" s="4" t="s">
        <v>516</v>
      </c>
      <c r="C212" s="4" t="s">
        <v>517</v>
      </c>
      <c r="D212" s="5" t="s">
        <v>518</v>
      </c>
      <c r="E212" s="5">
        <f>LOOKUP(D212,'AMFI DATA_2023H1'!B:D,'AMFI DATA_2023H1'!D:D)</f>
        <v>37710.589999999997</v>
      </c>
      <c r="F212" s="7">
        <f t="shared" si="0"/>
        <v>4.2730967614137194E-2</v>
      </c>
      <c r="G212" s="8">
        <v>39322</v>
      </c>
      <c r="H212" s="8">
        <v>38879</v>
      </c>
      <c r="I212" s="8">
        <v>38541</v>
      </c>
      <c r="J212" s="8">
        <v>38372</v>
      </c>
      <c r="K212" s="8">
        <v>37856</v>
      </c>
      <c r="L212" s="8">
        <v>37824</v>
      </c>
      <c r="M212" s="8"/>
      <c r="N212" s="8"/>
      <c r="O212" s="8"/>
      <c r="P212" s="8"/>
      <c r="Q212" s="9">
        <f ca="1">IFERROR(__xludf.DUMMYFUNCTION("GOOGLEFINANCE(C212,""changepct"")"),0.86)</f>
        <v>0.86</v>
      </c>
      <c r="R212" s="8"/>
      <c r="S212" s="8"/>
      <c r="T212" s="8"/>
      <c r="U212" s="8"/>
      <c r="V212" s="8"/>
      <c r="W212" s="8"/>
    </row>
    <row r="213" spans="1:23" ht="14.4">
      <c r="A213" s="3">
        <f>LOOKUP(D213,'AMFI DATA_2023H1'!B:C,'AMFI DATA_2023H1'!C:C)</f>
        <v>2571</v>
      </c>
      <c r="B213" s="4" t="s">
        <v>5389</v>
      </c>
      <c r="C213" s="4" t="s">
        <v>5390</v>
      </c>
      <c r="D213" s="5" t="s">
        <v>5391</v>
      </c>
      <c r="E213" s="5">
        <f>LOOKUP(D213,'AMFI DATA_2023H1'!B:D,'AMFI DATA_2023H1'!D:D)</f>
        <v>55.69</v>
      </c>
      <c r="F213" s="7">
        <f t="shared" si="0"/>
        <v>0.23181899802478001</v>
      </c>
      <c r="G213" s="9">
        <v>68.599999999999994</v>
      </c>
      <c r="H213" s="9">
        <v>65.3</v>
      </c>
      <c r="I213" s="9">
        <v>63.9</v>
      </c>
      <c r="J213" s="9">
        <v>64.900000000000006</v>
      </c>
      <c r="K213" s="9">
        <v>65.3</v>
      </c>
      <c r="L213" s="9">
        <v>64.3</v>
      </c>
      <c r="M213" s="9"/>
      <c r="N213" s="9"/>
      <c r="O213" s="9"/>
      <c r="P213" s="9"/>
      <c r="Q213" s="9">
        <f ca="1">IFERROR(__xludf.DUMMYFUNCTION("GOOGLEFINANCE(C213,""changepct"")"),-3.52)</f>
        <v>-3.52</v>
      </c>
      <c r="R213" s="9"/>
      <c r="S213" s="9"/>
      <c r="T213" s="9"/>
      <c r="U213" s="9"/>
      <c r="V213" s="9"/>
      <c r="W213" s="9"/>
    </row>
    <row r="214" spans="1:23" ht="14.4">
      <c r="A214" s="3">
        <f>LOOKUP(D214,'AMFI DATA_2023H1'!B:C,'AMFI DATA_2023H1'!C:C)</f>
        <v>57</v>
      </c>
      <c r="B214" s="4" t="s">
        <v>171</v>
      </c>
      <c r="C214" s="4" t="s">
        <v>172</v>
      </c>
      <c r="D214" s="5" t="s">
        <v>173</v>
      </c>
      <c r="E214" s="5">
        <f>LOOKUP(D214,'AMFI DATA_2023H1'!B:D,'AMFI DATA_2023H1'!D:D)</f>
        <v>90957.8</v>
      </c>
      <c r="F214" s="7">
        <f t="shared" si="0"/>
        <v>0.3298254795080795</v>
      </c>
      <c r="G214" s="8">
        <v>120958</v>
      </c>
      <c r="H214" s="8">
        <v>119510</v>
      </c>
      <c r="I214" s="8">
        <v>120493</v>
      </c>
      <c r="J214" s="8">
        <v>119976</v>
      </c>
      <c r="K214" s="8">
        <v>116537</v>
      </c>
      <c r="L214" s="8">
        <v>115632</v>
      </c>
      <c r="M214" s="8"/>
      <c r="N214" s="8"/>
      <c r="O214" s="8"/>
      <c r="P214" s="8"/>
      <c r="Q214" s="9">
        <f ca="1">IFERROR(__xludf.DUMMYFUNCTION("GOOGLEFINANCE(C214,""changepct"")"),2.46)</f>
        <v>2.46</v>
      </c>
      <c r="R214" s="8"/>
      <c r="S214" s="8"/>
      <c r="T214" s="8"/>
      <c r="U214" s="8"/>
      <c r="V214" s="8"/>
      <c r="W214" s="8"/>
    </row>
    <row r="215" spans="1:23" ht="14.4">
      <c r="A215" s="3">
        <f>LOOKUP(D215,'AMFI DATA_2023H1'!B:C,'AMFI DATA_2023H1'!C:C)</f>
        <v>166</v>
      </c>
      <c r="B215" s="4" t="s">
        <v>498</v>
      </c>
      <c r="C215" s="4" t="s">
        <v>499</v>
      </c>
      <c r="D215" s="5" t="s">
        <v>500</v>
      </c>
      <c r="E215" s="5">
        <f>LOOKUP(D215,'AMFI DATA_2023H1'!B:D,'AMFI DATA_2023H1'!D:D)</f>
        <v>32197.77</v>
      </c>
      <c r="F215" s="7">
        <f t="shared" si="0"/>
        <v>0.60060774395245375</v>
      </c>
      <c r="G215" s="8">
        <v>51536</v>
      </c>
      <c r="H215" s="8">
        <v>51263</v>
      </c>
      <c r="I215" s="8">
        <v>51627</v>
      </c>
      <c r="J215" s="8">
        <v>50512</v>
      </c>
      <c r="K215" s="8">
        <v>49829</v>
      </c>
      <c r="L215" s="8">
        <v>50899</v>
      </c>
      <c r="M215" s="8"/>
      <c r="N215" s="8"/>
      <c r="O215" s="8"/>
      <c r="P215" s="8"/>
      <c r="Q215" s="9">
        <f ca="1">IFERROR(__xludf.DUMMYFUNCTION("GOOGLEFINANCE(C215,""changepct"")"),1.9)</f>
        <v>1.9</v>
      </c>
      <c r="R215" s="8"/>
      <c r="S215" s="8"/>
      <c r="T215" s="8"/>
      <c r="U215" s="8"/>
      <c r="V215" s="8"/>
      <c r="W215" s="8"/>
    </row>
    <row r="216" spans="1:23" ht="14.4">
      <c r="A216" s="3">
        <f>LOOKUP(D216,'AMFI DATA_2023H1'!B:C,'AMFI DATA_2023H1'!C:C)</f>
        <v>236</v>
      </c>
      <c r="B216" s="4" t="s">
        <v>633</v>
      </c>
      <c r="C216" s="4" t="s">
        <v>634</v>
      </c>
      <c r="D216" s="5" t="s">
        <v>635</v>
      </c>
      <c r="E216" s="5">
        <f>LOOKUP(D216,'AMFI DATA_2023H1'!B:D,'AMFI DATA_2023H1'!D:D)</f>
        <v>19200.810000000001</v>
      </c>
      <c r="F216" s="7">
        <f t="shared" si="0"/>
        <v>0.68508516046979251</v>
      </c>
      <c r="G216" s="8">
        <v>32355</v>
      </c>
      <c r="H216" s="8">
        <v>31965</v>
      </c>
      <c r="I216" s="8">
        <v>32128</v>
      </c>
      <c r="J216" s="8">
        <v>32206</v>
      </c>
      <c r="K216" s="8">
        <v>32043</v>
      </c>
      <c r="L216" s="8">
        <v>32291</v>
      </c>
      <c r="M216" s="8"/>
      <c r="N216" s="8"/>
      <c r="O216" s="8"/>
      <c r="P216" s="8"/>
      <c r="Q216" s="9">
        <f ca="1">IFERROR(__xludf.DUMMYFUNCTION("GOOGLEFINANCE(C216,""changepct"")"),1.92)</f>
        <v>1.92</v>
      </c>
      <c r="R216" s="8"/>
      <c r="S216" s="8"/>
      <c r="T216" s="8"/>
      <c r="U216" s="8"/>
      <c r="V216" s="8"/>
      <c r="W216" s="8"/>
    </row>
    <row r="217" spans="1:23" ht="14.4">
      <c r="A217" s="3">
        <f>LOOKUP(D217,'AMFI DATA_2023H1'!B:C,'AMFI DATA_2023H1'!C:C)</f>
        <v>2332</v>
      </c>
      <c r="B217" s="4" t="s">
        <v>5317</v>
      </c>
      <c r="C217" s="4" t="s">
        <v>5318</v>
      </c>
      <c r="D217" s="5" t="s">
        <v>5319</v>
      </c>
      <c r="E217" s="5">
        <f>LOOKUP(D217,'AMFI DATA_2023H1'!B:D,'AMFI DATA_2023H1'!D:D)</f>
        <v>82.15</v>
      </c>
      <c r="F217" s="7">
        <f t="shared" si="0"/>
        <v>0.52160681679853904</v>
      </c>
      <c r="G217" s="9">
        <v>125</v>
      </c>
      <c r="H217" s="9">
        <v>114</v>
      </c>
      <c r="I217" s="9">
        <v>95.1</v>
      </c>
      <c r="J217" s="9">
        <v>79.2</v>
      </c>
      <c r="K217" s="9">
        <v>75.7</v>
      </c>
      <c r="L217" s="9">
        <v>76.099999999999994</v>
      </c>
      <c r="M217" s="9"/>
      <c r="N217" s="9"/>
      <c r="O217" s="9"/>
      <c r="P217" s="9"/>
      <c r="Q217" s="9">
        <f ca="1">IFERROR(__xludf.DUMMYFUNCTION("GOOGLEFINANCE(C217,""changepct"")"),8.08)</f>
        <v>8.08</v>
      </c>
      <c r="R217" s="9"/>
      <c r="S217" s="9"/>
      <c r="T217" s="9"/>
      <c r="U217" s="9"/>
      <c r="V217" s="9"/>
      <c r="W217" s="9"/>
    </row>
    <row r="218" spans="1:23" ht="14.4">
      <c r="A218" s="3">
        <f>LOOKUP(D218,'AMFI DATA_2023H1'!B:C,'AMFI DATA_2023H1'!C:C)</f>
        <v>1599</v>
      </c>
      <c r="B218" s="4" t="s">
        <v>4385</v>
      </c>
      <c r="C218" s="4" t="s">
        <v>4386</v>
      </c>
      <c r="D218" s="5" t="s">
        <v>4387</v>
      </c>
      <c r="E218" s="5">
        <f>LOOKUP(D218,'AMFI DATA_2023H1'!B:D,'AMFI DATA_2023H1'!D:D)</f>
        <v>289.41000000000003</v>
      </c>
      <c r="F218" s="7">
        <f t="shared" si="0"/>
        <v>7.8055353996060894E-2</v>
      </c>
      <c r="G218" s="9">
        <v>312</v>
      </c>
      <c r="H218" s="9">
        <v>308</v>
      </c>
      <c r="I218" s="9">
        <v>309</v>
      </c>
      <c r="J218" s="9">
        <v>316</v>
      </c>
      <c r="K218" s="9">
        <v>321</v>
      </c>
      <c r="L218" s="9">
        <v>310</v>
      </c>
      <c r="M218" s="9"/>
      <c r="N218" s="9"/>
      <c r="O218" s="9"/>
      <c r="P218" s="9"/>
      <c r="Q218" s="9">
        <f ca="1">IFERROR(__xludf.DUMMYFUNCTION("GOOGLEFINANCE(C218,""changepct"")"),-0.19)</f>
        <v>-0.19</v>
      </c>
      <c r="R218" s="9"/>
      <c r="S218" s="9"/>
      <c r="T218" s="9"/>
      <c r="U218" s="9"/>
      <c r="V218" s="9"/>
      <c r="W218" s="9"/>
    </row>
    <row r="219" spans="1:23" ht="14.4">
      <c r="A219" s="3">
        <f>LOOKUP(D219,'AMFI DATA_2023H1'!B:C,'AMFI DATA_2023H1'!C:C)</f>
        <v>616</v>
      </c>
      <c r="B219" s="4" t="s">
        <v>2195</v>
      </c>
      <c r="C219" s="4" t="s">
        <v>2196</v>
      </c>
      <c r="D219" s="5" t="s">
        <v>2197</v>
      </c>
      <c r="E219" s="5">
        <f>LOOKUP(D219,'AMFI DATA_2023H1'!B:D,'AMFI DATA_2023H1'!D:D)</f>
        <v>3485.17</v>
      </c>
      <c r="F219" s="7">
        <f t="shared" si="0"/>
        <v>-7.2929010636496927E-2</v>
      </c>
      <c r="G219" s="8">
        <v>3231</v>
      </c>
      <c r="H219" s="8">
        <v>3206</v>
      </c>
      <c r="I219" s="8">
        <v>3147</v>
      </c>
      <c r="J219" s="8">
        <v>3157</v>
      </c>
      <c r="K219" s="8">
        <v>3143</v>
      </c>
      <c r="L219" s="8">
        <v>3159</v>
      </c>
      <c r="M219" s="8"/>
      <c r="N219" s="8"/>
      <c r="O219" s="8"/>
      <c r="P219" s="8"/>
      <c r="Q219" s="9">
        <f ca="1">IFERROR(__xludf.DUMMYFUNCTION("GOOGLEFINANCE(C219,""changepct"")"),-2.11)</f>
        <v>-2.11</v>
      </c>
      <c r="R219" s="8"/>
      <c r="S219" s="8"/>
      <c r="T219" s="8"/>
      <c r="U219" s="8"/>
      <c r="V219" s="8"/>
      <c r="W219" s="8"/>
    </row>
    <row r="220" spans="1:23" ht="14.4">
      <c r="A220" s="3">
        <f>LOOKUP(D220,'AMFI DATA_2023H1'!B:C,'AMFI DATA_2023H1'!C:C)</f>
        <v>1316</v>
      </c>
      <c r="B220" s="4" t="s">
        <v>3947</v>
      </c>
      <c r="C220" s="4" t="s">
        <v>3948</v>
      </c>
      <c r="D220" s="5" t="s">
        <v>3949</v>
      </c>
      <c r="E220" s="5">
        <f>LOOKUP(D220,'AMFI DATA_2023H1'!B:D,'AMFI DATA_2023H1'!D:D)</f>
        <v>494.13</v>
      </c>
      <c r="F220" s="7">
        <f t="shared" si="0"/>
        <v>2.6045777426992878E-2</v>
      </c>
      <c r="G220" s="9">
        <v>507</v>
      </c>
      <c r="H220" s="9">
        <v>497</v>
      </c>
      <c r="I220" s="9">
        <v>500</v>
      </c>
      <c r="J220" s="9">
        <v>503</v>
      </c>
      <c r="K220" s="9">
        <v>511</v>
      </c>
      <c r="L220" s="9">
        <v>505</v>
      </c>
      <c r="M220" s="9"/>
      <c r="N220" s="9"/>
      <c r="O220" s="9"/>
      <c r="P220" s="9"/>
      <c r="Q220" s="9">
        <f ca="1">IFERROR(__xludf.DUMMYFUNCTION("GOOGLEFINANCE(C220,""changepct"")"),1.05)</f>
        <v>1.05</v>
      </c>
      <c r="R220" s="9"/>
      <c r="S220" s="9"/>
      <c r="T220" s="9"/>
      <c r="U220" s="9"/>
      <c r="V220" s="9"/>
      <c r="W220" s="9"/>
    </row>
    <row r="221" spans="1:23" ht="14.4">
      <c r="A221" s="3">
        <f>LOOKUP(D221,'AMFI DATA_2023H1'!B:C,'AMFI DATA_2023H1'!C:C)</f>
        <v>2473</v>
      </c>
      <c r="B221" s="4" t="s">
        <v>5254</v>
      </c>
      <c r="C221" s="4" t="s">
        <v>5255</v>
      </c>
      <c r="D221" s="5" t="s">
        <v>5256</v>
      </c>
      <c r="E221" s="5">
        <f>LOOKUP(D221,'AMFI DATA_2023H1'!B:D,'AMFI DATA_2023H1'!D:D)</f>
        <v>66.53</v>
      </c>
      <c r="F221" s="7">
        <f t="shared" si="0"/>
        <v>0.74357432737111084</v>
      </c>
      <c r="G221" s="9">
        <v>116</v>
      </c>
      <c r="H221" s="9">
        <v>114</v>
      </c>
      <c r="I221" s="9">
        <v>116</v>
      </c>
      <c r="J221" s="9">
        <v>119</v>
      </c>
      <c r="K221" s="9">
        <v>113</v>
      </c>
      <c r="L221" s="9">
        <v>108</v>
      </c>
      <c r="M221" s="9"/>
      <c r="N221" s="9"/>
      <c r="O221" s="9"/>
      <c r="P221" s="9"/>
      <c r="Q221" s="9">
        <f ca="1">IFERROR(__xludf.DUMMYFUNCTION("GOOGLEFINANCE(C221,""changepct"")"),4.66)</f>
        <v>4.66</v>
      </c>
      <c r="R221" s="9"/>
      <c r="S221" s="9"/>
      <c r="T221" s="9"/>
      <c r="U221" s="9"/>
      <c r="V221" s="9"/>
      <c r="W221" s="9"/>
    </row>
    <row r="222" spans="1:23" ht="14.4">
      <c r="A222" s="3">
        <f>LOOKUP(D222,'AMFI DATA_2023H1'!B:C,'AMFI DATA_2023H1'!C:C)</f>
        <v>679</v>
      </c>
      <c r="B222" s="4" t="s">
        <v>2411</v>
      </c>
      <c r="C222" s="4" t="s">
        <v>2412</v>
      </c>
      <c r="D222" s="5" t="s">
        <v>2413</v>
      </c>
      <c r="E222" s="5">
        <f>LOOKUP(D222,'AMFI DATA_2023H1'!B:D,'AMFI DATA_2023H1'!D:D)</f>
        <v>2775.74</v>
      </c>
      <c r="F222" s="7">
        <f t="shared" si="0"/>
        <v>-6.3673110593931659E-2</v>
      </c>
      <c r="G222" s="8">
        <v>2599</v>
      </c>
      <c r="H222" s="8">
        <v>2611</v>
      </c>
      <c r="I222" s="8">
        <v>2606</v>
      </c>
      <c r="J222" s="8">
        <v>2595</v>
      </c>
      <c r="K222" s="8">
        <v>2598</v>
      </c>
      <c r="L222" s="8">
        <v>2618</v>
      </c>
      <c r="M222" s="8"/>
      <c r="N222" s="8"/>
      <c r="O222" s="8"/>
      <c r="P222" s="8"/>
      <c r="Q222" s="9">
        <f ca="1">IFERROR(__xludf.DUMMYFUNCTION("GOOGLEFINANCE(C222,""changepct"")"),0.49)</f>
        <v>0.49</v>
      </c>
      <c r="R222" s="8"/>
      <c r="S222" s="8"/>
      <c r="T222" s="8"/>
      <c r="U222" s="8"/>
      <c r="V222" s="8"/>
      <c r="W222" s="8"/>
    </row>
    <row r="223" spans="1:23" ht="14.4">
      <c r="A223" s="3">
        <f>LOOKUP(D223,'AMFI DATA_2023H1'!B:C,'AMFI DATA_2023H1'!C:C)</f>
        <v>2307</v>
      </c>
      <c r="B223" s="4" t="s">
        <v>4124</v>
      </c>
      <c r="C223" s="4" t="s">
        <v>4125</v>
      </c>
      <c r="D223" s="5" t="s">
        <v>4126</v>
      </c>
      <c r="E223" s="5">
        <f>LOOKUP(D223,'AMFI DATA_2023H1'!B:D,'AMFI DATA_2023H1'!D:D)</f>
        <v>86.1</v>
      </c>
      <c r="F223" s="7">
        <f t="shared" si="0"/>
        <v>5.1788617886178869</v>
      </c>
      <c r="G223" s="9">
        <v>532</v>
      </c>
      <c r="H223" s="9">
        <v>518</v>
      </c>
      <c r="I223" s="9">
        <v>512</v>
      </c>
      <c r="J223" s="9">
        <v>518</v>
      </c>
      <c r="K223" s="9">
        <v>508</v>
      </c>
      <c r="L223" s="9">
        <v>519</v>
      </c>
      <c r="M223" s="9"/>
      <c r="N223" s="9"/>
      <c r="O223" s="9"/>
      <c r="P223" s="9"/>
      <c r="Q223" s="9">
        <f ca="1">IFERROR(__xludf.DUMMYFUNCTION("GOOGLEFINANCE(C223,""changepct"")"),3.63)</f>
        <v>3.63</v>
      </c>
      <c r="R223" s="9"/>
      <c r="S223" s="9"/>
      <c r="T223" s="9"/>
      <c r="U223" s="9"/>
      <c r="V223" s="9"/>
      <c r="W223" s="9"/>
    </row>
    <row r="224" spans="1:23" ht="14.4">
      <c r="A224" s="3">
        <f>LOOKUP(D224,'AMFI DATA_2023H1'!B:C,'AMFI DATA_2023H1'!C:C)</f>
        <v>334</v>
      </c>
      <c r="B224" s="4" t="s">
        <v>1119</v>
      </c>
      <c r="C224" s="4" t="s">
        <v>1120</v>
      </c>
      <c r="D224" s="5" t="s">
        <v>1121</v>
      </c>
      <c r="E224" s="5">
        <f>LOOKUP(D224,'AMFI DATA_2023H1'!B:D,'AMFI DATA_2023H1'!D:D)</f>
        <v>10618.61</v>
      </c>
      <c r="F224" s="7">
        <f t="shared" si="0"/>
        <v>0.25308303064148685</v>
      </c>
      <c r="G224" s="8">
        <v>13306</v>
      </c>
      <c r="H224" s="8">
        <v>13274</v>
      </c>
      <c r="I224" s="8">
        <v>13305</v>
      </c>
      <c r="J224" s="8">
        <v>13270</v>
      </c>
      <c r="K224" s="8">
        <v>13323</v>
      </c>
      <c r="L224" s="8">
        <v>13106</v>
      </c>
      <c r="M224" s="8"/>
      <c r="N224" s="8"/>
      <c r="O224" s="8"/>
      <c r="P224" s="8"/>
      <c r="Q224" s="9">
        <f ca="1">IFERROR(__xludf.DUMMYFUNCTION("GOOGLEFINANCE(C224,""changepct"")"),1.31)</f>
        <v>1.31</v>
      </c>
      <c r="R224" s="8"/>
      <c r="S224" s="8"/>
      <c r="T224" s="8"/>
      <c r="U224" s="8"/>
      <c r="V224" s="8"/>
      <c r="W224" s="8"/>
    </row>
    <row r="225" spans="1:23" ht="14.4">
      <c r="A225" s="3">
        <f>LOOKUP(D225,'AMFI DATA_2023H1'!B:C,'AMFI DATA_2023H1'!C:C)</f>
        <v>230</v>
      </c>
      <c r="B225" s="4" t="s">
        <v>774</v>
      </c>
      <c r="C225" s="4" t="s">
        <v>775</v>
      </c>
      <c r="D225" s="5" t="s">
        <v>776</v>
      </c>
      <c r="E225" s="5">
        <f>LOOKUP(D225,'AMFI DATA_2023H1'!B:D,'AMFI DATA_2023H1'!D:D)</f>
        <v>19432.2</v>
      </c>
      <c r="F225" s="7">
        <f t="shared" si="0"/>
        <v>8.5826617675816452E-2</v>
      </c>
      <c r="G225" s="8">
        <v>21100</v>
      </c>
      <c r="H225" s="8">
        <v>21207</v>
      </c>
      <c r="I225" s="8">
        <v>21061</v>
      </c>
      <c r="J225" s="8">
        <v>21062</v>
      </c>
      <c r="K225" s="8">
        <v>20782</v>
      </c>
      <c r="L225" s="8">
        <v>20833</v>
      </c>
      <c r="M225" s="8"/>
      <c r="N225" s="8"/>
      <c r="O225" s="8"/>
      <c r="P225" s="8"/>
      <c r="Q225" s="9">
        <f ca="1">IFERROR(__xludf.DUMMYFUNCTION("GOOGLEFINANCE(C225,""changepct"")"),-0.79)</f>
        <v>-0.79</v>
      </c>
      <c r="R225" s="8"/>
      <c r="S225" s="8"/>
      <c r="T225" s="8"/>
      <c r="U225" s="8"/>
      <c r="V225" s="8"/>
      <c r="W225" s="8"/>
    </row>
    <row r="226" spans="1:23" ht="14.4">
      <c r="A226" s="3">
        <f>LOOKUP(D226,'AMFI DATA_2023H1'!B:C,'AMFI DATA_2023H1'!C:C)</f>
        <v>230</v>
      </c>
      <c r="B226" s="4" t="s">
        <v>777</v>
      </c>
      <c r="C226" s="4" t="s">
        <v>778</v>
      </c>
      <c r="D226" s="5" t="s">
        <v>779</v>
      </c>
      <c r="E226" s="5">
        <f>LOOKUP(D226,'AMFI DATA_2023H1'!B:D,'AMFI DATA_2023H1'!D:D)</f>
        <v>19432.2</v>
      </c>
      <c r="F226" s="7">
        <f t="shared" si="0"/>
        <v>0.2721153549263593</v>
      </c>
      <c r="G226" s="8">
        <v>24720</v>
      </c>
      <c r="H226" s="8">
        <v>24868</v>
      </c>
      <c r="I226" s="8">
        <v>24976</v>
      </c>
      <c r="J226" s="8">
        <v>25595</v>
      </c>
      <c r="K226" s="8">
        <v>25383</v>
      </c>
      <c r="L226" s="8">
        <v>25168</v>
      </c>
      <c r="M226" s="8"/>
      <c r="N226" s="8"/>
      <c r="O226" s="8"/>
      <c r="P226" s="8"/>
      <c r="Q226" s="9">
        <f ca="1">IFERROR(__xludf.DUMMYFUNCTION("GOOGLEFINANCE(C226,""changepct"")"),-0.49)</f>
        <v>-0.49</v>
      </c>
      <c r="R226" s="8"/>
      <c r="S226" s="8"/>
      <c r="T226" s="8"/>
      <c r="U226" s="8"/>
      <c r="V226" s="8"/>
      <c r="W226" s="8"/>
    </row>
    <row r="227" spans="1:23" ht="14.4">
      <c r="A227" s="3">
        <f>LOOKUP(D227,'AMFI DATA_2023H1'!B:C,'AMFI DATA_2023H1'!C:C)</f>
        <v>1039</v>
      </c>
      <c r="B227" s="4" t="s">
        <v>3146</v>
      </c>
      <c r="C227" s="4" t="s">
        <v>3147</v>
      </c>
      <c r="D227" s="5" t="s">
        <v>3148</v>
      </c>
      <c r="E227" s="5">
        <f>LOOKUP(D227,'AMFI DATA_2023H1'!B:D,'AMFI DATA_2023H1'!D:D)</f>
        <v>1050.94</v>
      </c>
      <c r="F227" s="7">
        <f t="shared" si="0"/>
        <v>0.62616324433364401</v>
      </c>
      <c r="G227" s="8">
        <v>1709</v>
      </c>
      <c r="H227" s="8">
        <v>1712</v>
      </c>
      <c r="I227" s="8">
        <v>1703</v>
      </c>
      <c r="J227" s="8">
        <v>1721</v>
      </c>
      <c r="K227" s="8">
        <v>1675</v>
      </c>
      <c r="L227" s="8">
        <v>1686</v>
      </c>
      <c r="M227" s="8"/>
      <c r="N227" s="8"/>
      <c r="O227" s="8"/>
      <c r="P227" s="8"/>
      <c r="Q227" s="9">
        <f ca="1">IFERROR(__xludf.DUMMYFUNCTION("GOOGLEFINANCE(C227,""changepct"")"),2.48)</f>
        <v>2.48</v>
      </c>
      <c r="R227" s="8"/>
      <c r="S227" s="8"/>
      <c r="T227" s="8"/>
      <c r="U227" s="8"/>
      <c r="V227" s="8"/>
      <c r="W227" s="8"/>
    </row>
    <row r="228" spans="1:23" ht="14.4">
      <c r="A228" s="3">
        <f>LOOKUP(D228,'AMFI DATA_2023H1'!B:C,'AMFI DATA_2023H1'!C:C)</f>
        <v>2281</v>
      </c>
      <c r="B228" s="4" t="s">
        <v>4934</v>
      </c>
      <c r="C228" s="4" t="s">
        <v>4935</v>
      </c>
      <c r="D228" s="5" t="s">
        <v>4936</v>
      </c>
      <c r="E228" s="5">
        <f>LOOKUP(D228,'AMFI DATA_2023H1'!B:D,'AMFI DATA_2023H1'!D:D)</f>
        <v>90.37</v>
      </c>
      <c r="F228" s="7">
        <f t="shared" si="0"/>
        <v>0.9586145844860019</v>
      </c>
      <c r="G228" s="9">
        <v>177</v>
      </c>
      <c r="H228" s="9">
        <v>181</v>
      </c>
      <c r="I228" s="9">
        <v>181</v>
      </c>
      <c r="J228" s="9">
        <v>184</v>
      </c>
      <c r="K228" s="9">
        <v>179</v>
      </c>
      <c r="L228" s="9">
        <v>178</v>
      </c>
      <c r="M228" s="9"/>
      <c r="N228" s="9"/>
      <c r="O228" s="9"/>
      <c r="P228" s="9"/>
      <c r="Q228" s="9">
        <f ca="1">IFERROR(__xludf.DUMMYFUNCTION("GOOGLEFINANCE(C228,""changepct"")"),1.23)</f>
        <v>1.23</v>
      </c>
      <c r="R228" s="9"/>
      <c r="S228" s="9"/>
      <c r="T228" s="9"/>
      <c r="U228" s="9"/>
      <c r="V228" s="9"/>
      <c r="W228" s="9"/>
    </row>
    <row r="229" spans="1:23" ht="14.4">
      <c r="A229" s="3">
        <f>LOOKUP(D229,'AMFI DATA_2023H1'!B:C,'AMFI DATA_2023H1'!C:C)</f>
        <v>1841</v>
      </c>
      <c r="B229" s="4" t="s">
        <v>4262</v>
      </c>
      <c r="C229" s="4" t="s">
        <v>4263</v>
      </c>
      <c r="D229" s="5" t="s">
        <v>4264</v>
      </c>
      <c r="E229" s="5">
        <f>LOOKUP(D229,'AMFI DATA_2023H1'!B:D,'AMFI DATA_2023H1'!D:D)</f>
        <v>183.47</v>
      </c>
      <c r="F229" s="7">
        <f t="shared" si="0"/>
        <v>2.335695209025999</v>
      </c>
      <c r="G229" s="9">
        <v>612</v>
      </c>
      <c r="H229" s="9">
        <v>557</v>
      </c>
      <c r="I229" s="9">
        <v>541</v>
      </c>
      <c r="J229" s="9">
        <v>543</v>
      </c>
      <c r="K229" s="9">
        <v>553</v>
      </c>
      <c r="L229" s="9">
        <v>553</v>
      </c>
      <c r="M229" s="9"/>
      <c r="N229" s="9"/>
      <c r="O229" s="9"/>
      <c r="P229" s="9"/>
      <c r="Q229" s="9">
        <f ca="1">IFERROR(__xludf.DUMMYFUNCTION("GOOGLEFINANCE(C229,""changepct"")"),10.23)</f>
        <v>10.23</v>
      </c>
      <c r="R229" s="9"/>
      <c r="S229" s="9"/>
      <c r="T229" s="9"/>
      <c r="U229" s="9"/>
      <c r="V229" s="9"/>
      <c r="W229" s="9"/>
    </row>
    <row r="230" spans="1:23" ht="14.4">
      <c r="A230" s="3">
        <f>LOOKUP(D230,'AMFI DATA_2023H1'!B:C,'AMFI DATA_2023H1'!C:C)</f>
        <v>1175</v>
      </c>
      <c r="B230" s="4" t="s">
        <v>3695</v>
      </c>
      <c r="C230" s="4" t="s">
        <v>3696</v>
      </c>
      <c r="D230" s="5" t="s">
        <v>3697</v>
      </c>
      <c r="E230" s="5">
        <f>LOOKUP(D230,'AMFI DATA_2023H1'!B:D,'AMFI DATA_2023H1'!D:D)</f>
        <v>733.35</v>
      </c>
      <c r="F230" s="7">
        <f t="shared" si="0"/>
        <v>0.19860912251994267</v>
      </c>
      <c r="G230" s="9">
        <v>879</v>
      </c>
      <c r="H230" s="9">
        <v>869</v>
      </c>
      <c r="I230" s="9">
        <v>867</v>
      </c>
      <c r="J230" s="9">
        <v>850</v>
      </c>
      <c r="K230" s="9">
        <v>815</v>
      </c>
      <c r="L230" s="9">
        <v>806</v>
      </c>
      <c r="M230" s="9"/>
      <c r="N230" s="9"/>
      <c r="O230" s="9"/>
      <c r="P230" s="9"/>
      <c r="Q230" s="9">
        <f ca="1">IFERROR(__xludf.DUMMYFUNCTION("GOOGLEFINANCE(C230,""changepct"")"),2.68)</f>
        <v>2.68</v>
      </c>
      <c r="R230" s="9"/>
      <c r="S230" s="9"/>
      <c r="T230" s="9"/>
      <c r="U230" s="9"/>
      <c r="V230" s="9"/>
      <c r="W230" s="9"/>
    </row>
    <row r="231" spans="1:23" ht="14.4">
      <c r="A231" s="3">
        <f>LOOKUP(D231,'AMFI DATA_2023H1'!B:C,'AMFI DATA_2023H1'!C:C)</f>
        <v>468</v>
      </c>
      <c r="B231" s="4" t="s">
        <v>1311</v>
      </c>
      <c r="C231" s="4" t="s">
        <v>1312</v>
      </c>
      <c r="D231" s="5" t="s">
        <v>1313</v>
      </c>
      <c r="E231" s="5">
        <f>LOOKUP(D231,'AMFI DATA_2023H1'!B:D,'AMFI DATA_2023H1'!D:D)</f>
        <v>5763.53</v>
      </c>
      <c r="F231" s="7">
        <f t="shared" si="0"/>
        <v>1.054990604716207</v>
      </c>
      <c r="G231" s="8">
        <v>11844</v>
      </c>
      <c r="H231" s="8">
        <v>11777</v>
      </c>
      <c r="I231" s="8">
        <v>11760</v>
      </c>
      <c r="J231" s="8">
        <v>11941</v>
      </c>
      <c r="K231" s="8">
        <v>11990</v>
      </c>
      <c r="L231" s="8">
        <v>11676</v>
      </c>
      <c r="M231" s="8"/>
      <c r="N231" s="8"/>
      <c r="O231" s="8"/>
      <c r="P231" s="8"/>
      <c r="Q231" s="9">
        <f ca="1">IFERROR(__xludf.DUMMYFUNCTION("GOOGLEFINANCE(C231,""changepct"")"),0.98)</f>
        <v>0.98</v>
      </c>
      <c r="R231" s="8"/>
      <c r="S231" s="8"/>
      <c r="T231" s="8"/>
      <c r="U231" s="8"/>
      <c r="V231" s="8"/>
      <c r="W231" s="8"/>
    </row>
    <row r="232" spans="1:23" ht="14.4">
      <c r="A232" s="3">
        <f>LOOKUP(D232,'AMFI DATA_2023H1'!B:C,'AMFI DATA_2023H1'!C:C)</f>
        <v>83</v>
      </c>
      <c r="B232" s="4" t="s">
        <v>303</v>
      </c>
      <c r="C232" s="4" t="s">
        <v>304</v>
      </c>
      <c r="D232" s="5" t="s">
        <v>305</v>
      </c>
      <c r="E232" s="5">
        <f>LOOKUP(D232,'AMFI DATA_2023H1'!B:D,'AMFI DATA_2023H1'!D:D)</f>
        <v>58273</v>
      </c>
      <c r="F232" s="7">
        <f t="shared" si="0"/>
        <v>0.20105366121531421</v>
      </c>
      <c r="G232" s="8">
        <v>69989</v>
      </c>
      <c r="H232" s="8">
        <v>70246</v>
      </c>
      <c r="I232" s="8">
        <v>69488</v>
      </c>
      <c r="J232" s="8">
        <v>68194</v>
      </c>
      <c r="K232" s="8">
        <v>68591</v>
      </c>
      <c r="L232" s="8">
        <v>67978</v>
      </c>
      <c r="M232" s="8"/>
      <c r="N232" s="8"/>
      <c r="O232" s="8"/>
      <c r="P232" s="8"/>
      <c r="Q232" s="9">
        <f ca="1">IFERROR(__xludf.DUMMYFUNCTION("GOOGLEFINANCE(C232,""changepct"")"),-0.32)</f>
        <v>-0.32</v>
      </c>
      <c r="R232" s="8"/>
      <c r="S232" s="8"/>
      <c r="T232" s="8"/>
      <c r="U232" s="8"/>
      <c r="V232" s="8"/>
      <c r="W232" s="8"/>
    </row>
    <row r="233" spans="1:23" ht="14.4">
      <c r="A233" s="3">
        <f>LOOKUP(D233,'AMFI DATA_2023H1'!B:C,'AMFI DATA_2023H1'!C:C)</f>
        <v>904</v>
      </c>
      <c r="B233" s="4" t="s">
        <v>2813</v>
      </c>
      <c r="C233" s="4" t="s">
        <v>2814</v>
      </c>
      <c r="D233" s="5" t="s">
        <v>2815</v>
      </c>
      <c r="E233" s="5">
        <f>LOOKUP(D233,'AMFI DATA_2023H1'!B:D,'AMFI DATA_2023H1'!D:D)</f>
        <v>1458.19</v>
      </c>
      <c r="F233" s="7">
        <f t="shared" si="0"/>
        <v>0.41476762287493396</v>
      </c>
      <c r="G233" s="8">
        <v>2063</v>
      </c>
      <c r="H233" s="8">
        <v>2013</v>
      </c>
      <c r="I233" s="8">
        <v>2009</v>
      </c>
      <c r="J233" s="8">
        <v>2041</v>
      </c>
      <c r="K233" s="8">
        <v>2111</v>
      </c>
      <c r="L233" s="8">
        <v>2150</v>
      </c>
      <c r="M233" s="8"/>
      <c r="N233" s="8"/>
      <c r="O233" s="8"/>
      <c r="P233" s="8"/>
      <c r="Q233" s="9">
        <f ca="1">IFERROR(__xludf.DUMMYFUNCTION("GOOGLEFINANCE(C233,""changepct"")"),0.83)</f>
        <v>0.83</v>
      </c>
      <c r="R233" s="8"/>
      <c r="S233" s="8"/>
      <c r="T233" s="8"/>
      <c r="U233" s="8"/>
      <c r="V233" s="8"/>
      <c r="W233" s="8"/>
    </row>
    <row r="234" spans="1:23" ht="14.4">
      <c r="A234" s="3">
        <f>LOOKUP(D234,'AMFI DATA_2023H1'!B:C,'AMFI DATA_2023H1'!C:C)</f>
        <v>945</v>
      </c>
      <c r="B234" s="4" t="s">
        <v>2594</v>
      </c>
      <c r="C234" s="4" t="s">
        <v>2595</v>
      </c>
      <c r="D234" s="5" t="s">
        <v>2596</v>
      </c>
      <c r="E234" s="5">
        <f>LOOKUP(D234,'AMFI DATA_2023H1'!B:D,'AMFI DATA_2023H1'!D:D)</f>
        <v>1326.33</v>
      </c>
      <c r="F234" s="7">
        <f t="shared" si="0"/>
        <v>0.68434703278972808</v>
      </c>
      <c r="G234" s="8">
        <v>2234</v>
      </c>
      <c r="H234" s="8">
        <v>2225</v>
      </c>
      <c r="I234" s="8">
        <v>2235</v>
      </c>
      <c r="J234" s="8">
        <v>2277</v>
      </c>
      <c r="K234" s="8">
        <v>2268</v>
      </c>
      <c r="L234" s="8">
        <v>2300</v>
      </c>
      <c r="M234" s="8"/>
      <c r="N234" s="8"/>
      <c r="O234" s="8"/>
      <c r="P234" s="8"/>
      <c r="Q234" s="9">
        <f ca="1">IFERROR(__xludf.DUMMYFUNCTION("GOOGLEFINANCE(C234,""changepct"")"),-1.57)</f>
        <v>-1.57</v>
      </c>
      <c r="R234" s="8"/>
      <c r="S234" s="8"/>
      <c r="T234" s="8"/>
      <c r="U234" s="8"/>
      <c r="V234" s="8"/>
      <c r="W234" s="8"/>
    </row>
    <row r="235" spans="1:23" ht="14.4">
      <c r="A235" s="3">
        <f>LOOKUP(D235,'AMFI DATA_2023H1'!B:C,'AMFI DATA_2023H1'!C:C)</f>
        <v>1442</v>
      </c>
      <c r="B235" s="4" t="s">
        <v>3929</v>
      </c>
      <c r="C235" s="4" t="s">
        <v>3930</v>
      </c>
      <c r="D235" s="5" t="s">
        <v>3931</v>
      </c>
      <c r="E235" s="5">
        <f>LOOKUP(D235,'AMFI DATA_2023H1'!B:D,'AMFI DATA_2023H1'!D:D)</f>
        <v>387.39</v>
      </c>
      <c r="F235" s="7">
        <f t="shared" si="0"/>
        <v>0.79663904592271351</v>
      </c>
      <c r="G235" s="9">
        <v>696</v>
      </c>
      <c r="H235" s="9">
        <v>701</v>
      </c>
      <c r="I235" s="9">
        <v>679</v>
      </c>
      <c r="J235" s="9">
        <v>703</v>
      </c>
      <c r="K235" s="9">
        <v>715</v>
      </c>
      <c r="L235" s="9">
        <v>726</v>
      </c>
      <c r="M235" s="9"/>
      <c r="N235" s="9"/>
      <c r="O235" s="9"/>
      <c r="P235" s="9"/>
      <c r="Q235" s="9">
        <f ca="1">IFERROR(__xludf.DUMMYFUNCTION("GOOGLEFINANCE(C235,""changepct"")"),0.87)</f>
        <v>0.87</v>
      </c>
      <c r="R235" s="9"/>
      <c r="S235" s="9"/>
      <c r="T235" s="9"/>
      <c r="U235" s="9"/>
      <c r="V235" s="9"/>
      <c r="W235" s="9"/>
    </row>
    <row r="236" spans="1:23" ht="14.4">
      <c r="A236" s="3">
        <f>LOOKUP(D236,'AMFI DATA_2023H1'!B:C,'AMFI DATA_2023H1'!C:C)</f>
        <v>1256</v>
      </c>
      <c r="B236" s="4" t="s">
        <v>3701</v>
      </c>
      <c r="C236" s="4" t="s">
        <v>3702</v>
      </c>
      <c r="D236" s="5" t="s">
        <v>3703</v>
      </c>
      <c r="E236" s="5">
        <f>LOOKUP(D236,'AMFI DATA_2023H1'!B:D,'AMFI DATA_2023H1'!D:D)</f>
        <v>594.79999999999995</v>
      </c>
      <c r="F236" s="7">
        <f t="shared" si="0"/>
        <v>0.20880968392737054</v>
      </c>
      <c r="G236" s="9">
        <v>719</v>
      </c>
      <c r="H236" s="9">
        <v>713</v>
      </c>
      <c r="I236" s="9">
        <v>731</v>
      </c>
      <c r="J236" s="9">
        <v>719</v>
      </c>
      <c r="K236" s="9">
        <v>738</v>
      </c>
      <c r="L236" s="9">
        <v>727</v>
      </c>
      <c r="M236" s="9"/>
      <c r="N236" s="9"/>
      <c r="O236" s="9"/>
      <c r="P236" s="9"/>
      <c r="Q236" s="9">
        <f ca="1">IFERROR(__xludf.DUMMYFUNCTION("GOOGLEFINANCE(C236,""changepct"")"),0.35)</f>
        <v>0.35</v>
      </c>
      <c r="R236" s="9"/>
      <c r="S236" s="9"/>
      <c r="T236" s="9"/>
      <c r="U236" s="9"/>
      <c r="V236" s="9"/>
      <c r="W236" s="9"/>
    </row>
    <row r="237" spans="1:23" ht="14.4">
      <c r="A237" s="3">
        <f>LOOKUP(D237,'AMFI DATA_2023H1'!B:C,'AMFI DATA_2023H1'!C:C)</f>
        <v>924</v>
      </c>
      <c r="B237" s="4" t="s">
        <v>3008</v>
      </c>
      <c r="C237" s="4" t="s">
        <v>3009</v>
      </c>
      <c r="D237" s="5" t="s">
        <v>3010</v>
      </c>
      <c r="E237" s="5">
        <f>LOOKUP(D237,'AMFI DATA_2023H1'!B:D,'AMFI DATA_2023H1'!D:D)</f>
        <v>1390.18</v>
      </c>
      <c r="F237" s="7">
        <f t="shared" si="0"/>
        <v>0.13510480657181079</v>
      </c>
      <c r="G237" s="8">
        <v>1578</v>
      </c>
      <c r="H237" s="8">
        <v>1597</v>
      </c>
      <c r="I237" s="8">
        <v>1597</v>
      </c>
      <c r="J237" s="8">
        <v>1600</v>
      </c>
      <c r="K237" s="8">
        <v>1622</v>
      </c>
      <c r="L237" s="8">
        <v>1596</v>
      </c>
      <c r="M237" s="8"/>
      <c r="N237" s="8"/>
      <c r="O237" s="8"/>
      <c r="P237" s="8"/>
      <c r="Q237" s="9">
        <f ca="1">IFERROR(__xludf.DUMMYFUNCTION("GOOGLEFINANCE(C237,""changepct"")"),-1.85)</f>
        <v>-1.85</v>
      </c>
      <c r="R237" s="8"/>
      <c r="S237" s="8"/>
      <c r="T237" s="8"/>
      <c r="U237" s="8"/>
      <c r="V237" s="8"/>
      <c r="W237" s="8"/>
    </row>
    <row r="238" spans="1:23" ht="14.4">
      <c r="A238" s="3">
        <f>LOOKUP(D238,'AMFI DATA_2023H1'!B:C,'AMFI DATA_2023H1'!C:C)</f>
        <v>1939</v>
      </c>
      <c r="B238" s="4" t="s">
        <v>4601</v>
      </c>
      <c r="C238" s="4" t="s">
        <v>4602</v>
      </c>
      <c r="D238" s="5" t="s">
        <v>4603</v>
      </c>
      <c r="E238" s="5">
        <f>LOOKUP(D238,'AMFI DATA_2023H1'!B:D,'AMFI DATA_2023H1'!D:D)</f>
        <v>157.52000000000001</v>
      </c>
      <c r="F238" s="7">
        <f t="shared" si="0"/>
        <v>1.0314880650076179</v>
      </c>
      <c r="G238" s="9">
        <v>320</v>
      </c>
      <c r="H238" s="9">
        <v>331</v>
      </c>
      <c r="I238" s="9">
        <v>317</v>
      </c>
      <c r="J238" s="9">
        <v>279</v>
      </c>
      <c r="K238" s="9">
        <v>280</v>
      </c>
      <c r="L238" s="9">
        <v>281</v>
      </c>
      <c r="M238" s="9"/>
      <c r="N238" s="9"/>
      <c r="O238" s="9"/>
      <c r="P238" s="9"/>
      <c r="Q238" s="9">
        <f ca="1">IFERROR(__xludf.DUMMYFUNCTION("GOOGLEFINANCE(C238,""changepct"")"),4.73)</f>
        <v>4.7300000000000004</v>
      </c>
      <c r="R238" s="9"/>
      <c r="S238" s="9"/>
      <c r="T238" s="9"/>
      <c r="U238" s="9"/>
      <c r="V238" s="9"/>
      <c r="W238" s="9"/>
    </row>
    <row r="239" spans="1:23" ht="14.4">
      <c r="A239" s="3">
        <f>LOOKUP(D239,'AMFI DATA_2023H1'!B:C,'AMFI DATA_2023H1'!C:C)</f>
        <v>2410</v>
      </c>
      <c r="B239" s="4" t="s">
        <v>5239</v>
      </c>
      <c r="C239" s="4" t="s">
        <v>5240</v>
      </c>
      <c r="D239" s="5" t="s">
        <v>5241</v>
      </c>
      <c r="E239" s="5">
        <f>LOOKUP(D239,'AMFI DATA_2023H1'!B:D,'AMFI DATA_2023H1'!D:D)</f>
        <v>72.180000000000007</v>
      </c>
      <c r="F239" s="7">
        <f t="shared" si="0"/>
        <v>0.44084233859794941</v>
      </c>
      <c r="G239" s="9">
        <v>104</v>
      </c>
      <c r="H239" s="9">
        <v>98.7</v>
      </c>
      <c r="I239" s="9">
        <v>100</v>
      </c>
      <c r="J239" s="9">
        <v>102</v>
      </c>
      <c r="K239" s="9">
        <v>99.4</v>
      </c>
      <c r="L239" s="9">
        <v>98.1</v>
      </c>
      <c r="M239" s="9"/>
      <c r="N239" s="9"/>
      <c r="O239" s="9"/>
      <c r="P239" s="9"/>
      <c r="Q239" s="9">
        <f ca="1">IFERROR(__xludf.DUMMYFUNCTION("GOOGLEFINANCE(C239,""changepct"")"),-3.41)</f>
        <v>-3.41</v>
      </c>
      <c r="R239" s="9"/>
      <c r="S239" s="9"/>
      <c r="T239" s="9"/>
      <c r="U239" s="9"/>
      <c r="V239" s="9"/>
      <c r="W239" s="9"/>
    </row>
    <row r="240" spans="1:23" ht="14.4">
      <c r="A240" s="3">
        <f>LOOKUP(D240,'AMFI DATA_2023H1'!B:C,'AMFI DATA_2023H1'!C:C)</f>
        <v>802</v>
      </c>
      <c r="B240" s="4" t="s">
        <v>2543</v>
      </c>
      <c r="C240" s="4" t="s">
        <v>2544</v>
      </c>
      <c r="D240" s="5" t="s">
        <v>2545</v>
      </c>
      <c r="E240" s="5">
        <f>LOOKUP(D240,'AMFI DATA_2023H1'!B:D,'AMFI DATA_2023H1'!D:D)</f>
        <v>1923.71</v>
      </c>
      <c r="F240" s="7">
        <f t="shared" si="0"/>
        <v>0.34011883288021583</v>
      </c>
      <c r="G240" s="8">
        <v>2578</v>
      </c>
      <c r="H240" s="8">
        <v>2509</v>
      </c>
      <c r="I240" s="8">
        <v>2504</v>
      </c>
      <c r="J240" s="8">
        <v>2542</v>
      </c>
      <c r="K240" s="8">
        <v>2574</v>
      </c>
      <c r="L240" s="8">
        <v>2560</v>
      </c>
      <c r="M240" s="8"/>
      <c r="N240" s="8"/>
      <c r="O240" s="8"/>
      <c r="P240" s="8"/>
      <c r="Q240" s="9">
        <f ca="1">IFERROR(__xludf.DUMMYFUNCTION("GOOGLEFINANCE(C240,""changepct"")"),0.77)</f>
        <v>0.77</v>
      </c>
      <c r="R240" s="8"/>
      <c r="S240" s="8"/>
      <c r="T240" s="8"/>
      <c r="U240" s="8"/>
      <c r="V240" s="8"/>
      <c r="W240" s="8"/>
    </row>
    <row r="241" spans="1:23" ht="14.4">
      <c r="A241" s="3">
        <f>LOOKUP(D241,'AMFI DATA_2023H1'!B:C,'AMFI DATA_2023H1'!C:C)</f>
        <v>886</v>
      </c>
      <c r="B241" s="4" t="s">
        <v>2618</v>
      </c>
      <c r="C241" s="4" t="s">
        <v>2619</v>
      </c>
      <c r="D241" s="5" t="s">
        <v>2620</v>
      </c>
      <c r="E241" s="5">
        <f>LOOKUP(D241,'AMFI DATA_2023H1'!B:D,'AMFI DATA_2023H1'!D:D)</f>
        <v>1540.43</v>
      </c>
      <c r="F241" s="7">
        <f t="shared" si="0"/>
        <v>0.81702511636361264</v>
      </c>
      <c r="G241" s="8">
        <v>2799</v>
      </c>
      <c r="H241" s="8">
        <v>2747</v>
      </c>
      <c r="I241" s="8">
        <v>2675</v>
      </c>
      <c r="J241" s="8">
        <v>2682</v>
      </c>
      <c r="K241" s="8">
        <v>2616</v>
      </c>
      <c r="L241" s="8">
        <v>2301</v>
      </c>
      <c r="M241" s="8"/>
      <c r="N241" s="8"/>
      <c r="O241" s="8"/>
      <c r="P241" s="8"/>
      <c r="Q241" s="9">
        <f ca="1">IFERROR(__xludf.DUMMYFUNCTION("GOOGLEFINANCE(C241,""changepct"")"),0.22)</f>
        <v>0.22</v>
      </c>
      <c r="R241" s="8"/>
      <c r="S241" s="8"/>
      <c r="T241" s="8"/>
      <c r="U241" s="8"/>
      <c r="V241" s="8"/>
      <c r="W241" s="8"/>
    </row>
    <row r="242" spans="1:23" ht="14.4">
      <c r="A242" s="3">
        <f>LOOKUP(D242,'AMFI DATA_2023H1'!B:C,'AMFI DATA_2023H1'!C:C)</f>
        <v>244</v>
      </c>
      <c r="B242" s="4" t="s">
        <v>780</v>
      </c>
      <c r="C242" s="4" t="s">
        <v>781</v>
      </c>
      <c r="D242" s="5" t="s">
        <v>782</v>
      </c>
      <c r="E242" s="5">
        <f>LOOKUP(D242,'AMFI DATA_2023H1'!B:D,'AMFI DATA_2023H1'!D:D)</f>
        <v>18097.91</v>
      </c>
      <c r="F242" s="7">
        <f t="shared" si="0"/>
        <v>0.74793664019768036</v>
      </c>
      <c r="G242" s="8">
        <v>31634</v>
      </c>
      <c r="H242" s="8">
        <v>31399</v>
      </c>
      <c r="I242" s="8">
        <v>31132</v>
      </c>
      <c r="J242" s="8">
        <v>32380</v>
      </c>
      <c r="K242" s="8">
        <v>31026</v>
      </c>
      <c r="L242" s="8">
        <v>28798</v>
      </c>
      <c r="M242" s="8"/>
      <c r="N242" s="8"/>
      <c r="O242" s="8"/>
      <c r="P242" s="8"/>
      <c r="Q242" s="9">
        <f ca="1">IFERROR(__xludf.DUMMYFUNCTION("GOOGLEFINANCE(C242,""changepct"")"),0.74)</f>
        <v>0.74</v>
      </c>
      <c r="R242" s="8"/>
      <c r="S242" s="8"/>
      <c r="T242" s="8"/>
      <c r="U242" s="8"/>
      <c r="V242" s="8"/>
      <c r="W242" s="8"/>
    </row>
    <row r="243" spans="1:23" ht="14.4">
      <c r="A243" s="3">
        <f>LOOKUP(D243,'AMFI DATA_2023H1'!B:C,'AMFI DATA_2023H1'!C:C)</f>
        <v>68</v>
      </c>
      <c r="B243" s="4" t="s">
        <v>177</v>
      </c>
      <c r="C243" s="4" t="s">
        <v>178</v>
      </c>
      <c r="D243" s="5" t="s">
        <v>179</v>
      </c>
      <c r="E243" s="5">
        <f>LOOKUP(D243,'AMFI DATA_2023H1'!B:D,'AMFI DATA_2023H1'!D:D)</f>
        <v>75404.289999999994</v>
      </c>
      <c r="F243" s="7">
        <f t="shared" si="0"/>
        <v>0.79388997628649527</v>
      </c>
      <c r="G243" s="8">
        <v>135267</v>
      </c>
      <c r="H243" s="8">
        <v>134573</v>
      </c>
      <c r="I243" s="8">
        <v>133550</v>
      </c>
      <c r="J243" s="8">
        <v>131686</v>
      </c>
      <c r="K243" s="8">
        <v>132963</v>
      </c>
      <c r="L243" s="8">
        <v>127775</v>
      </c>
      <c r="M243" s="8"/>
      <c r="N243" s="8"/>
      <c r="O243" s="8"/>
      <c r="P243" s="8"/>
      <c r="Q243" s="9">
        <f ca="1">IFERROR(__xludf.DUMMYFUNCTION("GOOGLEFINANCE(C243,""changepct"")"),2.79)</f>
        <v>2.79</v>
      </c>
      <c r="R243" s="8"/>
      <c r="S243" s="8"/>
      <c r="T243" s="8"/>
      <c r="U243" s="8"/>
      <c r="V243" s="8"/>
      <c r="W243" s="8"/>
    </row>
    <row r="244" spans="1:23" ht="14.4">
      <c r="A244" s="3">
        <f>LOOKUP(D244,'AMFI DATA_2023H1'!B:C,'AMFI DATA_2023H1'!C:C)</f>
        <v>139</v>
      </c>
      <c r="B244" s="4" t="s">
        <v>411</v>
      </c>
      <c r="C244" s="4" t="s">
        <v>412</v>
      </c>
      <c r="D244" s="5" t="s">
        <v>413</v>
      </c>
      <c r="E244" s="5">
        <f>LOOKUP(D244,'AMFI DATA_2023H1'!B:D,'AMFI DATA_2023H1'!D:D)</f>
        <v>37953.019999999997</v>
      </c>
      <c r="F244" s="7">
        <f t="shared" si="0"/>
        <v>0.52999682238725687</v>
      </c>
      <c r="G244" s="8">
        <v>58068</v>
      </c>
      <c r="H244" s="8">
        <v>57677</v>
      </c>
      <c r="I244" s="8">
        <v>57984</v>
      </c>
      <c r="J244" s="8">
        <v>56751</v>
      </c>
      <c r="K244" s="8">
        <v>57135</v>
      </c>
      <c r="L244" s="8">
        <v>55952</v>
      </c>
      <c r="M244" s="8"/>
      <c r="N244" s="8"/>
      <c r="O244" s="8"/>
      <c r="P244" s="8"/>
      <c r="Q244" s="9">
        <f ca="1">IFERROR(__xludf.DUMMYFUNCTION("GOOGLEFINANCE(C244,""changepct"")"),0.26)</f>
        <v>0.26</v>
      </c>
      <c r="R244" s="8"/>
      <c r="S244" s="8"/>
      <c r="T244" s="8"/>
      <c r="U244" s="8"/>
      <c r="V244" s="8"/>
      <c r="W244" s="8"/>
    </row>
    <row r="245" spans="1:23" ht="14.4">
      <c r="A245" s="3">
        <f>LOOKUP(D245,'AMFI DATA_2023H1'!B:C,'AMFI DATA_2023H1'!C:C)</f>
        <v>1827</v>
      </c>
      <c r="B245" s="4" t="s">
        <v>4748</v>
      </c>
      <c r="C245" s="4" t="s">
        <v>4749</v>
      </c>
      <c r="D245" s="5" t="s">
        <v>4750</v>
      </c>
      <c r="E245" s="5">
        <f>LOOKUP(D245,'AMFI DATA_2023H1'!B:D,'AMFI DATA_2023H1'!D:D)</f>
        <v>187.46</v>
      </c>
      <c r="F245" s="7">
        <f t="shared" si="0"/>
        <v>-5.0464099007788366E-2</v>
      </c>
      <c r="G245" s="9">
        <v>178</v>
      </c>
      <c r="H245" s="9">
        <v>178</v>
      </c>
      <c r="I245" s="9">
        <v>178</v>
      </c>
      <c r="J245" s="9">
        <v>179</v>
      </c>
      <c r="K245" s="9">
        <v>177</v>
      </c>
      <c r="L245" s="9">
        <v>177</v>
      </c>
      <c r="M245" s="9"/>
      <c r="N245" s="9"/>
      <c r="O245" s="9"/>
      <c r="P245" s="9"/>
      <c r="Q245" s="9">
        <f ca="1">IFERROR(__xludf.DUMMYFUNCTION("GOOGLEFINANCE(C245,""changepct"")"),0.42)</f>
        <v>0.42</v>
      </c>
      <c r="R245" s="9"/>
      <c r="S245" s="9"/>
      <c r="T245" s="9"/>
      <c r="U245" s="9"/>
      <c r="V245" s="9"/>
      <c r="W245" s="9"/>
    </row>
    <row r="246" spans="1:23" ht="14.4">
      <c r="A246" s="3">
        <f>LOOKUP(D246,'AMFI DATA_2023H1'!B:C,'AMFI DATA_2023H1'!C:C)</f>
        <v>179</v>
      </c>
      <c r="B246" s="4" t="s">
        <v>453</v>
      </c>
      <c r="C246" s="4" t="s">
        <v>454</v>
      </c>
      <c r="D246" s="5" t="s">
        <v>455</v>
      </c>
      <c r="E246" s="5">
        <f>LOOKUP(D246,'AMFI DATA_2023H1'!B:D,'AMFI DATA_2023H1'!D:D)</f>
        <v>27150.32</v>
      </c>
      <c r="F246" s="7">
        <f t="shared" si="0"/>
        <v>1.5438742526791582</v>
      </c>
      <c r="G246" s="8">
        <v>69067</v>
      </c>
      <c r="H246" s="8">
        <v>67361</v>
      </c>
      <c r="I246" s="8">
        <v>67065</v>
      </c>
      <c r="J246" s="8">
        <v>63374</v>
      </c>
      <c r="K246" s="8">
        <v>63461</v>
      </c>
      <c r="L246" s="8">
        <v>62085</v>
      </c>
      <c r="M246" s="8"/>
      <c r="N246" s="8"/>
      <c r="O246" s="8"/>
      <c r="P246" s="8"/>
      <c r="Q246" s="9">
        <f ca="1">IFERROR(__xludf.DUMMYFUNCTION("GOOGLEFINANCE(C246,""changepct"")"),3.65)</f>
        <v>3.65</v>
      </c>
      <c r="R246" s="8"/>
      <c r="S246" s="8"/>
      <c r="T246" s="8"/>
      <c r="U246" s="8"/>
      <c r="V246" s="8"/>
      <c r="W246" s="8"/>
    </row>
    <row r="247" spans="1:23" ht="14.4">
      <c r="A247" s="3">
        <f>LOOKUP(D247,'AMFI DATA_2023H1'!B:C,'AMFI DATA_2023H1'!C:C)</f>
        <v>70</v>
      </c>
      <c r="B247" s="4" t="s">
        <v>234</v>
      </c>
      <c r="C247" s="4" t="s">
        <v>235</v>
      </c>
      <c r="D247" s="5" t="s">
        <v>236</v>
      </c>
      <c r="E247" s="5">
        <f>LOOKUP(D247,'AMFI DATA_2023H1'!B:D,'AMFI DATA_2023H1'!D:D)</f>
        <v>75336.19</v>
      </c>
      <c r="F247" s="7">
        <f t="shared" si="0"/>
        <v>0.30122056875984837</v>
      </c>
      <c r="G247" s="8">
        <v>98029</v>
      </c>
      <c r="H247" s="8">
        <v>97736</v>
      </c>
      <c r="I247" s="8">
        <v>101098</v>
      </c>
      <c r="J247" s="8">
        <v>98614</v>
      </c>
      <c r="K247" s="8">
        <v>98018</v>
      </c>
      <c r="L247" s="8">
        <v>96890</v>
      </c>
      <c r="M247" s="8"/>
      <c r="N247" s="8"/>
      <c r="O247" s="8"/>
      <c r="P247" s="8"/>
      <c r="Q247" s="9">
        <f ca="1">IFERROR(__xludf.DUMMYFUNCTION("GOOGLEFINANCE(C247,""changepct"")"),1.69)</f>
        <v>1.69</v>
      </c>
      <c r="R247" s="8"/>
      <c r="S247" s="8"/>
      <c r="T247" s="8"/>
      <c r="U247" s="8"/>
      <c r="V247" s="8"/>
      <c r="W247" s="8"/>
    </row>
    <row r="248" spans="1:23" ht="14.4">
      <c r="A248" s="3">
        <f>LOOKUP(D248,'AMFI DATA_2023H1'!B:C,'AMFI DATA_2023H1'!C:C)</f>
        <v>580</v>
      </c>
      <c r="B248" s="4" t="s">
        <v>2064</v>
      </c>
      <c r="C248" s="4" t="s">
        <v>2065</v>
      </c>
      <c r="D248" s="5" t="s">
        <v>2066</v>
      </c>
      <c r="E248" s="5">
        <f>LOOKUP(D248,'AMFI DATA_2023H1'!B:D,'AMFI DATA_2023H1'!D:D)</f>
        <v>3970.55</v>
      </c>
      <c r="F248" s="7">
        <f t="shared" si="0"/>
        <v>-5.4287189432194571E-2</v>
      </c>
      <c r="G248" s="8">
        <v>3755</v>
      </c>
      <c r="H248" s="8">
        <v>3741</v>
      </c>
      <c r="I248" s="8">
        <v>3745</v>
      </c>
      <c r="J248" s="8">
        <v>3736</v>
      </c>
      <c r="K248" s="8">
        <v>3737</v>
      </c>
      <c r="L248" s="8">
        <v>3734</v>
      </c>
      <c r="M248" s="8"/>
      <c r="N248" s="8"/>
      <c r="O248" s="8"/>
      <c r="P248" s="8"/>
      <c r="Q248" s="9">
        <f ca="1">IFERROR(__xludf.DUMMYFUNCTION("GOOGLEFINANCE(C248,""changepct"")"),1.53)</f>
        <v>1.53</v>
      </c>
      <c r="R248" s="8"/>
      <c r="S248" s="8"/>
      <c r="T248" s="8"/>
      <c r="U248" s="8"/>
      <c r="V248" s="8"/>
      <c r="W248" s="8"/>
    </row>
    <row r="249" spans="1:23" ht="14.4">
      <c r="A249" s="3">
        <f>LOOKUP(D249,'AMFI DATA_2023H1'!B:C,'AMFI DATA_2023H1'!C:C)</f>
        <v>1646</v>
      </c>
      <c r="B249" s="4" t="s">
        <v>4346</v>
      </c>
      <c r="C249" s="4" t="s">
        <v>4347</v>
      </c>
      <c r="D249" s="5" t="s">
        <v>4348</v>
      </c>
      <c r="E249" s="5">
        <f>LOOKUP(D249,'AMFI DATA_2023H1'!B:D,'AMFI DATA_2023H1'!D:D)</f>
        <v>265.44</v>
      </c>
      <c r="F249" s="7">
        <f t="shared" si="0"/>
        <v>0.64255575647980723</v>
      </c>
      <c r="G249" s="9">
        <v>436</v>
      </c>
      <c r="H249" s="9">
        <v>417</v>
      </c>
      <c r="I249" s="9">
        <v>427</v>
      </c>
      <c r="J249" s="9">
        <v>434</v>
      </c>
      <c r="K249" s="9">
        <v>432</v>
      </c>
      <c r="L249" s="9">
        <v>421</v>
      </c>
      <c r="M249" s="9"/>
      <c r="N249" s="9"/>
      <c r="O249" s="9"/>
      <c r="P249" s="9"/>
      <c r="Q249" s="9">
        <f ca="1">IFERROR(__xludf.DUMMYFUNCTION("GOOGLEFINANCE(C249,""changepct"")"),22.2)</f>
        <v>22.2</v>
      </c>
      <c r="R249" s="9"/>
      <c r="S249" s="9"/>
      <c r="T249" s="9"/>
      <c r="U249" s="9"/>
      <c r="V249" s="9"/>
      <c r="W249" s="9"/>
    </row>
    <row r="250" spans="1:23" ht="14.4">
      <c r="A250" s="3">
        <f>LOOKUP(D250,'AMFI DATA_2023H1'!B:C,'AMFI DATA_2023H1'!C:C)</f>
        <v>1089</v>
      </c>
      <c r="B250" s="4" t="s">
        <v>2852</v>
      </c>
      <c r="C250" s="4" t="s">
        <v>2853</v>
      </c>
      <c r="D250" s="5" t="s">
        <v>2854</v>
      </c>
      <c r="E250" s="5">
        <f>LOOKUP(D250,'AMFI DATA_2023H1'!B:D,'AMFI DATA_2023H1'!D:D)</f>
        <v>901.19</v>
      </c>
      <c r="F250" s="7">
        <f t="shared" si="0"/>
        <v>1.3180461389939966</v>
      </c>
      <c r="G250" s="8">
        <v>2089</v>
      </c>
      <c r="H250" s="8">
        <v>2101</v>
      </c>
      <c r="I250" s="8">
        <v>2134</v>
      </c>
      <c r="J250" s="8">
        <v>2165</v>
      </c>
      <c r="K250" s="8">
        <v>2187</v>
      </c>
      <c r="L250" s="8">
        <v>2146</v>
      </c>
      <c r="M250" s="8"/>
      <c r="N250" s="8"/>
      <c r="O250" s="8"/>
      <c r="P250" s="8"/>
      <c r="Q250" s="9">
        <f ca="1">IFERROR(__xludf.DUMMYFUNCTION("GOOGLEFINANCE(C250,""changepct"")"),2.37)</f>
        <v>2.37</v>
      </c>
      <c r="R250" s="8"/>
      <c r="S250" s="8"/>
      <c r="T250" s="8"/>
      <c r="U250" s="8"/>
      <c r="V250" s="8"/>
      <c r="W250" s="8"/>
    </row>
    <row r="251" spans="1:23" ht="14.4">
      <c r="A251" s="3">
        <f>LOOKUP(D251,'AMFI DATA_2023H1'!B:C,'AMFI DATA_2023H1'!C:C)</f>
        <v>10</v>
      </c>
      <c r="B251" s="4" t="s">
        <v>28</v>
      </c>
      <c r="C251" s="4" t="s">
        <v>29</v>
      </c>
      <c r="D251" s="5" t="s">
        <v>30</v>
      </c>
      <c r="E251" s="5">
        <f>LOOKUP(D251,'AMFI DATA_2023H1'!B:D,'AMFI DATA_2023H1'!D:D)</f>
        <v>455232.75</v>
      </c>
      <c r="F251" s="7">
        <f t="shared" si="0"/>
        <v>0.30498519713267558</v>
      </c>
      <c r="G251" s="8">
        <v>594072</v>
      </c>
      <c r="H251" s="8">
        <v>605700</v>
      </c>
      <c r="I251" s="8">
        <v>607630</v>
      </c>
      <c r="J251" s="8">
        <v>598164</v>
      </c>
      <c r="K251" s="8">
        <v>585732</v>
      </c>
      <c r="L251" s="8">
        <v>579523</v>
      </c>
      <c r="M251" s="8"/>
      <c r="N251" s="8"/>
      <c r="O251" s="8"/>
      <c r="P251" s="8"/>
      <c r="Q251" s="9">
        <f ca="1">IFERROR(__xludf.DUMMYFUNCTION("GOOGLEFINANCE(C251,""changepct"")"),3.68)</f>
        <v>3.68</v>
      </c>
      <c r="R251" s="8"/>
      <c r="S251" s="8"/>
      <c r="T251" s="8"/>
      <c r="U251" s="8"/>
      <c r="V251" s="8"/>
      <c r="W251" s="8"/>
    </row>
    <row r="252" spans="1:23" ht="14.4">
      <c r="A252" s="3">
        <f>LOOKUP(D252,'AMFI DATA_2023H1'!B:C,'AMFI DATA_2023H1'!C:C)</f>
        <v>1705</v>
      </c>
      <c r="B252" s="4" t="s">
        <v>4427</v>
      </c>
      <c r="C252" s="4" t="s">
        <v>4428</v>
      </c>
      <c r="D252" s="5" t="s">
        <v>4429</v>
      </c>
      <c r="E252" s="5">
        <f>LOOKUP(D252,'AMFI DATA_2023H1'!B:D,'AMFI DATA_2023H1'!D:D)</f>
        <v>239.9</v>
      </c>
      <c r="F252" s="7">
        <f t="shared" si="0"/>
        <v>0.75072947061275519</v>
      </c>
      <c r="G252" s="9">
        <v>420</v>
      </c>
      <c r="H252" s="9">
        <v>410</v>
      </c>
      <c r="I252" s="9">
        <v>417</v>
      </c>
      <c r="J252" s="9">
        <v>421</v>
      </c>
      <c r="K252" s="9">
        <v>419</v>
      </c>
      <c r="L252" s="9">
        <v>426</v>
      </c>
      <c r="M252" s="9"/>
      <c r="N252" s="9"/>
      <c r="O252" s="9"/>
      <c r="P252" s="9"/>
      <c r="Q252" s="9">
        <f ca="1">IFERROR(__xludf.DUMMYFUNCTION("GOOGLEFINANCE(C252,""changepct"")"),10.24)</f>
        <v>10.24</v>
      </c>
      <c r="R252" s="9"/>
      <c r="S252" s="9"/>
      <c r="T252" s="9"/>
      <c r="U252" s="9"/>
      <c r="V252" s="9"/>
      <c r="W252" s="9"/>
    </row>
    <row r="253" spans="1:23" ht="14.4">
      <c r="A253" s="3">
        <f>LOOKUP(D253,'AMFI DATA_2023H1'!B:C,'AMFI DATA_2023H1'!C:C)</f>
        <v>1056</v>
      </c>
      <c r="B253" s="4" t="s">
        <v>3266</v>
      </c>
      <c r="C253" s="4" t="s">
        <v>3267</v>
      </c>
      <c r="D253" s="5" t="s">
        <v>3268</v>
      </c>
      <c r="E253" s="5">
        <f>LOOKUP(D253,'AMFI DATA_2023H1'!B:D,'AMFI DATA_2023H1'!D:D)</f>
        <v>1012.78</v>
      </c>
      <c r="F253" s="7">
        <f t="shared" si="0"/>
        <v>0.15029917652402291</v>
      </c>
      <c r="G253" s="8">
        <v>1165</v>
      </c>
      <c r="H253" s="8">
        <v>1160</v>
      </c>
      <c r="I253" s="8">
        <v>1150</v>
      </c>
      <c r="J253" s="8">
        <v>1151</v>
      </c>
      <c r="K253" s="8">
        <v>1151</v>
      </c>
      <c r="L253" s="8">
        <v>1165</v>
      </c>
      <c r="M253" s="8"/>
      <c r="N253" s="8"/>
      <c r="O253" s="8"/>
      <c r="P253" s="8"/>
      <c r="Q253" s="9">
        <f ca="1">IFERROR(__xludf.DUMMYFUNCTION("GOOGLEFINANCE(C253,""changepct"")"),2.1)</f>
        <v>2.1</v>
      </c>
      <c r="R253" s="8"/>
      <c r="S253" s="8"/>
      <c r="T253" s="8"/>
      <c r="U253" s="8"/>
      <c r="V253" s="8"/>
      <c r="W253" s="8"/>
    </row>
    <row r="254" spans="1:23" ht="14.4">
      <c r="A254" s="3">
        <f>LOOKUP(D254,'AMFI DATA_2023H1'!B:C,'AMFI DATA_2023H1'!C:C)</f>
        <v>352</v>
      </c>
      <c r="B254" s="4" t="s">
        <v>1068</v>
      </c>
      <c r="C254" s="4" t="s">
        <v>1069</v>
      </c>
      <c r="D254" s="5" t="s">
        <v>1070</v>
      </c>
      <c r="E254" s="5">
        <f>LOOKUP(D254,'AMFI DATA_2023H1'!B:D,'AMFI DATA_2023H1'!D:D)</f>
        <v>9568.2099999999991</v>
      </c>
      <c r="F254" s="7">
        <f t="shared" si="0"/>
        <v>0.42607655977450332</v>
      </c>
      <c r="G254" s="8">
        <v>13645</v>
      </c>
      <c r="H254" s="8">
        <v>13669</v>
      </c>
      <c r="I254" s="8">
        <v>13957</v>
      </c>
      <c r="J254" s="8">
        <v>13955</v>
      </c>
      <c r="K254" s="8">
        <v>13860</v>
      </c>
      <c r="L254" s="8">
        <v>13815</v>
      </c>
      <c r="M254" s="8"/>
      <c r="N254" s="8"/>
      <c r="O254" s="8"/>
      <c r="P254" s="8"/>
      <c r="Q254" s="9">
        <f ca="1">IFERROR(__xludf.DUMMYFUNCTION("GOOGLEFINANCE(C254,""changepct"")"),-0.08)</f>
        <v>-0.08</v>
      </c>
      <c r="R254" s="8"/>
      <c r="S254" s="8"/>
      <c r="T254" s="8"/>
      <c r="U254" s="8"/>
      <c r="V254" s="8"/>
      <c r="W254" s="8"/>
    </row>
    <row r="255" spans="1:23" ht="14.4">
      <c r="A255" s="3">
        <f>LOOKUP(D255,'AMFI DATA_2023H1'!B:C,'AMFI DATA_2023H1'!C:C)</f>
        <v>2528</v>
      </c>
      <c r="B255" s="4" t="s">
        <v>5479</v>
      </c>
      <c r="C255" s="4" t="s">
        <v>5480</v>
      </c>
      <c r="D255" s="5" t="s">
        <v>5481</v>
      </c>
      <c r="E255" s="5">
        <f>LOOKUP(D255,'AMFI DATA_2023H1'!B:D,'AMFI DATA_2023H1'!D:D)</f>
        <v>60.61</v>
      </c>
      <c r="F255" s="7">
        <f t="shared" si="0"/>
        <v>-0.17505362151460158</v>
      </c>
      <c r="G255" s="9">
        <v>50</v>
      </c>
      <c r="H255" s="9">
        <v>51.1</v>
      </c>
      <c r="I255" s="9">
        <v>51.4</v>
      </c>
      <c r="J255" s="9">
        <v>50.4</v>
      </c>
      <c r="K255" s="9">
        <v>47.7</v>
      </c>
      <c r="L255" s="9">
        <v>46</v>
      </c>
      <c r="M255" s="9"/>
      <c r="N255" s="9"/>
      <c r="O255" s="9"/>
      <c r="P255" s="9"/>
      <c r="Q255" s="9">
        <f ca="1">IFERROR(__xludf.DUMMYFUNCTION("GOOGLEFINANCE(C255,""changepct"")"),-3.81)</f>
        <v>-3.81</v>
      </c>
      <c r="R255" s="9"/>
      <c r="S255" s="9"/>
      <c r="T255" s="9"/>
      <c r="U255" s="9"/>
      <c r="V255" s="9"/>
      <c r="W255" s="9"/>
    </row>
    <row r="256" spans="1:23" ht="14.4">
      <c r="A256" s="3">
        <f>LOOKUP(D256,'AMFI DATA_2023H1'!B:C,'AMFI DATA_2023H1'!C:C)</f>
        <v>175</v>
      </c>
      <c r="B256" s="4" t="s">
        <v>621</v>
      </c>
      <c r="C256" s="4" t="s">
        <v>622</v>
      </c>
      <c r="D256" s="5" t="s">
        <v>623</v>
      </c>
      <c r="E256" s="5">
        <f>LOOKUP(D256,'AMFI DATA_2023H1'!B:D,'AMFI DATA_2023H1'!D:D)</f>
        <v>28236.02</v>
      </c>
      <c r="F256" s="7">
        <f t="shared" si="0"/>
        <v>8.6590815561116585E-2</v>
      </c>
      <c r="G256" s="8">
        <v>30681</v>
      </c>
      <c r="H256" s="8">
        <v>29985</v>
      </c>
      <c r="I256" s="8">
        <v>29697</v>
      </c>
      <c r="J256" s="8">
        <v>30309</v>
      </c>
      <c r="K256" s="8">
        <v>30105</v>
      </c>
      <c r="L256" s="8">
        <v>29571</v>
      </c>
      <c r="M256" s="8"/>
      <c r="N256" s="8"/>
      <c r="O256" s="8"/>
      <c r="P256" s="8"/>
      <c r="Q256" s="9">
        <f ca="1">IFERROR(__xludf.DUMMYFUNCTION("GOOGLEFINANCE(C256,""changepct"")"),-2.25)</f>
        <v>-2.25</v>
      </c>
      <c r="R256" s="8"/>
      <c r="S256" s="8"/>
      <c r="T256" s="8"/>
      <c r="U256" s="8"/>
      <c r="V256" s="8"/>
      <c r="W256" s="8"/>
    </row>
    <row r="257" spans="1:23" ht="14.4">
      <c r="A257" s="3">
        <f>LOOKUP(D257,'AMFI DATA_2023H1'!B:C,'AMFI DATA_2023H1'!C:C)</f>
        <v>2379</v>
      </c>
      <c r="B257" s="4" t="s">
        <v>5296</v>
      </c>
      <c r="C257" s="4" t="s">
        <v>5297</v>
      </c>
      <c r="D257" s="5" t="s">
        <v>5298</v>
      </c>
      <c r="E257" s="5">
        <f>LOOKUP(D257,'AMFI DATA_2023H1'!B:D,'AMFI DATA_2023H1'!D:D)</f>
        <v>75.349999999999994</v>
      </c>
      <c r="F257" s="7">
        <f t="shared" ref="F257:F511" si="1">G257/E257-1</f>
        <v>0.1718646317186463</v>
      </c>
      <c r="G257" s="9">
        <v>88.3</v>
      </c>
      <c r="H257" s="9">
        <v>87.2</v>
      </c>
      <c r="I257" s="9">
        <v>88.1</v>
      </c>
      <c r="J257" s="9">
        <v>88.5</v>
      </c>
      <c r="K257" s="9">
        <v>92.4</v>
      </c>
      <c r="L257" s="9">
        <v>90.1</v>
      </c>
      <c r="M257" s="9"/>
      <c r="N257" s="9"/>
      <c r="O257" s="9"/>
      <c r="P257" s="9"/>
      <c r="Q257" s="9">
        <f ca="1">IFERROR(__xludf.DUMMYFUNCTION("GOOGLEFINANCE(C257,""changepct"")"),2.64)</f>
        <v>2.64</v>
      </c>
      <c r="R257" s="9"/>
      <c r="S257" s="9"/>
      <c r="T257" s="9"/>
      <c r="U257" s="9"/>
      <c r="V257" s="9"/>
      <c r="W257" s="9"/>
    </row>
    <row r="258" spans="1:23" ht="14.4">
      <c r="A258" s="3">
        <f>LOOKUP(D258,'AMFI DATA_2023H1'!B:C,'AMFI DATA_2023H1'!C:C)</f>
        <v>1362</v>
      </c>
      <c r="B258" s="4" t="s">
        <v>3542</v>
      </c>
      <c r="C258" s="4" t="s">
        <v>3543</v>
      </c>
      <c r="D258" s="5" t="s">
        <v>3544</v>
      </c>
      <c r="E258" s="5">
        <f>LOOKUP(D258,'AMFI DATA_2023H1'!B:D,'AMFI DATA_2023H1'!D:D)</f>
        <v>442.84</v>
      </c>
      <c r="F258" s="7">
        <f t="shared" si="1"/>
        <v>0.9442688104055641</v>
      </c>
      <c r="G258" s="9">
        <v>861</v>
      </c>
      <c r="H258" s="9">
        <v>857</v>
      </c>
      <c r="I258" s="9">
        <v>845</v>
      </c>
      <c r="J258" s="9">
        <v>856</v>
      </c>
      <c r="K258" s="9">
        <v>872</v>
      </c>
      <c r="L258" s="9">
        <v>896</v>
      </c>
      <c r="M258" s="9"/>
      <c r="N258" s="9"/>
      <c r="O258" s="9"/>
      <c r="P258" s="9"/>
      <c r="Q258" s="9">
        <f ca="1">IFERROR(__xludf.DUMMYFUNCTION("GOOGLEFINANCE(C258,""changepct"")"),0.05)</f>
        <v>0.05</v>
      </c>
      <c r="R258" s="9"/>
      <c r="S258" s="9"/>
      <c r="T258" s="9"/>
      <c r="U258" s="9"/>
      <c r="V258" s="9"/>
      <c r="W258" s="9"/>
    </row>
    <row r="259" spans="1:23" ht="14.4">
      <c r="A259" s="3">
        <f>LOOKUP(D259,'AMFI DATA_2023H1'!B:C,'AMFI DATA_2023H1'!C:C)</f>
        <v>404</v>
      </c>
      <c r="B259" s="4" t="s">
        <v>1260</v>
      </c>
      <c r="C259" s="4" t="s">
        <v>1261</v>
      </c>
      <c r="D259" s="5" t="s">
        <v>1262</v>
      </c>
      <c r="E259" s="5">
        <f>LOOKUP(D259,'AMFI DATA_2023H1'!B:D,'AMFI DATA_2023H1'!D:D)</f>
        <v>7542.15</v>
      </c>
      <c r="F259" s="7">
        <f t="shared" si="1"/>
        <v>0.53126097995929555</v>
      </c>
      <c r="G259" s="8">
        <v>11549</v>
      </c>
      <c r="H259" s="8">
        <v>11097</v>
      </c>
      <c r="I259" s="8">
        <v>11090</v>
      </c>
      <c r="J259" s="8">
        <v>11044</v>
      </c>
      <c r="K259" s="8">
        <v>10915</v>
      </c>
      <c r="L259" s="8">
        <v>10890</v>
      </c>
      <c r="M259" s="8"/>
      <c r="N259" s="8"/>
      <c r="O259" s="8"/>
      <c r="P259" s="8"/>
      <c r="Q259" s="9">
        <f ca="1">IFERROR(__xludf.DUMMYFUNCTION("GOOGLEFINANCE(C259,""changepct"")"),6.25)</f>
        <v>6.25</v>
      </c>
      <c r="R259" s="8"/>
      <c r="S259" s="8"/>
      <c r="T259" s="8"/>
      <c r="U259" s="8"/>
      <c r="V259" s="8"/>
      <c r="W259" s="8"/>
    </row>
    <row r="260" spans="1:23" ht="14.4">
      <c r="A260" s="3">
        <f>LOOKUP(D260,'AMFI DATA_2023H1'!B:C,'AMFI DATA_2023H1'!C:C)</f>
        <v>389</v>
      </c>
      <c r="B260" s="4" t="s">
        <v>975</v>
      </c>
      <c r="C260" s="4" t="s">
        <v>976</v>
      </c>
      <c r="D260" s="5" t="s">
        <v>977</v>
      </c>
      <c r="E260" s="5">
        <f>LOOKUP(D260,'AMFI DATA_2023H1'!B:D,'AMFI DATA_2023H1'!D:D)</f>
        <v>8149.12</v>
      </c>
      <c r="F260" s="7">
        <f t="shared" si="1"/>
        <v>1.3757166417969056</v>
      </c>
      <c r="G260" s="8">
        <v>19360</v>
      </c>
      <c r="H260" s="8">
        <v>19887</v>
      </c>
      <c r="I260" s="8">
        <v>19854</v>
      </c>
      <c r="J260" s="8">
        <v>20268</v>
      </c>
      <c r="K260" s="8">
        <v>20270</v>
      </c>
      <c r="L260" s="8">
        <v>20439</v>
      </c>
      <c r="M260" s="8"/>
      <c r="N260" s="8"/>
      <c r="O260" s="8"/>
      <c r="P260" s="8"/>
      <c r="Q260" s="9">
        <f ca="1">IFERROR(__xludf.DUMMYFUNCTION("GOOGLEFINANCE(C260,""changepct"")"),3.37)</f>
        <v>3.37</v>
      </c>
      <c r="R260" s="8"/>
      <c r="S260" s="8"/>
      <c r="T260" s="8"/>
      <c r="U260" s="8"/>
      <c r="V260" s="8"/>
      <c r="W260" s="8"/>
    </row>
    <row r="261" spans="1:23" ht="14.4">
      <c r="A261" s="3">
        <f>LOOKUP(D261,'AMFI DATA_2023H1'!B:C,'AMFI DATA_2023H1'!C:C)</f>
        <v>4086</v>
      </c>
      <c r="B261" s="4" t="s">
        <v>5773</v>
      </c>
      <c r="C261" s="4" t="s">
        <v>5774</v>
      </c>
      <c r="D261" s="5" t="s">
        <v>5775</v>
      </c>
      <c r="E261" s="5">
        <f>LOOKUP(D261,'AMFI DATA_2023H1'!B:D,'AMFI DATA_2023H1'!D:D)</f>
        <v>6.35</v>
      </c>
      <c r="F261" s="7">
        <f t="shared" si="1"/>
        <v>0.40314960629921259</v>
      </c>
      <c r="G261" s="9">
        <v>8.91</v>
      </c>
      <c r="H261" s="9">
        <v>8.7799999999999994</v>
      </c>
      <c r="I261" s="9">
        <v>8.7799999999999994</v>
      </c>
      <c r="J261" s="9">
        <v>8.65</v>
      </c>
      <c r="K261" s="9">
        <v>8.32</v>
      </c>
      <c r="L261" s="9">
        <v>8.19</v>
      </c>
      <c r="M261" s="9"/>
      <c r="N261" s="9"/>
      <c r="O261" s="9"/>
      <c r="P261" s="9"/>
      <c r="Q261" s="9">
        <f ca="1">IFERROR(__xludf.DUMMYFUNCTION("GOOGLEFINANCE(C261,""changepct"")"),5.26)</f>
        <v>5.26</v>
      </c>
      <c r="R261" s="9"/>
      <c r="S261" s="9"/>
      <c r="T261" s="9"/>
      <c r="U261" s="9"/>
      <c r="V261" s="9"/>
      <c r="W261" s="9"/>
    </row>
    <row r="262" spans="1:23" ht="14.4">
      <c r="A262" s="3">
        <f>LOOKUP(D262,'AMFI DATA_2023H1'!B:C,'AMFI DATA_2023H1'!C:C)</f>
        <v>772</v>
      </c>
      <c r="B262" s="4" t="s">
        <v>2084</v>
      </c>
      <c r="C262" s="4" t="s">
        <v>2085</v>
      </c>
      <c r="D262" s="5" t="s">
        <v>2086</v>
      </c>
      <c r="E262" s="5">
        <f>LOOKUP(D262,'AMFI DATA_2023H1'!B:D,'AMFI DATA_2023H1'!D:D)</f>
        <v>2076.4</v>
      </c>
      <c r="F262" s="7">
        <f t="shared" si="1"/>
        <v>1.3834521286842612</v>
      </c>
      <c r="G262" s="8">
        <v>4949</v>
      </c>
      <c r="H262" s="8">
        <v>4898</v>
      </c>
      <c r="I262" s="8">
        <v>4665</v>
      </c>
      <c r="J262" s="8">
        <v>4434</v>
      </c>
      <c r="K262" s="8">
        <v>4216</v>
      </c>
      <c r="L262" s="8">
        <v>4023</v>
      </c>
      <c r="M262" s="8"/>
      <c r="N262" s="8"/>
      <c r="O262" s="8"/>
      <c r="P262" s="8"/>
      <c r="Q262" s="9">
        <f ca="1">IFERROR(__xludf.DUMMYFUNCTION("GOOGLEFINANCE(C262,""changepct"")"),2.22)</f>
        <v>2.2200000000000002</v>
      </c>
      <c r="R262" s="8"/>
      <c r="S262" s="8"/>
      <c r="T262" s="8"/>
      <c r="U262" s="8"/>
      <c r="V262" s="8"/>
      <c r="W262" s="8"/>
    </row>
    <row r="263" spans="1:23" ht="14.4">
      <c r="A263" s="3">
        <f>LOOKUP(D263,'AMFI DATA_2023H1'!B:C,'AMFI DATA_2023H1'!C:C)</f>
        <v>2085</v>
      </c>
      <c r="B263" s="4" t="s">
        <v>5126</v>
      </c>
      <c r="C263" s="4" t="s">
        <v>5127</v>
      </c>
      <c r="D263" s="5" t="s">
        <v>5128</v>
      </c>
      <c r="E263" s="5">
        <f>LOOKUP(D263,'AMFI DATA_2023H1'!B:D,'AMFI DATA_2023H1'!D:D)</f>
        <v>123.86</v>
      </c>
      <c r="F263" s="7">
        <f t="shared" si="1"/>
        <v>-3.9237849184563189E-2</v>
      </c>
      <c r="G263" s="9">
        <v>119</v>
      </c>
      <c r="H263" s="9">
        <v>117</v>
      </c>
      <c r="I263" s="9">
        <v>118</v>
      </c>
      <c r="J263" s="9">
        <v>120</v>
      </c>
      <c r="K263" s="9">
        <v>120</v>
      </c>
      <c r="L263" s="9">
        <v>124</v>
      </c>
      <c r="M263" s="9"/>
      <c r="N263" s="9"/>
      <c r="O263" s="9"/>
      <c r="P263" s="9"/>
      <c r="Q263" s="9">
        <f ca="1">IFERROR(__xludf.DUMMYFUNCTION("GOOGLEFINANCE(C263,""changepct"")"),43.85)</f>
        <v>43.85</v>
      </c>
      <c r="R263" s="9"/>
      <c r="S263" s="9"/>
      <c r="T263" s="9"/>
      <c r="U263" s="9"/>
      <c r="V263" s="9"/>
      <c r="W263" s="9"/>
    </row>
    <row r="264" spans="1:23" ht="14.4">
      <c r="A264" s="3">
        <f>LOOKUP(D264,'AMFI DATA_2023H1'!B:C,'AMFI DATA_2023H1'!C:C)</f>
        <v>1150</v>
      </c>
      <c r="B264" s="4" t="s">
        <v>3314</v>
      </c>
      <c r="C264" s="4" t="s">
        <v>3315</v>
      </c>
      <c r="D264" s="5" t="s">
        <v>3316</v>
      </c>
      <c r="E264" s="5">
        <f>LOOKUP(D264,'AMFI DATA_2023H1'!B:D,'AMFI DATA_2023H1'!D:D)</f>
        <v>787.56</v>
      </c>
      <c r="F264" s="7">
        <f t="shared" si="1"/>
        <v>0.65447711920361629</v>
      </c>
      <c r="G264" s="8">
        <v>1303</v>
      </c>
      <c r="H264" s="8">
        <v>1301</v>
      </c>
      <c r="I264" s="8">
        <v>1317</v>
      </c>
      <c r="J264" s="8">
        <v>1325</v>
      </c>
      <c r="K264" s="8">
        <v>1312</v>
      </c>
      <c r="L264" s="8">
        <v>1283</v>
      </c>
      <c r="M264" s="8"/>
      <c r="N264" s="8"/>
      <c r="O264" s="8"/>
      <c r="P264" s="8"/>
      <c r="Q264" s="9">
        <f ca="1">IFERROR(__xludf.DUMMYFUNCTION("GOOGLEFINANCE(C264,""changepct"")"),-1.02)</f>
        <v>-1.02</v>
      </c>
      <c r="R264" s="8"/>
      <c r="S264" s="8"/>
      <c r="T264" s="8"/>
      <c r="U264" s="8"/>
      <c r="V264" s="8"/>
      <c r="W264" s="8"/>
    </row>
    <row r="265" spans="1:23" ht="14.4">
      <c r="A265" s="3">
        <f>LOOKUP(D265,'AMFI DATA_2023H1'!B:C,'AMFI DATA_2023H1'!C:C)</f>
        <v>412</v>
      </c>
      <c r="B265" s="4" t="s">
        <v>1167</v>
      </c>
      <c r="C265" s="4" t="s">
        <v>1168</v>
      </c>
      <c r="D265" s="5" t="s">
        <v>1169</v>
      </c>
      <c r="E265" s="5">
        <f>LOOKUP(D265,'AMFI DATA_2023H1'!B:D,'AMFI DATA_2023H1'!D:D)</f>
        <v>7178.2</v>
      </c>
      <c r="F265" s="7">
        <f t="shared" si="1"/>
        <v>0.8696887799169708</v>
      </c>
      <c r="G265" s="8">
        <v>13421</v>
      </c>
      <c r="H265" s="8">
        <v>13153</v>
      </c>
      <c r="I265" s="8">
        <v>13618</v>
      </c>
      <c r="J265" s="8">
        <v>12645</v>
      </c>
      <c r="K265" s="8">
        <v>12733</v>
      </c>
      <c r="L265" s="8">
        <v>12758</v>
      </c>
      <c r="M265" s="8"/>
      <c r="N265" s="8"/>
      <c r="O265" s="8"/>
      <c r="P265" s="8"/>
      <c r="Q265" s="9">
        <f ca="1">IFERROR(__xludf.DUMMYFUNCTION("GOOGLEFINANCE(C265,""changepct"")"),-0.26)</f>
        <v>-0.26</v>
      </c>
      <c r="R265" s="8"/>
      <c r="S265" s="8"/>
      <c r="T265" s="8"/>
      <c r="U265" s="8"/>
      <c r="V265" s="8"/>
      <c r="W265" s="8"/>
    </row>
    <row r="266" spans="1:23" ht="14.4">
      <c r="A266" s="3">
        <f>LOOKUP(D266,'AMFI DATA_2023H1'!B:C,'AMFI DATA_2023H1'!C:C)</f>
        <v>4638</v>
      </c>
      <c r="B266" s="4" t="s">
        <v>5770</v>
      </c>
      <c r="C266" s="4" t="s">
        <v>5771</v>
      </c>
      <c r="D266" s="5" t="s">
        <v>5772</v>
      </c>
      <c r="E266" s="5">
        <f>LOOKUP(D266,'AMFI DATA_2023H1'!B:D,'AMFI DATA_2023H1'!D:D)</f>
        <v>2.38</v>
      </c>
      <c r="F266" s="7">
        <f t="shared" si="1"/>
        <v>4.7142857142857144</v>
      </c>
      <c r="G266" s="9">
        <v>13.6</v>
      </c>
      <c r="H266" s="9">
        <v>13.3</v>
      </c>
      <c r="I266" s="9">
        <v>9.1300000000000008</v>
      </c>
      <c r="J266" s="9">
        <v>8.9600000000000009</v>
      </c>
      <c r="K266" s="9">
        <v>18.3</v>
      </c>
      <c r="L266" s="9">
        <v>12.4</v>
      </c>
      <c r="M266" s="9"/>
      <c r="N266" s="9"/>
      <c r="O266" s="9"/>
      <c r="P266" s="9"/>
      <c r="Q266" s="9">
        <f ca="1">IFERROR(__xludf.DUMMYFUNCTION("GOOGLEFINANCE(C266,""changepct"")"),-4.08)</f>
        <v>-4.08</v>
      </c>
      <c r="R266" s="9"/>
      <c r="S266" s="9"/>
      <c r="T266" s="9"/>
      <c r="U266" s="9"/>
      <c r="V266" s="9"/>
      <c r="W266" s="9"/>
    </row>
    <row r="267" spans="1:23" ht="14.4">
      <c r="A267" s="3">
        <f>LOOKUP(D267,'AMFI DATA_2023H1'!B:C,'AMFI DATA_2023H1'!C:C)</f>
        <v>270</v>
      </c>
      <c r="B267" s="4" t="s">
        <v>915</v>
      </c>
      <c r="C267" s="4" t="s">
        <v>916</v>
      </c>
      <c r="D267" s="5" t="s">
        <v>917</v>
      </c>
      <c r="E267" s="5">
        <f>LOOKUP(D267,'AMFI DATA_2023H1'!B:D,'AMFI DATA_2023H1'!D:D)</f>
        <v>15207.12</v>
      </c>
      <c r="F267" s="7">
        <f t="shared" si="1"/>
        <v>0.14472694369479555</v>
      </c>
      <c r="G267" s="8">
        <v>17408</v>
      </c>
      <c r="H267" s="8">
        <v>17471</v>
      </c>
      <c r="I267" s="8">
        <v>17276</v>
      </c>
      <c r="J267" s="8">
        <v>17196</v>
      </c>
      <c r="K267" s="8">
        <v>17209</v>
      </c>
      <c r="L267" s="8">
        <v>17424</v>
      </c>
      <c r="M267" s="8"/>
      <c r="N267" s="8"/>
      <c r="O267" s="8"/>
      <c r="P267" s="8"/>
      <c r="Q267" s="9">
        <f ca="1">IFERROR(__xludf.DUMMYFUNCTION("GOOGLEFINANCE(C267,""changepct"")"),0.7)</f>
        <v>0.7</v>
      </c>
      <c r="R267" s="8"/>
      <c r="S267" s="8"/>
      <c r="T267" s="8"/>
      <c r="U267" s="8"/>
      <c r="V267" s="8"/>
      <c r="W267" s="8"/>
    </row>
    <row r="268" spans="1:23" ht="14.4">
      <c r="A268" s="3">
        <f>LOOKUP(D268,'AMFI DATA_2023H1'!B:C,'AMFI DATA_2023H1'!C:C)</f>
        <v>270</v>
      </c>
      <c r="B268" s="4" t="s">
        <v>1623</v>
      </c>
      <c r="C268" s="4" t="s">
        <v>1624</v>
      </c>
      <c r="D268" s="5" t="s">
        <v>1625</v>
      </c>
      <c r="E268" s="5">
        <f>LOOKUP(D268,'AMFI DATA_2023H1'!B:D,'AMFI DATA_2023H1'!D:D)</f>
        <v>15207.12</v>
      </c>
      <c r="F268" s="7">
        <f t="shared" si="1"/>
        <v>-0.57999936871675906</v>
      </c>
      <c r="G268" s="8">
        <v>6387</v>
      </c>
      <c r="H268" s="8">
        <v>6385</v>
      </c>
      <c r="I268" s="8">
        <v>6400</v>
      </c>
      <c r="J268" s="8">
        <v>6436</v>
      </c>
      <c r="K268" s="8">
        <v>6426</v>
      </c>
      <c r="L268" s="8">
        <v>6267</v>
      </c>
      <c r="M268" s="8"/>
      <c r="N268" s="8"/>
      <c r="O268" s="8"/>
      <c r="P268" s="8"/>
      <c r="Q268" s="9">
        <f ca="1">IFERROR(__xludf.DUMMYFUNCTION("GOOGLEFINANCE(C268,""changepct"")"),0.76)</f>
        <v>0.76</v>
      </c>
      <c r="R268" s="8"/>
      <c r="S268" s="8"/>
      <c r="T268" s="8"/>
      <c r="U268" s="8"/>
      <c r="V268" s="8"/>
      <c r="W268" s="8"/>
    </row>
    <row r="269" spans="1:23" ht="14.4">
      <c r="A269" s="3">
        <f>LOOKUP(D269,'AMFI DATA_2023H1'!B:C,'AMFI DATA_2023H1'!C:C)</f>
        <v>287</v>
      </c>
      <c r="B269" s="4" t="s">
        <v>891</v>
      </c>
      <c r="C269" s="4" t="s">
        <v>892</v>
      </c>
      <c r="D269" s="5" t="s">
        <v>893</v>
      </c>
      <c r="E269" s="5">
        <f>LOOKUP(D269,'AMFI DATA_2023H1'!B:D,'AMFI DATA_2023H1'!D:D)</f>
        <v>13588.19</v>
      </c>
      <c r="F269" s="7">
        <f t="shared" si="1"/>
        <v>0.4357320585008011</v>
      </c>
      <c r="G269" s="8">
        <v>19509</v>
      </c>
      <c r="H269" s="8">
        <v>19429</v>
      </c>
      <c r="I269" s="8">
        <v>19483</v>
      </c>
      <c r="J269" s="8">
        <v>19534</v>
      </c>
      <c r="K269" s="8">
        <v>19494</v>
      </c>
      <c r="L269" s="8">
        <v>19559</v>
      </c>
      <c r="M269" s="8"/>
      <c r="N269" s="8"/>
      <c r="O269" s="8"/>
      <c r="P269" s="8"/>
      <c r="Q269" s="9">
        <f ca="1">IFERROR(__xludf.DUMMYFUNCTION("GOOGLEFINANCE(C269,""changepct"")"),4.05)</f>
        <v>4.05</v>
      </c>
      <c r="R269" s="8"/>
      <c r="S269" s="8"/>
      <c r="T269" s="8"/>
      <c r="U269" s="8"/>
      <c r="V269" s="8"/>
      <c r="W269" s="8"/>
    </row>
    <row r="270" spans="1:23" ht="14.4">
      <c r="A270" s="3">
        <f>LOOKUP(D270,'AMFI DATA_2023H1'!B:C,'AMFI DATA_2023H1'!C:C)</f>
        <v>1107</v>
      </c>
      <c r="B270" s="4" t="s">
        <v>3425</v>
      </c>
      <c r="C270" s="4" t="s">
        <v>3426</v>
      </c>
      <c r="D270" s="5" t="s">
        <v>3427</v>
      </c>
      <c r="E270" s="5">
        <f>LOOKUP(D270,'AMFI DATA_2023H1'!B:D,'AMFI DATA_2023H1'!D:D)</f>
        <v>857.48</v>
      </c>
      <c r="F270" s="7">
        <f t="shared" si="1"/>
        <v>0.21402248448943406</v>
      </c>
      <c r="G270" s="8">
        <v>1041</v>
      </c>
      <c r="H270" s="8">
        <v>1040</v>
      </c>
      <c r="I270" s="8">
        <v>1044</v>
      </c>
      <c r="J270" s="8">
        <v>1051</v>
      </c>
      <c r="K270" s="8">
        <v>1074</v>
      </c>
      <c r="L270" s="8">
        <v>1027</v>
      </c>
      <c r="M270" s="8"/>
      <c r="N270" s="8"/>
      <c r="O270" s="8"/>
      <c r="P270" s="8"/>
      <c r="Q270" s="9">
        <f ca="1">IFERROR(__xludf.DUMMYFUNCTION("GOOGLEFINANCE(C270,""changepct"")"),1.67)</f>
        <v>1.67</v>
      </c>
      <c r="R270" s="8"/>
      <c r="S270" s="8"/>
      <c r="T270" s="8"/>
      <c r="U270" s="8"/>
      <c r="V270" s="8"/>
      <c r="W270" s="8"/>
    </row>
    <row r="271" spans="1:23" ht="14.4">
      <c r="A271" s="3">
        <f>LOOKUP(D271,'AMFI DATA_2023H1'!B:C,'AMFI DATA_2023H1'!C:C)</f>
        <v>1751</v>
      </c>
      <c r="B271" s="4" t="s">
        <v>4739</v>
      </c>
      <c r="C271" s="4" t="s">
        <v>4740</v>
      </c>
      <c r="D271" s="5" t="s">
        <v>4741</v>
      </c>
      <c r="E271" s="5">
        <f>LOOKUP(D271,'AMFI DATA_2023H1'!B:D,'AMFI DATA_2023H1'!D:D)</f>
        <v>214.53</v>
      </c>
      <c r="F271" s="7">
        <f t="shared" si="1"/>
        <v>0.15135412296648476</v>
      </c>
      <c r="G271" s="9">
        <v>247</v>
      </c>
      <c r="H271" s="9">
        <v>247</v>
      </c>
      <c r="I271" s="9">
        <v>245</v>
      </c>
      <c r="J271" s="9">
        <v>236</v>
      </c>
      <c r="K271" s="9">
        <v>241</v>
      </c>
      <c r="L271" s="9">
        <v>237</v>
      </c>
      <c r="M271" s="9"/>
      <c r="N271" s="9"/>
      <c r="O271" s="9"/>
      <c r="P271" s="9"/>
      <c r="Q271" s="9">
        <f ca="1">IFERROR(__xludf.DUMMYFUNCTION("GOOGLEFINANCE(C271,""changepct"")"),-2.41)</f>
        <v>-2.41</v>
      </c>
      <c r="R271" s="9"/>
      <c r="S271" s="9"/>
      <c r="T271" s="9"/>
      <c r="U271" s="9"/>
      <c r="V271" s="9"/>
      <c r="W271" s="9"/>
    </row>
    <row r="272" spans="1:23" ht="14.4">
      <c r="A272" s="3">
        <f>LOOKUP(D272,'AMFI DATA_2023H1'!B:C,'AMFI DATA_2023H1'!C:C)</f>
        <v>1960</v>
      </c>
      <c r="B272" s="4" t="s">
        <v>5380</v>
      </c>
      <c r="C272" s="4" t="s">
        <v>5381</v>
      </c>
      <c r="D272" s="5" t="s">
        <v>5382</v>
      </c>
      <c r="E272" s="5">
        <f>LOOKUP(D272,'AMFI DATA_2023H1'!B:D,'AMFI DATA_2023H1'!D:D)</f>
        <v>151.94999999999999</v>
      </c>
      <c r="F272" s="7">
        <f t="shared" si="1"/>
        <v>-0.73609740046067784</v>
      </c>
      <c r="G272" s="9">
        <v>40.1</v>
      </c>
      <c r="H272" s="9">
        <v>38.200000000000003</v>
      </c>
      <c r="I272" s="9">
        <v>36.5</v>
      </c>
      <c r="J272" s="9">
        <v>34.700000000000003</v>
      </c>
      <c r="K272" s="9">
        <v>33.1</v>
      </c>
      <c r="L272" s="9">
        <v>32.4</v>
      </c>
      <c r="M272" s="9"/>
      <c r="N272" s="9"/>
      <c r="O272" s="9"/>
      <c r="P272" s="9"/>
      <c r="Q272" s="9">
        <f ca="1">IFERROR(__xludf.DUMMYFUNCTION("GOOGLEFINANCE(C272,""changepct"")"),-2.83)</f>
        <v>-2.83</v>
      </c>
      <c r="R272" s="9"/>
      <c r="S272" s="9"/>
      <c r="T272" s="9"/>
      <c r="U272" s="9"/>
      <c r="V272" s="9"/>
      <c r="W272" s="9"/>
    </row>
    <row r="273" spans="1:23" ht="14.4">
      <c r="A273" s="3">
        <f>LOOKUP(D273,'AMFI DATA_2023H1'!B:C,'AMFI DATA_2023H1'!C:C)</f>
        <v>443</v>
      </c>
      <c r="B273" s="4" t="s">
        <v>1356</v>
      </c>
      <c r="C273" s="4" t="s">
        <v>1357</v>
      </c>
      <c r="D273" s="5" t="s">
        <v>1358</v>
      </c>
      <c r="E273" s="5">
        <f>LOOKUP(D273,'AMFI DATA_2023H1'!B:D,'AMFI DATA_2023H1'!D:D)</f>
        <v>6461.48</v>
      </c>
      <c r="F273" s="7">
        <f t="shared" si="1"/>
        <v>0.63909816326909641</v>
      </c>
      <c r="G273" s="8">
        <v>10591</v>
      </c>
      <c r="H273" s="8">
        <v>10978</v>
      </c>
      <c r="I273" s="8">
        <v>10544</v>
      </c>
      <c r="J273" s="8">
        <v>10669</v>
      </c>
      <c r="K273" s="8">
        <v>10237</v>
      </c>
      <c r="L273" s="8">
        <v>9268</v>
      </c>
      <c r="M273" s="8"/>
      <c r="N273" s="8"/>
      <c r="O273" s="8"/>
      <c r="P273" s="8"/>
      <c r="Q273" s="9">
        <f ca="1">IFERROR(__xludf.DUMMYFUNCTION("GOOGLEFINANCE(C273,""changepct"")"),1.55)</f>
        <v>1.55</v>
      </c>
      <c r="R273" s="8"/>
      <c r="S273" s="8"/>
      <c r="T273" s="8"/>
      <c r="U273" s="8"/>
      <c r="V273" s="8"/>
      <c r="W273" s="8"/>
    </row>
    <row r="274" spans="1:23" ht="14.4">
      <c r="A274" s="3">
        <f>LOOKUP(D274,'AMFI DATA_2023H1'!B:C,'AMFI DATA_2023H1'!C:C)</f>
        <v>870</v>
      </c>
      <c r="B274" s="4" t="s">
        <v>2312</v>
      </c>
      <c r="C274" s="4" t="s">
        <v>2313</v>
      </c>
      <c r="D274" s="5" t="s">
        <v>2314</v>
      </c>
      <c r="E274" s="5">
        <f>LOOKUP(D274,'AMFI DATA_2023H1'!B:D,'AMFI DATA_2023H1'!D:D)</f>
        <v>1612.07</v>
      </c>
      <c r="F274" s="7">
        <f t="shared" si="1"/>
        <v>0.99246930964536295</v>
      </c>
      <c r="G274" s="8">
        <v>3212</v>
      </c>
      <c r="H274" s="8">
        <v>3179</v>
      </c>
      <c r="I274" s="8">
        <v>3088</v>
      </c>
      <c r="J274" s="8">
        <v>3128</v>
      </c>
      <c r="K274" s="8">
        <v>3161</v>
      </c>
      <c r="L274" s="8">
        <v>3111</v>
      </c>
      <c r="M274" s="8"/>
      <c r="N274" s="8"/>
      <c r="O274" s="8"/>
      <c r="P274" s="8"/>
      <c r="Q274" s="9">
        <f ca="1">IFERROR(__xludf.DUMMYFUNCTION("GOOGLEFINANCE(C274,""changepct"")"),0.94)</f>
        <v>0.94</v>
      </c>
      <c r="R274" s="8"/>
      <c r="S274" s="8"/>
      <c r="T274" s="8"/>
      <c r="U274" s="8"/>
      <c r="V274" s="8"/>
      <c r="W274" s="8"/>
    </row>
    <row r="275" spans="1:23" ht="14.4">
      <c r="A275" s="3">
        <f>LOOKUP(D275,'AMFI DATA_2023H1'!B:C,'AMFI DATA_2023H1'!C:C)</f>
        <v>600</v>
      </c>
      <c r="B275" s="4" t="s">
        <v>2402</v>
      </c>
      <c r="C275" s="4" t="s">
        <v>2403</v>
      </c>
      <c r="D275" s="5" t="s">
        <v>2404</v>
      </c>
      <c r="E275" s="5">
        <f>LOOKUP(D275,'AMFI DATA_2023H1'!B:D,'AMFI DATA_2023H1'!D:D)</f>
        <v>3732.01</v>
      </c>
      <c r="F275" s="7">
        <f t="shared" si="1"/>
        <v>-0.24491091931693654</v>
      </c>
      <c r="G275" s="8">
        <v>2818</v>
      </c>
      <c r="H275" s="8">
        <v>2808</v>
      </c>
      <c r="I275" s="8">
        <v>2777</v>
      </c>
      <c r="J275" s="8">
        <v>2818</v>
      </c>
      <c r="K275" s="8">
        <v>2824</v>
      </c>
      <c r="L275" s="8">
        <v>2791</v>
      </c>
      <c r="M275" s="8"/>
      <c r="N275" s="8"/>
      <c r="O275" s="8"/>
      <c r="P275" s="8"/>
      <c r="Q275" s="9">
        <f ca="1">IFERROR(__xludf.DUMMYFUNCTION("GOOGLEFINANCE(C275,""changepct"")"),1.24)</f>
        <v>1.24</v>
      </c>
      <c r="R275" s="8"/>
      <c r="S275" s="8"/>
      <c r="T275" s="8"/>
      <c r="U275" s="8"/>
      <c r="V275" s="8"/>
      <c r="W275" s="8"/>
    </row>
    <row r="276" spans="1:23" ht="14.4">
      <c r="A276" s="3">
        <f>LOOKUP(D276,'AMFI DATA_2023H1'!B:C,'AMFI DATA_2023H1'!C:C)</f>
        <v>555</v>
      </c>
      <c r="B276" s="4" t="s">
        <v>1950</v>
      </c>
      <c r="C276" s="4" t="s">
        <v>1951</v>
      </c>
      <c r="D276" s="5" t="s">
        <v>1952</v>
      </c>
      <c r="E276" s="5">
        <f>LOOKUP(D276,'AMFI DATA_2023H1'!B:D,'AMFI DATA_2023H1'!D:D)</f>
        <v>4265.58</v>
      </c>
      <c r="F276" s="7">
        <f t="shared" si="1"/>
        <v>-9.0627769259983393E-2</v>
      </c>
      <c r="G276" s="8">
        <v>3879</v>
      </c>
      <c r="H276" s="8">
        <v>3861</v>
      </c>
      <c r="I276" s="8">
        <v>3836</v>
      </c>
      <c r="J276" s="8">
        <v>3864</v>
      </c>
      <c r="K276" s="8">
        <v>3966</v>
      </c>
      <c r="L276" s="8">
        <v>3923</v>
      </c>
      <c r="M276" s="8"/>
      <c r="N276" s="8"/>
      <c r="O276" s="8"/>
      <c r="P276" s="8"/>
      <c r="Q276" s="9">
        <f ca="1">IFERROR(__xludf.DUMMYFUNCTION("GOOGLEFINANCE(C276,""changepct"")"),0.66)</f>
        <v>0.66</v>
      </c>
      <c r="R276" s="8"/>
      <c r="S276" s="8"/>
      <c r="T276" s="8"/>
      <c r="U276" s="8"/>
      <c r="V276" s="8"/>
      <c r="W276" s="8"/>
    </row>
    <row r="277" spans="1:23" ht="14.4">
      <c r="A277" s="3">
        <f>LOOKUP(D277,'AMFI DATA_2023H1'!B:C,'AMFI DATA_2023H1'!C:C)</f>
        <v>448</v>
      </c>
      <c r="B277" s="4" t="s">
        <v>1716</v>
      </c>
      <c r="C277" s="4" t="s">
        <v>1717</v>
      </c>
      <c r="D277" s="5" t="s">
        <v>1718</v>
      </c>
      <c r="E277" s="5">
        <f>LOOKUP(D277,'AMFI DATA_2023H1'!B:D,'AMFI DATA_2023H1'!D:D)</f>
        <v>6355.28</v>
      </c>
      <c r="F277" s="7">
        <f t="shared" si="1"/>
        <v>-9.8072783575231859E-2</v>
      </c>
      <c r="G277" s="8">
        <v>5732</v>
      </c>
      <c r="H277" s="8">
        <v>5742</v>
      </c>
      <c r="I277" s="8">
        <v>5661</v>
      </c>
      <c r="J277" s="8">
        <v>5519</v>
      </c>
      <c r="K277" s="8">
        <v>5508</v>
      </c>
      <c r="L277" s="8">
        <v>5557</v>
      </c>
      <c r="M277" s="8"/>
      <c r="N277" s="8"/>
      <c r="O277" s="8"/>
      <c r="P277" s="8"/>
      <c r="Q277" s="9">
        <f ca="1">IFERROR(__xludf.DUMMYFUNCTION("GOOGLEFINANCE(C277,""changepct"")"),3.94)</f>
        <v>3.94</v>
      </c>
      <c r="R277" s="8"/>
      <c r="S277" s="8"/>
      <c r="T277" s="8"/>
      <c r="U277" s="8"/>
      <c r="V277" s="8"/>
      <c r="W277" s="8"/>
    </row>
    <row r="278" spans="1:23" ht="14.4">
      <c r="A278" s="3">
        <f>LOOKUP(D278,'AMFI DATA_2023H1'!B:C,'AMFI DATA_2023H1'!C:C)</f>
        <v>92</v>
      </c>
      <c r="B278" s="4" t="s">
        <v>336</v>
      </c>
      <c r="C278" s="4" t="s">
        <v>337</v>
      </c>
      <c r="D278" s="5" t="s">
        <v>338</v>
      </c>
      <c r="E278" s="5">
        <f>LOOKUP(D278,'AMFI DATA_2023H1'!B:D,'AMFI DATA_2023H1'!D:D)</f>
        <v>54021.440000000002</v>
      </c>
      <c r="F278" s="7">
        <f t="shared" si="1"/>
        <v>0.22477297902462423</v>
      </c>
      <c r="G278" s="8">
        <v>66164</v>
      </c>
      <c r="H278" s="8">
        <v>65487</v>
      </c>
      <c r="I278" s="8">
        <v>65189</v>
      </c>
      <c r="J278" s="8">
        <v>64688</v>
      </c>
      <c r="K278" s="8">
        <v>64644</v>
      </c>
      <c r="L278" s="8">
        <v>63806</v>
      </c>
      <c r="M278" s="8"/>
      <c r="N278" s="8"/>
      <c r="O278" s="8"/>
      <c r="P278" s="8"/>
      <c r="Q278" s="9">
        <f ca="1">IFERROR(__xludf.DUMMYFUNCTION("GOOGLEFINANCE(C278,""changepct"")"),0.95)</f>
        <v>0.95</v>
      </c>
      <c r="R278" s="8"/>
      <c r="S278" s="8"/>
      <c r="T278" s="8"/>
      <c r="U278" s="8"/>
      <c r="V278" s="8"/>
      <c r="W278" s="8"/>
    </row>
    <row r="279" spans="1:23" ht="14.4">
      <c r="A279" s="3">
        <f>LOOKUP(D279,'AMFI DATA_2023H1'!B:C,'AMFI DATA_2023H1'!C:C)</f>
        <v>1579</v>
      </c>
      <c r="B279" s="4" t="s">
        <v>4223</v>
      </c>
      <c r="C279" s="4" t="s">
        <v>4224</v>
      </c>
      <c r="D279" s="5" t="s">
        <v>4225</v>
      </c>
      <c r="E279" s="5">
        <f>LOOKUP(D279,'AMFI DATA_2023H1'!B:D,'AMFI DATA_2023H1'!D:D)</f>
        <v>298.87</v>
      </c>
      <c r="F279" s="7">
        <f t="shared" si="1"/>
        <v>0.40529327132197945</v>
      </c>
      <c r="G279" s="9">
        <v>420</v>
      </c>
      <c r="H279" s="9">
        <v>417</v>
      </c>
      <c r="I279" s="9">
        <v>410</v>
      </c>
      <c r="J279" s="9">
        <v>423</v>
      </c>
      <c r="K279" s="9">
        <v>422</v>
      </c>
      <c r="L279" s="9">
        <v>405</v>
      </c>
      <c r="M279" s="9"/>
      <c r="N279" s="9"/>
      <c r="O279" s="9"/>
      <c r="P279" s="9"/>
      <c r="Q279" s="9">
        <f ca="1">IFERROR(__xludf.DUMMYFUNCTION("GOOGLEFINANCE(C279,""changepct"")"),2.65)</f>
        <v>2.65</v>
      </c>
      <c r="R279" s="9"/>
      <c r="S279" s="9"/>
      <c r="T279" s="9"/>
      <c r="U279" s="9"/>
      <c r="V279" s="9"/>
      <c r="W279" s="9"/>
    </row>
    <row r="280" spans="1:23" ht="14.4">
      <c r="A280" s="3">
        <f>LOOKUP(D280,'AMFI DATA_2023H1'!B:C,'AMFI DATA_2023H1'!C:C)</f>
        <v>1640</v>
      </c>
      <c r="B280" s="4" t="s">
        <v>3920</v>
      </c>
      <c r="C280" s="4" t="s">
        <v>3921</v>
      </c>
      <c r="D280" s="5" t="s">
        <v>3922</v>
      </c>
      <c r="E280" s="5">
        <f>LOOKUP(D280,'AMFI DATA_2023H1'!B:D,'AMFI DATA_2023H1'!D:D)</f>
        <v>267.52</v>
      </c>
      <c r="F280" s="7">
        <f t="shared" si="1"/>
        <v>2.0240729665071773</v>
      </c>
      <c r="G280" s="9">
        <v>809</v>
      </c>
      <c r="H280" s="9">
        <v>810</v>
      </c>
      <c r="I280" s="9">
        <v>826</v>
      </c>
      <c r="J280" s="9">
        <v>843</v>
      </c>
      <c r="K280" s="9">
        <v>829</v>
      </c>
      <c r="L280" s="9">
        <v>861</v>
      </c>
      <c r="M280" s="9"/>
      <c r="N280" s="9"/>
      <c r="O280" s="9"/>
      <c r="P280" s="9"/>
      <c r="Q280" s="9">
        <f ca="1">IFERROR(__xludf.DUMMYFUNCTION("GOOGLEFINANCE(C280,""changepct"")"),1.21)</f>
        <v>1.21</v>
      </c>
      <c r="R280" s="9"/>
      <c r="S280" s="9"/>
      <c r="T280" s="9"/>
      <c r="U280" s="9"/>
      <c r="V280" s="9"/>
      <c r="W280" s="9"/>
    </row>
    <row r="281" spans="1:23" ht="14.4">
      <c r="A281" s="3">
        <f>LOOKUP(D281,'AMFI DATA_2023H1'!B:C,'AMFI DATA_2023H1'!C:C)</f>
        <v>315</v>
      </c>
      <c r="B281" s="4" t="s">
        <v>942</v>
      </c>
      <c r="C281" s="4" t="s">
        <v>943</v>
      </c>
      <c r="D281" s="5" t="s">
        <v>944</v>
      </c>
      <c r="E281" s="5">
        <f>LOOKUP(D281,'AMFI DATA_2023H1'!B:D,'AMFI DATA_2023H1'!D:D)</f>
        <v>11570.84</v>
      </c>
      <c r="F281" s="7">
        <f t="shared" si="1"/>
        <v>0.78223880029453352</v>
      </c>
      <c r="G281" s="8">
        <v>20622</v>
      </c>
      <c r="H281" s="8">
        <v>20709</v>
      </c>
      <c r="I281" s="8">
        <v>20755</v>
      </c>
      <c r="J281" s="8">
        <v>20384</v>
      </c>
      <c r="K281" s="8">
        <v>19890</v>
      </c>
      <c r="L281" s="8">
        <v>20063</v>
      </c>
      <c r="M281" s="8"/>
      <c r="N281" s="8"/>
      <c r="O281" s="8"/>
      <c r="P281" s="8"/>
      <c r="Q281" s="9">
        <f ca="1">IFERROR(__xludf.DUMMYFUNCTION("GOOGLEFINANCE(C281,""changepct"")"),-1.63)</f>
        <v>-1.63</v>
      </c>
      <c r="R281" s="8"/>
      <c r="S281" s="8"/>
      <c r="T281" s="8"/>
      <c r="U281" s="8"/>
      <c r="V281" s="8"/>
      <c r="W281" s="8"/>
    </row>
    <row r="282" spans="1:23" ht="14.4">
      <c r="A282" s="3">
        <f>LOOKUP(D282,'AMFI DATA_2023H1'!B:C,'AMFI DATA_2023H1'!C:C)</f>
        <v>553</v>
      </c>
      <c r="B282" s="4" t="s">
        <v>1983</v>
      </c>
      <c r="C282" s="4" t="s">
        <v>1984</v>
      </c>
      <c r="D282" s="5" t="s">
        <v>1985</v>
      </c>
      <c r="E282" s="5">
        <f>LOOKUP(D282,'AMFI DATA_2023H1'!B:D,'AMFI DATA_2023H1'!D:D)</f>
        <v>4335.12</v>
      </c>
      <c r="F282" s="7">
        <f t="shared" si="1"/>
        <v>-0.1146727195556293</v>
      </c>
      <c r="G282" s="8">
        <v>3838</v>
      </c>
      <c r="H282" s="8">
        <v>3903</v>
      </c>
      <c r="I282" s="8">
        <v>3921</v>
      </c>
      <c r="J282" s="8">
        <v>3987</v>
      </c>
      <c r="K282" s="8">
        <v>3907</v>
      </c>
      <c r="L282" s="8">
        <v>4006</v>
      </c>
      <c r="M282" s="8"/>
      <c r="N282" s="8"/>
      <c r="O282" s="8"/>
      <c r="P282" s="8"/>
      <c r="Q282" s="9">
        <f ca="1">IFERROR(__xludf.DUMMYFUNCTION("GOOGLEFINANCE(C282,""changepct"")"),-2.8)</f>
        <v>-2.8</v>
      </c>
      <c r="R282" s="8"/>
      <c r="S282" s="8"/>
      <c r="T282" s="8"/>
      <c r="U282" s="8"/>
      <c r="V282" s="8"/>
      <c r="W282" s="8"/>
    </row>
    <row r="283" spans="1:23" ht="14.4">
      <c r="A283" s="3">
        <f>LOOKUP(D283,'AMFI DATA_2023H1'!B:C,'AMFI DATA_2023H1'!C:C)</f>
        <v>48</v>
      </c>
      <c r="B283" s="4" t="s">
        <v>162</v>
      </c>
      <c r="C283" s="4" t="s">
        <v>163</v>
      </c>
      <c r="D283" s="5" t="s">
        <v>164</v>
      </c>
      <c r="E283" s="5">
        <f>LOOKUP(D283,'AMFI DATA_2023H1'!B:D,'AMFI DATA_2023H1'!D:D)</f>
        <v>108510.48</v>
      </c>
      <c r="F283" s="7">
        <f t="shared" si="1"/>
        <v>0.18039289845552253</v>
      </c>
      <c r="G283" s="8">
        <v>128085</v>
      </c>
      <c r="H283" s="8">
        <v>128598</v>
      </c>
      <c r="I283" s="8">
        <v>127227</v>
      </c>
      <c r="J283" s="8">
        <v>125425</v>
      </c>
      <c r="K283" s="8">
        <v>126159</v>
      </c>
      <c r="L283" s="8">
        <v>124315</v>
      </c>
      <c r="M283" s="8"/>
      <c r="N283" s="8"/>
      <c r="O283" s="8"/>
      <c r="P283" s="8"/>
      <c r="Q283" s="9">
        <f ca="1">IFERROR(__xludf.DUMMYFUNCTION("GOOGLEFINANCE(C283,""changepct"")"),2.67)</f>
        <v>2.67</v>
      </c>
      <c r="R283" s="8"/>
      <c r="S283" s="8"/>
      <c r="T283" s="8"/>
      <c r="U283" s="8"/>
      <c r="V283" s="8"/>
      <c r="W283" s="8"/>
    </row>
    <row r="284" spans="1:23" ht="14.4">
      <c r="A284" s="3">
        <f>LOOKUP(D284,'AMFI DATA_2023H1'!B:C,'AMFI DATA_2023H1'!C:C)</f>
        <v>1800</v>
      </c>
      <c r="B284" s="4" t="s">
        <v>4460</v>
      </c>
      <c r="C284" s="4" t="s">
        <v>4461</v>
      </c>
      <c r="D284" s="5" t="s">
        <v>4462</v>
      </c>
      <c r="E284" s="5">
        <f>LOOKUP(D284,'AMFI DATA_2023H1'!B:D,'AMFI DATA_2023H1'!D:D)</f>
        <v>196.19</v>
      </c>
      <c r="F284" s="7">
        <f t="shared" si="1"/>
        <v>0.9623834038432133</v>
      </c>
      <c r="G284" s="9">
        <v>385</v>
      </c>
      <c r="H284" s="9">
        <v>378</v>
      </c>
      <c r="I284" s="9">
        <v>397</v>
      </c>
      <c r="J284" s="9">
        <v>403</v>
      </c>
      <c r="K284" s="9">
        <v>427</v>
      </c>
      <c r="L284" s="9">
        <v>356</v>
      </c>
      <c r="M284" s="9"/>
      <c r="N284" s="9"/>
      <c r="O284" s="9"/>
      <c r="P284" s="9"/>
      <c r="Q284" s="9">
        <f ca="1">IFERROR(__xludf.DUMMYFUNCTION("GOOGLEFINANCE(C284,""changepct"")"),1.43)</f>
        <v>1.43</v>
      </c>
      <c r="R284" s="9"/>
      <c r="S284" s="9"/>
      <c r="T284" s="9"/>
      <c r="U284" s="9"/>
      <c r="V284" s="9"/>
      <c r="W284" s="9"/>
    </row>
    <row r="285" spans="1:23" ht="14.4">
      <c r="A285" s="3">
        <f>LOOKUP(D285,'AMFI DATA_2023H1'!B:C,'AMFI DATA_2023H1'!C:C)</f>
        <v>424</v>
      </c>
      <c r="B285" s="4" t="s">
        <v>813</v>
      </c>
      <c r="C285" s="4" t="s">
        <v>814</v>
      </c>
      <c r="D285" s="5" t="s">
        <v>815</v>
      </c>
      <c r="E285" s="5">
        <f>LOOKUP(D285,'AMFI DATA_2023H1'!B:D,'AMFI DATA_2023H1'!D:D)</f>
        <v>6869.73</v>
      </c>
      <c r="F285" s="7">
        <f t="shared" si="1"/>
        <v>3.3413642166431581</v>
      </c>
      <c r="G285" s="8">
        <v>29824</v>
      </c>
      <c r="H285" s="8">
        <v>30070</v>
      </c>
      <c r="I285" s="8">
        <v>30369</v>
      </c>
      <c r="J285" s="8">
        <v>30687</v>
      </c>
      <c r="K285" s="8">
        <v>31280</v>
      </c>
      <c r="L285" s="8">
        <v>31406</v>
      </c>
      <c r="M285" s="8"/>
      <c r="N285" s="8"/>
      <c r="O285" s="8"/>
      <c r="P285" s="8"/>
      <c r="Q285" s="9">
        <f ca="1">IFERROR(__xludf.DUMMYFUNCTION("GOOGLEFINANCE(C285,""changepct"")"),-2.38)</f>
        <v>-2.38</v>
      </c>
      <c r="R285" s="8"/>
      <c r="S285" s="8"/>
      <c r="T285" s="8"/>
      <c r="U285" s="8"/>
      <c r="V285" s="8"/>
      <c r="W285" s="8"/>
    </row>
    <row r="286" spans="1:23" ht="14.4">
      <c r="A286" s="3">
        <f>LOOKUP(D286,'AMFI DATA_2023H1'!B:C,'AMFI DATA_2023H1'!C:C)</f>
        <v>1831</v>
      </c>
      <c r="B286" s="4" t="s">
        <v>4754</v>
      </c>
      <c r="C286" s="4" t="s">
        <v>4755</v>
      </c>
      <c r="D286" s="5" t="s">
        <v>4756</v>
      </c>
      <c r="E286" s="5">
        <f>LOOKUP(D286,'AMFI DATA_2023H1'!B:D,'AMFI DATA_2023H1'!D:D)</f>
        <v>186.31</v>
      </c>
      <c r="F286" s="7">
        <f t="shared" si="1"/>
        <v>0.16472545757071555</v>
      </c>
      <c r="G286" s="9">
        <v>217</v>
      </c>
      <c r="H286" s="9">
        <v>217</v>
      </c>
      <c r="I286" s="9">
        <v>220</v>
      </c>
      <c r="J286" s="9">
        <v>223</v>
      </c>
      <c r="K286" s="9">
        <v>214</v>
      </c>
      <c r="L286" s="9">
        <v>212</v>
      </c>
      <c r="M286" s="9"/>
      <c r="N286" s="9"/>
      <c r="O286" s="9"/>
      <c r="P286" s="9"/>
      <c r="Q286" s="9">
        <f ca="1">IFERROR(__xludf.DUMMYFUNCTION("GOOGLEFINANCE(C286,""changepct"")"),1.02)</f>
        <v>1.02</v>
      </c>
      <c r="R286" s="9"/>
      <c r="S286" s="9"/>
      <c r="T286" s="9"/>
      <c r="U286" s="9"/>
      <c r="V286" s="9"/>
      <c r="W286" s="9"/>
    </row>
    <row r="287" spans="1:23" ht="14.4">
      <c r="A287" s="3">
        <f>LOOKUP(D287,'AMFI DATA_2023H1'!B:C,'AMFI DATA_2023H1'!C:C)</f>
        <v>2779</v>
      </c>
      <c r="B287" s="4" t="s">
        <v>5482</v>
      </c>
      <c r="C287" s="4" t="s">
        <v>5483</v>
      </c>
      <c r="D287" s="5" t="s">
        <v>5484</v>
      </c>
      <c r="E287" s="5">
        <f>LOOKUP(D287,'AMFI DATA_2023H1'!B:D,'AMFI DATA_2023H1'!D:D)</f>
        <v>41.5</v>
      </c>
      <c r="F287" s="7">
        <f t="shared" si="1"/>
        <v>0.2939759036144578</v>
      </c>
      <c r="G287" s="9">
        <v>53.7</v>
      </c>
      <c r="H287" s="9">
        <v>52.7</v>
      </c>
      <c r="I287" s="9">
        <v>53.7</v>
      </c>
      <c r="J287" s="9">
        <v>54.8</v>
      </c>
      <c r="K287" s="9">
        <v>57.6</v>
      </c>
      <c r="L287" s="9">
        <v>57.7</v>
      </c>
      <c r="M287" s="9"/>
      <c r="N287" s="9"/>
      <c r="O287" s="9"/>
      <c r="P287" s="9"/>
      <c r="Q287" s="9">
        <f ca="1">IFERROR(__xludf.DUMMYFUNCTION("GOOGLEFINANCE(C287,""changepct"")"),2.72)</f>
        <v>2.72</v>
      </c>
      <c r="R287" s="9"/>
      <c r="S287" s="9"/>
      <c r="T287" s="9"/>
      <c r="U287" s="9"/>
      <c r="V287" s="9"/>
      <c r="W287" s="9"/>
    </row>
    <row r="288" spans="1:23" ht="14.4">
      <c r="A288" s="3">
        <f>LOOKUP(D288,'AMFI DATA_2023H1'!B:C,'AMFI DATA_2023H1'!C:C)</f>
        <v>742</v>
      </c>
      <c r="B288" s="4" t="s">
        <v>2675</v>
      </c>
      <c r="C288" s="4" t="s">
        <v>2676</v>
      </c>
      <c r="D288" s="5" t="s">
        <v>2677</v>
      </c>
      <c r="E288" s="5">
        <f>LOOKUP(D288,'AMFI DATA_2023H1'!B:D,'AMFI DATA_2023H1'!D:D)</f>
        <v>2262.9299999999998</v>
      </c>
      <c r="F288" s="7">
        <f t="shared" si="1"/>
        <v>-0.15728723380749732</v>
      </c>
      <c r="G288" s="8">
        <v>1907</v>
      </c>
      <c r="H288" s="8">
        <v>1859</v>
      </c>
      <c r="I288" s="8">
        <v>1867</v>
      </c>
      <c r="J288" s="8">
        <v>1845</v>
      </c>
      <c r="K288" s="8">
        <v>1883</v>
      </c>
      <c r="L288" s="8">
        <v>1883</v>
      </c>
      <c r="M288" s="8"/>
      <c r="N288" s="8"/>
      <c r="O288" s="8"/>
      <c r="P288" s="8"/>
      <c r="Q288" s="9">
        <f ca="1">IFERROR(__xludf.DUMMYFUNCTION("GOOGLEFINANCE(C288,""changepct"")"),0.03)</f>
        <v>0.03</v>
      </c>
      <c r="R288" s="8"/>
      <c r="S288" s="8"/>
      <c r="T288" s="8"/>
      <c r="U288" s="8"/>
      <c r="V288" s="8"/>
      <c r="W288" s="8"/>
    </row>
    <row r="289" spans="1:23" ht="14.4">
      <c r="A289" s="3">
        <f>LOOKUP(D289,'AMFI DATA_2023H1'!B:C,'AMFI DATA_2023H1'!C:C)</f>
        <v>462</v>
      </c>
      <c r="B289" s="4" t="s">
        <v>1224</v>
      </c>
      <c r="C289" s="4" t="s">
        <v>1225</v>
      </c>
      <c r="D289" s="5" t="s">
        <v>1226</v>
      </c>
      <c r="E289" s="5">
        <f>LOOKUP(D289,'AMFI DATA_2023H1'!B:D,'AMFI DATA_2023H1'!D:D)</f>
        <v>5887.5</v>
      </c>
      <c r="F289" s="7">
        <f t="shared" si="1"/>
        <v>0.77273885350318472</v>
      </c>
      <c r="G289" s="8">
        <v>10437</v>
      </c>
      <c r="H289" s="8">
        <v>10511</v>
      </c>
      <c r="I289" s="8">
        <v>10620</v>
      </c>
      <c r="J289" s="8">
        <v>10917</v>
      </c>
      <c r="K289" s="8">
        <v>10789</v>
      </c>
      <c r="L289" s="8">
        <v>10902</v>
      </c>
      <c r="M289" s="8"/>
      <c r="N289" s="8"/>
      <c r="O289" s="8"/>
      <c r="P289" s="8"/>
      <c r="Q289" s="9">
        <f ca="1">IFERROR(__xludf.DUMMYFUNCTION("GOOGLEFINANCE(C289,""changepct"")"),3.96)</f>
        <v>3.96</v>
      </c>
      <c r="R289" s="8"/>
      <c r="S289" s="8"/>
      <c r="T289" s="8"/>
      <c r="U289" s="8"/>
      <c r="V289" s="8"/>
      <c r="W289" s="8"/>
    </row>
    <row r="290" spans="1:23" ht="14.4">
      <c r="A290" s="3">
        <f>LOOKUP(D290,'AMFI DATA_2023H1'!B:C,'AMFI DATA_2023H1'!C:C)</f>
        <v>3147</v>
      </c>
      <c r="B290" s="4" t="s">
        <v>5653</v>
      </c>
      <c r="C290" s="4" t="s">
        <v>5654</v>
      </c>
      <c r="D290" s="5" t="s">
        <v>5655</v>
      </c>
      <c r="E290" s="5">
        <f>LOOKUP(D290,'AMFI DATA_2023H1'!B:D,'AMFI DATA_2023H1'!D:D)</f>
        <v>24.45</v>
      </c>
      <c r="F290" s="7">
        <f t="shared" si="1"/>
        <v>0.14519427402862983</v>
      </c>
      <c r="G290" s="9">
        <v>28</v>
      </c>
      <c r="H290" s="9">
        <v>28.1</v>
      </c>
      <c r="I290" s="9">
        <v>28.8</v>
      </c>
      <c r="J290" s="9">
        <v>29.4</v>
      </c>
      <c r="K290" s="9">
        <v>29.4</v>
      </c>
      <c r="L290" s="9">
        <v>28.6</v>
      </c>
      <c r="M290" s="9"/>
      <c r="N290" s="9"/>
      <c r="O290" s="9"/>
      <c r="P290" s="9"/>
      <c r="Q290" s="9">
        <f ca="1">IFERROR(__xludf.DUMMYFUNCTION("GOOGLEFINANCE(C290,""changepct"")"),2.65)</f>
        <v>2.65</v>
      </c>
      <c r="R290" s="9"/>
      <c r="S290" s="9"/>
      <c r="T290" s="9"/>
      <c r="U290" s="9"/>
      <c r="V290" s="9"/>
      <c r="W290" s="9"/>
    </row>
    <row r="291" spans="1:23" ht="14.4">
      <c r="A291" s="3">
        <f>LOOKUP(D291,'AMFI DATA_2023H1'!B:C,'AMFI DATA_2023H1'!C:C)</f>
        <v>2154</v>
      </c>
      <c r="B291" s="4" t="s">
        <v>5045</v>
      </c>
      <c r="C291" s="4" t="s">
        <v>5046</v>
      </c>
      <c r="D291" s="5" t="s">
        <v>5047</v>
      </c>
      <c r="E291" s="5">
        <f>LOOKUP(D291,'AMFI DATA_2023H1'!B:D,'AMFI DATA_2023H1'!D:D)</f>
        <v>112.2</v>
      </c>
      <c r="F291" s="7">
        <f t="shared" si="1"/>
        <v>0.31907308377896615</v>
      </c>
      <c r="G291" s="9">
        <v>148</v>
      </c>
      <c r="H291" s="9">
        <v>147</v>
      </c>
      <c r="I291" s="9">
        <v>148</v>
      </c>
      <c r="J291" s="9">
        <v>150</v>
      </c>
      <c r="K291" s="9">
        <v>150</v>
      </c>
      <c r="L291" s="9">
        <v>152</v>
      </c>
      <c r="M291" s="9"/>
      <c r="N291" s="9"/>
      <c r="O291" s="9"/>
      <c r="P291" s="9"/>
      <c r="Q291" s="9">
        <f ca="1">IFERROR(__xludf.DUMMYFUNCTION("GOOGLEFINANCE(C291,""changepct"")"),0.06)</f>
        <v>0.06</v>
      </c>
      <c r="R291" s="9"/>
      <c r="S291" s="9"/>
      <c r="T291" s="9"/>
      <c r="U291" s="9"/>
      <c r="V291" s="9"/>
      <c r="W291" s="9"/>
    </row>
    <row r="292" spans="1:23" ht="14.4">
      <c r="A292" s="3">
        <f>LOOKUP(D292,'AMFI DATA_2023H1'!B:C,'AMFI DATA_2023H1'!C:C)</f>
        <v>713</v>
      </c>
      <c r="B292" s="4" t="s">
        <v>2459</v>
      </c>
      <c r="C292" s="4" t="s">
        <v>2460</v>
      </c>
      <c r="D292" s="5" t="s">
        <v>2461</v>
      </c>
      <c r="E292" s="5">
        <f>LOOKUP(D292,'AMFI DATA_2023H1'!B:D,'AMFI DATA_2023H1'!D:D)</f>
        <v>2478.75</v>
      </c>
      <c r="F292" s="7">
        <f t="shared" si="1"/>
        <v>-9.1074130105900153E-2</v>
      </c>
      <c r="G292" s="8">
        <v>2253</v>
      </c>
      <c r="H292" s="8">
        <v>2275</v>
      </c>
      <c r="I292" s="8">
        <v>2203</v>
      </c>
      <c r="J292" s="8">
        <v>2241</v>
      </c>
      <c r="K292" s="8">
        <v>2250</v>
      </c>
      <c r="L292" s="8">
        <v>2158</v>
      </c>
      <c r="M292" s="8"/>
      <c r="N292" s="8"/>
      <c r="O292" s="8"/>
      <c r="P292" s="8"/>
      <c r="Q292" s="9">
        <f ca="1">IFERROR(__xludf.DUMMYFUNCTION("GOOGLEFINANCE(C292,""changepct"")"),1)</f>
        <v>1</v>
      </c>
      <c r="R292" s="8"/>
      <c r="S292" s="8"/>
      <c r="T292" s="8"/>
      <c r="U292" s="8"/>
      <c r="V292" s="8"/>
      <c r="W292" s="8"/>
    </row>
    <row r="293" spans="1:23" ht="14.4">
      <c r="A293" s="3">
        <f>LOOKUP(D293,'AMFI DATA_2023H1'!B:C,'AMFI DATA_2023H1'!C:C)</f>
        <v>322</v>
      </c>
      <c r="B293" s="4" t="s">
        <v>1341</v>
      </c>
      <c r="C293" s="4" t="s">
        <v>1342</v>
      </c>
      <c r="D293" s="5" t="s">
        <v>1343</v>
      </c>
      <c r="E293" s="5">
        <f>LOOKUP(D293,'AMFI DATA_2023H1'!B:D,'AMFI DATA_2023H1'!D:D)</f>
        <v>11043.56</v>
      </c>
      <c r="F293" s="7">
        <f t="shared" si="1"/>
        <v>-0.21257275733549685</v>
      </c>
      <c r="G293" s="8">
        <v>8696</v>
      </c>
      <c r="H293" s="8">
        <v>8537</v>
      </c>
      <c r="I293" s="8">
        <v>8480</v>
      </c>
      <c r="J293" s="8">
        <v>8502</v>
      </c>
      <c r="K293" s="8">
        <v>8593</v>
      </c>
      <c r="L293" s="8">
        <v>8563</v>
      </c>
      <c r="M293" s="8"/>
      <c r="N293" s="8"/>
      <c r="O293" s="8"/>
      <c r="P293" s="8"/>
      <c r="Q293" s="9">
        <f ca="1">IFERROR(__xludf.DUMMYFUNCTION("GOOGLEFINANCE(C293,""changepct"")"),0.18)</f>
        <v>0.18</v>
      </c>
      <c r="R293" s="8"/>
      <c r="S293" s="8"/>
      <c r="T293" s="8"/>
      <c r="U293" s="8"/>
      <c r="V293" s="8"/>
      <c r="W293" s="8"/>
    </row>
    <row r="294" spans="1:23" ht="14.4">
      <c r="A294" s="3">
        <f>LOOKUP(D294,'AMFI DATA_2023H1'!B:C,'AMFI DATA_2023H1'!C:C)</f>
        <v>391</v>
      </c>
      <c r="B294" s="4" t="s">
        <v>1203</v>
      </c>
      <c r="C294" s="4" t="s">
        <v>1204</v>
      </c>
      <c r="D294" s="5" t="s">
        <v>1205</v>
      </c>
      <c r="E294" s="5">
        <f>LOOKUP(D294,'AMFI DATA_2023H1'!B:D,'AMFI DATA_2023H1'!D:D)</f>
        <v>8113.39</v>
      </c>
      <c r="F294" s="7">
        <f t="shared" si="1"/>
        <v>0.27677826407950312</v>
      </c>
      <c r="G294" s="8">
        <v>10359</v>
      </c>
      <c r="H294" s="8">
        <v>10342</v>
      </c>
      <c r="I294" s="8">
        <v>10339</v>
      </c>
      <c r="J294" s="8">
        <v>10359</v>
      </c>
      <c r="K294" s="8">
        <v>10320</v>
      </c>
      <c r="L294" s="8">
        <v>10180</v>
      </c>
      <c r="M294" s="8"/>
      <c r="N294" s="8"/>
      <c r="O294" s="8"/>
      <c r="P294" s="8"/>
      <c r="Q294" s="9">
        <f ca="1">IFERROR(__xludf.DUMMYFUNCTION("GOOGLEFINANCE(C294,""changepct"")"),-1.16)</f>
        <v>-1.1599999999999999</v>
      </c>
      <c r="R294" s="8"/>
      <c r="S294" s="8"/>
      <c r="T294" s="8"/>
      <c r="U294" s="8"/>
      <c r="V294" s="8"/>
      <c r="W294" s="8"/>
    </row>
    <row r="295" spans="1:23" ht="14.4">
      <c r="A295" s="3">
        <f>LOOKUP(D295,'AMFI DATA_2023H1'!B:C,'AMFI DATA_2023H1'!C:C)</f>
        <v>90</v>
      </c>
      <c r="B295" s="4" t="s">
        <v>309</v>
      </c>
      <c r="C295" s="4" t="s">
        <v>310</v>
      </c>
      <c r="D295" s="5" t="s">
        <v>311</v>
      </c>
      <c r="E295" s="5">
        <f>LOOKUP(D295,'AMFI DATA_2023H1'!B:D,'AMFI DATA_2023H1'!D:D)</f>
        <v>54523.72</v>
      </c>
      <c r="F295" s="7">
        <f t="shared" si="1"/>
        <v>0.47379892641221111</v>
      </c>
      <c r="G295" s="8">
        <v>80357</v>
      </c>
      <c r="H295" s="8">
        <v>79404</v>
      </c>
      <c r="I295" s="8">
        <v>79985</v>
      </c>
      <c r="J295" s="8">
        <v>78443</v>
      </c>
      <c r="K295" s="8">
        <v>77164</v>
      </c>
      <c r="L295" s="8">
        <v>77291</v>
      </c>
      <c r="M295" s="8"/>
      <c r="N295" s="8"/>
      <c r="O295" s="8"/>
      <c r="P295" s="8"/>
      <c r="Q295" s="9">
        <f ca="1">IFERROR(__xludf.DUMMYFUNCTION("GOOGLEFINANCE(C295,""changepct"")"),4.33)</f>
        <v>4.33</v>
      </c>
      <c r="R295" s="8"/>
      <c r="S295" s="8"/>
      <c r="T295" s="8"/>
      <c r="U295" s="8"/>
      <c r="V295" s="8"/>
      <c r="W295" s="8"/>
    </row>
    <row r="296" spans="1:23" ht="14.4">
      <c r="A296" s="3">
        <f>LOOKUP(D296,'AMFI DATA_2023H1'!B:C,'AMFI DATA_2023H1'!C:C)</f>
        <v>858</v>
      </c>
      <c r="B296" s="4" t="s">
        <v>2825</v>
      </c>
      <c r="C296" s="4" t="s">
        <v>2826</v>
      </c>
      <c r="D296" s="5" t="s">
        <v>2827</v>
      </c>
      <c r="E296" s="5">
        <f>LOOKUP(D296,'AMFI DATA_2023H1'!B:D,'AMFI DATA_2023H1'!D:D)</f>
        <v>1683.5</v>
      </c>
      <c r="F296" s="7">
        <f t="shared" si="1"/>
        <v>0.18859518859518865</v>
      </c>
      <c r="G296" s="8">
        <v>2001</v>
      </c>
      <c r="H296" s="8">
        <v>1967</v>
      </c>
      <c r="I296" s="8">
        <v>1916</v>
      </c>
      <c r="J296" s="8">
        <v>1954</v>
      </c>
      <c r="K296" s="8">
        <v>1989</v>
      </c>
      <c r="L296" s="8">
        <v>1976</v>
      </c>
      <c r="M296" s="8"/>
      <c r="N296" s="8"/>
      <c r="O296" s="8"/>
      <c r="P296" s="8"/>
      <c r="Q296" s="9">
        <f ca="1">IFERROR(__xludf.DUMMYFUNCTION("GOOGLEFINANCE(C296,""changepct"")"),0.59)</f>
        <v>0.59</v>
      </c>
      <c r="R296" s="8"/>
      <c r="S296" s="8"/>
      <c r="T296" s="8"/>
      <c r="U296" s="8"/>
      <c r="V296" s="8"/>
      <c r="W296" s="8"/>
    </row>
    <row r="297" spans="1:23" ht="14.4">
      <c r="A297" s="3">
        <f>LOOKUP(D297,'AMFI DATA_2023H1'!B:C,'AMFI DATA_2023H1'!C:C)</f>
        <v>1055</v>
      </c>
      <c r="B297" s="4" t="s">
        <v>2912</v>
      </c>
      <c r="C297" s="4" t="s">
        <v>2913</v>
      </c>
      <c r="D297" s="5" t="s">
        <v>2914</v>
      </c>
      <c r="E297" s="5">
        <f>LOOKUP(D297,'AMFI DATA_2023H1'!B:D,'AMFI DATA_2023H1'!D:D)</f>
        <v>1017.25</v>
      </c>
      <c r="F297" s="7">
        <f t="shared" si="1"/>
        <v>0.88056033423445568</v>
      </c>
      <c r="G297" s="8">
        <v>1913</v>
      </c>
      <c r="H297" s="8">
        <v>1843</v>
      </c>
      <c r="I297" s="8">
        <v>1867</v>
      </c>
      <c r="J297" s="8">
        <v>1904</v>
      </c>
      <c r="K297" s="8">
        <v>1942</v>
      </c>
      <c r="L297" s="8">
        <v>1939</v>
      </c>
      <c r="M297" s="8"/>
      <c r="N297" s="8"/>
      <c r="O297" s="8"/>
      <c r="P297" s="8"/>
      <c r="Q297" s="9">
        <f ca="1">IFERROR(__xludf.DUMMYFUNCTION("GOOGLEFINANCE(C297,""changepct"")"),1.56)</f>
        <v>1.56</v>
      </c>
      <c r="R297" s="8"/>
      <c r="S297" s="8"/>
      <c r="T297" s="8"/>
      <c r="U297" s="8"/>
      <c r="V297" s="8"/>
      <c r="W297" s="8"/>
    </row>
    <row r="298" spans="1:23" ht="14.4">
      <c r="A298" s="3">
        <f>LOOKUP(D298,'AMFI DATA_2023H1'!B:C,'AMFI DATA_2023H1'!C:C)</f>
        <v>2114</v>
      </c>
      <c r="B298" s="4" t="s">
        <v>4883</v>
      </c>
      <c r="C298" s="4" t="s">
        <v>4884</v>
      </c>
      <c r="D298" s="5" t="s">
        <v>4885</v>
      </c>
      <c r="E298" s="5">
        <f>LOOKUP(D298,'AMFI DATA_2023H1'!B:D,'AMFI DATA_2023H1'!D:D)</f>
        <v>118.88</v>
      </c>
      <c r="F298" s="7">
        <f t="shared" si="1"/>
        <v>0.64030955585464344</v>
      </c>
      <c r="G298" s="9">
        <v>195</v>
      </c>
      <c r="H298" s="9">
        <v>176</v>
      </c>
      <c r="I298" s="9">
        <v>179</v>
      </c>
      <c r="J298" s="9">
        <v>185</v>
      </c>
      <c r="K298" s="9">
        <v>183</v>
      </c>
      <c r="L298" s="9">
        <v>185</v>
      </c>
      <c r="M298" s="9"/>
      <c r="N298" s="9"/>
      <c r="O298" s="9"/>
      <c r="P298" s="9"/>
      <c r="Q298" s="9">
        <f ca="1">IFERROR(__xludf.DUMMYFUNCTION("GOOGLEFINANCE(C298,""changepct"")"),-1.94)</f>
        <v>-1.94</v>
      </c>
      <c r="R298" s="9"/>
      <c r="S298" s="9"/>
      <c r="T298" s="9"/>
      <c r="U298" s="9"/>
      <c r="V298" s="9"/>
      <c r="W298" s="9"/>
    </row>
    <row r="299" spans="1:23" ht="14.4">
      <c r="A299" s="3">
        <f>LOOKUP(D299,'AMFI DATA_2023H1'!B:C,'AMFI DATA_2023H1'!C:C)</f>
        <v>497</v>
      </c>
      <c r="B299" s="4" t="s">
        <v>1392</v>
      </c>
      <c r="C299" s="4" t="s">
        <v>1393</v>
      </c>
      <c r="D299" s="5" t="s">
        <v>1394</v>
      </c>
      <c r="E299" s="5">
        <f>LOOKUP(D299,'AMFI DATA_2023H1'!B:D,'AMFI DATA_2023H1'!D:D)</f>
        <v>5291.94</v>
      </c>
      <c r="F299" s="7">
        <f t="shared" si="1"/>
        <v>0.94541132363556679</v>
      </c>
      <c r="G299" s="8">
        <v>10295</v>
      </c>
      <c r="H299" s="8">
        <v>10299</v>
      </c>
      <c r="I299" s="8">
        <v>10431</v>
      </c>
      <c r="J299" s="8">
        <v>10571</v>
      </c>
      <c r="K299" s="8">
        <v>10798</v>
      </c>
      <c r="L299" s="8">
        <v>10676</v>
      </c>
      <c r="M299" s="8"/>
      <c r="N299" s="8"/>
      <c r="O299" s="8"/>
      <c r="P299" s="8"/>
      <c r="Q299" s="9">
        <f ca="1">IFERROR(__xludf.DUMMYFUNCTION("GOOGLEFINANCE(C299,""changepct"")"),-0.8)</f>
        <v>-0.8</v>
      </c>
      <c r="R299" s="8"/>
      <c r="S299" s="8"/>
      <c r="T299" s="8"/>
      <c r="U299" s="8"/>
      <c r="V299" s="8"/>
      <c r="W299" s="8"/>
    </row>
    <row r="300" spans="1:23" ht="14.4">
      <c r="A300" s="3">
        <f>LOOKUP(D300,'AMFI DATA_2023H1'!B:C,'AMFI DATA_2023H1'!C:C)</f>
        <v>285</v>
      </c>
      <c r="B300" s="4" t="s">
        <v>927</v>
      </c>
      <c r="C300" s="4" t="s">
        <v>928</v>
      </c>
      <c r="D300" s="5" t="s">
        <v>929</v>
      </c>
      <c r="E300" s="5">
        <f>LOOKUP(D300,'AMFI DATA_2023H1'!B:D,'AMFI DATA_2023H1'!D:D)</f>
        <v>13752.11</v>
      </c>
      <c r="F300" s="7">
        <f t="shared" si="1"/>
        <v>0.16222165180470483</v>
      </c>
      <c r="G300" s="8">
        <v>15983</v>
      </c>
      <c r="H300" s="8">
        <v>15901</v>
      </c>
      <c r="I300" s="8">
        <v>15928</v>
      </c>
      <c r="J300" s="8">
        <v>15967</v>
      </c>
      <c r="K300" s="8">
        <v>15809</v>
      </c>
      <c r="L300" s="8">
        <v>15884</v>
      </c>
      <c r="M300" s="8"/>
      <c r="N300" s="8"/>
      <c r="O300" s="8"/>
      <c r="P300" s="8"/>
      <c r="Q300" s="9">
        <f ca="1">IFERROR(__xludf.DUMMYFUNCTION("GOOGLEFINANCE(C300,""changepct"")"),2.32)</f>
        <v>2.3199999999999998</v>
      </c>
      <c r="R300" s="8"/>
      <c r="S300" s="8"/>
      <c r="T300" s="8"/>
      <c r="U300" s="8"/>
      <c r="V300" s="8"/>
      <c r="W300" s="8"/>
    </row>
    <row r="301" spans="1:23" ht="14.4">
      <c r="A301" s="3">
        <f>LOOKUP(D301,'AMFI DATA_2023H1'!B:C,'AMFI DATA_2023H1'!C:C)</f>
        <v>224</v>
      </c>
      <c r="B301" s="4" t="s">
        <v>762</v>
      </c>
      <c r="C301" s="4" t="s">
        <v>763</v>
      </c>
      <c r="D301" s="5" t="s">
        <v>764</v>
      </c>
      <c r="E301" s="5">
        <f>LOOKUP(D301,'AMFI DATA_2023H1'!B:D,'AMFI DATA_2023H1'!D:D)</f>
        <v>19804.919999999998</v>
      </c>
      <c r="F301" s="7">
        <f t="shared" si="1"/>
        <v>7.1602409906225351E-2</v>
      </c>
      <c r="G301" s="8">
        <v>21223</v>
      </c>
      <c r="H301" s="8">
        <v>21159</v>
      </c>
      <c r="I301" s="8">
        <v>20842</v>
      </c>
      <c r="J301" s="8">
        <v>21094</v>
      </c>
      <c r="K301" s="8">
        <v>20969</v>
      </c>
      <c r="L301" s="8">
        <v>20793</v>
      </c>
      <c r="M301" s="8"/>
      <c r="N301" s="8"/>
      <c r="O301" s="8"/>
      <c r="P301" s="8"/>
      <c r="Q301" s="9">
        <f ca="1">IFERROR(__xludf.DUMMYFUNCTION("GOOGLEFINANCE(C301,""changepct"")"),0.02)</f>
        <v>0.02</v>
      </c>
      <c r="R301" s="8"/>
      <c r="S301" s="8"/>
      <c r="T301" s="8"/>
      <c r="U301" s="8"/>
      <c r="V301" s="8"/>
      <c r="W301" s="8"/>
    </row>
    <row r="302" spans="1:23" ht="14.4">
      <c r="A302" s="3">
        <f>LOOKUP(D302,'AMFI DATA_2023H1'!B:C,'AMFI DATA_2023H1'!C:C)</f>
        <v>798</v>
      </c>
      <c r="B302" s="4" t="s">
        <v>2468</v>
      </c>
      <c r="C302" s="4" t="s">
        <v>2469</v>
      </c>
      <c r="D302" s="5" t="s">
        <v>2470</v>
      </c>
      <c r="E302" s="5">
        <f>LOOKUP(D302,'AMFI DATA_2023H1'!B:D,'AMFI DATA_2023H1'!D:D)</f>
        <v>1936.64</v>
      </c>
      <c r="F302" s="7">
        <f t="shared" si="1"/>
        <v>0.43754130865829466</v>
      </c>
      <c r="G302" s="8">
        <v>2784</v>
      </c>
      <c r="H302" s="8">
        <v>2833</v>
      </c>
      <c r="I302" s="8">
        <v>2860</v>
      </c>
      <c r="J302" s="8">
        <v>2864</v>
      </c>
      <c r="K302" s="8">
        <v>2803</v>
      </c>
      <c r="L302" s="8">
        <v>2791</v>
      </c>
      <c r="M302" s="8"/>
      <c r="N302" s="8"/>
      <c r="O302" s="8"/>
      <c r="P302" s="8"/>
      <c r="Q302" s="9">
        <f ca="1">IFERROR(__xludf.DUMMYFUNCTION("GOOGLEFINANCE(C302,""changepct"")"),3.21)</f>
        <v>3.21</v>
      </c>
      <c r="R302" s="8"/>
      <c r="S302" s="8"/>
      <c r="T302" s="8"/>
      <c r="U302" s="8"/>
      <c r="V302" s="8"/>
      <c r="W302" s="8"/>
    </row>
    <row r="303" spans="1:23" ht="14.4">
      <c r="A303" s="3">
        <f>LOOKUP(D303,'AMFI DATA_2023H1'!B:C,'AMFI DATA_2023H1'!C:C)</f>
        <v>1510</v>
      </c>
      <c r="B303" s="4" t="s">
        <v>4232</v>
      </c>
      <c r="C303" s="4" t="s">
        <v>4233</v>
      </c>
      <c r="D303" s="5" t="s">
        <v>4234</v>
      </c>
      <c r="E303" s="5">
        <f>LOOKUP(D303,'AMFI DATA_2023H1'!B:D,'AMFI DATA_2023H1'!D:D)</f>
        <v>338.75</v>
      </c>
      <c r="F303" s="7">
        <f t="shared" si="1"/>
        <v>1.8450184501844991E-2</v>
      </c>
      <c r="G303" s="9">
        <v>345</v>
      </c>
      <c r="H303" s="9">
        <v>343</v>
      </c>
      <c r="I303" s="9">
        <v>351</v>
      </c>
      <c r="J303" s="9">
        <v>352</v>
      </c>
      <c r="K303" s="9">
        <v>359</v>
      </c>
      <c r="L303" s="9">
        <v>359</v>
      </c>
      <c r="M303" s="9"/>
      <c r="N303" s="9"/>
      <c r="O303" s="9"/>
      <c r="P303" s="9"/>
      <c r="Q303" s="9">
        <f ca="1">IFERROR(__xludf.DUMMYFUNCTION("GOOGLEFINANCE(C303,""changepct"")"),7.28)</f>
        <v>7.28</v>
      </c>
      <c r="R303" s="9"/>
      <c r="S303" s="9"/>
      <c r="T303" s="9"/>
      <c r="U303" s="9"/>
      <c r="V303" s="9"/>
      <c r="W303" s="9"/>
    </row>
    <row r="304" spans="1:23" ht="14.4">
      <c r="A304" s="3">
        <f>LOOKUP(D304,'AMFI DATA_2023H1'!B:C,'AMFI DATA_2023H1'!C:C)</f>
        <v>760</v>
      </c>
      <c r="B304" s="4" t="s">
        <v>2309</v>
      </c>
      <c r="C304" s="4" t="s">
        <v>2310</v>
      </c>
      <c r="D304" s="5" t="s">
        <v>2311</v>
      </c>
      <c r="E304" s="5">
        <f>LOOKUP(D304,'AMFI DATA_2023H1'!B:D,'AMFI DATA_2023H1'!D:D)</f>
        <v>2124.2800000000002</v>
      </c>
      <c r="F304" s="7">
        <f t="shared" si="1"/>
        <v>0.5901858512060556</v>
      </c>
      <c r="G304" s="8">
        <v>3378</v>
      </c>
      <c r="H304" s="8">
        <v>3344</v>
      </c>
      <c r="I304" s="8">
        <v>3330</v>
      </c>
      <c r="J304" s="8">
        <v>3401</v>
      </c>
      <c r="K304" s="8">
        <v>3422</v>
      </c>
      <c r="L304" s="8">
        <v>3437</v>
      </c>
      <c r="M304" s="8"/>
      <c r="N304" s="8"/>
      <c r="O304" s="8"/>
      <c r="P304" s="8"/>
      <c r="Q304" s="9">
        <f ca="1">IFERROR(__xludf.DUMMYFUNCTION("GOOGLEFINANCE(C304,""changepct"")"),-1.61)</f>
        <v>-1.61</v>
      </c>
      <c r="R304" s="8"/>
      <c r="S304" s="8"/>
      <c r="T304" s="8"/>
      <c r="U304" s="8"/>
      <c r="V304" s="8"/>
      <c r="W304" s="8"/>
    </row>
    <row r="305" spans="1:23" ht="14.4">
      <c r="A305" s="3">
        <f>LOOKUP(D305,'AMFI DATA_2023H1'!B:C,'AMFI DATA_2023H1'!C:C)</f>
        <v>899</v>
      </c>
      <c r="B305" s="4" t="s">
        <v>2744</v>
      </c>
      <c r="C305" s="4" t="s">
        <v>2745</v>
      </c>
      <c r="D305" s="5" t="s">
        <v>2746</v>
      </c>
      <c r="E305" s="5">
        <f>LOOKUP(D305,'AMFI DATA_2023H1'!B:D,'AMFI DATA_2023H1'!D:D)</f>
        <v>1472.44</v>
      </c>
      <c r="F305" s="7">
        <f t="shared" si="1"/>
        <v>0.49479775067235332</v>
      </c>
      <c r="G305" s="8">
        <v>2201</v>
      </c>
      <c r="H305" s="8">
        <v>2211</v>
      </c>
      <c r="I305" s="8">
        <v>2238</v>
      </c>
      <c r="J305" s="8">
        <v>2293</v>
      </c>
      <c r="K305" s="8">
        <v>2337</v>
      </c>
      <c r="L305" s="8">
        <v>2306</v>
      </c>
      <c r="M305" s="8"/>
      <c r="N305" s="8"/>
      <c r="O305" s="8"/>
      <c r="P305" s="8"/>
      <c r="Q305" s="9">
        <f ca="1">IFERROR(__xludf.DUMMYFUNCTION("GOOGLEFINANCE(C305,""changepct"")"),0.97)</f>
        <v>0.97</v>
      </c>
      <c r="R305" s="8"/>
      <c r="S305" s="8"/>
      <c r="T305" s="8"/>
      <c r="U305" s="8"/>
      <c r="V305" s="8"/>
      <c r="W305" s="8"/>
    </row>
    <row r="306" spans="1:23" ht="14.4">
      <c r="A306" s="3">
        <f>LOOKUP(D306,'AMFI DATA_2023H1'!B:C,'AMFI DATA_2023H1'!C:C)</f>
        <v>314</v>
      </c>
      <c r="B306" s="4" t="s">
        <v>999</v>
      </c>
      <c r="C306" s="4" t="s">
        <v>1000</v>
      </c>
      <c r="D306" s="5" t="s">
        <v>1001</v>
      </c>
      <c r="E306" s="5">
        <f>LOOKUP(D306,'AMFI DATA_2023H1'!B:D,'AMFI DATA_2023H1'!D:D)</f>
        <v>11585.75</v>
      </c>
      <c r="F306" s="7">
        <f t="shared" si="1"/>
        <v>0.63321321450920309</v>
      </c>
      <c r="G306" s="8">
        <v>18922</v>
      </c>
      <c r="H306" s="8">
        <v>17784</v>
      </c>
      <c r="I306" s="8">
        <v>17799</v>
      </c>
      <c r="J306" s="8">
        <v>17532</v>
      </c>
      <c r="K306" s="8">
        <v>18056</v>
      </c>
      <c r="L306" s="8">
        <v>16078</v>
      </c>
      <c r="M306" s="8"/>
      <c r="N306" s="8"/>
      <c r="O306" s="8"/>
      <c r="P306" s="8"/>
      <c r="Q306" s="9">
        <f ca="1">IFERROR(__xludf.DUMMYFUNCTION("GOOGLEFINANCE(C306,""changepct"")"),0.59)</f>
        <v>0.59</v>
      </c>
      <c r="R306" s="8"/>
      <c r="S306" s="8"/>
      <c r="T306" s="8"/>
      <c r="U306" s="8"/>
      <c r="V306" s="8"/>
      <c r="W306" s="8"/>
    </row>
    <row r="307" spans="1:23" ht="14.4">
      <c r="A307" s="3">
        <f>LOOKUP(D307,'AMFI DATA_2023H1'!B:C,'AMFI DATA_2023H1'!C:C)</f>
        <v>401</v>
      </c>
      <c r="B307" s="4" t="s">
        <v>1362</v>
      </c>
      <c r="C307" s="4" t="s">
        <v>1363</v>
      </c>
      <c r="D307" s="5" t="s">
        <v>1364</v>
      </c>
      <c r="E307" s="5">
        <f>LOOKUP(D307,'AMFI DATA_2023H1'!B:D,'AMFI DATA_2023H1'!D:D)</f>
        <v>7661.19</v>
      </c>
      <c r="F307" s="7">
        <f t="shared" si="1"/>
        <v>9.9959666840268913E-2</v>
      </c>
      <c r="G307" s="8">
        <v>8427</v>
      </c>
      <c r="H307" s="8">
        <v>8553</v>
      </c>
      <c r="I307" s="8">
        <v>8331</v>
      </c>
      <c r="J307" s="8">
        <v>8451</v>
      </c>
      <c r="K307" s="8">
        <v>8512</v>
      </c>
      <c r="L307" s="8">
        <v>8389</v>
      </c>
      <c r="M307" s="8"/>
      <c r="N307" s="8"/>
      <c r="O307" s="8"/>
      <c r="P307" s="8"/>
      <c r="Q307" s="9">
        <f ca="1">IFERROR(__xludf.DUMMYFUNCTION("GOOGLEFINANCE(C307,""changepct"")"),-0.37)</f>
        <v>-0.37</v>
      </c>
      <c r="R307" s="8"/>
      <c r="S307" s="8"/>
      <c r="T307" s="8"/>
      <c r="U307" s="8"/>
      <c r="V307" s="8"/>
      <c r="W307" s="8"/>
    </row>
    <row r="308" spans="1:23" ht="14.4">
      <c r="A308" s="3">
        <f>LOOKUP(D308,'AMFI DATA_2023H1'!B:C,'AMFI DATA_2023H1'!C:C)</f>
        <v>431</v>
      </c>
      <c r="B308" s="4" t="s">
        <v>1314</v>
      </c>
      <c r="C308" s="4" t="s">
        <v>1315</v>
      </c>
      <c r="D308" s="5" t="s">
        <v>1316</v>
      </c>
      <c r="E308" s="5">
        <f>LOOKUP(D308,'AMFI DATA_2023H1'!B:D,'AMFI DATA_2023H1'!D:D)</f>
        <v>6670.58</v>
      </c>
      <c r="F308" s="7">
        <f t="shared" si="1"/>
        <v>0.47423462427555019</v>
      </c>
      <c r="G308" s="8">
        <v>9834</v>
      </c>
      <c r="H308" s="8">
        <v>9789</v>
      </c>
      <c r="I308" s="8">
        <v>9659</v>
      </c>
      <c r="J308" s="8">
        <v>9678</v>
      </c>
      <c r="K308" s="8">
        <v>9666</v>
      </c>
      <c r="L308" s="8">
        <v>9708</v>
      </c>
      <c r="M308" s="8"/>
      <c r="N308" s="8"/>
      <c r="O308" s="8"/>
      <c r="P308" s="8"/>
      <c r="Q308" s="9">
        <f ca="1">IFERROR(__xludf.DUMMYFUNCTION("GOOGLEFINANCE(C308,""changepct"")"),14.58)</f>
        <v>14.58</v>
      </c>
      <c r="R308" s="8"/>
      <c r="S308" s="8"/>
      <c r="T308" s="8"/>
      <c r="U308" s="8"/>
      <c r="V308" s="8"/>
      <c r="W308" s="8"/>
    </row>
    <row r="309" spans="1:23" ht="14.4">
      <c r="A309" s="3">
        <f>LOOKUP(D309,'AMFI DATA_2023H1'!B:C,'AMFI DATA_2023H1'!C:C)</f>
        <v>2363</v>
      </c>
      <c r="B309" s="4" t="s">
        <v>5248</v>
      </c>
      <c r="C309" s="4" t="s">
        <v>5249</v>
      </c>
      <c r="D309" s="5" t="s">
        <v>5250</v>
      </c>
      <c r="E309" s="5">
        <f>LOOKUP(D309,'AMFI DATA_2023H1'!B:D,'AMFI DATA_2023H1'!D:D)</f>
        <v>77.19</v>
      </c>
      <c r="F309" s="7">
        <f t="shared" si="1"/>
        <v>0.21518331390076439</v>
      </c>
      <c r="G309" s="9">
        <v>93.8</v>
      </c>
      <c r="H309" s="9">
        <v>92.4</v>
      </c>
      <c r="I309" s="9">
        <v>93.5</v>
      </c>
      <c r="J309" s="9">
        <v>95.1</v>
      </c>
      <c r="K309" s="9">
        <v>92.9</v>
      </c>
      <c r="L309" s="9">
        <v>92.4</v>
      </c>
      <c r="M309" s="9"/>
      <c r="N309" s="9"/>
      <c r="O309" s="9"/>
      <c r="P309" s="9"/>
      <c r="Q309" s="9">
        <f ca="1">IFERROR(__xludf.DUMMYFUNCTION("GOOGLEFINANCE(C309,""changepct"")"),-0.84)</f>
        <v>-0.84</v>
      </c>
      <c r="R309" s="9"/>
      <c r="S309" s="9"/>
      <c r="T309" s="9"/>
      <c r="U309" s="9"/>
      <c r="V309" s="9"/>
      <c r="W309" s="9"/>
    </row>
    <row r="310" spans="1:23" ht="14.4">
      <c r="A310" s="3">
        <f>LOOKUP(D310,'AMFI DATA_2023H1'!B:C,'AMFI DATA_2023H1'!C:C)</f>
        <v>2363</v>
      </c>
      <c r="B310" s="4" t="s">
        <v>903</v>
      </c>
      <c r="C310" s="4" t="s">
        <v>904</v>
      </c>
      <c r="D310" s="5" t="s">
        <v>905</v>
      </c>
      <c r="E310" s="5">
        <f>LOOKUP(D310,'AMFI DATA_2023H1'!B:D,'AMFI DATA_2023H1'!D:D)</f>
        <v>77.19</v>
      </c>
      <c r="F310" s="7">
        <f t="shared" si="1"/>
        <v>217.68117631817594</v>
      </c>
      <c r="G310" s="8">
        <v>16880</v>
      </c>
      <c r="H310" s="8">
        <v>16713</v>
      </c>
      <c r="I310" s="8">
        <v>16860</v>
      </c>
      <c r="J310" s="8">
        <v>16532</v>
      </c>
      <c r="K310" s="8">
        <v>16272</v>
      </c>
      <c r="L310" s="8">
        <v>16325</v>
      </c>
      <c r="M310" s="8"/>
      <c r="N310" s="8"/>
      <c r="O310" s="8"/>
      <c r="P310" s="8"/>
      <c r="Q310" s="9">
        <f ca="1">IFERROR(__xludf.DUMMYFUNCTION("GOOGLEFINANCE(C310,""changepct"")"),0.57)</f>
        <v>0.56999999999999995</v>
      </c>
      <c r="R310" s="8"/>
      <c r="S310" s="8"/>
      <c r="T310" s="8"/>
      <c r="U310" s="8"/>
      <c r="V310" s="8"/>
      <c r="W310" s="8"/>
    </row>
    <row r="311" spans="1:23" ht="14.4">
      <c r="A311" s="3">
        <f>LOOKUP(D311,'AMFI DATA_2023H1'!B:C,'AMFI DATA_2023H1'!C:C)</f>
        <v>200</v>
      </c>
      <c r="B311" s="4" t="s">
        <v>522</v>
      </c>
      <c r="C311" s="4" t="s">
        <v>523</v>
      </c>
      <c r="D311" s="5" t="s">
        <v>524</v>
      </c>
      <c r="E311" s="5">
        <f>LOOKUP(D311,'AMFI DATA_2023H1'!B:D,'AMFI DATA_2023H1'!D:D)</f>
        <v>23809.93</v>
      </c>
      <c r="F311" s="7">
        <f t="shared" si="1"/>
        <v>0.83864463272256584</v>
      </c>
      <c r="G311" s="8">
        <v>43778</v>
      </c>
      <c r="H311" s="8">
        <v>43465</v>
      </c>
      <c r="I311" s="8">
        <v>43570</v>
      </c>
      <c r="J311" s="8">
        <v>42580</v>
      </c>
      <c r="K311" s="8">
        <v>42337</v>
      </c>
      <c r="L311" s="8">
        <v>42276</v>
      </c>
      <c r="M311" s="8"/>
      <c r="N311" s="8"/>
      <c r="O311" s="8"/>
      <c r="P311" s="8"/>
      <c r="Q311" s="9">
        <f ca="1">IFERROR(__xludf.DUMMYFUNCTION("GOOGLEFINANCE(C311,""changepct"")"),6.25)</f>
        <v>6.25</v>
      </c>
      <c r="R311" s="8"/>
      <c r="S311" s="8"/>
      <c r="T311" s="8"/>
      <c r="U311" s="8"/>
      <c r="V311" s="8"/>
      <c r="W311" s="8"/>
    </row>
    <row r="312" spans="1:23" ht="14.4">
      <c r="A312" s="3">
        <f>LOOKUP(D312,'AMFI DATA_2023H1'!B:C,'AMFI DATA_2023H1'!C:C)</f>
        <v>335</v>
      </c>
      <c r="B312" s="4" t="s">
        <v>948</v>
      </c>
      <c r="C312" s="4" t="s">
        <v>949</v>
      </c>
      <c r="D312" s="5" t="s">
        <v>950</v>
      </c>
      <c r="E312" s="5">
        <f>LOOKUP(D312,'AMFI DATA_2023H1'!B:D,'AMFI DATA_2023H1'!D:D)</f>
        <v>10580.2</v>
      </c>
      <c r="F312" s="7">
        <f t="shared" si="1"/>
        <v>0.79599629496606861</v>
      </c>
      <c r="G312" s="8">
        <v>19002</v>
      </c>
      <c r="H312" s="8">
        <v>19065</v>
      </c>
      <c r="I312" s="8">
        <v>19163</v>
      </c>
      <c r="J312" s="8">
        <v>19385</v>
      </c>
      <c r="K312" s="8">
        <v>19343</v>
      </c>
      <c r="L312" s="8">
        <v>19196</v>
      </c>
      <c r="M312" s="8"/>
      <c r="N312" s="8"/>
      <c r="O312" s="8"/>
      <c r="P312" s="8"/>
      <c r="Q312" s="9">
        <f ca="1">IFERROR(__xludf.DUMMYFUNCTION("GOOGLEFINANCE(C312,""changepct"")"),-0.86)</f>
        <v>-0.86</v>
      </c>
      <c r="R312" s="8"/>
      <c r="S312" s="8"/>
      <c r="T312" s="8"/>
      <c r="U312" s="8"/>
      <c r="V312" s="8"/>
      <c r="W312" s="8"/>
    </row>
    <row r="313" spans="1:23" ht="14.4">
      <c r="A313" s="3">
        <f>LOOKUP(D313,'AMFI DATA_2023H1'!B:C,'AMFI DATA_2023H1'!C:C)</f>
        <v>1111</v>
      </c>
      <c r="B313" s="4" t="s">
        <v>3341</v>
      </c>
      <c r="C313" s="4" t="s">
        <v>3342</v>
      </c>
      <c r="D313" s="5" t="s">
        <v>3343</v>
      </c>
      <c r="E313" s="5">
        <f>LOOKUP(D313,'AMFI DATA_2023H1'!B:D,'AMFI DATA_2023H1'!D:D)</f>
        <v>854.19</v>
      </c>
      <c r="F313" s="7">
        <f t="shared" si="1"/>
        <v>0.42357086830798751</v>
      </c>
      <c r="G313" s="8">
        <v>1216</v>
      </c>
      <c r="H313" s="8">
        <v>1175</v>
      </c>
      <c r="I313" s="8">
        <v>1196</v>
      </c>
      <c r="J313" s="8">
        <v>1194</v>
      </c>
      <c r="K313" s="8">
        <v>1202</v>
      </c>
      <c r="L313" s="8">
        <v>1200</v>
      </c>
      <c r="M313" s="8"/>
      <c r="N313" s="8"/>
      <c r="O313" s="8"/>
      <c r="P313" s="8"/>
      <c r="Q313" s="9">
        <f ca="1">IFERROR(__xludf.DUMMYFUNCTION("GOOGLEFINANCE(C313,""changepct"")"),2.77)</f>
        <v>2.77</v>
      </c>
      <c r="R313" s="8"/>
      <c r="S313" s="8"/>
      <c r="T313" s="8"/>
      <c r="U313" s="8"/>
      <c r="V313" s="8"/>
      <c r="W313" s="8"/>
    </row>
    <row r="314" spans="1:23" ht="14.4">
      <c r="A314" s="3">
        <f>LOOKUP(D314,'AMFI DATA_2023H1'!B:C,'AMFI DATA_2023H1'!C:C)</f>
        <v>1058</v>
      </c>
      <c r="B314" s="4" t="s">
        <v>2783</v>
      </c>
      <c r="C314" s="4" t="s">
        <v>2784</v>
      </c>
      <c r="D314" s="5" t="s">
        <v>2785</v>
      </c>
      <c r="E314" s="5">
        <f>LOOKUP(D314,'AMFI DATA_2023H1'!B:D,'AMFI DATA_2023H1'!D:D)</f>
        <v>1006.65</v>
      </c>
      <c r="F314" s="7">
        <f t="shared" si="1"/>
        <v>0.87652113445586854</v>
      </c>
      <c r="G314" s="8">
        <v>1889</v>
      </c>
      <c r="H314" s="8">
        <v>1738</v>
      </c>
      <c r="I314" s="8">
        <v>1772</v>
      </c>
      <c r="J314" s="8">
        <v>1755</v>
      </c>
      <c r="K314" s="8">
        <v>1765</v>
      </c>
      <c r="L314" s="8">
        <v>1771</v>
      </c>
      <c r="M314" s="8"/>
      <c r="N314" s="8"/>
      <c r="O314" s="8"/>
      <c r="P314" s="8"/>
      <c r="Q314" s="9">
        <f ca="1">IFERROR(__xludf.DUMMYFUNCTION("GOOGLEFINANCE(C314,""changepct"")"),1.64)</f>
        <v>1.64</v>
      </c>
      <c r="R314" s="8"/>
      <c r="S314" s="8"/>
      <c r="T314" s="8"/>
      <c r="U314" s="8"/>
      <c r="V314" s="8"/>
      <c r="W314" s="8"/>
    </row>
    <row r="315" spans="1:23" ht="14.4">
      <c r="A315" s="3">
        <f>LOOKUP(D315,'AMFI DATA_2023H1'!B:C,'AMFI DATA_2023H1'!C:C)</f>
        <v>1110</v>
      </c>
      <c r="B315" s="4" t="s">
        <v>3434</v>
      </c>
      <c r="C315" s="4" t="s">
        <v>3435</v>
      </c>
      <c r="D315" s="5" t="s">
        <v>3436</v>
      </c>
      <c r="E315" s="5">
        <f>LOOKUP(D315,'AMFI DATA_2023H1'!B:D,'AMFI DATA_2023H1'!D:D)</f>
        <v>854.24</v>
      </c>
      <c r="F315" s="7">
        <f t="shared" si="1"/>
        <v>0.12263532496722229</v>
      </c>
      <c r="G315" s="9">
        <v>959</v>
      </c>
      <c r="H315" s="9">
        <v>949</v>
      </c>
      <c r="I315" s="9">
        <v>951</v>
      </c>
      <c r="J315" s="9">
        <v>949</v>
      </c>
      <c r="K315" s="9">
        <v>941</v>
      </c>
      <c r="L315" s="9">
        <v>942</v>
      </c>
      <c r="M315" s="9"/>
      <c r="N315" s="9"/>
      <c r="O315" s="9"/>
      <c r="P315" s="9"/>
      <c r="Q315" s="9">
        <f ca="1">IFERROR(__xludf.DUMMYFUNCTION("GOOGLEFINANCE(C315,""changepct"")"),1.6)</f>
        <v>1.6</v>
      </c>
      <c r="R315" s="9"/>
      <c r="S315" s="9"/>
      <c r="T315" s="9"/>
      <c r="U315" s="9"/>
      <c r="V315" s="9"/>
      <c r="W315" s="9"/>
    </row>
    <row r="316" spans="1:23" ht="14.4">
      <c r="A316" s="3">
        <f>LOOKUP(D316,'AMFI DATA_2023H1'!B:C,'AMFI DATA_2023H1'!C:C)</f>
        <v>2370</v>
      </c>
      <c r="B316" s="4" t="s">
        <v>5084</v>
      </c>
      <c r="C316" s="4" t="s">
        <v>5085</v>
      </c>
      <c r="D316" s="5" t="s">
        <v>5086</v>
      </c>
      <c r="E316" s="5">
        <f>LOOKUP(D316,'AMFI DATA_2023H1'!B:D,'AMFI DATA_2023H1'!D:D)</f>
        <v>76.75</v>
      </c>
      <c r="F316" s="7">
        <f t="shared" si="1"/>
        <v>1.006514657980456</v>
      </c>
      <c r="G316" s="9">
        <v>154</v>
      </c>
      <c r="H316" s="9">
        <v>151</v>
      </c>
      <c r="I316" s="9">
        <v>152</v>
      </c>
      <c r="J316" s="9">
        <v>155</v>
      </c>
      <c r="K316" s="9">
        <v>159</v>
      </c>
      <c r="L316" s="9">
        <v>149</v>
      </c>
      <c r="M316" s="9"/>
      <c r="N316" s="9"/>
      <c r="O316" s="9"/>
      <c r="P316" s="9"/>
      <c r="Q316" s="9">
        <f ca="1">IFERROR(__xludf.DUMMYFUNCTION("GOOGLEFINANCE(C316,""changepct"")"),10.12)</f>
        <v>10.119999999999999</v>
      </c>
      <c r="R316" s="9"/>
      <c r="S316" s="9"/>
      <c r="T316" s="9"/>
      <c r="U316" s="9"/>
      <c r="V316" s="9"/>
      <c r="W316" s="9"/>
    </row>
    <row r="317" spans="1:23" ht="14.4">
      <c r="A317" s="3">
        <f>LOOKUP(D317,'AMFI DATA_2023H1'!B:C,'AMFI DATA_2023H1'!C:C)</f>
        <v>310</v>
      </c>
      <c r="B317" s="4" t="s">
        <v>954</v>
      </c>
      <c r="C317" s="4" t="s">
        <v>955</v>
      </c>
      <c r="D317" s="5" t="s">
        <v>956</v>
      </c>
      <c r="E317" s="5">
        <f>LOOKUP(D317,'AMFI DATA_2023H1'!B:D,'AMFI DATA_2023H1'!D:D)</f>
        <v>11763.72</v>
      </c>
      <c r="F317" s="7">
        <f t="shared" si="1"/>
        <v>0.50785635836283083</v>
      </c>
      <c r="G317" s="8">
        <v>17738</v>
      </c>
      <c r="H317" s="8">
        <v>17151</v>
      </c>
      <c r="I317" s="8">
        <v>17103</v>
      </c>
      <c r="J317" s="8">
        <v>17603</v>
      </c>
      <c r="K317" s="8">
        <v>17747</v>
      </c>
      <c r="L317" s="8">
        <v>17766</v>
      </c>
      <c r="M317" s="8"/>
      <c r="N317" s="8"/>
      <c r="O317" s="8"/>
      <c r="P317" s="8"/>
      <c r="Q317" s="9">
        <f ca="1">IFERROR(__xludf.DUMMYFUNCTION("GOOGLEFINANCE(C317,""changepct"")"),0.6)</f>
        <v>0.6</v>
      </c>
      <c r="R317" s="8"/>
      <c r="S317" s="8"/>
      <c r="T317" s="8"/>
      <c r="U317" s="8"/>
      <c r="V317" s="8"/>
      <c r="W317" s="8"/>
    </row>
    <row r="318" spans="1:23" ht="14.4">
      <c r="A318" s="3">
        <f>LOOKUP(D318,'AMFI DATA_2023H1'!B:C,'AMFI DATA_2023H1'!C:C)</f>
        <v>395</v>
      </c>
      <c r="B318" s="4" t="s">
        <v>1071</v>
      </c>
      <c r="C318" s="4" t="s">
        <v>1072</v>
      </c>
      <c r="D318" s="5" t="s">
        <v>1073</v>
      </c>
      <c r="E318" s="5">
        <f>LOOKUP(D318,'AMFI DATA_2023H1'!B:D,'AMFI DATA_2023H1'!D:D)</f>
        <v>7901.76</v>
      </c>
      <c r="F318" s="7">
        <f t="shared" si="1"/>
        <v>0.80529401044830506</v>
      </c>
      <c r="G318" s="8">
        <v>14265</v>
      </c>
      <c r="H318" s="8">
        <v>13655</v>
      </c>
      <c r="I318" s="8">
        <v>13650</v>
      </c>
      <c r="J318" s="8">
        <v>13747</v>
      </c>
      <c r="K318" s="8">
        <v>13639</v>
      </c>
      <c r="L318" s="8">
        <v>13732</v>
      </c>
      <c r="M318" s="8"/>
      <c r="N318" s="8"/>
      <c r="O318" s="8"/>
      <c r="P318" s="8"/>
      <c r="Q318" s="9">
        <f ca="1">IFERROR(__xludf.DUMMYFUNCTION("GOOGLEFINANCE(C318,""changepct"")"),0.36)</f>
        <v>0.36</v>
      </c>
      <c r="R318" s="8"/>
      <c r="S318" s="8"/>
      <c r="T318" s="8"/>
      <c r="U318" s="8"/>
      <c r="V318" s="8"/>
      <c r="W318" s="8"/>
    </row>
    <row r="319" spans="1:23" ht="14.4">
      <c r="A319" s="3">
        <f>LOOKUP(D319,'AMFI DATA_2023H1'!B:C,'AMFI DATA_2023H1'!C:C)</f>
        <v>379</v>
      </c>
      <c r="B319" s="4" t="s">
        <v>1158</v>
      </c>
      <c r="C319" s="4" t="s">
        <v>1159</v>
      </c>
      <c r="D319" s="5" t="s">
        <v>1160</v>
      </c>
      <c r="E319" s="5">
        <f>LOOKUP(D319,'AMFI DATA_2023H1'!B:D,'AMFI DATA_2023H1'!D:D)</f>
        <v>8445.43</v>
      </c>
      <c r="F319" s="7">
        <f t="shared" si="1"/>
        <v>0.21663432175744757</v>
      </c>
      <c r="G319" s="8">
        <v>10275</v>
      </c>
      <c r="H319" s="8">
        <v>10194</v>
      </c>
      <c r="I319" s="8">
        <v>10299</v>
      </c>
      <c r="J319" s="8">
        <v>10412</v>
      </c>
      <c r="K319" s="8">
        <v>10527</v>
      </c>
      <c r="L319" s="8">
        <v>10543</v>
      </c>
      <c r="M319" s="8"/>
      <c r="N319" s="8"/>
      <c r="O319" s="8"/>
      <c r="P319" s="8"/>
      <c r="Q319" s="9">
        <f ca="1">IFERROR(__xludf.DUMMYFUNCTION("GOOGLEFINANCE(C319,""changepct"")"),2.59)</f>
        <v>2.59</v>
      </c>
      <c r="R319" s="8"/>
      <c r="S319" s="8"/>
      <c r="T319" s="8"/>
      <c r="U319" s="8"/>
      <c r="V319" s="8"/>
      <c r="W319" s="8"/>
    </row>
    <row r="320" spans="1:23" ht="14.4">
      <c r="A320" s="3">
        <f>LOOKUP(D320,'AMFI DATA_2023H1'!B:C,'AMFI DATA_2023H1'!C:C)</f>
        <v>2186</v>
      </c>
      <c r="B320" s="4" t="s">
        <v>5338</v>
      </c>
      <c r="C320" s="4" t="s">
        <v>5339</v>
      </c>
      <c r="D320" s="5" t="s">
        <v>5340</v>
      </c>
      <c r="E320" s="5">
        <f>LOOKUP(D320,'AMFI DATA_2023H1'!B:D,'AMFI DATA_2023H1'!D:D)</f>
        <v>105.96</v>
      </c>
      <c r="F320" s="7">
        <f t="shared" si="1"/>
        <v>-0.16006040015100031</v>
      </c>
      <c r="G320" s="9">
        <v>89</v>
      </c>
      <c r="H320" s="9">
        <v>89.2</v>
      </c>
      <c r="I320" s="9">
        <v>92.2</v>
      </c>
      <c r="J320" s="9">
        <v>89.4</v>
      </c>
      <c r="K320" s="9">
        <v>86.1</v>
      </c>
      <c r="L320" s="9">
        <v>81.8</v>
      </c>
      <c r="M320" s="9"/>
      <c r="N320" s="9"/>
      <c r="O320" s="9"/>
      <c r="P320" s="9"/>
      <c r="Q320" s="9">
        <f ca="1">IFERROR(__xludf.DUMMYFUNCTION("GOOGLEFINANCE(C320,""changepct"")"),9.7)</f>
        <v>9.6999999999999993</v>
      </c>
      <c r="R320" s="9"/>
      <c r="S320" s="9"/>
      <c r="T320" s="9"/>
      <c r="U320" s="9"/>
      <c r="V320" s="9"/>
      <c r="W320" s="9"/>
    </row>
    <row r="321" spans="1:23" ht="14.4">
      <c r="A321" s="3">
        <f>LOOKUP(D321,'AMFI DATA_2023H1'!B:C,'AMFI DATA_2023H1'!C:C)</f>
        <v>364</v>
      </c>
      <c r="B321" s="4" t="s">
        <v>1095</v>
      </c>
      <c r="C321" s="4" t="s">
        <v>1096</v>
      </c>
      <c r="D321" s="5" t="s">
        <v>1097</v>
      </c>
      <c r="E321" s="5">
        <f>LOOKUP(D321,'AMFI DATA_2023H1'!B:D,'AMFI DATA_2023H1'!D:D)</f>
        <v>9193.07</v>
      </c>
      <c r="F321" s="7">
        <f t="shared" si="1"/>
        <v>0.97322548397869268</v>
      </c>
      <c r="G321" s="8">
        <v>18140</v>
      </c>
      <c r="H321" s="8">
        <v>17554</v>
      </c>
      <c r="I321" s="8">
        <v>17211</v>
      </c>
      <c r="J321" s="8">
        <v>16704</v>
      </c>
      <c r="K321" s="8">
        <v>16356</v>
      </c>
      <c r="L321" s="8">
        <v>15794</v>
      </c>
      <c r="M321" s="8"/>
      <c r="N321" s="8"/>
      <c r="O321" s="8"/>
      <c r="P321" s="8"/>
      <c r="Q321" s="9">
        <f ca="1">IFERROR(__xludf.DUMMYFUNCTION("GOOGLEFINANCE(C321,""changepct"")"),-2.23)</f>
        <v>-2.23</v>
      </c>
      <c r="R321" s="8"/>
      <c r="S321" s="8"/>
      <c r="T321" s="8"/>
      <c r="U321" s="8"/>
      <c r="V321" s="8"/>
      <c r="W321" s="8"/>
    </row>
    <row r="322" spans="1:23" ht="14.4">
      <c r="A322" s="3">
        <f>LOOKUP(D322,'AMFI DATA_2023H1'!B:C,'AMFI DATA_2023H1'!C:C)</f>
        <v>103</v>
      </c>
      <c r="B322" s="4" t="s">
        <v>321</v>
      </c>
      <c r="C322" s="4" t="s">
        <v>322</v>
      </c>
      <c r="D322" s="5" t="s">
        <v>323</v>
      </c>
      <c r="E322" s="5">
        <f>LOOKUP(D322,'AMFI DATA_2023H1'!B:D,'AMFI DATA_2023H1'!D:D)</f>
        <v>49110.36</v>
      </c>
      <c r="F322" s="7">
        <f t="shared" si="1"/>
        <v>0.39742408730052059</v>
      </c>
      <c r="G322" s="8">
        <v>68628</v>
      </c>
      <c r="H322" s="8">
        <v>69446</v>
      </c>
      <c r="I322" s="8">
        <v>69117</v>
      </c>
      <c r="J322" s="8">
        <v>70011</v>
      </c>
      <c r="K322" s="8">
        <v>71133</v>
      </c>
      <c r="L322" s="8">
        <v>71278</v>
      </c>
      <c r="M322" s="8"/>
      <c r="N322" s="8"/>
      <c r="O322" s="8"/>
      <c r="P322" s="8"/>
      <c r="Q322" s="9">
        <f ca="1">IFERROR(__xludf.DUMMYFUNCTION("GOOGLEFINANCE(C322,""changepct"")"),-0.71)</f>
        <v>-0.71</v>
      </c>
      <c r="R322" s="8"/>
      <c r="S322" s="8"/>
      <c r="T322" s="8"/>
      <c r="U322" s="8"/>
      <c r="V322" s="8"/>
      <c r="W322" s="8"/>
    </row>
    <row r="323" spans="1:23" ht="14.4">
      <c r="A323" s="3">
        <f>LOOKUP(D323,'AMFI DATA_2023H1'!B:C,'AMFI DATA_2023H1'!C:C)</f>
        <v>398</v>
      </c>
      <c r="B323" s="4" t="s">
        <v>1143</v>
      </c>
      <c r="C323" s="4" t="s">
        <v>1144</v>
      </c>
      <c r="D323" s="5" t="s">
        <v>1145</v>
      </c>
      <c r="E323" s="5">
        <f>LOOKUP(D323,'AMFI DATA_2023H1'!B:D,'AMFI DATA_2023H1'!D:D)</f>
        <v>7801.53</v>
      </c>
      <c r="F323" s="7">
        <f t="shared" si="1"/>
        <v>0.8096450311669634</v>
      </c>
      <c r="G323" s="8">
        <v>14118</v>
      </c>
      <c r="H323" s="8">
        <v>14305</v>
      </c>
      <c r="I323" s="8">
        <v>13929</v>
      </c>
      <c r="J323" s="8">
        <v>13540</v>
      </c>
      <c r="K323" s="8">
        <v>13368</v>
      </c>
      <c r="L323" s="8">
        <v>13417</v>
      </c>
      <c r="M323" s="8"/>
      <c r="N323" s="8"/>
      <c r="O323" s="8"/>
      <c r="P323" s="8"/>
      <c r="Q323" s="9">
        <f ca="1">IFERROR(__xludf.DUMMYFUNCTION("GOOGLEFINANCE(C323,""changepct"")"),1.48)</f>
        <v>1.48</v>
      </c>
      <c r="R323" s="8"/>
      <c r="S323" s="8"/>
      <c r="T323" s="8"/>
      <c r="U323" s="8"/>
      <c r="V323" s="8"/>
      <c r="W323" s="8"/>
    </row>
    <row r="324" spans="1:23" ht="14.4">
      <c r="A324" s="3">
        <f>LOOKUP(D324,'AMFI DATA_2023H1'!B:C,'AMFI DATA_2023H1'!C:C)</f>
        <v>1105</v>
      </c>
      <c r="B324" s="4" t="s">
        <v>3290</v>
      </c>
      <c r="C324" s="4" t="s">
        <v>3291</v>
      </c>
      <c r="D324" s="5" t="s">
        <v>3292</v>
      </c>
      <c r="E324" s="5">
        <f>LOOKUP(D324,'AMFI DATA_2023H1'!B:D,'AMFI DATA_2023H1'!D:D)</f>
        <v>860.17</v>
      </c>
      <c r="F324" s="7">
        <f t="shared" si="1"/>
        <v>0.53923061720357612</v>
      </c>
      <c r="G324" s="8">
        <v>1324</v>
      </c>
      <c r="H324" s="8">
        <v>1284</v>
      </c>
      <c r="I324" s="8">
        <v>1206</v>
      </c>
      <c r="J324" s="8">
        <v>1218</v>
      </c>
      <c r="K324" s="8">
        <v>1209</v>
      </c>
      <c r="L324" s="8">
        <v>1192</v>
      </c>
      <c r="M324" s="8"/>
      <c r="N324" s="8"/>
      <c r="O324" s="8"/>
      <c r="P324" s="8"/>
      <c r="Q324" s="9">
        <f ca="1">IFERROR(__xludf.DUMMYFUNCTION("GOOGLEFINANCE(C324,""changepct"")"),2.08)</f>
        <v>2.08</v>
      </c>
      <c r="R324" s="8"/>
      <c r="S324" s="8"/>
      <c r="T324" s="8"/>
      <c r="U324" s="8"/>
      <c r="V324" s="8"/>
      <c r="W324" s="8"/>
    </row>
    <row r="325" spans="1:23" ht="14.4">
      <c r="A325" s="3">
        <f>LOOKUP(D325,'AMFI DATA_2023H1'!B:C,'AMFI DATA_2023H1'!C:C)</f>
        <v>308</v>
      </c>
      <c r="B325" s="4" t="s">
        <v>1083</v>
      </c>
      <c r="C325" s="4" t="s">
        <v>1084</v>
      </c>
      <c r="D325" s="5" t="s">
        <v>1085</v>
      </c>
      <c r="E325" s="5">
        <f>LOOKUP(D325,'AMFI DATA_2023H1'!B:D,'AMFI DATA_2023H1'!D:D)</f>
        <v>11943.91</v>
      </c>
      <c r="F325" s="7">
        <f t="shared" si="1"/>
        <v>0.3261151498964745</v>
      </c>
      <c r="G325" s="8">
        <v>15839</v>
      </c>
      <c r="H325" s="8">
        <v>15533</v>
      </c>
      <c r="I325" s="8">
        <v>15882</v>
      </c>
      <c r="J325" s="8">
        <v>15258</v>
      </c>
      <c r="K325" s="8">
        <v>15456</v>
      </c>
      <c r="L325" s="8">
        <v>14975</v>
      </c>
      <c r="M325" s="8"/>
      <c r="N325" s="8"/>
      <c r="O325" s="8"/>
      <c r="P325" s="8"/>
      <c r="Q325" s="9">
        <f ca="1">IFERROR(__xludf.DUMMYFUNCTION("GOOGLEFINANCE(C325,""changepct"")"),-2.35)</f>
        <v>-2.35</v>
      </c>
      <c r="R325" s="8"/>
      <c r="S325" s="8"/>
      <c r="T325" s="8"/>
      <c r="U325" s="8"/>
      <c r="V325" s="8"/>
      <c r="W325" s="8"/>
    </row>
    <row r="326" spans="1:23" ht="14.4">
      <c r="A326" s="3">
        <f>LOOKUP(D326,'AMFI DATA_2023H1'!B:C,'AMFI DATA_2023H1'!C:C)</f>
        <v>1421</v>
      </c>
      <c r="B326" s="4" t="s">
        <v>3866</v>
      </c>
      <c r="C326" s="4" t="s">
        <v>3867</v>
      </c>
      <c r="D326" s="5" t="s">
        <v>3868</v>
      </c>
      <c r="E326" s="5">
        <f>LOOKUP(D326,'AMFI DATA_2023H1'!B:D,'AMFI DATA_2023H1'!D:D)</f>
        <v>397.76</v>
      </c>
      <c r="F326" s="7">
        <f t="shared" si="1"/>
        <v>0.87801689460981502</v>
      </c>
      <c r="G326" s="9">
        <v>747</v>
      </c>
      <c r="H326" s="9">
        <v>706</v>
      </c>
      <c r="I326" s="9">
        <v>715</v>
      </c>
      <c r="J326" s="9">
        <v>727</v>
      </c>
      <c r="K326" s="9">
        <v>734</v>
      </c>
      <c r="L326" s="9">
        <v>740</v>
      </c>
      <c r="M326" s="9"/>
      <c r="N326" s="9"/>
      <c r="O326" s="9"/>
      <c r="P326" s="9"/>
      <c r="Q326" s="9">
        <f ca="1">IFERROR(__xludf.DUMMYFUNCTION("GOOGLEFINANCE(C326,""changepct"")"),-1.06)</f>
        <v>-1.06</v>
      </c>
      <c r="R326" s="9"/>
      <c r="S326" s="9"/>
      <c r="T326" s="9"/>
      <c r="U326" s="9"/>
      <c r="V326" s="9"/>
      <c r="W326" s="9"/>
    </row>
    <row r="327" spans="1:23" ht="14.4">
      <c r="A327" s="3">
        <f>LOOKUP(D327,'AMFI DATA_2023H1'!B:C,'AMFI DATA_2023H1'!C:C)</f>
        <v>1063</v>
      </c>
      <c r="B327" s="4" t="s">
        <v>3395</v>
      </c>
      <c r="C327" s="4" t="s">
        <v>3396</v>
      </c>
      <c r="D327" s="5" t="s">
        <v>3397</v>
      </c>
      <c r="E327" s="5">
        <f>LOOKUP(D327,'AMFI DATA_2023H1'!B:D,'AMFI DATA_2023H1'!D:D)</f>
        <v>989.35</v>
      </c>
      <c r="F327" s="7">
        <f t="shared" si="1"/>
        <v>9.5668873502804841E-2</v>
      </c>
      <c r="G327" s="8">
        <v>1084</v>
      </c>
      <c r="H327" s="8">
        <v>1073</v>
      </c>
      <c r="I327" s="8">
        <v>1082</v>
      </c>
      <c r="J327" s="8">
        <v>1101</v>
      </c>
      <c r="K327" s="8">
        <v>1108</v>
      </c>
      <c r="L327" s="8">
        <v>1025</v>
      </c>
      <c r="M327" s="8"/>
      <c r="N327" s="8"/>
      <c r="O327" s="8"/>
      <c r="P327" s="8"/>
      <c r="Q327" s="9">
        <f ca="1">IFERROR(__xludf.DUMMYFUNCTION("GOOGLEFINANCE(C327,""changepct"")"),-1.13)</f>
        <v>-1.1299999999999999</v>
      </c>
      <c r="R327" s="8"/>
      <c r="S327" s="8"/>
      <c r="T327" s="8"/>
      <c r="U327" s="8"/>
      <c r="V327" s="8"/>
      <c r="W327" s="8"/>
    </row>
    <row r="328" spans="1:23" ht="14.4">
      <c r="A328" s="3">
        <f>LOOKUP(D328,'AMFI DATA_2023H1'!B:C,'AMFI DATA_2023H1'!C:C)</f>
        <v>1414</v>
      </c>
      <c r="B328" s="4" t="s">
        <v>3962</v>
      </c>
      <c r="C328" s="4" t="s">
        <v>3963</v>
      </c>
      <c r="D328" s="5" t="s">
        <v>3964</v>
      </c>
      <c r="E328" s="5">
        <f>LOOKUP(D328,'AMFI DATA_2023H1'!B:D,'AMFI DATA_2023H1'!D:D)</f>
        <v>399.58</v>
      </c>
      <c r="F328" s="7">
        <f t="shared" si="1"/>
        <v>0.33890585114370086</v>
      </c>
      <c r="G328" s="9">
        <v>535</v>
      </c>
      <c r="H328" s="9">
        <v>524</v>
      </c>
      <c r="I328" s="9">
        <v>528</v>
      </c>
      <c r="J328" s="9">
        <v>544</v>
      </c>
      <c r="K328" s="9">
        <v>545</v>
      </c>
      <c r="L328" s="9">
        <v>544</v>
      </c>
      <c r="M328" s="9"/>
      <c r="N328" s="9"/>
      <c r="O328" s="9"/>
      <c r="P328" s="9"/>
      <c r="Q328" s="9">
        <f ca="1">IFERROR(__xludf.DUMMYFUNCTION("GOOGLEFINANCE(C328,""changepct"")"),0.82)</f>
        <v>0.82</v>
      </c>
      <c r="R328" s="9"/>
      <c r="S328" s="9"/>
      <c r="T328" s="9"/>
      <c r="U328" s="9"/>
      <c r="V328" s="9"/>
      <c r="W328" s="9"/>
    </row>
    <row r="329" spans="1:23" ht="14.4">
      <c r="A329" s="3">
        <f>LOOKUP(D329,'AMFI DATA_2023H1'!B:C,'AMFI DATA_2023H1'!C:C)</f>
        <v>428</v>
      </c>
      <c r="B329" s="4" t="s">
        <v>1476</v>
      </c>
      <c r="C329" s="4" t="s">
        <v>1477</v>
      </c>
      <c r="D329" s="5" t="s">
        <v>1478</v>
      </c>
      <c r="E329" s="5">
        <f>LOOKUP(D329,'AMFI DATA_2023H1'!B:D,'AMFI DATA_2023H1'!D:D)</f>
        <v>6713.78</v>
      </c>
      <c r="F329" s="7">
        <f t="shared" si="1"/>
        <v>0.1498738415616836</v>
      </c>
      <c r="G329" s="8">
        <v>7720</v>
      </c>
      <c r="H329" s="8">
        <v>7893</v>
      </c>
      <c r="I329" s="8">
        <v>7981</v>
      </c>
      <c r="J329" s="8">
        <v>7915</v>
      </c>
      <c r="K329" s="8">
        <v>7951</v>
      </c>
      <c r="L329" s="8">
        <v>8111</v>
      </c>
      <c r="M329" s="8"/>
      <c r="N329" s="8"/>
      <c r="O329" s="8"/>
      <c r="P329" s="8"/>
      <c r="Q329" s="9">
        <f ca="1">IFERROR(__xludf.DUMMYFUNCTION("GOOGLEFINANCE(C329,""changepct"")"),-0.42)</f>
        <v>-0.42</v>
      </c>
      <c r="R329" s="8"/>
      <c r="S329" s="8"/>
      <c r="T329" s="8"/>
      <c r="U329" s="8"/>
      <c r="V329" s="8"/>
      <c r="W329" s="8"/>
    </row>
    <row r="330" spans="1:23" ht="14.4">
      <c r="A330" s="3">
        <f>LOOKUP(D330,'AMFI DATA_2023H1'!B:C,'AMFI DATA_2023H1'!C:C)</f>
        <v>562</v>
      </c>
      <c r="B330" s="4" t="s">
        <v>1431</v>
      </c>
      <c r="C330" s="4" t="s">
        <v>1432</v>
      </c>
      <c r="D330" s="5" t="s">
        <v>1433</v>
      </c>
      <c r="E330" s="5">
        <f>LOOKUP(D330,'AMFI DATA_2023H1'!B:D,'AMFI DATA_2023H1'!D:D)</f>
        <v>4207.1499999999996</v>
      </c>
      <c r="F330" s="7">
        <f t="shared" si="1"/>
        <v>1.4926613027821687</v>
      </c>
      <c r="G330" s="8">
        <v>10487</v>
      </c>
      <c r="H330" s="8">
        <v>10364</v>
      </c>
      <c r="I330" s="8">
        <v>10585</v>
      </c>
      <c r="J330" s="8">
        <v>10164</v>
      </c>
      <c r="K330" s="8">
        <v>10150</v>
      </c>
      <c r="L330" s="8">
        <v>10277</v>
      </c>
      <c r="M330" s="8"/>
      <c r="N330" s="8"/>
      <c r="O330" s="8"/>
      <c r="P330" s="8"/>
      <c r="Q330" s="9">
        <f ca="1">IFERROR(__xludf.DUMMYFUNCTION("GOOGLEFINANCE(C330,""changepct"")"),-3.02)</f>
        <v>-3.02</v>
      </c>
      <c r="R330" s="8"/>
      <c r="S330" s="8"/>
      <c r="T330" s="8"/>
      <c r="U330" s="8"/>
      <c r="V330" s="8"/>
      <c r="W330" s="8"/>
    </row>
    <row r="331" spans="1:23" ht="14.4">
      <c r="A331" s="3">
        <f>LOOKUP(D331,'AMFI DATA_2023H1'!B:C,'AMFI DATA_2023H1'!C:C)</f>
        <v>1216</v>
      </c>
      <c r="B331" s="4" t="s">
        <v>3638</v>
      </c>
      <c r="C331" s="4" t="s">
        <v>3639</v>
      </c>
      <c r="D331" s="5" t="s">
        <v>3640</v>
      </c>
      <c r="E331" s="5">
        <f>LOOKUP(D331,'AMFI DATA_2023H1'!B:D,'AMFI DATA_2023H1'!D:D)</f>
        <v>669.7</v>
      </c>
      <c r="F331" s="7">
        <f t="shared" si="1"/>
        <v>0.29012990891443913</v>
      </c>
      <c r="G331" s="9">
        <v>864</v>
      </c>
      <c r="H331" s="9">
        <v>867</v>
      </c>
      <c r="I331" s="9">
        <v>859</v>
      </c>
      <c r="J331" s="9">
        <v>867</v>
      </c>
      <c r="K331" s="9">
        <v>857</v>
      </c>
      <c r="L331" s="9">
        <v>840</v>
      </c>
      <c r="M331" s="9"/>
      <c r="N331" s="9"/>
      <c r="O331" s="9"/>
      <c r="P331" s="9"/>
      <c r="Q331" s="9">
        <f ca="1">IFERROR(__xludf.DUMMYFUNCTION("GOOGLEFINANCE(C331,""changepct"")"),3.37)</f>
        <v>3.37</v>
      </c>
      <c r="R331" s="9"/>
      <c r="S331" s="9"/>
      <c r="T331" s="9"/>
      <c r="U331" s="9"/>
      <c r="V331" s="9"/>
      <c r="W331" s="9"/>
    </row>
    <row r="332" spans="1:23" ht="14.4">
      <c r="A332" s="3">
        <f>LOOKUP(D332,'AMFI DATA_2023H1'!B:C,'AMFI DATA_2023H1'!C:C)</f>
        <v>648</v>
      </c>
      <c r="B332" s="4" t="s">
        <v>2016</v>
      </c>
      <c r="C332" s="4" t="s">
        <v>2017</v>
      </c>
      <c r="D332" s="5" t="s">
        <v>2018</v>
      </c>
      <c r="E332" s="5">
        <f>LOOKUP(D332,'AMFI DATA_2023H1'!B:D,'AMFI DATA_2023H1'!D:D)</f>
        <v>3029.8</v>
      </c>
      <c r="F332" s="7">
        <f t="shared" si="1"/>
        <v>0.5383853719717473</v>
      </c>
      <c r="G332" s="8">
        <v>4661</v>
      </c>
      <c r="H332" s="8">
        <v>4580</v>
      </c>
      <c r="I332" s="8">
        <v>4543</v>
      </c>
      <c r="J332" s="8">
        <v>4430</v>
      </c>
      <c r="K332" s="8">
        <v>4385</v>
      </c>
      <c r="L332" s="8">
        <v>4343</v>
      </c>
      <c r="M332" s="8"/>
      <c r="N332" s="8"/>
      <c r="O332" s="8"/>
      <c r="P332" s="8"/>
      <c r="Q332" s="9">
        <f ca="1">IFERROR(__xludf.DUMMYFUNCTION("GOOGLEFINANCE(C332,""changepct"")"),-0.24)</f>
        <v>-0.24</v>
      </c>
      <c r="R332" s="8"/>
      <c r="S332" s="8"/>
      <c r="T332" s="8"/>
      <c r="U332" s="8"/>
      <c r="V332" s="8"/>
      <c r="W332" s="8"/>
    </row>
    <row r="333" spans="1:23" ht="14.4">
      <c r="A333" s="3">
        <f>LOOKUP(D333,'AMFI DATA_2023H1'!B:C,'AMFI DATA_2023H1'!C:C)</f>
        <v>301</v>
      </c>
      <c r="B333" s="4" t="s">
        <v>822</v>
      </c>
      <c r="C333" s="4" t="s">
        <v>823</v>
      </c>
      <c r="D333" s="5" t="s">
        <v>824</v>
      </c>
      <c r="E333" s="5">
        <f>LOOKUP(D333,'AMFI DATA_2023H1'!B:D,'AMFI DATA_2023H1'!D:D)</f>
        <v>12502.68</v>
      </c>
      <c r="F333" s="7">
        <f t="shared" si="1"/>
        <v>0.53159162675522365</v>
      </c>
      <c r="G333" s="8">
        <v>19149</v>
      </c>
      <c r="H333" s="8">
        <v>19530</v>
      </c>
      <c r="I333" s="8">
        <v>19005</v>
      </c>
      <c r="J333" s="8">
        <v>18897</v>
      </c>
      <c r="K333" s="8">
        <v>18958</v>
      </c>
      <c r="L333" s="8">
        <v>19241</v>
      </c>
      <c r="M333" s="8"/>
      <c r="N333" s="8"/>
      <c r="O333" s="8"/>
      <c r="P333" s="8"/>
      <c r="Q333" s="9">
        <f ca="1">IFERROR(__xludf.DUMMYFUNCTION("GOOGLEFINANCE(C333,""changepct"")"),0.56)</f>
        <v>0.56000000000000005</v>
      </c>
      <c r="R333" s="8"/>
      <c r="S333" s="8"/>
      <c r="T333" s="8"/>
      <c r="U333" s="8"/>
      <c r="V333" s="8"/>
      <c r="W333" s="8"/>
    </row>
    <row r="334" spans="1:23" ht="14.4">
      <c r="A334" s="3">
        <f>LOOKUP(D334,'AMFI DATA_2023H1'!B:C,'AMFI DATA_2023H1'!C:C)</f>
        <v>72</v>
      </c>
      <c r="B334" s="4" t="s">
        <v>195</v>
      </c>
      <c r="C334" s="4" t="s">
        <v>196</v>
      </c>
      <c r="D334" s="5" t="s">
        <v>197</v>
      </c>
      <c r="E334" s="5">
        <f>LOOKUP(D334,'AMFI DATA_2023H1'!B:D,'AMFI DATA_2023H1'!D:D)</f>
        <v>70890.12</v>
      </c>
      <c r="F334" s="7">
        <f t="shared" si="1"/>
        <v>0.4501879810613949</v>
      </c>
      <c r="G334" s="8">
        <v>102804</v>
      </c>
      <c r="H334" s="8">
        <v>105882</v>
      </c>
      <c r="I334" s="8">
        <v>103757</v>
      </c>
      <c r="J334" s="8">
        <v>105382</v>
      </c>
      <c r="K334" s="8">
        <v>104599</v>
      </c>
      <c r="L334" s="8">
        <v>105019</v>
      </c>
      <c r="M334" s="8"/>
      <c r="N334" s="8"/>
      <c r="O334" s="8"/>
      <c r="P334" s="8"/>
      <c r="Q334" s="9">
        <f ca="1">IFERROR(__xludf.DUMMYFUNCTION("GOOGLEFINANCE(C334,""changepct"")"),-2.61)</f>
        <v>-2.61</v>
      </c>
      <c r="R334" s="8"/>
      <c r="S334" s="8"/>
      <c r="T334" s="8"/>
      <c r="U334" s="8"/>
      <c r="V334" s="8"/>
      <c r="W334" s="8"/>
    </row>
    <row r="335" spans="1:23" ht="14.4">
      <c r="A335" s="3">
        <f>LOOKUP(D335,'AMFI DATA_2023H1'!B:C,'AMFI DATA_2023H1'!C:C)</f>
        <v>266</v>
      </c>
      <c r="B335" s="4" t="s">
        <v>855</v>
      </c>
      <c r="C335" s="4" t="s">
        <v>856</v>
      </c>
      <c r="D335" s="5" t="s">
        <v>857</v>
      </c>
      <c r="E335" s="5">
        <f>LOOKUP(D335,'AMFI DATA_2023H1'!B:D,'AMFI DATA_2023H1'!D:D)</f>
        <v>15563.82</v>
      </c>
      <c r="F335" s="7">
        <f t="shared" si="1"/>
        <v>0.20908620120253252</v>
      </c>
      <c r="G335" s="8">
        <v>18818</v>
      </c>
      <c r="H335" s="8">
        <v>17855</v>
      </c>
      <c r="I335" s="8">
        <v>18073</v>
      </c>
      <c r="J335" s="8">
        <v>17891</v>
      </c>
      <c r="K335" s="8">
        <v>17980</v>
      </c>
      <c r="L335" s="8">
        <v>18137</v>
      </c>
      <c r="M335" s="8"/>
      <c r="N335" s="8"/>
      <c r="O335" s="8"/>
      <c r="P335" s="8"/>
      <c r="Q335" s="9">
        <f ca="1">IFERROR(__xludf.DUMMYFUNCTION("GOOGLEFINANCE(C335,""changepct"")"),-0.85)</f>
        <v>-0.85</v>
      </c>
      <c r="R335" s="8"/>
      <c r="S335" s="8"/>
      <c r="T335" s="8"/>
      <c r="U335" s="8"/>
      <c r="V335" s="8"/>
      <c r="W335" s="8"/>
    </row>
    <row r="336" spans="1:23" ht="14.4">
      <c r="A336" s="3">
        <f>LOOKUP(D336,'AMFI DATA_2023H1'!B:C,'AMFI DATA_2023H1'!C:C)</f>
        <v>779</v>
      </c>
      <c r="B336" s="4" t="s">
        <v>2474</v>
      </c>
      <c r="C336" s="4" t="s">
        <v>2475</v>
      </c>
      <c r="D336" s="5" t="s">
        <v>2476</v>
      </c>
      <c r="E336" s="5">
        <f>LOOKUP(D336,'AMFI DATA_2023H1'!B:D,'AMFI DATA_2023H1'!D:D)</f>
        <v>2058.81</v>
      </c>
      <c r="F336" s="7">
        <f t="shared" si="1"/>
        <v>0.40809496748121488</v>
      </c>
      <c r="G336" s="8">
        <v>2899</v>
      </c>
      <c r="H336" s="8">
        <v>2925</v>
      </c>
      <c r="I336" s="8">
        <v>2944</v>
      </c>
      <c r="J336" s="8">
        <v>2970</v>
      </c>
      <c r="K336" s="8">
        <v>3025</v>
      </c>
      <c r="L336" s="8">
        <v>3073</v>
      </c>
      <c r="M336" s="8"/>
      <c r="N336" s="8"/>
      <c r="O336" s="8"/>
      <c r="P336" s="8"/>
      <c r="Q336" s="9">
        <f ca="1">IFERROR(__xludf.DUMMYFUNCTION("GOOGLEFINANCE(C336,""changepct"")"),2.39)</f>
        <v>2.39</v>
      </c>
      <c r="R336" s="8"/>
      <c r="S336" s="8"/>
      <c r="T336" s="8"/>
      <c r="U336" s="8"/>
      <c r="V336" s="8"/>
      <c r="W336" s="8"/>
    </row>
    <row r="337" spans="1:23" ht="14.4">
      <c r="A337" s="3">
        <f>LOOKUP(D337,'AMFI DATA_2023H1'!B:C,'AMFI DATA_2023H1'!C:C)</f>
        <v>1567</v>
      </c>
      <c r="B337" s="4" t="s">
        <v>4271</v>
      </c>
      <c r="C337" s="4" t="s">
        <v>4272</v>
      </c>
      <c r="D337" s="5" t="s">
        <v>4273</v>
      </c>
      <c r="E337" s="5">
        <f>LOOKUP(D337,'AMFI DATA_2023H1'!B:D,'AMFI DATA_2023H1'!D:D)</f>
        <v>306.23</v>
      </c>
      <c r="F337" s="7">
        <f t="shared" si="1"/>
        <v>0.47274924076674396</v>
      </c>
      <c r="G337" s="9">
        <v>451</v>
      </c>
      <c r="H337" s="9">
        <v>442</v>
      </c>
      <c r="I337" s="9">
        <v>448</v>
      </c>
      <c r="J337" s="9">
        <v>449</v>
      </c>
      <c r="K337" s="9">
        <v>439</v>
      </c>
      <c r="L337" s="9">
        <v>443</v>
      </c>
      <c r="M337" s="9"/>
      <c r="N337" s="9"/>
      <c r="O337" s="9"/>
      <c r="P337" s="9"/>
      <c r="Q337" s="9">
        <f ca="1">IFERROR(__xludf.DUMMYFUNCTION("GOOGLEFINANCE(C337,""changepct"")"),5.04)</f>
        <v>5.04</v>
      </c>
      <c r="R337" s="9"/>
      <c r="S337" s="9"/>
      <c r="T337" s="9"/>
      <c r="U337" s="9"/>
      <c r="V337" s="9"/>
      <c r="W337" s="9"/>
    </row>
    <row r="338" spans="1:23" ht="14.4">
      <c r="A338" s="3">
        <f>LOOKUP(D338,'AMFI DATA_2023H1'!B:C,'AMFI DATA_2023H1'!C:C)</f>
        <v>2449</v>
      </c>
      <c r="B338" s="4" t="s">
        <v>5242</v>
      </c>
      <c r="C338" s="4" t="s">
        <v>5243</v>
      </c>
      <c r="D338" s="5" t="s">
        <v>5244</v>
      </c>
      <c r="E338" s="5">
        <f>LOOKUP(D338,'AMFI DATA_2023H1'!B:D,'AMFI DATA_2023H1'!D:D)</f>
        <v>68.64</v>
      </c>
      <c r="F338" s="7">
        <f t="shared" si="1"/>
        <v>0.48601398601398604</v>
      </c>
      <c r="G338" s="9">
        <v>102</v>
      </c>
      <c r="H338" s="9">
        <v>97.1</v>
      </c>
      <c r="I338" s="9">
        <v>95</v>
      </c>
      <c r="J338" s="9">
        <v>97.7</v>
      </c>
      <c r="K338" s="9">
        <v>98.5</v>
      </c>
      <c r="L338" s="9">
        <v>98.5</v>
      </c>
      <c r="M338" s="9"/>
      <c r="N338" s="9"/>
      <c r="O338" s="9"/>
      <c r="P338" s="9"/>
      <c r="Q338" s="9">
        <f ca="1">IFERROR(__xludf.DUMMYFUNCTION("GOOGLEFINANCE(C338,""changepct"")"),-1.94)</f>
        <v>-1.94</v>
      </c>
      <c r="R338" s="9"/>
      <c r="S338" s="9"/>
      <c r="T338" s="9"/>
      <c r="U338" s="9"/>
      <c r="V338" s="9"/>
      <c r="W338" s="9"/>
    </row>
    <row r="339" spans="1:23" ht="14.4">
      <c r="A339" s="3">
        <f>LOOKUP(D339,'AMFI DATA_2023H1'!B:C,'AMFI DATA_2023H1'!C:C)</f>
        <v>65</v>
      </c>
      <c r="B339" s="4" t="s">
        <v>192</v>
      </c>
      <c r="C339" s="4" t="s">
        <v>193</v>
      </c>
      <c r="D339" s="5" t="s">
        <v>194</v>
      </c>
      <c r="E339" s="5">
        <f>LOOKUP(D339,'AMFI DATA_2023H1'!B:D,'AMFI DATA_2023H1'!D:D)</f>
        <v>77782.45</v>
      </c>
      <c r="F339" s="7">
        <f t="shared" si="1"/>
        <v>0.29854485169855161</v>
      </c>
      <c r="G339" s="8">
        <v>101004</v>
      </c>
      <c r="H339" s="8">
        <v>100656</v>
      </c>
      <c r="I339" s="8">
        <v>101758</v>
      </c>
      <c r="J339" s="8">
        <v>100067</v>
      </c>
      <c r="K339" s="8">
        <v>100531</v>
      </c>
      <c r="L339" s="8">
        <v>99756</v>
      </c>
      <c r="M339" s="8"/>
      <c r="N339" s="8"/>
      <c r="O339" s="8"/>
      <c r="P339" s="8"/>
      <c r="Q339" s="9">
        <f ca="1">IFERROR(__xludf.DUMMYFUNCTION("GOOGLEFINANCE(C339,""changepct"")"),-0.75)</f>
        <v>-0.75</v>
      </c>
      <c r="R339" s="8"/>
      <c r="S339" s="8"/>
      <c r="T339" s="8"/>
      <c r="U339" s="8"/>
      <c r="V339" s="8"/>
      <c r="W339" s="8"/>
    </row>
    <row r="340" spans="1:23" ht="14.4">
      <c r="A340" s="3">
        <f>LOOKUP(D340,'AMFI DATA_2023H1'!B:C,'AMFI DATA_2023H1'!C:C)</f>
        <v>341</v>
      </c>
      <c r="B340" s="4" t="s">
        <v>1212</v>
      </c>
      <c r="C340" s="4" t="s">
        <v>1213</v>
      </c>
      <c r="D340" s="5" t="s">
        <v>1214</v>
      </c>
      <c r="E340" s="5">
        <f>LOOKUP(D340,'AMFI DATA_2023H1'!B:D,'AMFI DATA_2023H1'!D:D)</f>
        <v>10308.049999999999</v>
      </c>
      <c r="F340" s="7">
        <f t="shared" si="1"/>
        <v>9.3902338463627943E-2</v>
      </c>
      <c r="G340" s="8">
        <v>11276</v>
      </c>
      <c r="H340" s="8">
        <v>11021</v>
      </c>
      <c r="I340" s="8">
        <v>11017</v>
      </c>
      <c r="J340" s="8">
        <v>10958</v>
      </c>
      <c r="K340" s="8">
        <v>11024</v>
      </c>
      <c r="L340" s="8">
        <v>10847</v>
      </c>
      <c r="M340" s="8"/>
      <c r="N340" s="8"/>
      <c r="O340" s="8"/>
      <c r="P340" s="8"/>
      <c r="Q340" s="9">
        <f ca="1">IFERROR(__xludf.DUMMYFUNCTION("GOOGLEFINANCE(C340,""changepct"")"),0.7)</f>
        <v>0.7</v>
      </c>
      <c r="R340" s="8"/>
      <c r="S340" s="8"/>
      <c r="T340" s="8"/>
      <c r="U340" s="8"/>
      <c r="V340" s="8"/>
      <c r="W340" s="8"/>
    </row>
    <row r="341" spans="1:23" ht="14.4">
      <c r="A341" s="3">
        <f>LOOKUP(D341,'AMFI DATA_2023H1'!B:C,'AMFI DATA_2023H1'!C:C)</f>
        <v>1528</v>
      </c>
      <c r="B341" s="4" t="s">
        <v>4106</v>
      </c>
      <c r="C341" s="4" t="s">
        <v>4107</v>
      </c>
      <c r="D341" s="5" t="s">
        <v>4108</v>
      </c>
      <c r="E341" s="5">
        <f>LOOKUP(D341,'AMFI DATA_2023H1'!B:D,'AMFI DATA_2023H1'!D:D)</f>
        <v>327.43</v>
      </c>
      <c r="F341" s="7">
        <f t="shared" si="1"/>
        <v>0.66447790367406778</v>
      </c>
      <c r="G341" s="9">
        <v>545</v>
      </c>
      <c r="H341" s="9">
        <v>558</v>
      </c>
      <c r="I341" s="9">
        <v>567</v>
      </c>
      <c r="J341" s="9">
        <v>576</v>
      </c>
      <c r="K341" s="9">
        <v>585</v>
      </c>
      <c r="L341" s="9">
        <v>579</v>
      </c>
      <c r="M341" s="9"/>
      <c r="N341" s="9"/>
      <c r="O341" s="9"/>
      <c r="P341" s="9"/>
      <c r="Q341" s="9">
        <f ca="1">IFERROR(__xludf.DUMMYFUNCTION("GOOGLEFINANCE(C341,""changepct"")"),-0.05)</f>
        <v>-0.05</v>
      </c>
      <c r="R341" s="9"/>
      <c r="S341" s="9"/>
      <c r="T341" s="9"/>
      <c r="U341" s="9"/>
      <c r="V341" s="9"/>
      <c r="W341" s="9"/>
    </row>
    <row r="342" spans="1:23" ht="14.4">
      <c r="A342" s="3">
        <f>LOOKUP(D342,'AMFI DATA_2023H1'!B:C,'AMFI DATA_2023H1'!C:C)</f>
        <v>272</v>
      </c>
      <c r="B342" s="4" t="s">
        <v>957</v>
      </c>
      <c r="C342" s="4" t="s">
        <v>958</v>
      </c>
      <c r="D342" s="5" t="s">
        <v>959</v>
      </c>
      <c r="E342" s="5">
        <f>LOOKUP(D342,'AMFI DATA_2023H1'!B:D,'AMFI DATA_2023H1'!D:D)</f>
        <v>15073.34</v>
      </c>
      <c r="F342" s="7">
        <f t="shared" si="1"/>
        <v>0.12164921643112936</v>
      </c>
      <c r="G342" s="8">
        <v>16907</v>
      </c>
      <c r="H342" s="8">
        <v>16459</v>
      </c>
      <c r="I342" s="8">
        <v>16356</v>
      </c>
      <c r="J342" s="8">
        <v>16421</v>
      </c>
      <c r="K342" s="8">
        <v>16388</v>
      </c>
      <c r="L342" s="8">
        <v>16118</v>
      </c>
      <c r="M342" s="8"/>
      <c r="N342" s="8"/>
      <c r="O342" s="8"/>
      <c r="P342" s="8"/>
      <c r="Q342" s="9">
        <f ca="1">IFERROR(__xludf.DUMMYFUNCTION("GOOGLEFINANCE(C342,""changepct"")"),-0.36)</f>
        <v>-0.36</v>
      </c>
      <c r="R342" s="8"/>
      <c r="S342" s="8"/>
      <c r="T342" s="8"/>
      <c r="U342" s="8"/>
      <c r="V342" s="8"/>
      <c r="W342" s="8"/>
    </row>
    <row r="343" spans="1:23" ht="14.4">
      <c r="A343" s="3">
        <f>LOOKUP(D343,'AMFI DATA_2023H1'!B:C,'AMFI DATA_2023H1'!C:C)</f>
        <v>527</v>
      </c>
      <c r="B343" s="4" t="s">
        <v>1713</v>
      </c>
      <c r="C343" s="4" t="s">
        <v>1714</v>
      </c>
      <c r="D343" s="5" t="s">
        <v>1715</v>
      </c>
      <c r="E343" s="5">
        <f>LOOKUP(D343,'AMFI DATA_2023H1'!B:D,'AMFI DATA_2023H1'!D:D)</f>
        <v>4691.92</v>
      </c>
      <c r="F343" s="7">
        <f t="shared" si="1"/>
        <v>0.27303960851847431</v>
      </c>
      <c r="G343" s="8">
        <v>5973</v>
      </c>
      <c r="H343" s="8">
        <v>5988</v>
      </c>
      <c r="I343" s="8">
        <v>5819</v>
      </c>
      <c r="J343" s="8">
        <v>5911</v>
      </c>
      <c r="K343" s="8">
        <v>5951</v>
      </c>
      <c r="L343" s="8">
        <v>6041</v>
      </c>
      <c r="M343" s="8"/>
      <c r="N343" s="8"/>
      <c r="O343" s="8"/>
      <c r="P343" s="8"/>
      <c r="Q343" s="9">
        <f ca="1">IFERROR(__xludf.DUMMYFUNCTION("GOOGLEFINANCE(C343,""changepct"")"),0.55)</f>
        <v>0.55000000000000004</v>
      </c>
      <c r="R343" s="8"/>
      <c r="S343" s="8"/>
      <c r="T343" s="8"/>
      <c r="U343" s="8"/>
      <c r="V343" s="8"/>
      <c r="W343" s="8"/>
    </row>
    <row r="344" spans="1:23" ht="14.4">
      <c r="A344" s="3">
        <f>LOOKUP(D344,'AMFI DATA_2023H1'!B:C,'AMFI DATA_2023H1'!C:C)</f>
        <v>36</v>
      </c>
      <c r="B344" s="4" t="s">
        <v>105</v>
      </c>
      <c r="C344" s="4" t="s">
        <v>106</v>
      </c>
      <c r="D344" s="5" t="s">
        <v>107</v>
      </c>
      <c r="E344" s="5">
        <f>LOOKUP(D344,'AMFI DATA_2023H1'!B:D,'AMFI DATA_2023H1'!D:D)</f>
        <v>138621.73000000001</v>
      </c>
      <c r="F344" s="7">
        <f t="shared" si="1"/>
        <v>0.69737457467887598</v>
      </c>
      <c r="G344" s="8">
        <v>235293</v>
      </c>
      <c r="H344" s="8">
        <v>231688</v>
      </c>
      <c r="I344" s="8">
        <v>234708</v>
      </c>
      <c r="J344" s="8">
        <v>225248</v>
      </c>
      <c r="K344" s="8">
        <v>225618</v>
      </c>
      <c r="L344" s="8">
        <v>223861</v>
      </c>
      <c r="M344" s="8"/>
      <c r="N344" s="8"/>
      <c r="O344" s="8"/>
      <c r="P344" s="8"/>
      <c r="Q344" s="9">
        <f ca="1">IFERROR(__xludf.DUMMYFUNCTION("GOOGLEFINANCE(C344,""changepct"")"),6.22)</f>
        <v>6.22</v>
      </c>
      <c r="R344" s="8"/>
      <c r="S344" s="8"/>
      <c r="T344" s="8"/>
      <c r="U344" s="8"/>
      <c r="V344" s="8"/>
      <c r="W344" s="8"/>
    </row>
    <row r="345" spans="1:23" ht="14.4">
      <c r="A345" s="3">
        <f>LOOKUP(D345,'AMFI DATA_2023H1'!B:C,'AMFI DATA_2023H1'!C:C)</f>
        <v>1649</v>
      </c>
      <c r="B345" s="4" t="s">
        <v>4349</v>
      </c>
      <c r="C345" s="4" t="s">
        <v>4350</v>
      </c>
      <c r="D345" s="5" t="s">
        <v>4351</v>
      </c>
      <c r="E345" s="5">
        <f>LOOKUP(D345,'AMFI DATA_2023H1'!B:D,'AMFI DATA_2023H1'!D:D)</f>
        <v>264.22000000000003</v>
      </c>
      <c r="F345" s="7">
        <f t="shared" si="1"/>
        <v>0.42305654378926638</v>
      </c>
      <c r="G345" s="9">
        <v>376</v>
      </c>
      <c r="H345" s="9">
        <v>348</v>
      </c>
      <c r="I345" s="9">
        <v>346</v>
      </c>
      <c r="J345" s="9">
        <v>353</v>
      </c>
      <c r="K345" s="9">
        <v>358</v>
      </c>
      <c r="L345" s="9">
        <v>352</v>
      </c>
      <c r="M345" s="9"/>
      <c r="N345" s="9"/>
      <c r="O345" s="9"/>
      <c r="P345" s="9"/>
      <c r="Q345" s="9">
        <f ca="1">IFERROR(__xludf.DUMMYFUNCTION("GOOGLEFINANCE(C345,""changepct"")"),-0.77)</f>
        <v>-0.77</v>
      </c>
      <c r="R345" s="9"/>
      <c r="S345" s="9"/>
      <c r="T345" s="9"/>
      <c r="U345" s="9"/>
      <c r="V345" s="9"/>
      <c r="W345" s="9"/>
    </row>
    <row r="346" spans="1:23" ht="14.4">
      <c r="A346" s="3">
        <f>LOOKUP(D346,'AMFI DATA_2023H1'!B:C,'AMFI DATA_2023H1'!C:C)</f>
        <v>435</v>
      </c>
      <c r="B346" s="4" t="s">
        <v>1047</v>
      </c>
      <c r="C346" s="4" t="s">
        <v>1048</v>
      </c>
      <c r="D346" s="5" t="s">
        <v>1049</v>
      </c>
      <c r="E346" s="5">
        <f>LOOKUP(D346,'AMFI DATA_2023H1'!B:D,'AMFI DATA_2023H1'!D:D)</f>
        <v>6606.96</v>
      </c>
      <c r="F346" s="7">
        <f t="shared" si="1"/>
        <v>1.7133507694915666</v>
      </c>
      <c r="G346" s="8">
        <v>17927</v>
      </c>
      <c r="H346" s="8">
        <v>17805</v>
      </c>
      <c r="I346" s="8">
        <v>17690</v>
      </c>
      <c r="J346" s="8">
        <v>17880</v>
      </c>
      <c r="K346" s="8">
        <v>18063</v>
      </c>
      <c r="L346" s="8">
        <v>17119</v>
      </c>
      <c r="M346" s="8"/>
      <c r="N346" s="8"/>
      <c r="O346" s="8"/>
      <c r="P346" s="8"/>
      <c r="Q346" s="9">
        <f ca="1">IFERROR(__xludf.DUMMYFUNCTION("GOOGLEFINANCE(C346,""changepct"")"),1.39)</f>
        <v>1.39</v>
      </c>
      <c r="R346" s="8"/>
      <c r="S346" s="8"/>
      <c r="T346" s="8"/>
      <c r="U346" s="8"/>
      <c r="V346" s="8"/>
      <c r="W346" s="8"/>
    </row>
    <row r="347" spans="1:23" ht="14.4">
      <c r="A347" s="3">
        <f>LOOKUP(D347,'AMFI DATA_2023H1'!B:C,'AMFI DATA_2023H1'!C:C)</f>
        <v>1152</v>
      </c>
      <c r="B347" s="4" t="s">
        <v>3407</v>
      </c>
      <c r="C347" s="4" t="s">
        <v>3408</v>
      </c>
      <c r="D347" s="5" t="s">
        <v>3409</v>
      </c>
      <c r="E347" s="5">
        <f>LOOKUP(D347,'AMFI DATA_2023H1'!B:D,'AMFI DATA_2023H1'!D:D)</f>
        <v>785.28</v>
      </c>
      <c r="F347" s="7">
        <f t="shared" si="1"/>
        <v>0.74969437652811743</v>
      </c>
      <c r="G347" s="8">
        <v>1374</v>
      </c>
      <c r="H347" s="8">
        <v>1353</v>
      </c>
      <c r="I347" s="8">
        <v>1340</v>
      </c>
      <c r="J347" s="8">
        <v>1393</v>
      </c>
      <c r="K347" s="8">
        <v>1353</v>
      </c>
      <c r="L347" s="8">
        <v>1388</v>
      </c>
      <c r="M347" s="8"/>
      <c r="N347" s="8"/>
      <c r="O347" s="8"/>
      <c r="P347" s="8"/>
      <c r="Q347" s="9">
        <f ca="1">IFERROR(__xludf.DUMMYFUNCTION("GOOGLEFINANCE(C347,""changepct"")"),1.21)</f>
        <v>1.21</v>
      </c>
      <c r="R347" s="8"/>
      <c r="S347" s="8"/>
      <c r="T347" s="8"/>
      <c r="U347" s="8"/>
      <c r="V347" s="8"/>
      <c r="W347" s="8"/>
    </row>
    <row r="348" spans="1:23" ht="14.4">
      <c r="A348" s="3">
        <f>LOOKUP(D348,'AMFI DATA_2023H1'!B:C,'AMFI DATA_2023H1'!C:C)</f>
        <v>189</v>
      </c>
      <c r="B348" s="4" t="s">
        <v>588</v>
      </c>
      <c r="C348" s="4" t="s">
        <v>589</v>
      </c>
      <c r="D348" s="5" t="s">
        <v>590</v>
      </c>
      <c r="E348" s="5">
        <f>LOOKUP(D348,'AMFI DATA_2023H1'!B:D,'AMFI DATA_2023H1'!D:D)</f>
        <v>25549.81</v>
      </c>
      <c r="F348" s="7">
        <f t="shared" si="1"/>
        <v>0.49406199106764381</v>
      </c>
      <c r="G348" s="8">
        <v>38173</v>
      </c>
      <c r="H348" s="8">
        <v>38699</v>
      </c>
      <c r="I348" s="8">
        <v>38681</v>
      </c>
      <c r="J348" s="8">
        <v>38848</v>
      </c>
      <c r="K348" s="8">
        <v>38711</v>
      </c>
      <c r="L348" s="8">
        <v>38791</v>
      </c>
      <c r="M348" s="8"/>
      <c r="N348" s="8"/>
      <c r="O348" s="8"/>
      <c r="P348" s="8"/>
      <c r="Q348" s="9">
        <f ca="1">IFERROR(__xludf.DUMMYFUNCTION("GOOGLEFINANCE(C348,""changepct"")"),-2.88)</f>
        <v>-2.88</v>
      </c>
      <c r="R348" s="8"/>
      <c r="S348" s="8"/>
      <c r="T348" s="8"/>
      <c r="U348" s="8"/>
      <c r="V348" s="8"/>
      <c r="W348" s="8"/>
    </row>
    <row r="349" spans="1:23" ht="14.4">
      <c r="A349" s="3">
        <f>LOOKUP(D349,'AMFI DATA_2023H1'!B:C,'AMFI DATA_2023H1'!C:C)</f>
        <v>125</v>
      </c>
      <c r="B349" s="4" t="s">
        <v>351</v>
      </c>
      <c r="C349" s="4" t="s">
        <v>352</v>
      </c>
      <c r="D349" s="5" t="s">
        <v>353</v>
      </c>
      <c r="E349" s="5">
        <f>LOOKUP(D349,'AMFI DATA_2023H1'!B:D,'AMFI DATA_2023H1'!D:D)</f>
        <v>41955.5</v>
      </c>
      <c r="F349" s="7">
        <f t="shared" si="1"/>
        <v>0.61165997306670161</v>
      </c>
      <c r="G349" s="8">
        <v>67618</v>
      </c>
      <c r="H349" s="8">
        <v>68804</v>
      </c>
      <c r="I349" s="8">
        <v>68781</v>
      </c>
      <c r="J349" s="8">
        <v>66866</v>
      </c>
      <c r="K349" s="8">
        <v>66819</v>
      </c>
      <c r="L349" s="8">
        <v>65457</v>
      </c>
      <c r="M349" s="8"/>
      <c r="N349" s="8"/>
      <c r="O349" s="8"/>
      <c r="P349" s="8"/>
      <c r="Q349" s="9">
        <f ca="1">IFERROR(__xludf.DUMMYFUNCTION("GOOGLEFINANCE(C349,""changepct"")"),2.2)</f>
        <v>2.2000000000000002</v>
      </c>
      <c r="R349" s="8"/>
      <c r="S349" s="8"/>
      <c r="T349" s="8"/>
      <c r="U349" s="8"/>
      <c r="V349" s="8"/>
      <c r="W349" s="8"/>
    </row>
    <row r="350" spans="1:23" ht="14.4">
      <c r="A350" s="3">
        <f>LOOKUP(D350,'AMFI DATA_2023H1'!B:C,'AMFI DATA_2023H1'!C:C)</f>
        <v>2040</v>
      </c>
      <c r="B350" s="4" t="s">
        <v>5198</v>
      </c>
      <c r="C350" s="4" t="s">
        <v>5199</v>
      </c>
      <c r="D350" s="5" t="s">
        <v>5200</v>
      </c>
      <c r="E350" s="5">
        <f>LOOKUP(D350,'AMFI DATA_2023H1'!B:D,'AMFI DATA_2023H1'!D:D)</f>
        <v>132.55000000000001</v>
      </c>
      <c r="F350" s="7">
        <f t="shared" si="1"/>
        <v>-0.42738589211618261</v>
      </c>
      <c r="G350" s="9">
        <v>75.900000000000006</v>
      </c>
      <c r="H350" s="9">
        <v>76.2</v>
      </c>
      <c r="I350" s="9">
        <v>73.8</v>
      </c>
      <c r="J350" s="9">
        <v>76.8</v>
      </c>
      <c r="K350" s="9">
        <v>78.099999999999994</v>
      </c>
      <c r="L350" s="9">
        <v>78.5</v>
      </c>
      <c r="M350" s="9"/>
      <c r="N350" s="9"/>
      <c r="O350" s="9"/>
      <c r="P350" s="9"/>
      <c r="Q350" s="9">
        <f ca="1">IFERROR(__xludf.DUMMYFUNCTION("GOOGLEFINANCE(C350,""changepct"")"),-2.17)</f>
        <v>-2.17</v>
      </c>
      <c r="R350" s="9"/>
      <c r="S350" s="9"/>
      <c r="T350" s="9"/>
      <c r="U350" s="9"/>
      <c r="V350" s="9"/>
      <c r="W350" s="9"/>
    </row>
    <row r="351" spans="1:23" ht="14.4">
      <c r="A351" s="3">
        <f>LOOKUP(D351,'AMFI DATA_2023H1'!B:C,'AMFI DATA_2023H1'!C:C)</f>
        <v>1981</v>
      </c>
      <c r="B351" s="4" t="s">
        <v>4733</v>
      </c>
      <c r="C351" s="4" t="s">
        <v>4734</v>
      </c>
      <c r="D351" s="5" t="s">
        <v>4735</v>
      </c>
      <c r="E351" s="5">
        <f>LOOKUP(D351,'AMFI DATA_2023H1'!B:D,'AMFI DATA_2023H1'!D:D)</f>
        <v>147.25</v>
      </c>
      <c r="F351" s="7">
        <f t="shared" si="1"/>
        <v>0.66383701188455002</v>
      </c>
      <c r="G351" s="9">
        <v>245</v>
      </c>
      <c r="H351" s="9">
        <v>240</v>
      </c>
      <c r="I351" s="9">
        <v>241</v>
      </c>
      <c r="J351" s="9">
        <v>241</v>
      </c>
      <c r="K351" s="9">
        <v>245</v>
      </c>
      <c r="L351" s="9">
        <v>247</v>
      </c>
      <c r="M351" s="9"/>
      <c r="N351" s="9"/>
      <c r="O351" s="9"/>
      <c r="P351" s="9"/>
      <c r="Q351" s="9">
        <f ca="1">IFERROR(__xludf.DUMMYFUNCTION("GOOGLEFINANCE(C351,""changepct"")"),-3.3)</f>
        <v>-3.3</v>
      </c>
      <c r="R351" s="9"/>
      <c r="S351" s="9"/>
      <c r="T351" s="9"/>
      <c r="U351" s="9"/>
      <c r="V351" s="9"/>
      <c r="W351" s="9"/>
    </row>
    <row r="352" spans="1:23" ht="14.4">
      <c r="A352" s="3">
        <f>LOOKUP(D352,'AMFI DATA_2023H1'!B:C,'AMFI DATA_2023H1'!C:C)</f>
        <v>330</v>
      </c>
      <c r="B352" s="4" t="s">
        <v>1080</v>
      </c>
      <c r="C352" s="4" t="s">
        <v>1081</v>
      </c>
      <c r="D352" s="5" t="s">
        <v>1082</v>
      </c>
      <c r="E352" s="5">
        <f>LOOKUP(D352,'AMFI DATA_2023H1'!B:D,'AMFI DATA_2023H1'!D:D)</f>
        <v>10719.15</v>
      </c>
      <c r="F352" s="7">
        <f t="shared" si="1"/>
        <v>0.21250285703623883</v>
      </c>
      <c r="G352" s="8">
        <v>12997</v>
      </c>
      <c r="H352" s="8">
        <v>13035</v>
      </c>
      <c r="I352" s="8">
        <v>13084</v>
      </c>
      <c r="J352" s="8">
        <v>13069</v>
      </c>
      <c r="K352" s="8">
        <v>13055</v>
      </c>
      <c r="L352" s="8">
        <v>13162</v>
      </c>
      <c r="M352" s="8"/>
      <c r="N352" s="8"/>
      <c r="O352" s="8"/>
      <c r="P352" s="8"/>
      <c r="Q352" s="9">
        <f ca="1">IFERROR(__xludf.DUMMYFUNCTION("GOOGLEFINANCE(C352,""changepct"")"),-1.43)</f>
        <v>-1.43</v>
      </c>
      <c r="R352" s="8"/>
      <c r="S352" s="8"/>
      <c r="T352" s="8"/>
      <c r="U352" s="8"/>
      <c r="V352" s="8"/>
      <c r="W352" s="8"/>
    </row>
    <row r="353" spans="1:23" ht="14.4">
      <c r="A353" s="3">
        <f>LOOKUP(D353,'AMFI DATA_2023H1'!B:C,'AMFI DATA_2023H1'!C:C)</f>
        <v>135</v>
      </c>
      <c r="B353" s="4" t="s">
        <v>1077</v>
      </c>
      <c r="C353" s="4" t="s">
        <v>1078</v>
      </c>
      <c r="D353" s="5" t="s">
        <v>1079</v>
      </c>
      <c r="E353" s="5">
        <f>LOOKUP(D353,'AMFI DATA_2023H1'!B:D,'AMFI DATA_2023H1'!D:D)</f>
        <v>38709.919999999998</v>
      </c>
      <c r="F353" s="7">
        <f t="shared" si="1"/>
        <v>-0.60018000553863193</v>
      </c>
      <c r="G353" s="8">
        <v>15477</v>
      </c>
      <c r="H353" s="8">
        <v>15477</v>
      </c>
      <c r="I353" s="8">
        <v>15164</v>
      </c>
      <c r="J353" s="8">
        <v>15520</v>
      </c>
      <c r="K353" s="8">
        <v>15742</v>
      </c>
      <c r="L353" s="8">
        <v>15742</v>
      </c>
      <c r="M353" s="8"/>
      <c r="N353" s="8"/>
      <c r="O353" s="8"/>
      <c r="P353" s="8"/>
      <c r="Q353" s="9">
        <f ca="1">IFERROR(__xludf.DUMMYFUNCTION("GOOGLEFINANCE(C353,""changepct"")"),1.94)</f>
        <v>1.94</v>
      </c>
      <c r="R353" s="8"/>
      <c r="S353" s="8"/>
      <c r="T353" s="8"/>
      <c r="U353" s="8"/>
      <c r="V353" s="8"/>
      <c r="W353" s="8"/>
    </row>
    <row r="354" spans="1:23" ht="14.4">
      <c r="A354" s="3">
        <f>LOOKUP(D354,'AMFI DATA_2023H1'!B:C,'AMFI DATA_2023H1'!C:C)</f>
        <v>812</v>
      </c>
      <c r="B354" s="4" t="s">
        <v>2507</v>
      </c>
      <c r="C354" s="4" t="s">
        <v>2508</v>
      </c>
      <c r="D354" s="5" t="s">
        <v>2509</v>
      </c>
      <c r="E354" s="5">
        <f>LOOKUP(D354,'AMFI DATA_2023H1'!B:D,'AMFI DATA_2023H1'!D:D)</f>
        <v>1883.92</v>
      </c>
      <c r="F354" s="7">
        <f t="shared" si="1"/>
        <v>0.36311520659051344</v>
      </c>
      <c r="G354" s="8">
        <v>2568</v>
      </c>
      <c r="H354" s="8">
        <v>2590</v>
      </c>
      <c r="I354" s="8">
        <v>2602</v>
      </c>
      <c r="J354" s="8">
        <v>2615</v>
      </c>
      <c r="K354" s="8">
        <v>2626</v>
      </c>
      <c r="L354" s="8">
        <v>2613</v>
      </c>
      <c r="M354" s="8"/>
      <c r="N354" s="8"/>
      <c r="O354" s="8"/>
      <c r="P354" s="8"/>
      <c r="Q354" s="9">
        <f ca="1">IFERROR(__xludf.DUMMYFUNCTION("GOOGLEFINANCE(C354,""changepct"")"),0.75)</f>
        <v>0.75</v>
      </c>
      <c r="R354" s="8"/>
      <c r="S354" s="8"/>
      <c r="T354" s="8"/>
      <c r="U354" s="8"/>
      <c r="V354" s="8"/>
      <c r="W354" s="8"/>
    </row>
    <row r="355" spans="1:23" ht="14.4">
      <c r="A355" s="3">
        <f>LOOKUP(D355,'AMFI DATA_2023H1'!B:C,'AMFI DATA_2023H1'!C:C)</f>
        <v>1423</v>
      </c>
      <c r="B355" s="4" t="s">
        <v>3863</v>
      </c>
      <c r="C355" s="4" t="s">
        <v>3864</v>
      </c>
      <c r="D355" s="5" t="s">
        <v>3865</v>
      </c>
      <c r="E355" s="5">
        <f>LOOKUP(D355,'AMFI DATA_2023H1'!B:D,'AMFI DATA_2023H1'!D:D)</f>
        <v>397.26</v>
      </c>
      <c r="F355" s="7">
        <f t="shared" si="1"/>
        <v>1.6858984040678648</v>
      </c>
      <c r="G355" s="8">
        <v>1067</v>
      </c>
      <c r="H355" s="8">
        <v>1061</v>
      </c>
      <c r="I355" s="8">
        <v>1073</v>
      </c>
      <c r="J355" s="8">
        <v>1074</v>
      </c>
      <c r="K355" s="8">
        <v>1074</v>
      </c>
      <c r="L355" s="8">
        <v>1065</v>
      </c>
      <c r="M355" s="8"/>
      <c r="N355" s="8"/>
      <c r="O355" s="8"/>
      <c r="P355" s="8"/>
      <c r="Q355" s="9">
        <f ca="1">IFERROR(__xludf.DUMMYFUNCTION("GOOGLEFINANCE(C355,""changepct"")"),3.32)</f>
        <v>3.32</v>
      </c>
      <c r="R355" s="8"/>
      <c r="S355" s="8"/>
      <c r="T355" s="8"/>
      <c r="U355" s="8"/>
      <c r="V355" s="8"/>
      <c r="W355" s="8"/>
    </row>
    <row r="356" spans="1:23" ht="14.4">
      <c r="A356" s="3">
        <f>LOOKUP(D356,'AMFI DATA_2023H1'!B:C,'AMFI DATA_2023H1'!C:C)</f>
        <v>135</v>
      </c>
      <c r="B356" s="4" t="s">
        <v>459</v>
      </c>
      <c r="C356" s="4" t="s">
        <v>460</v>
      </c>
      <c r="D356" s="5" t="s">
        <v>461</v>
      </c>
      <c r="E356" s="5">
        <f>LOOKUP(D356,'AMFI DATA_2023H1'!B:D,'AMFI DATA_2023H1'!D:D)</f>
        <v>38709.919999999998</v>
      </c>
      <c r="F356" s="7">
        <f t="shared" si="1"/>
        <v>0.35285735542723939</v>
      </c>
      <c r="G356" s="8">
        <v>52369</v>
      </c>
      <c r="H356" s="8">
        <v>52369</v>
      </c>
      <c r="I356" s="8">
        <v>52198</v>
      </c>
      <c r="J356" s="8">
        <v>51038</v>
      </c>
      <c r="K356" s="8">
        <v>51238</v>
      </c>
      <c r="L356" s="8">
        <v>50718</v>
      </c>
      <c r="M356" s="8"/>
      <c r="N356" s="8"/>
      <c r="O356" s="8"/>
      <c r="P356" s="8"/>
      <c r="Q356" s="9">
        <f ca="1">IFERROR(__xludf.DUMMYFUNCTION("GOOGLEFINANCE(C356,""changepct"")"),3.51)</f>
        <v>3.51</v>
      </c>
      <c r="R356" s="8"/>
      <c r="S356" s="8"/>
      <c r="T356" s="8"/>
      <c r="U356" s="8"/>
      <c r="V356" s="8"/>
      <c r="W356" s="8"/>
    </row>
    <row r="357" spans="1:23" ht="14.4">
      <c r="A357" s="3">
        <f>LOOKUP(D357,'AMFI DATA_2023H1'!B:C,'AMFI DATA_2023H1'!C:C)</f>
        <v>1103</v>
      </c>
      <c r="B357" s="4" t="s">
        <v>3152</v>
      </c>
      <c r="C357" s="4" t="s">
        <v>3153</v>
      </c>
      <c r="D357" s="5" t="s">
        <v>3154</v>
      </c>
      <c r="E357" s="5">
        <f>LOOKUP(D357,'AMFI DATA_2023H1'!B:D,'AMFI DATA_2023H1'!D:D)</f>
        <v>863.79</v>
      </c>
      <c r="F357" s="7">
        <f t="shared" si="1"/>
        <v>0.91829032519478115</v>
      </c>
      <c r="G357" s="8">
        <v>1657</v>
      </c>
      <c r="H357" s="8">
        <v>1602</v>
      </c>
      <c r="I357" s="8">
        <v>1622</v>
      </c>
      <c r="J357" s="8">
        <v>1608</v>
      </c>
      <c r="K357" s="8">
        <v>1604</v>
      </c>
      <c r="L357" s="8">
        <v>1603</v>
      </c>
      <c r="M357" s="8"/>
      <c r="N357" s="8"/>
      <c r="O357" s="8"/>
      <c r="P357" s="8"/>
      <c r="Q357" s="9">
        <f ca="1">IFERROR(__xludf.DUMMYFUNCTION("GOOGLEFINANCE(C357,""changepct"")"),0.21)</f>
        <v>0.21</v>
      </c>
      <c r="R357" s="8"/>
      <c r="S357" s="8"/>
      <c r="T357" s="8"/>
      <c r="U357" s="8"/>
      <c r="V357" s="8"/>
      <c r="W357" s="8"/>
    </row>
    <row r="358" spans="1:23" ht="14.4">
      <c r="A358" s="3">
        <f>LOOKUP(D358,'AMFI DATA_2023H1'!B:C,'AMFI DATA_2023H1'!C:C)</f>
        <v>2043</v>
      </c>
      <c r="B358" s="4" t="s">
        <v>4817</v>
      </c>
      <c r="C358" s="4" t="s">
        <v>4818</v>
      </c>
      <c r="D358" s="5" t="s">
        <v>4819</v>
      </c>
      <c r="E358" s="5">
        <f>LOOKUP(D358,'AMFI DATA_2023H1'!B:D,'AMFI DATA_2023H1'!D:D)</f>
        <v>132.47999999999999</v>
      </c>
      <c r="F358" s="7">
        <f t="shared" si="1"/>
        <v>0.82669082125603888</v>
      </c>
      <c r="G358" s="9">
        <v>242</v>
      </c>
      <c r="H358" s="9">
        <v>236</v>
      </c>
      <c r="I358" s="9">
        <v>240</v>
      </c>
      <c r="J358" s="9">
        <v>244</v>
      </c>
      <c r="K358" s="9">
        <v>255</v>
      </c>
      <c r="L358" s="9">
        <v>251</v>
      </c>
      <c r="M358" s="9"/>
      <c r="N358" s="9"/>
      <c r="O358" s="9"/>
      <c r="P358" s="9"/>
      <c r="Q358" s="9">
        <f ca="1">IFERROR(__xludf.DUMMYFUNCTION("GOOGLEFINANCE(C358,""changepct"")"),-0.75)</f>
        <v>-0.75</v>
      </c>
      <c r="R358" s="9"/>
      <c r="S358" s="9"/>
      <c r="T358" s="9"/>
      <c r="U358" s="9"/>
      <c r="V358" s="9"/>
      <c r="W358" s="9"/>
    </row>
    <row r="359" spans="1:23" ht="14.4">
      <c r="A359" s="3">
        <f>LOOKUP(D359,'AMFI DATA_2023H1'!B:C,'AMFI DATA_2023H1'!C:C)</f>
        <v>2225</v>
      </c>
      <c r="B359" s="4" t="s">
        <v>5009</v>
      </c>
      <c r="C359" s="4" t="s">
        <v>5010</v>
      </c>
      <c r="D359" s="5" t="s">
        <v>5011</v>
      </c>
      <c r="E359" s="5">
        <f>LOOKUP(D359,'AMFI DATA_2023H1'!B:D,'AMFI DATA_2023H1'!D:D)</f>
        <v>98.91</v>
      </c>
      <c r="F359" s="7">
        <f t="shared" si="1"/>
        <v>0.47608937417854613</v>
      </c>
      <c r="G359" s="9">
        <v>146</v>
      </c>
      <c r="H359" s="9">
        <v>146</v>
      </c>
      <c r="I359" s="9">
        <v>145</v>
      </c>
      <c r="J359" s="9">
        <v>147</v>
      </c>
      <c r="K359" s="9">
        <v>148</v>
      </c>
      <c r="L359" s="9">
        <v>146</v>
      </c>
      <c r="M359" s="9"/>
      <c r="N359" s="9"/>
      <c r="O359" s="9"/>
      <c r="P359" s="9"/>
      <c r="Q359" s="9">
        <f ca="1">IFERROR(__xludf.DUMMYFUNCTION("GOOGLEFINANCE(C359,""changepct"")"),9.32)</f>
        <v>9.32</v>
      </c>
      <c r="R359" s="9"/>
      <c r="S359" s="9"/>
      <c r="T359" s="9"/>
      <c r="U359" s="9"/>
      <c r="V359" s="9"/>
      <c r="W359" s="9"/>
    </row>
    <row r="360" spans="1:23" ht="14.4">
      <c r="A360" s="3">
        <f>LOOKUP(D360,'AMFI DATA_2023H1'!B:C,'AMFI DATA_2023H1'!C:C)</f>
        <v>182</v>
      </c>
      <c r="B360" s="4" t="s">
        <v>585</v>
      </c>
      <c r="C360" s="4" t="s">
        <v>586</v>
      </c>
      <c r="D360" s="5" t="s">
        <v>587</v>
      </c>
      <c r="E360" s="5">
        <f>LOOKUP(D360,'AMFI DATA_2023H1'!B:D,'AMFI DATA_2023H1'!D:D)</f>
        <v>26930.95</v>
      </c>
      <c r="F360" s="7">
        <f t="shared" si="1"/>
        <v>0.36389544371810123</v>
      </c>
      <c r="G360" s="8">
        <v>36731</v>
      </c>
      <c r="H360" s="8">
        <v>36849</v>
      </c>
      <c r="I360" s="8">
        <v>36485</v>
      </c>
      <c r="J360" s="8">
        <v>36705</v>
      </c>
      <c r="K360" s="8">
        <v>37219</v>
      </c>
      <c r="L360" s="8">
        <v>36242</v>
      </c>
      <c r="M360" s="8"/>
      <c r="N360" s="8"/>
      <c r="O360" s="8"/>
      <c r="P360" s="8"/>
      <c r="Q360" s="9">
        <f ca="1">IFERROR(__xludf.DUMMYFUNCTION("GOOGLEFINANCE(C360,""changepct"")"),1.94)</f>
        <v>1.94</v>
      </c>
      <c r="R360" s="8"/>
      <c r="S360" s="8"/>
      <c r="T360" s="8"/>
      <c r="U360" s="8"/>
      <c r="V360" s="8"/>
      <c r="W360" s="8"/>
    </row>
    <row r="361" spans="1:23" ht="14.4">
      <c r="A361" s="3">
        <f>LOOKUP(D361,'AMFI DATA_2023H1'!B:C,'AMFI DATA_2023H1'!C:C)</f>
        <v>831</v>
      </c>
      <c r="B361" s="4" t="s">
        <v>2867</v>
      </c>
      <c r="C361" s="4" t="s">
        <v>2868</v>
      </c>
      <c r="D361" s="5" t="s">
        <v>2869</v>
      </c>
      <c r="E361" s="5">
        <f>LOOKUP(D361,'AMFI DATA_2023H1'!B:D,'AMFI DATA_2023H1'!D:D)</f>
        <v>1768.87</v>
      </c>
      <c r="F361" s="7">
        <f t="shared" si="1"/>
        <v>-7.5115751864184399E-2</v>
      </c>
      <c r="G361" s="8">
        <v>1636</v>
      </c>
      <c r="H361" s="8">
        <v>1604</v>
      </c>
      <c r="I361" s="8">
        <v>1601</v>
      </c>
      <c r="J361" s="8">
        <v>1614</v>
      </c>
      <c r="K361" s="8">
        <v>1595</v>
      </c>
      <c r="L361" s="8">
        <v>1590</v>
      </c>
      <c r="M361" s="8"/>
      <c r="N361" s="8"/>
      <c r="O361" s="8"/>
      <c r="P361" s="8"/>
      <c r="Q361" s="9">
        <f ca="1">IFERROR(__xludf.DUMMYFUNCTION("GOOGLEFINANCE(C361,""changepct"")"),1.38)</f>
        <v>1.38</v>
      </c>
      <c r="R361" s="8"/>
      <c r="S361" s="8"/>
      <c r="T361" s="8"/>
      <c r="U361" s="8"/>
      <c r="V361" s="8"/>
      <c r="W361" s="8"/>
    </row>
    <row r="362" spans="1:23" ht="14.4">
      <c r="A362" s="3">
        <f>LOOKUP(D362,'AMFI DATA_2023H1'!B:C,'AMFI DATA_2023H1'!C:C)</f>
        <v>2118</v>
      </c>
      <c r="B362" s="4" t="s">
        <v>4901</v>
      </c>
      <c r="C362" s="4" t="s">
        <v>4902</v>
      </c>
      <c r="D362" s="5" t="s">
        <v>4903</v>
      </c>
      <c r="E362" s="5">
        <f>LOOKUP(D362,'AMFI DATA_2023H1'!B:D,'AMFI DATA_2023H1'!D:D)</f>
        <v>118.56</v>
      </c>
      <c r="F362" s="7">
        <f t="shared" si="1"/>
        <v>0.97368421052631571</v>
      </c>
      <c r="G362" s="9">
        <v>234</v>
      </c>
      <c r="H362" s="9">
        <v>225</v>
      </c>
      <c r="I362" s="9">
        <v>226</v>
      </c>
      <c r="J362" s="9">
        <v>224</v>
      </c>
      <c r="K362" s="9">
        <v>227</v>
      </c>
      <c r="L362" s="9">
        <v>228</v>
      </c>
      <c r="M362" s="9"/>
      <c r="N362" s="9"/>
      <c r="O362" s="9"/>
      <c r="P362" s="9"/>
      <c r="Q362" s="9">
        <f ca="1">IFERROR(__xludf.DUMMYFUNCTION("GOOGLEFINANCE(C362,""changepct"")"),13.07)</f>
        <v>13.07</v>
      </c>
      <c r="R362" s="9"/>
      <c r="S362" s="9"/>
      <c r="T362" s="9"/>
      <c r="U362" s="9"/>
      <c r="V362" s="9"/>
      <c r="W362" s="9"/>
    </row>
    <row r="363" spans="1:23" ht="14.4">
      <c r="A363" s="3">
        <f>LOOKUP(D363,'AMFI DATA_2023H1'!B:C,'AMFI DATA_2023H1'!C:C)</f>
        <v>2961</v>
      </c>
      <c r="B363" s="4" t="s">
        <v>5563</v>
      </c>
      <c r="C363" s="4" t="s">
        <v>5564</v>
      </c>
      <c r="D363" s="5" t="s">
        <v>5565</v>
      </c>
      <c r="E363" s="5">
        <f>LOOKUP(D363,'AMFI DATA_2023H1'!B:D,'AMFI DATA_2023H1'!D:D)</f>
        <v>31.98</v>
      </c>
      <c r="F363" s="7">
        <f t="shared" si="1"/>
        <v>0.28517823639774864</v>
      </c>
      <c r="G363" s="9">
        <v>41.1</v>
      </c>
      <c r="H363" s="9">
        <v>41.7</v>
      </c>
      <c r="I363" s="9">
        <v>42.3</v>
      </c>
      <c r="J363" s="9">
        <v>42.3</v>
      </c>
      <c r="K363" s="9">
        <v>41.2</v>
      </c>
      <c r="L363" s="9">
        <v>39.6</v>
      </c>
      <c r="M363" s="9"/>
      <c r="N363" s="9"/>
      <c r="O363" s="9"/>
      <c r="P363" s="9"/>
      <c r="Q363" s="9">
        <f ca="1">IFERROR(__xludf.DUMMYFUNCTION("GOOGLEFINANCE(C363,""changepct"")"),-1.89)</f>
        <v>-1.89</v>
      </c>
      <c r="R363" s="9"/>
      <c r="S363" s="9"/>
      <c r="T363" s="9"/>
      <c r="U363" s="9"/>
      <c r="V363" s="9"/>
      <c r="W363" s="9"/>
    </row>
    <row r="364" spans="1:23" ht="14.4">
      <c r="A364" s="3">
        <f>LOOKUP(D364,'AMFI DATA_2023H1'!B:C,'AMFI DATA_2023H1'!C:C)</f>
        <v>410</v>
      </c>
      <c r="B364" s="4" t="s">
        <v>1209</v>
      </c>
      <c r="C364" s="4" t="s">
        <v>1210</v>
      </c>
      <c r="D364" s="5" t="s">
        <v>1211</v>
      </c>
      <c r="E364" s="5">
        <f>LOOKUP(D364,'AMFI DATA_2023H1'!B:D,'AMFI DATA_2023H1'!D:D)</f>
        <v>7196.94</v>
      </c>
      <c r="F364" s="7">
        <f t="shared" si="1"/>
        <v>0.56747173104124826</v>
      </c>
      <c r="G364" s="8">
        <v>11281</v>
      </c>
      <c r="H364" s="8">
        <v>11406</v>
      </c>
      <c r="I364" s="8">
        <v>11262</v>
      </c>
      <c r="J364" s="8">
        <v>11236</v>
      </c>
      <c r="K364" s="8">
        <v>11380</v>
      </c>
      <c r="L364" s="8">
        <v>11471</v>
      </c>
      <c r="M364" s="8"/>
      <c r="N364" s="8"/>
      <c r="O364" s="8"/>
      <c r="P364" s="8"/>
      <c r="Q364" s="9">
        <f ca="1">IFERROR(__xludf.DUMMYFUNCTION("GOOGLEFINANCE(C364,""changepct"")"),2.1)</f>
        <v>2.1</v>
      </c>
      <c r="R364" s="8"/>
      <c r="S364" s="8"/>
      <c r="T364" s="8"/>
      <c r="U364" s="8"/>
      <c r="V364" s="8"/>
      <c r="W364" s="8"/>
    </row>
    <row r="365" spans="1:23" ht="14.4">
      <c r="A365" s="3">
        <f>LOOKUP(D365,'AMFI DATA_2023H1'!B:C,'AMFI DATA_2023H1'!C:C)</f>
        <v>3855</v>
      </c>
      <c r="B365" s="4" t="s">
        <v>5761</v>
      </c>
      <c r="C365" s="4" t="s">
        <v>5762</v>
      </c>
      <c r="D365" s="5" t="s">
        <v>5763</v>
      </c>
      <c r="E365" s="5">
        <f>LOOKUP(D365,'AMFI DATA_2023H1'!B:D,'AMFI DATA_2023H1'!D:D)</f>
        <v>8.6199999999999992</v>
      </c>
      <c r="F365" s="7">
        <f t="shared" si="1"/>
        <v>1.1600928074246175E-2</v>
      </c>
      <c r="G365" s="9">
        <v>8.7200000000000006</v>
      </c>
      <c r="H365" s="9">
        <v>8.02</v>
      </c>
      <c r="I365" s="9">
        <v>8.6300000000000008</v>
      </c>
      <c r="J365" s="9">
        <v>8.82</v>
      </c>
      <c r="K365" s="9">
        <v>8.33</v>
      </c>
      <c r="L365" s="9">
        <v>8.43</v>
      </c>
      <c r="M365" s="9"/>
      <c r="N365" s="9"/>
      <c r="O365" s="9"/>
      <c r="P365" s="9"/>
      <c r="Q365" s="9">
        <f ca="1">IFERROR(__xludf.DUMMYFUNCTION("GOOGLEFINANCE(C365,""changepct"")"),17.35)</f>
        <v>17.350000000000001</v>
      </c>
      <c r="R365" s="9"/>
      <c r="S365" s="9"/>
      <c r="T365" s="9"/>
      <c r="U365" s="9"/>
      <c r="V365" s="9"/>
      <c r="W365" s="9"/>
    </row>
    <row r="366" spans="1:23" ht="14.4">
      <c r="A366" s="3">
        <f>LOOKUP(D366,'AMFI DATA_2023H1'!B:C,'AMFI DATA_2023H1'!C:C)</f>
        <v>1270</v>
      </c>
      <c r="B366" s="4" t="s">
        <v>3572</v>
      </c>
      <c r="C366" s="4" t="s">
        <v>3573</v>
      </c>
      <c r="D366" s="5" t="s">
        <v>3574</v>
      </c>
      <c r="E366" s="5">
        <f>LOOKUP(D366,'AMFI DATA_2023H1'!B:D,'AMFI DATA_2023H1'!D:D)</f>
        <v>568.46</v>
      </c>
      <c r="F366" s="7">
        <f t="shared" si="1"/>
        <v>1.0212503958062134</v>
      </c>
      <c r="G366" s="8">
        <v>1149</v>
      </c>
      <c r="H366" s="8">
        <v>1062</v>
      </c>
      <c r="I366" s="8">
        <v>999</v>
      </c>
      <c r="J366" s="8">
        <v>1004</v>
      </c>
      <c r="K366" s="8">
        <v>1026</v>
      </c>
      <c r="L366" s="8">
        <v>1040</v>
      </c>
      <c r="M366" s="8"/>
      <c r="N366" s="8"/>
      <c r="O366" s="8"/>
      <c r="P366" s="8"/>
      <c r="Q366" s="9">
        <f ca="1">IFERROR(__xludf.DUMMYFUNCTION("GOOGLEFINANCE(C366,""changepct"")"),2.37)</f>
        <v>2.37</v>
      </c>
      <c r="R366" s="8"/>
      <c r="S366" s="8"/>
      <c r="T366" s="8"/>
      <c r="U366" s="8"/>
      <c r="V366" s="8"/>
      <c r="W366" s="8"/>
    </row>
    <row r="367" spans="1:23" ht="14.4">
      <c r="A367" s="3">
        <f>LOOKUP(D367,'AMFI DATA_2023H1'!B:C,'AMFI DATA_2023H1'!C:C)</f>
        <v>261</v>
      </c>
      <c r="B367" s="4" t="s">
        <v>726</v>
      </c>
      <c r="C367" s="4" t="s">
        <v>727</v>
      </c>
      <c r="D367" s="5" t="s">
        <v>728</v>
      </c>
      <c r="E367" s="5">
        <f>LOOKUP(D367,'AMFI DATA_2023H1'!B:D,'AMFI DATA_2023H1'!D:D)</f>
        <v>15994.88</v>
      </c>
      <c r="F367" s="7">
        <f t="shared" si="1"/>
        <v>0.58644516245198464</v>
      </c>
      <c r="G367" s="8">
        <v>25375</v>
      </c>
      <c r="H367" s="8">
        <v>25405</v>
      </c>
      <c r="I367" s="8">
        <v>25258</v>
      </c>
      <c r="J367" s="8">
        <v>25509</v>
      </c>
      <c r="K367" s="8">
        <v>25691</v>
      </c>
      <c r="L367" s="8">
        <v>25906</v>
      </c>
      <c r="M367" s="8"/>
      <c r="N367" s="8"/>
      <c r="O367" s="8"/>
      <c r="P367" s="8"/>
      <c r="Q367" s="9">
        <f ca="1">IFERROR(__xludf.DUMMYFUNCTION("GOOGLEFINANCE(C367,""changepct"")"),1.16)</f>
        <v>1.1599999999999999</v>
      </c>
      <c r="R367" s="8"/>
      <c r="S367" s="8"/>
      <c r="T367" s="8"/>
      <c r="U367" s="8"/>
      <c r="V367" s="8"/>
      <c r="W367" s="8"/>
    </row>
    <row r="368" spans="1:23" ht="14.4">
      <c r="A368" s="3">
        <f>LOOKUP(D368,'AMFI DATA_2023H1'!B:C,'AMFI DATA_2023H1'!C:C)</f>
        <v>1310</v>
      </c>
      <c r="B368" s="4" t="s">
        <v>3662</v>
      </c>
      <c r="C368" s="4" t="s">
        <v>3663</v>
      </c>
      <c r="D368" s="5" t="s">
        <v>3664</v>
      </c>
      <c r="E368" s="5">
        <f>LOOKUP(D368,'AMFI DATA_2023H1'!B:D,'AMFI DATA_2023H1'!D:D)</f>
        <v>506.94</v>
      </c>
      <c r="F368" s="7">
        <f t="shared" si="1"/>
        <v>0.66883654870398868</v>
      </c>
      <c r="G368" s="9">
        <v>846</v>
      </c>
      <c r="H368" s="9">
        <v>820</v>
      </c>
      <c r="I368" s="9">
        <v>842</v>
      </c>
      <c r="J368" s="9">
        <v>829</v>
      </c>
      <c r="K368" s="9">
        <v>852</v>
      </c>
      <c r="L368" s="9">
        <v>857</v>
      </c>
      <c r="M368" s="9"/>
      <c r="N368" s="9"/>
      <c r="O368" s="9"/>
      <c r="P368" s="9"/>
      <c r="Q368" s="9">
        <f ca="1">IFERROR(__xludf.DUMMYFUNCTION("GOOGLEFINANCE(C368,""changepct"")"),3.14)</f>
        <v>3.14</v>
      </c>
      <c r="R368" s="9"/>
      <c r="S368" s="9"/>
      <c r="T368" s="9"/>
      <c r="U368" s="9"/>
      <c r="V368" s="9"/>
      <c r="W368" s="9"/>
    </row>
    <row r="369" spans="1:23" ht="14.4">
      <c r="A369" s="3">
        <f>LOOKUP(D369,'AMFI DATA_2023H1'!B:C,'AMFI DATA_2023H1'!C:C)</f>
        <v>196</v>
      </c>
      <c r="B369" s="4" t="s">
        <v>636</v>
      </c>
      <c r="C369" s="4" t="s">
        <v>637</v>
      </c>
      <c r="D369" s="5" t="s">
        <v>638</v>
      </c>
      <c r="E369" s="5">
        <f>LOOKUP(D369,'AMFI DATA_2023H1'!B:D,'AMFI DATA_2023H1'!D:D)</f>
        <v>24715.11</v>
      </c>
      <c r="F369" s="7">
        <f t="shared" si="1"/>
        <v>0.26525837837662869</v>
      </c>
      <c r="G369" s="8">
        <v>31271</v>
      </c>
      <c r="H369" s="8">
        <v>31728</v>
      </c>
      <c r="I369" s="8">
        <v>31178</v>
      </c>
      <c r="J369" s="8">
        <v>31586</v>
      </c>
      <c r="K369" s="8">
        <v>32108</v>
      </c>
      <c r="L369" s="8">
        <v>31830</v>
      </c>
      <c r="M369" s="8"/>
      <c r="N369" s="8"/>
      <c r="O369" s="8"/>
      <c r="P369" s="8"/>
      <c r="Q369" s="9">
        <f ca="1">IFERROR(__xludf.DUMMYFUNCTION("GOOGLEFINANCE(C369,""changepct"")"),-1.44)</f>
        <v>-1.44</v>
      </c>
      <c r="R369" s="8"/>
      <c r="S369" s="8"/>
      <c r="T369" s="8"/>
      <c r="U369" s="8"/>
      <c r="V369" s="8"/>
      <c r="W369" s="8"/>
    </row>
    <row r="370" spans="1:23" ht="14.4">
      <c r="A370" s="3">
        <f>LOOKUP(D370,'AMFI DATA_2023H1'!B:C,'AMFI DATA_2023H1'!C:C)</f>
        <v>237</v>
      </c>
      <c r="B370" s="4" t="s">
        <v>843</v>
      </c>
      <c r="C370" s="4" t="s">
        <v>844</v>
      </c>
      <c r="D370" s="5" t="s">
        <v>845</v>
      </c>
      <c r="E370" s="5">
        <f>LOOKUP(D370,'AMFI DATA_2023H1'!B:D,'AMFI DATA_2023H1'!D:D)</f>
        <v>18774.3</v>
      </c>
      <c r="F370" s="7">
        <f t="shared" si="1"/>
        <v>7.023963609828332E-2</v>
      </c>
      <c r="G370" s="8">
        <v>20093</v>
      </c>
      <c r="H370" s="8">
        <v>19900</v>
      </c>
      <c r="I370" s="8">
        <v>19043</v>
      </c>
      <c r="J370" s="8">
        <v>19206</v>
      </c>
      <c r="K370" s="8">
        <v>19215</v>
      </c>
      <c r="L370" s="8">
        <v>19321</v>
      </c>
      <c r="M370" s="8"/>
      <c r="N370" s="8"/>
      <c r="O370" s="8"/>
      <c r="P370" s="8"/>
      <c r="Q370" s="9">
        <f ca="1">IFERROR(__xludf.DUMMYFUNCTION("GOOGLEFINANCE(C370,""changepct"")"),0.19)</f>
        <v>0.19</v>
      </c>
      <c r="R370" s="8"/>
      <c r="S370" s="8"/>
      <c r="T370" s="8"/>
      <c r="U370" s="8"/>
      <c r="V370" s="8"/>
      <c r="W370" s="8"/>
    </row>
    <row r="371" spans="1:23" ht="14.4">
      <c r="A371" s="3">
        <f>LOOKUP(D371,'AMFI DATA_2023H1'!B:C,'AMFI DATA_2023H1'!C:C)</f>
        <v>2835</v>
      </c>
      <c r="B371" s="4" t="s">
        <v>5383</v>
      </c>
      <c r="C371" s="4" t="s">
        <v>5384</v>
      </c>
      <c r="D371" s="5" t="s">
        <v>5385</v>
      </c>
      <c r="E371" s="5">
        <f>LOOKUP(D371,'AMFI DATA_2023H1'!B:D,'AMFI DATA_2023H1'!D:D)</f>
        <v>38.340000000000003</v>
      </c>
      <c r="F371" s="7">
        <f t="shared" si="1"/>
        <v>2.1038080333854978</v>
      </c>
      <c r="G371" s="9">
        <v>119</v>
      </c>
      <c r="H371" s="9">
        <v>117</v>
      </c>
      <c r="I371" s="9">
        <v>115</v>
      </c>
      <c r="J371" s="9">
        <v>113</v>
      </c>
      <c r="K371" s="9">
        <v>113</v>
      </c>
      <c r="L371" s="9">
        <v>110</v>
      </c>
      <c r="M371" s="9"/>
      <c r="N371" s="9"/>
      <c r="O371" s="9"/>
      <c r="P371" s="9"/>
      <c r="Q371" s="9">
        <f ca="1">IFERROR(__xludf.DUMMYFUNCTION("GOOGLEFINANCE(C371,""changepct"")"),-1.16)</f>
        <v>-1.1599999999999999</v>
      </c>
      <c r="R371" s="9"/>
      <c r="S371" s="9"/>
      <c r="T371" s="9"/>
      <c r="U371" s="9"/>
      <c r="V371" s="9"/>
      <c r="W371" s="9"/>
    </row>
    <row r="372" spans="1:23" ht="14.4">
      <c r="A372" s="3">
        <f>LOOKUP(D372,'AMFI DATA_2023H1'!B:C,'AMFI DATA_2023H1'!C:C)</f>
        <v>540</v>
      </c>
      <c r="B372" s="4" t="s">
        <v>1710</v>
      </c>
      <c r="C372" s="4" t="s">
        <v>1711</v>
      </c>
      <c r="D372" s="5" t="s">
        <v>1712</v>
      </c>
      <c r="E372" s="5">
        <f>LOOKUP(D372,'AMFI DATA_2023H1'!B:D,'AMFI DATA_2023H1'!D:D)</f>
        <v>4505.3599999999997</v>
      </c>
      <c r="F372" s="7">
        <f t="shared" si="1"/>
        <v>0.6083065504199443</v>
      </c>
      <c r="G372" s="8">
        <v>7246</v>
      </c>
      <c r="H372" s="8">
        <v>7252</v>
      </c>
      <c r="I372" s="8">
        <v>7022</v>
      </c>
      <c r="J372" s="8">
        <v>6953</v>
      </c>
      <c r="K372" s="8">
        <v>6894</v>
      </c>
      <c r="L372" s="8">
        <v>6882</v>
      </c>
      <c r="M372" s="8"/>
      <c r="N372" s="8"/>
      <c r="O372" s="8"/>
      <c r="P372" s="8"/>
      <c r="Q372" s="9">
        <f ca="1">IFERROR(__xludf.DUMMYFUNCTION("GOOGLEFINANCE(C372,""changepct"")"),3.45)</f>
        <v>3.45</v>
      </c>
      <c r="R372" s="8"/>
      <c r="S372" s="8"/>
      <c r="T372" s="8"/>
      <c r="U372" s="8"/>
      <c r="V372" s="8"/>
      <c r="W372" s="8"/>
    </row>
    <row r="373" spans="1:23" ht="14.4">
      <c r="A373" s="3">
        <f>LOOKUP(D373,'AMFI DATA_2023H1'!B:C,'AMFI DATA_2023H1'!C:C)</f>
        <v>1322</v>
      </c>
      <c r="B373" s="4" t="s">
        <v>3599</v>
      </c>
      <c r="C373" s="4" t="s">
        <v>3600</v>
      </c>
      <c r="D373" s="5" t="s">
        <v>3601</v>
      </c>
      <c r="E373" s="5">
        <f>LOOKUP(D373,'AMFI DATA_2023H1'!B:D,'AMFI DATA_2023H1'!D:D)</f>
        <v>488.36</v>
      </c>
      <c r="F373" s="7">
        <f t="shared" si="1"/>
        <v>1.109099844377099</v>
      </c>
      <c r="G373" s="8">
        <v>1030</v>
      </c>
      <c r="H373" s="8">
        <v>1032</v>
      </c>
      <c r="I373" s="8">
        <v>1045</v>
      </c>
      <c r="J373" s="8">
        <v>1042</v>
      </c>
      <c r="K373" s="8">
        <v>1050</v>
      </c>
      <c r="L373" s="8">
        <v>1030</v>
      </c>
      <c r="M373" s="8"/>
      <c r="N373" s="8"/>
      <c r="O373" s="8"/>
      <c r="P373" s="8"/>
      <c r="Q373" s="9">
        <f ca="1">IFERROR(__xludf.DUMMYFUNCTION("GOOGLEFINANCE(C373,""changepct"")"),1.96)</f>
        <v>1.96</v>
      </c>
      <c r="R373" s="8"/>
      <c r="S373" s="8"/>
      <c r="T373" s="8"/>
      <c r="U373" s="8"/>
      <c r="V373" s="8"/>
      <c r="W373" s="8"/>
    </row>
    <row r="374" spans="1:23" ht="14.4">
      <c r="A374" s="3">
        <f>LOOKUP(D374,'AMFI DATA_2023H1'!B:C,'AMFI DATA_2023H1'!C:C)</f>
        <v>2638</v>
      </c>
      <c r="B374" s="4" t="s">
        <v>5374</v>
      </c>
      <c r="C374" s="4" t="s">
        <v>5375</v>
      </c>
      <c r="D374" s="5" t="s">
        <v>5376</v>
      </c>
      <c r="E374" s="5">
        <f>LOOKUP(D374,'AMFI DATA_2023H1'!B:D,'AMFI DATA_2023H1'!D:D)</f>
        <v>50.1</v>
      </c>
      <c r="F374" s="7">
        <f t="shared" si="1"/>
        <v>0.85828343313373234</v>
      </c>
      <c r="G374" s="9">
        <v>93.1</v>
      </c>
      <c r="H374" s="9">
        <v>91.7</v>
      </c>
      <c r="I374" s="9">
        <v>88.9</v>
      </c>
      <c r="J374" s="9">
        <v>87.6</v>
      </c>
      <c r="K374" s="9">
        <v>89.4</v>
      </c>
      <c r="L374" s="9">
        <v>90.1</v>
      </c>
      <c r="M374" s="9"/>
      <c r="N374" s="9"/>
      <c r="O374" s="9"/>
      <c r="P374" s="9"/>
      <c r="Q374" s="9">
        <f ca="1">IFERROR(__xludf.DUMMYFUNCTION("GOOGLEFINANCE(C374,""changepct"")"),3.98)</f>
        <v>3.98</v>
      </c>
      <c r="R374" s="9"/>
      <c r="S374" s="9"/>
      <c r="T374" s="9"/>
      <c r="U374" s="9"/>
      <c r="V374" s="9"/>
      <c r="W374" s="9"/>
    </row>
    <row r="375" spans="1:23" ht="14.4">
      <c r="A375" s="3">
        <f>LOOKUP(D375,'AMFI DATA_2023H1'!B:C,'AMFI DATA_2023H1'!C:C)</f>
        <v>115</v>
      </c>
      <c r="B375" s="4" t="s">
        <v>393</v>
      </c>
      <c r="C375" s="4" t="s">
        <v>394</v>
      </c>
      <c r="D375" s="5" t="s">
        <v>395</v>
      </c>
      <c r="E375" s="5">
        <f>LOOKUP(D375,'AMFI DATA_2023H1'!B:D,'AMFI DATA_2023H1'!D:D)</f>
        <v>44734.54</v>
      </c>
      <c r="F375" s="7">
        <f t="shared" si="1"/>
        <v>0.20866337286579895</v>
      </c>
      <c r="G375" s="8">
        <v>54069</v>
      </c>
      <c r="H375" s="8">
        <v>54279</v>
      </c>
      <c r="I375" s="8">
        <v>54026</v>
      </c>
      <c r="J375" s="8">
        <v>55055</v>
      </c>
      <c r="K375" s="8">
        <v>56197</v>
      </c>
      <c r="L375" s="8">
        <v>55805</v>
      </c>
      <c r="M375" s="8"/>
      <c r="N375" s="8"/>
      <c r="O375" s="8"/>
      <c r="P375" s="8"/>
      <c r="Q375" s="9">
        <f ca="1">IFERROR(__xludf.DUMMYFUNCTION("GOOGLEFINANCE(C375,""changepct"")"),2.68)</f>
        <v>2.68</v>
      </c>
      <c r="R375" s="8"/>
      <c r="S375" s="8"/>
      <c r="T375" s="8"/>
      <c r="U375" s="8"/>
      <c r="V375" s="8"/>
      <c r="W375" s="8"/>
    </row>
    <row r="376" spans="1:23" ht="14.4">
      <c r="A376" s="3">
        <f>LOOKUP(D376,'AMFI DATA_2023H1'!B:C,'AMFI DATA_2023H1'!C:C)</f>
        <v>1495</v>
      </c>
      <c r="B376" s="4" t="s">
        <v>3677</v>
      </c>
      <c r="C376" s="4" t="s">
        <v>3678</v>
      </c>
      <c r="D376" s="5" t="s">
        <v>3679</v>
      </c>
      <c r="E376" s="5">
        <f>LOOKUP(D376,'AMFI DATA_2023H1'!B:D,'AMFI DATA_2023H1'!D:D)</f>
        <v>349.52</v>
      </c>
      <c r="F376" s="7">
        <f t="shared" si="1"/>
        <v>3.4775692378118563</v>
      </c>
      <c r="G376" s="8">
        <v>1565</v>
      </c>
      <c r="H376" s="8">
        <v>1496</v>
      </c>
      <c r="I376" s="8">
        <v>1425</v>
      </c>
      <c r="J376" s="8">
        <v>1357</v>
      </c>
      <c r="K376" s="8">
        <v>1290</v>
      </c>
      <c r="L376" s="8">
        <v>1230</v>
      </c>
      <c r="M376" s="8"/>
      <c r="N376" s="8"/>
      <c r="O376" s="8"/>
      <c r="P376" s="8"/>
      <c r="Q376" s="9">
        <f ca="1">IFERROR(__xludf.DUMMYFUNCTION("GOOGLEFINANCE(C376,""changepct"")"),-0.25)</f>
        <v>-0.25</v>
      </c>
      <c r="R376" s="8"/>
      <c r="S376" s="8"/>
      <c r="T376" s="8"/>
      <c r="U376" s="8"/>
      <c r="V376" s="8"/>
      <c r="W376" s="8"/>
    </row>
    <row r="377" spans="1:23" ht="14.4">
      <c r="A377" s="3">
        <f>LOOKUP(D377,'AMFI DATA_2023H1'!B:C,'AMFI DATA_2023H1'!C:C)</f>
        <v>3085</v>
      </c>
      <c r="B377" s="4" t="s">
        <v>5602</v>
      </c>
      <c r="C377" s="4" t="s">
        <v>5603</v>
      </c>
      <c r="D377" s="5" t="s">
        <v>5604</v>
      </c>
      <c r="E377" s="5">
        <f>LOOKUP(D377,'AMFI DATA_2023H1'!B:D,'AMFI DATA_2023H1'!D:D)</f>
        <v>27.05</v>
      </c>
      <c r="F377" s="7">
        <f t="shared" si="1"/>
        <v>0.78188539741219976</v>
      </c>
      <c r="G377" s="9">
        <v>48.2</v>
      </c>
      <c r="H377" s="9">
        <v>49.2</v>
      </c>
      <c r="I377" s="9">
        <v>49.8</v>
      </c>
      <c r="J377" s="9">
        <v>51.3</v>
      </c>
      <c r="K377" s="9">
        <v>50.7</v>
      </c>
      <c r="L377" s="9">
        <v>51.3</v>
      </c>
      <c r="M377" s="9"/>
      <c r="N377" s="9"/>
      <c r="O377" s="9"/>
      <c r="P377" s="9"/>
      <c r="Q377" s="9">
        <f ca="1">IFERROR(__xludf.DUMMYFUNCTION("GOOGLEFINANCE(C377,""changepct"")"),10.77)</f>
        <v>10.77</v>
      </c>
      <c r="R377" s="9"/>
      <c r="S377" s="9"/>
      <c r="T377" s="9"/>
      <c r="U377" s="9"/>
      <c r="V377" s="9"/>
      <c r="W377" s="9"/>
    </row>
    <row r="378" spans="1:23" ht="14.4">
      <c r="A378" s="3">
        <f>LOOKUP(D378,'AMFI DATA_2023H1'!B:C,'AMFI DATA_2023H1'!C:C)</f>
        <v>1480</v>
      </c>
      <c r="B378" s="4" t="s">
        <v>4148</v>
      </c>
      <c r="C378" s="4" t="s">
        <v>4149</v>
      </c>
      <c r="D378" s="5" t="s">
        <v>4150</v>
      </c>
      <c r="E378" s="5">
        <f>LOOKUP(D378,'AMFI DATA_2023H1'!B:D,'AMFI DATA_2023H1'!D:D)</f>
        <v>357.91</v>
      </c>
      <c r="F378" s="7">
        <f t="shared" si="1"/>
        <v>0.56184515660361534</v>
      </c>
      <c r="G378" s="9">
        <v>559</v>
      </c>
      <c r="H378" s="9">
        <v>568</v>
      </c>
      <c r="I378" s="9">
        <v>568</v>
      </c>
      <c r="J378" s="9">
        <v>543</v>
      </c>
      <c r="K378" s="9">
        <v>560</v>
      </c>
      <c r="L378" s="9">
        <v>542</v>
      </c>
      <c r="M378" s="9"/>
      <c r="N378" s="9"/>
      <c r="O378" s="9"/>
      <c r="P378" s="9"/>
      <c r="Q378" s="9">
        <f ca="1">IFERROR(__xludf.DUMMYFUNCTION("GOOGLEFINANCE(C378,""changepct"")"),1.92)</f>
        <v>1.92</v>
      </c>
      <c r="R378" s="9"/>
      <c r="S378" s="9"/>
      <c r="T378" s="9"/>
      <c r="U378" s="9"/>
      <c r="V378" s="9"/>
      <c r="W378" s="9"/>
    </row>
    <row r="379" spans="1:23" ht="14.4">
      <c r="A379" s="3">
        <f>LOOKUP(D379,'AMFI DATA_2023H1'!B:C,'AMFI DATA_2023H1'!C:C)</f>
        <v>305</v>
      </c>
      <c r="B379" s="4" t="s">
        <v>1836</v>
      </c>
      <c r="C379" s="4" t="s">
        <v>1837</v>
      </c>
      <c r="D379" s="5" t="s">
        <v>1838</v>
      </c>
      <c r="E379" s="5">
        <f>LOOKUP(D379,'AMFI DATA_2023H1'!B:D,'AMFI DATA_2023H1'!D:D)</f>
        <v>12090.43</v>
      </c>
      <c r="F379" s="7">
        <f t="shared" si="1"/>
        <v>-0.55692229308635011</v>
      </c>
      <c r="G379" s="8">
        <v>5357</v>
      </c>
      <c r="H379" s="8">
        <v>5352</v>
      </c>
      <c r="I379" s="8">
        <v>5348</v>
      </c>
      <c r="J379" s="8">
        <v>5268</v>
      </c>
      <c r="K379" s="8">
        <v>5299</v>
      </c>
      <c r="L379" s="8">
        <v>5289</v>
      </c>
      <c r="M379" s="8"/>
      <c r="N379" s="8"/>
      <c r="O379" s="8"/>
      <c r="P379" s="8"/>
      <c r="Q379" s="9">
        <f ca="1">IFERROR(__xludf.DUMMYFUNCTION("GOOGLEFINANCE(C379,""changepct"")"),0.17)</f>
        <v>0.17</v>
      </c>
      <c r="R379" s="8"/>
      <c r="S379" s="8"/>
      <c r="T379" s="8"/>
      <c r="U379" s="8"/>
      <c r="V379" s="8"/>
      <c r="W379" s="8"/>
    </row>
    <row r="380" spans="1:23" ht="14.4">
      <c r="A380" s="3">
        <f>LOOKUP(D380,'AMFI DATA_2023H1'!B:C,'AMFI DATA_2023H1'!C:C)</f>
        <v>305</v>
      </c>
      <c r="B380" s="4" t="s">
        <v>840</v>
      </c>
      <c r="C380" s="4" t="s">
        <v>841</v>
      </c>
      <c r="D380" s="5" t="s">
        <v>842</v>
      </c>
      <c r="E380" s="5">
        <f>LOOKUP(D380,'AMFI DATA_2023H1'!B:D,'AMFI DATA_2023H1'!D:D)</f>
        <v>12090.43</v>
      </c>
      <c r="F380" s="7">
        <f t="shared" si="1"/>
        <v>1.1086925775179211</v>
      </c>
      <c r="G380" s="8">
        <v>25495</v>
      </c>
      <c r="H380" s="8">
        <v>25402</v>
      </c>
      <c r="I380" s="8">
        <v>25231</v>
      </c>
      <c r="J380" s="8">
        <v>25835</v>
      </c>
      <c r="K380" s="8">
        <v>26003</v>
      </c>
      <c r="L380" s="8">
        <v>26463</v>
      </c>
      <c r="M380" s="8"/>
      <c r="N380" s="8"/>
      <c r="O380" s="8"/>
      <c r="P380" s="8"/>
      <c r="Q380" s="9">
        <f ca="1">IFERROR(__xludf.DUMMYFUNCTION("GOOGLEFINANCE(C380,""changepct"")"),2.11)</f>
        <v>2.11</v>
      </c>
      <c r="R380" s="8"/>
      <c r="S380" s="8"/>
      <c r="T380" s="8"/>
      <c r="U380" s="8"/>
      <c r="V380" s="8"/>
      <c r="W380" s="8"/>
    </row>
    <row r="381" spans="1:23" ht="14.4">
      <c r="A381" s="3">
        <f>LOOKUP(D381,'AMFI DATA_2023H1'!B:C,'AMFI DATA_2023H1'!C:C)</f>
        <v>686</v>
      </c>
      <c r="B381" s="4" t="s">
        <v>1737</v>
      </c>
      <c r="C381" s="4" t="s">
        <v>1738</v>
      </c>
      <c r="D381" s="5" t="s">
        <v>1739</v>
      </c>
      <c r="E381" s="5">
        <f>LOOKUP(D381,'AMFI DATA_2023H1'!B:D,'AMFI DATA_2023H1'!D:D)</f>
        <v>2655.4</v>
      </c>
      <c r="F381" s="7">
        <f t="shared" si="1"/>
        <v>2.515101303005197</v>
      </c>
      <c r="G381" s="8">
        <v>9334</v>
      </c>
      <c r="H381" s="8">
        <v>9317</v>
      </c>
      <c r="I381" s="8">
        <v>9011</v>
      </c>
      <c r="J381" s="8">
        <v>9219</v>
      </c>
      <c r="K381" s="8">
        <v>9412</v>
      </c>
      <c r="L381" s="8">
        <v>9623</v>
      </c>
      <c r="M381" s="8"/>
      <c r="N381" s="8"/>
      <c r="O381" s="8"/>
      <c r="P381" s="8"/>
      <c r="Q381" s="9">
        <f ca="1">IFERROR(__xludf.DUMMYFUNCTION("GOOGLEFINANCE(C381,""changepct"")"),6.16)</f>
        <v>6.16</v>
      </c>
      <c r="R381" s="8"/>
      <c r="S381" s="8"/>
      <c r="T381" s="8"/>
      <c r="U381" s="8"/>
      <c r="V381" s="8"/>
      <c r="W381" s="8"/>
    </row>
    <row r="382" spans="1:23" ht="14.4">
      <c r="A382" s="3">
        <f>LOOKUP(D382,'AMFI DATA_2023H1'!B:C,'AMFI DATA_2023H1'!C:C)</f>
        <v>1283</v>
      </c>
      <c r="B382" s="4" t="s">
        <v>3479</v>
      </c>
      <c r="C382" s="4" t="s">
        <v>3480</v>
      </c>
      <c r="D382" s="5" t="s">
        <v>3481</v>
      </c>
      <c r="E382" s="5">
        <f>LOOKUP(D382,'AMFI DATA_2023H1'!B:D,'AMFI DATA_2023H1'!D:D)</f>
        <v>550.80999999999995</v>
      </c>
      <c r="F382" s="7">
        <f t="shared" si="1"/>
        <v>0.59764710154136647</v>
      </c>
      <c r="G382" s="9">
        <v>880</v>
      </c>
      <c r="H382" s="9">
        <v>896</v>
      </c>
      <c r="I382" s="9">
        <v>909</v>
      </c>
      <c r="J382" s="9">
        <v>924</v>
      </c>
      <c r="K382" s="9">
        <v>928</v>
      </c>
      <c r="L382" s="9">
        <v>923</v>
      </c>
      <c r="M382" s="9"/>
      <c r="N382" s="9"/>
      <c r="O382" s="9"/>
      <c r="P382" s="9"/>
      <c r="Q382" s="9">
        <f ca="1">IFERROR(__xludf.DUMMYFUNCTION("GOOGLEFINANCE(C382,""changepct"")"),0.5)</f>
        <v>0.5</v>
      </c>
      <c r="R382" s="9"/>
      <c r="S382" s="9"/>
      <c r="T382" s="9"/>
      <c r="U382" s="9"/>
      <c r="V382" s="9"/>
      <c r="W382" s="9"/>
    </row>
    <row r="383" spans="1:23" ht="14.4">
      <c r="A383" s="3">
        <f>LOOKUP(D383,'AMFI DATA_2023H1'!B:C,'AMFI DATA_2023H1'!C:C)</f>
        <v>1215</v>
      </c>
      <c r="B383" s="4" t="s">
        <v>3275</v>
      </c>
      <c r="C383" s="4" t="s">
        <v>3276</v>
      </c>
      <c r="D383" s="5" t="s">
        <v>3277</v>
      </c>
      <c r="E383" s="5">
        <f>LOOKUP(D383,'AMFI DATA_2023H1'!B:D,'AMFI DATA_2023H1'!D:D)</f>
        <v>671.24</v>
      </c>
      <c r="F383" s="7">
        <f t="shared" si="1"/>
        <v>1.2167928013825158</v>
      </c>
      <c r="G383" s="8">
        <v>1488</v>
      </c>
      <c r="H383" s="8">
        <v>1479</v>
      </c>
      <c r="I383" s="8">
        <v>1504</v>
      </c>
      <c r="J383" s="8">
        <v>1461</v>
      </c>
      <c r="K383" s="8">
        <v>1391</v>
      </c>
      <c r="L383" s="8">
        <v>1325</v>
      </c>
      <c r="M383" s="8"/>
      <c r="N383" s="8"/>
      <c r="O383" s="8"/>
      <c r="P383" s="8"/>
      <c r="Q383" s="9">
        <f ca="1">IFERROR(__xludf.DUMMYFUNCTION("GOOGLEFINANCE(C383,""changepct"")"),0.09)</f>
        <v>0.09</v>
      </c>
      <c r="R383" s="8"/>
      <c r="S383" s="8"/>
      <c r="T383" s="8"/>
      <c r="U383" s="8"/>
      <c r="V383" s="8"/>
      <c r="W383" s="8"/>
    </row>
    <row r="384" spans="1:23" ht="14.4">
      <c r="A384" s="3">
        <f>LOOKUP(D384,'AMFI DATA_2023H1'!B:C,'AMFI DATA_2023H1'!C:C)</f>
        <v>774</v>
      </c>
      <c r="B384" s="4" t="s">
        <v>1905</v>
      </c>
      <c r="C384" s="4" t="s">
        <v>1906</v>
      </c>
      <c r="D384" s="5" t="s">
        <v>1907</v>
      </c>
      <c r="E384" s="5">
        <f>LOOKUP(D384,'AMFI DATA_2023H1'!B:D,'AMFI DATA_2023H1'!D:D)</f>
        <v>2072.4</v>
      </c>
      <c r="F384" s="7">
        <f t="shared" si="1"/>
        <v>1.2510133178922986</v>
      </c>
      <c r="G384" s="8">
        <v>4665</v>
      </c>
      <c r="H384" s="8">
        <v>4737</v>
      </c>
      <c r="I384" s="8">
        <v>4470</v>
      </c>
      <c r="J384" s="8">
        <v>4561</v>
      </c>
      <c r="K384" s="8">
        <v>4595</v>
      </c>
      <c r="L384" s="8">
        <v>4496</v>
      </c>
      <c r="M384" s="8"/>
      <c r="N384" s="8"/>
      <c r="O384" s="8"/>
      <c r="P384" s="8"/>
      <c r="Q384" s="9">
        <f ca="1">IFERROR(__xludf.DUMMYFUNCTION("GOOGLEFINANCE(C384,""changepct"")"),8.47)</f>
        <v>8.4700000000000006</v>
      </c>
      <c r="R384" s="8"/>
      <c r="S384" s="8"/>
      <c r="T384" s="8"/>
      <c r="U384" s="8"/>
      <c r="V384" s="8"/>
      <c r="W384" s="8"/>
    </row>
    <row r="385" spans="1:23" ht="14.4">
      <c r="A385" s="3">
        <f>LOOKUP(D385,'AMFI DATA_2023H1'!B:C,'AMFI DATA_2023H1'!C:C)</f>
        <v>54</v>
      </c>
      <c r="B385" s="4" t="s">
        <v>183</v>
      </c>
      <c r="C385" s="4" t="s">
        <v>184</v>
      </c>
      <c r="D385" s="5" t="s">
        <v>185</v>
      </c>
      <c r="E385" s="5">
        <f>LOOKUP(D385,'AMFI DATA_2023H1'!B:D,'AMFI DATA_2023H1'!D:D)</f>
        <v>95932.51</v>
      </c>
      <c r="F385" s="7">
        <f t="shared" si="1"/>
        <v>2.8598125911643457E-2</v>
      </c>
      <c r="G385" s="8">
        <v>98676</v>
      </c>
      <c r="H385" s="8">
        <v>98694</v>
      </c>
      <c r="I385" s="8">
        <v>96257</v>
      </c>
      <c r="J385" s="8">
        <v>94804</v>
      </c>
      <c r="K385" s="8">
        <v>94015</v>
      </c>
      <c r="L385" s="8">
        <v>93794</v>
      </c>
      <c r="M385" s="8"/>
      <c r="N385" s="8"/>
      <c r="O385" s="8"/>
      <c r="P385" s="8"/>
      <c r="Q385" s="9">
        <f ca="1">IFERROR(__xludf.DUMMYFUNCTION("GOOGLEFINANCE(C385,""changepct"")"),-0.27)</f>
        <v>-0.27</v>
      </c>
      <c r="R385" s="8"/>
      <c r="S385" s="8"/>
      <c r="T385" s="8"/>
      <c r="U385" s="8"/>
      <c r="V385" s="8"/>
      <c r="W385" s="8"/>
    </row>
    <row r="386" spans="1:23" ht="14.4">
      <c r="A386" s="3">
        <f>LOOKUP(D386,'AMFI DATA_2023H1'!B:C,'AMFI DATA_2023H1'!C:C)</f>
        <v>142</v>
      </c>
      <c r="B386" s="4" t="s">
        <v>495</v>
      </c>
      <c r="C386" s="4" t="s">
        <v>496</v>
      </c>
      <c r="D386" s="5" t="s">
        <v>497</v>
      </c>
      <c r="E386" s="5">
        <f>LOOKUP(D386,'AMFI DATA_2023H1'!B:D,'AMFI DATA_2023H1'!D:D)</f>
        <v>36850.86</v>
      </c>
      <c r="F386" s="7">
        <f t="shared" si="1"/>
        <v>0.20173586179535574</v>
      </c>
      <c r="G386" s="8">
        <v>44285</v>
      </c>
      <c r="H386" s="8">
        <v>42734</v>
      </c>
      <c r="I386" s="8">
        <v>42981</v>
      </c>
      <c r="J386" s="8">
        <v>43564</v>
      </c>
      <c r="K386" s="8">
        <v>42000</v>
      </c>
      <c r="L386" s="8">
        <v>41152</v>
      </c>
      <c r="M386" s="8"/>
      <c r="N386" s="8"/>
      <c r="O386" s="8"/>
      <c r="P386" s="8"/>
      <c r="Q386" s="9">
        <f ca="1">IFERROR(__xludf.DUMMYFUNCTION("GOOGLEFINANCE(C386,""changepct"")"),1.08)</f>
        <v>1.08</v>
      </c>
      <c r="R386" s="8"/>
      <c r="S386" s="8"/>
      <c r="T386" s="8"/>
      <c r="U386" s="8"/>
      <c r="V386" s="8"/>
      <c r="W386" s="8"/>
    </row>
    <row r="387" spans="1:23" ht="14.4">
      <c r="A387" s="3">
        <f>LOOKUP(D387,'AMFI DATA_2023H1'!B:C,'AMFI DATA_2023H1'!C:C)</f>
        <v>665</v>
      </c>
      <c r="B387" s="4" t="s">
        <v>2192</v>
      </c>
      <c r="C387" s="4" t="s">
        <v>2193</v>
      </c>
      <c r="D387" s="5" t="s">
        <v>2194</v>
      </c>
      <c r="E387" s="5">
        <f>LOOKUP(D387,'AMFI DATA_2023H1'!B:D,'AMFI DATA_2023H1'!D:D)</f>
        <v>2875.36</v>
      </c>
      <c r="F387" s="7">
        <f t="shared" si="1"/>
        <v>0.16681041678259412</v>
      </c>
      <c r="G387" s="8">
        <v>3355</v>
      </c>
      <c r="H387" s="8">
        <v>3337</v>
      </c>
      <c r="I387" s="8">
        <v>3268</v>
      </c>
      <c r="J387" s="8">
        <v>3259</v>
      </c>
      <c r="K387" s="8">
        <v>3259</v>
      </c>
      <c r="L387" s="8">
        <v>3268</v>
      </c>
      <c r="M387" s="8"/>
      <c r="N387" s="8"/>
      <c r="O387" s="8"/>
      <c r="P387" s="8"/>
      <c r="Q387" s="9">
        <f ca="1">IFERROR(__xludf.DUMMYFUNCTION("GOOGLEFINANCE(C387,""changepct"")"),0.48)</f>
        <v>0.48</v>
      </c>
      <c r="R387" s="8"/>
      <c r="S387" s="8"/>
      <c r="T387" s="8"/>
      <c r="U387" s="8"/>
      <c r="V387" s="8"/>
      <c r="W387" s="8"/>
    </row>
    <row r="388" spans="1:23" ht="14.4">
      <c r="A388" s="3">
        <f>LOOKUP(D388,'AMFI DATA_2023H1'!B:C,'AMFI DATA_2023H1'!C:C)</f>
        <v>2180</v>
      </c>
      <c r="B388" s="4" t="s">
        <v>5114</v>
      </c>
      <c r="C388" s="4" t="s">
        <v>5115</v>
      </c>
      <c r="D388" s="5" t="s">
        <v>5116</v>
      </c>
      <c r="E388" s="5">
        <f>LOOKUP(D388,'AMFI DATA_2023H1'!B:D,'AMFI DATA_2023H1'!D:D)</f>
        <v>106.78</v>
      </c>
      <c r="F388" s="7">
        <f t="shared" si="1"/>
        <v>8.6345757632515507E-2</v>
      </c>
      <c r="G388" s="9">
        <v>116</v>
      </c>
      <c r="H388" s="9">
        <v>116</v>
      </c>
      <c r="I388" s="9">
        <v>118</v>
      </c>
      <c r="J388" s="9">
        <v>114</v>
      </c>
      <c r="K388" s="9">
        <v>114</v>
      </c>
      <c r="L388" s="9">
        <v>115</v>
      </c>
      <c r="M388" s="9"/>
      <c r="N388" s="9"/>
      <c r="O388" s="9"/>
      <c r="P388" s="9"/>
      <c r="Q388" s="9">
        <f ca="1">IFERROR(__xludf.DUMMYFUNCTION("GOOGLEFINANCE(C388,""changepct"")"),5.82)</f>
        <v>5.82</v>
      </c>
      <c r="R388" s="9"/>
      <c r="S388" s="9"/>
      <c r="T388" s="9"/>
      <c r="U388" s="9"/>
      <c r="V388" s="9"/>
      <c r="W388" s="9"/>
    </row>
    <row r="389" spans="1:23" ht="14.4">
      <c r="A389" s="3">
        <f>LOOKUP(D389,'AMFI DATA_2023H1'!B:C,'AMFI DATA_2023H1'!C:C)</f>
        <v>1710</v>
      </c>
      <c r="B389" s="4" t="s">
        <v>4781</v>
      </c>
      <c r="C389" s="4" t="s">
        <v>4782</v>
      </c>
      <c r="D389" s="5" t="s">
        <v>4783</v>
      </c>
      <c r="E389" s="5">
        <f>LOOKUP(D389,'AMFI DATA_2023H1'!B:D,'AMFI DATA_2023H1'!D:D)</f>
        <v>237.9</v>
      </c>
      <c r="F389" s="7">
        <f t="shared" si="1"/>
        <v>-0.28541403951240019</v>
      </c>
      <c r="G389" s="9">
        <v>170</v>
      </c>
      <c r="H389" s="9">
        <v>173</v>
      </c>
      <c r="I389" s="9">
        <v>172</v>
      </c>
      <c r="J389" s="9">
        <v>174</v>
      </c>
      <c r="K389" s="9">
        <v>172</v>
      </c>
      <c r="L389" s="9">
        <v>173</v>
      </c>
      <c r="M389" s="9"/>
      <c r="N389" s="9"/>
      <c r="O389" s="9"/>
      <c r="P389" s="9"/>
      <c r="Q389" s="9">
        <f ca="1">IFERROR(__xludf.DUMMYFUNCTION("GOOGLEFINANCE(C389,""changepct"")"),0.44)</f>
        <v>0.44</v>
      </c>
      <c r="R389" s="9"/>
      <c r="S389" s="9"/>
      <c r="T389" s="9"/>
      <c r="U389" s="9"/>
      <c r="V389" s="9"/>
      <c r="W389" s="9"/>
    </row>
    <row r="390" spans="1:23" ht="14.4">
      <c r="A390" s="3">
        <f>LOOKUP(D390,'AMFI DATA_2023H1'!B:C,'AMFI DATA_2023H1'!C:C)</f>
        <v>390</v>
      </c>
      <c r="B390" s="4" t="s">
        <v>1131</v>
      </c>
      <c r="C390" s="4" t="s">
        <v>1132</v>
      </c>
      <c r="D390" s="5" t="s">
        <v>1133</v>
      </c>
      <c r="E390" s="5">
        <f>LOOKUP(D390,'AMFI DATA_2023H1'!B:D,'AMFI DATA_2023H1'!D:D)</f>
        <v>8114.4</v>
      </c>
      <c r="F390" s="7">
        <f t="shared" si="1"/>
        <v>0.27008774524302481</v>
      </c>
      <c r="G390" s="8">
        <v>10306</v>
      </c>
      <c r="H390" s="8">
        <v>10460</v>
      </c>
      <c r="I390" s="8">
        <v>10535</v>
      </c>
      <c r="J390" s="8">
        <v>10562</v>
      </c>
      <c r="K390" s="8">
        <v>10778</v>
      </c>
      <c r="L390" s="8">
        <v>10989</v>
      </c>
      <c r="M390" s="8"/>
      <c r="N390" s="8"/>
      <c r="O390" s="8"/>
      <c r="P390" s="8"/>
      <c r="Q390" s="9">
        <f ca="1">IFERROR(__xludf.DUMMYFUNCTION("GOOGLEFINANCE(C390,""changepct"")"),-2.59)</f>
        <v>-2.59</v>
      </c>
      <c r="R390" s="8"/>
      <c r="S390" s="8"/>
      <c r="T390" s="8"/>
      <c r="U390" s="8"/>
      <c r="V390" s="8"/>
      <c r="W390" s="8"/>
    </row>
    <row r="391" spans="1:23" ht="14.4">
      <c r="A391" s="3">
        <f>LOOKUP(D391,'AMFI DATA_2023H1'!B:C,'AMFI DATA_2023H1'!C:C)</f>
        <v>750</v>
      </c>
      <c r="B391" s="4" t="s">
        <v>2111</v>
      </c>
      <c r="C391" s="4" t="s">
        <v>2112</v>
      </c>
      <c r="D391" s="5" t="s">
        <v>2113</v>
      </c>
      <c r="E391" s="5">
        <f>LOOKUP(D391,'AMFI DATA_2023H1'!B:D,'AMFI DATA_2023H1'!D:D)</f>
        <v>2182.3000000000002</v>
      </c>
      <c r="F391" s="7">
        <f t="shared" si="1"/>
        <v>0.98689456078449322</v>
      </c>
      <c r="G391" s="8">
        <v>4336</v>
      </c>
      <c r="H391" s="8">
        <v>4271</v>
      </c>
      <c r="I391" s="8">
        <v>4297</v>
      </c>
      <c r="J391" s="8">
        <v>4323</v>
      </c>
      <c r="K391" s="8">
        <v>4370</v>
      </c>
      <c r="L391" s="8">
        <v>4329</v>
      </c>
      <c r="M391" s="8"/>
      <c r="N391" s="8"/>
      <c r="O391" s="8"/>
      <c r="P391" s="8"/>
      <c r="Q391" s="9">
        <f ca="1">IFERROR(__xludf.DUMMYFUNCTION("GOOGLEFINANCE(C391,""changepct"")"),-1.25)</f>
        <v>-1.25</v>
      </c>
      <c r="R391" s="8"/>
      <c r="S391" s="8"/>
      <c r="T391" s="8"/>
      <c r="U391" s="8"/>
      <c r="V391" s="8"/>
      <c r="W391" s="8"/>
    </row>
    <row r="392" spans="1:23" ht="14.4">
      <c r="A392" s="3">
        <f>LOOKUP(D392,'AMFI DATA_2023H1'!B:C,'AMFI DATA_2023H1'!C:C)</f>
        <v>2305</v>
      </c>
      <c r="B392" s="4" t="s">
        <v>5144</v>
      </c>
      <c r="C392" s="4" t="s">
        <v>5145</v>
      </c>
      <c r="D392" s="5" t="s">
        <v>5146</v>
      </c>
      <c r="E392" s="5">
        <f>LOOKUP(D392,'AMFI DATA_2023H1'!B:D,'AMFI DATA_2023H1'!D:D)</f>
        <v>86.32</v>
      </c>
      <c r="F392" s="7">
        <f t="shared" si="1"/>
        <v>0.37859128822984256</v>
      </c>
      <c r="G392" s="9">
        <v>119</v>
      </c>
      <c r="H392" s="9">
        <v>122</v>
      </c>
      <c r="I392" s="9">
        <v>122</v>
      </c>
      <c r="J392" s="9">
        <v>121</v>
      </c>
      <c r="K392" s="9">
        <v>124</v>
      </c>
      <c r="L392" s="9">
        <v>124</v>
      </c>
      <c r="M392" s="9"/>
      <c r="N392" s="9"/>
      <c r="O392" s="9"/>
      <c r="P392" s="9"/>
      <c r="Q392" s="9">
        <f ca="1">IFERROR(__xludf.DUMMYFUNCTION("GOOGLEFINANCE(C392,""changepct"")"),7.92)</f>
        <v>7.92</v>
      </c>
      <c r="R392" s="9"/>
      <c r="S392" s="9"/>
      <c r="T392" s="9"/>
      <c r="U392" s="9"/>
      <c r="V392" s="9"/>
      <c r="W392" s="9"/>
    </row>
    <row r="393" spans="1:23" ht="14.4">
      <c r="A393" s="3">
        <f>LOOKUP(D393,'AMFI DATA_2023H1'!B:C,'AMFI DATA_2023H1'!C:C)</f>
        <v>1915</v>
      </c>
      <c r="B393" s="4" t="s">
        <v>4667</v>
      </c>
      <c r="C393" s="4" t="s">
        <v>4668</v>
      </c>
      <c r="D393" s="5" t="s">
        <v>4669</v>
      </c>
      <c r="E393" s="5">
        <f>LOOKUP(D393,'AMFI DATA_2023H1'!B:D,'AMFI DATA_2023H1'!D:D)</f>
        <v>162.91999999999999</v>
      </c>
      <c r="F393" s="7">
        <f t="shared" si="1"/>
        <v>0.3258040756199363</v>
      </c>
      <c r="G393" s="9">
        <v>216</v>
      </c>
      <c r="H393" s="9">
        <v>216</v>
      </c>
      <c r="I393" s="9">
        <v>220</v>
      </c>
      <c r="J393" s="9">
        <v>225</v>
      </c>
      <c r="K393" s="9">
        <v>202</v>
      </c>
      <c r="L393" s="9">
        <v>220</v>
      </c>
      <c r="M393" s="9"/>
      <c r="N393" s="9"/>
      <c r="O393" s="9"/>
      <c r="P393" s="9"/>
      <c r="Q393" s="9">
        <f ca="1">IFERROR(__xludf.DUMMYFUNCTION("GOOGLEFINANCE(C393,""changepct"")"),4.11)</f>
        <v>4.1100000000000003</v>
      </c>
      <c r="R393" s="9"/>
      <c r="S393" s="9"/>
      <c r="T393" s="9"/>
      <c r="U393" s="9"/>
      <c r="V393" s="9"/>
      <c r="W393" s="9"/>
    </row>
    <row r="394" spans="1:23" ht="14.4">
      <c r="A394" s="3">
        <f>LOOKUP(D394,'AMFI DATA_2023H1'!B:C,'AMFI DATA_2023H1'!C:C)</f>
        <v>610</v>
      </c>
      <c r="B394" s="4" t="s">
        <v>2075</v>
      </c>
      <c r="C394" s="4" t="s">
        <v>2076</v>
      </c>
      <c r="D394" s="5" t="s">
        <v>2077</v>
      </c>
      <c r="E394" s="5">
        <f>LOOKUP(D394,'AMFI DATA_2023H1'!B:D,'AMFI DATA_2023H1'!D:D)</f>
        <v>3536.31</v>
      </c>
      <c r="F394" s="7">
        <f t="shared" si="1"/>
        <v>0.28241019593870442</v>
      </c>
      <c r="G394" s="8">
        <v>4535</v>
      </c>
      <c r="H394" s="8">
        <v>4148</v>
      </c>
      <c r="I394" s="8">
        <v>4148</v>
      </c>
      <c r="J394" s="8">
        <v>3965</v>
      </c>
      <c r="K394" s="8">
        <v>3928</v>
      </c>
      <c r="L394" s="8">
        <v>3931</v>
      </c>
      <c r="M394" s="8"/>
      <c r="N394" s="8"/>
      <c r="O394" s="8"/>
      <c r="P394" s="8"/>
      <c r="Q394" s="9">
        <f ca="1">IFERROR(__xludf.DUMMYFUNCTION("GOOGLEFINANCE(C394,""changepct"")"),-0.6)</f>
        <v>-0.6</v>
      </c>
      <c r="R394" s="8"/>
      <c r="S394" s="8"/>
      <c r="T394" s="8"/>
      <c r="U394" s="8"/>
      <c r="V394" s="8"/>
      <c r="W394" s="8"/>
    </row>
    <row r="395" spans="1:23" ht="14.4">
      <c r="A395" s="3">
        <f>LOOKUP(D395,'AMFI DATA_2023H1'!B:C,'AMFI DATA_2023H1'!C:C)</f>
        <v>2025</v>
      </c>
      <c r="B395" s="4" t="s">
        <v>4970</v>
      </c>
      <c r="C395" s="4" t="s">
        <v>4971</v>
      </c>
      <c r="D395" s="5" t="s">
        <v>4972</v>
      </c>
      <c r="E395" s="5">
        <f>LOOKUP(D395,'AMFI DATA_2023H1'!B:D,'AMFI DATA_2023H1'!D:D)</f>
        <v>136.53</v>
      </c>
      <c r="F395" s="7">
        <f t="shared" si="1"/>
        <v>6.9362044971801096E-2</v>
      </c>
      <c r="G395" s="9">
        <v>146</v>
      </c>
      <c r="H395" s="9">
        <v>148</v>
      </c>
      <c r="I395" s="9">
        <v>146</v>
      </c>
      <c r="J395" s="9">
        <v>147</v>
      </c>
      <c r="K395" s="9">
        <v>149</v>
      </c>
      <c r="L395" s="9">
        <v>149</v>
      </c>
      <c r="M395" s="9"/>
      <c r="N395" s="9"/>
      <c r="O395" s="9"/>
      <c r="P395" s="9"/>
      <c r="Q395" s="9">
        <f ca="1">IFERROR(__xludf.DUMMYFUNCTION("GOOGLEFINANCE(C395,""changepct"")"),1.3)</f>
        <v>1.3</v>
      </c>
      <c r="R395" s="9"/>
      <c r="S395" s="9"/>
      <c r="T395" s="9"/>
      <c r="U395" s="9"/>
      <c r="V395" s="9"/>
      <c r="W395" s="9"/>
    </row>
    <row r="396" spans="1:23" ht="14.4">
      <c r="A396" s="3">
        <f>LOOKUP(D396,'AMFI DATA_2023H1'!B:C,'AMFI DATA_2023H1'!C:C)</f>
        <v>3826</v>
      </c>
      <c r="B396" s="4" t="s">
        <v>5749</v>
      </c>
      <c r="C396" s="4" t="s">
        <v>5750</v>
      </c>
      <c r="D396" s="5" t="s">
        <v>5751</v>
      </c>
      <c r="E396" s="5">
        <f>LOOKUP(D396,'AMFI DATA_2023H1'!B:D,'AMFI DATA_2023H1'!D:D)</f>
        <v>8.9</v>
      </c>
      <c r="F396" s="7">
        <f t="shared" si="1"/>
        <v>7.7528089887640483E-2</v>
      </c>
      <c r="G396" s="9">
        <v>9.59</v>
      </c>
      <c r="H396" s="9">
        <v>10.1</v>
      </c>
      <c r="I396" s="9">
        <v>10.1</v>
      </c>
      <c r="J396" s="9">
        <v>10.199999999999999</v>
      </c>
      <c r="K396" s="9">
        <v>10.199999999999999</v>
      </c>
      <c r="L396" s="9">
        <v>10.3</v>
      </c>
      <c r="M396" s="9"/>
      <c r="N396" s="9"/>
      <c r="O396" s="9"/>
      <c r="P396" s="9"/>
      <c r="Q396" s="9">
        <f ca="1">IFERROR(__xludf.DUMMYFUNCTION("GOOGLEFINANCE(C396,""changepct"")"),-0.96)</f>
        <v>-0.96</v>
      </c>
      <c r="R396" s="9"/>
      <c r="S396" s="9"/>
      <c r="T396" s="9"/>
      <c r="U396" s="9"/>
      <c r="V396" s="9"/>
      <c r="W396" s="9"/>
    </row>
    <row r="397" spans="1:23" ht="14.4">
      <c r="A397" s="3">
        <f>LOOKUP(D397,'AMFI DATA_2023H1'!B:C,'AMFI DATA_2023H1'!C:C)</f>
        <v>1605</v>
      </c>
      <c r="B397" s="4" t="s">
        <v>4376</v>
      </c>
      <c r="C397" s="4" t="s">
        <v>4377</v>
      </c>
      <c r="D397" s="5" t="s">
        <v>4378</v>
      </c>
      <c r="E397" s="5">
        <f>LOOKUP(D397,'AMFI DATA_2023H1'!B:D,'AMFI DATA_2023H1'!D:D)</f>
        <v>285.02</v>
      </c>
      <c r="F397" s="7">
        <f t="shared" si="1"/>
        <v>0.16833906392533859</v>
      </c>
      <c r="G397" s="9">
        <v>333</v>
      </c>
      <c r="H397" s="9">
        <v>326</v>
      </c>
      <c r="I397" s="9">
        <v>331</v>
      </c>
      <c r="J397" s="9">
        <v>332</v>
      </c>
      <c r="K397" s="9">
        <v>334</v>
      </c>
      <c r="L397" s="9">
        <v>341</v>
      </c>
      <c r="M397" s="9"/>
      <c r="N397" s="9"/>
      <c r="O397" s="9"/>
      <c r="P397" s="9"/>
      <c r="Q397" s="9">
        <f ca="1">IFERROR(__xludf.DUMMYFUNCTION("GOOGLEFINANCE(C397,""changepct"")"),-0.22)</f>
        <v>-0.22</v>
      </c>
      <c r="R397" s="9"/>
      <c r="S397" s="9"/>
      <c r="T397" s="9"/>
      <c r="U397" s="9"/>
      <c r="V397" s="9"/>
      <c r="W397" s="9"/>
    </row>
    <row r="398" spans="1:23" ht="14.4">
      <c r="A398" s="3">
        <f>LOOKUP(D398,'AMFI DATA_2023H1'!B:C,'AMFI DATA_2023H1'!C:C)</f>
        <v>1245</v>
      </c>
      <c r="B398" s="4" t="s">
        <v>3245</v>
      </c>
      <c r="C398" s="4" t="s">
        <v>3246</v>
      </c>
      <c r="D398" s="5" t="s">
        <v>3247</v>
      </c>
      <c r="E398" s="5">
        <f>LOOKUP(D398,'AMFI DATA_2023H1'!B:D,'AMFI DATA_2023H1'!D:D)</f>
        <v>615.05999999999995</v>
      </c>
      <c r="F398" s="7">
        <f t="shared" si="1"/>
        <v>1.1526355152342864</v>
      </c>
      <c r="G398" s="8">
        <v>1324</v>
      </c>
      <c r="H398" s="8">
        <v>1332</v>
      </c>
      <c r="I398" s="8">
        <v>1334</v>
      </c>
      <c r="J398" s="8">
        <v>1356</v>
      </c>
      <c r="K398" s="8">
        <v>1371</v>
      </c>
      <c r="L398" s="8">
        <v>1394</v>
      </c>
      <c r="M398" s="8"/>
      <c r="N398" s="8"/>
      <c r="O398" s="8"/>
      <c r="P398" s="8"/>
      <c r="Q398" s="9">
        <f ca="1">IFERROR(__xludf.DUMMYFUNCTION("GOOGLEFINANCE(C398,""changepct"")"),12.84)</f>
        <v>12.84</v>
      </c>
      <c r="R398" s="8"/>
      <c r="S398" s="8"/>
      <c r="T398" s="8"/>
      <c r="U398" s="8"/>
      <c r="V398" s="8"/>
      <c r="W398" s="8"/>
    </row>
    <row r="399" spans="1:23" ht="14.4">
      <c r="A399" s="3">
        <f>LOOKUP(D399,'AMFI DATA_2023H1'!B:C,'AMFI DATA_2023H1'!C:C)</f>
        <v>286</v>
      </c>
      <c r="B399" s="4" t="s">
        <v>951</v>
      </c>
      <c r="C399" s="4" t="s">
        <v>952</v>
      </c>
      <c r="D399" s="5" t="s">
        <v>953</v>
      </c>
      <c r="E399" s="5">
        <f>LOOKUP(D399,'AMFI DATA_2023H1'!B:D,'AMFI DATA_2023H1'!D:D)</f>
        <v>13637.51</v>
      </c>
      <c r="F399" s="7">
        <f t="shared" si="1"/>
        <v>0.17653442600592051</v>
      </c>
      <c r="G399" s="8">
        <v>16045</v>
      </c>
      <c r="H399" s="8">
        <v>16067</v>
      </c>
      <c r="I399" s="8">
        <v>16265</v>
      </c>
      <c r="J399" s="8">
        <v>16407</v>
      </c>
      <c r="K399" s="8">
        <v>16337</v>
      </c>
      <c r="L399" s="8">
        <v>16545</v>
      </c>
      <c r="M399" s="8"/>
      <c r="N399" s="8"/>
      <c r="O399" s="8"/>
      <c r="P399" s="8"/>
      <c r="Q399" s="9">
        <f ca="1">IFERROR(__xludf.DUMMYFUNCTION("GOOGLEFINANCE(C399,""changepct"")"),1.93)</f>
        <v>1.93</v>
      </c>
      <c r="R399" s="8"/>
      <c r="S399" s="8"/>
      <c r="T399" s="8"/>
      <c r="U399" s="8"/>
      <c r="V399" s="8"/>
      <c r="W399" s="8"/>
    </row>
    <row r="400" spans="1:23" ht="14.4">
      <c r="A400" s="3">
        <f>LOOKUP(D400,'AMFI DATA_2023H1'!B:C,'AMFI DATA_2023H1'!C:C)</f>
        <v>926</v>
      </c>
      <c r="B400" s="4" t="s">
        <v>2957</v>
      </c>
      <c r="C400" s="4" t="s">
        <v>2958</v>
      </c>
      <c r="D400" s="5" t="s">
        <v>2959</v>
      </c>
      <c r="E400" s="5">
        <f>LOOKUP(D400,'AMFI DATA_2023H1'!B:D,'AMFI DATA_2023H1'!D:D)</f>
        <v>1386.39</v>
      </c>
      <c r="F400" s="7">
        <f t="shared" si="1"/>
        <v>0.21178023499880982</v>
      </c>
      <c r="G400" s="8">
        <v>1680</v>
      </c>
      <c r="H400" s="8">
        <v>1685</v>
      </c>
      <c r="I400" s="8">
        <v>1685</v>
      </c>
      <c r="J400" s="8">
        <v>1703</v>
      </c>
      <c r="K400" s="8">
        <v>1707</v>
      </c>
      <c r="L400" s="8">
        <v>1619</v>
      </c>
      <c r="M400" s="8"/>
      <c r="N400" s="8"/>
      <c r="O400" s="8"/>
      <c r="P400" s="8"/>
      <c r="Q400" s="9">
        <f ca="1">IFERROR(__xludf.DUMMYFUNCTION("GOOGLEFINANCE(C400,""changepct"")"),4.33)</f>
        <v>4.33</v>
      </c>
      <c r="R400" s="8"/>
      <c r="S400" s="8"/>
      <c r="T400" s="8"/>
      <c r="U400" s="8"/>
      <c r="V400" s="8"/>
      <c r="W400" s="8"/>
    </row>
    <row r="401" spans="1:23" ht="14.4">
      <c r="A401" s="3">
        <f>LOOKUP(D401,'AMFI DATA_2023H1'!B:C,'AMFI DATA_2023H1'!C:C)</f>
        <v>817</v>
      </c>
      <c r="B401" s="4" t="s">
        <v>2303</v>
      </c>
      <c r="C401" s="4" t="s">
        <v>2304</v>
      </c>
      <c r="D401" s="5" t="s">
        <v>2305</v>
      </c>
      <c r="E401" s="5">
        <f>LOOKUP(D401,'AMFI DATA_2023H1'!B:D,'AMFI DATA_2023H1'!D:D)</f>
        <v>1855.94</v>
      </c>
      <c r="F401" s="7">
        <f t="shared" si="1"/>
        <v>0.80339881677209379</v>
      </c>
      <c r="G401" s="8">
        <v>3347</v>
      </c>
      <c r="H401" s="8">
        <v>3294</v>
      </c>
      <c r="I401" s="8">
        <v>3285</v>
      </c>
      <c r="J401" s="8">
        <v>3345</v>
      </c>
      <c r="K401" s="8">
        <v>3370</v>
      </c>
      <c r="L401" s="8">
        <v>3381</v>
      </c>
      <c r="M401" s="8"/>
      <c r="N401" s="8"/>
      <c r="O401" s="8"/>
      <c r="P401" s="8"/>
      <c r="Q401" s="9">
        <f ca="1">IFERROR(__xludf.DUMMYFUNCTION("GOOGLEFINANCE(C401,""changepct"")"),0.87)</f>
        <v>0.87</v>
      </c>
      <c r="R401" s="8"/>
      <c r="S401" s="8"/>
      <c r="T401" s="8"/>
      <c r="U401" s="8"/>
      <c r="V401" s="8"/>
      <c r="W401" s="8"/>
    </row>
    <row r="402" spans="1:23" ht="14.4">
      <c r="A402" s="3">
        <f>LOOKUP(D402,'AMFI DATA_2023H1'!B:C,'AMFI DATA_2023H1'!C:C)</f>
        <v>1258</v>
      </c>
      <c r="B402" s="4" t="s">
        <v>3473</v>
      </c>
      <c r="C402" s="4" t="s">
        <v>3474</v>
      </c>
      <c r="D402" s="5" t="s">
        <v>3475</v>
      </c>
      <c r="E402" s="5">
        <f>LOOKUP(D402,'AMFI DATA_2023H1'!B:D,'AMFI DATA_2023H1'!D:D)</f>
        <v>591.24</v>
      </c>
      <c r="F402" s="7">
        <f t="shared" si="1"/>
        <v>0.36154522698058322</v>
      </c>
      <c r="G402" s="9">
        <v>805</v>
      </c>
      <c r="H402" s="9">
        <v>822</v>
      </c>
      <c r="I402" s="9">
        <v>820</v>
      </c>
      <c r="J402" s="9">
        <v>820</v>
      </c>
      <c r="K402" s="9">
        <v>822</v>
      </c>
      <c r="L402" s="9">
        <v>828</v>
      </c>
      <c r="M402" s="9"/>
      <c r="N402" s="9"/>
      <c r="O402" s="9"/>
      <c r="P402" s="9"/>
      <c r="Q402" s="9">
        <f ca="1">IFERROR(__xludf.DUMMYFUNCTION("GOOGLEFINANCE(C402,""changepct"")"),-2.45)</f>
        <v>-2.4500000000000002</v>
      </c>
      <c r="R402" s="9"/>
      <c r="S402" s="9"/>
      <c r="T402" s="9"/>
      <c r="U402" s="9"/>
      <c r="V402" s="9"/>
      <c r="W402" s="9"/>
    </row>
    <row r="403" spans="1:23" ht="14.4">
      <c r="A403" s="3">
        <f>LOOKUP(D403,'AMFI DATA_2023H1'!B:C,'AMFI DATA_2023H1'!C:C)</f>
        <v>2029</v>
      </c>
      <c r="B403" s="4" t="s">
        <v>5087</v>
      </c>
      <c r="C403" s="4" t="s">
        <v>5088</v>
      </c>
      <c r="D403" s="5" t="s">
        <v>5089</v>
      </c>
      <c r="E403" s="5">
        <f>LOOKUP(D403,'AMFI DATA_2023H1'!B:D,'AMFI DATA_2023H1'!D:D)</f>
        <v>135.33000000000001</v>
      </c>
      <c r="F403" s="7">
        <f t="shared" si="1"/>
        <v>-9.1110618488140172E-2</v>
      </c>
      <c r="G403" s="9">
        <v>123</v>
      </c>
      <c r="H403" s="9">
        <v>118</v>
      </c>
      <c r="I403" s="9">
        <v>117</v>
      </c>
      <c r="J403" s="9">
        <v>119</v>
      </c>
      <c r="K403" s="9">
        <v>119</v>
      </c>
      <c r="L403" s="9">
        <v>118</v>
      </c>
      <c r="M403" s="9"/>
      <c r="N403" s="9"/>
      <c r="O403" s="9"/>
      <c r="P403" s="9"/>
      <c r="Q403" s="9">
        <f ca="1">IFERROR(__xludf.DUMMYFUNCTION("GOOGLEFINANCE(C403,""changepct"")"),3.74)</f>
        <v>3.74</v>
      </c>
      <c r="R403" s="9"/>
      <c r="S403" s="9"/>
      <c r="T403" s="9"/>
      <c r="U403" s="9"/>
      <c r="V403" s="9"/>
      <c r="W403" s="9"/>
    </row>
    <row r="404" spans="1:23" ht="14.4">
      <c r="A404" s="3">
        <f>LOOKUP(D404,'AMFI DATA_2023H1'!B:C,'AMFI DATA_2023H1'!C:C)</f>
        <v>1222</v>
      </c>
      <c r="B404" s="4" t="s">
        <v>3656</v>
      </c>
      <c r="C404" s="4" t="s">
        <v>3657</v>
      </c>
      <c r="D404" s="5" t="s">
        <v>3658</v>
      </c>
      <c r="E404" s="5">
        <f>LOOKUP(D404,'AMFI DATA_2023H1'!B:D,'AMFI DATA_2023H1'!D:D)</f>
        <v>648.03</v>
      </c>
      <c r="F404" s="7">
        <f t="shared" si="1"/>
        <v>0.25302840917858749</v>
      </c>
      <c r="G404" s="9">
        <v>812</v>
      </c>
      <c r="H404" s="9">
        <v>800</v>
      </c>
      <c r="I404" s="9">
        <v>795</v>
      </c>
      <c r="J404" s="9">
        <v>805</v>
      </c>
      <c r="K404" s="9">
        <v>798</v>
      </c>
      <c r="L404" s="9">
        <v>799</v>
      </c>
      <c r="M404" s="9"/>
      <c r="N404" s="9"/>
      <c r="O404" s="9"/>
      <c r="P404" s="9"/>
      <c r="Q404" s="9">
        <f ca="1">IFERROR(__xludf.DUMMYFUNCTION("GOOGLEFINANCE(C404,""changepct"")"),0.68)</f>
        <v>0.68</v>
      </c>
      <c r="R404" s="9"/>
      <c r="S404" s="9"/>
      <c r="T404" s="9"/>
      <c r="U404" s="9"/>
      <c r="V404" s="9"/>
      <c r="W404" s="9"/>
    </row>
    <row r="405" spans="1:23" ht="14.4">
      <c r="A405" s="3">
        <f>LOOKUP(D405,'AMFI DATA_2023H1'!B:C,'AMFI DATA_2023H1'!C:C)</f>
        <v>1452</v>
      </c>
      <c r="B405" s="4" t="s">
        <v>4013</v>
      </c>
      <c r="C405" s="4" t="s">
        <v>4014</v>
      </c>
      <c r="D405" s="5" t="s">
        <v>4015</v>
      </c>
      <c r="E405" s="5">
        <f>LOOKUP(D405,'AMFI DATA_2023H1'!B:D,'AMFI DATA_2023H1'!D:D)</f>
        <v>378.02</v>
      </c>
      <c r="F405" s="7">
        <f t="shared" si="1"/>
        <v>0.60044442093010963</v>
      </c>
      <c r="G405" s="9">
        <v>605</v>
      </c>
      <c r="H405" s="9">
        <v>630</v>
      </c>
      <c r="I405" s="9">
        <v>640</v>
      </c>
      <c r="J405" s="9">
        <v>633</v>
      </c>
      <c r="K405" s="9">
        <v>633</v>
      </c>
      <c r="L405" s="9">
        <v>592</v>
      </c>
      <c r="M405" s="9"/>
      <c r="N405" s="9"/>
      <c r="O405" s="9"/>
      <c r="P405" s="9"/>
      <c r="Q405" s="9">
        <f ca="1">IFERROR(__xludf.DUMMYFUNCTION("GOOGLEFINANCE(C405,""changepct"")"),4.92)</f>
        <v>4.92</v>
      </c>
      <c r="R405" s="9"/>
      <c r="S405" s="9"/>
      <c r="T405" s="9"/>
      <c r="U405" s="9"/>
      <c r="V405" s="9"/>
      <c r="W405" s="9"/>
    </row>
    <row r="406" spans="1:23" ht="14.4">
      <c r="A406" s="3">
        <f>LOOKUP(D406,'AMFI DATA_2023H1'!B:C,'AMFI DATA_2023H1'!C:C)</f>
        <v>1065</v>
      </c>
      <c r="B406" s="4" t="s">
        <v>2930</v>
      </c>
      <c r="C406" s="4" t="s">
        <v>2931</v>
      </c>
      <c r="D406" s="5" t="s">
        <v>2932</v>
      </c>
      <c r="E406" s="5">
        <f>LOOKUP(D406,'AMFI DATA_2023H1'!B:D,'AMFI DATA_2023H1'!D:D)</f>
        <v>980.02</v>
      </c>
      <c r="F406" s="7">
        <f t="shared" si="1"/>
        <v>0.66935368665945605</v>
      </c>
      <c r="G406" s="8">
        <v>1636</v>
      </c>
      <c r="H406" s="8">
        <v>1638</v>
      </c>
      <c r="I406" s="8">
        <v>1614</v>
      </c>
      <c r="J406" s="8">
        <v>1595</v>
      </c>
      <c r="K406" s="8">
        <v>1599</v>
      </c>
      <c r="L406" s="8">
        <v>1612</v>
      </c>
      <c r="M406" s="8"/>
      <c r="N406" s="8"/>
      <c r="O406" s="8"/>
      <c r="P406" s="8"/>
      <c r="Q406" s="9">
        <f ca="1">IFERROR(__xludf.DUMMYFUNCTION("GOOGLEFINANCE(C406,""changepct"")"),-2.28)</f>
        <v>-2.2799999999999998</v>
      </c>
      <c r="R406" s="8"/>
      <c r="S406" s="8"/>
      <c r="T406" s="8"/>
      <c r="U406" s="8"/>
      <c r="V406" s="8"/>
      <c r="W406" s="8"/>
    </row>
    <row r="407" spans="1:23" ht="14.4">
      <c r="A407" s="3">
        <f>LOOKUP(D407,'AMFI DATA_2023H1'!B:C,'AMFI DATA_2023H1'!C:C)</f>
        <v>400</v>
      </c>
      <c r="B407" s="4" t="s">
        <v>1425</v>
      </c>
      <c r="C407" s="4" t="s">
        <v>1426</v>
      </c>
      <c r="D407" s="5" t="s">
        <v>1427</v>
      </c>
      <c r="E407" s="5">
        <f>LOOKUP(D407,'AMFI DATA_2023H1'!B:D,'AMFI DATA_2023H1'!D:D)</f>
        <v>7672.92</v>
      </c>
      <c r="F407" s="7">
        <f t="shared" si="1"/>
        <v>0.13151186249824054</v>
      </c>
      <c r="G407" s="8">
        <v>8682</v>
      </c>
      <c r="H407" s="8">
        <v>8568</v>
      </c>
      <c r="I407" s="8">
        <v>8559</v>
      </c>
      <c r="J407" s="8">
        <v>8548</v>
      </c>
      <c r="K407" s="8">
        <v>8507</v>
      </c>
      <c r="L407" s="8">
        <v>8543</v>
      </c>
      <c r="M407" s="8"/>
      <c r="N407" s="8"/>
      <c r="O407" s="8"/>
      <c r="P407" s="8"/>
      <c r="Q407" s="9">
        <f ca="1">IFERROR(__xludf.DUMMYFUNCTION("GOOGLEFINANCE(C407,""changepct"")"),0.19)</f>
        <v>0.19</v>
      </c>
      <c r="R407" s="8"/>
      <c r="S407" s="8"/>
      <c r="T407" s="8"/>
      <c r="U407" s="8"/>
      <c r="V407" s="8"/>
      <c r="W407" s="8"/>
    </row>
    <row r="408" spans="1:23" ht="14.4">
      <c r="A408" s="3">
        <f>LOOKUP(D408,'AMFI DATA_2023H1'!B:C,'AMFI DATA_2023H1'!C:C)</f>
        <v>186</v>
      </c>
      <c r="B408" s="4" t="s">
        <v>639</v>
      </c>
      <c r="C408" s="4" t="s">
        <v>640</v>
      </c>
      <c r="D408" s="5" t="s">
        <v>641</v>
      </c>
      <c r="E408" s="5">
        <f>LOOKUP(D408,'AMFI DATA_2023H1'!B:D,'AMFI DATA_2023H1'!D:D)</f>
        <v>26204.400000000001</v>
      </c>
      <c r="F408" s="7">
        <f t="shared" si="1"/>
        <v>0.28764634946802814</v>
      </c>
      <c r="G408" s="8">
        <v>33742</v>
      </c>
      <c r="H408" s="8">
        <v>33856</v>
      </c>
      <c r="I408" s="8">
        <v>33190</v>
      </c>
      <c r="J408" s="8">
        <v>33637</v>
      </c>
      <c r="K408" s="8">
        <v>33737</v>
      </c>
      <c r="L408" s="8">
        <v>32454</v>
      </c>
      <c r="M408" s="8"/>
      <c r="N408" s="8"/>
      <c r="O408" s="8"/>
      <c r="P408" s="8"/>
      <c r="Q408" s="9">
        <f ca="1">IFERROR(__xludf.DUMMYFUNCTION("GOOGLEFINANCE(C408,""changepct"")"),1.13)</f>
        <v>1.1299999999999999</v>
      </c>
      <c r="R408" s="8"/>
      <c r="S408" s="8"/>
      <c r="T408" s="8"/>
      <c r="U408" s="8"/>
      <c r="V408" s="8"/>
      <c r="W408" s="8"/>
    </row>
    <row r="409" spans="1:23" ht="14.4">
      <c r="A409" s="3">
        <f>LOOKUP(D409,'AMFI DATA_2023H1'!B:C,'AMFI DATA_2023H1'!C:C)</f>
        <v>194</v>
      </c>
      <c r="B409" s="4" t="s">
        <v>627</v>
      </c>
      <c r="C409" s="4" t="s">
        <v>628</v>
      </c>
      <c r="D409" s="5" t="s">
        <v>629</v>
      </c>
      <c r="E409" s="5">
        <f>LOOKUP(D409,'AMFI DATA_2023H1'!B:D,'AMFI DATA_2023H1'!D:D)</f>
        <v>24967.26</v>
      </c>
      <c r="F409" s="7">
        <f t="shared" si="1"/>
        <v>0.13152184100297748</v>
      </c>
      <c r="G409" s="8">
        <v>28251</v>
      </c>
      <c r="H409" s="8">
        <v>28600</v>
      </c>
      <c r="I409" s="8">
        <v>28259</v>
      </c>
      <c r="J409" s="8">
        <v>28251</v>
      </c>
      <c r="K409" s="8">
        <v>28487</v>
      </c>
      <c r="L409" s="8">
        <v>28479</v>
      </c>
      <c r="M409" s="8"/>
      <c r="N409" s="8"/>
      <c r="O409" s="8"/>
      <c r="P409" s="8"/>
      <c r="Q409" s="9">
        <f ca="1">IFERROR(__xludf.DUMMYFUNCTION("GOOGLEFINANCE(C409,""changepct"")"),-0.6)</f>
        <v>-0.6</v>
      </c>
      <c r="R409" s="8"/>
      <c r="S409" s="8"/>
      <c r="T409" s="8"/>
      <c r="U409" s="8"/>
      <c r="V409" s="8"/>
      <c r="W409" s="8"/>
    </row>
    <row r="410" spans="1:23" ht="14.4">
      <c r="A410" s="3">
        <f>LOOKUP(D410,'AMFI DATA_2023H1'!B:C,'AMFI DATA_2023H1'!C:C)</f>
        <v>1459</v>
      </c>
      <c r="B410" s="4" t="s">
        <v>4151</v>
      </c>
      <c r="C410" s="4" t="s">
        <v>4152</v>
      </c>
      <c r="D410" s="5" t="s">
        <v>4153</v>
      </c>
      <c r="E410" s="5">
        <f>LOOKUP(D410,'AMFI DATA_2023H1'!B:D,'AMFI DATA_2023H1'!D:D)</f>
        <v>375.84</v>
      </c>
      <c r="F410" s="7">
        <f t="shared" si="1"/>
        <v>-0.15655598126862491</v>
      </c>
      <c r="G410" s="9">
        <v>317</v>
      </c>
      <c r="H410" s="9">
        <v>306</v>
      </c>
      <c r="I410" s="9">
        <v>313</v>
      </c>
      <c r="J410" s="9">
        <v>326</v>
      </c>
      <c r="K410" s="9">
        <v>330</v>
      </c>
      <c r="L410" s="9">
        <v>326</v>
      </c>
      <c r="M410" s="9"/>
      <c r="N410" s="9"/>
      <c r="O410" s="9"/>
      <c r="P410" s="9"/>
      <c r="Q410" s="9">
        <f ca="1">IFERROR(__xludf.DUMMYFUNCTION("GOOGLEFINANCE(C410,""changepct"")"),2.05)</f>
        <v>2.0499999999999998</v>
      </c>
      <c r="R410" s="9"/>
      <c r="S410" s="9"/>
      <c r="T410" s="9"/>
      <c r="U410" s="9"/>
      <c r="V410" s="9"/>
      <c r="W410" s="9"/>
    </row>
    <row r="411" spans="1:23" ht="14.4">
      <c r="A411" s="3">
        <f>LOOKUP(D411,'AMFI DATA_2023H1'!B:C,'AMFI DATA_2023H1'!C:C)</f>
        <v>476</v>
      </c>
      <c r="B411" s="4" t="s">
        <v>1923</v>
      </c>
      <c r="C411" s="4" t="s">
        <v>1924</v>
      </c>
      <c r="D411" s="5" t="s">
        <v>1925</v>
      </c>
      <c r="E411" s="5">
        <f>LOOKUP(D411,'AMFI DATA_2023H1'!B:D,'AMFI DATA_2023H1'!D:D)</f>
        <v>5607.24</v>
      </c>
      <c r="F411" s="7">
        <f t="shared" si="1"/>
        <v>-0.27647113374851084</v>
      </c>
      <c r="G411" s="8">
        <v>4057</v>
      </c>
      <c r="H411" s="8">
        <v>3907</v>
      </c>
      <c r="I411" s="8">
        <v>3853</v>
      </c>
      <c r="J411" s="8">
        <v>3942</v>
      </c>
      <c r="K411" s="8">
        <v>3889</v>
      </c>
      <c r="L411" s="8">
        <v>3833</v>
      </c>
      <c r="M411" s="8"/>
      <c r="N411" s="8"/>
      <c r="O411" s="8"/>
      <c r="P411" s="8"/>
      <c r="Q411" s="9">
        <f ca="1">IFERROR(__xludf.DUMMYFUNCTION("GOOGLEFINANCE(C411,""changepct"")"),0.1)</f>
        <v>0.1</v>
      </c>
      <c r="R411" s="8"/>
      <c r="S411" s="8"/>
      <c r="T411" s="8"/>
      <c r="U411" s="8"/>
      <c r="V411" s="8"/>
      <c r="W411" s="8"/>
    </row>
    <row r="412" spans="1:23" ht="14.4">
      <c r="A412" s="3">
        <f>LOOKUP(D412,'AMFI DATA_2023H1'!B:C,'AMFI DATA_2023H1'!C:C)</f>
        <v>2342</v>
      </c>
      <c r="B412" s="4" t="s">
        <v>5213</v>
      </c>
      <c r="C412" s="4" t="s">
        <v>5214</v>
      </c>
      <c r="D412" s="5" t="s">
        <v>5215</v>
      </c>
      <c r="E412" s="5">
        <f>LOOKUP(D412,'AMFI DATA_2023H1'!B:D,'AMFI DATA_2023H1'!D:D)</f>
        <v>79.86</v>
      </c>
      <c r="F412" s="7">
        <f t="shared" si="1"/>
        <v>0.3273228149261207</v>
      </c>
      <c r="G412" s="9">
        <v>106</v>
      </c>
      <c r="H412" s="9">
        <v>103</v>
      </c>
      <c r="I412" s="9">
        <v>106</v>
      </c>
      <c r="J412" s="9">
        <v>108</v>
      </c>
      <c r="K412" s="9">
        <v>110</v>
      </c>
      <c r="L412" s="9">
        <v>105</v>
      </c>
      <c r="M412" s="9"/>
      <c r="N412" s="9"/>
      <c r="O412" s="9"/>
      <c r="P412" s="9"/>
      <c r="Q412" s="9">
        <f ca="1">IFERROR(__xludf.DUMMYFUNCTION("GOOGLEFINANCE(C412,""changepct"")"),1.74)</f>
        <v>1.74</v>
      </c>
      <c r="R412" s="9"/>
      <c r="S412" s="9"/>
      <c r="T412" s="9"/>
      <c r="U412" s="9"/>
      <c r="V412" s="9"/>
      <c r="W412" s="9"/>
    </row>
    <row r="413" spans="1:23" ht="14.4">
      <c r="A413" s="3">
        <f>LOOKUP(D413,'AMFI DATA_2023H1'!B:C,'AMFI DATA_2023H1'!C:C)</f>
        <v>892</v>
      </c>
      <c r="B413" s="4" t="s">
        <v>2549</v>
      </c>
      <c r="C413" s="4" t="s">
        <v>2550</v>
      </c>
      <c r="D413" s="5" t="s">
        <v>2551</v>
      </c>
      <c r="E413" s="5">
        <f>LOOKUP(D413,'AMFI DATA_2023H1'!B:D,'AMFI DATA_2023H1'!D:D)</f>
        <v>1496.4</v>
      </c>
      <c r="F413" s="7">
        <f t="shared" si="1"/>
        <v>0.82571504945201801</v>
      </c>
      <c r="G413" s="8">
        <v>2732</v>
      </c>
      <c r="H413" s="8">
        <v>2722</v>
      </c>
      <c r="I413" s="8">
        <v>2687</v>
      </c>
      <c r="J413" s="8">
        <v>2707</v>
      </c>
      <c r="K413" s="8">
        <v>2675</v>
      </c>
      <c r="L413" s="8">
        <v>2618</v>
      </c>
      <c r="M413" s="8"/>
      <c r="N413" s="8"/>
      <c r="O413" s="8"/>
      <c r="P413" s="8"/>
      <c r="Q413" s="9">
        <f ca="1">IFERROR(__xludf.DUMMYFUNCTION("GOOGLEFINANCE(C413,""changepct"")"),-1.3)</f>
        <v>-1.3</v>
      </c>
      <c r="R413" s="8"/>
      <c r="S413" s="8"/>
      <c r="T413" s="8"/>
      <c r="U413" s="8"/>
      <c r="V413" s="8"/>
      <c r="W413" s="8"/>
    </row>
    <row r="414" spans="1:23" ht="14.4">
      <c r="A414" s="3">
        <f>LOOKUP(D414,'AMFI DATA_2023H1'!B:C,'AMFI DATA_2023H1'!C:C)</f>
        <v>1685</v>
      </c>
      <c r="B414" s="4" t="s">
        <v>4412</v>
      </c>
      <c r="C414" s="4" t="s">
        <v>4413</v>
      </c>
      <c r="D414" s="5" t="s">
        <v>4414</v>
      </c>
      <c r="E414" s="5">
        <f>LOOKUP(D414,'AMFI DATA_2023H1'!B:D,'AMFI DATA_2023H1'!D:D)</f>
        <v>245.3</v>
      </c>
      <c r="F414" s="7">
        <f t="shared" si="1"/>
        <v>0.46759070525886659</v>
      </c>
      <c r="G414" s="9">
        <v>360</v>
      </c>
      <c r="H414" s="9">
        <v>364</v>
      </c>
      <c r="I414" s="9">
        <v>355</v>
      </c>
      <c r="J414" s="9">
        <v>353</v>
      </c>
      <c r="K414" s="9">
        <v>374</v>
      </c>
      <c r="L414" s="9">
        <v>371</v>
      </c>
      <c r="M414" s="9"/>
      <c r="N414" s="9"/>
      <c r="O414" s="9"/>
      <c r="P414" s="9"/>
      <c r="Q414" s="9">
        <f ca="1">IFERROR(__xludf.DUMMYFUNCTION("GOOGLEFINANCE(C414,""changepct"")"),-4.07)</f>
        <v>-4.07</v>
      </c>
      <c r="R414" s="9"/>
      <c r="S414" s="9"/>
      <c r="T414" s="9"/>
      <c r="U414" s="9"/>
      <c r="V414" s="9"/>
      <c r="W414" s="9"/>
    </row>
    <row r="415" spans="1:23" ht="14.4">
      <c r="A415" s="3">
        <f>LOOKUP(D415,'AMFI DATA_2023H1'!B:C,'AMFI DATA_2023H1'!C:C)</f>
        <v>222</v>
      </c>
      <c r="B415" s="4" t="s">
        <v>729</v>
      </c>
      <c r="C415" s="4" t="s">
        <v>730</v>
      </c>
      <c r="D415" s="5" t="s">
        <v>731</v>
      </c>
      <c r="E415" s="5">
        <f>LOOKUP(D415,'AMFI DATA_2023H1'!B:D,'AMFI DATA_2023H1'!D:D)</f>
        <v>19858.939999999999</v>
      </c>
      <c r="F415" s="7">
        <f t="shared" si="1"/>
        <v>0.16431189177267269</v>
      </c>
      <c r="G415" s="8">
        <v>23122</v>
      </c>
      <c r="H415" s="8">
        <v>23327</v>
      </c>
      <c r="I415" s="8">
        <v>23273</v>
      </c>
      <c r="J415" s="8">
        <v>23080</v>
      </c>
      <c r="K415" s="8">
        <v>22857</v>
      </c>
      <c r="L415" s="8">
        <v>22923</v>
      </c>
      <c r="M415" s="8"/>
      <c r="N415" s="8"/>
      <c r="O415" s="8"/>
      <c r="P415" s="8"/>
      <c r="Q415" s="9">
        <f ca="1">IFERROR(__xludf.DUMMYFUNCTION("GOOGLEFINANCE(C415,""changepct"")"),-0.87)</f>
        <v>-0.87</v>
      </c>
      <c r="R415" s="8"/>
      <c r="S415" s="8"/>
      <c r="T415" s="8"/>
      <c r="U415" s="8"/>
      <c r="V415" s="8"/>
      <c r="W415" s="8"/>
    </row>
    <row r="416" spans="1:23" ht="14.4">
      <c r="A416" s="3">
        <f>LOOKUP(D416,'AMFI DATA_2023H1'!B:C,'AMFI DATA_2023H1'!C:C)</f>
        <v>1028</v>
      </c>
      <c r="B416" s="4" t="s">
        <v>3296</v>
      </c>
      <c r="C416" s="4" t="s">
        <v>3297</v>
      </c>
      <c r="D416" s="5" t="s">
        <v>3298</v>
      </c>
      <c r="E416" s="5">
        <f>LOOKUP(D416,'AMFI DATA_2023H1'!B:D,'AMFI DATA_2023H1'!D:D)</f>
        <v>1074.1400000000001</v>
      </c>
      <c r="F416" s="7">
        <f t="shared" si="1"/>
        <v>-4.4817249148155769E-2</v>
      </c>
      <c r="G416" s="9">
        <v>1026</v>
      </c>
      <c r="H416" s="9">
        <v>1016</v>
      </c>
      <c r="I416" s="9">
        <v>991</v>
      </c>
      <c r="J416" s="9">
        <v>992</v>
      </c>
      <c r="K416" s="9">
        <v>994</v>
      </c>
      <c r="L416" s="9">
        <v>984</v>
      </c>
      <c r="M416" s="9"/>
      <c r="N416" s="9"/>
      <c r="O416" s="9"/>
      <c r="P416" s="9"/>
      <c r="Q416" s="9">
        <f ca="1">IFERROR(__xludf.DUMMYFUNCTION("GOOGLEFINANCE(C416,""changepct"")"),-0.17)</f>
        <v>-0.17</v>
      </c>
      <c r="R416" s="9"/>
      <c r="S416" s="9"/>
      <c r="T416" s="9"/>
      <c r="U416" s="9"/>
      <c r="V416" s="9"/>
      <c r="W416" s="9"/>
    </row>
    <row r="417" spans="1:23" ht="14.4">
      <c r="A417" s="3">
        <f>LOOKUP(D417,'AMFI DATA_2023H1'!B:C,'AMFI DATA_2023H1'!C:C)</f>
        <v>881</v>
      </c>
      <c r="B417" s="4" t="s">
        <v>2807</v>
      </c>
      <c r="C417" s="4" t="s">
        <v>2808</v>
      </c>
      <c r="D417" s="5" t="s">
        <v>2809</v>
      </c>
      <c r="E417" s="5">
        <f>LOOKUP(D417,'AMFI DATA_2023H1'!B:D,'AMFI DATA_2023H1'!D:D)</f>
        <v>1579.14</v>
      </c>
      <c r="F417" s="7">
        <f t="shared" si="1"/>
        <v>0.12022999860683647</v>
      </c>
      <c r="G417" s="8">
        <v>1769</v>
      </c>
      <c r="H417" s="8">
        <v>1683</v>
      </c>
      <c r="I417" s="8">
        <v>1651</v>
      </c>
      <c r="J417" s="8">
        <v>1677</v>
      </c>
      <c r="K417" s="8">
        <v>1669</v>
      </c>
      <c r="L417" s="8">
        <v>1661</v>
      </c>
      <c r="M417" s="8"/>
      <c r="N417" s="8"/>
      <c r="O417" s="8"/>
      <c r="P417" s="8"/>
      <c r="Q417" s="9">
        <f ca="1">IFERROR(__xludf.DUMMYFUNCTION("GOOGLEFINANCE(C417,""changepct"")"),0.21)</f>
        <v>0.21</v>
      </c>
      <c r="R417" s="8"/>
      <c r="S417" s="8"/>
      <c r="T417" s="8"/>
      <c r="U417" s="8"/>
      <c r="V417" s="8"/>
      <c r="W417" s="8"/>
    </row>
    <row r="418" spans="1:23" ht="14.4">
      <c r="A418" s="3">
        <f>LOOKUP(D418,'AMFI DATA_2023H1'!B:C,'AMFI DATA_2023H1'!C:C)</f>
        <v>771</v>
      </c>
      <c r="B418" s="4" t="s">
        <v>2489</v>
      </c>
      <c r="C418" s="4" t="s">
        <v>2490</v>
      </c>
      <c r="D418" s="5" t="s">
        <v>2491</v>
      </c>
      <c r="E418" s="5">
        <f>LOOKUP(D418,'AMFI DATA_2023H1'!B:D,'AMFI DATA_2023H1'!D:D)</f>
        <v>2080.3200000000002</v>
      </c>
      <c r="F418" s="7">
        <f t="shared" si="1"/>
        <v>0.14117058914013225</v>
      </c>
      <c r="G418" s="8">
        <v>2374</v>
      </c>
      <c r="H418" s="8">
        <v>2338</v>
      </c>
      <c r="I418" s="8">
        <v>2384</v>
      </c>
      <c r="J418" s="8">
        <v>2407</v>
      </c>
      <c r="K418" s="8">
        <v>2413</v>
      </c>
      <c r="L418" s="8">
        <v>2410</v>
      </c>
      <c r="M418" s="8"/>
      <c r="N418" s="8"/>
      <c r="O418" s="8"/>
      <c r="P418" s="8"/>
      <c r="Q418" s="9">
        <f ca="1">IFERROR(__xludf.DUMMYFUNCTION("GOOGLEFINANCE(C418,""changepct"")"),-1.14)</f>
        <v>-1.1399999999999999</v>
      </c>
      <c r="R418" s="8"/>
      <c r="S418" s="8"/>
      <c r="T418" s="8"/>
      <c r="U418" s="8"/>
      <c r="V418" s="8"/>
      <c r="W418" s="8"/>
    </row>
    <row r="419" spans="1:23" ht="14.4">
      <c r="A419" s="3">
        <f>LOOKUP(D419,'AMFI DATA_2023H1'!B:C,'AMFI DATA_2023H1'!C:C)</f>
        <v>1385</v>
      </c>
      <c r="B419" s="4" t="s">
        <v>3731</v>
      </c>
      <c r="C419" s="4" t="s">
        <v>3732</v>
      </c>
      <c r="D419" s="5" t="s">
        <v>3733</v>
      </c>
      <c r="E419" s="5">
        <f>LOOKUP(D419,'AMFI DATA_2023H1'!B:D,'AMFI DATA_2023H1'!D:D)</f>
        <v>426.42</v>
      </c>
      <c r="F419" s="7">
        <f t="shared" si="1"/>
        <v>0.8362178134233853</v>
      </c>
      <c r="G419" s="9">
        <v>783</v>
      </c>
      <c r="H419" s="9">
        <v>777</v>
      </c>
      <c r="I419" s="9">
        <v>756</v>
      </c>
      <c r="J419" s="9">
        <v>748</v>
      </c>
      <c r="K419" s="9">
        <v>746</v>
      </c>
      <c r="L419" s="9">
        <v>750</v>
      </c>
      <c r="M419" s="9"/>
      <c r="N419" s="9"/>
      <c r="O419" s="9"/>
      <c r="P419" s="9"/>
      <c r="Q419" s="9">
        <f ca="1">IFERROR(__xludf.DUMMYFUNCTION("GOOGLEFINANCE(C419,""changepct"")"),20.92)</f>
        <v>20.92</v>
      </c>
      <c r="R419" s="9"/>
      <c r="S419" s="9"/>
      <c r="T419" s="9"/>
      <c r="U419" s="9"/>
      <c r="V419" s="9"/>
      <c r="W419" s="9"/>
    </row>
    <row r="420" spans="1:23" ht="14.4">
      <c r="A420" s="3">
        <f>LOOKUP(D420,'AMFI DATA_2023H1'!B:C,'AMFI DATA_2023H1'!C:C)</f>
        <v>637</v>
      </c>
      <c r="B420" s="4" t="s">
        <v>2046</v>
      </c>
      <c r="C420" s="4" t="s">
        <v>2047</v>
      </c>
      <c r="D420" s="5" t="s">
        <v>2048</v>
      </c>
      <c r="E420" s="5">
        <f>LOOKUP(D420,'AMFI DATA_2023H1'!B:D,'AMFI DATA_2023H1'!D:D)</f>
        <v>3194.5</v>
      </c>
      <c r="F420" s="7">
        <f t="shared" si="1"/>
        <v>0.54484269838785404</v>
      </c>
      <c r="G420" s="8">
        <v>4935</v>
      </c>
      <c r="H420" s="8">
        <v>4846</v>
      </c>
      <c r="I420" s="8">
        <v>4920</v>
      </c>
      <c r="J420" s="8">
        <v>4902</v>
      </c>
      <c r="K420" s="8">
        <v>4890</v>
      </c>
      <c r="L420" s="8">
        <v>4772</v>
      </c>
      <c r="M420" s="8"/>
      <c r="N420" s="8"/>
      <c r="O420" s="8"/>
      <c r="P420" s="8"/>
      <c r="Q420" s="9">
        <f ca="1">IFERROR(__xludf.DUMMYFUNCTION("GOOGLEFINANCE(C420,""changepct"")"),-1.12)</f>
        <v>-1.1200000000000001</v>
      </c>
      <c r="R420" s="8"/>
      <c r="S420" s="8"/>
      <c r="T420" s="8"/>
      <c r="U420" s="8"/>
      <c r="V420" s="8"/>
      <c r="W420" s="8"/>
    </row>
    <row r="421" spans="1:23" ht="14.4">
      <c r="A421" s="3">
        <f>LOOKUP(D421,'AMFI DATA_2023H1'!B:C,'AMFI DATA_2023H1'!C:C)</f>
        <v>1260</v>
      </c>
      <c r="B421" s="4" t="s">
        <v>3626</v>
      </c>
      <c r="C421" s="4" t="s">
        <v>3627</v>
      </c>
      <c r="D421" s="5" t="s">
        <v>3628</v>
      </c>
      <c r="E421" s="5">
        <f>LOOKUP(D421,'AMFI DATA_2023H1'!B:D,'AMFI DATA_2023H1'!D:D)</f>
        <v>581.82000000000005</v>
      </c>
      <c r="F421" s="7">
        <f t="shared" si="1"/>
        <v>0.52968271974150061</v>
      </c>
      <c r="G421" s="9">
        <v>890</v>
      </c>
      <c r="H421" s="9">
        <v>884</v>
      </c>
      <c r="I421" s="9">
        <v>885</v>
      </c>
      <c r="J421" s="9">
        <v>908</v>
      </c>
      <c r="K421" s="9">
        <v>891</v>
      </c>
      <c r="L421" s="9">
        <v>873</v>
      </c>
      <c r="M421" s="9"/>
      <c r="N421" s="9"/>
      <c r="O421" s="9"/>
      <c r="P421" s="9"/>
      <c r="Q421" s="9">
        <f ca="1">IFERROR(__xludf.DUMMYFUNCTION("GOOGLEFINANCE(C421,""changepct"")"),-1.3)</f>
        <v>-1.3</v>
      </c>
      <c r="R421" s="9"/>
      <c r="S421" s="9"/>
      <c r="T421" s="9"/>
      <c r="U421" s="9"/>
      <c r="V421" s="9"/>
      <c r="W421" s="9"/>
    </row>
    <row r="422" spans="1:23" ht="14.4">
      <c r="A422" s="3">
        <f>LOOKUP(D422,'AMFI DATA_2023H1'!B:C,'AMFI DATA_2023H1'!C:C)</f>
        <v>2339</v>
      </c>
      <c r="B422" s="4" t="s">
        <v>5278</v>
      </c>
      <c r="C422" s="4" t="s">
        <v>5279</v>
      </c>
      <c r="D422" s="5" t="s">
        <v>5280</v>
      </c>
      <c r="E422" s="5">
        <f>LOOKUP(D422,'AMFI DATA_2023H1'!B:D,'AMFI DATA_2023H1'!D:D)</f>
        <v>80.39</v>
      </c>
      <c r="F422" s="7">
        <f t="shared" si="1"/>
        <v>0.10337106605299162</v>
      </c>
      <c r="G422" s="9">
        <v>88.7</v>
      </c>
      <c r="H422" s="9">
        <v>89.9</v>
      </c>
      <c r="I422" s="9">
        <v>90.7</v>
      </c>
      <c r="J422" s="9">
        <v>89.3</v>
      </c>
      <c r="K422" s="9">
        <v>87.7</v>
      </c>
      <c r="L422" s="9">
        <v>87.9</v>
      </c>
      <c r="M422" s="9"/>
      <c r="N422" s="9"/>
      <c r="O422" s="9"/>
      <c r="P422" s="9"/>
      <c r="Q422" s="9">
        <f ca="1">IFERROR(__xludf.DUMMYFUNCTION("GOOGLEFINANCE(C422,""changepct"")"),2.78)</f>
        <v>2.78</v>
      </c>
      <c r="R422" s="9"/>
      <c r="S422" s="9"/>
      <c r="T422" s="9"/>
      <c r="U422" s="9"/>
      <c r="V422" s="9"/>
      <c r="W422" s="9"/>
    </row>
    <row r="423" spans="1:23" ht="14.4">
      <c r="A423" s="3">
        <f>LOOKUP(D423,'AMFI DATA_2023H1'!B:C,'AMFI DATA_2023H1'!C:C)</f>
        <v>1417</v>
      </c>
      <c r="B423" s="4" t="s">
        <v>3923</v>
      </c>
      <c r="C423" s="4" t="s">
        <v>3924</v>
      </c>
      <c r="D423" s="5" t="s">
        <v>3925</v>
      </c>
      <c r="E423" s="5">
        <f>LOOKUP(D423,'AMFI DATA_2023H1'!B:D,'AMFI DATA_2023H1'!D:D)</f>
        <v>398.89</v>
      </c>
      <c r="F423" s="7">
        <f t="shared" si="1"/>
        <v>0.8626689062147459</v>
      </c>
      <c r="G423" s="9">
        <v>743</v>
      </c>
      <c r="H423" s="9">
        <v>726</v>
      </c>
      <c r="I423" s="9">
        <v>721</v>
      </c>
      <c r="J423" s="9">
        <v>722</v>
      </c>
      <c r="K423" s="9">
        <v>726</v>
      </c>
      <c r="L423" s="9">
        <v>732</v>
      </c>
      <c r="M423" s="9"/>
      <c r="N423" s="9"/>
      <c r="O423" s="9"/>
      <c r="P423" s="9"/>
      <c r="Q423" s="9">
        <f ca="1">IFERROR(__xludf.DUMMYFUNCTION("GOOGLEFINANCE(C423,""changepct"")"),3.49)</f>
        <v>3.49</v>
      </c>
      <c r="R423" s="9"/>
      <c r="S423" s="9"/>
      <c r="T423" s="9"/>
      <c r="U423" s="9"/>
      <c r="V423" s="9"/>
      <c r="W423" s="9"/>
    </row>
    <row r="424" spans="1:23" ht="14.4">
      <c r="A424" s="3">
        <f>LOOKUP(D424,'AMFI DATA_2023H1'!B:C,'AMFI DATA_2023H1'!C:C)</f>
        <v>1739</v>
      </c>
      <c r="B424" s="4" t="s">
        <v>4592</v>
      </c>
      <c r="C424" s="4" t="s">
        <v>4593</v>
      </c>
      <c r="D424" s="5" t="s">
        <v>4594</v>
      </c>
      <c r="E424" s="5">
        <f>LOOKUP(D424,'AMFI DATA_2023H1'!B:D,'AMFI DATA_2023H1'!D:D)</f>
        <v>219.1</v>
      </c>
      <c r="F424" s="7">
        <f t="shared" si="1"/>
        <v>6.800547695116399E-2</v>
      </c>
      <c r="G424" s="9">
        <v>234</v>
      </c>
      <c r="H424" s="9">
        <v>233</v>
      </c>
      <c r="I424" s="9">
        <v>237</v>
      </c>
      <c r="J424" s="9">
        <v>234</v>
      </c>
      <c r="K424" s="9">
        <v>243</v>
      </c>
      <c r="L424" s="9">
        <v>238</v>
      </c>
      <c r="M424" s="9"/>
      <c r="N424" s="9"/>
      <c r="O424" s="9"/>
      <c r="P424" s="9"/>
      <c r="Q424" s="9">
        <f ca="1">IFERROR(__xludf.DUMMYFUNCTION("GOOGLEFINANCE(C424,""changepct"")"),5.45)</f>
        <v>5.45</v>
      </c>
      <c r="R424" s="9"/>
      <c r="S424" s="9"/>
      <c r="T424" s="9"/>
      <c r="U424" s="9"/>
      <c r="V424" s="9"/>
      <c r="W424" s="9"/>
    </row>
    <row r="425" spans="1:23" ht="14.4">
      <c r="A425" s="3">
        <f>LOOKUP(D425,'AMFI DATA_2023H1'!B:C,'AMFI DATA_2023H1'!C:C)</f>
        <v>1128</v>
      </c>
      <c r="B425" s="4" t="s">
        <v>3383</v>
      </c>
      <c r="C425" s="4" t="s">
        <v>3384</v>
      </c>
      <c r="D425" s="5" t="s">
        <v>3385</v>
      </c>
      <c r="E425" s="5">
        <f>LOOKUP(D425,'AMFI DATA_2023H1'!B:D,'AMFI DATA_2023H1'!D:D)</f>
        <v>829.83</v>
      </c>
      <c r="F425" s="7">
        <f t="shared" si="1"/>
        <v>0.36895508718653214</v>
      </c>
      <c r="G425" s="8">
        <v>1136</v>
      </c>
      <c r="H425" s="8">
        <v>1108</v>
      </c>
      <c r="I425" s="8">
        <v>1101</v>
      </c>
      <c r="J425" s="8">
        <v>1103</v>
      </c>
      <c r="K425" s="8">
        <v>1117</v>
      </c>
      <c r="L425" s="8">
        <v>1107</v>
      </c>
      <c r="M425" s="8"/>
      <c r="N425" s="8"/>
      <c r="O425" s="8"/>
      <c r="P425" s="8"/>
      <c r="Q425" s="9">
        <f ca="1">IFERROR(__xludf.DUMMYFUNCTION("GOOGLEFINANCE(C425,""changepct"")"),2.94)</f>
        <v>2.94</v>
      </c>
      <c r="R425" s="8"/>
      <c r="S425" s="8"/>
      <c r="T425" s="8"/>
      <c r="U425" s="8"/>
      <c r="V425" s="8"/>
      <c r="W425" s="8"/>
    </row>
    <row r="426" spans="1:23" ht="14.4">
      <c r="A426" s="3">
        <f>LOOKUP(D426,'AMFI DATA_2023H1'!B:C,'AMFI DATA_2023H1'!C:C)</f>
        <v>1417</v>
      </c>
      <c r="B426" s="4" t="s">
        <v>3968</v>
      </c>
      <c r="C426" s="4" t="s">
        <v>3969</v>
      </c>
      <c r="D426" s="5" t="s">
        <v>3970</v>
      </c>
      <c r="E426" s="5">
        <f>LOOKUP(D426,'AMFI DATA_2023H1'!B:D,'AMFI DATA_2023H1'!D:D)</f>
        <v>398.89</v>
      </c>
      <c r="F426" s="7">
        <f t="shared" si="1"/>
        <v>0.34122189074682252</v>
      </c>
      <c r="G426" s="9">
        <v>535</v>
      </c>
      <c r="H426" s="9">
        <v>543</v>
      </c>
      <c r="I426" s="9">
        <v>537</v>
      </c>
      <c r="J426" s="9">
        <v>555</v>
      </c>
      <c r="K426" s="9">
        <v>558</v>
      </c>
      <c r="L426" s="9">
        <v>538</v>
      </c>
      <c r="M426" s="9"/>
      <c r="N426" s="9"/>
      <c r="O426" s="9"/>
      <c r="P426" s="9"/>
      <c r="Q426" s="9">
        <f ca="1">IFERROR(__xludf.DUMMYFUNCTION("GOOGLEFINANCE(C426,""changepct"")"),0.66)</f>
        <v>0.66</v>
      </c>
      <c r="R426" s="9"/>
      <c r="S426" s="9"/>
      <c r="T426" s="9"/>
      <c r="U426" s="9"/>
      <c r="V426" s="9"/>
      <c r="W426" s="9"/>
    </row>
    <row r="427" spans="1:23" ht="14.4">
      <c r="A427" s="3">
        <f>LOOKUP(D427,'AMFI DATA_2023H1'!B:C,'AMFI DATA_2023H1'!C:C)</f>
        <v>1417</v>
      </c>
      <c r="B427" s="4" t="s">
        <v>5608</v>
      </c>
      <c r="C427" s="4" t="s">
        <v>5609</v>
      </c>
      <c r="D427" s="5" t="s">
        <v>5610</v>
      </c>
      <c r="E427" s="5">
        <f>LOOKUP(D427,'AMFI DATA_2023H1'!B:D,'AMFI DATA_2023H1'!D:D)</f>
        <v>398.89</v>
      </c>
      <c r="F427" s="7">
        <f t="shared" si="1"/>
        <v>1.075760234651157</v>
      </c>
      <c r="G427" s="9">
        <v>828</v>
      </c>
      <c r="H427" s="9">
        <v>812</v>
      </c>
      <c r="I427" s="9">
        <v>796</v>
      </c>
      <c r="J427" s="9">
        <v>781</v>
      </c>
      <c r="K427" s="9">
        <v>827</v>
      </c>
      <c r="L427" s="9">
        <v>780</v>
      </c>
      <c r="M427" s="9"/>
      <c r="N427" s="9"/>
      <c r="O427" s="9"/>
      <c r="P427" s="9"/>
      <c r="Q427" s="9">
        <f ca="1">IFERROR(__xludf.DUMMYFUNCTION("GOOGLEFINANCE(C427,""changepct"")"),4.03)</f>
        <v>4.03</v>
      </c>
      <c r="R427" s="9"/>
      <c r="S427" s="9"/>
      <c r="T427" s="9"/>
      <c r="U427" s="9"/>
      <c r="V427" s="9"/>
      <c r="W427" s="9"/>
    </row>
    <row r="428" spans="1:23" ht="14.4">
      <c r="A428" s="3">
        <f>LOOKUP(D428,'AMFI DATA_2023H1'!B:C,'AMFI DATA_2023H1'!C:C)</f>
        <v>1472</v>
      </c>
      <c r="B428" s="4" t="s">
        <v>4136</v>
      </c>
      <c r="C428" s="4" t="s">
        <v>4137</v>
      </c>
      <c r="D428" s="5" t="s">
        <v>4138</v>
      </c>
      <c r="E428" s="5">
        <f>LOOKUP(D428,'AMFI DATA_2023H1'!B:D,'AMFI DATA_2023H1'!D:D)</f>
        <v>364.29</v>
      </c>
      <c r="F428" s="7">
        <f t="shared" si="1"/>
        <v>0.25998517664498055</v>
      </c>
      <c r="G428" s="9">
        <v>459</v>
      </c>
      <c r="H428" s="9">
        <v>452</v>
      </c>
      <c r="I428" s="9">
        <v>455</v>
      </c>
      <c r="J428" s="9">
        <v>465</v>
      </c>
      <c r="K428" s="9">
        <v>462</v>
      </c>
      <c r="L428" s="9">
        <v>464</v>
      </c>
      <c r="M428" s="9"/>
      <c r="N428" s="9"/>
      <c r="O428" s="9"/>
      <c r="P428" s="9"/>
      <c r="Q428" s="9">
        <f ca="1">IFERROR(__xludf.DUMMYFUNCTION("GOOGLEFINANCE(C428,""changepct"")"),2.17)</f>
        <v>2.17</v>
      </c>
      <c r="R428" s="9"/>
      <c r="S428" s="9"/>
      <c r="T428" s="9"/>
      <c r="U428" s="9"/>
      <c r="V428" s="9"/>
      <c r="W428" s="9"/>
    </row>
    <row r="429" spans="1:23" ht="14.4">
      <c r="A429" s="3">
        <f>LOOKUP(D429,'AMFI DATA_2023H1'!B:C,'AMFI DATA_2023H1'!C:C)</f>
        <v>2259</v>
      </c>
      <c r="B429" s="4" t="s">
        <v>5147</v>
      </c>
      <c r="C429" s="4" t="s">
        <v>5148</v>
      </c>
      <c r="D429" s="5" t="s">
        <v>5149</v>
      </c>
      <c r="E429" s="5">
        <f>LOOKUP(D429,'AMFI DATA_2023H1'!B:D,'AMFI DATA_2023H1'!D:D)</f>
        <v>93.35</v>
      </c>
      <c r="F429" s="7">
        <f t="shared" si="1"/>
        <v>0.16764863417246922</v>
      </c>
      <c r="G429" s="9">
        <v>109</v>
      </c>
      <c r="H429" s="9">
        <v>107</v>
      </c>
      <c r="I429" s="9">
        <v>109</v>
      </c>
      <c r="J429" s="9">
        <v>108</v>
      </c>
      <c r="K429" s="9">
        <v>109</v>
      </c>
      <c r="L429" s="9">
        <v>111</v>
      </c>
      <c r="M429" s="9"/>
      <c r="N429" s="9"/>
      <c r="O429" s="9"/>
      <c r="P429" s="9"/>
      <c r="Q429" s="9">
        <f ca="1">IFERROR(__xludf.DUMMYFUNCTION("GOOGLEFINANCE(C429,""changepct"")"),-2.04)</f>
        <v>-2.04</v>
      </c>
      <c r="R429" s="9"/>
      <c r="S429" s="9"/>
      <c r="T429" s="9"/>
      <c r="U429" s="9"/>
      <c r="V429" s="9"/>
      <c r="W429" s="9"/>
    </row>
    <row r="430" spans="1:23" ht="14.4">
      <c r="A430" s="3">
        <f>LOOKUP(D430,'AMFI DATA_2023H1'!B:C,'AMFI DATA_2023H1'!C:C)</f>
        <v>1323</v>
      </c>
      <c r="B430" s="4" t="s">
        <v>3692</v>
      </c>
      <c r="C430" s="4" t="s">
        <v>3693</v>
      </c>
      <c r="D430" s="5" t="s">
        <v>3694</v>
      </c>
      <c r="E430" s="5">
        <f>LOOKUP(D430,'AMFI DATA_2023H1'!B:D,'AMFI DATA_2023H1'!D:D)</f>
        <v>487.52</v>
      </c>
      <c r="F430" s="7">
        <f t="shared" si="1"/>
        <v>0.35994420741713173</v>
      </c>
      <c r="G430" s="9">
        <v>663</v>
      </c>
      <c r="H430" s="9">
        <v>653</v>
      </c>
      <c r="I430" s="9">
        <v>650</v>
      </c>
      <c r="J430" s="9">
        <v>651</v>
      </c>
      <c r="K430" s="9">
        <v>663</v>
      </c>
      <c r="L430" s="9">
        <v>671</v>
      </c>
      <c r="M430" s="9"/>
      <c r="N430" s="9"/>
      <c r="O430" s="9"/>
      <c r="P430" s="9"/>
      <c r="Q430" s="9">
        <f ca="1">IFERROR(__xludf.DUMMYFUNCTION("GOOGLEFINANCE(C430,""changepct"")"),0.82)</f>
        <v>0.82</v>
      </c>
      <c r="R430" s="9"/>
      <c r="S430" s="9"/>
      <c r="T430" s="9"/>
      <c r="U430" s="9"/>
      <c r="V430" s="9"/>
      <c r="W430" s="9"/>
    </row>
    <row r="431" spans="1:23" ht="14.4">
      <c r="A431" s="3">
        <f>LOOKUP(D431,'AMFI DATA_2023H1'!B:C,'AMFI DATA_2023H1'!C:C)</f>
        <v>2190</v>
      </c>
      <c r="B431" s="4" t="s">
        <v>5236</v>
      </c>
      <c r="C431" s="4" t="s">
        <v>5237</v>
      </c>
      <c r="D431" s="5" t="s">
        <v>5238</v>
      </c>
      <c r="E431" s="5">
        <f>LOOKUP(D431,'AMFI DATA_2023H1'!B:D,'AMFI DATA_2023H1'!D:D)</f>
        <v>105.37</v>
      </c>
      <c r="F431" s="7">
        <f t="shared" si="1"/>
        <v>0.55642023346303504</v>
      </c>
      <c r="G431" s="9">
        <v>164</v>
      </c>
      <c r="H431" s="9">
        <v>165</v>
      </c>
      <c r="I431" s="9">
        <v>168</v>
      </c>
      <c r="J431" s="9">
        <v>166</v>
      </c>
      <c r="K431" s="9">
        <v>167</v>
      </c>
      <c r="L431" s="9">
        <v>168</v>
      </c>
      <c r="M431" s="9"/>
      <c r="N431" s="9"/>
      <c r="O431" s="9"/>
      <c r="P431" s="9"/>
      <c r="Q431" s="9">
        <f ca="1">IFERROR(__xludf.DUMMYFUNCTION("GOOGLEFINANCE(C431,""changepct"")"),-0.3)</f>
        <v>-0.3</v>
      </c>
      <c r="R431" s="9"/>
      <c r="S431" s="9"/>
      <c r="T431" s="9"/>
      <c r="U431" s="9"/>
      <c r="V431" s="9"/>
      <c r="W431" s="9"/>
    </row>
    <row r="432" spans="1:23" ht="14.4">
      <c r="A432" s="3">
        <f>LOOKUP(D432,'AMFI DATA_2023H1'!B:C,'AMFI DATA_2023H1'!C:C)</f>
        <v>2930</v>
      </c>
      <c r="B432" s="4" t="s">
        <v>5488</v>
      </c>
      <c r="C432" s="4" t="s">
        <v>5489</v>
      </c>
      <c r="D432" s="5" t="s">
        <v>5490</v>
      </c>
      <c r="E432" s="5">
        <f>LOOKUP(D432,'AMFI DATA_2023H1'!B:D,'AMFI DATA_2023H1'!D:D)</f>
        <v>33.56</v>
      </c>
      <c r="F432" s="7">
        <f t="shared" si="1"/>
        <v>0.75208581644815231</v>
      </c>
      <c r="G432" s="9">
        <v>58.8</v>
      </c>
      <c r="H432" s="9">
        <v>60</v>
      </c>
      <c r="I432" s="9">
        <v>60</v>
      </c>
      <c r="J432" s="9">
        <v>60.4</v>
      </c>
      <c r="K432" s="9">
        <v>59.7</v>
      </c>
      <c r="L432" s="9">
        <v>58.8</v>
      </c>
      <c r="M432" s="9"/>
      <c r="N432" s="9"/>
      <c r="O432" s="9"/>
      <c r="P432" s="9"/>
      <c r="Q432" s="9">
        <f ca="1">IFERROR(__xludf.DUMMYFUNCTION("GOOGLEFINANCE(C432,""changepct"")"),-1.03)</f>
        <v>-1.03</v>
      </c>
      <c r="R432" s="9"/>
      <c r="S432" s="9"/>
      <c r="T432" s="9"/>
      <c r="U432" s="9"/>
      <c r="V432" s="9"/>
      <c r="W432" s="9"/>
    </row>
    <row r="433" spans="1:23" ht="14.4">
      <c r="A433" s="3">
        <f>LOOKUP(D433,'AMFI DATA_2023H1'!B:C,'AMFI DATA_2023H1'!C:C)</f>
        <v>659</v>
      </c>
      <c r="B433" s="4" t="s">
        <v>1851</v>
      </c>
      <c r="C433" s="4" t="s">
        <v>1852</v>
      </c>
      <c r="D433" s="5" t="s">
        <v>1853</v>
      </c>
      <c r="E433" s="5">
        <f>LOOKUP(D433,'AMFI DATA_2023H1'!B:D,'AMFI DATA_2023H1'!D:D)</f>
        <v>2920.65</v>
      </c>
      <c r="F433" s="7">
        <f t="shared" si="1"/>
        <v>0.90847927687329877</v>
      </c>
      <c r="G433" s="8">
        <v>5574</v>
      </c>
      <c r="H433" s="8">
        <v>5632</v>
      </c>
      <c r="I433" s="8">
        <v>5740</v>
      </c>
      <c r="J433" s="8">
        <v>5653</v>
      </c>
      <c r="K433" s="8">
        <v>5733</v>
      </c>
      <c r="L433" s="8">
        <v>5654</v>
      </c>
      <c r="M433" s="8"/>
      <c r="N433" s="8"/>
      <c r="O433" s="8"/>
      <c r="P433" s="8"/>
      <c r="Q433" s="9">
        <f ca="1">IFERROR(__xludf.DUMMYFUNCTION("GOOGLEFINANCE(C433,""changepct"")"),0)</f>
        <v>0</v>
      </c>
      <c r="R433" s="8"/>
      <c r="S433" s="8"/>
      <c r="T433" s="8"/>
      <c r="U433" s="8"/>
      <c r="V433" s="8"/>
      <c r="W433" s="8"/>
    </row>
    <row r="434" spans="1:23" ht="14.4">
      <c r="A434" s="3">
        <f>LOOKUP(D434,'AMFI DATA_2023H1'!B:C,'AMFI DATA_2023H1'!C:C)</f>
        <v>676</v>
      </c>
      <c r="B434" s="4" t="s">
        <v>2168</v>
      </c>
      <c r="C434" s="4" t="s">
        <v>2169</v>
      </c>
      <c r="D434" s="5" t="s">
        <v>2170</v>
      </c>
      <c r="E434" s="5">
        <f>LOOKUP(D434,'AMFI DATA_2023H1'!B:D,'AMFI DATA_2023H1'!D:D)</f>
        <v>2782.07</v>
      </c>
      <c r="F434" s="7">
        <f t="shared" si="1"/>
        <v>0.28213883906587522</v>
      </c>
      <c r="G434" s="8">
        <v>3567</v>
      </c>
      <c r="H434" s="8">
        <v>3375</v>
      </c>
      <c r="I434" s="8">
        <v>3410</v>
      </c>
      <c r="J434" s="8">
        <v>3546</v>
      </c>
      <c r="K434" s="8">
        <v>3566</v>
      </c>
      <c r="L434" s="8">
        <v>3637</v>
      </c>
      <c r="M434" s="8"/>
      <c r="N434" s="8"/>
      <c r="O434" s="8"/>
      <c r="P434" s="8"/>
      <c r="Q434" s="9">
        <f ca="1">IFERROR(__xludf.DUMMYFUNCTION("GOOGLEFINANCE(C434,""changepct"")"),-3.3)</f>
        <v>-3.3</v>
      </c>
      <c r="R434" s="8"/>
      <c r="S434" s="8"/>
      <c r="T434" s="8"/>
      <c r="U434" s="8"/>
      <c r="V434" s="8"/>
      <c r="W434" s="8"/>
    </row>
    <row r="435" spans="1:23" ht="14.4">
      <c r="A435" s="3">
        <f>LOOKUP(D435,'AMFI DATA_2023H1'!B:C,'AMFI DATA_2023H1'!C:C)</f>
        <v>819</v>
      </c>
      <c r="B435" s="4" t="s">
        <v>2498</v>
      </c>
      <c r="C435" s="4" t="s">
        <v>2499</v>
      </c>
      <c r="D435" s="5" t="s">
        <v>2500</v>
      </c>
      <c r="E435" s="5">
        <f>LOOKUP(D435,'AMFI DATA_2023H1'!B:D,'AMFI DATA_2023H1'!D:D)</f>
        <v>1842.58</v>
      </c>
      <c r="F435" s="7">
        <f t="shared" si="1"/>
        <v>0.52232196159732558</v>
      </c>
      <c r="G435" s="8">
        <v>2805</v>
      </c>
      <c r="H435" s="8">
        <v>2678</v>
      </c>
      <c r="I435" s="8">
        <v>2763</v>
      </c>
      <c r="J435" s="8">
        <v>2480</v>
      </c>
      <c r="K435" s="8">
        <v>2487</v>
      </c>
      <c r="L435" s="8">
        <v>2454</v>
      </c>
      <c r="M435" s="8"/>
      <c r="N435" s="8"/>
      <c r="O435" s="8"/>
      <c r="P435" s="8"/>
      <c r="Q435" s="9">
        <f ca="1">IFERROR(__xludf.DUMMYFUNCTION("GOOGLEFINANCE(C435,""changepct"")"),0.21)</f>
        <v>0.21</v>
      </c>
      <c r="R435" s="8"/>
      <c r="S435" s="8"/>
      <c r="T435" s="8"/>
      <c r="U435" s="8"/>
      <c r="V435" s="8"/>
      <c r="W435" s="8"/>
    </row>
    <row r="436" spans="1:23" ht="14.4">
      <c r="A436" s="3">
        <f>LOOKUP(D436,'AMFI DATA_2023H1'!B:C,'AMFI DATA_2023H1'!C:C)</f>
        <v>741</v>
      </c>
      <c r="B436" s="4" t="s">
        <v>2288</v>
      </c>
      <c r="C436" s="4" t="s">
        <v>2289</v>
      </c>
      <c r="D436" s="5" t="s">
        <v>2290</v>
      </c>
      <c r="E436" s="5">
        <f>LOOKUP(D436,'AMFI DATA_2023H1'!B:D,'AMFI DATA_2023H1'!D:D)</f>
        <v>2270.12</v>
      </c>
      <c r="F436" s="7">
        <f t="shared" si="1"/>
        <v>0.32195654855249956</v>
      </c>
      <c r="G436" s="8">
        <v>3001</v>
      </c>
      <c r="H436" s="8">
        <v>3007</v>
      </c>
      <c r="I436" s="8">
        <v>3061</v>
      </c>
      <c r="J436" s="8">
        <v>3029</v>
      </c>
      <c r="K436" s="8">
        <v>3039</v>
      </c>
      <c r="L436" s="8">
        <v>3042</v>
      </c>
      <c r="M436" s="8"/>
      <c r="N436" s="8"/>
      <c r="O436" s="8"/>
      <c r="P436" s="8"/>
      <c r="Q436" s="9">
        <f ca="1">IFERROR(__xludf.DUMMYFUNCTION("GOOGLEFINANCE(C436,""changepct"")"),-1.91)</f>
        <v>-1.91</v>
      </c>
      <c r="R436" s="8"/>
      <c r="S436" s="8"/>
      <c r="T436" s="8"/>
      <c r="U436" s="8"/>
      <c r="V436" s="8"/>
      <c r="W436" s="8"/>
    </row>
    <row r="437" spans="1:23" ht="14.4">
      <c r="A437" s="3">
        <f>LOOKUP(D437,'AMFI DATA_2023H1'!B:C,'AMFI DATA_2023H1'!C:C)</f>
        <v>62</v>
      </c>
      <c r="B437" s="4" t="s">
        <v>186</v>
      </c>
      <c r="C437" s="4" t="s">
        <v>187</v>
      </c>
      <c r="D437" s="5" t="s">
        <v>188</v>
      </c>
      <c r="E437" s="5">
        <f>LOOKUP(D437,'AMFI DATA_2023H1'!B:D,'AMFI DATA_2023H1'!D:D)</f>
        <v>84517.97</v>
      </c>
      <c r="F437" s="7">
        <f t="shared" si="1"/>
        <v>0.2315250827723383</v>
      </c>
      <c r="G437" s="8">
        <v>104086</v>
      </c>
      <c r="H437" s="8">
        <v>103581</v>
      </c>
      <c r="I437" s="8">
        <v>104556</v>
      </c>
      <c r="J437" s="8">
        <v>103127</v>
      </c>
      <c r="K437" s="8">
        <v>102580</v>
      </c>
      <c r="L437" s="8">
        <v>98089</v>
      </c>
      <c r="M437" s="8"/>
      <c r="N437" s="8"/>
      <c r="O437" s="8"/>
      <c r="P437" s="8"/>
      <c r="Q437" s="9">
        <f ca="1">IFERROR(__xludf.DUMMYFUNCTION("GOOGLEFINANCE(C437,""changepct"")"),-1.19)</f>
        <v>-1.19</v>
      </c>
      <c r="R437" s="8"/>
      <c r="S437" s="8"/>
      <c r="T437" s="8"/>
      <c r="U437" s="8"/>
      <c r="V437" s="8"/>
      <c r="W437" s="8"/>
    </row>
    <row r="438" spans="1:23" ht="14.4">
      <c r="A438" s="3">
        <f>LOOKUP(D438,'AMFI DATA_2023H1'!B:C,'AMFI DATA_2023H1'!C:C)</f>
        <v>229</v>
      </c>
      <c r="B438" s="4" t="s">
        <v>612</v>
      </c>
      <c r="C438" s="4" t="s">
        <v>613</v>
      </c>
      <c r="D438" s="5" t="s">
        <v>614</v>
      </c>
      <c r="E438" s="5">
        <f>LOOKUP(D438,'AMFI DATA_2023H1'!B:D,'AMFI DATA_2023H1'!D:D)</f>
        <v>19447</v>
      </c>
      <c r="F438" s="7">
        <f t="shared" si="1"/>
        <v>0.98282511441353426</v>
      </c>
      <c r="G438" s="8">
        <v>38560</v>
      </c>
      <c r="H438" s="8">
        <v>39053</v>
      </c>
      <c r="I438" s="8">
        <v>38597</v>
      </c>
      <c r="J438" s="8">
        <v>38615</v>
      </c>
      <c r="K438" s="8">
        <v>38653</v>
      </c>
      <c r="L438" s="8">
        <v>38749</v>
      </c>
      <c r="M438" s="8"/>
      <c r="N438" s="8"/>
      <c r="O438" s="8"/>
      <c r="P438" s="8"/>
      <c r="Q438" s="9">
        <f ca="1">IFERROR(__xludf.DUMMYFUNCTION("GOOGLEFINANCE(C438,""changepct"")"),-4.46)</f>
        <v>-4.46</v>
      </c>
      <c r="R438" s="8"/>
      <c r="S438" s="8"/>
      <c r="T438" s="8"/>
      <c r="U438" s="8"/>
      <c r="V438" s="8"/>
      <c r="W438" s="8"/>
    </row>
    <row r="439" spans="1:23" ht="14.4">
      <c r="A439" s="3">
        <f>LOOKUP(D439,'AMFI DATA_2023H1'!B:C,'AMFI DATA_2023H1'!C:C)</f>
        <v>1917</v>
      </c>
      <c r="B439" s="4" t="s">
        <v>4856</v>
      </c>
      <c r="C439" s="4" t="s">
        <v>4857</v>
      </c>
      <c r="D439" s="5" t="s">
        <v>4858</v>
      </c>
      <c r="E439" s="5">
        <f>LOOKUP(D439,'AMFI DATA_2023H1'!B:D,'AMFI DATA_2023H1'!D:D)</f>
        <v>162.32</v>
      </c>
      <c r="F439" s="7">
        <f t="shared" si="1"/>
        <v>2.2671266633809806E-2</v>
      </c>
      <c r="G439" s="9">
        <v>166</v>
      </c>
      <c r="H439" s="9">
        <v>171</v>
      </c>
      <c r="I439" s="9">
        <v>166</v>
      </c>
      <c r="J439" s="9">
        <v>165</v>
      </c>
      <c r="K439" s="9">
        <v>165</v>
      </c>
      <c r="L439" s="9">
        <v>164</v>
      </c>
      <c r="M439" s="9"/>
      <c r="N439" s="9"/>
      <c r="O439" s="9"/>
      <c r="P439" s="9"/>
      <c r="Q439" s="9">
        <f ca="1">IFERROR(__xludf.DUMMYFUNCTION("GOOGLEFINANCE(C439,""changepct"")"),-0.23)</f>
        <v>-0.23</v>
      </c>
      <c r="R439" s="9"/>
      <c r="S439" s="9"/>
      <c r="T439" s="9"/>
      <c r="U439" s="9"/>
      <c r="V439" s="9"/>
      <c r="W439" s="9"/>
    </row>
    <row r="440" spans="1:23" ht="14.4">
      <c r="A440" s="3">
        <f>LOOKUP(D440,'AMFI DATA_2023H1'!B:C,'AMFI DATA_2023H1'!C:C)</f>
        <v>51</v>
      </c>
      <c r="B440" s="4" t="s">
        <v>138</v>
      </c>
      <c r="C440" s="4" t="s">
        <v>139</v>
      </c>
      <c r="D440" s="5" t="s">
        <v>140</v>
      </c>
      <c r="E440" s="5">
        <f>LOOKUP(D440,'AMFI DATA_2023H1'!B:D,'AMFI DATA_2023H1'!D:D)</f>
        <v>100573.3</v>
      </c>
      <c r="F440" s="7">
        <f t="shared" si="1"/>
        <v>0.78141713556182402</v>
      </c>
      <c r="G440" s="8">
        <v>179163</v>
      </c>
      <c r="H440" s="8">
        <v>179336</v>
      </c>
      <c r="I440" s="8">
        <v>180153</v>
      </c>
      <c r="J440" s="8">
        <v>178309</v>
      </c>
      <c r="K440" s="8">
        <v>176972</v>
      </c>
      <c r="L440" s="8">
        <v>177220</v>
      </c>
      <c r="M440" s="8"/>
      <c r="N440" s="8"/>
      <c r="O440" s="8"/>
      <c r="P440" s="8"/>
      <c r="Q440" s="9">
        <f ca="1">IFERROR(__xludf.DUMMYFUNCTION("GOOGLEFINANCE(C440,""changepct"")"),0.2)</f>
        <v>0.2</v>
      </c>
      <c r="R440" s="8"/>
      <c r="S440" s="8"/>
      <c r="T440" s="8"/>
      <c r="U440" s="8"/>
      <c r="V440" s="8"/>
      <c r="W440" s="8"/>
    </row>
    <row r="441" spans="1:23" ht="14.4">
      <c r="A441" s="3">
        <f>LOOKUP(D441,'AMFI DATA_2023H1'!B:C,'AMFI DATA_2023H1'!C:C)</f>
        <v>1121</v>
      </c>
      <c r="B441" s="4" t="s">
        <v>3269</v>
      </c>
      <c r="C441" s="4" t="s">
        <v>3270</v>
      </c>
      <c r="D441" s="5" t="s">
        <v>3271</v>
      </c>
      <c r="E441" s="5">
        <f>LOOKUP(D441,'AMFI DATA_2023H1'!B:D,'AMFI DATA_2023H1'!D:D)</f>
        <v>840.13</v>
      </c>
      <c r="F441" s="7">
        <f t="shared" si="1"/>
        <v>0.36883577541570944</v>
      </c>
      <c r="G441" s="8">
        <v>1150</v>
      </c>
      <c r="H441" s="8">
        <v>1150</v>
      </c>
      <c r="I441" s="8">
        <v>1164</v>
      </c>
      <c r="J441" s="8">
        <v>1179</v>
      </c>
      <c r="K441" s="8">
        <v>1160</v>
      </c>
      <c r="L441" s="8">
        <v>1153</v>
      </c>
      <c r="M441" s="8"/>
      <c r="N441" s="8"/>
      <c r="O441" s="8"/>
      <c r="P441" s="8"/>
      <c r="Q441" s="9">
        <f ca="1">IFERROR(__xludf.DUMMYFUNCTION("GOOGLEFINANCE(C441,""changepct"")"),0.28)</f>
        <v>0.28000000000000003</v>
      </c>
      <c r="R441" s="8"/>
      <c r="S441" s="8"/>
      <c r="T441" s="8"/>
      <c r="U441" s="8"/>
      <c r="V441" s="8"/>
      <c r="W441" s="8"/>
    </row>
    <row r="442" spans="1:23" ht="14.4">
      <c r="A442" s="3">
        <f>LOOKUP(D442,'AMFI DATA_2023H1'!B:C,'AMFI DATA_2023H1'!C:C)</f>
        <v>1214</v>
      </c>
      <c r="B442" s="4" t="s">
        <v>3614</v>
      </c>
      <c r="C442" s="4" t="s">
        <v>3615</v>
      </c>
      <c r="D442" s="5" t="s">
        <v>3616</v>
      </c>
      <c r="E442" s="5">
        <f>LOOKUP(D442,'AMFI DATA_2023H1'!B:D,'AMFI DATA_2023H1'!D:D)</f>
        <v>674.78</v>
      </c>
      <c r="F442" s="7">
        <f t="shared" si="1"/>
        <v>0.26411571178754567</v>
      </c>
      <c r="G442" s="9">
        <v>853</v>
      </c>
      <c r="H442" s="9">
        <v>831</v>
      </c>
      <c r="I442" s="9">
        <v>819</v>
      </c>
      <c r="J442" s="9">
        <v>819</v>
      </c>
      <c r="K442" s="9">
        <v>794</v>
      </c>
      <c r="L442" s="9">
        <v>757</v>
      </c>
      <c r="M442" s="9"/>
      <c r="N442" s="9"/>
      <c r="O442" s="9"/>
      <c r="P442" s="9"/>
      <c r="Q442" s="9">
        <f ca="1">IFERROR(__xludf.DUMMYFUNCTION("GOOGLEFINANCE(C442,""changepct"")"),0.91)</f>
        <v>0.91</v>
      </c>
      <c r="R442" s="9"/>
      <c r="S442" s="9"/>
      <c r="T442" s="9"/>
      <c r="U442" s="9"/>
      <c r="V442" s="9"/>
      <c r="W442" s="9"/>
    </row>
    <row r="443" spans="1:23" ht="14.4">
      <c r="A443" s="3">
        <f>LOOKUP(D443,'AMFI DATA_2023H1'!B:C,'AMFI DATA_2023H1'!C:C)</f>
        <v>656</v>
      </c>
      <c r="B443" s="4" t="s">
        <v>1932</v>
      </c>
      <c r="C443" s="4" t="s">
        <v>1933</v>
      </c>
      <c r="D443" s="5" t="s">
        <v>1934</v>
      </c>
      <c r="E443" s="5">
        <f>LOOKUP(D443,'AMFI DATA_2023H1'!B:D,'AMFI DATA_2023H1'!D:D)</f>
        <v>2977.92</v>
      </c>
      <c r="F443" s="7">
        <f t="shared" si="1"/>
        <v>0.74215559853857727</v>
      </c>
      <c r="G443" s="8">
        <v>5188</v>
      </c>
      <c r="H443" s="8">
        <v>5223</v>
      </c>
      <c r="I443" s="8">
        <v>4991</v>
      </c>
      <c r="J443" s="8">
        <v>5026</v>
      </c>
      <c r="K443" s="8">
        <v>5116</v>
      </c>
      <c r="L443" s="8">
        <v>5211</v>
      </c>
      <c r="M443" s="8"/>
      <c r="N443" s="8"/>
      <c r="O443" s="8"/>
      <c r="P443" s="8"/>
      <c r="Q443" s="9">
        <f ca="1">IFERROR(__xludf.DUMMYFUNCTION("GOOGLEFINANCE(C443,""changepct"")"),0.62)</f>
        <v>0.62</v>
      </c>
      <c r="R443" s="8"/>
      <c r="S443" s="8"/>
      <c r="T443" s="8"/>
      <c r="U443" s="8"/>
      <c r="V443" s="8"/>
      <c r="W443" s="8"/>
    </row>
    <row r="444" spans="1:23" ht="14.4">
      <c r="A444" s="3">
        <f>LOOKUP(D444,'AMFI DATA_2023H1'!B:C,'AMFI DATA_2023H1'!C:C)</f>
        <v>656</v>
      </c>
      <c r="B444" s="4" t="s">
        <v>1935</v>
      </c>
      <c r="C444" s="4" t="s">
        <v>1936</v>
      </c>
      <c r="D444" s="5" t="s">
        <v>1937</v>
      </c>
      <c r="E444" s="5">
        <f>LOOKUP(D444,'AMFI DATA_2023H1'!B:D,'AMFI DATA_2023H1'!D:D)</f>
        <v>2977.92</v>
      </c>
      <c r="F444" s="7">
        <f t="shared" si="1"/>
        <v>-0.62154792606920273</v>
      </c>
      <c r="G444" s="8">
        <v>1127</v>
      </c>
      <c r="H444" s="8">
        <v>1098</v>
      </c>
      <c r="I444" s="8">
        <v>1116</v>
      </c>
      <c r="J444" s="8">
        <v>1141</v>
      </c>
      <c r="K444" s="8">
        <v>1113</v>
      </c>
      <c r="L444" s="8">
        <v>1111</v>
      </c>
      <c r="M444" s="8"/>
      <c r="N444" s="8"/>
      <c r="O444" s="8"/>
      <c r="P444" s="8"/>
      <c r="Q444" s="9">
        <f ca="1">IFERROR(__xludf.DUMMYFUNCTION("GOOGLEFINANCE(C444,""changepct"")"),2.02)</f>
        <v>2.02</v>
      </c>
      <c r="R444" s="8"/>
      <c r="S444" s="8"/>
      <c r="T444" s="8"/>
      <c r="U444" s="8"/>
      <c r="V444" s="8"/>
      <c r="W444" s="8"/>
    </row>
    <row r="445" spans="1:23" ht="14.4">
      <c r="A445" s="3">
        <f>LOOKUP(D445,'AMFI DATA_2023H1'!B:C,'AMFI DATA_2023H1'!C:C)</f>
        <v>767</v>
      </c>
      <c r="B445" s="4" t="s">
        <v>2513</v>
      </c>
      <c r="C445" s="4" t="s">
        <v>2514</v>
      </c>
      <c r="D445" s="5" t="s">
        <v>2515</v>
      </c>
      <c r="E445" s="5">
        <f>LOOKUP(D445,'AMFI DATA_2023H1'!B:D,'AMFI DATA_2023H1'!D:D)</f>
        <v>2089.3200000000002</v>
      </c>
      <c r="F445" s="7">
        <f t="shared" si="1"/>
        <v>0.31813221526621094</v>
      </c>
      <c r="G445" s="8">
        <v>2754</v>
      </c>
      <c r="H445" s="8">
        <v>2621</v>
      </c>
      <c r="I445" s="8">
        <v>2637</v>
      </c>
      <c r="J445" s="8">
        <v>2557</v>
      </c>
      <c r="K445" s="8">
        <v>2550</v>
      </c>
      <c r="L445" s="8">
        <v>2496</v>
      </c>
      <c r="M445" s="8"/>
      <c r="N445" s="8"/>
      <c r="O445" s="8"/>
      <c r="P445" s="8"/>
      <c r="Q445" s="9">
        <f ca="1">IFERROR(__xludf.DUMMYFUNCTION("GOOGLEFINANCE(C445,""changepct"")"),6.93)</f>
        <v>6.93</v>
      </c>
      <c r="R445" s="8"/>
      <c r="S445" s="8"/>
      <c r="T445" s="8"/>
      <c r="U445" s="8"/>
      <c r="V445" s="8"/>
      <c r="W445" s="8"/>
    </row>
    <row r="446" spans="1:23" ht="14.4">
      <c r="A446" s="3">
        <f>LOOKUP(D446,'AMFI DATA_2023H1'!B:C,'AMFI DATA_2023H1'!C:C)</f>
        <v>767</v>
      </c>
      <c r="B446" s="4" t="s">
        <v>4886</v>
      </c>
      <c r="C446" s="4" t="s">
        <v>4887</v>
      </c>
      <c r="D446" s="5" t="s">
        <v>4888</v>
      </c>
      <c r="E446" s="5">
        <f>LOOKUP(D446,'AMFI DATA_2023H1'!B:D,'AMFI DATA_2023H1'!D:D)</f>
        <v>2089.3200000000002</v>
      </c>
      <c r="F446" s="7">
        <f t="shared" si="1"/>
        <v>-0.75015794612601228</v>
      </c>
      <c r="G446" s="9">
        <v>522</v>
      </c>
      <c r="H446" s="9">
        <v>513</v>
      </c>
      <c r="I446" s="9">
        <v>503</v>
      </c>
      <c r="J446" s="9">
        <v>493</v>
      </c>
      <c r="K446" s="9">
        <v>483</v>
      </c>
      <c r="L446" s="9">
        <v>474</v>
      </c>
      <c r="M446" s="9"/>
      <c r="N446" s="9"/>
      <c r="O446" s="9"/>
      <c r="P446" s="9"/>
      <c r="Q446" s="9">
        <f ca="1">IFERROR(__xludf.DUMMYFUNCTION("GOOGLEFINANCE(C446,""changepct"")"),4.04)</f>
        <v>4.04</v>
      </c>
      <c r="R446" s="9"/>
      <c r="S446" s="9"/>
      <c r="T446" s="9"/>
      <c r="U446" s="9"/>
      <c r="V446" s="9"/>
      <c r="W446" s="9"/>
    </row>
    <row r="447" spans="1:23" ht="14.4">
      <c r="A447" s="3">
        <f>LOOKUP(D447,'AMFI DATA_2023H1'!B:C,'AMFI DATA_2023H1'!C:C)</f>
        <v>1327</v>
      </c>
      <c r="B447" s="4" t="s">
        <v>3944</v>
      </c>
      <c r="C447" s="4" t="s">
        <v>3945</v>
      </c>
      <c r="D447" s="5" t="s">
        <v>3946</v>
      </c>
      <c r="E447" s="5">
        <f>LOOKUP(D447,'AMFI DATA_2023H1'!B:D,'AMFI DATA_2023H1'!D:D)</f>
        <v>486.42</v>
      </c>
      <c r="F447" s="7">
        <f t="shared" si="1"/>
        <v>6.9034990337568214E-2</v>
      </c>
      <c r="G447" s="9">
        <v>520</v>
      </c>
      <c r="H447" s="9">
        <v>517</v>
      </c>
      <c r="I447" s="9">
        <v>512</v>
      </c>
      <c r="J447" s="9">
        <v>526</v>
      </c>
      <c r="K447" s="9">
        <v>525</v>
      </c>
      <c r="L447" s="9">
        <v>532</v>
      </c>
      <c r="M447" s="9"/>
      <c r="N447" s="9"/>
      <c r="O447" s="9"/>
      <c r="P447" s="9"/>
      <c r="Q447" s="9">
        <f ca="1">IFERROR(__xludf.DUMMYFUNCTION("GOOGLEFINANCE(C447,""changepct"")"),-1.49)</f>
        <v>-1.49</v>
      </c>
      <c r="R447" s="9"/>
      <c r="S447" s="9"/>
      <c r="T447" s="9"/>
      <c r="U447" s="9"/>
      <c r="V447" s="9"/>
      <c r="W447" s="9"/>
    </row>
    <row r="448" spans="1:23" ht="14.4">
      <c r="A448" s="3">
        <f>LOOKUP(D448,'AMFI DATA_2023H1'!B:C,'AMFI DATA_2023H1'!C:C)</f>
        <v>1014</v>
      </c>
      <c r="B448" s="4" t="s">
        <v>2927</v>
      </c>
      <c r="C448" s="4" t="s">
        <v>2928</v>
      </c>
      <c r="D448" s="5" t="s">
        <v>2929</v>
      </c>
      <c r="E448" s="5">
        <f>LOOKUP(D448,'AMFI DATA_2023H1'!B:D,'AMFI DATA_2023H1'!D:D)</f>
        <v>1110.8900000000001</v>
      </c>
      <c r="F448" s="7">
        <f t="shared" si="1"/>
        <v>0.7139410742737804</v>
      </c>
      <c r="G448" s="8">
        <v>1904</v>
      </c>
      <c r="H448" s="8">
        <v>1904</v>
      </c>
      <c r="I448" s="8">
        <v>1914</v>
      </c>
      <c r="J448" s="8">
        <v>1836</v>
      </c>
      <c r="K448" s="8">
        <v>1792</v>
      </c>
      <c r="L448" s="8">
        <v>1811</v>
      </c>
      <c r="M448" s="8"/>
      <c r="N448" s="8"/>
      <c r="O448" s="8"/>
      <c r="P448" s="8"/>
      <c r="Q448" s="9">
        <f ca="1">IFERROR(__xludf.DUMMYFUNCTION("GOOGLEFINANCE(C448,""changepct"")"),1.58)</f>
        <v>1.58</v>
      </c>
      <c r="R448" s="8"/>
      <c r="S448" s="8"/>
      <c r="T448" s="8"/>
      <c r="U448" s="8"/>
      <c r="V448" s="8"/>
      <c r="W448" s="8"/>
    </row>
    <row r="449" spans="1:23" ht="14.4">
      <c r="A449" s="3">
        <f>LOOKUP(D449,'AMFI DATA_2023H1'!B:C,'AMFI DATA_2023H1'!C:C)</f>
        <v>253</v>
      </c>
      <c r="B449" s="4" t="s">
        <v>798</v>
      </c>
      <c r="C449" s="4" t="s">
        <v>799</v>
      </c>
      <c r="D449" s="5" t="s">
        <v>800</v>
      </c>
      <c r="E449" s="5">
        <f>LOOKUP(D449,'AMFI DATA_2023H1'!B:D,'AMFI DATA_2023H1'!D:D)</f>
        <v>16630.330000000002</v>
      </c>
      <c r="F449" s="7">
        <f t="shared" si="1"/>
        <v>0.29305912750979668</v>
      </c>
      <c r="G449" s="8">
        <v>21504</v>
      </c>
      <c r="H449" s="8">
        <v>21537</v>
      </c>
      <c r="I449" s="8">
        <v>21391</v>
      </c>
      <c r="J449" s="8">
        <v>21500</v>
      </c>
      <c r="K449" s="8">
        <v>21709</v>
      </c>
      <c r="L449" s="8">
        <v>21675</v>
      </c>
      <c r="M449" s="8"/>
      <c r="N449" s="8"/>
      <c r="O449" s="8"/>
      <c r="P449" s="8"/>
      <c r="Q449" s="9">
        <f ca="1">IFERROR(__xludf.DUMMYFUNCTION("GOOGLEFINANCE(C449,""changepct"")"),-1.95)</f>
        <v>-1.95</v>
      </c>
      <c r="R449" s="8"/>
      <c r="S449" s="8"/>
      <c r="T449" s="8"/>
      <c r="U449" s="8"/>
      <c r="V449" s="8"/>
      <c r="W449" s="8"/>
    </row>
    <row r="450" spans="1:23" ht="14.4">
      <c r="A450" s="3">
        <f>LOOKUP(D450,'AMFI DATA_2023H1'!B:C,'AMFI DATA_2023H1'!C:C)</f>
        <v>67</v>
      </c>
      <c r="B450" s="4" t="s">
        <v>201</v>
      </c>
      <c r="C450" s="4" t="s">
        <v>202</v>
      </c>
      <c r="D450" s="5" t="s">
        <v>203</v>
      </c>
      <c r="E450" s="5">
        <f>LOOKUP(D450,'AMFI DATA_2023H1'!B:D,'AMFI DATA_2023H1'!D:D)</f>
        <v>76108.83</v>
      </c>
      <c r="F450" s="7">
        <f t="shared" si="1"/>
        <v>0.27537107061033517</v>
      </c>
      <c r="G450" s="8">
        <v>97067</v>
      </c>
      <c r="H450" s="8">
        <v>96714</v>
      </c>
      <c r="I450" s="8">
        <v>97553</v>
      </c>
      <c r="J450" s="8">
        <v>95382</v>
      </c>
      <c r="K450" s="8">
        <v>93855</v>
      </c>
      <c r="L450" s="8">
        <v>93875</v>
      </c>
      <c r="M450" s="8"/>
      <c r="N450" s="8"/>
      <c r="O450" s="8"/>
      <c r="P450" s="8"/>
      <c r="Q450" s="9">
        <f ca="1">IFERROR(__xludf.DUMMYFUNCTION("GOOGLEFINANCE(C450,""changepct"")"),-0.21)</f>
        <v>-0.21</v>
      </c>
      <c r="R450" s="8"/>
      <c r="S450" s="8"/>
      <c r="T450" s="8"/>
      <c r="U450" s="8"/>
      <c r="V450" s="8"/>
      <c r="W450" s="8"/>
    </row>
    <row r="451" spans="1:23" ht="14.4">
      <c r="A451" s="3">
        <f>LOOKUP(D451,'AMFI DATA_2023H1'!B:C,'AMFI DATA_2023H1'!C:C)</f>
        <v>1882</v>
      </c>
      <c r="B451" s="4" t="s">
        <v>4760</v>
      </c>
      <c r="C451" s="4" t="s">
        <v>4761</v>
      </c>
      <c r="D451" s="5" t="s">
        <v>4762</v>
      </c>
      <c r="E451" s="5">
        <f>LOOKUP(D451,'AMFI DATA_2023H1'!B:D,'AMFI DATA_2023H1'!D:D)</f>
        <v>169.87</v>
      </c>
      <c r="F451" s="7">
        <f t="shared" si="1"/>
        <v>0.12438923882969322</v>
      </c>
      <c r="G451" s="9">
        <v>191</v>
      </c>
      <c r="H451" s="9">
        <v>182</v>
      </c>
      <c r="I451" s="9">
        <v>179</v>
      </c>
      <c r="J451" s="9">
        <v>189</v>
      </c>
      <c r="K451" s="9">
        <v>184</v>
      </c>
      <c r="L451" s="9">
        <v>181</v>
      </c>
      <c r="M451" s="9"/>
      <c r="N451" s="9"/>
      <c r="O451" s="9"/>
      <c r="P451" s="9"/>
      <c r="Q451" s="9">
        <f ca="1">IFERROR(__xludf.DUMMYFUNCTION("GOOGLEFINANCE(C451,""changepct"")"),3.89)</f>
        <v>3.89</v>
      </c>
      <c r="R451" s="9"/>
      <c r="S451" s="9"/>
      <c r="T451" s="9"/>
      <c r="U451" s="9"/>
      <c r="V451" s="9"/>
      <c r="W451" s="9"/>
    </row>
    <row r="452" spans="1:23" ht="14.4">
      <c r="A452" s="3">
        <f>LOOKUP(D452,'AMFI DATA_2023H1'!B:C,'AMFI DATA_2023H1'!C:C)</f>
        <v>721</v>
      </c>
      <c r="B452" s="4" t="s">
        <v>2300</v>
      </c>
      <c r="C452" s="4" t="s">
        <v>2301</v>
      </c>
      <c r="D452" s="5" t="s">
        <v>2302</v>
      </c>
      <c r="E452" s="5">
        <f>LOOKUP(D452,'AMFI DATA_2023H1'!B:D,'AMFI DATA_2023H1'!D:D)</f>
        <v>2395.83</v>
      </c>
      <c r="F452" s="7">
        <f t="shared" si="1"/>
        <v>0.20334080464807602</v>
      </c>
      <c r="G452" s="8">
        <v>2883</v>
      </c>
      <c r="H452" s="8">
        <v>2847</v>
      </c>
      <c r="I452" s="8">
        <v>2843</v>
      </c>
      <c r="J452" s="8">
        <v>2891</v>
      </c>
      <c r="K452" s="8">
        <v>2810</v>
      </c>
      <c r="L452" s="8">
        <v>2833</v>
      </c>
      <c r="M452" s="8"/>
      <c r="N452" s="8"/>
      <c r="O452" s="8"/>
      <c r="P452" s="8"/>
      <c r="Q452" s="9">
        <f ca="1">IFERROR(__xludf.DUMMYFUNCTION("GOOGLEFINANCE(C452,""changepct"")"),-1.2)</f>
        <v>-1.2</v>
      </c>
      <c r="R452" s="8"/>
      <c r="S452" s="8"/>
      <c r="T452" s="8"/>
      <c r="U452" s="8"/>
      <c r="V452" s="8"/>
      <c r="W452" s="8"/>
    </row>
    <row r="453" spans="1:23" ht="14.4">
      <c r="A453" s="3">
        <f>LOOKUP(D453,'AMFI DATA_2023H1'!B:C,'AMFI DATA_2023H1'!C:C)</f>
        <v>1082</v>
      </c>
      <c r="B453" s="4" t="s">
        <v>3119</v>
      </c>
      <c r="C453" s="4" t="s">
        <v>3120</v>
      </c>
      <c r="D453" s="5" t="s">
        <v>3121</v>
      </c>
      <c r="E453" s="5">
        <f>LOOKUP(D453,'AMFI DATA_2023H1'!B:D,'AMFI DATA_2023H1'!D:D)</f>
        <v>931.5</v>
      </c>
      <c r="F453" s="7">
        <f t="shared" si="1"/>
        <v>0.84863123993558776</v>
      </c>
      <c r="G453" s="8">
        <v>1722</v>
      </c>
      <c r="H453" s="8">
        <v>1678</v>
      </c>
      <c r="I453" s="8">
        <v>1679</v>
      </c>
      <c r="J453" s="8">
        <v>1663</v>
      </c>
      <c r="K453" s="8">
        <v>1699</v>
      </c>
      <c r="L453" s="8">
        <v>1604</v>
      </c>
      <c r="M453" s="8"/>
      <c r="N453" s="8"/>
      <c r="O453" s="8"/>
      <c r="P453" s="8"/>
      <c r="Q453" s="9">
        <f ca="1">IFERROR(__xludf.DUMMYFUNCTION("GOOGLEFINANCE(C453,""changepct"")"),1.68)</f>
        <v>1.68</v>
      </c>
      <c r="R453" s="8"/>
      <c r="S453" s="8"/>
      <c r="T453" s="8"/>
      <c r="U453" s="8"/>
      <c r="V453" s="8"/>
      <c r="W453" s="8"/>
    </row>
    <row r="454" spans="1:23" ht="14.4">
      <c r="A454" s="3">
        <f>LOOKUP(D454,'AMFI DATA_2023H1'!B:C,'AMFI DATA_2023H1'!C:C)</f>
        <v>2978</v>
      </c>
      <c r="B454" s="4" t="s">
        <v>5572</v>
      </c>
      <c r="C454" s="4" t="s">
        <v>5573</v>
      </c>
      <c r="D454" s="5" t="s">
        <v>5574</v>
      </c>
      <c r="E454" s="5">
        <f>LOOKUP(D454,'AMFI DATA_2023H1'!B:D,'AMFI DATA_2023H1'!D:D)</f>
        <v>31.03</v>
      </c>
      <c r="F454" s="7">
        <f t="shared" si="1"/>
        <v>0.59845310989365119</v>
      </c>
      <c r="G454" s="9">
        <v>49.6</v>
      </c>
      <c r="H454" s="9">
        <v>50.5</v>
      </c>
      <c r="I454" s="9">
        <v>51.5</v>
      </c>
      <c r="J454" s="9">
        <v>52.6</v>
      </c>
      <c r="K454" s="9">
        <v>53.1</v>
      </c>
      <c r="L454" s="9">
        <v>54.3</v>
      </c>
      <c r="M454" s="9"/>
      <c r="N454" s="9"/>
      <c r="O454" s="9"/>
      <c r="P454" s="9"/>
      <c r="Q454" s="9">
        <f ca="1">IFERROR(__xludf.DUMMYFUNCTION("GOOGLEFINANCE(C454,""changepct"")"),10)</f>
        <v>10</v>
      </c>
      <c r="R454" s="9"/>
      <c r="S454" s="9"/>
      <c r="T454" s="9"/>
      <c r="U454" s="9"/>
      <c r="V454" s="9"/>
      <c r="W454" s="9"/>
    </row>
    <row r="455" spans="1:23" ht="14.4">
      <c r="A455" s="3">
        <f>LOOKUP(D455,'AMFI DATA_2023H1'!B:C,'AMFI DATA_2023H1'!C:C)</f>
        <v>1757</v>
      </c>
      <c r="B455" s="4" t="s">
        <v>4694</v>
      </c>
      <c r="C455" s="4" t="s">
        <v>4695</v>
      </c>
      <c r="D455" s="5" t="s">
        <v>4696</v>
      </c>
      <c r="E455" s="5">
        <f>LOOKUP(D455,'AMFI DATA_2023H1'!B:D,'AMFI DATA_2023H1'!D:D)</f>
        <v>210.99</v>
      </c>
      <c r="F455" s="7">
        <f t="shared" si="1"/>
        <v>0.18962984027679042</v>
      </c>
      <c r="G455" s="9">
        <v>251</v>
      </c>
      <c r="H455" s="9">
        <v>239</v>
      </c>
      <c r="I455" s="9">
        <v>239</v>
      </c>
      <c r="J455" s="9">
        <v>243</v>
      </c>
      <c r="K455" s="9">
        <v>243</v>
      </c>
      <c r="L455" s="9">
        <v>233</v>
      </c>
      <c r="M455" s="9"/>
      <c r="N455" s="9"/>
      <c r="O455" s="9"/>
      <c r="P455" s="9"/>
      <c r="Q455" s="9">
        <f ca="1">IFERROR(__xludf.DUMMYFUNCTION("GOOGLEFINANCE(C455,""changepct"")"),-3.03)</f>
        <v>-3.03</v>
      </c>
      <c r="R455" s="9"/>
      <c r="S455" s="9"/>
      <c r="T455" s="9"/>
      <c r="U455" s="9"/>
      <c r="V455" s="9"/>
      <c r="W455" s="9"/>
    </row>
    <row r="456" spans="1:23" ht="14.4">
      <c r="A456" s="3">
        <f>LOOKUP(D456,'AMFI DATA_2023H1'!B:C,'AMFI DATA_2023H1'!C:C)</f>
        <v>852</v>
      </c>
      <c r="B456" s="4" t="s">
        <v>2843</v>
      </c>
      <c r="C456" s="4" t="s">
        <v>2844</v>
      </c>
      <c r="D456" s="5" t="s">
        <v>2845</v>
      </c>
      <c r="E456" s="5">
        <f>LOOKUP(D456,'AMFI DATA_2023H1'!B:D,'AMFI DATA_2023H1'!D:D)</f>
        <v>1723.5</v>
      </c>
      <c r="F456" s="7">
        <f t="shared" si="1"/>
        <v>-4.1485349579344355E-2</v>
      </c>
      <c r="G456" s="8">
        <v>1652</v>
      </c>
      <c r="H456" s="8">
        <v>1637</v>
      </c>
      <c r="I456" s="8">
        <v>1638</v>
      </c>
      <c r="J456" s="8">
        <v>1628</v>
      </c>
      <c r="K456" s="8">
        <v>1627</v>
      </c>
      <c r="L456" s="8">
        <v>1636</v>
      </c>
      <c r="M456" s="8"/>
      <c r="N456" s="8"/>
      <c r="O456" s="8"/>
      <c r="P456" s="8"/>
      <c r="Q456" s="9">
        <f ca="1">IFERROR(__xludf.DUMMYFUNCTION("GOOGLEFINANCE(C456,""changepct"")"),-0.6)</f>
        <v>-0.6</v>
      </c>
      <c r="R456" s="8"/>
      <c r="S456" s="8"/>
      <c r="T456" s="8"/>
      <c r="U456" s="8"/>
      <c r="V456" s="8"/>
      <c r="W456" s="8"/>
    </row>
    <row r="457" spans="1:23" ht="14.4">
      <c r="A457" s="3">
        <f>LOOKUP(D457,'AMFI DATA_2023H1'!B:C,'AMFI DATA_2023H1'!C:C)</f>
        <v>1306</v>
      </c>
      <c r="B457" s="4" t="s">
        <v>3566</v>
      </c>
      <c r="C457" s="4" t="s">
        <v>3567</v>
      </c>
      <c r="D457" s="5" t="s">
        <v>3568</v>
      </c>
      <c r="E457" s="5">
        <f>LOOKUP(D457,'AMFI DATA_2023H1'!B:D,'AMFI DATA_2023H1'!D:D)</f>
        <v>515.05999999999995</v>
      </c>
      <c r="F457" s="7">
        <f t="shared" si="1"/>
        <v>0.59010600706713801</v>
      </c>
      <c r="G457" s="9">
        <v>819</v>
      </c>
      <c r="H457" s="9">
        <v>787</v>
      </c>
      <c r="I457" s="9">
        <v>783</v>
      </c>
      <c r="J457" s="9">
        <v>793</v>
      </c>
      <c r="K457" s="9">
        <v>791</v>
      </c>
      <c r="L457" s="9">
        <v>800</v>
      </c>
      <c r="M457" s="9"/>
      <c r="N457" s="9"/>
      <c r="O457" s="9"/>
      <c r="P457" s="9"/>
      <c r="Q457" s="9">
        <f ca="1">IFERROR(__xludf.DUMMYFUNCTION("GOOGLEFINANCE(C457,""changepct"")"),-0.89)</f>
        <v>-0.89</v>
      </c>
      <c r="R457" s="9"/>
      <c r="S457" s="9"/>
      <c r="T457" s="9"/>
      <c r="U457" s="9"/>
      <c r="V457" s="9"/>
      <c r="W457" s="9"/>
    </row>
    <row r="458" spans="1:23" ht="14.4">
      <c r="A458" s="3">
        <f>LOOKUP(D458,'AMFI DATA_2023H1'!B:C,'AMFI DATA_2023H1'!C:C)</f>
        <v>807</v>
      </c>
      <c r="B458" s="4" t="s">
        <v>2342</v>
      </c>
      <c r="C458" s="4" t="s">
        <v>2343</v>
      </c>
      <c r="D458" s="5" t="s">
        <v>2344</v>
      </c>
      <c r="E458" s="5">
        <f>LOOKUP(D458,'AMFI DATA_2023H1'!B:D,'AMFI DATA_2023H1'!D:D)</f>
        <v>1907.89</v>
      </c>
      <c r="F458" s="7">
        <f t="shared" si="1"/>
        <v>0.8171907185424736</v>
      </c>
      <c r="G458" s="8">
        <v>3467</v>
      </c>
      <c r="H458" s="8">
        <v>3450</v>
      </c>
      <c r="I458" s="8">
        <v>3416</v>
      </c>
      <c r="J458" s="8">
        <v>3511</v>
      </c>
      <c r="K458" s="8">
        <v>3490</v>
      </c>
      <c r="L458" s="8">
        <v>3059</v>
      </c>
      <c r="M458" s="8"/>
      <c r="N458" s="8"/>
      <c r="O458" s="8"/>
      <c r="P458" s="8"/>
      <c r="Q458" s="9">
        <f ca="1">IFERROR(__xludf.DUMMYFUNCTION("GOOGLEFINANCE(C458,""changepct"")"),9.49)</f>
        <v>9.49</v>
      </c>
      <c r="R458" s="8"/>
      <c r="S458" s="8"/>
      <c r="T458" s="8"/>
      <c r="U458" s="8"/>
      <c r="V458" s="8"/>
      <c r="W458" s="8"/>
    </row>
    <row r="459" spans="1:23" ht="14.4">
      <c r="A459" s="3">
        <f>LOOKUP(D459,'AMFI DATA_2023H1'!B:C,'AMFI DATA_2023H1'!C:C)</f>
        <v>1357</v>
      </c>
      <c r="B459" s="4" t="s">
        <v>3419</v>
      </c>
      <c r="C459" s="4" t="s">
        <v>3420</v>
      </c>
      <c r="D459" s="5" t="s">
        <v>3421</v>
      </c>
      <c r="E459" s="5">
        <f>LOOKUP(D459,'AMFI DATA_2023H1'!B:D,'AMFI DATA_2023H1'!D:D)</f>
        <v>449.25</v>
      </c>
      <c r="F459" s="7">
        <f t="shared" si="1"/>
        <v>1.3350027824151365</v>
      </c>
      <c r="G459" s="9">
        <v>1049</v>
      </c>
      <c r="H459" s="9">
        <v>958</v>
      </c>
      <c r="I459" s="9">
        <v>1002</v>
      </c>
      <c r="J459" s="9">
        <v>991</v>
      </c>
      <c r="K459" s="9">
        <v>1013</v>
      </c>
      <c r="L459" s="9">
        <v>993</v>
      </c>
      <c r="M459" s="9"/>
      <c r="N459" s="9"/>
      <c r="O459" s="9"/>
      <c r="P459" s="9"/>
      <c r="Q459" s="9">
        <f ca="1">IFERROR(__xludf.DUMMYFUNCTION("GOOGLEFINANCE(C459,""changepct"")"),-3.27)</f>
        <v>-3.27</v>
      </c>
      <c r="R459" s="9"/>
      <c r="S459" s="9"/>
      <c r="T459" s="9"/>
      <c r="U459" s="9"/>
      <c r="V459" s="9"/>
      <c r="W459" s="9"/>
    </row>
    <row r="460" spans="1:23" ht="14.4">
      <c r="A460" s="3">
        <f>LOOKUP(D460,'AMFI DATA_2023H1'!B:C,'AMFI DATA_2023H1'!C:C)</f>
        <v>1505</v>
      </c>
      <c r="B460" s="4" t="s">
        <v>4229</v>
      </c>
      <c r="C460" s="4" t="s">
        <v>4230</v>
      </c>
      <c r="D460" s="5" t="s">
        <v>4231</v>
      </c>
      <c r="E460" s="5">
        <f>LOOKUP(D460,'AMFI DATA_2023H1'!B:D,'AMFI DATA_2023H1'!D:D)</f>
        <v>341.82</v>
      </c>
      <c r="F460" s="7">
        <f t="shared" si="1"/>
        <v>8.8292083552746981E-2</v>
      </c>
      <c r="G460" s="9">
        <v>372</v>
      </c>
      <c r="H460" s="9">
        <v>364</v>
      </c>
      <c r="I460" s="9">
        <v>364</v>
      </c>
      <c r="J460" s="9">
        <v>364</v>
      </c>
      <c r="K460" s="9">
        <v>368</v>
      </c>
      <c r="L460" s="9">
        <v>362</v>
      </c>
      <c r="M460" s="9"/>
      <c r="N460" s="9"/>
      <c r="O460" s="9"/>
      <c r="P460" s="9"/>
      <c r="Q460" s="9">
        <f ca="1">IFERROR(__xludf.DUMMYFUNCTION("GOOGLEFINANCE(C460,""changepct"")"),-1.23)</f>
        <v>-1.23</v>
      </c>
      <c r="R460" s="9"/>
      <c r="S460" s="9"/>
      <c r="T460" s="9"/>
      <c r="U460" s="9"/>
      <c r="V460" s="9"/>
      <c r="W460" s="9"/>
    </row>
    <row r="461" spans="1:23" ht="14.4">
      <c r="A461" s="3">
        <f>LOOKUP(D461,'AMFI DATA_2023H1'!B:C,'AMFI DATA_2023H1'!C:C)</f>
        <v>1686</v>
      </c>
      <c r="B461" s="4" t="s">
        <v>3803</v>
      </c>
      <c r="C461" s="4" t="s">
        <v>3804</v>
      </c>
      <c r="D461" s="5" t="s">
        <v>3805</v>
      </c>
      <c r="E461" s="5">
        <f>LOOKUP(D461,'AMFI DATA_2023H1'!B:D,'AMFI DATA_2023H1'!D:D)</f>
        <v>245.14</v>
      </c>
      <c r="F461" s="7">
        <f t="shared" si="1"/>
        <v>3.0793016235620465</v>
      </c>
      <c r="G461" s="9">
        <v>1000</v>
      </c>
      <c r="H461" s="9">
        <v>934</v>
      </c>
      <c r="I461" s="9">
        <v>915</v>
      </c>
      <c r="J461" s="9">
        <v>897</v>
      </c>
      <c r="K461" s="9">
        <v>897</v>
      </c>
      <c r="L461" s="9">
        <v>908</v>
      </c>
      <c r="M461" s="9"/>
      <c r="N461" s="9"/>
      <c r="O461" s="9"/>
      <c r="P461" s="9"/>
      <c r="Q461" s="9">
        <f ca="1">IFERROR(__xludf.DUMMYFUNCTION("GOOGLEFINANCE(C461,""changepct"")"),3.75)</f>
        <v>3.75</v>
      </c>
      <c r="R461" s="9"/>
      <c r="S461" s="9"/>
      <c r="T461" s="9"/>
      <c r="U461" s="9"/>
      <c r="V461" s="9"/>
      <c r="W461" s="9"/>
    </row>
    <row r="462" spans="1:23" ht="14.4">
      <c r="A462" s="3">
        <f>LOOKUP(D462,'AMFI DATA_2023H1'!B:C,'AMFI DATA_2023H1'!C:C)</f>
        <v>3245</v>
      </c>
      <c r="B462" s="4" t="s">
        <v>5704</v>
      </c>
      <c r="C462" s="4" t="s">
        <v>5705</v>
      </c>
      <c r="D462" s="5" t="s">
        <v>5706</v>
      </c>
      <c r="E462" s="5">
        <f>LOOKUP(D462,'AMFI DATA_2023H1'!B:D,'AMFI DATA_2023H1'!D:D)</f>
        <v>21.05</v>
      </c>
      <c r="F462" s="7">
        <f t="shared" si="1"/>
        <v>-0.12589073634204284</v>
      </c>
      <c r="G462" s="9">
        <v>18.399999999999999</v>
      </c>
      <c r="H462" s="9">
        <v>19.399999999999999</v>
      </c>
      <c r="I462" s="9">
        <v>20</v>
      </c>
      <c r="J462" s="9">
        <v>18.2</v>
      </c>
      <c r="K462" s="9">
        <v>16.7</v>
      </c>
      <c r="L462" s="9">
        <v>17.8</v>
      </c>
      <c r="M462" s="9"/>
      <c r="N462" s="9"/>
      <c r="O462" s="9"/>
      <c r="P462" s="9"/>
      <c r="Q462" s="9">
        <f ca="1">IFERROR(__xludf.DUMMYFUNCTION("GOOGLEFINANCE(C462,""changepct"")"),4.76)</f>
        <v>4.76</v>
      </c>
      <c r="R462" s="9"/>
      <c r="S462" s="9"/>
      <c r="T462" s="9"/>
      <c r="U462" s="9"/>
      <c r="V462" s="9"/>
      <c r="W462" s="9"/>
    </row>
    <row r="463" spans="1:23" ht="14.4">
      <c r="A463" s="3">
        <f>LOOKUP(D463,'AMFI DATA_2023H1'!B:C,'AMFI DATA_2023H1'!C:C)</f>
        <v>385</v>
      </c>
      <c r="B463" s="4" t="s">
        <v>1542</v>
      </c>
      <c r="C463" s="4" t="s">
        <v>1543</v>
      </c>
      <c r="D463" s="5" t="s">
        <v>1544</v>
      </c>
      <c r="E463" s="5">
        <f>LOOKUP(D463,'AMFI DATA_2023H1'!B:D,'AMFI DATA_2023H1'!D:D)</f>
        <v>8240.2000000000007</v>
      </c>
      <c r="F463" s="7">
        <f t="shared" si="1"/>
        <v>-0.12502123734860815</v>
      </c>
      <c r="G463" s="8">
        <v>7210</v>
      </c>
      <c r="H463" s="8">
        <v>7147</v>
      </c>
      <c r="I463" s="8">
        <v>6874</v>
      </c>
      <c r="J463" s="8">
        <v>6884</v>
      </c>
      <c r="K463" s="8">
        <v>6779</v>
      </c>
      <c r="L463" s="8">
        <v>6693</v>
      </c>
      <c r="M463" s="8"/>
      <c r="N463" s="8"/>
      <c r="O463" s="8"/>
      <c r="P463" s="8"/>
      <c r="Q463" s="9">
        <f ca="1">IFERROR(__xludf.DUMMYFUNCTION("GOOGLEFINANCE(C463,""changepct"")"),2.31)</f>
        <v>2.31</v>
      </c>
      <c r="R463" s="8"/>
      <c r="S463" s="8"/>
      <c r="T463" s="8"/>
      <c r="U463" s="8"/>
      <c r="V463" s="8"/>
      <c r="W463" s="8"/>
    </row>
    <row r="464" spans="1:23" ht="14.4">
      <c r="A464" s="3">
        <f>LOOKUP(D464,'AMFI DATA_2023H1'!B:C,'AMFI DATA_2023H1'!C:C)</f>
        <v>411</v>
      </c>
      <c r="B464" s="4" t="s">
        <v>1245</v>
      </c>
      <c r="C464" s="4" t="s">
        <v>1246</v>
      </c>
      <c r="D464" s="5" t="s">
        <v>1247</v>
      </c>
      <c r="E464" s="5">
        <f>LOOKUP(D464,'AMFI DATA_2023H1'!B:D,'AMFI DATA_2023H1'!D:D)</f>
        <v>7193.71</v>
      </c>
      <c r="F464" s="7">
        <f t="shared" si="1"/>
        <v>0.73901922651872254</v>
      </c>
      <c r="G464" s="8">
        <v>12510</v>
      </c>
      <c r="H464" s="8">
        <v>12732</v>
      </c>
      <c r="I464" s="8">
        <v>12864</v>
      </c>
      <c r="J464" s="8">
        <v>12702</v>
      </c>
      <c r="K464" s="8">
        <v>12853</v>
      </c>
      <c r="L464" s="8">
        <v>12649</v>
      </c>
      <c r="M464" s="8"/>
      <c r="N464" s="8"/>
      <c r="O464" s="8"/>
      <c r="P464" s="8"/>
      <c r="Q464" s="9">
        <f ca="1">IFERROR(__xludf.DUMMYFUNCTION("GOOGLEFINANCE(C464,""changepct"")"),0.49)</f>
        <v>0.49</v>
      </c>
      <c r="R464" s="8"/>
      <c r="S464" s="8"/>
      <c r="T464" s="8"/>
      <c r="U464" s="8"/>
      <c r="V464" s="8"/>
      <c r="W464" s="8"/>
    </row>
    <row r="465" spans="1:23" ht="14.4">
      <c r="A465" s="3">
        <f>LOOKUP(D465,'AMFI DATA_2023H1'!B:C,'AMFI DATA_2023H1'!C:C)</f>
        <v>534</v>
      </c>
      <c r="B465" s="4" t="s">
        <v>1734</v>
      </c>
      <c r="C465" s="4" t="s">
        <v>1735</v>
      </c>
      <c r="D465" s="5" t="s">
        <v>1736</v>
      </c>
      <c r="E465" s="5">
        <f>LOOKUP(D465,'AMFI DATA_2023H1'!B:D,'AMFI DATA_2023H1'!D:D)</f>
        <v>4547.58</v>
      </c>
      <c r="F465" s="7">
        <f t="shared" si="1"/>
        <v>0.63163704651704866</v>
      </c>
      <c r="G465" s="8">
        <v>7420</v>
      </c>
      <c r="H465" s="8">
        <v>7358</v>
      </c>
      <c r="I465" s="8">
        <v>7397</v>
      </c>
      <c r="J465" s="8">
        <v>7468</v>
      </c>
      <c r="K465" s="8">
        <v>7327</v>
      </c>
      <c r="L465" s="8">
        <v>7375</v>
      </c>
      <c r="M465" s="8"/>
      <c r="N465" s="8"/>
      <c r="O465" s="8"/>
      <c r="P465" s="8"/>
      <c r="Q465" s="9">
        <f ca="1">IFERROR(__xludf.DUMMYFUNCTION("GOOGLEFINANCE(C465,""changepct"")"),-0.34)</f>
        <v>-0.34</v>
      </c>
      <c r="R465" s="8"/>
      <c r="S465" s="8"/>
      <c r="T465" s="8"/>
      <c r="U465" s="8"/>
      <c r="V465" s="8"/>
      <c r="W465" s="8"/>
    </row>
    <row r="466" spans="1:23" ht="14.4">
      <c r="A466" s="3">
        <f>LOOKUP(D466,'AMFI DATA_2023H1'!B:C,'AMFI DATA_2023H1'!C:C)</f>
        <v>3193</v>
      </c>
      <c r="B466" s="4" t="s">
        <v>5593</v>
      </c>
      <c r="C466" s="4" t="s">
        <v>5594</v>
      </c>
      <c r="D466" s="5" t="s">
        <v>5595</v>
      </c>
      <c r="E466" s="5">
        <f>LOOKUP(D466,'AMFI DATA_2023H1'!B:D,'AMFI DATA_2023H1'!D:D)</f>
        <v>22.98</v>
      </c>
      <c r="F466" s="7">
        <f t="shared" si="1"/>
        <v>0.86684073107049597</v>
      </c>
      <c r="G466" s="9">
        <v>42.9</v>
      </c>
      <c r="H466" s="9">
        <v>43.7</v>
      </c>
      <c r="I466" s="9">
        <v>44.6</v>
      </c>
      <c r="J466" s="9">
        <v>45.4</v>
      </c>
      <c r="K466" s="9">
        <v>47.8</v>
      </c>
      <c r="L466" s="9">
        <v>47.8</v>
      </c>
      <c r="M466" s="9"/>
      <c r="N466" s="9"/>
      <c r="O466" s="9"/>
      <c r="P466" s="9"/>
      <c r="Q466" s="9">
        <f ca="1">IFERROR(__xludf.DUMMYFUNCTION("GOOGLEFINANCE(C466,""changepct"")"),10)</f>
        <v>10</v>
      </c>
      <c r="R466" s="9"/>
      <c r="S466" s="9"/>
      <c r="T466" s="9"/>
      <c r="U466" s="9"/>
      <c r="V466" s="9"/>
      <c r="W466" s="9"/>
    </row>
    <row r="467" spans="1:23" ht="14.4">
      <c r="A467" s="3">
        <f>LOOKUP(D467,'AMFI DATA_2023H1'!B:C,'AMFI DATA_2023H1'!C:C)</f>
        <v>59</v>
      </c>
      <c r="B467" s="4" t="s">
        <v>189</v>
      </c>
      <c r="C467" s="4" t="s">
        <v>190</v>
      </c>
      <c r="D467" s="5" t="s">
        <v>191</v>
      </c>
      <c r="E467" s="5">
        <f>LOOKUP(D467,'AMFI DATA_2023H1'!B:D,'AMFI DATA_2023H1'!D:D)</f>
        <v>90216</v>
      </c>
      <c r="F467" s="7">
        <f t="shared" si="1"/>
        <v>0.22458322248825047</v>
      </c>
      <c r="G467" s="8">
        <v>110477</v>
      </c>
      <c r="H467" s="8">
        <v>113131</v>
      </c>
      <c r="I467" s="8">
        <v>112058</v>
      </c>
      <c r="J467" s="8">
        <v>112467</v>
      </c>
      <c r="K467" s="8">
        <v>110663</v>
      </c>
      <c r="L467" s="8">
        <v>109676</v>
      </c>
      <c r="M467" s="8"/>
      <c r="N467" s="8"/>
      <c r="O467" s="8"/>
      <c r="P467" s="8"/>
      <c r="Q467" s="9">
        <f ca="1">IFERROR(__xludf.DUMMYFUNCTION("GOOGLEFINANCE(C467,""changepct"")"),0.24)</f>
        <v>0.24</v>
      </c>
      <c r="R467" s="8"/>
      <c r="S467" s="8"/>
      <c r="T467" s="8"/>
      <c r="U467" s="8"/>
      <c r="V467" s="8"/>
      <c r="W467" s="8"/>
    </row>
    <row r="468" spans="1:23" ht="14.4">
      <c r="A468" s="3">
        <f>LOOKUP(D468,'AMFI DATA_2023H1'!B:C,'AMFI DATA_2023H1'!C:C)</f>
        <v>366</v>
      </c>
      <c r="B468" s="4" t="s">
        <v>1329</v>
      </c>
      <c r="C468" s="4" t="s">
        <v>1330</v>
      </c>
      <c r="D468" s="5" t="s">
        <v>1331</v>
      </c>
      <c r="E468" s="5">
        <f>LOOKUP(D468,'AMFI DATA_2023H1'!B:D,'AMFI DATA_2023H1'!D:D)</f>
        <v>8992.2999999999993</v>
      </c>
      <c r="F468" s="7">
        <f t="shared" si="1"/>
        <v>0.11473149249913828</v>
      </c>
      <c r="G468" s="8">
        <v>10024</v>
      </c>
      <c r="H468" s="8">
        <v>9882</v>
      </c>
      <c r="I468" s="8">
        <v>10107</v>
      </c>
      <c r="J468" s="8">
        <v>10047</v>
      </c>
      <c r="K468" s="8">
        <v>10043</v>
      </c>
      <c r="L468" s="8">
        <v>9994</v>
      </c>
      <c r="M468" s="8"/>
      <c r="N468" s="8"/>
      <c r="O468" s="8"/>
      <c r="P468" s="8"/>
      <c r="Q468" s="9">
        <f ca="1">IFERROR(__xludf.DUMMYFUNCTION("GOOGLEFINANCE(C468,""changepct"")"),-0.3)</f>
        <v>-0.3</v>
      </c>
      <c r="R468" s="8"/>
      <c r="S468" s="8"/>
      <c r="T468" s="8"/>
      <c r="U468" s="8"/>
      <c r="V468" s="8"/>
      <c r="W468" s="8"/>
    </row>
    <row r="469" spans="1:23" ht="14.4">
      <c r="A469" s="3">
        <f>LOOKUP(D469,'AMFI DATA_2023H1'!B:C,'AMFI DATA_2023H1'!C:C)</f>
        <v>938</v>
      </c>
      <c r="B469" s="4" t="s">
        <v>3020</v>
      </c>
      <c r="C469" s="4" t="s">
        <v>3021</v>
      </c>
      <c r="D469" s="5" t="s">
        <v>3022</v>
      </c>
      <c r="E469" s="5">
        <f>LOOKUP(D469,'AMFI DATA_2023H1'!B:D,'AMFI DATA_2023H1'!D:D)</f>
        <v>1349.77</v>
      </c>
      <c r="F469" s="7">
        <f t="shared" si="1"/>
        <v>6.5366692103099089E-2</v>
      </c>
      <c r="G469" s="8">
        <v>1438</v>
      </c>
      <c r="H469" s="8">
        <v>1409</v>
      </c>
      <c r="I469" s="8">
        <v>1392</v>
      </c>
      <c r="J469" s="8">
        <v>1382</v>
      </c>
      <c r="K469" s="8">
        <v>1381</v>
      </c>
      <c r="L469" s="8">
        <v>1393</v>
      </c>
      <c r="M469" s="8"/>
      <c r="N469" s="8"/>
      <c r="O469" s="8"/>
      <c r="P469" s="8"/>
      <c r="Q469" s="9">
        <f ca="1">IFERROR(__xludf.DUMMYFUNCTION("GOOGLEFINANCE(C469,""changepct"")"),9.39)</f>
        <v>9.39</v>
      </c>
      <c r="R469" s="8"/>
      <c r="S469" s="8"/>
      <c r="T469" s="8"/>
      <c r="U469" s="8"/>
      <c r="V469" s="8"/>
      <c r="W469" s="8"/>
    </row>
    <row r="470" spans="1:23" ht="14.4">
      <c r="A470" s="3">
        <f>LOOKUP(D470,'AMFI DATA_2023H1'!B:C,'AMFI DATA_2023H1'!C:C)</f>
        <v>319</v>
      </c>
      <c r="B470" s="4" t="s">
        <v>978</v>
      </c>
      <c r="C470" s="4" t="s">
        <v>979</v>
      </c>
      <c r="D470" s="5" t="s">
        <v>980</v>
      </c>
      <c r="E470" s="5">
        <f>LOOKUP(D470,'AMFI DATA_2023H1'!B:D,'AMFI DATA_2023H1'!D:D)</f>
        <v>11261.63</v>
      </c>
      <c r="F470" s="7">
        <f t="shared" si="1"/>
        <v>0.3882537430194386</v>
      </c>
      <c r="G470" s="8">
        <v>15634</v>
      </c>
      <c r="H470" s="8">
        <v>15603</v>
      </c>
      <c r="I470" s="8">
        <v>15134</v>
      </c>
      <c r="J470" s="8">
        <v>15128</v>
      </c>
      <c r="K470" s="8">
        <v>15103</v>
      </c>
      <c r="L470" s="8">
        <v>14856</v>
      </c>
      <c r="M470" s="8"/>
      <c r="N470" s="8"/>
      <c r="O470" s="8"/>
      <c r="P470" s="8"/>
      <c r="Q470" s="9">
        <f ca="1">IFERROR(__xludf.DUMMYFUNCTION("GOOGLEFINANCE(C470,""changepct"")"),1.89)</f>
        <v>1.89</v>
      </c>
      <c r="R470" s="8"/>
      <c r="S470" s="8"/>
      <c r="T470" s="8"/>
      <c r="U470" s="8"/>
      <c r="V470" s="8"/>
      <c r="W470" s="8"/>
    </row>
    <row r="471" spans="1:23" ht="14.4">
      <c r="A471" s="3">
        <f>LOOKUP(D471,'AMFI DATA_2023H1'!B:C,'AMFI DATA_2023H1'!C:C)</f>
        <v>1636</v>
      </c>
      <c r="B471" s="4" t="s">
        <v>3749</v>
      </c>
      <c r="C471" s="4" t="s">
        <v>3750</v>
      </c>
      <c r="D471" s="5" t="s">
        <v>3751</v>
      </c>
      <c r="E471" s="5">
        <f>LOOKUP(D471,'AMFI DATA_2023H1'!B:D,'AMFI DATA_2023H1'!D:D)</f>
        <v>268.95</v>
      </c>
      <c r="F471" s="7">
        <f t="shared" si="1"/>
        <v>2.3984011898122328</v>
      </c>
      <c r="G471" s="9">
        <v>914</v>
      </c>
      <c r="H471" s="9">
        <v>923</v>
      </c>
      <c r="I471" s="9">
        <v>940</v>
      </c>
      <c r="J471" s="9">
        <v>963</v>
      </c>
      <c r="K471" s="9">
        <v>945</v>
      </c>
      <c r="L471" s="9">
        <v>977</v>
      </c>
      <c r="M471" s="9"/>
      <c r="N471" s="9"/>
      <c r="O471" s="9"/>
      <c r="P471" s="9"/>
      <c r="Q471" s="9">
        <f ca="1">IFERROR(__xludf.DUMMYFUNCTION("GOOGLEFINANCE(C471,""changepct"")"),-1.06)</f>
        <v>-1.06</v>
      </c>
      <c r="R471" s="9"/>
      <c r="S471" s="9"/>
      <c r="T471" s="9"/>
      <c r="U471" s="9"/>
      <c r="V471" s="9"/>
      <c r="W471" s="9"/>
    </row>
    <row r="472" spans="1:23" ht="14.4">
      <c r="A472" s="3">
        <f>LOOKUP(D472,'AMFI DATA_2023H1'!B:C,'AMFI DATA_2023H1'!C:C)</f>
        <v>1259</v>
      </c>
      <c r="B472" s="4" t="s">
        <v>3671</v>
      </c>
      <c r="C472" s="4" t="s">
        <v>3672</v>
      </c>
      <c r="D472" s="5" t="s">
        <v>3673</v>
      </c>
      <c r="E472" s="5">
        <f>LOOKUP(D472,'AMFI DATA_2023H1'!B:D,'AMFI DATA_2023H1'!D:D)</f>
        <v>588.91</v>
      </c>
      <c r="F472" s="7">
        <f t="shared" si="1"/>
        <v>0.21071131412270128</v>
      </c>
      <c r="G472" s="9">
        <v>713</v>
      </c>
      <c r="H472" s="9">
        <v>713</v>
      </c>
      <c r="I472" s="9">
        <v>721</v>
      </c>
      <c r="J472" s="9">
        <v>716</v>
      </c>
      <c r="K472" s="9">
        <v>710</v>
      </c>
      <c r="L472" s="9">
        <v>715</v>
      </c>
      <c r="M472" s="9"/>
      <c r="N472" s="9"/>
      <c r="O472" s="9"/>
      <c r="P472" s="9"/>
      <c r="Q472" s="9">
        <f ca="1">IFERROR(__xludf.DUMMYFUNCTION("GOOGLEFINANCE(C472,""changepct"")"),0.85)</f>
        <v>0.85</v>
      </c>
      <c r="R472" s="9"/>
      <c r="S472" s="9"/>
      <c r="T472" s="9"/>
      <c r="U472" s="9"/>
      <c r="V472" s="9"/>
      <c r="W472" s="9"/>
    </row>
    <row r="473" spans="1:23" ht="14.4">
      <c r="A473" s="3">
        <f>LOOKUP(D473,'AMFI DATA_2023H1'!B:C,'AMFI DATA_2023H1'!C:C)</f>
        <v>516</v>
      </c>
      <c r="B473" s="4" t="s">
        <v>1293</v>
      </c>
      <c r="C473" s="4" t="s">
        <v>1294</v>
      </c>
      <c r="D473" s="5" t="s">
        <v>1295</v>
      </c>
      <c r="E473" s="5">
        <f>LOOKUP(D473,'AMFI DATA_2023H1'!B:D,'AMFI DATA_2023H1'!D:D)</f>
        <v>4982.04</v>
      </c>
      <c r="F473" s="7">
        <f t="shared" si="1"/>
        <v>1.1123876966062096</v>
      </c>
      <c r="G473" s="8">
        <v>10524</v>
      </c>
      <c r="H473" s="8">
        <v>10439</v>
      </c>
      <c r="I473" s="8">
        <v>10543</v>
      </c>
      <c r="J473" s="8">
        <v>10528</v>
      </c>
      <c r="K473" s="8">
        <v>10535</v>
      </c>
      <c r="L473" s="8">
        <v>10025</v>
      </c>
      <c r="M473" s="8"/>
      <c r="N473" s="8"/>
      <c r="O473" s="8"/>
      <c r="P473" s="8"/>
      <c r="Q473" s="9">
        <f ca="1">IFERROR(__xludf.DUMMYFUNCTION("GOOGLEFINANCE(C473,""changepct"")"),6.28)</f>
        <v>6.28</v>
      </c>
      <c r="R473" s="8"/>
      <c r="S473" s="8"/>
      <c r="T473" s="8"/>
      <c r="U473" s="8"/>
      <c r="V473" s="8"/>
      <c r="W473" s="8"/>
    </row>
    <row r="474" spans="1:23" ht="14.4">
      <c r="A474" s="3">
        <f>LOOKUP(D474,'AMFI DATA_2023H1'!B:C,'AMFI DATA_2023H1'!C:C)</f>
        <v>663</v>
      </c>
      <c r="B474" s="4" t="s">
        <v>1701</v>
      </c>
      <c r="C474" s="4" t="s">
        <v>1702</v>
      </c>
      <c r="D474" s="5" t="s">
        <v>1703</v>
      </c>
      <c r="E474" s="5">
        <f>LOOKUP(D474,'AMFI DATA_2023H1'!B:D,'AMFI DATA_2023H1'!D:D)</f>
        <v>2889</v>
      </c>
      <c r="F474" s="7">
        <f t="shared" si="1"/>
        <v>1.6929733471789548</v>
      </c>
      <c r="G474" s="8">
        <v>7780</v>
      </c>
      <c r="H474" s="8">
        <v>7887</v>
      </c>
      <c r="I474" s="8">
        <v>7687</v>
      </c>
      <c r="J474" s="8">
        <v>7718</v>
      </c>
      <c r="K474" s="8">
        <v>7780</v>
      </c>
      <c r="L474" s="8">
        <v>7914</v>
      </c>
      <c r="M474" s="8"/>
      <c r="N474" s="8"/>
      <c r="O474" s="8"/>
      <c r="P474" s="8"/>
      <c r="Q474" s="9">
        <f ca="1">IFERROR(__xludf.DUMMYFUNCTION("GOOGLEFINANCE(C474,""changepct"")"),-1.87)</f>
        <v>-1.87</v>
      </c>
      <c r="R474" s="8"/>
      <c r="S474" s="8"/>
      <c r="T474" s="8"/>
      <c r="U474" s="8"/>
      <c r="V474" s="8"/>
      <c r="W474" s="8"/>
    </row>
    <row r="475" spans="1:23" ht="14.4">
      <c r="A475" s="3">
        <f>LOOKUP(D475,'AMFI DATA_2023H1'!B:C,'AMFI DATA_2023H1'!C:C)</f>
        <v>723</v>
      </c>
      <c r="B475" s="4" t="s">
        <v>1854</v>
      </c>
      <c r="C475" s="4" t="s">
        <v>1855</v>
      </c>
      <c r="D475" s="5" t="s">
        <v>1856</v>
      </c>
      <c r="E475" s="5">
        <f>LOOKUP(D475,'AMFI DATA_2023H1'!B:D,'AMFI DATA_2023H1'!D:D)</f>
        <v>2389.8200000000002</v>
      </c>
      <c r="F475" s="7">
        <f t="shared" si="1"/>
        <v>1.7880760894125918</v>
      </c>
      <c r="G475" s="8">
        <v>6663</v>
      </c>
      <c r="H475" s="8">
        <v>6630</v>
      </c>
      <c r="I475" s="8">
        <v>6698</v>
      </c>
      <c r="J475" s="8">
        <v>6728</v>
      </c>
      <c r="K475" s="8">
        <v>6811</v>
      </c>
      <c r="L475" s="8">
        <v>6713</v>
      </c>
      <c r="M475" s="8"/>
      <c r="N475" s="8"/>
      <c r="O475" s="8"/>
      <c r="P475" s="8"/>
      <c r="Q475" s="9">
        <f ca="1">IFERROR(__xludf.DUMMYFUNCTION("GOOGLEFINANCE(C475,""changepct"")"),3.33)</f>
        <v>3.33</v>
      </c>
      <c r="R475" s="8"/>
      <c r="S475" s="8"/>
      <c r="T475" s="8"/>
      <c r="U475" s="8"/>
      <c r="V475" s="8"/>
      <c r="W475" s="8"/>
    </row>
    <row r="476" spans="1:23" ht="14.4">
      <c r="A476" s="3">
        <f>LOOKUP(D476,'AMFI DATA_2023H1'!B:C,'AMFI DATA_2023H1'!C:C)</f>
        <v>2300</v>
      </c>
      <c r="B476" s="4" t="s">
        <v>4775</v>
      </c>
      <c r="C476" s="4" t="s">
        <v>4776</v>
      </c>
      <c r="D476" s="5" t="s">
        <v>4777</v>
      </c>
      <c r="E476" s="5">
        <f>LOOKUP(D476,'AMFI DATA_2023H1'!B:D,'AMFI DATA_2023H1'!D:D)</f>
        <v>87.65</v>
      </c>
      <c r="F476" s="7">
        <f t="shared" si="1"/>
        <v>2.5596120935539073</v>
      </c>
      <c r="G476" s="9">
        <v>312</v>
      </c>
      <c r="H476" s="9">
        <v>306</v>
      </c>
      <c r="I476" s="9">
        <v>300</v>
      </c>
      <c r="J476" s="9">
        <v>306</v>
      </c>
      <c r="K476" s="9">
        <v>313</v>
      </c>
      <c r="L476" s="9">
        <v>319</v>
      </c>
      <c r="M476" s="9"/>
      <c r="N476" s="9"/>
      <c r="O476" s="9"/>
      <c r="P476" s="9"/>
      <c r="Q476" s="9">
        <f ca="1">IFERROR(__xludf.DUMMYFUNCTION("GOOGLEFINANCE(C476,""changepct"")"),4.03)</f>
        <v>4.03</v>
      </c>
      <c r="R476" s="9"/>
      <c r="S476" s="9"/>
      <c r="T476" s="9"/>
      <c r="U476" s="9"/>
      <c r="V476" s="9"/>
      <c r="W476" s="9"/>
    </row>
    <row r="477" spans="1:23" ht="14.4">
      <c r="A477" s="3">
        <f>LOOKUP(D477,'AMFI DATA_2023H1'!B:C,'AMFI DATA_2023H1'!C:C)</f>
        <v>275</v>
      </c>
      <c r="B477" s="4" t="s">
        <v>906</v>
      </c>
      <c r="C477" s="4" t="s">
        <v>907</v>
      </c>
      <c r="D477" s="5" t="s">
        <v>908</v>
      </c>
      <c r="E477" s="5">
        <f>LOOKUP(D477,'AMFI DATA_2023H1'!B:D,'AMFI DATA_2023H1'!D:D)</f>
        <v>14780.42</v>
      </c>
      <c r="F477" s="7">
        <f t="shared" si="1"/>
        <v>0.16160433871297286</v>
      </c>
      <c r="G477" s="8">
        <v>17169</v>
      </c>
      <c r="H477" s="8">
        <v>17235</v>
      </c>
      <c r="I477" s="8">
        <v>16764</v>
      </c>
      <c r="J477" s="8">
        <v>16847</v>
      </c>
      <c r="K477" s="8">
        <v>17037</v>
      </c>
      <c r="L477" s="8">
        <v>17294</v>
      </c>
      <c r="M477" s="8"/>
      <c r="N477" s="8"/>
      <c r="O477" s="8"/>
      <c r="P477" s="8"/>
      <c r="Q477" s="9">
        <f ca="1">IFERROR(__xludf.DUMMYFUNCTION("GOOGLEFINANCE(C477,""changepct"")"),-0.74)</f>
        <v>-0.74</v>
      </c>
      <c r="R477" s="8"/>
      <c r="S477" s="8"/>
      <c r="T477" s="8"/>
      <c r="U477" s="8"/>
      <c r="V477" s="8"/>
      <c r="W477" s="8"/>
    </row>
    <row r="478" spans="1:23" ht="14.4">
      <c r="A478" s="3">
        <f>LOOKUP(D478,'AMFI DATA_2023H1'!B:C,'AMFI DATA_2023H1'!C:C)</f>
        <v>1847</v>
      </c>
      <c r="B478" s="4" t="s">
        <v>4508</v>
      </c>
      <c r="C478" s="4" t="s">
        <v>4509</v>
      </c>
      <c r="D478" s="5" t="s">
        <v>4510</v>
      </c>
      <c r="E478" s="5">
        <f>LOOKUP(D478,'AMFI DATA_2023H1'!B:D,'AMFI DATA_2023H1'!D:D)</f>
        <v>181.52</v>
      </c>
      <c r="F478" s="7">
        <f t="shared" si="1"/>
        <v>0.59762009695901264</v>
      </c>
      <c r="G478" s="9">
        <v>290</v>
      </c>
      <c r="H478" s="9">
        <v>296</v>
      </c>
      <c r="I478" s="9">
        <v>297</v>
      </c>
      <c r="J478" s="9">
        <v>302</v>
      </c>
      <c r="K478" s="9">
        <v>302</v>
      </c>
      <c r="L478" s="9">
        <v>296</v>
      </c>
      <c r="M478" s="9"/>
      <c r="N478" s="9"/>
      <c r="O478" s="9"/>
      <c r="P478" s="9"/>
      <c r="Q478" s="9">
        <f ca="1">IFERROR(__xludf.DUMMYFUNCTION("GOOGLEFINANCE(C478,""changepct"")"),4.41)</f>
        <v>4.41</v>
      </c>
      <c r="R478" s="9"/>
      <c r="S478" s="9"/>
      <c r="T478" s="9"/>
      <c r="U478" s="9"/>
      <c r="V478" s="9"/>
      <c r="W478" s="9"/>
    </row>
    <row r="479" spans="1:23" ht="14.4">
      <c r="A479" s="3">
        <f>LOOKUP(D479,'AMFI DATA_2023H1'!B:C,'AMFI DATA_2023H1'!C:C)</f>
        <v>1145</v>
      </c>
      <c r="B479" s="4" t="s">
        <v>3581</v>
      </c>
      <c r="C479" s="4" t="s">
        <v>3582</v>
      </c>
      <c r="D479" s="5" t="s">
        <v>3583</v>
      </c>
      <c r="E479" s="5">
        <f>LOOKUP(D479,'AMFI DATA_2023H1'!B:D,'AMFI DATA_2023H1'!D:D)</f>
        <v>799.74</v>
      </c>
      <c r="F479" s="7">
        <f t="shared" si="1"/>
        <v>-5.7193587916072763E-2</v>
      </c>
      <c r="G479" s="9">
        <v>754</v>
      </c>
      <c r="H479" s="9">
        <v>735</v>
      </c>
      <c r="I479" s="9">
        <v>745</v>
      </c>
      <c r="J479" s="9">
        <v>734</v>
      </c>
      <c r="K479" s="9">
        <v>732</v>
      </c>
      <c r="L479" s="9">
        <v>734</v>
      </c>
      <c r="M479" s="9"/>
      <c r="N479" s="9"/>
      <c r="O479" s="9"/>
      <c r="P479" s="9"/>
      <c r="Q479" s="9">
        <f ca="1">IFERROR(__xludf.DUMMYFUNCTION("GOOGLEFINANCE(C479,""changepct"")"),2.08)</f>
        <v>2.08</v>
      </c>
      <c r="R479" s="9"/>
      <c r="S479" s="9"/>
      <c r="T479" s="9"/>
      <c r="U479" s="9"/>
      <c r="V479" s="9"/>
      <c r="W479" s="9"/>
    </row>
    <row r="480" spans="1:23" ht="14.4">
      <c r="A480" s="3">
        <f>LOOKUP(D480,'AMFI DATA_2023H1'!B:C,'AMFI DATA_2023H1'!C:C)</f>
        <v>251</v>
      </c>
      <c r="B480" s="4" t="s">
        <v>759</v>
      </c>
      <c r="C480" s="4" t="s">
        <v>760</v>
      </c>
      <c r="D480" s="5" t="s">
        <v>761</v>
      </c>
      <c r="E480" s="5">
        <f>LOOKUP(D480,'AMFI DATA_2023H1'!B:D,'AMFI DATA_2023H1'!D:D)</f>
        <v>17384.990000000002</v>
      </c>
      <c r="F480" s="7">
        <f t="shared" si="1"/>
        <v>0.45245985186071414</v>
      </c>
      <c r="G480" s="8">
        <v>25251</v>
      </c>
      <c r="H480" s="8">
        <v>24846</v>
      </c>
      <c r="I480" s="8">
        <v>23421</v>
      </c>
      <c r="J480" s="8">
        <v>21976</v>
      </c>
      <c r="K480" s="8">
        <v>22128</v>
      </c>
      <c r="L480" s="8">
        <v>21789</v>
      </c>
      <c r="M480" s="8"/>
      <c r="N480" s="8"/>
      <c r="O480" s="8"/>
      <c r="P480" s="8"/>
      <c r="Q480" s="9">
        <f ca="1">IFERROR(__xludf.DUMMYFUNCTION("GOOGLEFINANCE(C480,""changepct"")"),0.87)</f>
        <v>0.87</v>
      </c>
      <c r="R480" s="8"/>
      <c r="S480" s="8"/>
      <c r="T480" s="8"/>
      <c r="U480" s="8"/>
      <c r="V480" s="8"/>
      <c r="W480" s="8"/>
    </row>
    <row r="481" spans="1:23" ht="14.4">
      <c r="A481" s="3">
        <f>LOOKUP(D481,'AMFI DATA_2023H1'!B:C,'AMFI DATA_2023H1'!C:C)</f>
        <v>1167</v>
      </c>
      <c r="B481" s="4" t="s">
        <v>3608</v>
      </c>
      <c r="C481" s="4" t="s">
        <v>3609</v>
      </c>
      <c r="D481" s="5" t="s">
        <v>3610</v>
      </c>
      <c r="E481" s="5">
        <f>LOOKUP(D481,'AMFI DATA_2023H1'!B:D,'AMFI DATA_2023H1'!D:D)</f>
        <v>761.8</v>
      </c>
      <c r="F481" s="7">
        <f t="shared" si="1"/>
        <v>-2.5991073772643647E-2</v>
      </c>
      <c r="G481" s="9">
        <v>742</v>
      </c>
      <c r="H481" s="9">
        <v>722</v>
      </c>
      <c r="I481" s="9">
        <v>726</v>
      </c>
      <c r="J481" s="9">
        <v>737</v>
      </c>
      <c r="K481" s="9">
        <v>752</v>
      </c>
      <c r="L481" s="9">
        <v>757</v>
      </c>
      <c r="M481" s="9"/>
      <c r="N481" s="9"/>
      <c r="O481" s="9"/>
      <c r="P481" s="9"/>
      <c r="Q481" s="9">
        <f ca="1">IFERROR(__xludf.DUMMYFUNCTION("GOOGLEFINANCE(C481,""changepct"")"),9.02)</f>
        <v>9.02</v>
      </c>
      <c r="R481" s="9"/>
      <c r="S481" s="9"/>
      <c r="T481" s="9"/>
      <c r="U481" s="9"/>
      <c r="V481" s="9"/>
      <c r="W481" s="9"/>
    </row>
    <row r="482" spans="1:23" ht="14.4">
      <c r="A482" s="3">
        <f>LOOKUP(D482,'AMFI DATA_2023H1'!B:C,'AMFI DATA_2023H1'!C:C)</f>
        <v>1635</v>
      </c>
      <c r="B482" s="4" t="s">
        <v>4337</v>
      </c>
      <c r="C482" s="4" t="s">
        <v>4338</v>
      </c>
      <c r="D482" s="5" t="s">
        <v>4339</v>
      </c>
      <c r="E482" s="5">
        <f>LOOKUP(D482,'AMFI DATA_2023H1'!B:D,'AMFI DATA_2023H1'!D:D)</f>
        <v>269.10000000000002</v>
      </c>
      <c r="F482" s="7">
        <f t="shared" si="1"/>
        <v>0.61278335191378663</v>
      </c>
      <c r="G482" s="9">
        <v>434</v>
      </c>
      <c r="H482" s="9">
        <v>413</v>
      </c>
      <c r="I482" s="9">
        <v>425</v>
      </c>
      <c r="J482" s="9">
        <v>437</v>
      </c>
      <c r="K482" s="9">
        <v>448</v>
      </c>
      <c r="L482" s="9">
        <v>470</v>
      </c>
      <c r="M482" s="9"/>
      <c r="N482" s="9"/>
      <c r="O482" s="9"/>
      <c r="P482" s="9"/>
      <c r="Q482" s="9">
        <f ca="1">IFERROR(__xludf.DUMMYFUNCTION("GOOGLEFINANCE(C482,""changepct"")"),8.86)</f>
        <v>8.86</v>
      </c>
      <c r="R482" s="9"/>
      <c r="S482" s="9"/>
      <c r="T482" s="9"/>
      <c r="U482" s="9"/>
      <c r="V482" s="9"/>
      <c r="W482" s="9"/>
    </row>
    <row r="483" spans="1:23" ht="14.4">
      <c r="A483" s="3">
        <f>LOOKUP(D483,'AMFI DATA_2023H1'!B:C,'AMFI DATA_2023H1'!C:C)</f>
        <v>1862</v>
      </c>
      <c r="B483" s="4" t="s">
        <v>4568</v>
      </c>
      <c r="C483" s="4" t="s">
        <v>4569</v>
      </c>
      <c r="D483" s="5" t="s">
        <v>4570</v>
      </c>
      <c r="E483" s="5">
        <f>LOOKUP(D483,'AMFI DATA_2023H1'!B:D,'AMFI DATA_2023H1'!D:D)</f>
        <v>175.72</v>
      </c>
      <c r="F483" s="7">
        <f t="shared" si="1"/>
        <v>0.99180514454814483</v>
      </c>
      <c r="G483" s="9">
        <v>350</v>
      </c>
      <c r="H483" s="9">
        <v>358</v>
      </c>
      <c r="I483" s="9">
        <v>350</v>
      </c>
      <c r="J483" s="9">
        <v>334</v>
      </c>
      <c r="K483" s="9">
        <v>352</v>
      </c>
      <c r="L483" s="9">
        <v>352</v>
      </c>
      <c r="M483" s="9"/>
      <c r="N483" s="9"/>
      <c r="O483" s="9"/>
      <c r="P483" s="9"/>
      <c r="Q483" s="9">
        <f ca="1">IFERROR(__xludf.DUMMYFUNCTION("GOOGLEFINANCE(C483,""changepct"")"),5.53)</f>
        <v>5.53</v>
      </c>
      <c r="R483" s="9"/>
      <c r="S483" s="9"/>
      <c r="T483" s="9"/>
      <c r="U483" s="9"/>
      <c r="V483" s="9"/>
      <c r="W483" s="9"/>
    </row>
    <row r="484" spans="1:23" ht="14.4">
      <c r="A484" s="3">
        <f>LOOKUP(D484,'AMFI DATA_2023H1'!B:C,'AMFI DATA_2023H1'!C:C)</f>
        <v>1933</v>
      </c>
      <c r="B484" s="4" t="s">
        <v>4790</v>
      </c>
      <c r="C484" s="4" t="s">
        <v>4791</v>
      </c>
      <c r="D484" s="5" t="s">
        <v>4792</v>
      </c>
      <c r="E484" s="5">
        <f>LOOKUP(D484,'AMFI DATA_2023H1'!B:D,'AMFI DATA_2023H1'!D:D)</f>
        <v>159.01</v>
      </c>
      <c r="F484" s="7">
        <f t="shared" si="1"/>
        <v>0.16344883969561663</v>
      </c>
      <c r="G484" s="9">
        <v>185</v>
      </c>
      <c r="H484" s="9">
        <v>186</v>
      </c>
      <c r="I484" s="9">
        <v>178</v>
      </c>
      <c r="J484" s="9">
        <v>177</v>
      </c>
      <c r="K484" s="9">
        <v>177</v>
      </c>
      <c r="L484" s="9">
        <v>177</v>
      </c>
      <c r="M484" s="9"/>
      <c r="N484" s="9"/>
      <c r="O484" s="9"/>
      <c r="P484" s="9"/>
      <c r="Q484" s="9">
        <f ca="1">IFERROR(__xludf.DUMMYFUNCTION("GOOGLEFINANCE(C484,""changepct"")"),0.27)</f>
        <v>0.27</v>
      </c>
      <c r="R484" s="9"/>
      <c r="S484" s="9"/>
      <c r="T484" s="9"/>
      <c r="U484" s="9"/>
      <c r="V484" s="9"/>
      <c r="W484" s="9"/>
    </row>
    <row r="485" spans="1:23" ht="14.4">
      <c r="A485" s="3">
        <f>LOOKUP(D485,'AMFI DATA_2023H1'!B:C,'AMFI DATA_2023H1'!C:C)</f>
        <v>1933</v>
      </c>
      <c r="B485" s="4" t="s">
        <v>2690</v>
      </c>
      <c r="C485" s="4" t="s">
        <v>2691</v>
      </c>
      <c r="D485" s="5" t="s">
        <v>2692</v>
      </c>
      <c r="E485" s="5">
        <f>LOOKUP(D485,'AMFI DATA_2023H1'!B:D,'AMFI DATA_2023H1'!D:D)</f>
        <v>159.01</v>
      </c>
      <c r="F485" s="7">
        <f t="shared" si="1"/>
        <v>14.571347713980254</v>
      </c>
      <c r="G485" s="8">
        <v>2476</v>
      </c>
      <c r="H485" s="8">
        <v>2358</v>
      </c>
      <c r="I485" s="8">
        <v>2422</v>
      </c>
      <c r="J485" s="8">
        <v>2426</v>
      </c>
      <c r="K485" s="8">
        <v>2431</v>
      </c>
      <c r="L485" s="8">
        <v>2315</v>
      </c>
      <c r="M485" s="8"/>
      <c r="N485" s="8"/>
      <c r="O485" s="8"/>
      <c r="P485" s="8"/>
      <c r="Q485" s="9">
        <f ca="1">IFERROR(__xludf.DUMMYFUNCTION("GOOGLEFINANCE(C485,""changepct"")"),2.18)</f>
        <v>2.1800000000000002</v>
      </c>
      <c r="R485" s="8"/>
      <c r="S485" s="8"/>
      <c r="T485" s="8"/>
      <c r="U485" s="8"/>
      <c r="V485" s="8"/>
      <c r="W485" s="8"/>
    </row>
    <row r="486" spans="1:23" ht="14.4">
      <c r="A486" s="3">
        <f>LOOKUP(D486,'AMFI DATA_2023H1'!B:C,'AMFI DATA_2023H1'!C:C)</f>
        <v>724</v>
      </c>
      <c r="B486" s="4" t="s">
        <v>2099</v>
      </c>
      <c r="C486" s="4" t="s">
        <v>2100</v>
      </c>
      <c r="D486" s="5" t="s">
        <v>2101</v>
      </c>
      <c r="E486" s="5">
        <f>LOOKUP(D486,'AMFI DATA_2023H1'!B:D,'AMFI DATA_2023H1'!D:D)</f>
        <v>2385.21</v>
      </c>
      <c r="F486" s="7">
        <f t="shared" si="1"/>
        <v>0.48917705359276531</v>
      </c>
      <c r="G486" s="8">
        <v>3552</v>
      </c>
      <c r="H486" s="8">
        <v>3532</v>
      </c>
      <c r="I486" s="8">
        <v>3492</v>
      </c>
      <c r="J486" s="8">
        <v>3382</v>
      </c>
      <c r="K486" s="8">
        <v>3426</v>
      </c>
      <c r="L486" s="8">
        <v>3395</v>
      </c>
      <c r="M486" s="8"/>
      <c r="N486" s="8"/>
      <c r="O486" s="8"/>
      <c r="P486" s="8"/>
      <c r="Q486" s="9">
        <f ca="1">IFERROR(__xludf.DUMMYFUNCTION("GOOGLEFINANCE(C486,""changepct"")"),-1.82)</f>
        <v>-1.82</v>
      </c>
      <c r="R486" s="8"/>
      <c r="S486" s="8"/>
      <c r="T486" s="8"/>
      <c r="U486" s="8"/>
      <c r="V486" s="8"/>
      <c r="W486" s="8"/>
    </row>
    <row r="487" spans="1:23" ht="14.4">
      <c r="A487" s="3">
        <f>LOOKUP(D487,'AMFI DATA_2023H1'!B:C,'AMFI DATA_2023H1'!C:C)</f>
        <v>234</v>
      </c>
      <c r="B487" s="4" t="s">
        <v>732</v>
      </c>
      <c r="C487" s="4" t="s">
        <v>733</v>
      </c>
      <c r="D487" s="5" t="s">
        <v>734</v>
      </c>
      <c r="E487" s="5">
        <f>LOOKUP(D487,'AMFI DATA_2023H1'!B:D,'AMFI DATA_2023H1'!D:D)</f>
        <v>19319.919999999998</v>
      </c>
      <c r="F487" s="7">
        <f t="shared" si="1"/>
        <v>0.39405339152543095</v>
      </c>
      <c r="G487" s="8">
        <v>26933</v>
      </c>
      <c r="H487" s="8">
        <v>26947</v>
      </c>
      <c r="I487" s="8">
        <v>26191</v>
      </c>
      <c r="J487" s="8">
        <v>25572</v>
      </c>
      <c r="K487" s="8">
        <v>25361</v>
      </c>
      <c r="L487" s="8">
        <v>25797</v>
      </c>
      <c r="M487" s="8"/>
      <c r="N487" s="8"/>
      <c r="O487" s="8"/>
      <c r="P487" s="8"/>
      <c r="Q487" s="9">
        <f ca="1">IFERROR(__xludf.DUMMYFUNCTION("GOOGLEFINANCE(C487,""changepct"")"),1.16)</f>
        <v>1.1599999999999999</v>
      </c>
      <c r="R487" s="8"/>
      <c r="S487" s="8"/>
      <c r="T487" s="8"/>
      <c r="U487" s="8"/>
      <c r="V487" s="8"/>
      <c r="W487" s="8"/>
    </row>
    <row r="488" spans="1:23" ht="14.4">
      <c r="A488" s="3">
        <f>LOOKUP(D488,'AMFI DATA_2023H1'!B:C,'AMFI DATA_2023H1'!C:C)</f>
        <v>2314</v>
      </c>
      <c r="B488" s="4" t="s">
        <v>5233</v>
      </c>
      <c r="C488" s="4" t="s">
        <v>5234</v>
      </c>
      <c r="D488" s="5" t="s">
        <v>5235</v>
      </c>
      <c r="E488" s="5">
        <f>LOOKUP(D488,'AMFI DATA_2023H1'!B:D,'AMFI DATA_2023H1'!D:D)</f>
        <v>84.89</v>
      </c>
      <c r="F488" s="7">
        <f t="shared" si="1"/>
        <v>0.50783366709859812</v>
      </c>
      <c r="G488" s="9">
        <v>128</v>
      </c>
      <c r="H488" s="9">
        <v>128</v>
      </c>
      <c r="I488" s="9">
        <v>130</v>
      </c>
      <c r="J488" s="9">
        <v>123</v>
      </c>
      <c r="K488" s="9">
        <v>117</v>
      </c>
      <c r="L488" s="9">
        <v>124</v>
      </c>
      <c r="M488" s="9"/>
      <c r="N488" s="9"/>
      <c r="O488" s="9"/>
      <c r="P488" s="9"/>
      <c r="Q488" s="9">
        <f ca="1">IFERROR(__xludf.DUMMYFUNCTION("GOOGLEFINANCE(C488,""changepct"")"),1.19)</f>
        <v>1.19</v>
      </c>
      <c r="R488" s="9"/>
      <c r="S488" s="9"/>
      <c r="T488" s="9"/>
      <c r="U488" s="9"/>
      <c r="V488" s="9"/>
      <c r="W488" s="9"/>
    </row>
    <row r="489" spans="1:23" ht="14.4">
      <c r="A489" s="3">
        <f>LOOKUP(D489,'AMFI DATA_2023H1'!B:C,'AMFI DATA_2023H1'!C:C)</f>
        <v>518</v>
      </c>
      <c r="B489" s="4" t="s">
        <v>1383</v>
      </c>
      <c r="C489" s="4" t="s">
        <v>1384</v>
      </c>
      <c r="D489" s="5" t="s">
        <v>1385</v>
      </c>
      <c r="E489" s="5">
        <f>LOOKUP(D489,'AMFI DATA_2023H1'!B:D,'AMFI DATA_2023H1'!D:D)</f>
        <v>4976.16</v>
      </c>
      <c r="F489" s="7">
        <f t="shared" si="1"/>
        <v>1.0511800263657118</v>
      </c>
      <c r="G489" s="8">
        <v>10207</v>
      </c>
      <c r="H489" s="8">
        <v>9631</v>
      </c>
      <c r="I489" s="8">
        <v>9706</v>
      </c>
      <c r="J489" s="8">
        <v>9147</v>
      </c>
      <c r="K489" s="8">
        <v>9091</v>
      </c>
      <c r="L489" s="8">
        <v>9049</v>
      </c>
      <c r="M489" s="8"/>
      <c r="N489" s="8"/>
      <c r="O489" s="8"/>
      <c r="P489" s="8"/>
      <c r="Q489" s="9">
        <f ca="1">IFERROR(__xludf.DUMMYFUNCTION("GOOGLEFINANCE(C489,""changepct"")"),8.25)</f>
        <v>8.25</v>
      </c>
      <c r="R489" s="8"/>
      <c r="S489" s="8"/>
      <c r="T489" s="8"/>
      <c r="U489" s="8"/>
      <c r="V489" s="8"/>
      <c r="W489" s="8"/>
    </row>
    <row r="490" spans="1:23" ht="14.4">
      <c r="A490" s="3">
        <f>LOOKUP(D490,'AMFI DATA_2023H1'!B:C,'AMFI DATA_2023H1'!C:C)</f>
        <v>1244</v>
      </c>
      <c r="B490" s="4" t="s">
        <v>3593</v>
      </c>
      <c r="C490" s="4" t="s">
        <v>3594</v>
      </c>
      <c r="D490" s="5" t="s">
        <v>3595</v>
      </c>
      <c r="E490" s="5">
        <f>LOOKUP(D490,'AMFI DATA_2023H1'!B:D,'AMFI DATA_2023H1'!D:D)</f>
        <v>615.66</v>
      </c>
      <c r="F490" s="7">
        <f t="shared" si="1"/>
        <v>0.41961472241172082</v>
      </c>
      <c r="G490" s="9">
        <v>874</v>
      </c>
      <c r="H490" s="9">
        <v>873</v>
      </c>
      <c r="I490" s="9">
        <v>870</v>
      </c>
      <c r="J490" s="9">
        <v>871</v>
      </c>
      <c r="K490" s="9">
        <v>896</v>
      </c>
      <c r="L490" s="9">
        <v>897</v>
      </c>
      <c r="M490" s="9"/>
      <c r="N490" s="9"/>
      <c r="O490" s="9"/>
      <c r="P490" s="9"/>
      <c r="Q490" s="9">
        <f ca="1">IFERROR(__xludf.DUMMYFUNCTION("GOOGLEFINANCE(C490,""changepct"")"),-0.68)</f>
        <v>-0.68</v>
      </c>
      <c r="R490" s="9"/>
      <c r="S490" s="9"/>
      <c r="T490" s="9"/>
      <c r="U490" s="9"/>
      <c r="V490" s="9"/>
      <c r="W490" s="9"/>
    </row>
    <row r="491" spans="1:23" ht="14.4">
      <c r="A491" s="3">
        <f>LOOKUP(D491,'AMFI DATA_2023H1'!B:C,'AMFI DATA_2023H1'!C:C)</f>
        <v>1244</v>
      </c>
      <c r="B491" s="4" t="s">
        <v>2028</v>
      </c>
      <c r="C491" s="4" t="s">
        <v>2029</v>
      </c>
      <c r="D491" s="5" t="s">
        <v>2030</v>
      </c>
      <c r="E491" s="5">
        <f>LOOKUP(D491,'AMFI DATA_2023H1'!B:D,'AMFI DATA_2023H1'!D:D)</f>
        <v>615.66</v>
      </c>
      <c r="F491" s="7">
        <f t="shared" si="1"/>
        <v>5.6237858558295164</v>
      </c>
      <c r="G491" s="8">
        <v>4078</v>
      </c>
      <c r="H491" s="8">
        <v>4074</v>
      </c>
      <c r="I491" s="8">
        <v>4004</v>
      </c>
      <c r="J491" s="8">
        <v>3932</v>
      </c>
      <c r="K491" s="8">
        <v>3894</v>
      </c>
      <c r="L491" s="8">
        <v>3741</v>
      </c>
      <c r="M491" s="8"/>
      <c r="N491" s="8"/>
      <c r="O491" s="8"/>
      <c r="P491" s="8"/>
      <c r="Q491" s="9">
        <f ca="1">IFERROR(__xludf.DUMMYFUNCTION("GOOGLEFINANCE(C491,""changepct"")"),1.91)</f>
        <v>1.91</v>
      </c>
      <c r="R491" s="8"/>
      <c r="S491" s="8"/>
      <c r="T491" s="8"/>
      <c r="U491" s="8"/>
      <c r="V491" s="8"/>
      <c r="W491" s="8"/>
    </row>
    <row r="492" spans="1:23" ht="14.4">
      <c r="A492" s="3">
        <f>LOOKUP(D492,'AMFI DATA_2023H1'!B:C,'AMFI DATA_2023H1'!C:C)</f>
        <v>482</v>
      </c>
      <c r="B492" s="4" t="s">
        <v>1626</v>
      </c>
      <c r="C492" s="4" t="s">
        <v>1627</v>
      </c>
      <c r="D492" s="5" t="s">
        <v>1628</v>
      </c>
      <c r="E492" s="5">
        <f>LOOKUP(D492,'AMFI DATA_2023H1'!B:D,'AMFI DATA_2023H1'!D:D)</f>
        <v>5496.03</v>
      </c>
      <c r="F492" s="7">
        <f t="shared" si="1"/>
        <v>0.15847257020067218</v>
      </c>
      <c r="G492" s="8">
        <v>6367</v>
      </c>
      <c r="H492" s="8">
        <v>6401</v>
      </c>
      <c r="I492" s="8">
        <v>6286</v>
      </c>
      <c r="J492" s="8">
        <v>6304</v>
      </c>
      <c r="K492" s="8">
        <v>6281</v>
      </c>
      <c r="L492" s="8">
        <v>6283</v>
      </c>
      <c r="M492" s="8"/>
      <c r="N492" s="8"/>
      <c r="O492" s="8"/>
      <c r="P492" s="8"/>
      <c r="Q492" s="9">
        <f ca="1">IFERROR(__xludf.DUMMYFUNCTION("GOOGLEFINANCE(C492,""changepct"")"),1.09)</f>
        <v>1.0900000000000001</v>
      </c>
      <c r="R492" s="8"/>
      <c r="S492" s="8"/>
      <c r="T492" s="8"/>
      <c r="U492" s="8"/>
      <c r="V492" s="8"/>
      <c r="W492" s="8"/>
    </row>
    <row r="493" spans="1:23" ht="14.4">
      <c r="A493" s="3">
        <f>LOOKUP(D493,'AMFI DATA_2023H1'!B:C,'AMFI DATA_2023H1'!C:C)</f>
        <v>1460</v>
      </c>
      <c r="B493" s="4" t="s">
        <v>4430</v>
      </c>
      <c r="C493" s="4" t="s">
        <v>4431</v>
      </c>
      <c r="D493" s="5" t="s">
        <v>4432</v>
      </c>
      <c r="E493" s="5">
        <f>LOOKUP(D493,'AMFI DATA_2023H1'!B:D,'AMFI DATA_2023H1'!D:D)</f>
        <v>375.72</v>
      </c>
      <c r="F493" s="7">
        <f t="shared" si="1"/>
        <v>-0.26541041200894289</v>
      </c>
      <c r="G493" s="9">
        <v>276</v>
      </c>
      <c r="H493" s="9">
        <v>278</v>
      </c>
      <c r="I493" s="9">
        <v>275</v>
      </c>
      <c r="J493" s="9">
        <v>273</v>
      </c>
      <c r="K493" s="9">
        <v>271</v>
      </c>
      <c r="L493" s="9">
        <v>278</v>
      </c>
      <c r="M493" s="9"/>
      <c r="N493" s="9"/>
      <c r="O493" s="9"/>
      <c r="P493" s="9"/>
      <c r="Q493" s="9">
        <f ca="1">IFERROR(__xludf.DUMMYFUNCTION("GOOGLEFINANCE(C493,""changepct"")"),6.62)</f>
        <v>6.62</v>
      </c>
      <c r="R493" s="9"/>
      <c r="S493" s="9"/>
      <c r="T493" s="9"/>
      <c r="U493" s="9"/>
      <c r="V493" s="9"/>
      <c r="W493" s="9"/>
    </row>
    <row r="494" spans="1:23" ht="14.4">
      <c r="A494" s="3">
        <f>LOOKUP(D494,'AMFI DATA_2023H1'!B:C,'AMFI DATA_2023H1'!C:C)</f>
        <v>386</v>
      </c>
      <c r="B494" s="4" t="s">
        <v>1188</v>
      </c>
      <c r="C494" s="4" t="s">
        <v>1189</v>
      </c>
      <c r="D494" s="5" t="s">
        <v>1190</v>
      </c>
      <c r="E494" s="5">
        <f>LOOKUP(D494,'AMFI DATA_2023H1'!B:D,'AMFI DATA_2023H1'!D:D)</f>
        <v>8196.1</v>
      </c>
      <c r="F494" s="7">
        <f t="shared" si="1"/>
        <v>0.47850807091177505</v>
      </c>
      <c r="G494" s="8">
        <v>12118</v>
      </c>
      <c r="H494" s="8">
        <v>11888</v>
      </c>
      <c r="I494" s="8">
        <v>12081</v>
      </c>
      <c r="J494" s="8">
        <v>12197</v>
      </c>
      <c r="K494" s="8">
        <v>11892</v>
      </c>
      <c r="L494" s="8">
        <v>12005</v>
      </c>
      <c r="M494" s="8"/>
      <c r="N494" s="8"/>
      <c r="O494" s="8"/>
      <c r="P494" s="8"/>
      <c r="Q494" s="9">
        <f ca="1">IFERROR(__xludf.DUMMYFUNCTION("GOOGLEFINANCE(C494,""changepct"")"),1.3)</f>
        <v>1.3</v>
      </c>
      <c r="R494" s="8"/>
      <c r="S494" s="8"/>
      <c r="T494" s="8"/>
      <c r="U494" s="8"/>
      <c r="V494" s="8"/>
      <c r="W494" s="8"/>
    </row>
    <row r="495" spans="1:23" ht="14.4">
      <c r="A495" s="3">
        <f>LOOKUP(D495,'AMFI DATA_2023H1'!B:C,'AMFI DATA_2023H1'!C:C)</f>
        <v>376</v>
      </c>
      <c r="B495" s="4" t="s">
        <v>1134</v>
      </c>
      <c r="C495" s="4" t="s">
        <v>1135</v>
      </c>
      <c r="D495" s="5" t="s">
        <v>1136</v>
      </c>
      <c r="E495" s="5">
        <f>LOOKUP(D495,'AMFI DATA_2023H1'!B:D,'AMFI DATA_2023H1'!D:D)</f>
        <v>8541.15</v>
      </c>
      <c r="F495" s="7">
        <f t="shared" si="1"/>
        <v>0.44640944135157445</v>
      </c>
      <c r="G495" s="8">
        <v>12354</v>
      </c>
      <c r="H495" s="8">
        <v>12372</v>
      </c>
      <c r="I495" s="8">
        <v>12375</v>
      </c>
      <c r="J495" s="8">
        <v>12380</v>
      </c>
      <c r="K495" s="8">
        <v>12353</v>
      </c>
      <c r="L495" s="8">
        <v>12048</v>
      </c>
      <c r="M495" s="8"/>
      <c r="N495" s="8"/>
      <c r="O495" s="8"/>
      <c r="P495" s="8"/>
      <c r="Q495" s="9">
        <f ca="1">IFERROR(__xludf.DUMMYFUNCTION("GOOGLEFINANCE(C495,""changepct"")"),0.06)</f>
        <v>0.06</v>
      </c>
      <c r="R495" s="8"/>
      <c r="S495" s="8"/>
      <c r="T495" s="8"/>
      <c r="U495" s="8"/>
      <c r="V495" s="8"/>
      <c r="W495" s="8"/>
    </row>
    <row r="496" spans="1:23" ht="14.4">
      <c r="A496" s="3">
        <f>LOOKUP(D496,'AMFI DATA_2023H1'!B:C,'AMFI DATA_2023H1'!C:C)</f>
        <v>1691</v>
      </c>
      <c r="B496" s="4" t="s">
        <v>4730</v>
      </c>
      <c r="C496" s="4" t="s">
        <v>4731</v>
      </c>
      <c r="D496" s="5" t="s">
        <v>4732</v>
      </c>
      <c r="E496" s="5">
        <f>LOOKUP(D496,'AMFI DATA_2023H1'!B:D,'AMFI DATA_2023H1'!D:D)</f>
        <v>244.06</v>
      </c>
      <c r="F496" s="7">
        <f t="shared" si="1"/>
        <v>-5.3511431615176575E-2</v>
      </c>
      <c r="G496" s="9">
        <v>231</v>
      </c>
      <c r="H496" s="9">
        <v>232</v>
      </c>
      <c r="I496" s="9">
        <v>220</v>
      </c>
      <c r="J496" s="9">
        <v>226</v>
      </c>
      <c r="K496" s="9">
        <v>223</v>
      </c>
      <c r="L496" s="9">
        <v>222</v>
      </c>
      <c r="M496" s="9"/>
      <c r="N496" s="9"/>
      <c r="O496" s="9"/>
      <c r="P496" s="9"/>
      <c r="Q496" s="9">
        <f ca="1">IFERROR(__xludf.DUMMYFUNCTION("GOOGLEFINANCE(C496,""changepct"")"),0)</f>
        <v>0</v>
      </c>
      <c r="R496" s="9"/>
      <c r="S496" s="9"/>
      <c r="T496" s="9"/>
      <c r="U496" s="9"/>
      <c r="V496" s="9"/>
      <c r="W496" s="9"/>
    </row>
    <row r="497" spans="1:23" ht="14.4">
      <c r="A497" s="3">
        <f>LOOKUP(D497,'AMFI DATA_2023H1'!B:C,'AMFI DATA_2023H1'!C:C)</f>
        <v>465</v>
      </c>
      <c r="B497" s="4" t="s">
        <v>1380</v>
      </c>
      <c r="C497" s="4" t="s">
        <v>1381</v>
      </c>
      <c r="D497" s="5" t="s">
        <v>1382</v>
      </c>
      <c r="E497" s="5">
        <f>LOOKUP(D497,'AMFI DATA_2023H1'!B:D,'AMFI DATA_2023H1'!D:D)</f>
        <v>5803.59</v>
      </c>
      <c r="F497" s="7">
        <f t="shared" si="1"/>
        <v>0.54835196835062439</v>
      </c>
      <c r="G497" s="8">
        <v>8986</v>
      </c>
      <c r="H497" s="8">
        <v>9069</v>
      </c>
      <c r="I497" s="8">
        <v>9020</v>
      </c>
      <c r="J497" s="8">
        <v>9006</v>
      </c>
      <c r="K497" s="8">
        <v>9090</v>
      </c>
      <c r="L497" s="8">
        <v>9016</v>
      </c>
      <c r="M497" s="8"/>
      <c r="N497" s="8"/>
      <c r="O497" s="8"/>
      <c r="P497" s="8"/>
      <c r="Q497" s="9">
        <f ca="1">IFERROR(__xludf.DUMMYFUNCTION("GOOGLEFINANCE(C497,""changepct"")"),0.16)</f>
        <v>0.16</v>
      </c>
      <c r="R497" s="8"/>
      <c r="S497" s="8"/>
      <c r="T497" s="8"/>
      <c r="U497" s="8"/>
      <c r="V497" s="8"/>
      <c r="W497" s="8"/>
    </row>
    <row r="498" spans="1:23" ht="14.4">
      <c r="A498" s="3">
        <f>LOOKUP(D498,'AMFI DATA_2023H1'!B:C,'AMFI DATA_2023H1'!C:C)</f>
        <v>465</v>
      </c>
      <c r="B498" s="4" t="s">
        <v>2117</v>
      </c>
      <c r="C498" s="4" t="s">
        <v>2118</v>
      </c>
      <c r="D498" s="5" t="s">
        <v>2119</v>
      </c>
      <c r="E498" s="5">
        <f>LOOKUP(D498,'AMFI DATA_2023H1'!B:D,'AMFI DATA_2023H1'!D:D)</f>
        <v>5803.59</v>
      </c>
      <c r="F498" s="7">
        <f t="shared" si="1"/>
        <v>-0.38968810684421196</v>
      </c>
      <c r="G498" s="8">
        <v>3542</v>
      </c>
      <c r="H498" s="8">
        <v>3540</v>
      </c>
      <c r="I498" s="8">
        <v>3546</v>
      </c>
      <c r="J498" s="8">
        <v>3587</v>
      </c>
      <c r="K498" s="8">
        <v>3584</v>
      </c>
      <c r="L498" s="8">
        <v>3555</v>
      </c>
      <c r="M498" s="8"/>
      <c r="N498" s="8"/>
      <c r="O498" s="8"/>
      <c r="P498" s="8"/>
      <c r="Q498" s="9">
        <f ca="1">IFERROR(__xludf.DUMMYFUNCTION("GOOGLEFINANCE(C498,""changepct"")"),1.73)</f>
        <v>1.73</v>
      </c>
      <c r="R498" s="8"/>
      <c r="S498" s="8"/>
      <c r="T498" s="8"/>
      <c r="U498" s="8"/>
      <c r="V498" s="8"/>
      <c r="W498" s="8"/>
    </row>
    <row r="499" spans="1:23" ht="14.4">
      <c r="A499" s="3">
        <f>LOOKUP(D499,'AMFI DATA_2023H1'!B:C,'AMFI DATA_2023H1'!C:C)</f>
        <v>180</v>
      </c>
      <c r="B499" s="4" t="s">
        <v>549</v>
      </c>
      <c r="C499" s="4" t="s">
        <v>550</v>
      </c>
      <c r="D499" s="5" t="s">
        <v>551</v>
      </c>
      <c r="E499" s="5">
        <f>LOOKUP(D499,'AMFI DATA_2023H1'!B:D,'AMFI DATA_2023H1'!D:D)</f>
        <v>27057.94</v>
      </c>
      <c r="F499" s="7">
        <f t="shared" si="1"/>
        <v>0.21173304397895776</v>
      </c>
      <c r="G499" s="8">
        <v>32787</v>
      </c>
      <c r="H499" s="8">
        <v>32994</v>
      </c>
      <c r="I499" s="8">
        <v>32725</v>
      </c>
      <c r="J499" s="8">
        <v>32663</v>
      </c>
      <c r="K499" s="8">
        <v>32905</v>
      </c>
      <c r="L499" s="8">
        <v>32784</v>
      </c>
      <c r="M499" s="8"/>
      <c r="N499" s="8"/>
      <c r="O499" s="8"/>
      <c r="P499" s="8"/>
      <c r="Q499" s="9">
        <f ca="1">IFERROR(__xludf.DUMMYFUNCTION("GOOGLEFINANCE(C499,""changepct"")"),0.97)</f>
        <v>0.97</v>
      </c>
      <c r="R499" s="8"/>
      <c r="S499" s="8"/>
      <c r="T499" s="8"/>
      <c r="U499" s="8"/>
      <c r="V499" s="8"/>
      <c r="W499" s="8"/>
    </row>
    <row r="500" spans="1:23" ht="14.4">
      <c r="A500" s="3">
        <f>LOOKUP(D500,'AMFI DATA_2023H1'!B:C,'AMFI DATA_2023H1'!C:C)</f>
        <v>1806</v>
      </c>
      <c r="B500" s="4" t="s">
        <v>4289</v>
      </c>
      <c r="C500" s="4" t="s">
        <v>4290</v>
      </c>
      <c r="D500" s="5" t="s">
        <v>4291</v>
      </c>
      <c r="E500" s="5">
        <f>LOOKUP(D500,'AMFI DATA_2023H1'!B:D,'AMFI DATA_2023H1'!D:D)</f>
        <v>193.89</v>
      </c>
      <c r="F500" s="7">
        <f t="shared" si="1"/>
        <v>2.5896642426117906</v>
      </c>
      <c r="G500" s="9">
        <v>696</v>
      </c>
      <c r="H500" s="9">
        <v>663</v>
      </c>
      <c r="I500" s="9">
        <v>631</v>
      </c>
      <c r="J500" s="9">
        <v>654</v>
      </c>
      <c r="K500" s="9">
        <v>670</v>
      </c>
      <c r="L500" s="9">
        <v>706</v>
      </c>
      <c r="M500" s="9"/>
      <c r="N500" s="9"/>
      <c r="O500" s="9"/>
      <c r="P500" s="9"/>
      <c r="Q500" s="9">
        <f ca="1">IFERROR(__xludf.DUMMYFUNCTION("GOOGLEFINANCE(C500,""changepct"")"),7.9)</f>
        <v>7.9</v>
      </c>
      <c r="R500" s="9"/>
      <c r="S500" s="9"/>
      <c r="T500" s="9"/>
      <c r="U500" s="9"/>
      <c r="V500" s="9"/>
      <c r="W500" s="9"/>
    </row>
    <row r="501" spans="1:23" ht="14.4">
      <c r="A501" s="3">
        <f>LOOKUP(D501,'AMFI DATA_2023H1'!B:C,'AMFI DATA_2023H1'!C:C)</f>
        <v>1081</v>
      </c>
      <c r="B501" s="4" t="s">
        <v>3587</v>
      </c>
      <c r="C501" s="4" t="s">
        <v>3588</v>
      </c>
      <c r="D501" s="5" t="s">
        <v>3589</v>
      </c>
      <c r="E501" s="5">
        <f>LOOKUP(D501,'AMFI DATA_2023H1'!B:D,'AMFI DATA_2023H1'!D:D)</f>
        <v>937.74</v>
      </c>
      <c r="F501" s="7">
        <f t="shared" si="1"/>
        <v>-0.15115063876980828</v>
      </c>
      <c r="G501" s="9">
        <v>796</v>
      </c>
      <c r="H501" s="9">
        <v>741</v>
      </c>
      <c r="I501" s="9">
        <v>733</v>
      </c>
      <c r="J501" s="9">
        <v>738</v>
      </c>
      <c r="K501" s="9">
        <v>728</v>
      </c>
      <c r="L501" s="9">
        <v>736</v>
      </c>
      <c r="M501" s="9"/>
      <c r="N501" s="9"/>
      <c r="O501" s="9"/>
      <c r="P501" s="9"/>
      <c r="Q501" s="9">
        <f ca="1">IFERROR(__xludf.DUMMYFUNCTION("GOOGLEFINANCE(C501,""changepct"")"),0.45)</f>
        <v>0.45</v>
      </c>
      <c r="R501" s="9"/>
      <c r="S501" s="9"/>
      <c r="T501" s="9"/>
      <c r="U501" s="9"/>
      <c r="V501" s="9"/>
      <c r="W501" s="9"/>
    </row>
    <row r="502" spans="1:23" ht="14.4">
      <c r="A502" s="3">
        <f>LOOKUP(D502,'AMFI DATA_2023H1'!B:C,'AMFI DATA_2023H1'!C:C)</f>
        <v>692</v>
      </c>
      <c r="B502" s="4" t="s">
        <v>2004</v>
      </c>
      <c r="C502" s="4" t="s">
        <v>2005</v>
      </c>
      <c r="D502" s="5" t="s">
        <v>2006</v>
      </c>
      <c r="E502" s="5">
        <f>LOOKUP(D502,'AMFI DATA_2023H1'!B:D,'AMFI DATA_2023H1'!D:D)</f>
        <v>2612.11</v>
      </c>
      <c r="F502" s="7">
        <f t="shared" si="1"/>
        <v>0.93789694920964273</v>
      </c>
      <c r="G502" s="8">
        <v>5062</v>
      </c>
      <c r="H502" s="8">
        <v>4879</v>
      </c>
      <c r="I502" s="8">
        <v>4644</v>
      </c>
      <c r="J502" s="8">
        <v>4546</v>
      </c>
      <c r="K502" s="8">
        <v>4485</v>
      </c>
      <c r="L502" s="8">
        <v>4447</v>
      </c>
      <c r="M502" s="8"/>
      <c r="N502" s="8"/>
      <c r="O502" s="8"/>
      <c r="P502" s="8"/>
      <c r="Q502" s="9">
        <f ca="1">IFERROR(__xludf.DUMMYFUNCTION("GOOGLEFINANCE(C502,""changepct"")"),0.47)</f>
        <v>0.47</v>
      </c>
      <c r="R502" s="8"/>
      <c r="S502" s="8"/>
      <c r="T502" s="8"/>
      <c r="U502" s="8"/>
      <c r="V502" s="8"/>
      <c r="W502" s="8"/>
    </row>
    <row r="503" spans="1:23" ht="14.4">
      <c r="A503" s="3">
        <f>LOOKUP(D503,'AMFI DATA_2023H1'!B:C,'AMFI DATA_2023H1'!C:C)</f>
        <v>1457</v>
      </c>
      <c r="B503" s="4" t="s">
        <v>4256</v>
      </c>
      <c r="C503" s="4" t="s">
        <v>4257</v>
      </c>
      <c r="D503" s="5" t="s">
        <v>4258</v>
      </c>
      <c r="E503" s="5">
        <f>LOOKUP(D503,'AMFI DATA_2023H1'!B:D,'AMFI DATA_2023H1'!D:D)</f>
        <v>376.19</v>
      </c>
      <c r="F503" s="7">
        <f t="shared" si="1"/>
        <v>6.3292485180360902E-2</v>
      </c>
      <c r="G503" s="9">
        <v>400</v>
      </c>
      <c r="H503" s="9">
        <v>393</v>
      </c>
      <c r="I503" s="9">
        <v>389</v>
      </c>
      <c r="J503" s="9">
        <v>360</v>
      </c>
      <c r="K503" s="9">
        <v>364</v>
      </c>
      <c r="L503" s="9">
        <v>358</v>
      </c>
      <c r="M503" s="9"/>
      <c r="N503" s="9"/>
      <c r="O503" s="9"/>
      <c r="P503" s="9"/>
      <c r="Q503" s="9">
        <f ca="1">IFERROR(__xludf.DUMMYFUNCTION("GOOGLEFINANCE(C503,""changepct"")"),-0.1)</f>
        <v>-0.1</v>
      </c>
      <c r="R503" s="9"/>
      <c r="S503" s="9"/>
      <c r="T503" s="9"/>
      <c r="U503" s="9"/>
      <c r="V503" s="9"/>
      <c r="W503" s="9"/>
    </row>
    <row r="504" spans="1:23" ht="14.4">
      <c r="A504" s="3">
        <f>LOOKUP(D504,'AMFI DATA_2023H1'!B:C,'AMFI DATA_2023H1'!C:C)</f>
        <v>3642</v>
      </c>
      <c r="B504" s="4" t="s">
        <v>5734</v>
      </c>
      <c r="C504" s="4" t="s">
        <v>5735</v>
      </c>
      <c r="D504" s="5" t="s">
        <v>5736</v>
      </c>
      <c r="E504" s="5">
        <f>LOOKUP(D504,'AMFI DATA_2023H1'!B:D,'AMFI DATA_2023H1'!D:D)</f>
        <v>11.61</v>
      </c>
      <c r="F504" s="7">
        <f t="shared" si="1"/>
        <v>-0.10422049956933666</v>
      </c>
      <c r="G504" s="9">
        <v>10.4</v>
      </c>
      <c r="H504" s="9">
        <v>10.4</v>
      </c>
      <c r="I504" s="9">
        <v>10.5</v>
      </c>
      <c r="J504" s="9">
        <v>11</v>
      </c>
      <c r="K504" s="9">
        <v>10.8</v>
      </c>
      <c r="L504" s="9">
        <v>11.5</v>
      </c>
      <c r="M504" s="9"/>
      <c r="N504" s="9"/>
      <c r="O504" s="9"/>
      <c r="P504" s="9"/>
      <c r="Q504" s="9">
        <f ca="1">IFERROR(__xludf.DUMMYFUNCTION("GOOGLEFINANCE(C504,""changepct"")"),9.88)</f>
        <v>9.8800000000000008</v>
      </c>
      <c r="R504" s="9"/>
      <c r="S504" s="9"/>
      <c r="T504" s="9"/>
      <c r="U504" s="9"/>
      <c r="V504" s="9"/>
      <c r="W504" s="9"/>
    </row>
    <row r="505" spans="1:23" ht="14.4">
      <c r="A505" s="3">
        <f>LOOKUP(D505,'AMFI DATA_2023H1'!B:C,'AMFI DATA_2023H1'!C:C)</f>
        <v>732</v>
      </c>
      <c r="B505" s="4" t="s">
        <v>2414</v>
      </c>
      <c r="C505" s="4" t="s">
        <v>2415</v>
      </c>
      <c r="D505" s="5" t="s">
        <v>2416</v>
      </c>
      <c r="E505" s="5">
        <f>LOOKUP(D505,'AMFI DATA_2023H1'!B:D,'AMFI DATA_2023H1'!D:D)</f>
        <v>2343.48</v>
      </c>
      <c r="F505" s="7">
        <f t="shared" si="1"/>
        <v>0.10391383754075134</v>
      </c>
      <c r="G505" s="8">
        <v>2587</v>
      </c>
      <c r="H505" s="8">
        <v>2519</v>
      </c>
      <c r="I505" s="8">
        <v>2502</v>
      </c>
      <c r="J505" s="8">
        <v>2507</v>
      </c>
      <c r="K505" s="8">
        <v>2526</v>
      </c>
      <c r="L505" s="8">
        <v>2521</v>
      </c>
      <c r="M505" s="8"/>
      <c r="N505" s="8"/>
      <c r="O505" s="8"/>
      <c r="P505" s="8"/>
      <c r="Q505" s="9">
        <f ca="1">IFERROR(__xludf.DUMMYFUNCTION("GOOGLEFINANCE(C505,""changepct"")"),-0.88)</f>
        <v>-0.88</v>
      </c>
      <c r="R505" s="8"/>
      <c r="S505" s="8"/>
      <c r="T505" s="8"/>
      <c r="U505" s="8"/>
      <c r="V505" s="8"/>
      <c r="W505" s="8"/>
    </row>
    <row r="506" spans="1:23" ht="14.4">
      <c r="A506" s="3">
        <f>LOOKUP(D506,'AMFI DATA_2023H1'!B:C,'AMFI DATA_2023H1'!C:C)</f>
        <v>973</v>
      </c>
      <c r="B506" s="4" t="s">
        <v>2837</v>
      </c>
      <c r="C506" s="4" t="s">
        <v>2838</v>
      </c>
      <c r="D506" s="5" t="s">
        <v>2839</v>
      </c>
      <c r="E506" s="5">
        <f>LOOKUP(D506,'AMFI DATA_2023H1'!B:D,'AMFI DATA_2023H1'!D:D)</f>
        <v>1257.1500000000001</v>
      </c>
      <c r="F506" s="7">
        <f t="shared" si="1"/>
        <v>0.71339935568547896</v>
      </c>
      <c r="G506" s="8">
        <v>2154</v>
      </c>
      <c r="H506" s="8">
        <v>2144</v>
      </c>
      <c r="I506" s="8">
        <v>2018</v>
      </c>
      <c r="J506" s="8">
        <v>2051</v>
      </c>
      <c r="K506" s="8">
        <v>2022</v>
      </c>
      <c r="L506" s="8">
        <v>1973</v>
      </c>
      <c r="M506" s="8"/>
      <c r="N506" s="8"/>
      <c r="O506" s="8"/>
      <c r="P506" s="8"/>
      <c r="Q506" s="9">
        <f ca="1">IFERROR(__xludf.DUMMYFUNCTION("GOOGLEFINANCE(C506,""changepct"")"),0.61)</f>
        <v>0.61</v>
      </c>
      <c r="R506" s="8"/>
      <c r="S506" s="8"/>
      <c r="T506" s="8"/>
      <c r="U506" s="8"/>
      <c r="V506" s="8"/>
      <c r="W506" s="8"/>
    </row>
    <row r="507" spans="1:23" ht="14.4">
      <c r="A507" s="3">
        <f>LOOKUP(D507,'AMFI DATA_2023H1'!B:C,'AMFI DATA_2023H1'!C:C)</f>
        <v>1031</v>
      </c>
      <c r="B507" s="4" t="s">
        <v>3065</v>
      </c>
      <c r="C507" s="4" t="s">
        <v>3066</v>
      </c>
      <c r="D507" s="5" t="s">
        <v>3067</v>
      </c>
      <c r="E507" s="5">
        <f>LOOKUP(D507,'AMFI DATA_2023H1'!B:D,'AMFI DATA_2023H1'!D:D)</f>
        <v>1069.3399999999999</v>
      </c>
      <c r="F507" s="7">
        <f t="shared" si="1"/>
        <v>0.3344679896010625</v>
      </c>
      <c r="G507" s="8">
        <v>1427</v>
      </c>
      <c r="H507" s="8">
        <v>1425</v>
      </c>
      <c r="I507" s="8">
        <v>1460</v>
      </c>
      <c r="J507" s="8">
        <v>1474</v>
      </c>
      <c r="K507" s="8">
        <v>1467</v>
      </c>
      <c r="L507" s="8">
        <v>1429</v>
      </c>
      <c r="M507" s="8"/>
      <c r="N507" s="8"/>
      <c r="O507" s="8"/>
      <c r="P507" s="8"/>
      <c r="Q507" s="9">
        <f ca="1">IFERROR(__xludf.DUMMYFUNCTION("GOOGLEFINANCE(C507,""changepct"")"),0.71)</f>
        <v>0.71</v>
      </c>
      <c r="R507" s="8"/>
      <c r="S507" s="8"/>
      <c r="T507" s="8"/>
      <c r="U507" s="8"/>
      <c r="V507" s="8"/>
      <c r="W507" s="8"/>
    </row>
    <row r="508" spans="1:23" ht="14.4">
      <c r="A508" s="3">
        <f>LOOKUP(D508,'AMFI DATA_2023H1'!B:C,'AMFI DATA_2023H1'!C:C)</f>
        <v>993</v>
      </c>
      <c r="B508" s="4" t="s">
        <v>3260</v>
      </c>
      <c r="C508" s="4" t="s">
        <v>3261</v>
      </c>
      <c r="D508" s="5" t="s">
        <v>3262</v>
      </c>
      <c r="E508" s="5">
        <f>LOOKUP(D508,'AMFI DATA_2023H1'!B:D,'AMFI DATA_2023H1'!D:D)</f>
        <v>1190.1199999999999</v>
      </c>
      <c r="F508" s="7">
        <f t="shared" si="1"/>
        <v>1.5796726380534754E-3</v>
      </c>
      <c r="G508" s="8">
        <v>1192</v>
      </c>
      <c r="H508" s="8">
        <v>1141</v>
      </c>
      <c r="I508" s="8">
        <v>1138</v>
      </c>
      <c r="J508" s="8">
        <v>1163</v>
      </c>
      <c r="K508" s="8">
        <v>1166</v>
      </c>
      <c r="L508" s="8">
        <v>1167</v>
      </c>
      <c r="M508" s="8"/>
      <c r="N508" s="8"/>
      <c r="O508" s="8"/>
      <c r="P508" s="8"/>
      <c r="Q508" s="9">
        <f ca="1">IFERROR(__xludf.DUMMYFUNCTION("GOOGLEFINANCE(C508,""changepct"")"),1.19)</f>
        <v>1.19</v>
      </c>
      <c r="R508" s="8"/>
      <c r="S508" s="8"/>
      <c r="T508" s="8"/>
      <c r="U508" s="8"/>
      <c r="V508" s="8"/>
      <c r="W508" s="8"/>
    </row>
    <row r="509" spans="1:23" ht="14.4">
      <c r="A509" s="3">
        <f>LOOKUP(D509,'AMFI DATA_2023H1'!B:C,'AMFI DATA_2023H1'!C:C)</f>
        <v>2529</v>
      </c>
      <c r="B509" s="4" t="s">
        <v>5455</v>
      </c>
      <c r="C509" s="4" t="s">
        <v>5456</v>
      </c>
      <c r="D509" s="5" t="s">
        <v>5457</v>
      </c>
      <c r="E509" s="5">
        <f>LOOKUP(D509,'AMFI DATA_2023H1'!B:D,'AMFI DATA_2023H1'!D:D)</f>
        <v>60.18</v>
      </c>
      <c r="F509" s="7">
        <f t="shared" si="1"/>
        <v>-1.6284479893652337E-2</v>
      </c>
      <c r="G509" s="9">
        <v>59.2</v>
      </c>
      <c r="H509" s="9">
        <v>59.2</v>
      </c>
      <c r="I509" s="9">
        <v>59.2</v>
      </c>
      <c r="J509" s="9">
        <v>59.2</v>
      </c>
      <c r="K509" s="9">
        <v>53.7</v>
      </c>
      <c r="L509" s="9">
        <v>56.4</v>
      </c>
      <c r="M509" s="9"/>
      <c r="N509" s="9"/>
      <c r="O509" s="9"/>
      <c r="P509" s="9"/>
      <c r="Q509" s="9">
        <f ca="1">IFERROR(__xludf.DUMMYFUNCTION("GOOGLEFINANCE(C509,""changepct"")"),10)</f>
        <v>10</v>
      </c>
      <c r="R509" s="9"/>
      <c r="S509" s="9"/>
      <c r="T509" s="9"/>
      <c r="U509" s="9"/>
      <c r="V509" s="9"/>
      <c r="W509" s="9"/>
    </row>
    <row r="510" spans="1:23" ht="14.4">
      <c r="A510" s="3">
        <f>LOOKUP(D510,'AMFI DATA_2023H1'!B:C,'AMFI DATA_2023H1'!C:C)</f>
        <v>258</v>
      </c>
      <c r="B510" s="4" t="s">
        <v>741</v>
      </c>
      <c r="C510" s="4" t="s">
        <v>742</v>
      </c>
      <c r="D510" s="5" t="s">
        <v>743</v>
      </c>
      <c r="E510" s="5">
        <f>LOOKUP(D510,'AMFI DATA_2023H1'!B:D,'AMFI DATA_2023H1'!D:D)</f>
        <v>16223.82</v>
      </c>
      <c r="F510" s="7">
        <f t="shared" si="1"/>
        <v>0.68573122729418845</v>
      </c>
      <c r="G510" s="8">
        <v>27349</v>
      </c>
      <c r="H510" s="8">
        <v>27026</v>
      </c>
      <c r="I510" s="8">
        <v>26180</v>
      </c>
      <c r="J510" s="8">
        <v>25576</v>
      </c>
      <c r="K510" s="8">
        <v>25207</v>
      </c>
      <c r="L510" s="8">
        <v>24935</v>
      </c>
      <c r="M510" s="8"/>
      <c r="N510" s="8"/>
      <c r="O510" s="8"/>
      <c r="P510" s="8"/>
      <c r="Q510" s="9">
        <f ca="1">IFERROR(__xludf.DUMMYFUNCTION("GOOGLEFINANCE(C510,""changepct"")"),0.71)</f>
        <v>0.71</v>
      </c>
      <c r="R510" s="8"/>
      <c r="S510" s="8"/>
      <c r="T510" s="8"/>
      <c r="U510" s="8"/>
      <c r="V510" s="8"/>
      <c r="W510" s="8"/>
    </row>
    <row r="511" spans="1:23" ht="14.4">
      <c r="A511" s="3">
        <f>LOOKUP(D511,'AMFI DATA_2023H1'!B:C,'AMFI DATA_2023H1'!C:C)</f>
        <v>923</v>
      </c>
      <c r="B511" s="4" t="s">
        <v>2648</v>
      </c>
      <c r="C511" s="4" t="s">
        <v>2649</v>
      </c>
      <c r="D511" s="5" t="s">
        <v>2650</v>
      </c>
      <c r="E511" s="5">
        <f>LOOKUP(D511,'AMFI DATA_2023H1'!B:D,'AMFI DATA_2023H1'!D:D)</f>
        <v>1392.78</v>
      </c>
      <c r="F511" s="7">
        <f t="shared" si="1"/>
        <v>0.46828644868536307</v>
      </c>
      <c r="G511" s="8">
        <v>2045</v>
      </c>
      <c r="H511" s="8">
        <v>2017</v>
      </c>
      <c r="I511" s="8">
        <v>2031</v>
      </c>
      <c r="J511" s="8">
        <v>2049</v>
      </c>
      <c r="K511" s="8">
        <v>2052</v>
      </c>
      <c r="L511" s="8">
        <v>2021</v>
      </c>
      <c r="M511" s="8"/>
      <c r="N511" s="8"/>
      <c r="O511" s="8"/>
      <c r="P511" s="8"/>
      <c r="Q511" s="9">
        <f ca="1">IFERROR(__xludf.DUMMYFUNCTION("GOOGLEFINANCE(C511,""changepct"")"),-0.54)</f>
        <v>-0.54</v>
      </c>
      <c r="R511" s="8"/>
      <c r="S511" s="8"/>
      <c r="T511" s="8"/>
      <c r="U511" s="8"/>
      <c r="V511" s="8"/>
      <c r="W511" s="8"/>
    </row>
    <row r="512" spans="1:23" ht="14.4">
      <c r="A512" s="3">
        <f>LOOKUP(D512,'AMFI DATA_2023H1'!B:C,'AMFI DATA_2023H1'!C:C)</f>
        <v>1291</v>
      </c>
      <c r="B512" s="4" t="s">
        <v>3887</v>
      </c>
      <c r="C512" s="4" t="s">
        <v>3888</v>
      </c>
      <c r="D512" s="5" t="s">
        <v>3889</v>
      </c>
      <c r="E512" s="5">
        <f>LOOKUP(D512,'AMFI DATA_2023H1'!B:D,'AMFI DATA_2023H1'!D:D)</f>
        <v>539.14</v>
      </c>
      <c r="F512" s="7">
        <f t="shared" ref="F512:F766" si="2">G512/E512-1</f>
        <v>-3.1791371443409822E-2</v>
      </c>
      <c r="G512" s="9">
        <v>522</v>
      </c>
      <c r="H512" s="9">
        <v>516</v>
      </c>
      <c r="I512" s="9">
        <v>518</v>
      </c>
      <c r="J512" s="9">
        <v>519</v>
      </c>
      <c r="K512" s="9">
        <v>516</v>
      </c>
      <c r="L512" s="9">
        <v>514</v>
      </c>
      <c r="M512" s="9"/>
      <c r="N512" s="9"/>
      <c r="O512" s="9"/>
      <c r="P512" s="9"/>
      <c r="Q512" s="9">
        <f ca="1">IFERROR(__xludf.DUMMYFUNCTION("GOOGLEFINANCE(C512,""changepct"")"),0.47)</f>
        <v>0.47</v>
      </c>
      <c r="R512" s="9"/>
      <c r="S512" s="9"/>
      <c r="T512" s="9"/>
      <c r="U512" s="9"/>
      <c r="V512" s="9"/>
      <c r="W512" s="9"/>
    </row>
    <row r="513" spans="1:23" ht="14.4">
      <c r="A513" s="3">
        <f>LOOKUP(D513,'AMFI DATA_2023H1'!B:C,'AMFI DATA_2023H1'!C:C)</f>
        <v>897</v>
      </c>
      <c r="B513" s="4" t="s">
        <v>2987</v>
      </c>
      <c r="C513" s="4" t="s">
        <v>2988</v>
      </c>
      <c r="D513" s="5" t="s">
        <v>2989</v>
      </c>
      <c r="E513" s="5">
        <f>LOOKUP(D513,'AMFI DATA_2023H1'!B:D,'AMFI DATA_2023H1'!D:D)</f>
        <v>1483.51</v>
      </c>
      <c r="F513" s="7">
        <f t="shared" si="2"/>
        <v>0.11627154518675309</v>
      </c>
      <c r="G513" s="8">
        <v>1656</v>
      </c>
      <c r="H513" s="8">
        <v>1631</v>
      </c>
      <c r="I513" s="8">
        <v>1623</v>
      </c>
      <c r="J513" s="8">
        <v>1602</v>
      </c>
      <c r="K513" s="8">
        <v>1589</v>
      </c>
      <c r="L513" s="8">
        <v>1508</v>
      </c>
      <c r="M513" s="8"/>
      <c r="N513" s="8"/>
      <c r="O513" s="8"/>
      <c r="P513" s="8"/>
      <c r="Q513" s="9">
        <f ca="1">IFERROR(__xludf.DUMMYFUNCTION("GOOGLEFINANCE(C513,""changepct"")"),0.95)</f>
        <v>0.95</v>
      </c>
      <c r="R513" s="8"/>
      <c r="S513" s="8"/>
      <c r="T513" s="8"/>
      <c r="U513" s="8"/>
      <c r="V513" s="8"/>
      <c r="W513" s="8"/>
    </row>
    <row r="514" spans="1:23" ht="14.4">
      <c r="A514" s="3">
        <f>LOOKUP(D514,'AMFI DATA_2023H1'!B:C,'AMFI DATA_2023H1'!C:C)</f>
        <v>1158</v>
      </c>
      <c r="B514" s="4" t="s">
        <v>3398</v>
      </c>
      <c r="C514" s="4" t="s">
        <v>3399</v>
      </c>
      <c r="D514" s="5" t="s">
        <v>3400</v>
      </c>
      <c r="E514" s="5">
        <f>LOOKUP(D514,'AMFI DATA_2023H1'!B:D,'AMFI DATA_2023H1'!D:D)</f>
        <v>779.6</v>
      </c>
      <c r="F514" s="7">
        <f t="shared" si="2"/>
        <v>0.41995895330938948</v>
      </c>
      <c r="G514" s="8">
        <v>1107</v>
      </c>
      <c r="H514" s="8">
        <v>1083</v>
      </c>
      <c r="I514" s="8">
        <v>1087</v>
      </c>
      <c r="J514" s="8">
        <v>1069</v>
      </c>
      <c r="K514" s="8">
        <v>1072</v>
      </c>
      <c r="L514" s="8">
        <v>1071</v>
      </c>
      <c r="M514" s="8"/>
      <c r="N514" s="8"/>
      <c r="O514" s="8"/>
      <c r="P514" s="8"/>
      <c r="Q514" s="9">
        <f ca="1">IFERROR(__xludf.DUMMYFUNCTION("GOOGLEFINANCE(C514,""changepct"")"),-1.98)</f>
        <v>-1.98</v>
      </c>
      <c r="R514" s="8"/>
      <c r="S514" s="8"/>
      <c r="T514" s="8"/>
      <c r="U514" s="8"/>
      <c r="V514" s="8"/>
      <c r="W514" s="8"/>
    </row>
    <row r="515" spans="1:23" ht="14.4">
      <c r="A515" s="3">
        <f>LOOKUP(D515,'AMFI DATA_2023H1'!B:C,'AMFI DATA_2023H1'!C:C)</f>
        <v>1424</v>
      </c>
      <c r="B515" s="4" t="s">
        <v>4007</v>
      </c>
      <c r="C515" s="4" t="s">
        <v>4008</v>
      </c>
      <c r="D515" s="5" t="s">
        <v>4009</v>
      </c>
      <c r="E515" s="5">
        <f>LOOKUP(D515,'AMFI DATA_2023H1'!B:D,'AMFI DATA_2023H1'!D:D)</f>
        <v>396.47</v>
      </c>
      <c r="F515" s="7">
        <f t="shared" si="2"/>
        <v>0.8412490226246625</v>
      </c>
      <c r="G515" s="9">
        <v>730</v>
      </c>
      <c r="H515" s="9">
        <v>704</v>
      </c>
      <c r="I515" s="9">
        <v>735</v>
      </c>
      <c r="J515" s="9">
        <v>706</v>
      </c>
      <c r="K515" s="9">
        <v>703</v>
      </c>
      <c r="L515" s="9">
        <v>727</v>
      </c>
      <c r="M515" s="9"/>
      <c r="N515" s="9"/>
      <c r="O515" s="9"/>
      <c r="P515" s="9"/>
      <c r="Q515" s="9">
        <f ca="1">IFERROR(__xludf.DUMMYFUNCTION("GOOGLEFINANCE(C515,""changepct"")"),-1.94)</f>
        <v>-1.94</v>
      </c>
      <c r="R515" s="9"/>
      <c r="S515" s="9"/>
      <c r="T515" s="9"/>
      <c r="U515" s="9"/>
      <c r="V515" s="9"/>
      <c r="W515" s="9"/>
    </row>
    <row r="516" spans="1:23" ht="14.4">
      <c r="A516" s="3">
        <f>LOOKUP(D516,'AMFI DATA_2023H1'!B:C,'AMFI DATA_2023H1'!C:C)</f>
        <v>530</v>
      </c>
      <c r="B516" s="4" t="s">
        <v>1641</v>
      </c>
      <c r="C516" s="4" t="s">
        <v>1642</v>
      </c>
      <c r="D516" s="5" t="s">
        <v>1643</v>
      </c>
      <c r="E516" s="5">
        <f>LOOKUP(D516,'AMFI DATA_2023H1'!B:D,'AMFI DATA_2023H1'!D:D)</f>
        <v>4606.49</v>
      </c>
      <c r="F516" s="7">
        <f t="shared" si="2"/>
        <v>0.41604562258899946</v>
      </c>
      <c r="G516" s="8">
        <v>6523</v>
      </c>
      <c r="H516" s="8">
        <v>6577</v>
      </c>
      <c r="I516" s="8">
        <v>6513</v>
      </c>
      <c r="J516" s="8">
        <v>6558</v>
      </c>
      <c r="K516" s="8">
        <v>6606</v>
      </c>
      <c r="L516" s="8">
        <v>6503</v>
      </c>
      <c r="M516" s="8"/>
      <c r="N516" s="8"/>
      <c r="O516" s="8"/>
      <c r="P516" s="8"/>
      <c r="Q516" s="9">
        <f ca="1">IFERROR(__xludf.DUMMYFUNCTION("GOOGLEFINANCE(C516,""changepct"")"),0.02)</f>
        <v>0.02</v>
      </c>
      <c r="R516" s="8"/>
      <c r="S516" s="8"/>
      <c r="T516" s="8"/>
      <c r="U516" s="8"/>
      <c r="V516" s="8"/>
      <c r="W516" s="8"/>
    </row>
    <row r="517" spans="1:23" ht="14.4">
      <c r="A517" s="3">
        <f>LOOKUP(D517,'AMFI DATA_2023H1'!B:C,'AMFI DATA_2023H1'!C:C)</f>
        <v>177</v>
      </c>
      <c r="B517" s="4" t="s">
        <v>1794</v>
      </c>
      <c r="C517" s="4" t="s">
        <v>1795</v>
      </c>
      <c r="D517" s="5" t="s">
        <v>1796</v>
      </c>
      <c r="E517" s="5">
        <f>LOOKUP(D517,'AMFI DATA_2023H1'!B:D,'AMFI DATA_2023H1'!D:D)</f>
        <v>27450.74</v>
      </c>
      <c r="F517" s="7">
        <f t="shared" si="2"/>
        <v>-0.81559695658477693</v>
      </c>
      <c r="G517" s="8">
        <v>5062</v>
      </c>
      <c r="H517" s="8">
        <v>5029</v>
      </c>
      <c r="I517" s="8">
        <v>5121</v>
      </c>
      <c r="J517" s="8">
        <v>5178</v>
      </c>
      <c r="K517" s="8">
        <v>5197</v>
      </c>
      <c r="L517" s="8">
        <v>5204</v>
      </c>
      <c r="M517" s="8"/>
      <c r="N517" s="8"/>
      <c r="O517" s="8"/>
      <c r="P517" s="8"/>
      <c r="Q517" s="9">
        <f ca="1">IFERROR(__xludf.DUMMYFUNCTION("GOOGLEFINANCE(C517,""changepct"")"),-1.24)</f>
        <v>-1.24</v>
      </c>
      <c r="R517" s="8"/>
      <c r="S517" s="8"/>
      <c r="T517" s="8"/>
      <c r="U517" s="8"/>
      <c r="V517" s="8"/>
      <c r="W517" s="8"/>
    </row>
    <row r="518" spans="1:23" ht="14.4">
      <c r="A518" s="3">
        <f>LOOKUP(D518,'AMFI DATA_2023H1'!B:C,'AMFI DATA_2023H1'!C:C)</f>
        <v>828</v>
      </c>
      <c r="B518" s="4" t="s">
        <v>2681</v>
      </c>
      <c r="C518" s="4" t="s">
        <v>2682</v>
      </c>
      <c r="D518" s="5" t="s">
        <v>2683</v>
      </c>
      <c r="E518" s="5">
        <f>LOOKUP(D518,'AMFI DATA_2023H1'!B:D,'AMFI DATA_2023H1'!D:D)</f>
        <v>1779.52</v>
      </c>
      <c r="F518" s="7">
        <f t="shared" si="2"/>
        <v>0.14412875382125523</v>
      </c>
      <c r="G518" s="8">
        <v>2036</v>
      </c>
      <c r="H518" s="8">
        <v>2005</v>
      </c>
      <c r="I518" s="8">
        <v>2014</v>
      </c>
      <c r="J518" s="8">
        <v>2037</v>
      </c>
      <c r="K518" s="8">
        <v>2048</v>
      </c>
      <c r="L518" s="8">
        <v>2048</v>
      </c>
      <c r="M518" s="8"/>
      <c r="N518" s="8"/>
      <c r="O518" s="8"/>
      <c r="P518" s="8"/>
      <c r="Q518" s="9">
        <f ca="1">IFERROR(__xludf.DUMMYFUNCTION("GOOGLEFINANCE(C518,""changepct"")"),1.56)</f>
        <v>1.56</v>
      </c>
      <c r="R518" s="8"/>
      <c r="S518" s="8"/>
      <c r="T518" s="8"/>
      <c r="U518" s="8"/>
      <c r="V518" s="8"/>
      <c r="W518" s="8"/>
    </row>
    <row r="519" spans="1:23" ht="14.4">
      <c r="A519" s="3">
        <f>LOOKUP(D519,'AMFI DATA_2023H1'!B:C,'AMFI DATA_2023H1'!C:C)</f>
        <v>233</v>
      </c>
      <c r="B519" s="4" t="s">
        <v>504</v>
      </c>
      <c r="C519" s="4" t="s">
        <v>505</v>
      </c>
      <c r="D519" s="5" t="s">
        <v>506</v>
      </c>
      <c r="E519" s="5">
        <f>LOOKUP(D519,'AMFI DATA_2023H1'!B:D,'AMFI DATA_2023H1'!D:D)</f>
        <v>19335.21</v>
      </c>
      <c r="F519" s="7">
        <f t="shared" si="2"/>
        <v>1.7451990436100773</v>
      </c>
      <c r="G519" s="8">
        <v>53079</v>
      </c>
      <c r="H519" s="8">
        <v>52170</v>
      </c>
      <c r="I519" s="8">
        <v>52342</v>
      </c>
      <c r="J519" s="8">
        <v>51999</v>
      </c>
      <c r="K519" s="8">
        <v>51850</v>
      </c>
      <c r="L519" s="8">
        <v>51420</v>
      </c>
      <c r="M519" s="8"/>
      <c r="N519" s="8"/>
      <c r="O519" s="8"/>
      <c r="P519" s="8"/>
      <c r="Q519" s="9">
        <f ca="1">IFERROR(__xludf.DUMMYFUNCTION("GOOGLEFINANCE(C519,""changepct"")"),2.96)</f>
        <v>2.96</v>
      </c>
      <c r="R519" s="8"/>
      <c r="S519" s="8"/>
      <c r="T519" s="8"/>
      <c r="U519" s="8"/>
      <c r="V519" s="8"/>
      <c r="W519" s="8"/>
    </row>
    <row r="520" spans="1:23" ht="14.4">
      <c r="A520" s="3">
        <f>LOOKUP(D520,'AMFI DATA_2023H1'!B:C,'AMFI DATA_2023H1'!C:C)</f>
        <v>2224</v>
      </c>
      <c r="B520" s="4" t="s">
        <v>5251</v>
      </c>
      <c r="C520" s="4" t="s">
        <v>5252</v>
      </c>
      <c r="D520" s="5" t="s">
        <v>5253</v>
      </c>
      <c r="E520" s="5">
        <f>LOOKUP(D520,'AMFI DATA_2023H1'!B:D,'AMFI DATA_2023H1'!D:D)</f>
        <v>99.02</v>
      </c>
      <c r="F520" s="7">
        <f t="shared" si="2"/>
        <v>-8.2811553221571188E-3</v>
      </c>
      <c r="G520" s="9">
        <v>98.2</v>
      </c>
      <c r="H520" s="9">
        <v>96.4</v>
      </c>
      <c r="I520" s="9">
        <v>96.3</v>
      </c>
      <c r="J520" s="9">
        <v>97.9</v>
      </c>
      <c r="K520" s="9">
        <v>96.6</v>
      </c>
      <c r="L520" s="9">
        <v>98.5</v>
      </c>
      <c r="M520" s="9"/>
      <c r="N520" s="9"/>
      <c r="O520" s="9"/>
      <c r="P520" s="9"/>
      <c r="Q520" s="9">
        <f ca="1">IFERROR(__xludf.DUMMYFUNCTION("GOOGLEFINANCE(C520,""changepct"")"),6.79)</f>
        <v>6.79</v>
      </c>
      <c r="R520" s="9"/>
      <c r="S520" s="9"/>
      <c r="T520" s="9"/>
      <c r="U520" s="9"/>
      <c r="V520" s="9"/>
      <c r="W520" s="9"/>
    </row>
    <row r="521" spans="1:23" ht="14.4">
      <c r="A521" s="3">
        <f>LOOKUP(D521,'AMFI DATA_2023H1'!B:C,'AMFI DATA_2023H1'!C:C)</f>
        <v>746</v>
      </c>
      <c r="B521" s="4" t="s">
        <v>2483</v>
      </c>
      <c r="C521" s="4" t="s">
        <v>2484</v>
      </c>
      <c r="D521" s="5" t="s">
        <v>2485</v>
      </c>
      <c r="E521" s="5">
        <f>LOOKUP(D521,'AMFI DATA_2023H1'!B:D,'AMFI DATA_2023H1'!D:D)</f>
        <v>2221.6999999999998</v>
      </c>
      <c r="F521" s="7">
        <f t="shared" si="2"/>
        <v>0.19188009182157817</v>
      </c>
      <c r="G521" s="8">
        <v>2648</v>
      </c>
      <c r="H521" s="8">
        <v>2749</v>
      </c>
      <c r="I521" s="8">
        <v>2763</v>
      </c>
      <c r="J521" s="8">
        <v>2764</v>
      </c>
      <c r="K521" s="8">
        <v>2762</v>
      </c>
      <c r="L521" s="8">
        <v>2699</v>
      </c>
      <c r="M521" s="8"/>
      <c r="N521" s="8"/>
      <c r="O521" s="8"/>
      <c r="P521" s="8"/>
      <c r="Q521" s="9">
        <f ca="1">IFERROR(__xludf.DUMMYFUNCTION("GOOGLEFINANCE(C521,""changepct"")"),3.1)</f>
        <v>3.1</v>
      </c>
      <c r="R521" s="8"/>
      <c r="S521" s="8"/>
      <c r="T521" s="8"/>
      <c r="U521" s="8"/>
      <c r="V521" s="8"/>
      <c r="W521" s="8"/>
    </row>
    <row r="522" spans="1:23" ht="14.4">
      <c r="A522" s="3">
        <f>LOOKUP(D522,'AMFI DATA_2023H1'!B:C,'AMFI DATA_2023H1'!C:C)</f>
        <v>836</v>
      </c>
      <c r="B522" s="4" t="s">
        <v>2693</v>
      </c>
      <c r="C522" s="4" t="s">
        <v>2694</v>
      </c>
      <c r="D522" s="5" t="s">
        <v>2695</v>
      </c>
      <c r="E522" s="5">
        <f>LOOKUP(D522,'AMFI DATA_2023H1'!B:D,'AMFI DATA_2023H1'!D:D)</f>
        <v>1746.61</v>
      </c>
      <c r="F522" s="7">
        <f t="shared" si="2"/>
        <v>0.24011656866730413</v>
      </c>
      <c r="G522" s="8">
        <v>2166</v>
      </c>
      <c r="H522" s="8">
        <v>2179</v>
      </c>
      <c r="I522" s="8">
        <v>2135</v>
      </c>
      <c r="J522" s="8">
        <v>2138</v>
      </c>
      <c r="K522" s="8">
        <v>2134</v>
      </c>
      <c r="L522" s="8">
        <v>2126</v>
      </c>
      <c r="M522" s="8"/>
      <c r="N522" s="8"/>
      <c r="O522" s="8"/>
      <c r="P522" s="8"/>
      <c r="Q522" s="9">
        <f ca="1">IFERROR(__xludf.DUMMYFUNCTION("GOOGLEFINANCE(C522,""changepct"")"),13.3)</f>
        <v>13.3</v>
      </c>
      <c r="R522" s="8"/>
      <c r="S522" s="8"/>
      <c r="T522" s="8"/>
      <c r="U522" s="8"/>
      <c r="V522" s="8"/>
      <c r="W522" s="8"/>
    </row>
    <row r="523" spans="1:23" ht="14.4">
      <c r="A523" s="3">
        <f>LOOKUP(D523,'AMFI DATA_2023H1'!B:C,'AMFI DATA_2023H1'!C:C)</f>
        <v>278</v>
      </c>
      <c r="B523" s="4" t="s">
        <v>987</v>
      </c>
      <c r="C523" s="4" t="s">
        <v>988</v>
      </c>
      <c r="D523" s="5" t="s">
        <v>989</v>
      </c>
      <c r="E523" s="5">
        <f>LOOKUP(D523,'AMFI DATA_2023H1'!B:D,'AMFI DATA_2023H1'!D:D)</f>
        <v>14529.35</v>
      </c>
      <c r="F523" s="7">
        <f t="shared" si="2"/>
        <v>4.6915381624091923E-2</v>
      </c>
      <c r="G523" s="8">
        <v>15211</v>
      </c>
      <c r="H523" s="8">
        <v>15299</v>
      </c>
      <c r="I523" s="8">
        <v>15501</v>
      </c>
      <c r="J523" s="8">
        <v>15376</v>
      </c>
      <c r="K523" s="8">
        <v>14833</v>
      </c>
      <c r="L523" s="8">
        <v>14103</v>
      </c>
      <c r="M523" s="8"/>
      <c r="N523" s="8"/>
      <c r="O523" s="8"/>
      <c r="P523" s="8"/>
      <c r="Q523" s="9">
        <f ca="1">IFERROR(__xludf.DUMMYFUNCTION("GOOGLEFINANCE(C523,""changepct"")"),0.24)</f>
        <v>0.24</v>
      </c>
      <c r="R523" s="8"/>
      <c r="S523" s="8"/>
      <c r="T523" s="8"/>
      <c r="U523" s="8"/>
      <c r="V523" s="8"/>
      <c r="W523" s="8"/>
    </row>
    <row r="524" spans="1:23" ht="14.4">
      <c r="A524" s="3">
        <f>LOOKUP(D524,'AMFI DATA_2023H1'!B:C,'AMFI DATA_2023H1'!C:C)</f>
        <v>671</v>
      </c>
      <c r="B524" s="4" t="s">
        <v>2141</v>
      </c>
      <c r="C524" s="4" t="s">
        <v>2142</v>
      </c>
      <c r="D524" s="5" t="s">
        <v>2143</v>
      </c>
      <c r="E524" s="5">
        <f>LOOKUP(D524,'AMFI DATA_2023H1'!B:D,'AMFI DATA_2023H1'!D:D)</f>
        <v>2835.48</v>
      </c>
      <c r="F524" s="7">
        <f t="shared" si="2"/>
        <v>0.44102585805577887</v>
      </c>
      <c r="G524" s="8">
        <v>4086</v>
      </c>
      <c r="H524" s="8">
        <v>4005</v>
      </c>
      <c r="I524" s="8">
        <v>4088</v>
      </c>
      <c r="J524" s="8">
        <v>4128</v>
      </c>
      <c r="K524" s="8">
        <v>4092</v>
      </c>
      <c r="L524" s="8">
        <v>3875</v>
      </c>
      <c r="M524" s="8"/>
      <c r="N524" s="8"/>
      <c r="O524" s="8"/>
      <c r="P524" s="8"/>
      <c r="Q524" s="9">
        <f ca="1">IFERROR(__xludf.DUMMYFUNCTION("GOOGLEFINANCE(C524,""changepct"")"),2.05)</f>
        <v>2.0499999999999998</v>
      </c>
      <c r="R524" s="8"/>
      <c r="S524" s="8"/>
      <c r="T524" s="8"/>
      <c r="U524" s="8"/>
      <c r="V524" s="8"/>
      <c r="W524" s="8"/>
    </row>
    <row r="525" spans="1:23" ht="14.4">
      <c r="A525" s="3">
        <f>LOOKUP(D525,'AMFI DATA_2023H1'!B:C,'AMFI DATA_2023H1'!C:C)</f>
        <v>814</v>
      </c>
      <c r="B525" s="4" t="s">
        <v>2453</v>
      </c>
      <c r="C525" s="4" t="s">
        <v>2454</v>
      </c>
      <c r="D525" s="5" t="s">
        <v>2455</v>
      </c>
      <c r="E525" s="5">
        <f>LOOKUP(D525,'AMFI DATA_2023H1'!B:D,'AMFI DATA_2023H1'!D:D)</f>
        <v>1877.85</v>
      </c>
      <c r="F525" s="7">
        <f t="shared" si="2"/>
        <v>0.18326809915594966</v>
      </c>
      <c r="G525" s="8">
        <v>2222</v>
      </c>
      <c r="H525" s="8">
        <v>2174</v>
      </c>
      <c r="I525" s="8">
        <v>2141</v>
      </c>
      <c r="J525" s="8">
        <v>2172</v>
      </c>
      <c r="K525" s="8">
        <v>2133</v>
      </c>
      <c r="L525" s="8">
        <v>2129</v>
      </c>
      <c r="M525" s="8"/>
      <c r="N525" s="8"/>
      <c r="O525" s="8"/>
      <c r="P525" s="8"/>
      <c r="Q525" s="9">
        <f ca="1">IFERROR(__xludf.DUMMYFUNCTION("GOOGLEFINANCE(C525,""changepct"")"),12.28)</f>
        <v>12.28</v>
      </c>
      <c r="R525" s="8"/>
      <c r="S525" s="8"/>
      <c r="T525" s="8"/>
      <c r="U525" s="8"/>
      <c r="V525" s="8"/>
      <c r="W525" s="8"/>
    </row>
    <row r="526" spans="1:23" ht="14.4">
      <c r="A526" s="3">
        <f>LOOKUP(D526,'AMFI DATA_2023H1'!B:C,'AMFI DATA_2023H1'!C:C)</f>
        <v>317</v>
      </c>
      <c r="B526" s="4" t="s">
        <v>936</v>
      </c>
      <c r="C526" s="4" t="s">
        <v>937</v>
      </c>
      <c r="D526" s="5" t="s">
        <v>938</v>
      </c>
      <c r="E526" s="5">
        <f>LOOKUP(D526,'AMFI DATA_2023H1'!B:D,'AMFI DATA_2023H1'!D:D)</f>
        <v>11455.83</v>
      </c>
      <c r="F526" s="7">
        <f t="shared" si="2"/>
        <v>0.40845316314924363</v>
      </c>
      <c r="G526" s="8">
        <v>16135</v>
      </c>
      <c r="H526" s="8">
        <v>16365</v>
      </c>
      <c r="I526" s="8">
        <v>16189</v>
      </c>
      <c r="J526" s="8">
        <v>16417</v>
      </c>
      <c r="K526" s="8">
        <v>16286</v>
      </c>
      <c r="L526" s="8">
        <v>16113</v>
      </c>
      <c r="M526" s="8"/>
      <c r="N526" s="8"/>
      <c r="O526" s="8"/>
      <c r="P526" s="8"/>
      <c r="Q526" s="9">
        <f ca="1">IFERROR(__xludf.DUMMYFUNCTION("GOOGLEFINANCE(C526,""changepct"")"),1.9)</f>
        <v>1.9</v>
      </c>
      <c r="R526" s="8"/>
      <c r="S526" s="8"/>
      <c r="T526" s="8"/>
      <c r="U526" s="8"/>
      <c r="V526" s="8"/>
      <c r="W526" s="8"/>
    </row>
    <row r="527" spans="1:23" ht="14.4">
      <c r="A527" s="3">
        <f>LOOKUP(D527,'AMFI DATA_2023H1'!B:C,'AMFI DATA_2023H1'!C:C)</f>
        <v>329</v>
      </c>
      <c r="B527" s="4" t="s">
        <v>1029</v>
      </c>
      <c r="C527" s="4" t="s">
        <v>1030</v>
      </c>
      <c r="D527" s="5" t="s">
        <v>1031</v>
      </c>
      <c r="E527" s="5">
        <f>LOOKUP(D527,'AMFI DATA_2023H1'!B:D,'AMFI DATA_2023H1'!D:D)</f>
        <v>10733.97</v>
      </c>
      <c r="F527" s="7">
        <f t="shared" si="2"/>
        <v>0.21651169138725002</v>
      </c>
      <c r="G527" s="8">
        <v>13058</v>
      </c>
      <c r="H527" s="8">
        <v>13142</v>
      </c>
      <c r="I527" s="8">
        <v>12918</v>
      </c>
      <c r="J527" s="8">
        <v>13210</v>
      </c>
      <c r="K527" s="8">
        <v>13107</v>
      </c>
      <c r="L527" s="8">
        <v>13011</v>
      </c>
      <c r="M527" s="8"/>
      <c r="N527" s="8"/>
      <c r="O527" s="8"/>
      <c r="P527" s="8"/>
      <c r="Q527" s="9">
        <f ca="1">IFERROR(__xludf.DUMMYFUNCTION("GOOGLEFINANCE(C527,""changepct"")"),0.32)</f>
        <v>0.32</v>
      </c>
      <c r="R527" s="8"/>
      <c r="S527" s="8"/>
      <c r="T527" s="8"/>
      <c r="U527" s="8"/>
      <c r="V527" s="8"/>
      <c r="W527" s="8"/>
    </row>
    <row r="528" spans="1:23" ht="14.4">
      <c r="A528" s="3">
        <f>LOOKUP(D528,'AMFI DATA_2023H1'!B:C,'AMFI DATA_2023H1'!C:C)</f>
        <v>387</v>
      </c>
      <c r="B528" s="4" t="s">
        <v>1149</v>
      </c>
      <c r="C528" s="4" t="s">
        <v>1150</v>
      </c>
      <c r="D528" s="5" t="s">
        <v>1151</v>
      </c>
      <c r="E528" s="5">
        <f>LOOKUP(D528,'AMFI DATA_2023H1'!B:D,'AMFI DATA_2023H1'!D:D)</f>
        <v>8182.9</v>
      </c>
      <c r="F528" s="7">
        <f t="shared" si="2"/>
        <v>0.59405589705361184</v>
      </c>
      <c r="G528" s="8">
        <v>13044</v>
      </c>
      <c r="H528" s="8">
        <v>13016</v>
      </c>
      <c r="I528" s="8">
        <v>13012</v>
      </c>
      <c r="J528" s="8">
        <v>12945</v>
      </c>
      <c r="K528" s="8">
        <v>13118</v>
      </c>
      <c r="L528" s="8">
        <v>13030</v>
      </c>
      <c r="M528" s="8"/>
      <c r="N528" s="8"/>
      <c r="O528" s="8"/>
      <c r="P528" s="8"/>
      <c r="Q528" s="9">
        <f ca="1">IFERROR(__xludf.DUMMYFUNCTION("GOOGLEFINANCE(C528,""changepct"")"),2)</f>
        <v>2</v>
      </c>
      <c r="R528" s="8"/>
      <c r="S528" s="8"/>
      <c r="T528" s="8"/>
      <c r="U528" s="8"/>
      <c r="V528" s="8"/>
      <c r="W528" s="8"/>
    </row>
    <row r="529" spans="1:23" ht="14.4">
      <c r="A529" s="3">
        <f>LOOKUP(D529,'AMFI DATA_2023H1'!B:C,'AMFI DATA_2023H1'!C:C)</f>
        <v>254</v>
      </c>
      <c r="B529" s="4" t="s">
        <v>771</v>
      </c>
      <c r="C529" s="4" t="s">
        <v>772</v>
      </c>
      <c r="D529" s="5" t="s">
        <v>773</v>
      </c>
      <c r="E529" s="5">
        <f>LOOKUP(D529,'AMFI DATA_2023H1'!B:D,'AMFI DATA_2023H1'!D:D)</f>
        <v>16476.38</v>
      </c>
      <c r="F529" s="7">
        <f t="shared" si="2"/>
        <v>0.29986077038767012</v>
      </c>
      <c r="G529" s="8">
        <v>21417</v>
      </c>
      <c r="H529" s="8">
        <v>21493</v>
      </c>
      <c r="I529" s="8">
        <v>21255</v>
      </c>
      <c r="J529" s="8">
        <v>20595</v>
      </c>
      <c r="K529" s="8">
        <v>20345</v>
      </c>
      <c r="L529" s="8">
        <v>20153</v>
      </c>
      <c r="M529" s="8"/>
      <c r="N529" s="8"/>
      <c r="O529" s="8"/>
      <c r="P529" s="8"/>
      <c r="Q529" s="9">
        <f ca="1">IFERROR(__xludf.DUMMYFUNCTION("GOOGLEFINANCE(C529,""changepct"")"),0.01)</f>
        <v>0.01</v>
      </c>
      <c r="R529" s="8"/>
      <c r="S529" s="8"/>
      <c r="T529" s="8"/>
      <c r="U529" s="8"/>
      <c r="V529" s="8"/>
      <c r="W529" s="8"/>
    </row>
    <row r="530" spans="1:23" ht="14.4">
      <c r="A530" s="3">
        <f>LOOKUP(D530,'AMFI DATA_2023H1'!B:C,'AMFI DATA_2023H1'!C:C)</f>
        <v>254</v>
      </c>
      <c r="B530" s="4" t="s">
        <v>2025</v>
      </c>
      <c r="C530" s="4" t="s">
        <v>2026</v>
      </c>
      <c r="D530" s="5" t="s">
        <v>2027</v>
      </c>
      <c r="E530" s="5">
        <f>LOOKUP(D530,'AMFI DATA_2023H1'!B:D,'AMFI DATA_2023H1'!D:D)</f>
        <v>16476.38</v>
      </c>
      <c r="F530" s="7">
        <f t="shared" si="2"/>
        <v>-0.77798521277125199</v>
      </c>
      <c r="G530" s="8">
        <v>3658</v>
      </c>
      <c r="H530" s="8">
        <v>3675</v>
      </c>
      <c r="I530" s="8">
        <v>3751</v>
      </c>
      <c r="J530" s="8">
        <v>3812</v>
      </c>
      <c r="K530" s="8">
        <v>3767</v>
      </c>
      <c r="L530" s="8">
        <v>3803</v>
      </c>
      <c r="M530" s="8"/>
      <c r="N530" s="8"/>
      <c r="O530" s="8"/>
      <c r="P530" s="8"/>
      <c r="Q530" s="9">
        <f ca="1">IFERROR(__xludf.DUMMYFUNCTION("GOOGLEFINANCE(C530,""changepct"")"),1.04)</f>
        <v>1.04</v>
      </c>
      <c r="R530" s="8"/>
      <c r="S530" s="8"/>
      <c r="T530" s="8"/>
      <c r="U530" s="8"/>
      <c r="V530" s="8"/>
      <c r="W530" s="8"/>
    </row>
    <row r="531" spans="1:23" ht="14.4">
      <c r="A531" s="3">
        <f>LOOKUP(D531,'AMFI DATA_2023H1'!B:C,'AMFI DATA_2023H1'!C:C)</f>
        <v>2389</v>
      </c>
      <c r="B531" s="4" t="s">
        <v>5159</v>
      </c>
      <c r="C531" s="4" t="s">
        <v>5160</v>
      </c>
      <c r="D531" s="5" t="s">
        <v>5161</v>
      </c>
      <c r="E531" s="5">
        <f>LOOKUP(D531,'AMFI DATA_2023H1'!B:D,'AMFI DATA_2023H1'!D:D)</f>
        <v>74.48</v>
      </c>
      <c r="F531" s="7">
        <f t="shared" si="2"/>
        <v>0.85284640171858217</v>
      </c>
      <c r="G531" s="9">
        <v>138</v>
      </c>
      <c r="H531" s="9">
        <v>139</v>
      </c>
      <c r="I531" s="9">
        <v>140</v>
      </c>
      <c r="J531" s="9">
        <v>140</v>
      </c>
      <c r="K531" s="9">
        <v>143</v>
      </c>
      <c r="L531" s="9">
        <v>143</v>
      </c>
      <c r="M531" s="9"/>
      <c r="N531" s="9"/>
      <c r="O531" s="9"/>
      <c r="P531" s="9"/>
      <c r="Q531" s="9">
        <f ca="1">IFERROR(__xludf.DUMMYFUNCTION("GOOGLEFINANCE(C531,""changepct"")"),4.39)</f>
        <v>4.3899999999999997</v>
      </c>
      <c r="R531" s="9"/>
      <c r="S531" s="9"/>
      <c r="T531" s="9"/>
      <c r="U531" s="9"/>
      <c r="V531" s="9"/>
      <c r="W531" s="9"/>
    </row>
    <row r="532" spans="1:23" ht="14.4">
      <c r="A532" s="3">
        <f>LOOKUP(D532,'AMFI DATA_2023H1'!B:C,'AMFI DATA_2023H1'!C:C)</f>
        <v>1236</v>
      </c>
      <c r="B532" s="4" t="s">
        <v>3320</v>
      </c>
      <c r="C532" s="4" t="s">
        <v>3321</v>
      </c>
      <c r="D532" s="5" t="s">
        <v>3322</v>
      </c>
      <c r="E532" s="5">
        <f>LOOKUP(D532,'AMFI DATA_2023H1'!B:D,'AMFI DATA_2023H1'!D:D)</f>
        <v>626.30999999999995</v>
      </c>
      <c r="F532" s="7">
        <f t="shared" si="2"/>
        <v>0.86489118806980581</v>
      </c>
      <c r="G532" s="8">
        <v>1168</v>
      </c>
      <c r="H532" s="8">
        <v>1172</v>
      </c>
      <c r="I532" s="8">
        <v>1174</v>
      </c>
      <c r="J532" s="8">
        <v>1175</v>
      </c>
      <c r="K532" s="8">
        <v>1187</v>
      </c>
      <c r="L532" s="8">
        <v>1174</v>
      </c>
      <c r="M532" s="8"/>
      <c r="N532" s="8"/>
      <c r="O532" s="8"/>
      <c r="P532" s="8"/>
      <c r="Q532" s="9">
        <f ca="1">IFERROR(__xludf.DUMMYFUNCTION("GOOGLEFINANCE(C532,""changepct"")"),-1.14)</f>
        <v>-1.1399999999999999</v>
      </c>
      <c r="R532" s="8"/>
      <c r="S532" s="8"/>
      <c r="T532" s="8"/>
      <c r="U532" s="8"/>
      <c r="V532" s="8"/>
      <c r="W532" s="8"/>
    </row>
    <row r="533" spans="1:23" ht="14.4">
      <c r="A533" s="3">
        <f>LOOKUP(D533,'AMFI DATA_2023H1'!B:C,'AMFI DATA_2023H1'!C:C)</f>
        <v>1181</v>
      </c>
      <c r="B533" s="4" t="s">
        <v>3428</v>
      </c>
      <c r="C533" s="4" t="s">
        <v>3429</v>
      </c>
      <c r="D533" s="5" t="s">
        <v>3430</v>
      </c>
      <c r="E533" s="5">
        <f>LOOKUP(D533,'AMFI DATA_2023H1'!B:D,'AMFI DATA_2023H1'!D:D)</f>
        <v>724.9</v>
      </c>
      <c r="F533" s="7">
        <f t="shared" si="2"/>
        <v>0.18775003448751559</v>
      </c>
      <c r="G533" s="9">
        <v>861</v>
      </c>
      <c r="H533" s="9">
        <v>860</v>
      </c>
      <c r="I533" s="9">
        <v>866</v>
      </c>
      <c r="J533" s="9">
        <v>881</v>
      </c>
      <c r="K533" s="9">
        <v>880</v>
      </c>
      <c r="L533" s="9">
        <v>880</v>
      </c>
      <c r="M533" s="9"/>
      <c r="N533" s="9"/>
      <c r="O533" s="9"/>
      <c r="P533" s="9"/>
      <c r="Q533" s="9">
        <f ca="1">IFERROR(__xludf.DUMMYFUNCTION("GOOGLEFINANCE(C533,""changepct"")"),-2.76)</f>
        <v>-2.76</v>
      </c>
      <c r="R533" s="9"/>
      <c r="S533" s="9"/>
      <c r="T533" s="9"/>
      <c r="U533" s="9"/>
      <c r="V533" s="9"/>
      <c r="W533" s="9"/>
    </row>
    <row r="534" spans="1:23" ht="14.4">
      <c r="A534" s="3">
        <f>LOOKUP(D534,'AMFI DATA_2023H1'!B:C,'AMFI DATA_2023H1'!C:C)</f>
        <v>217</v>
      </c>
      <c r="B534" s="4" t="s">
        <v>669</v>
      </c>
      <c r="C534" s="4" t="s">
        <v>670</v>
      </c>
      <c r="D534" s="5" t="s">
        <v>671</v>
      </c>
      <c r="E534" s="5">
        <f>LOOKUP(D534,'AMFI DATA_2023H1'!B:D,'AMFI DATA_2023H1'!D:D)</f>
        <v>20856.169999999998</v>
      </c>
      <c r="F534" s="7">
        <f t="shared" si="2"/>
        <v>0.58912206795399169</v>
      </c>
      <c r="G534" s="8">
        <v>33143</v>
      </c>
      <c r="H534" s="8">
        <v>31731</v>
      </c>
      <c r="I534" s="8">
        <v>30727</v>
      </c>
      <c r="J534" s="8">
        <v>30244</v>
      </c>
      <c r="K534" s="8">
        <v>29885</v>
      </c>
      <c r="L534" s="8">
        <v>29496</v>
      </c>
      <c r="M534" s="8"/>
      <c r="N534" s="8"/>
      <c r="O534" s="8"/>
      <c r="P534" s="8"/>
      <c r="Q534" s="9">
        <f ca="1">IFERROR(__xludf.DUMMYFUNCTION("GOOGLEFINANCE(C534,""changepct"")"),0.13)</f>
        <v>0.13</v>
      </c>
      <c r="R534" s="8"/>
      <c r="S534" s="8"/>
      <c r="T534" s="8"/>
      <c r="U534" s="8"/>
      <c r="V534" s="8"/>
      <c r="W534" s="8"/>
    </row>
    <row r="535" spans="1:23" ht="14.4">
      <c r="A535" s="3">
        <f>LOOKUP(D535,'AMFI DATA_2023H1'!B:C,'AMFI DATA_2023H1'!C:C)</f>
        <v>891</v>
      </c>
      <c r="B535" s="4" t="s">
        <v>2612</v>
      </c>
      <c r="C535" s="4" t="s">
        <v>2613</v>
      </c>
      <c r="D535" s="5" t="s">
        <v>2614</v>
      </c>
      <c r="E535" s="5">
        <f>LOOKUP(D535,'AMFI DATA_2023H1'!B:D,'AMFI DATA_2023H1'!D:D)</f>
        <v>1496.96</v>
      </c>
      <c r="F535" s="7">
        <f t="shared" si="2"/>
        <v>0.60525331338178701</v>
      </c>
      <c r="G535" s="8">
        <v>2403</v>
      </c>
      <c r="H535" s="8">
        <v>2436</v>
      </c>
      <c r="I535" s="8">
        <v>2431</v>
      </c>
      <c r="J535" s="8">
        <v>2493</v>
      </c>
      <c r="K535" s="8">
        <v>2507</v>
      </c>
      <c r="L535" s="8">
        <v>2445</v>
      </c>
      <c r="M535" s="8"/>
      <c r="N535" s="8"/>
      <c r="O535" s="8"/>
      <c r="P535" s="8"/>
      <c r="Q535" s="9">
        <f ca="1">IFERROR(__xludf.DUMMYFUNCTION("GOOGLEFINANCE(C535,""changepct"")"),1.79)</f>
        <v>1.79</v>
      </c>
      <c r="R535" s="8"/>
      <c r="S535" s="8"/>
      <c r="T535" s="8"/>
      <c r="U535" s="8"/>
      <c r="V535" s="8"/>
      <c r="W535" s="8"/>
    </row>
    <row r="536" spans="1:23" ht="14.4">
      <c r="A536" s="3">
        <f>LOOKUP(D536,'AMFI DATA_2023H1'!B:C,'AMFI DATA_2023H1'!C:C)</f>
        <v>134</v>
      </c>
      <c r="B536" s="4" t="s">
        <v>474</v>
      </c>
      <c r="C536" s="4" t="s">
        <v>475</v>
      </c>
      <c r="D536" s="5" t="s">
        <v>476</v>
      </c>
      <c r="E536" s="5">
        <f>LOOKUP(D536,'AMFI DATA_2023H1'!B:D,'AMFI DATA_2023H1'!D:D)</f>
        <v>38892.42</v>
      </c>
      <c r="F536" s="7">
        <f t="shared" si="2"/>
        <v>0.25965419482768115</v>
      </c>
      <c r="G536" s="8">
        <v>48991</v>
      </c>
      <c r="H536" s="8">
        <v>49648</v>
      </c>
      <c r="I536" s="8">
        <v>49348</v>
      </c>
      <c r="J536" s="8">
        <v>49476</v>
      </c>
      <c r="K536" s="8">
        <v>48848</v>
      </c>
      <c r="L536" s="8">
        <v>49305</v>
      </c>
      <c r="M536" s="8"/>
      <c r="N536" s="8"/>
      <c r="O536" s="8"/>
      <c r="P536" s="8"/>
      <c r="Q536" s="9">
        <f ca="1">IFERROR(__xludf.DUMMYFUNCTION("GOOGLEFINANCE(C536,""changepct"")"),3.1)</f>
        <v>3.1</v>
      </c>
      <c r="R536" s="8"/>
      <c r="S536" s="8"/>
      <c r="T536" s="8"/>
      <c r="U536" s="8"/>
      <c r="V536" s="8"/>
      <c r="W536" s="8"/>
    </row>
    <row r="537" spans="1:23" ht="14.4">
      <c r="A537" s="3">
        <f>LOOKUP(D537,'AMFI DATA_2023H1'!B:C,'AMFI DATA_2023H1'!C:C)</f>
        <v>546</v>
      </c>
      <c r="B537" s="4" t="s">
        <v>1689</v>
      </c>
      <c r="C537" s="4" t="s">
        <v>1690</v>
      </c>
      <c r="D537" s="5" t="s">
        <v>1691</v>
      </c>
      <c r="E537" s="5">
        <f>LOOKUP(D537,'AMFI DATA_2023H1'!B:D,'AMFI DATA_2023H1'!D:D)</f>
        <v>4390.1099999999997</v>
      </c>
      <c r="F537" s="7">
        <f t="shared" si="2"/>
        <v>0.34301873984934339</v>
      </c>
      <c r="G537" s="8">
        <v>5896</v>
      </c>
      <c r="H537" s="8">
        <v>5786</v>
      </c>
      <c r="I537" s="8">
        <v>5681</v>
      </c>
      <c r="J537" s="8">
        <v>5760</v>
      </c>
      <c r="K537" s="8">
        <v>5797</v>
      </c>
      <c r="L537" s="8">
        <v>5723</v>
      </c>
      <c r="M537" s="8"/>
      <c r="N537" s="8"/>
      <c r="O537" s="8"/>
      <c r="P537" s="8"/>
      <c r="Q537" s="9">
        <f ca="1">IFERROR(__xludf.DUMMYFUNCTION("GOOGLEFINANCE(C537,""changepct"")"),0.31)</f>
        <v>0.31</v>
      </c>
      <c r="R537" s="8"/>
      <c r="S537" s="8"/>
      <c r="T537" s="8"/>
      <c r="U537" s="8"/>
      <c r="V537" s="8"/>
      <c r="W537" s="8"/>
    </row>
    <row r="538" spans="1:23" ht="14.4">
      <c r="A538" s="3">
        <f>LOOKUP(D538,'AMFI DATA_2023H1'!B:C,'AMFI DATA_2023H1'!C:C)</f>
        <v>1781</v>
      </c>
      <c r="B538" s="4" t="s">
        <v>4847</v>
      </c>
      <c r="C538" s="4" t="s">
        <v>4848</v>
      </c>
      <c r="D538" s="5" t="s">
        <v>4849</v>
      </c>
      <c r="E538" s="5">
        <f>LOOKUP(D538,'AMFI DATA_2023H1'!B:D,'AMFI DATA_2023H1'!D:D)</f>
        <v>201.37</v>
      </c>
      <c r="F538" s="7">
        <f t="shared" si="2"/>
        <v>-0.13591895515717334</v>
      </c>
      <c r="G538" s="9">
        <v>174</v>
      </c>
      <c r="H538" s="9">
        <v>174</v>
      </c>
      <c r="I538" s="9">
        <v>176</v>
      </c>
      <c r="J538" s="9">
        <v>178</v>
      </c>
      <c r="K538" s="9">
        <v>178</v>
      </c>
      <c r="L538" s="9">
        <v>180</v>
      </c>
      <c r="M538" s="9"/>
      <c r="N538" s="9"/>
      <c r="O538" s="9"/>
      <c r="P538" s="9"/>
      <c r="Q538" s="9">
        <f ca="1">IFERROR(__xludf.DUMMYFUNCTION("GOOGLEFINANCE(C538,""changepct"")"),5.56)</f>
        <v>5.56</v>
      </c>
      <c r="R538" s="9"/>
      <c r="S538" s="9"/>
      <c r="T538" s="9"/>
      <c r="U538" s="9"/>
      <c r="V538" s="9"/>
      <c r="W538" s="9"/>
    </row>
    <row r="539" spans="1:23" ht="14.4">
      <c r="A539" s="3">
        <f>LOOKUP(D539,'AMFI DATA_2023H1'!B:C,'AMFI DATA_2023H1'!C:C)</f>
        <v>2089</v>
      </c>
      <c r="B539" s="4" t="s">
        <v>5299</v>
      </c>
      <c r="C539" s="4" t="s">
        <v>5300</v>
      </c>
      <c r="D539" s="5" t="s">
        <v>5301</v>
      </c>
      <c r="E539" s="5">
        <f>LOOKUP(D539,'AMFI DATA_2023H1'!B:D,'AMFI DATA_2023H1'!D:D)</f>
        <v>122.7</v>
      </c>
      <c r="F539" s="7">
        <f t="shared" si="2"/>
        <v>-0.51018744906275471</v>
      </c>
      <c r="G539" s="9">
        <v>60.1</v>
      </c>
      <c r="H539" s="9">
        <v>59.7</v>
      </c>
      <c r="I539" s="9">
        <v>58.5</v>
      </c>
      <c r="J539" s="9">
        <v>58.5</v>
      </c>
      <c r="K539" s="9">
        <v>56.9</v>
      </c>
      <c r="L539" s="9">
        <v>55.5</v>
      </c>
      <c r="M539" s="9"/>
      <c r="N539" s="9"/>
      <c r="O539" s="9"/>
      <c r="P539" s="9"/>
      <c r="Q539" s="9">
        <f ca="1">IFERROR(__xludf.DUMMYFUNCTION("GOOGLEFINANCE(C539,""changepct"")"),1.85)</f>
        <v>1.85</v>
      </c>
      <c r="R539" s="9"/>
      <c r="S539" s="9"/>
      <c r="T539" s="9"/>
      <c r="U539" s="9"/>
      <c r="V539" s="9"/>
      <c r="W539" s="9"/>
    </row>
    <row r="540" spans="1:23" ht="14.4">
      <c r="A540" s="3">
        <f>LOOKUP(D540,'AMFI DATA_2023H1'!B:C,'AMFI DATA_2023H1'!C:C)</f>
        <v>3046</v>
      </c>
      <c r="B540" s="4" t="s">
        <v>5581</v>
      </c>
      <c r="C540" s="4" t="s">
        <v>5582</v>
      </c>
      <c r="D540" s="5" t="s">
        <v>5583</v>
      </c>
      <c r="E540" s="5">
        <f>LOOKUP(D540,'AMFI DATA_2023H1'!B:D,'AMFI DATA_2023H1'!D:D)</f>
        <v>28.48</v>
      </c>
      <c r="F540" s="7">
        <f t="shared" si="2"/>
        <v>0.2078651685393258</v>
      </c>
      <c r="G540" s="9">
        <v>34.4</v>
      </c>
      <c r="H540" s="9">
        <v>35.4</v>
      </c>
      <c r="I540" s="9">
        <v>34.799999999999997</v>
      </c>
      <c r="J540" s="9">
        <v>35</v>
      </c>
      <c r="K540" s="9">
        <v>34.200000000000003</v>
      </c>
      <c r="L540" s="9">
        <v>34.5</v>
      </c>
      <c r="M540" s="9"/>
      <c r="N540" s="9"/>
      <c r="O540" s="9"/>
      <c r="P540" s="9"/>
      <c r="Q540" s="9">
        <f ca="1">IFERROR(__xludf.DUMMYFUNCTION("GOOGLEFINANCE(C540,""changepct"")"),0)</f>
        <v>0</v>
      </c>
      <c r="R540" s="9"/>
      <c r="S540" s="9"/>
      <c r="T540" s="9"/>
      <c r="U540" s="9"/>
      <c r="V540" s="9"/>
      <c r="W540" s="9"/>
    </row>
    <row r="541" spans="1:23" ht="14.4">
      <c r="A541" s="3">
        <f>LOOKUP(D541,'AMFI DATA_2023H1'!B:C,'AMFI DATA_2023H1'!C:C)</f>
        <v>1900</v>
      </c>
      <c r="B541" s="4" t="s">
        <v>4805</v>
      </c>
      <c r="C541" s="4" t="s">
        <v>4806</v>
      </c>
      <c r="D541" s="5" t="s">
        <v>4807</v>
      </c>
      <c r="E541" s="5">
        <f>LOOKUP(D541,'AMFI DATA_2023H1'!B:D,'AMFI DATA_2023H1'!D:D)</f>
        <v>165.84</v>
      </c>
      <c r="F541" s="7">
        <f t="shared" si="2"/>
        <v>0.22407139411480936</v>
      </c>
      <c r="G541" s="9">
        <v>203</v>
      </c>
      <c r="H541" s="9">
        <v>198</v>
      </c>
      <c r="I541" s="9">
        <v>200</v>
      </c>
      <c r="J541" s="9">
        <v>191</v>
      </c>
      <c r="K541" s="9">
        <v>176</v>
      </c>
      <c r="L541" s="9">
        <v>171</v>
      </c>
      <c r="M541" s="9"/>
      <c r="N541" s="9"/>
      <c r="O541" s="9"/>
      <c r="P541" s="9"/>
      <c r="Q541" s="9">
        <f ca="1">IFERROR(__xludf.DUMMYFUNCTION("GOOGLEFINANCE(C541,""changepct"")"),-4.17)</f>
        <v>-4.17</v>
      </c>
      <c r="R541" s="9"/>
      <c r="S541" s="9"/>
      <c r="T541" s="9"/>
      <c r="U541" s="9"/>
      <c r="V541" s="9"/>
      <c r="W541" s="9"/>
    </row>
    <row r="542" spans="1:23" ht="14.4">
      <c r="A542" s="3">
        <f>LOOKUP(D542,'AMFI DATA_2023H1'!B:C,'AMFI DATA_2023H1'!C:C)</f>
        <v>2424</v>
      </c>
      <c r="B542" s="4" t="s">
        <v>5485</v>
      </c>
      <c r="C542" s="4" t="s">
        <v>5486</v>
      </c>
      <c r="D542" s="5" t="s">
        <v>5487</v>
      </c>
      <c r="E542" s="5">
        <f>LOOKUP(D542,'AMFI DATA_2023H1'!B:D,'AMFI DATA_2023H1'!D:D)</f>
        <v>71.05</v>
      </c>
      <c r="F542" s="7">
        <f t="shared" si="2"/>
        <v>-0.30893736805066851</v>
      </c>
      <c r="G542" s="9">
        <v>49.1</v>
      </c>
      <c r="H542" s="9">
        <v>50</v>
      </c>
      <c r="I542" s="9">
        <v>49.2</v>
      </c>
      <c r="J542" s="9">
        <v>49.7</v>
      </c>
      <c r="K542" s="9">
        <v>46.3</v>
      </c>
      <c r="L542" s="9">
        <v>46.1</v>
      </c>
      <c r="M542" s="9"/>
      <c r="N542" s="9"/>
      <c r="O542" s="9"/>
      <c r="P542" s="9"/>
      <c r="Q542" s="9">
        <f ca="1">IFERROR(__xludf.DUMMYFUNCTION("GOOGLEFINANCE(C542,""changepct"")"),9.57)</f>
        <v>9.57</v>
      </c>
      <c r="R542" s="9"/>
      <c r="S542" s="9"/>
      <c r="T542" s="9"/>
      <c r="U542" s="9"/>
      <c r="V542" s="9"/>
      <c r="W542" s="9"/>
    </row>
    <row r="543" spans="1:23" ht="14.4">
      <c r="A543" s="3">
        <f>LOOKUP(D543,'AMFI DATA_2023H1'!B:C,'AMFI DATA_2023H1'!C:C)</f>
        <v>328</v>
      </c>
      <c r="B543" s="4" t="s">
        <v>1110</v>
      </c>
      <c r="C543" s="4" t="s">
        <v>1111</v>
      </c>
      <c r="D543" s="5" t="s">
        <v>1112</v>
      </c>
      <c r="E543" s="5">
        <f>LOOKUP(D543,'AMFI DATA_2023H1'!B:D,'AMFI DATA_2023H1'!D:D)</f>
        <v>10819.89</v>
      </c>
      <c r="F543" s="7">
        <f t="shared" si="2"/>
        <v>1.1562964133646547E-2</v>
      </c>
      <c r="G543" s="8">
        <v>10945</v>
      </c>
      <c r="H543" s="8">
        <v>11071</v>
      </c>
      <c r="I543" s="8">
        <v>11235</v>
      </c>
      <c r="J543" s="8">
        <v>11216</v>
      </c>
      <c r="K543" s="8">
        <v>11448</v>
      </c>
      <c r="L543" s="8">
        <v>11510</v>
      </c>
      <c r="M543" s="8"/>
      <c r="N543" s="8"/>
      <c r="O543" s="8"/>
      <c r="P543" s="8"/>
      <c r="Q543" s="9">
        <f ca="1">IFERROR(__xludf.DUMMYFUNCTION("GOOGLEFINANCE(C543,""changepct"")"),0.76)</f>
        <v>0.76</v>
      </c>
      <c r="R543" s="8"/>
      <c r="S543" s="8"/>
      <c r="T543" s="8"/>
      <c r="U543" s="8"/>
      <c r="V543" s="8"/>
      <c r="W543" s="8"/>
    </row>
    <row r="544" spans="1:23" ht="14.4">
      <c r="A544" s="3">
        <f>LOOKUP(D544,'AMFI DATA_2023H1'!B:C,'AMFI DATA_2023H1'!C:C)</f>
        <v>725</v>
      </c>
      <c r="B544" s="4" t="s">
        <v>1887</v>
      </c>
      <c r="C544" s="4" t="s">
        <v>1888</v>
      </c>
      <c r="D544" s="5" t="s">
        <v>1889</v>
      </c>
      <c r="E544" s="5">
        <f>LOOKUP(D544,'AMFI DATA_2023H1'!B:D,'AMFI DATA_2023H1'!D:D)</f>
        <v>2383.96</v>
      </c>
      <c r="F544" s="7">
        <f t="shared" si="2"/>
        <v>1.4211815634490512</v>
      </c>
      <c r="G544" s="8">
        <v>5772</v>
      </c>
      <c r="H544" s="8">
        <v>5670</v>
      </c>
      <c r="I544" s="8">
        <v>5716</v>
      </c>
      <c r="J544" s="8">
        <v>5767</v>
      </c>
      <c r="K544" s="8">
        <v>5713</v>
      </c>
      <c r="L544" s="8">
        <v>5797</v>
      </c>
      <c r="M544" s="8"/>
      <c r="N544" s="8"/>
      <c r="O544" s="8"/>
      <c r="P544" s="8"/>
      <c r="Q544" s="9">
        <f ca="1">IFERROR(__xludf.DUMMYFUNCTION("GOOGLEFINANCE(C544,""changepct"")"),5.29)</f>
        <v>5.29</v>
      </c>
      <c r="R544" s="8"/>
      <c r="S544" s="8"/>
      <c r="T544" s="8"/>
      <c r="U544" s="8"/>
      <c r="V544" s="8"/>
      <c r="W544" s="8"/>
    </row>
    <row r="545" spans="1:23" ht="14.4">
      <c r="A545" s="3">
        <f>LOOKUP(D545,'AMFI DATA_2023H1'!B:C,'AMFI DATA_2023H1'!C:C)</f>
        <v>455</v>
      </c>
      <c r="B545" s="4" t="s">
        <v>5222</v>
      </c>
      <c r="C545" s="4" t="s">
        <v>5223</v>
      </c>
      <c r="D545" s="5" t="s">
        <v>5224</v>
      </c>
      <c r="E545" s="5">
        <f>LOOKUP(D545,'AMFI DATA_2023H1'!B:D,'AMFI DATA_2023H1'!D:D)</f>
        <v>6092.58</v>
      </c>
      <c r="F545" s="7">
        <f t="shared" si="2"/>
        <v>-0.94124000013130726</v>
      </c>
      <c r="G545" s="9">
        <v>358</v>
      </c>
      <c r="H545" s="9">
        <v>66</v>
      </c>
      <c r="I545" s="9">
        <v>63</v>
      </c>
      <c r="J545" s="9">
        <v>60.2</v>
      </c>
      <c r="K545" s="9">
        <v>49.1</v>
      </c>
      <c r="L545" s="9">
        <v>51</v>
      </c>
      <c r="M545" s="9"/>
      <c r="N545" s="9"/>
      <c r="O545" s="9"/>
      <c r="P545" s="9"/>
      <c r="Q545" s="9">
        <f ca="1">IFERROR(__xludf.DUMMYFUNCTION("GOOGLEFINANCE(C545,""changepct"")"),4.26)</f>
        <v>4.26</v>
      </c>
      <c r="R545" s="9"/>
      <c r="S545" s="9"/>
      <c r="T545" s="9"/>
      <c r="U545" s="9"/>
      <c r="V545" s="9"/>
      <c r="W545" s="9"/>
    </row>
    <row r="546" spans="1:23" ht="14.4">
      <c r="A546" s="3">
        <f>LOOKUP(D546,'AMFI DATA_2023H1'!B:C,'AMFI DATA_2023H1'!C:C)</f>
        <v>455</v>
      </c>
      <c r="B546" s="4" t="s">
        <v>5222</v>
      </c>
      <c r="C546" s="4" t="s">
        <v>5225</v>
      </c>
      <c r="D546" s="5" t="s">
        <v>5226</v>
      </c>
      <c r="E546" s="5">
        <f>LOOKUP(D546,'AMFI DATA_2023H1'!B:D,'AMFI DATA_2023H1'!D:D)</f>
        <v>6092.58</v>
      </c>
      <c r="F546" s="7">
        <f t="shared" si="2"/>
        <v>-0.99162916202987894</v>
      </c>
      <c r="G546" s="9">
        <v>51</v>
      </c>
      <c r="H546" s="9">
        <v>51.8</v>
      </c>
      <c r="I546" s="9">
        <v>53.6</v>
      </c>
      <c r="J546" s="9">
        <v>52.8</v>
      </c>
      <c r="K546" s="9">
        <v>49.6</v>
      </c>
      <c r="L546" s="9">
        <v>47.9</v>
      </c>
      <c r="M546" s="9"/>
      <c r="N546" s="9"/>
      <c r="O546" s="9"/>
      <c r="P546" s="9"/>
      <c r="Q546" s="9">
        <f ca="1">IFERROR(__xludf.DUMMYFUNCTION("GOOGLEFINANCE(C546,""changepct"")"),-8.61)</f>
        <v>-8.61</v>
      </c>
      <c r="R546" s="9"/>
      <c r="S546" s="9"/>
      <c r="T546" s="9"/>
      <c r="U546" s="9"/>
      <c r="V546" s="9"/>
      <c r="W546" s="9"/>
    </row>
    <row r="547" spans="1:23" ht="14.4">
      <c r="A547" s="3">
        <f>LOOKUP(D547,'AMFI DATA_2023H1'!B:C,'AMFI DATA_2023H1'!C:C)</f>
        <v>76</v>
      </c>
      <c r="B547" s="4" t="s">
        <v>240</v>
      </c>
      <c r="C547" s="4" t="s">
        <v>241</v>
      </c>
      <c r="D547" s="5" t="s">
        <v>242</v>
      </c>
      <c r="E547" s="5">
        <f>LOOKUP(D547,'AMFI DATA_2023H1'!B:D,'AMFI DATA_2023H1'!D:D)</f>
        <v>68221.37</v>
      </c>
      <c r="F547" s="7">
        <f t="shared" si="2"/>
        <v>0.60278223670969977</v>
      </c>
      <c r="G547" s="8">
        <v>109344</v>
      </c>
      <c r="H547" s="8">
        <v>106550</v>
      </c>
      <c r="I547" s="8">
        <v>103295</v>
      </c>
      <c r="J547" s="8">
        <v>99810</v>
      </c>
      <c r="K547" s="8">
        <v>101290</v>
      </c>
      <c r="L547" s="8">
        <v>99613</v>
      </c>
      <c r="M547" s="8"/>
      <c r="N547" s="8"/>
      <c r="O547" s="8"/>
      <c r="P547" s="8"/>
      <c r="Q547" s="9">
        <f ca="1">IFERROR(__xludf.DUMMYFUNCTION("GOOGLEFINANCE(C547,""changepct"")"),1.59)</f>
        <v>1.59</v>
      </c>
      <c r="R547" s="8"/>
      <c r="S547" s="8"/>
      <c r="T547" s="8"/>
      <c r="U547" s="8"/>
      <c r="V547" s="8"/>
      <c r="W547" s="8"/>
    </row>
    <row r="548" spans="1:23" ht="14.4">
      <c r="A548" s="3">
        <f>LOOKUP(D548,'AMFI DATA_2023H1'!B:C,'AMFI DATA_2023H1'!C:C)</f>
        <v>372</v>
      </c>
      <c r="B548" s="4" t="s">
        <v>1272</v>
      </c>
      <c r="C548" s="4" t="s">
        <v>1273</v>
      </c>
      <c r="D548" s="5" t="s">
        <v>1274</v>
      </c>
      <c r="E548" s="5">
        <f>LOOKUP(D548,'AMFI DATA_2023H1'!B:D,'AMFI DATA_2023H1'!D:D)</f>
        <v>8762.02</v>
      </c>
      <c r="F548" s="7">
        <f t="shared" si="2"/>
        <v>0.11869180850990979</v>
      </c>
      <c r="G548" s="8">
        <v>9802</v>
      </c>
      <c r="H548" s="8">
        <v>9805</v>
      </c>
      <c r="I548" s="8">
        <v>9649</v>
      </c>
      <c r="J548" s="8">
        <v>9559</v>
      </c>
      <c r="K548" s="8">
        <v>9471</v>
      </c>
      <c r="L548" s="8">
        <v>9526</v>
      </c>
      <c r="M548" s="8"/>
      <c r="N548" s="8"/>
      <c r="O548" s="8"/>
      <c r="P548" s="8"/>
      <c r="Q548" s="9">
        <f ca="1">IFERROR(__xludf.DUMMYFUNCTION("GOOGLEFINANCE(C548,""changepct"")"),-0.2)</f>
        <v>-0.2</v>
      </c>
      <c r="R548" s="8"/>
      <c r="S548" s="8"/>
      <c r="T548" s="8"/>
      <c r="U548" s="8"/>
      <c r="V548" s="8"/>
      <c r="W548" s="8"/>
    </row>
    <row r="549" spans="1:23" ht="14.4">
      <c r="A549" s="3">
        <f>LOOKUP(D549,'AMFI DATA_2023H1'!B:C,'AMFI DATA_2023H1'!C:C)</f>
        <v>914</v>
      </c>
      <c r="B549" s="4" t="s">
        <v>2558</v>
      </c>
      <c r="C549" s="4" t="s">
        <v>2559</v>
      </c>
      <c r="D549" s="5" t="s">
        <v>2560</v>
      </c>
      <c r="E549" s="5">
        <f>LOOKUP(D549,'AMFI DATA_2023H1'!B:D,'AMFI DATA_2023H1'!D:D)</f>
        <v>1426.71</v>
      </c>
      <c r="F549" s="7">
        <f t="shared" si="2"/>
        <v>2.0104225806225511</v>
      </c>
      <c r="G549" s="8">
        <v>4295</v>
      </c>
      <c r="H549" s="8">
        <v>4326</v>
      </c>
      <c r="I549" s="8">
        <v>4407</v>
      </c>
      <c r="J549" s="8">
        <v>4502</v>
      </c>
      <c r="K549" s="8">
        <v>4097</v>
      </c>
      <c r="L549" s="8">
        <v>3413</v>
      </c>
      <c r="M549" s="8"/>
      <c r="N549" s="8"/>
      <c r="O549" s="8"/>
      <c r="P549" s="8"/>
      <c r="Q549" s="9">
        <f ca="1">IFERROR(__xludf.DUMMYFUNCTION("GOOGLEFINANCE(C549,""changepct"")"),6.58)</f>
        <v>6.58</v>
      </c>
      <c r="R549" s="8"/>
      <c r="S549" s="8"/>
      <c r="T549" s="8"/>
      <c r="U549" s="8"/>
      <c r="V549" s="8"/>
      <c r="W549" s="8"/>
    </row>
    <row r="550" spans="1:23" ht="14.4">
      <c r="A550" s="3">
        <f>LOOKUP(D550,'AMFI DATA_2023H1'!B:C,'AMFI DATA_2023H1'!C:C)</f>
        <v>914</v>
      </c>
      <c r="B550" s="4" t="s">
        <v>2357</v>
      </c>
      <c r="C550" s="4" t="s">
        <v>2358</v>
      </c>
      <c r="D550" s="5" t="s">
        <v>2359</v>
      </c>
      <c r="E550" s="5">
        <f>LOOKUP(D550,'AMFI DATA_2023H1'!B:D,'AMFI DATA_2023H1'!D:D)</f>
        <v>1426.71</v>
      </c>
      <c r="F550" s="7">
        <f t="shared" si="2"/>
        <v>0.8868585767254733</v>
      </c>
      <c r="G550" s="8">
        <v>2692</v>
      </c>
      <c r="H550" s="8">
        <v>2670</v>
      </c>
      <c r="I550" s="8">
        <v>2671</v>
      </c>
      <c r="J550" s="8">
        <v>2721</v>
      </c>
      <c r="K550" s="8">
        <v>2735</v>
      </c>
      <c r="L550" s="8">
        <v>2755</v>
      </c>
      <c r="M550" s="8"/>
      <c r="N550" s="8"/>
      <c r="O550" s="8"/>
      <c r="P550" s="8"/>
      <c r="Q550" s="9">
        <f ca="1">IFERROR(__xludf.DUMMYFUNCTION("GOOGLEFINANCE(C550,""changepct"")"),3.13)</f>
        <v>3.13</v>
      </c>
      <c r="R550" s="8"/>
      <c r="S550" s="8"/>
      <c r="T550" s="8"/>
      <c r="U550" s="8"/>
      <c r="V550" s="8"/>
      <c r="W550" s="8"/>
    </row>
    <row r="551" spans="1:23" ht="14.4">
      <c r="A551" s="3">
        <f>LOOKUP(D551,'AMFI DATA_2023H1'!B:C,'AMFI DATA_2023H1'!C:C)</f>
        <v>1219</v>
      </c>
      <c r="B551" s="4" t="s">
        <v>3518</v>
      </c>
      <c r="C551" s="4" t="s">
        <v>3519</v>
      </c>
      <c r="D551" s="5" t="s">
        <v>3520</v>
      </c>
      <c r="E551" s="5">
        <f>LOOKUP(D551,'AMFI DATA_2023H1'!B:D,'AMFI DATA_2023H1'!D:D)</f>
        <v>662.28</v>
      </c>
      <c r="F551" s="7">
        <f t="shared" si="2"/>
        <v>0.33176300054357677</v>
      </c>
      <c r="G551" s="9">
        <v>882</v>
      </c>
      <c r="H551" s="9">
        <v>888</v>
      </c>
      <c r="I551" s="9">
        <v>879</v>
      </c>
      <c r="J551" s="9">
        <v>909</v>
      </c>
      <c r="K551" s="9">
        <v>929</v>
      </c>
      <c r="L551" s="9">
        <v>899</v>
      </c>
      <c r="M551" s="9"/>
      <c r="N551" s="9"/>
      <c r="O551" s="9"/>
      <c r="P551" s="9"/>
      <c r="Q551" s="9">
        <f ca="1">IFERROR(__xludf.DUMMYFUNCTION("GOOGLEFINANCE(C551,""changepct"")"),1.61)</f>
        <v>1.61</v>
      </c>
      <c r="R551" s="9"/>
      <c r="S551" s="9"/>
      <c r="T551" s="9"/>
      <c r="U551" s="9"/>
      <c r="V551" s="9"/>
      <c r="W551" s="9"/>
    </row>
    <row r="552" spans="1:23" ht="14.4">
      <c r="A552" s="3">
        <f>LOOKUP(D552,'AMFI DATA_2023H1'!B:C,'AMFI DATA_2023H1'!C:C)</f>
        <v>1061</v>
      </c>
      <c r="B552" s="4" t="s">
        <v>3365</v>
      </c>
      <c r="C552" s="4" t="s">
        <v>3366</v>
      </c>
      <c r="D552" s="5" t="s">
        <v>3367</v>
      </c>
      <c r="E552" s="5">
        <f>LOOKUP(D552,'AMFI DATA_2023H1'!B:D,'AMFI DATA_2023H1'!D:D)</f>
        <v>994.97</v>
      </c>
      <c r="F552" s="7">
        <f t="shared" si="2"/>
        <v>0.11058624883162294</v>
      </c>
      <c r="G552" s="8">
        <v>1105</v>
      </c>
      <c r="H552" s="8">
        <v>1097</v>
      </c>
      <c r="I552" s="8">
        <v>1090</v>
      </c>
      <c r="J552" s="8">
        <v>1085</v>
      </c>
      <c r="K552" s="8">
        <v>1085</v>
      </c>
      <c r="L552" s="8">
        <v>1038</v>
      </c>
      <c r="M552" s="8"/>
      <c r="N552" s="8"/>
      <c r="O552" s="8"/>
      <c r="P552" s="8"/>
      <c r="Q552" s="9">
        <f ca="1">IFERROR(__xludf.DUMMYFUNCTION("GOOGLEFINANCE(C552,""changepct"")"),-1.67)</f>
        <v>-1.67</v>
      </c>
      <c r="R552" s="8"/>
      <c r="S552" s="8"/>
      <c r="T552" s="8"/>
      <c r="U552" s="8"/>
      <c r="V552" s="8"/>
      <c r="W552" s="8"/>
    </row>
    <row r="553" spans="1:23" ht="14.4">
      <c r="A553" s="3">
        <f>LOOKUP(D553,'AMFI DATA_2023H1'!B:C,'AMFI DATA_2023H1'!C:C)</f>
        <v>669</v>
      </c>
      <c r="B553" s="4" t="s">
        <v>2153</v>
      </c>
      <c r="C553" s="4" t="s">
        <v>2154</v>
      </c>
      <c r="D553" s="5" t="s">
        <v>2155</v>
      </c>
      <c r="E553" s="5">
        <f>LOOKUP(D553,'AMFI DATA_2023H1'!B:D,'AMFI DATA_2023H1'!D:D)</f>
        <v>2843.6</v>
      </c>
      <c r="F553" s="7">
        <f t="shared" si="2"/>
        <v>0.23821915881277267</v>
      </c>
      <c r="G553" s="8">
        <v>3521</v>
      </c>
      <c r="H553" s="8">
        <v>3457</v>
      </c>
      <c r="I553" s="8">
        <v>3285</v>
      </c>
      <c r="J553" s="8">
        <v>3203</v>
      </c>
      <c r="K553" s="8">
        <v>3216</v>
      </c>
      <c r="L553" s="8">
        <v>3235</v>
      </c>
      <c r="M553" s="8"/>
      <c r="N553" s="8"/>
      <c r="O553" s="8"/>
      <c r="P553" s="8"/>
      <c r="Q553" s="9">
        <f ca="1">IFERROR(__xludf.DUMMYFUNCTION("GOOGLEFINANCE(C553,""changepct"")"),29.32)</f>
        <v>29.32</v>
      </c>
      <c r="R553" s="8"/>
      <c r="S553" s="8"/>
      <c r="T553" s="8"/>
      <c r="U553" s="8"/>
      <c r="V553" s="8"/>
      <c r="W553" s="8"/>
    </row>
    <row r="554" spans="1:23" ht="14.4">
      <c r="A554" s="3">
        <f>LOOKUP(D554,'AMFI DATA_2023H1'!B:C,'AMFI DATA_2023H1'!C:C)</f>
        <v>780</v>
      </c>
      <c r="B554" s="4" t="s">
        <v>2609</v>
      </c>
      <c r="C554" s="4" t="s">
        <v>2610</v>
      </c>
      <c r="D554" s="5" t="s">
        <v>2611</v>
      </c>
      <c r="E554" s="5">
        <f>LOOKUP(D554,'AMFI DATA_2023H1'!B:D,'AMFI DATA_2023H1'!D:D)</f>
        <v>2055.09</v>
      </c>
      <c r="F554" s="7">
        <f t="shared" si="2"/>
        <v>4.3263312069057758E-2</v>
      </c>
      <c r="G554" s="8">
        <v>2144</v>
      </c>
      <c r="H554" s="8">
        <v>2142</v>
      </c>
      <c r="I554" s="8">
        <v>2124</v>
      </c>
      <c r="J554" s="8">
        <v>2153</v>
      </c>
      <c r="K554" s="8">
        <v>2154</v>
      </c>
      <c r="L554" s="8">
        <v>2149</v>
      </c>
      <c r="M554" s="8"/>
      <c r="N554" s="8"/>
      <c r="O554" s="8"/>
      <c r="P554" s="8"/>
      <c r="Q554" s="9">
        <f ca="1">IFERROR(__xludf.DUMMYFUNCTION("GOOGLEFINANCE(C554,""changepct"")"),-0.45)</f>
        <v>-0.45</v>
      </c>
      <c r="R554" s="8"/>
      <c r="S554" s="8"/>
      <c r="T554" s="8"/>
      <c r="U554" s="8"/>
      <c r="V554" s="8"/>
      <c r="W554" s="8"/>
    </row>
    <row r="555" spans="1:23" ht="14.4">
      <c r="A555" s="3">
        <f>LOOKUP(D555,'AMFI DATA_2023H1'!B:C,'AMFI DATA_2023H1'!C:C)</f>
        <v>2724</v>
      </c>
      <c r="B555" s="4" t="s">
        <v>5353</v>
      </c>
      <c r="C555" s="4" t="s">
        <v>5354</v>
      </c>
      <c r="D555" s="5" t="s">
        <v>5355</v>
      </c>
      <c r="E555" s="5">
        <f>LOOKUP(D555,'AMFI DATA_2023H1'!B:D,'AMFI DATA_2023H1'!D:D)</f>
        <v>44.8</v>
      </c>
      <c r="F555" s="7">
        <f t="shared" si="2"/>
        <v>0.5848214285714286</v>
      </c>
      <c r="G555" s="9">
        <v>71</v>
      </c>
      <c r="H555" s="9">
        <v>70.5</v>
      </c>
      <c r="I555" s="9">
        <v>70.5</v>
      </c>
      <c r="J555" s="9">
        <v>72.099999999999994</v>
      </c>
      <c r="K555" s="9">
        <v>68.8</v>
      </c>
      <c r="L555" s="9">
        <v>68.2</v>
      </c>
      <c r="M555" s="9"/>
      <c r="N555" s="9"/>
      <c r="O555" s="9"/>
      <c r="P555" s="9"/>
      <c r="Q555" s="9">
        <f ca="1">IFERROR(__xludf.DUMMYFUNCTION("GOOGLEFINANCE(C555,""changepct"")"),9.77)</f>
        <v>9.77</v>
      </c>
      <c r="R555" s="9"/>
      <c r="S555" s="9"/>
      <c r="T555" s="9"/>
      <c r="U555" s="9"/>
      <c r="V555" s="9"/>
      <c r="W555" s="9"/>
    </row>
    <row r="556" spans="1:23" ht="14.4">
      <c r="A556" s="3">
        <f>LOOKUP(D556,'AMFI DATA_2023H1'!B:C,'AMFI DATA_2023H1'!C:C)</f>
        <v>2164</v>
      </c>
      <c r="B556" s="4" t="s">
        <v>5078</v>
      </c>
      <c r="C556" s="4" t="s">
        <v>5079</v>
      </c>
      <c r="D556" s="5" t="s">
        <v>5080</v>
      </c>
      <c r="E556" s="5">
        <f>LOOKUP(D556,'AMFI DATA_2023H1'!B:D,'AMFI DATA_2023H1'!D:D)</f>
        <v>109.65</v>
      </c>
      <c r="F556" s="7">
        <f t="shared" si="2"/>
        <v>0.13087095303237573</v>
      </c>
      <c r="G556" s="9">
        <v>124</v>
      </c>
      <c r="H556" s="9">
        <v>124</v>
      </c>
      <c r="I556" s="9">
        <v>126</v>
      </c>
      <c r="J556" s="9">
        <v>124</v>
      </c>
      <c r="K556" s="9">
        <v>126</v>
      </c>
      <c r="L556" s="9">
        <v>127</v>
      </c>
      <c r="M556" s="9"/>
      <c r="N556" s="9"/>
      <c r="O556" s="9"/>
      <c r="P556" s="9"/>
      <c r="Q556" s="9">
        <f ca="1">IFERROR(__xludf.DUMMYFUNCTION("GOOGLEFINANCE(C556,""changepct"")"),5.15)</f>
        <v>5.15</v>
      </c>
      <c r="R556" s="9"/>
      <c r="S556" s="9"/>
      <c r="T556" s="9"/>
      <c r="U556" s="9"/>
      <c r="V556" s="9"/>
      <c r="W556" s="9"/>
    </row>
    <row r="557" spans="1:23" ht="14.4">
      <c r="A557" s="3">
        <f>LOOKUP(D557,'AMFI DATA_2023H1'!B:C,'AMFI DATA_2023H1'!C:C)</f>
        <v>484</v>
      </c>
      <c r="B557" s="4" t="s">
        <v>1347</v>
      </c>
      <c r="C557" s="4" t="s">
        <v>1348</v>
      </c>
      <c r="D557" s="5" t="s">
        <v>1349</v>
      </c>
      <c r="E557" s="5">
        <f>LOOKUP(D557,'AMFI DATA_2023H1'!B:D,'AMFI DATA_2023H1'!D:D)</f>
        <v>5471.46</v>
      </c>
      <c r="F557" s="7">
        <f t="shared" si="2"/>
        <v>0.83022447390641618</v>
      </c>
      <c r="G557" s="8">
        <v>10014</v>
      </c>
      <c r="H557" s="8">
        <v>10012</v>
      </c>
      <c r="I557" s="8">
        <v>9817</v>
      </c>
      <c r="J557" s="8">
        <v>9981</v>
      </c>
      <c r="K557" s="8">
        <v>9992</v>
      </c>
      <c r="L557" s="8">
        <v>9389</v>
      </c>
      <c r="M557" s="8"/>
      <c r="N557" s="8"/>
      <c r="O557" s="8"/>
      <c r="P557" s="8"/>
      <c r="Q557" s="9">
        <f ca="1">IFERROR(__xludf.DUMMYFUNCTION("GOOGLEFINANCE(C557,""changepct"")"),4.34)</f>
        <v>4.34</v>
      </c>
      <c r="R557" s="8"/>
      <c r="S557" s="8"/>
      <c r="T557" s="8"/>
      <c r="U557" s="8"/>
      <c r="V557" s="8"/>
      <c r="W557" s="8"/>
    </row>
    <row r="558" spans="1:23" ht="14.4">
      <c r="A558" s="3">
        <f>LOOKUP(D558,'AMFI DATA_2023H1'!B:C,'AMFI DATA_2023H1'!C:C)</f>
        <v>895</v>
      </c>
      <c r="B558" s="4" t="s">
        <v>2315</v>
      </c>
      <c r="C558" s="4" t="s">
        <v>2316</v>
      </c>
      <c r="D558" s="5" t="s">
        <v>2317</v>
      </c>
      <c r="E558" s="5">
        <f>LOOKUP(D558,'AMFI DATA_2023H1'!B:D,'AMFI DATA_2023H1'!D:D)</f>
        <v>1486.73</v>
      </c>
      <c r="F558" s="7">
        <f t="shared" si="2"/>
        <v>1.1732258042818802</v>
      </c>
      <c r="G558" s="8">
        <v>3231</v>
      </c>
      <c r="H558" s="8">
        <v>3259</v>
      </c>
      <c r="I558" s="8">
        <v>3292</v>
      </c>
      <c r="J558" s="8">
        <v>3317</v>
      </c>
      <c r="K558" s="8">
        <v>3309</v>
      </c>
      <c r="L558" s="8">
        <v>3077</v>
      </c>
      <c r="M558" s="8"/>
      <c r="N558" s="8"/>
      <c r="O558" s="8"/>
      <c r="P558" s="8"/>
      <c r="Q558" s="9">
        <f ca="1">IFERROR(__xludf.DUMMYFUNCTION("GOOGLEFINANCE(C558,""changepct"")"),4.55)</f>
        <v>4.55</v>
      </c>
      <c r="R558" s="8"/>
      <c r="S558" s="8"/>
      <c r="T558" s="8"/>
      <c r="U558" s="8"/>
      <c r="V558" s="8"/>
      <c r="W558" s="8"/>
    </row>
    <row r="559" spans="1:23" ht="14.4">
      <c r="A559" s="3">
        <f>LOOKUP(D559,'AMFI DATA_2023H1'!B:C,'AMFI DATA_2023H1'!C:C)</f>
        <v>455</v>
      </c>
      <c r="B559" s="4" t="s">
        <v>1602</v>
      </c>
      <c r="C559" s="4" t="s">
        <v>1603</v>
      </c>
      <c r="D559" s="5" t="s">
        <v>1604</v>
      </c>
      <c r="E559" s="5">
        <f>LOOKUP(D559,'AMFI DATA_2023H1'!B:D,'AMFI DATA_2023H1'!D:D)</f>
        <v>6092.58</v>
      </c>
      <c r="F559" s="7">
        <f t="shared" si="2"/>
        <v>0.11726066789438949</v>
      </c>
      <c r="G559" s="8">
        <v>6807</v>
      </c>
      <c r="H559" s="8">
        <v>6855</v>
      </c>
      <c r="I559" s="8">
        <v>6881</v>
      </c>
      <c r="J559" s="8">
        <v>6783</v>
      </c>
      <c r="K559" s="8">
        <v>6805</v>
      </c>
      <c r="L559" s="8">
        <v>6877</v>
      </c>
      <c r="M559" s="8"/>
      <c r="N559" s="8"/>
      <c r="O559" s="8"/>
      <c r="P559" s="8"/>
      <c r="Q559" s="9">
        <f ca="1">IFERROR(__xludf.DUMMYFUNCTION("GOOGLEFINANCE(C559,""changepct"")"),-1.08)</f>
        <v>-1.08</v>
      </c>
      <c r="R559" s="8"/>
      <c r="S559" s="8"/>
      <c r="T559" s="8"/>
      <c r="U559" s="8"/>
      <c r="V559" s="8"/>
      <c r="W559" s="8"/>
    </row>
    <row r="560" spans="1:23" ht="14.4">
      <c r="A560" s="3">
        <f>LOOKUP(D560,'AMFI DATA_2023H1'!B:C,'AMFI DATA_2023H1'!C:C)</f>
        <v>632</v>
      </c>
      <c r="B560" s="4" t="s">
        <v>1911</v>
      </c>
      <c r="C560" s="4" t="s">
        <v>1912</v>
      </c>
      <c r="D560" s="5" t="s">
        <v>1913</v>
      </c>
      <c r="E560" s="5">
        <f>LOOKUP(D560,'AMFI DATA_2023H1'!B:D,'AMFI DATA_2023H1'!D:D)</f>
        <v>3252.77</v>
      </c>
      <c r="F560" s="7">
        <f t="shared" si="2"/>
        <v>0.60909009859289154</v>
      </c>
      <c r="G560" s="8">
        <v>5234</v>
      </c>
      <c r="H560" s="8">
        <v>5194</v>
      </c>
      <c r="I560" s="8">
        <v>5074</v>
      </c>
      <c r="J560" s="8">
        <v>5046</v>
      </c>
      <c r="K560" s="8">
        <v>5049</v>
      </c>
      <c r="L560" s="8">
        <v>5026</v>
      </c>
      <c r="M560" s="8"/>
      <c r="N560" s="8"/>
      <c r="O560" s="8"/>
      <c r="P560" s="8"/>
      <c r="Q560" s="9">
        <f ca="1">IFERROR(__xludf.DUMMYFUNCTION("GOOGLEFINANCE(C560,""changepct"")"),3.95)</f>
        <v>3.95</v>
      </c>
      <c r="R560" s="8"/>
      <c r="S560" s="8"/>
      <c r="T560" s="8"/>
      <c r="U560" s="8"/>
      <c r="V560" s="8"/>
      <c r="W560" s="8"/>
    </row>
    <row r="561" spans="1:23" ht="14.4">
      <c r="A561" s="3">
        <f>LOOKUP(D561,'AMFI DATA_2023H1'!B:C,'AMFI DATA_2023H1'!C:C)</f>
        <v>2105</v>
      </c>
      <c r="B561" s="4" t="s">
        <v>5042</v>
      </c>
      <c r="C561" s="4" t="s">
        <v>5043</v>
      </c>
      <c r="D561" s="5" t="s">
        <v>5044</v>
      </c>
      <c r="E561" s="5">
        <f>LOOKUP(D561,'AMFI DATA_2023H1'!B:D,'AMFI DATA_2023H1'!D:D)</f>
        <v>119.92</v>
      </c>
      <c r="F561" s="7">
        <f t="shared" si="2"/>
        <v>0.53435623749166106</v>
      </c>
      <c r="G561" s="9">
        <v>184</v>
      </c>
      <c r="H561" s="9">
        <v>192</v>
      </c>
      <c r="I561" s="9">
        <v>192</v>
      </c>
      <c r="J561" s="9">
        <v>192</v>
      </c>
      <c r="K561" s="9">
        <v>191</v>
      </c>
      <c r="L561" s="9">
        <v>183</v>
      </c>
      <c r="M561" s="9"/>
      <c r="N561" s="9"/>
      <c r="O561" s="9"/>
      <c r="P561" s="9"/>
      <c r="Q561" s="9">
        <f ca="1">IFERROR(__xludf.DUMMYFUNCTION("GOOGLEFINANCE(C561,""changepct"")"),-4.84)</f>
        <v>-4.84</v>
      </c>
      <c r="R561" s="9"/>
      <c r="S561" s="9"/>
      <c r="T561" s="9"/>
      <c r="U561" s="9"/>
      <c r="V561" s="9"/>
      <c r="W561" s="9"/>
    </row>
    <row r="562" spans="1:23" ht="14.4">
      <c r="A562" s="3">
        <f>LOOKUP(D562,'AMFI DATA_2023H1'!B:C,'AMFI DATA_2023H1'!C:C)</f>
        <v>1100</v>
      </c>
      <c r="B562" s="4" t="s">
        <v>3203</v>
      </c>
      <c r="C562" s="4" t="s">
        <v>3204</v>
      </c>
      <c r="D562" s="5" t="s">
        <v>3205</v>
      </c>
      <c r="E562" s="5">
        <f>LOOKUP(D562,'AMFI DATA_2023H1'!B:D,'AMFI DATA_2023H1'!D:D)</f>
        <v>868.97</v>
      </c>
      <c r="F562" s="7">
        <f t="shared" si="2"/>
        <v>0.74804653785516173</v>
      </c>
      <c r="G562" s="8">
        <v>1519</v>
      </c>
      <c r="H562" s="8">
        <v>1531</v>
      </c>
      <c r="I562" s="8">
        <v>1534</v>
      </c>
      <c r="J562" s="8">
        <v>1508</v>
      </c>
      <c r="K562" s="8">
        <v>1511</v>
      </c>
      <c r="L562" s="8">
        <v>1483</v>
      </c>
      <c r="M562" s="8"/>
      <c r="N562" s="8"/>
      <c r="O562" s="8"/>
      <c r="P562" s="8"/>
      <c r="Q562" s="9">
        <f ca="1">IFERROR(__xludf.DUMMYFUNCTION("GOOGLEFINANCE(C562,""changepct"")"),0.12)</f>
        <v>0.12</v>
      </c>
      <c r="R562" s="8"/>
      <c r="S562" s="8"/>
      <c r="T562" s="8"/>
      <c r="U562" s="8"/>
      <c r="V562" s="8"/>
      <c r="W562" s="8"/>
    </row>
    <row r="563" spans="1:23" ht="14.4">
      <c r="A563" s="3">
        <f>LOOKUP(D563,'AMFI DATA_2023H1'!B:C,'AMFI DATA_2023H1'!C:C)</f>
        <v>589</v>
      </c>
      <c r="B563" s="4" t="s">
        <v>1305</v>
      </c>
      <c r="C563" s="4" t="s">
        <v>1306</v>
      </c>
      <c r="D563" s="5" t="s">
        <v>1307</v>
      </c>
      <c r="E563" s="5">
        <f>LOOKUP(D563,'AMFI DATA_2023H1'!B:D,'AMFI DATA_2023H1'!D:D)</f>
        <v>3862.49</v>
      </c>
      <c r="F563" s="7">
        <f t="shared" si="2"/>
        <v>2.5034394911054787</v>
      </c>
      <c r="G563" s="8">
        <v>13532</v>
      </c>
      <c r="H563" s="8">
        <v>12888</v>
      </c>
      <c r="I563" s="8">
        <v>12162</v>
      </c>
      <c r="J563" s="8">
        <v>12170</v>
      </c>
      <c r="K563" s="8">
        <v>12183</v>
      </c>
      <c r="L563" s="8">
        <v>11873</v>
      </c>
      <c r="M563" s="8"/>
      <c r="N563" s="8"/>
      <c r="O563" s="8"/>
      <c r="P563" s="8"/>
      <c r="Q563" s="9">
        <f ca="1">IFERROR(__xludf.DUMMYFUNCTION("GOOGLEFINANCE(C563,""changepct"")"),-1.22)</f>
        <v>-1.22</v>
      </c>
      <c r="R563" s="8"/>
      <c r="S563" s="8"/>
      <c r="T563" s="8"/>
      <c r="U563" s="8"/>
      <c r="V563" s="8"/>
      <c r="W563" s="8"/>
    </row>
    <row r="564" spans="1:23" ht="14.4">
      <c r="A564" s="3">
        <f>LOOKUP(D564,'AMFI DATA_2023H1'!B:C,'AMFI DATA_2023H1'!C:C)</f>
        <v>1566</v>
      </c>
      <c r="B564" s="4" t="s">
        <v>4157</v>
      </c>
      <c r="C564" s="4" t="s">
        <v>4158</v>
      </c>
      <c r="D564" s="5" t="s">
        <v>4159</v>
      </c>
      <c r="E564" s="5">
        <f>LOOKUP(D564,'AMFI DATA_2023H1'!B:D,'AMFI DATA_2023H1'!D:D)</f>
        <v>307.10000000000002</v>
      </c>
      <c r="F564" s="7">
        <f t="shared" si="2"/>
        <v>0.54021491370888941</v>
      </c>
      <c r="G564" s="9">
        <v>473</v>
      </c>
      <c r="H564" s="9">
        <v>485</v>
      </c>
      <c r="I564" s="9">
        <v>477</v>
      </c>
      <c r="J564" s="9">
        <v>496</v>
      </c>
      <c r="K564" s="9">
        <v>487</v>
      </c>
      <c r="L564" s="9">
        <v>472</v>
      </c>
      <c r="M564" s="9"/>
      <c r="N564" s="9"/>
      <c r="O564" s="9"/>
      <c r="P564" s="9"/>
      <c r="Q564" s="9">
        <f ca="1">IFERROR(__xludf.DUMMYFUNCTION("GOOGLEFINANCE(C564,""changepct"")"),2.41)</f>
        <v>2.41</v>
      </c>
      <c r="R564" s="9"/>
      <c r="S564" s="9"/>
      <c r="T564" s="9"/>
      <c r="U564" s="9"/>
      <c r="V564" s="9"/>
      <c r="W564" s="9"/>
    </row>
    <row r="565" spans="1:23" ht="14.4">
      <c r="A565" s="3">
        <f>LOOKUP(D565,'AMFI DATA_2023H1'!B:C,'AMFI DATA_2023H1'!C:C)</f>
        <v>1932</v>
      </c>
      <c r="B565" s="4" t="s">
        <v>4280</v>
      </c>
      <c r="C565" s="4" t="s">
        <v>4281</v>
      </c>
      <c r="D565" s="5" t="s">
        <v>4282</v>
      </c>
      <c r="E565" s="5">
        <f>LOOKUP(D565,'AMFI DATA_2023H1'!B:D,'AMFI DATA_2023H1'!D:D)</f>
        <v>159.18</v>
      </c>
      <c r="F565" s="7">
        <f t="shared" si="2"/>
        <v>1.990325417766051</v>
      </c>
      <c r="G565" s="9">
        <v>476</v>
      </c>
      <c r="H565" s="9">
        <v>471</v>
      </c>
      <c r="I565" s="9">
        <v>481</v>
      </c>
      <c r="J565" s="9">
        <v>484</v>
      </c>
      <c r="K565" s="9">
        <v>484</v>
      </c>
      <c r="L565" s="9">
        <v>494</v>
      </c>
      <c r="M565" s="9"/>
      <c r="N565" s="9"/>
      <c r="O565" s="9"/>
      <c r="P565" s="9"/>
      <c r="Q565" s="9">
        <f ca="1">IFERROR(__xludf.DUMMYFUNCTION("GOOGLEFINANCE(C565,""changepct"")"),-1.06)</f>
        <v>-1.06</v>
      </c>
      <c r="R565" s="9"/>
      <c r="S565" s="9"/>
      <c r="T565" s="9"/>
      <c r="U565" s="9"/>
      <c r="V565" s="9"/>
      <c r="W565" s="9"/>
    </row>
    <row r="566" spans="1:23" ht="14.4">
      <c r="A566" s="3">
        <f>LOOKUP(D566,'AMFI DATA_2023H1'!B:C,'AMFI DATA_2023H1'!C:C)</f>
        <v>174</v>
      </c>
      <c r="B566" s="4" t="s">
        <v>492</v>
      </c>
      <c r="C566" s="4" t="s">
        <v>493</v>
      </c>
      <c r="D566" s="5" t="s">
        <v>494</v>
      </c>
      <c r="E566" s="5">
        <f>LOOKUP(D566,'AMFI DATA_2023H1'!B:D,'AMFI DATA_2023H1'!D:D)</f>
        <v>28773.64</v>
      </c>
      <c r="F566" s="7">
        <f t="shared" si="2"/>
        <v>0.90111504835675982</v>
      </c>
      <c r="G566" s="8">
        <v>54702</v>
      </c>
      <c r="H566" s="8">
        <v>54027</v>
      </c>
      <c r="I566" s="8">
        <v>55185</v>
      </c>
      <c r="J566" s="8">
        <v>55079</v>
      </c>
      <c r="K566" s="8">
        <v>54842</v>
      </c>
      <c r="L566" s="8">
        <v>55114</v>
      </c>
      <c r="M566" s="8"/>
      <c r="N566" s="8"/>
      <c r="O566" s="8"/>
      <c r="P566" s="8"/>
      <c r="Q566" s="9">
        <f ca="1">IFERROR(__xludf.DUMMYFUNCTION("GOOGLEFINANCE(C566,""changepct"")"),20.43)</f>
        <v>20.43</v>
      </c>
      <c r="R566" s="8"/>
      <c r="S566" s="8"/>
      <c r="T566" s="8"/>
      <c r="U566" s="8"/>
      <c r="V566" s="8"/>
      <c r="W566" s="8"/>
    </row>
    <row r="567" spans="1:23" ht="14.4">
      <c r="A567" s="3">
        <f>LOOKUP(D567,'AMFI DATA_2023H1'!B:C,'AMFI DATA_2023H1'!C:C)</f>
        <v>1659</v>
      </c>
      <c r="B567" s="4" t="s">
        <v>4562</v>
      </c>
      <c r="C567" s="4" t="s">
        <v>4563</v>
      </c>
      <c r="D567" s="5" t="s">
        <v>4564</v>
      </c>
      <c r="E567" s="5">
        <f>LOOKUP(D567,'AMFI DATA_2023H1'!B:D,'AMFI DATA_2023H1'!D:D)</f>
        <v>255.92</v>
      </c>
      <c r="F567" s="7">
        <f t="shared" si="2"/>
        <v>-0.12863394810878392</v>
      </c>
      <c r="G567" s="9">
        <v>223</v>
      </c>
      <c r="H567" s="9">
        <v>226</v>
      </c>
      <c r="I567" s="9">
        <v>224</v>
      </c>
      <c r="J567" s="9">
        <v>218</v>
      </c>
      <c r="K567" s="9">
        <v>216</v>
      </c>
      <c r="L567" s="9">
        <v>217</v>
      </c>
      <c r="M567" s="9"/>
      <c r="N567" s="9"/>
      <c r="O567" s="9"/>
      <c r="P567" s="9"/>
      <c r="Q567" s="9">
        <f ca="1">IFERROR(__xludf.DUMMYFUNCTION("GOOGLEFINANCE(C567,""changepct"")"),10.2)</f>
        <v>10.199999999999999</v>
      </c>
      <c r="R567" s="9"/>
      <c r="S567" s="9"/>
      <c r="T567" s="9"/>
      <c r="U567" s="9"/>
      <c r="V567" s="9"/>
      <c r="W567" s="9"/>
    </row>
    <row r="568" spans="1:23" ht="14.4">
      <c r="A568" s="3">
        <f>LOOKUP(D568,'AMFI DATA_2023H1'!B:C,'AMFI DATA_2023H1'!C:C)</f>
        <v>932</v>
      </c>
      <c r="B568" s="4" t="s">
        <v>3149</v>
      </c>
      <c r="C568" s="4" t="s">
        <v>3150</v>
      </c>
      <c r="D568" s="5" t="s">
        <v>3151</v>
      </c>
      <c r="E568" s="5">
        <f>LOOKUP(D568,'AMFI DATA_2023H1'!B:D,'AMFI DATA_2023H1'!D:D)</f>
        <v>1372.91</v>
      </c>
      <c r="F568" s="7">
        <f t="shared" si="2"/>
        <v>0.18507403981324333</v>
      </c>
      <c r="G568" s="8">
        <v>1627</v>
      </c>
      <c r="H568" s="8">
        <v>1550</v>
      </c>
      <c r="I568" s="8">
        <v>1593</v>
      </c>
      <c r="J568" s="8">
        <v>1596</v>
      </c>
      <c r="K568" s="8">
        <v>1578</v>
      </c>
      <c r="L568" s="8">
        <v>1578</v>
      </c>
      <c r="M568" s="8"/>
      <c r="N568" s="8"/>
      <c r="O568" s="8"/>
      <c r="P568" s="8"/>
      <c r="Q568" s="9">
        <f ca="1">IFERROR(__xludf.DUMMYFUNCTION("GOOGLEFINANCE(C568,""changepct"")"),-2.51)</f>
        <v>-2.5099999999999998</v>
      </c>
      <c r="R568" s="8"/>
      <c r="S568" s="8"/>
      <c r="T568" s="8"/>
      <c r="U568" s="8"/>
      <c r="V568" s="8"/>
      <c r="W568" s="8"/>
    </row>
    <row r="569" spans="1:23" ht="14.4">
      <c r="A569" s="3">
        <f>LOOKUP(D569,'AMFI DATA_2023H1'!B:C,'AMFI DATA_2023H1'!C:C)</f>
        <v>932</v>
      </c>
      <c r="B569" s="4" t="s">
        <v>2477</v>
      </c>
      <c r="C569" s="4" t="s">
        <v>2478</v>
      </c>
      <c r="D569" s="5" t="s">
        <v>2479</v>
      </c>
      <c r="E569" s="5">
        <f>LOOKUP(D569,'AMFI DATA_2023H1'!B:D,'AMFI DATA_2023H1'!D:D)</f>
        <v>1372.91</v>
      </c>
      <c r="F569" s="7">
        <f t="shared" si="2"/>
        <v>1.3679629400324855</v>
      </c>
      <c r="G569" s="8">
        <v>3251</v>
      </c>
      <c r="H569" s="8">
        <v>3193</v>
      </c>
      <c r="I569" s="8">
        <v>3041</v>
      </c>
      <c r="J569" s="8">
        <v>2909</v>
      </c>
      <c r="K569" s="8">
        <v>2907</v>
      </c>
      <c r="L569" s="8">
        <v>2912</v>
      </c>
      <c r="M569" s="8"/>
      <c r="N569" s="8"/>
      <c r="O569" s="8"/>
      <c r="P569" s="8"/>
      <c r="Q569" s="9">
        <f ca="1">IFERROR(__xludf.DUMMYFUNCTION("GOOGLEFINANCE(C569,""changepct"")"),4.16)</f>
        <v>4.16</v>
      </c>
      <c r="R569" s="8"/>
      <c r="S569" s="8"/>
      <c r="T569" s="8"/>
      <c r="U569" s="8"/>
      <c r="V569" s="8"/>
      <c r="W569" s="8"/>
    </row>
    <row r="570" spans="1:23" ht="14.4">
      <c r="A570" s="3">
        <f>LOOKUP(D570,'AMFI DATA_2023H1'!B:C,'AMFI DATA_2023H1'!C:C)</f>
        <v>1440</v>
      </c>
      <c r="B570" s="4" t="s">
        <v>3995</v>
      </c>
      <c r="C570" s="4" t="s">
        <v>3996</v>
      </c>
      <c r="D570" s="5" t="s">
        <v>3997</v>
      </c>
      <c r="E570" s="5">
        <f>LOOKUP(D570,'AMFI DATA_2023H1'!B:D,'AMFI DATA_2023H1'!D:D)</f>
        <v>387.92</v>
      </c>
      <c r="F570" s="7">
        <f t="shared" si="2"/>
        <v>0.2863477005568158</v>
      </c>
      <c r="G570" s="9">
        <v>499</v>
      </c>
      <c r="H570" s="9">
        <v>496</v>
      </c>
      <c r="I570" s="9">
        <v>492</v>
      </c>
      <c r="J570" s="9">
        <v>502</v>
      </c>
      <c r="K570" s="9">
        <v>490</v>
      </c>
      <c r="L570" s="9">
        <v>491</v>
      </c>
      <c r="M570" s="9"/>
      <c r="N570" s="9"/>
      <c r="O570" s="9"/>
      <c r="P570" s="9"/>
      <c r="Q570" s="9">
        <f ca="1">IFERROR(__xludf.DUMMYFUNCTION("GOOGLEFINANCE(C570,""changepct"")"),5.08)</f>
        <v>5.08</v>
      </c>
      <c r="R570" s="9"/>
      <c r="S570" s="9"/>
      <c r="T570" s="9"/>
      <c r="U570" s="9"/>
      <c r="V570" s="9"/>
      <c r="W570" s="9"/>
    </row>
    <row r="571" spans="1:23" ht="14.4">
      <c r="A571" s="3">
        <f>LOOKUP(D571,'AMFI DATA_2023H1'!B:C,'AMFI DATA_2023H1'!C:C)</f>
        <v>729</v>
      </c>
      <c r="B571" s="4" t="s">
        <v>1704</v>
      </c>
      <c r="C571" s="4" t="s">
        <v>1705</v>
      </c>
      <c r="D571" s="5" t="s">
        <v>1706</v>
      </c>
      <c r="E571" s="5">
        <f>LOOKUP(D571,'AMFI DATA_2023H1'!B:D,'AMFI DATA_2023H1'!D:D)</f>
        <v>2352.62</v>
      </c>
      <c r="F571" s="7">
        <f t="shared" si="2"/>
        <v>1.5639499791721572</v>
      </c>
      <c r="G571" s="8">
        <v>6032</v>
      </c>
      <c r="H571" s="8">
        <v>5978</v>
      </c>
      <c r="I571" s="8">
        <v>5919</v>
      </c>
      <c r="J571" s="8">
        <v>6062</v>
      </c>
      <c r="K571" s="8">
        <v>5876</v>
      </c>
      <c r="L571" s="8">
        <v>5958</v>
      </c>
      <c r="M571" s="8"/>
      <c r="N571" s="8"/>
      <c r="O571" s="8"/>
      <c r="P571" s="8"/>
      <c r="Q571" s="9">
        <f ca="1">IFERROR(__xludf.DUMMYFUNCTION("GOOGLEFINANCE(C571,""changepct"")"),1.58)</f>
        <v>1.58</v>
      </c>
      <c r="R571" s="8"/>
      <c r="S571" s="8"/>
      <c r="T571" s="8"/>
      <c r="U571" s="8"/>
      <c r="V571" s="8"/>
      <c r="W571" s="8"/>
    </row>
    <row r="572" spans="1:23" ht="14.4">
      <c r="A572" s="3">
        <f>LOOKUP(D572,'AMFI DATA_2023H1'!B:C,'AMFI DATA_2023H1'!C:C)</f>
        <v>1032</v>
      </c>
      <c r="B572" s="4" t="s">
        <v>3080</v>
      </c>
      <c r="C572" s="4" t="s">
        <v>3081</v>
      </c>
      <c r="D572" s="5" t="s">
        <v>3082</v>
      </c>
      <c r="E572" s="5">
        <f>LOOKUP(D572,'AMFI DATA_2023H1'!B:D,'AMFI DATA_2023H1'!D:D)</f>
        <v>1068.18</v>
      </c>
      <c r="F572" s="7">
        <f t="shared" si="2"/>
        <v>0.7908966653560261</v>
      </c>
      <c r="G572" s="8">
        <v>1913</v>
      </c>
      <c r="H572" s="8">
        <v>1872</v>
      </c>
      <c r="I572" s="8">
        <v>1866</v>
      </c>
      <c r="J572" s="8">
        <v>1957</v>
      </c>
      <c r="K572" s="8">
        <v>1903</v>
      </c>
      <c r="L572" s="8">
        <v>1895</v>
      </c>
      <c r="M572" s="8"/>
      <c r="N572" s="8"/>
      <c r="O572" s="8"/>
      <c r="P572" s="8"/>
      <c r="Q572" s="9">
        <f ca="1">IFERROR(__xludf.DUMMYFUNCTION("GOOGLEFINANCE(C572,""changepct"")"),2.2)</f>
        <v>2.2000000000000002</v>
      </c>
      <c r="R572" s="8"/>
      <c r="S572" s="8"/>
      <c r="T572" s="8"/>
      <c r="U572" s="8"/>
      <c r="V572" s="8"/>
      <c r="W572" s="8"/>
    </row>
    <row r="573" spans="1:23" ht="14.4">
      <c r="A573" s="3">
        <f>LOOKUP(D573,'AMFI DATA_2023H1'!B:C,'AMFI DATA_2023H1'!C:C)</f>
        <v>1227</v>
      </c>
      <c r="B573" s="4" t="s">
        <v>3449</v>
      </c>
      <c r="C573" s="4" t="s">
        <v>3450</v>
      </c>
      <c r="D573" s="5" t="s">
        <v>3451</v>
      </c>
      <c r="E573" s="5">
        <f>LOOKUP(D573,'AMFI DATA_2023H1'!B:D,'AMFI DATA_2023H1'!D:D)</f>
        <v>640.83000000000004</v>
      </c>
      <c r="F573" s="7">
        <f t="shared" si="2"/>
        <v>0.66970959536850638</v>
      </c>
      <c r="G573" s="8">
        <v>1070</v>
      </c>
      <c r="H573" s="8">
        <v>1065</v>
      </c>
      <c r="I573" s="8">
        <v>1070</v>
      </c>
      <c r="J573" s="8">
        <v>1083</v>
      </c>
      <c r="K573" s="8">
        <v>1116</v>
      </c>
      <c r="L573" s="8">
        <v>1098</v>
      </c>
      <c r="M573" s="8"/>
      <c r="N573" s="8"/>
      <c r="O573" s="8"/>
      <c r="P573" s="8"/>
      <c r="Q573" s="9">
        <f ca="1">IFERROR(__xludf.DUMMYFUNCTION("GOOGLEFINANCE(C573,""changepct"")"),2.98)</f>
        <v>2.98</v>
      </c>
      <c r="R573" s="8"/>
      <c r="S573" s="8"/>
      <c r="T573" s="8"/>
      <c r="U573" s="8"/>
      <c r="V573" s="8"/>
      <c r="W573" s="8"/>
    </row>
    <row r="574" spans="1:23" ht="14.4">
      <c r="A574" s="3">
        <f>LOOKUP(D574,'AMFI DATA_2023H1'!B:C,'AMFI DATA_2023H1'!C:C)</f>
        <v>524</v>
      </c>
      <c r="B574" s="4" t="s">
        <v>1764</v>
      </c>
      <c r="C574" s="4" t="s">
        <v>1765</v>
      </c>
      <c r="D574" s="5" t="s">
        <v>1766</v>
      </c>
      <c r="E574" s="5">
        <f>LOOKUP(D574,'AMFI DATA_2023H1'!B:D,'AMFI DATA_2023H1'!D:D)</f>
        <v>4753.45</v>
      </c>
      <c r="F574" s="7">
        <f t="shared" si="2"/>
        <v>0.21995603193470004</v>
      </c>
      <c r="G574" s="8">
        <v>5799</v>
      </c>
      <c r="H574" s="8">
        <v>5592</v>
      </c>
      <c r="I574" s="8">
        <v>5355</v>
      </c>
      <c r="J574" s="8">
        <v>5362</v>
      </c>
      <c r="K574" s="8">
        <v>5443</v>
      </c>
      <c r="L574" s="8">
        <v>5397</v>
      </c>
      <c r="M574" s="8"/>
      <c r="N574" s="8"/>
      <c r="O574" s="8"/>
      <c r="P574" s="8"/>
      <c r="Q574" s="9">
        <f ca="1">IFERROR(__xludf.DUMMYFUNCTION("GOOGLEFINANCE(C574,""changepct"")"),-1.41)</f>
        <v>-1.41</v>
      </c>
      <c r="R574" s="8"/>
      <c r="S574" s="8"/>
      <c r="T574" s="8"/>
      <c r="U574" s="8"/>
      <c r="V574" s="8"/>
      <c r="W574" s="8"/>
    </row>
    <row r="575" spans="1:23" ht="14.4">
      <c r="A575" s="3">
        <f>LOOKUP(D575,'AMFI DATA_2023H1'!B:C,'AMFI DATA_2023H1'!C:C)</f>
        <v>1231</v>
      </c>
      <c r="B575" s="4" t="s">
        <v>3668</v>
      </c>
      <c r="C575" s="4" t="s">
        <v>3669</v>
      </c>
      <c r="D575" s="5" t="s">
        <v>3670</v>
      </c>
      <c r="E575" s="5">
        <f>LOOKUP(D575,'AMFI DATA_2023H1'!B:D,'AMFI DATA_2023H1'!D:D)</f>
        <v>632.79</v>
      </c>
      <c r="F575" s="7">
        <f t="shared" si="2"/>
        <v>6.8284897043253023E-2</v>
      </c>
      <c r="G575" s="9">
        <v>676</v>
      </c>
      <c r="H575" s="9">
        <v>663</v>
      </c>
      <c r="I575" s="9">
        <v>672</v>
      </c>
      <c r="J575" s="9">
        <v>662</v>
      </c>
      <c r="K575" s="9">
        <v>663</v>
      </c>
      <c r="L575" s="9">
        <v>659</v>
      </c>
      <c r="M575" s="9"/>
      <c r="N575" s="9"/>
      <c r="O575" s="9"/>
      <c r="P575" s="9"/>
      <c r="Q575" s="9">
        <f ca="1">IFERROR(__xludf.DUMMYFUNCTION("GOOGLEFINANCE(C575,""changepct"")"),1.35)</f>
        <v>1.35</v>
      </c>
      <c r="R575" s="9"/>
      <c r="S575" s="9"/>
      <c r="T575" s="9"/>
      <c r="U575" s="9"/>
      <c r="V575" s="9"/>
      <c r="W575" s="9"/>
    </row>
    <row r="576" spans="1:23" ht="14.4">
      <c r="A576" s="3">
        <f>LOOKUP(D576,'AMFI DATA_2023H1'!B:C,'AMFI DATA_2023H1'!C:C)</f>
        <v>1076</v>
      </c>
      <c r="B576" s="4" t="s">
        <v>3332</v>
      </c>
      <c r="C576" s="4" t="s">
        <v>3333</v>
      </c>
      <c r="D576" s="5" t="s">
        <v>3334</v>
      </c>
      <c r="E576" s="5">
        <f>LOOKUP(D576,'AMFI DATA_2023H1'!B:D,'AMFI DATA_2023H1'!D:D)</f>
        <v>953.74</v>
      </c>
      <c r="F576" s="7">
        <f t="shared" si="2"/>
        <v>0.25191351940780504</v>
      </c>
      <c r="G576" s="8">
        <v>1194</v>
      </c>
      <c r="H576" s="8">
        <v>1150</v>
      </c>
      <c r="I576" s="8">
        <v>1159</v>
      </c>
      <c r="J576" s="8">
        <v>1179</v>
      </c>
      <c r="K576" s="8">
        <v>1166</v>
      </c>
      <c r="L576" s="8">
        <v>1160</v>
      </c>
      <c r="M576" s="8"/>
      <c r="N576" s="8"/>
      <c r="O576" s="8"/>
      <c r="P576" s="8"/>
      <c r="Q576" s="9">
        <f ca="1">IFERROR(__xludf.DUMMYFUNCTION("GOOGLEFINANCE(C576,""changepct"")"),9.68)</f>
        <v>9.68</v>
      </c>
      <c r="R576" s="8"/>
      <c r="S576" s="8"/>
      <c r="T576" s="8"/>
      <c r="U576" s="8"/>
      <c r="V576" s="8"/>
      <c r="W576" s="8"/>
    </row>
    <row r="577" spans="1:23" ht="14.4">
      <c r="A577" s="3">
        <f>LOOKUP(D577,'AMFI DATA_2023H1'!B:C,'AMFI DATA_2023H1'!C:C)</f>
        <v>1989</v>
      </c>
      <c r="B577" s="4" t="s">
        <v>4742</v>
      </c>
      <c r="C577" s="4" t="s">
        <v>4743</v>
      </c>
      <c r="D577" s="5" t="s">
        <v>4744</v>
      </c>
      <c r="E577" s="5">
        <f>LOOKUP(D577,'AMFI DATA_2023H1'!B:D,'AMFI DATA_2023H1'!D:D)</f>
        <v>146.6</v>
      </c>
      <c r="F577" s="7">
        <f t="shared" si="2"/>
        <v>0.66439290586630295</v>
      </c>
      <c r="G577" s="9">
        <v>244</v>
      </c>
      <c r="H577" s="9">
        <v>237</v>
      </c>
      <c r="I577" s="9">
        <v>241</v>
      </c>
      <c r="J577" s="9">
        <v>240</v>
      </c>
      <c r="K577" s="9">
        <v>237</v>
      </c>
      <c r="L577" s="9">
        <v>245</v>
      </c>
      <c r="M577" s="9"/>
      <c r="N577" s="9"/>
      <c r="O577" s="9"/>
      <c r="P577" s="9"/>
      <c r="Q577" s="9">
        <f ca="1">IFERROR(__xludf.DUMMYFUNCTION("GOOGLEFINANCE(C577,""changepct"")"),5.36)</f>
        <v>5.36</v>
      </c>
      <c r="R577" s="9"/>
      <c r="S577" s="9"/>
      <c r="T577" s="9"/>
      <c r="U577" s="9"/>
      <c r="V577" s="9"/>
      <c r="W577" s="9"/>
    </row>
    <row r="578" spans="1:23" ht="14.4">
      <c r="A578" s="3">
        <f>LOOKUP(D578,'AMFI DATA_2023H1'!B:C,'AMFI DATA_2023H1'!C:C)</f>
        <v>271</v>
      </c>
      <c r="B578" s="4" t="s">
        <v>825</v>
      </c>
      <c r="C578" s="4" t="s">
        <v>826</v>
      </c>
      <c r="D578" s="5" t="s">
        <v>827</v>
      </c>
      <c r="E578" s="5">
        <f>LOOKUP(D578,'AMFI DATA_2023H1'!B:D,'AMFI DATA_2023H1'!D:D)</f>
        <v>15077.71</v>
      </c>
      <c r="F578" s="7">
        <f t="shared" si="2"/>
        <v>0.39371297100156455</v>
      </c>
      <c r="G578" s="8">
        <v>21014</v>
      </c>
      <c r="H578" s="8">
        <v>21206</v>
      </c>
      <c r="I578" s="8">
        <v>21265</v>
      </c>
      <c r="J578" s="8">
        <v>19963</v>
      </c>
      <c r="K578" s="8">
        <v>19884</v>
      </c>
      <c r="L578" s="8">
        <v>20013</v>
      </c>
      <c r="M578" s="8"/>
      <c r="N578" s="8"/>
      <c r="O578" s="8"/>
      <c r="P578" s="8"/>
      <c r="Q578" s="9">
        <f ca="1">IFERROR(__xludf.DUMMYFUNCTION("GOOGLEFINANCE(C578,""changepct"")"),0.84)</f>
        <v>0.84</v>
      </c>
      <c r="R578" s="8"/>
      <c r="S578" s="8"/>
      <c r="T578" s="8"/>
      <c r="U578" s="8"/>
      <c r="V578" s="8"/>
      <c r="W578" s="8"/>
    </row>
    <row r="579" spans="1:23" ht="14.4">
      <c r="A579" s="3">
        <f>LOOKUP(D579,'AMFI DATA_2023H1'!B:C,'AMFI DATA_2023H1'!C:C)</f>
        <v>1790</v>
      </c>
      <c r="B579" s="4" t="s">
        <v>4610</v>
      </c>
      <c r="C579" s="4" t="s">
        <v>4611</v>
      </c>
      <c r="D579" s="5" t="s">
        <v>4612</v>
      </c>
      <c r="E579" s="5">
        <f>LOOKUP(D579,'AMFI DATA_2023H1'!B:D,'AMFI DATA_2023H1'!D:D)</f>
        <v>199.73</v>
      </c>
      <c r="F579" s="7">
        <f t="shared" si="2"/>
        <v>0.24167626295498934</v>
      </c>
      <c r="G579" s="9">
        <v>248</v>
      </c>
      <c r="H579" s="9">
        <v>250</v>
      </c>
      <c r="I579" s="9">
        <v>251</v>
      </c>
      <c r="J579" s="9">
        <v>254</v>
      </c>
      <c r="K579" s="9">
        <v>256</v>
      </c>
      <c r="L579" s="9">
        <v>256</v>
      </c>
      <c r="M579" s="9"/>
      <c r="N579" s="9"/>
      <c r="O579" s="9"/>
      <c r="P579" s="9"/>
      <c r="Q579" s="9">
        <f ca="1">IFERROR(__xludf.DUMMYFUNCTION("GOOGLEFINANCE(C579,""changepct"")"),7.49)</f>
        <v>7.49</v>
      </c>
      <c r="R579" s="9"/>
      <c r="S579" s="9"/>
      <c r="T579" s="9"/>
      <c r="U579" s="9"/>
      <c r="V579" s="9"/>
      <c r="W579" s="9"/>
    </row>
    <row r="580" spans="1:23" ht="14.4">
      <c r="A580" s="3">
        <f>LOOKUP(D580,'AMFI DATA_2023H1'!B:C,'AMFI DATA_2023H1'!C:C)</f>
        <v>1509</v>
      </c>
      <c r="B580" s="4" t="s">
        <v>3647</v>
      </c>
      <c r="C580" s="4" t="s">
        <v>3648</v>
      </c>
      <c r="D580" s="5" t="s">
        <v>3649</v>
      </c>
      <c r="E580" s="5">
        <f>LOOKUP(D580,'AMFI DATA_2023H1'!B:D,'AMFI DATA_2023H1'!D:D)</f>
        <v>339.66</v>
      </c>
      <c r="F580" s="7">
        <f t="shared" si="2"/>
        <v>1.599658482011423</v>
      </c>
      <c r="G580" s="9">
        <v>883</v>
      </c>
      <c r="H580" s="9">
        <v>879</v>
      </c>
      <c r="I580" s="9">
        <v>891</v>
      </c>
      <c r="J580" s="9">
        <v>895</v>
      </c>
      <c r="K580" s="9">
        <v>884</v>
      </c>
      <c r="L580" s="9">
        <v>871</v>
      </c>
      <c r="M580" s="9"/>
      <c r="N580" s="9"/>
      <c r="O580" s="9"/>
      <c r="P580" s="9"/>
      <c r="Q580" s="9">
        <f ca="1">IFERROR(__xludf.DUMMYFUNCTION("GOOGLEFINANCE(C580,""changepct"")"),3.11)</f>
        <v>3.11</v>
      </c>
      <c r="R580" s="9"/>
      <c r="S580" s="9"/>
      <c r="T580" s="9"/>
      <c r="U580" s="9"/>
      <c r="V580" s="9"/>
      <c r="W580" s="9"/>
    </row>
    <row r="581" spans="1:23" ht="14.4">
      <c r="A581" s="3">
        <f>LOOKUP(D581,'AMFI DATA_2023H1'!B:C,'AMFI DATA_2023H1'!C:C)</f>
        <v>218</v>
      </c>
      <c r="B581" s="4" t="s">
        <v>675</v>
      </c>
      <c r="C581" s="4" t="s">
        <v>676</v>
      </c>
      <c r="D581" s="5" t="s">
        <v>677</v>
      </c>
      <c r="E581" s="5">
        <f>LOOKUP(D581,'AMFI DATA_2023H1'!B:D,'AMFI DATA_2023H1'!D:D)</f>
        <v>20506.939999999999</v>
      </c>
      <c r="F581" s="7">
        <f t="shared" si="2"/>
        <v>0.53079884175796099</v>
      </c>
      <c r="G581" s="8">
        <v>31392</v>
      </c>
      <c r="H581" s="8">
        <v>31639</v>
      </c>
      <c r="I581" s="8">
        <v>31857</v>
      </c>
      <c r="J581" s="8">
        <v>32078</v>
      </c>
      <c r="K581" s="8">
        <v>31127</v>
      </c>
      <c r="L581" s="8">
        <v>30756</v>
      </c>
      <c r="M581" s="8"/>
      <c r="N581" s="8"/>
      <c r="O581" s="8"/>
      <c r="P581" s="8"/>
      <c r="Q581" s="9">
        <f ca="1">IFERROR(__xludf.DUMMYFUNCTION("GOOGLEFINANCE(C581,""changepct"")"),-0.52)</f>
        <v>-0.52</v>
      </c>
      <c r="R581" s="8"/>
      <c r="S581" s="8"/>
      <c r="T581" s="8"/>
      <c r="U581" s="8"/>
      <c r="V581" s="8"/>
      <c r="W581" s="8"/>
    </row>
    <row r="582" spans="1:23" ht="14.4">
      <c r="A582" s="3">
        <f>LOOKUP(D582,'AMFI DATA_2023H1'!B:C,'AMFI DATA_2023H1'!C:C)</f>
        <v>207</v>
      </c>
      <c r="B582" s="4" t="s">
        <v>684</v>
      </c>
      <c r="C582" s="4" t="s">
        <v>685</v>
      </c>
      <c r="D582" s="5" t="s">
        <v>686</v>
      </c>
      <c r="E582" s="5">
        <f>LOOKUP(D582,'AMFI DATA_2023H1'!B:D,'AMFI DATA_2023H1'!D:D)</f>
        <v>22053</v>
      </c>
      <c r="F582" s="7">
        <f t="shared" si="2"/>
        <v>0.49739264499161107</v>
      </c>
      <c r="G582" s="8">
        <v>33022</v>
      </c>
      <c r="H582" s="8">
        <v>32143</v>
      </c>
      <c r="I582" s="8">
        <v>31317</v>
      </c>
      <c r="J582" s="8">
        <v>30685</v>
      </c>
      <c r="K582" s="8">
        <v>29908</v>
      </c>
      <c r="L582" s="8">
        <v>29715</v>
      </c>
      <c r="M582" s="8"/>
      <c r="N582" s="8"/>
      <c r="O582" s="8"/>
      <c r="P582" s="8"/>
      <c r="Q582" s="9">
        <f ca="1">IFERROR(__xludf.DUMMYFUNCTION("GOOGLEFINANCE(C582,""changepct"")"),-2.79)</f>
        <v>-2.79</v>
      </c>
      <c r="R582" s="8"/>
      <c r="S582" s="8"/>
      <c r="T582" s="8"/>
      <c r="U582" s="8"/>
      <c r="V582" s="8"/>
      <c r="W582" s="8"/>
    </row>
    <row r="583" spans="1:23" ht="14.4">
      <c r="A583" s="3">
        <f>LOOKUP(D583,'AMFI DATA_2023H1'!B:C,'AMFI DATA_2023H1'!C:C)</f>
        <v>479</v>
      </c>
      <c r="B583" s="4" t="s">
        <v>1437</v>
      </c>
      <c r="C583" s="4" t="s">
        <v>1438</v>
      </c>
      <c r="D583" s="5" t="s">
        <v>1439</v>
      </c>
      <c r="E583" s="5">
        <f>LOOKUP(D583,'AMFI DATA_2023H1'!B:D,'AMFI DATA_2023H1'!D:D)</f>
        <v>5574.9</v>
      </c>
      <c r="F583" s="7">
        <f t="shared" si="2"/>
        <v>0.44146083337817732</v>
      </c>
      <c r="G583" s="8">
        <v>8036</v>
      </c>
      <c r="H583" s="8">
        <v>8040</v>
      </c>
      <c r="I583" s="8">
        <v>8030</v>
      </c>
      <c r="J583" s="8">
        <v>8087</v>
      </c>
      <c r="K583" s="8">
        <v>8027</v>
      </c>
      <c r="L583" s="8">
        <v>7907</v>
      </c>
      <c r="M583" s="8"/>
      <c r="N583" s="8"/>
      <c r="O583" s="8"/>
      <c r="P583" s="8"/>
      <c r="Q583" s="9">
        <f ca="1">IFERROR(__xludf.DUMMYFUNCTION("GOOGLEFINANCE(C583,""changepct"")"),5.87)</f>
        <v>5.87</v>
      </c>
      <c r="R583" s="8"/>
      <c r="S583" s="8"/>
      <c r="T583" s="8"/>
      <c r="U583" s="8"/>
      <c r="V583" s="8"/>
      <c r="W583" s="8"/>
    </row>
    <row r="584" spans="1:23" ht="14.4">
      <c r="A584" s="3">
        <f>LOOKUP(D584,'AMFI DATA_2023H1'!B:C,'AMFI DATA_2023H1'!C:C)</f>
        <v>280</v>
      </c>
      <c r="B584" s="4" t="s">
        <v>756</v>
      </c>
      <c r="C584" s="4" t="s">
        <v>757</v>
      </c>
      <c r="D584" s="5" t="s">
        <v>758</v>
      </c>
      <c r="E584" s="5">
        <f>LOOKUP(D584,'AMFI DATA_2023H1'!B:D,'AMFI DATA_2023H1'!D:D)</f>
        <v>14149.37</v>
      </c>
      <c r="F584" s="7">
        <f t="shared" si="2"/>
        <v>0.69760208405038515</v>
      </c>
      <c r="G584" s="8">
        <v>24020</v>
      </c>
      <c r="H584" s="8">
        <v>24097</v>
      </c>
      <c r="I584" s="8">
        <v>24147</v>
      </c>
      <c r="J584" s="8">
        <v>23925</v>
      </c>
      <c r="K584" s="8">
        <v>23836</v>
      </c>
      <c r="L584" s="8">
        <v>23682</v>
      </c>
      <c r="M584" s="8"/>
      <c r="N584" s="8"/>
      <c r="O584" s="8"/>
      <c r="P584" s="8"/>
      <c r="Q584" s="9">
        <f ca="1">IFERROR(__xludf.DUMMYFUNCTION("GOOGLEFINANCE(C584,""changepct"")"),0.69)</f>
        <v>0.69</v>
      </c>
      <c r="R584" s="8"/>
      <c r="S584" s="8"/>
      <c r="T584" s="8"/>
      <c r="U584" s="8"/>
      <c r="V584" s="8"/>
      <c r="W584" s="8"/>
    </row>
    <row r="585" spans="1:23" ht="14.4">
      <c r="A585" s="3">
        <f>LOOKUP(D585,'AMFI DATA_2023H1'!B:C,'AMFI DATA_2023H1'!C:C)</f>
        <v>1430</v>
      </c>
      <c r="B585" s="4" t="s">
        <v>4100</v>
      </c>
      <c r="C585" s="4" t="s">
        <v>4101</v>
      </c>
      <c r="D585" s="5" t="s">
        <v>4102</v>
      </c>
      <c r="E585" s="5">
        <f>LOOKUP(D585,'AMFI DATA_2023H1'!B:D,'AMFI DATA_2023H1'!D:D)</f>
        <v>393.14</v>
      </c>
      <c r="F585" s="7">
        <f t="shared" si="2"/>
        <v>0.53634837462481566</v>
      </c>
      <c r="G585" s="9">
        <v>604</v>
      </c>
      <c r="H585" s="9">
        <v>611</v>
      </c>
      <c r="I585" s="9">
        <v>624</v>
      </c>
      <c r="J585" s="9">
        <v>625</v>
      </c>
      <c r="K585" s="9">
        <v>633</v>
      </c>
      <c r="L585" s="9">
        <v>629</v>
      </c>
      <c r="M585" s="9"/>
      <c r="N585" s="9"/>
      <c r="O585" s="9"/>
      <c r="P585" s="9"/>
      <c r="Q585" s="9">
        <f ca="1">IFERROR(__xludf.DUMMYFUNCTION("GOOGLEFINANCE(C585,""changepct"")"),7.69)</f>
        <v>7.69</v>
      </c>
      <c r="R585" s="9"/>
      <c r="S585" s="9"/>
      <c r="T585" s="9"/>
      <c r="U585" s="9"/>
      <c r="V585" s="9"/>
      <c r="W585" s="9"/>
    </row>
    <row r="586" spans="1:23" ht="14.4">
      <c r="A586" s="3">
        <f>LOOKUP(D586,'AMFI DATA_2023H1'!B:C,'AMFI DATA_2023H1'!C:C)</f>
        <v>281</v>
      </c>
      <c r="B586" s="4" t="s">
        <v>786</v>
      </c>
      <c r="C586" s="4" t="s">
        <v>787</v>
      </c>
      <c r="D586" s="5" t="s">
        <v>788</v>
      </c>
      <c r="E586" s="5">
        <f>LOOKUP(D586,'AMFI DATA_2023H1'!B:D,'AMFI DATA_2023H1'!D:D)</f>
        <v>13908.46</v>
      </c>
      <c r="F586" s="7">
        <f t="shared" si="2"/>
        <v>0.83629244359188593</v>
      </c>
      <c r="G586" s="8">
        <v>25540</v>
      </c>
      <c r="H586" s="8">
        <v>25656</v>
      </c>
      <c r="I586" s="8">
        <v>25976</v>
      </c>
      <c r="J586" s="8">
        <v>25537</v>
      </c>
      <c r="K586" s="8">
        <v>25888</v>
      </c>
      <c r="L586" s="8">
        <v>26141</v>
      </c>
      <c r="M586" s="8"/>
      <c r="N586" s="8"/>
      <c r="O586" s="8"/>
      <c r="P586" s="8"/>
      <c r="Q586" s="9">
        <f ca="1">IFERROR(__xludf.DUMMYFUNCTION("GOOGLEFINANCE(C586,""changepct"")"),2.01)</f>
        <v>2.0099999999999998</v>
      </c>
      <c r="R586" s="8"/>
      <c r="S586" s="8"/>
      <c r="T586" s="8"/>
      <c r="U586" s="8"/>
      <c r="V586" s="8"/>
      <c r="W586" s="8"/>
    </row>
    <row r="587" spans="1:23" ht="14.4">
      <c r="A587" s="3">
        <f>LOOKUP(D587,'AMFI DATA_2023H1'!B:C,'AMFI DATA_2023H1'!C:C)</f>
        <v>1118</v>
      </c>
      <c r="B587" s="4" t="s">
        <v>3548</v>
      </c>
      <c r="C587" s="4" t="s">
        <v>3549</v>
      </c>
      <c r="D587" s="5" t="s">
        <v>3550</v>
      </c>
      <c r="E587" s="5">
        <f>LOOKUP(D587,'AMFI DATA_2023H1'!B:D,'AMFI DATA_2023H1'!D:D)</f>
        <v>843.08</v>
      </c>
      <c r="F587" s="7">
        <f t="shared" si="2"/>
        <v>-6.8890259524600372E-2</v>
      </c>
      <c r="G587" s="9">
        <v>785</v>
      </c>
      <c r="H587" s="9">
        <v>763</v>
      </c>
      <c r="I587" s="9">
        <v>764</v>
      </c>
      <c r="J587" s="9">
        <v>778</v>
      </c>
      <c r="K587" s="9">
        <v>770</v>
      </c>
      <c r="L587" s="9">
        <v>771</v>
      </c>
      <c r="M587" s="9"/>
      <c r="N587" s="9"/>
      <c r="O587" s="9"/>
      <c r="P587" s="9"/>
      <c r="Q587" s="9">
        <f ca="1">IFERROR(__xludf.DUMMYFUNCTION("GOOGLEFINANCE(C587,""changepct"")"),18.96)</f>
        <v>18.96</v>
      </c>
      <c r="R587" s="9"/>
      <c r="S587" s="9"/>
      <c r="T587" s="9"/>
      <c r="U587" s="9"/>
      <c r="V587" s="9"/>
      <c r="W587" s="9"/>
    </row>
    <row r="588" spans="1:23" ht="14.4">
      <c r="A588" s="3">
        <f>LOOKUP(D588,'AMFI DATA_2023H1'!B:C,'AMFI DATA_2023H1'!C:C)</f>
        <v>2341</v>
      </c>
      <c r="B588" s="4" t="s">
        <v>5069</v>
      </c>
      <c r="C588" s="4" t="s">
        <v>5070</v>
      </c>
      <c r="D588" s="5" t="s">
        <v>5071</v>
      </c>
      <c r="E588" s="5">
        <f>LOOKUP(D588,'AMFI DATA_2023H1'!B:D,'AMFI DATA_2023H1'!D:D)</f>
        <v>80.23</v>
      </c>
      <c r="F588" s="7">
        <f t="shared" si="2"/>
        <v>1.256013959865387</v>
      </c>
      <c r="G588" s="9">
        <v>181</v>
      </c>
      <c r="H588" s="9">
        <v>183</v>
      </c>
      <c r="I588" s="9">
        <v>175</v>
      </c>
      <c r="J588" s="9">
        <v>186</v>
      </c>
      <c r="K588" s="9">
        <v>157</v>
      </c>
      <c r="L588" s="9">
        <v>150</v>
      </c>
      <c r="M588" s="9"/>
      <c r="N588" s="9"/>
      <c r="O588" s="9"/>
      <c r="P588" s="9"/>
      <c r="Q588" s="9">
        <f ca="1">IFERROR(__xludf.DUMMYFUNCTION("GOOGLEFINANCE(C588,""changepct"")"),5.01)</f>
        <v>5.01</v>
      </c>
      <c r="R588" s="9"/>
      <c r="S588" s="9"/>
      <c r="T588" s="9"/>
      <c r="U588" s="9"/>
      <c r="V588" s="9"/>
      <c r="W588" s="9"/>
    </row>
    <row r="589" spans="1:23" ht="14.4">
      <c r="A589" s="3">
        <f>LOOKUP(D589,'AMFI DATA_2023H1'!B:C,'AMFI DATA_2023H1'!C:C)</f>
        <v>2643</v>
      </c>
      <c r="B589" s="4" t="s">
        <v>5443</v>
      </c>
      <c r="C589" s="4" t="s">
        <v>5444</v>
      </c>
      <c r="D589" s="5" t="s">
        <v>5445</v>
      </c>
      <c r="E589" s="5">
        <f>LOOKUP(D589,'AMFI DATA_2023H1'!B:D,'AMFI DATA_2023H1'!D:D)</f>
        <v>49.94</v>
      </c>
      <c r="F589" s="7">
        <f t="shared" si="2"/>
        <v>0.19543452142571094</v>
      </c>
      <c r="G589" s="9">
        <v>59.7</v>
      </c>
      <c r="H589" s="9">
        <v>59.7</v>
      </c>
      <c r="I589" s="9">
        <v>59</v>
      </c>
      <c r="J589" s="9">
        <v>59.7</v>
      </c>
      <c r="K589" s="9">
        <v>59.7</v>
      </c>
      <c r="L589" s="9">
        <v>58.2</v>
      </c>
      <c r="M589" s="9"/>
      <c r="N589" s="9"/>
      <c r="O589" s="9"/>
      <c r="P589" s="9"/>
      <c r="Q589" s="9">
        <f ca="1">IFERROR(__xludf.DUMMYFUNCTION("GOOGLEFINANCE(C589,""changepct"")"),-2.33)</f>
        <v>-2.33</v>
      </c>
      <c r="R589" s="9"/>
      <c r="S589" s="9"/>
      <c r="T589" s="9"/>
      <c r="U589" s="9"/>
      <c r="V589" s="9"/>
      <c r="W589" s="9"/>
    </row>
    <row r="590" spans="1:23" ht="14.4">
      <c r="A590" s="3">
        <f>LOOKUP(D590,'AMFI DATA_2023H1'!B:C,'AMFI DATA_2023H1'!C:C)</f>
        <v>691</v>
      </c>
      <c r="B590" s="4" t="s">
        <v>2393</v>
      </c>
      <c r="C590" s="4" t="s">
        <v>2394</v>
      </c>
      <c r="D590" s="5" t="s">
        <v>2395</v>
      </c>
      <c r="E590" s="5">
        <f>LOOKUP(D590,'AMFI DATA_2023H1'!B:D,'AMFI DATA_2023H1'!D:D)</f>
        <v>2615.29</v>
      </c>
      <c r="F590" s="7">
        <f t="shared" si="2"/>
        <v>-3.0700228272963925E-2</v>
      </c>
      <c r="G590" s="8">
        <v>2535</v>
      </c>
      <c r="H590" s="8">
        <v>2520</v>
      </c>
      <c r="I590" s="8">
        <v>2480</v>
      </c>
      <c r="J590" s="8">
        <v>2496</v>
      </c>
      <c r="K590" s="8">
        <v>2492</v>
      </c>
      <c r="L590" s="8">
        <v>2457</v>
      </c>
      <c r="M590" s="8"/>
      <c r="N590" s="8"/>
      <c r="O590" s="8"/>
      <c r="P590" s="8"/>
      <c r="Q590" s="9">
        <f ca="1">IFERROR(__xludf.DUMMYFUNCTION("GOOGLEFINANCE(C590,""changepct"")"),1)</f>
        <v>1</v>
      </c>
      <c r="R590" s="8"/>
      <c r="S590" s="8"/>
      <c r="T590" s="8"/>
      <c r="U590" s="8"/>
      <c r="V590" s="8"/>
      <c r="W590" s="8"/>
    </row>
    <row r="591" spans="1:23" ht="14.4">
      <c r="A591" s="3">
        <f>LOOKUP(D591,'AMFI DATA_2023H1'!B:C,'AMFI DATA_2023H1'!C:C)</f>
        <v>1042</v>
      </c>
      <c r="B591" s="4" t="s">
        <v>3230</v>
      </c>
      <c r="C591" s="4" t="s">
        <v>3231</v>
      </c>
      <c r="D591" s="5" t="s">
        <v>3232</v>
      </c>
      <c r="E591" s="5">
        <f>LOOKUP(D591,'AMFI DATA_2023H1'!B:D,'AMFI DATA_2023H1'!D:D)</f>
        <v>1045.67</v>
      </c>
      <c r="F591" s="7">
        <f t="shared" si="2"/>
        <v>0.25661059416450693</v>
      </c>
      <c r="G591" s="8">
        <v>1314</v>
      </c>
      <c r="H591" s="8">
        <v>1293</v>
      </c>
      <c r="I591" s="8">
        <v>1282</v>
      </c>
      <c r="J591" s="8">
        <v>1284</v>
      </c>
      <c r="K591" s="8">
        <v>1282</v>
      </c>
      <c r="L591" s="8">
        <v>1246</v>
      </c>
      <c r="M591" s="8"/>
      <c r="N591" s="8"/>
      <c r="O591" s="8"/>
      <c r="P591" s="8"/>
      <c r="Q591" s="9">
        <f ca="1">IFERROR(__xludf.DUMMYFUNCTION("GOOGLEFINANCE(C591,""changepct"")"),0.24)</f>
        <v>0.24</v>
      </c>
      <c r="R591" s="8"/>
      <c r="S591" s="8"/>
      <c r="T591" s="8"/>
      <c r="U591" s="8"/>
      <c r="V591" s="8"/>
      <c r="W591" s="8"/>
    </row>
    <row r="592" spans="1:23" ht="14.4">
      <c r="A592" s="3">
        <f>LOOKUP(D592,'AMFI DATA_2023H1'!B:C,'AMFI DATA_2023H1'!C:C)</f>
        <v>427</v>
      </c>
      <c r="B592" s="4" t="s">
        <v>1491</v>
      </c>
      <c r="C592" s="4" t="s">
        <v>1492</v>
      </c>
      <c r="D592" s="5" t="s">
        <v>1493</v>
      </c>
      <c r="E592" s="5">
        <f>LOOKUP(D592,'AMFI DATA_2023H1'!B:D,'AMFI DATA_2023H1'!D:D)</f>
        <v>6826.55</v>
      </c>
      <c r="F592" s="7">
        <f t="shared" si="2"/>
        <v>4.9139023371981505E-2</v>
      </c>
      <c r="G592" s="8">
        <v>7162</v>
      </c>
      <c r="H592" s="8">
        <v>7245</v>
      </c>
      <c r="I592" s="8">
        <v>7362</v>
      </c>
      <c r="J592" s="8">
        <v>7136</v>
      </c>
      <c r="K592" s="8">
        <v>7151</v>
      </c>
      <c r="L592" s="8">
        <v>7146</v>
      </c>
      <c r="M592" s="8"/>
      <c r="N592" s="8"/>
      <c r="O592" s="8"/>
      <c r="P592" s="8"/>
      <c r="Q592" s="9">
        <f ca="1">IFERROR(__xludf.DUMMYFUNCTION("GOOGLEFINANCE(C592,""changepct"")"),1.92)</f>
        <v>1.92</v>
      </c>
      <c r="R592" s="8"/>
      <c r="S592" s="8"/>
      <c r="T592" s="8"/>
      <c r="U592" s="8"/>
      <c r="V592" s="8"/>
      <c r="W592" s="8"/>
    </row>
    <row r="593" spans="1:23" ht="14.4">
      <c r="A593" s="3">
        <f>LOOKUP(D593,'AMFI DATA_2023H1'!B:C,'AMFI DATA_2023H1'!C:C)</f>
        <v>193</v>
      </c>
      <c r="B593" s="4" t="s">
        <v>537</v>
      </c>
      <c r="C593" s="4" t="s">
        <v>538</v>
      </c>
      <c r="D593" s="5" t="s">
        <v>539</v>
      </c>
      <c r="E593" s="5">
        <f>LOOKUP(D593,'AMFI DATA_2023H1'!B:D,'AMFI DATA_2023H1'!D:D)</f>
        <v>25068.89</v>
      </c>
      <c r="F593" s="7">
        <f t="shared" si="2"/>
        <v>0.93295355318883288</v>
      </c>
      <c r="G593" s="8">
        <v>48457</v>
      </c>
      <c r="H593" s="8">
        <v>48662</v>
      </c>
      <c r="I593" s="8">
        <v>46054</v>
      </c>
      <c r="J593" s="8">
        <v>44256</v>
      </c>
      <c r="K593" s="8">
        <v>44636</v>
      </c>
      <c r="L593" s="8">
        <v>45058</v>
      </c>
      <c r="M593" s="8"/>
      <c r="N593" s="8"/>
      <c r="O593" s="8"/>
      <c r="P593" s="8"/>
      <c r="Q593" s="9">
        <f ca="1">IFERROR(__xludf.DUMMYFUNCTION("GOOGLEFINANCE(C593,""changepct"")"),-1.97)</f>
        <v>-1.97</v>
      </c>
      <c r="R593" s="8"/>
      <c r="S593" s="8"/>
      <c r="T593" s="8"/>
      <c r="U593" s="8"/>
      <c r="V593" s="8"/>
      <c r="W593" s="8"/>
    </row>
    <row r="594" spans="1:23" ht="14.4">
      <c r="A594" s="3">
        <f>LOOKUP(D594,'AMFI DATA_2023H1'!B:C,'AMFI DATA_2023H1'!C:C)</f>
        <v>1011</v>
      </c>
      <c r="B594" s="4" t="s">
        <v>2708</v>
      </c>
      <c r="C594" s="4" t="s">
        <v>2709</v>
      </c>
      <c r="D594" s="5" t="s">
        <v>2710</v>
      </c>
      <c r="E594" s="5">
        <f>LOOKUP(D594,'AMFI DATA_2023H1'!B:D,'AMFI DATA_2023H1'!D:D)</f>
        <v>1115.48</v>
      </c>
      <c r="F594" s="7">
        <f t="shared" si="2"/>
        <v>1.9422311471294869</v>
      </c>
      <c r="G594" s="8">
        <v>3282</v>
      </c>
      <c r="H594" s="8">
        <v>3395</v>
      </c>
      <c r="I594" s="8">
        <v>3306</v>
      </c>
      <c r="J594" s="8">
        <v>3217</v>
      </c>
      <c r="K594" s="8">
        <v>3161</v>
      </c>
      <c r="L594" s="8">
        <v>3196</v>
      </c>
      <c r="M594" s="8"/>
      <c r="N594" s="8"/>
      <c r="O594" s="8"/>
      <c r="P594" s="8"/>
      <c r="Q594" s="9">
        <f ca="1">IFERROR(__xludf.DUMMYFUNCTION("GOOGLEFINANCE(C594,""changepct"")"),1.5)</f>
        <v>1.5</v>
      </c>
      <c r="R594" s="8"/>
      <c r="S594" s="8"/>
      <c r="T594" s="8"/>
      <c r="U594" s="8"/>
      <c r="V594" s="8"/>
      <c r="W594" s="8"/>
    </row>
    <row r="595" spans="1:23" ht="14.4">
      <c r="A595" s="3">
        <f>LOOKUP(D595,'AMFI DATA_2023H1'!B:C,'AMFI DATA_2023H1'!C:C)</f>
        <v>850</v>
      </c>
      <c r="B595" s="4" t="s">
        <v>2726</v>
      </c>
      <c r="C595" s="4" t="s">
        <v>2727</v>
      </c>
      <c r="D595" s="5" t="s">
        <v>2728</v>
      </c>
      <c r="E595" s="5">
        <f>LOOKUP(D595,'AMFI DATA_2023H1'!B:D,'AMFI DATA_2023H1'!D:D)</f>
        <v>1724.79</v>
      </c>
      <c r="F595" s="7">
        <f t="shared" si="2"/>
        <v>0.11491833788461214</v>
      </c>
      <c r="G595" s="8">
        <v>1923</v>
      </c>
      <c r="H595" s="8">
        <v>1914</v>
      </c>
      <c r="I595" s="8">
        <v>1919</v>
      </c>
      <c r="J595" s="8">
        <v>1887</v>
      </c>
      <c r="K595" s="8">
        <v>1824</v>
      </c>
      <c r="L595" s="8">
        <v>1825</v>
      </c>
      <c r="M595" s="8"/>
      <c r="N595" s="8"/>
      <c r="O595" s="8"/>
      <c r="P595" s="8"/>
      <c r="Q595" s="9">
        <f ca="1">IFERROR(__xludf.DUMMYFUNCTION("GOOGLEFINANCE(C595,""changepct"")"),3.47)</f>
        <v>3.47</v>
      </c>
      <c r="R595" s="8"/>
      <c r="S595" s="8"/>
      <c r="T595" s="8"/>
      <c r="U595" s="8"/>
      <c r="V595" s="8"/>
      <c r="W595" s="8"/>
    </row>
    <row r="596" spans="1:23" ht="14.4">
      <c r="A596" s="3">
        <f>LOOKUP(D596,'AMFI DATA_2023H1'!B:C,'AMFI DATA_2023H1'!C:C)</f>
        <v>469</v>
      </c>
      <c r="B596" s="4" t="s">
        <v>1569</v>
      </c>
      <c r="C596" s="4" t="s">
        <v>1570</v>
      </c>
      <c r="D596" s="5" t="s">
        <v>1571</v>
      </c>
      <c r="E596" s="5">
        <f>LOOKUP(D596,'AMFI DATA_2023H1'!B:D,'AMFI DATA_2023H1'!D:D)</f>
        <v>5746.6</v>
      </c>
      <c r="F596" s="7">
        <f t="shared" si="2"/>
        <v>0.14850520307660164</v>
      </c>
      <c r="G596" s="8">
        <v>6600</v>
      </c>
      <c r="H596" s="8">
        <v>6691</v>
      </c>
      <c r="I596" s="8">
        <v>6994</v>
      </c>
      <c r="J596" s="8">
        <v>6906</v>
      </c>
      <c r="K596" s="8">
        <v>6921</v>
      </c>
      <c r="L596" s="8">
        <v>6932</v>
      </c>
      <c r="M596" s="8"/>
      <c r="N596" s="8"/>
      <c r="O596" s="8"/>
      <c r="P596" s="8"/>
      <c r="Q596" s="9">
        <f ca="1">IFERROR(__xludf.DUMMYFUNCTION("GOOGLEFINANCE(C596,""changepct"")"),-0.68)</f>
        <v>-0.68</v>
      </c>
      <c r="R596" s="8"/>
      <c r="S596" s="8"/>
      <c r="T596" s="8"/>
      <c r="U596" s="8"/>
      <c r="V596" s="8"/>
      <c r="W596" s="8"/>
    </row>
    <row r="597" spans="1:23" ht="14.4">
      <c r="A597" s="3">
        <f>LOOKUP(D597,'AMFI DATA_2023H1'!B:C,'AMFI DATA_2023H1'!C:C)</f>
        <v>1353</v>
      </c>
      <c r="B597" s="4" t="s">
        <v>3989</v>
      </c>
      <c r="C597" s="4" t="s">
        <v>3990</v>
      </c>
      <c r="D597" s="5" t="s">
        <v>3991</v>
      </c>
      <c r="E597" s="5">
        <f>LOOKUP(D597,'AMFI DATA_2023H1'!B:D,'AMFI DATA_2023H1'!D:D)</f>
        <v>452.44</v>
      </c>
      <c r="F597" s="7">
        <f t="shared" si="2"/>
        <v>0.15816461851295194</v>
      </c>
      <c r="G597" s="9">
        <v>524</v>
      </c>
      <c r="H597" s="9">
        <v>524</v>
      </c>
      <c r="I597" s="9">
        <v>530</v>
      </c>
      <c r="J597" s="9">
        <v>522</v>
      </c>
      <c r="K597" s="9">
        <v>515</v>
      </c>
      <c r="L597" s="9">
        <v>510</v>
      </c>
      <c r="M597" s="9"/>
      <c r="N597" s="9"/>
      <c r="O597" s="9"/>
      <c r="P597" s="9"/>
      <c r="Q597" s="9">
        <f ca="1">IFERROR(__xludf.DUMMYFUNCTION("GOOGLEFINANCE(C597,""changepct"")"),2.32)</f>
        <v>2.3199999999999998</v>
      </c>
      <c r="R597" s="9"/>
      <c r="S597" s="9"/>
      <c r="T597" s="9"/>
      <c r="U597" s="9"/>
      <c r="V597" s="9"/>
      <c r="W597" s="9"/>
    </row>
    <row r="598" spans="1:23" ht="14.4">
      <c r="A598" s="3">
        <f>LOOKUP(D598,'AMFI DATA_2023H1'!B:C,'AMFI DATA_2023H1'!C:C)</f>
        <v>871</v>
      </c>
      <c r="B598" s="4" t="s">
        <v>2531</v>
      </c>
      <c r="C598" s="4" t="s">
        <v>2532</v>
      </c>
      <c r="D598" s="5" t="s">
        <v>2533</v>
      </c>
      <c r="E598" s="5">
        <f>LOOKUP(D598,'AMFI DATA_2023H1'!B:D,'AMFI DATA_2023H1'!D:D)</f>
        <v>1611.94</v>
      </c>
      <c r="F598" s="7">
        <f t="shared" si="2"/>
        <v>0.59621325855801088</v>
      </c>
      <c r="G598" s="8">
        <v>2573</v>
      </c>
      <c r="H598" s="8">
        <v>2567</v>
      </c>
      <c r="I598" s="8">
        <v>2536</v>
      </c>
      <c r="J598" s="8">
        <v>2544</v>
      </c>
      <c r="K598" s="8">
        <v>2542</v>
      </c>
      <c r="L598" s="8">
        <v>2580</v>
      </c>
      <c r="M598" s="8"/>
      <c r="N598" s="8"/>
      <c r="O598" s="8"/>
      <c r="P598" s="8"/>
      <c r="Q598" s="9">
        <f ca="1">IFERROR(__xludf.DUMMYFUNCTION("GOOGLEFINANCE(C598,""changepct"")"),3.68)</f>
        <v>3.68</v>
      </c>
      <c r="R598" s="8"/>
      <c r="S598" s="8"/>
      <c r="T598" s="8"/>
      <c r="U598" s="8"/>
      <c r="V598" s="8"/>
      <c r="W598" s="8"/>
    </row>
    <row r="599" spans="1:23" ht="14.4">
      <c r="A599" s="3">
        <f>LOOKUP(D599,'AMFI DATA_2023H1'!B:C,'AMFI DATA_2023H1'!C:C)</f>
        <v>488</v>
      </c>
      <c r="B599" s="4" t="s">
        <v>1359</v>
      </c>
      <c r="C599" s="4" t="s">
        <v>1360</v>
      </c>
      <c r="D599" s="5" t="s">
        <v>1361</v>
      </c>
      <c r="E599" s="5">
        <f>LOOKUP(D599,'AMFI DATA_2023H1'!B:D,'AMFI DATA_2023H1'!D:D)</f>
        <v>5430.29</v>
      </c>
      <c r="F599" s="7">
        <f t="shared" si="2"/>
        <v>0.9291787363105839</v>
      </c>
      <c r="G599" s="8">
        <v>10476</v>
      </c>
      <c r="H599" s="8">
        <v>10332</v>
      </c>
      <c r="I599" s="8">
        <v>10145</v>
      </c>
      <c r="J599" s="8">
        <v>9940</v>
      </c>
      <c r="K599" s="8">
        <v>10014</v>
      </c>
      <c r="L599" s="8">
        <v>9645</v>
      </c>
      <c r="M599" s="8"/>
      <c r="N599" s="8"/>
      <c r="O599" s="8"/>
      <c r="P599" s="8"/>
      <c r="Q599" s="9">
        <f ca="1">IFERROR(__xludf.DUMMYFUNCTION("GOOGLEFINANCE(C599,""changepct"")"),2.22)</f>
        <v>2.2200000000000002</v>
      </c>
      <c r="R599" s="8"/>
      <c r="S599" s="8"/>
      <c r="T599" s="8"/>
      <c r="U599" s="8"/>
      <c r="V599" s="8"/>
      <c r="W599" s="8"/>
    </row>
    <row r="600" spans="1:23" ht="14.4">
      <c r="A600" s="3">
        <f>LOOKUP(D600,'AMFI DATA_2023H1'!B:C,'AMFI DATA_2023H1'!C:C)</f>
        <v>361</v>
      </c>
      <c r="B600" s="4" t="s">
        <v>1182</v>
      </c>
      <c r="C600" s="4" t="s">
        <v>1183</v>
      </c>
      <c r="D600" s="5" t="s">
        <v>1184</v>
      </c>
      <c r="E600" s="5">
        <f>LOOKUP(D600,'AMFI DATA_2023H1'!B:D,'AMFI DATA_2023H1'!D:D)</f>
        <v>9351.06</v>
      </c>
      <c r="F600" s="7">
        <f t="shared" si="2"/>
        <v>0.16104484411392939</v>
      </c>
      <c r="G600" s="8">
        <v>10857</v>
      </c>
      <c r="H600" s="8">
        <v>10976</v>
      </c>
      <c r="I600" s="8">
        <v>10862</v>
      </c>
      <c r="J600" s="8">
        <v>10901</v>
      </c>
      <c r="K600" s="8">
        <v>10982</v>
      </c>
      <c r="L600" s="8">
        <v>10909</v>
      </c>
      <c r="M600" s="8"/>
      <c r="N600" s="8"/>
      <c r="O600" s="8"/>
      <c r="P600" s="8"/>
      <c r="Q600" s="9">
        <f ca="1">IFERROR(__xludf.DUMMYFUNCTION("GOOGLEFINANCE(C600,""changepct"")"),2.64)</f>
        <v>2.64</v>
      </c>
      <c r="R600" s="8"/>
      <c r="S600" s="8"/>
      <c r="T600" s="8"/>
      <c r="U600" s="8"/>
      <c r="V600" s="8"/>
      <c r="W600" s="8"/>
    </row>
    <row r="601" spans="1:23" ht="14.4">
      <c r="A601" s="3">
        <f>LOOKUP(D601,'AMFI DATA_2023H1'!B:C,'AMFI DATA_2023H1'!C:C)</f>
        <v>2674</v>
      </c>
      <c r="B601" s="4" t="s">
        <v>5440</v>
      </c>
      <c r="C601" s="4" t="s">
        <v>5441</v>
      </c>
      <c r="D601" s="5" t="s">
        <v>5442</v>
      </c>
      <c r="E601" s="5">
        <f>LOOKUP(D601,'AMFI DATA_2023H1'!B:D,'AMFI DATA_2023H1'!D:D)</f>
        <v>47.68</v>
      </c>
      <c r="F601" s="7">
        <f t="shared" si="2"/>
        <v>-9.186241610738255E-2</v>
      </c>
      <c r="G601" s="9">
        <v>43.3</v>
      </c>
      <c r="H601" s="9">
        <v>43.3</v>
      </c>
      <c r="I601" s="9">
        <v>46.6</v>
      </c>
      <c r="J601" s="9">
        <v>43.3</v>
      </c>
      <c r="K601" s="9">
        <v>40</v>
      </c>
      <c r="L601" s="9">
        <v>36.6</v>
      </c>
      <c r="M601" s="9"/>
      <c r="N601" s="9"/>
      <c r="O601" s="9"/>
      <c r="P601" s="9"/>
      <c r="Q601" s="9">
        <f ca="1">IFERROR(__xludf.DUMMYFUNCTION("GOOGLEFINANCE(C601,""changepct"")"),8.33)</f>
        <v>8.33</v>
      </c>
      <c r="R601" s="9"/>
      <c r="S601" s="9"/>
      <c r="T601" s="9"/>
      <c r="U601" s="9"/>
      <c r="V601" s="9"/>
      <c r="W601" s="9"/>
    </row>
    <row r="602" spans="1:23" ht="14.4">
      <c r="A602" s="3">
        <f>LOOKUP(D602,'AMFI DATA_2023H1'!B:C,'AMFI DATA_2023H1'!C:C)</f>
        <v>378</v>
      </c>
      <c r="B602" s="4" t="s">
        <v>1284</v>
      </c>
      <c r="C602" s="4" t="s">
        <v>1285</v>
      </c>
      <c r="D602" s="5" t="s">
        <v>1286</v>
      </c>
      <c r="E602" s="5">
        <f>LOOKUP(D602,'AMFI DATA_2023H1'!B:D,'AMFI DATA_2023H1'!D:D)</f>
        <v>8449.92</v>
      </c>
      <c r="F602" s="7">
        <f t="shared" si="2"/>
        <v>0.26912444141482994</v>
      </c>
      <c r="G602" s="8">
        <v>10724</v>
      </c>
      <c r="H602" s="8">
        <v>10715</v>
      </c>
      <c r="I602" s="8">
        <v>10427</v>
      </c>
      <c r="J602" s="8">
        <v>10495</v>
      </c>
      <c r="K602" s="8">
        <v>10551</v>
      </c>
      <c r="L602" s="8">
        <v>10527</v>
      </c>
      <c r="M602" s="8"/>
      <c r="N602" s="8"/>
      <c r="O602" s="8"/>
      <c r="P602" s="8"/>
      <c r="Q602" s="9">
        <f ca="1">IFERROR(__xludf.DUMMYFUNCTION("GOOGLEFINANCE(C602,""changepct"")"),0.06)</f>
        <v>0.06</v>
      </c>
      <c r="R602" s="8"/>
      <c r="S602" s="8"/>
      <c r="T602" s="8"/>
      <c r="U602" s="8"/>
      <c r="V602" s="8"/>
      <c r="W602" s="8"/>
    </row>
    <row r="603" spans="1:23" ht="14.4">
      <c r="A603" s="3">
        <f>LOOKUP(D603,'AMFI DATA_2023H1'!B:C,'AMFI DATA_2023H1'!C:C)</f>
        <v>52</v>
      </c>
      <c r="B603" s="4" t="s">
        <v>174</v>
      </c>
      <c r="C603" s="4" t="s">
        <v>175</v>
      </c>
      <c r="D603" s="5" t="s">
        <v>176</v>
      </c>
      <c r="E603" s="5">
        <f>LOOKUP(D603,'AMFI DATA_2023H1'!B:D,'AMFI DATA_2023H1'!D:D)</f>
        <v>98946.61</v>
      </c>
      <c r="F603" s="7">
        <f t="shared" si="2"/>
        <v>0.18316332414016001</v>
      </c>
      <c r="G603" s="8">
        <v>117070</v>
      </c>
      <c r="H603" s="8">
        <v>115664</v>
      </c>
      <c r="I603" s="8">
        <v>113915</v>
      </c>
      <c r="J603" s="8">
        <v>113204</v>
      </c>
      <c r="K603" s="8">
        <v>111829</v>
      </c>
      <c r="L603" s="8">
        <v>109870</v>
      </c>
      <c r="M603" s="8"/>
      <c r="N603" s="8"/>
      <c r="O603" s="8"/>
      <c r="P603" s="8"/>
      <c r="Q603" s="9">
        <f ca="1">IFERROR(__xludf.DUMMYFUNCTION("GOOGLEFINANCE(C603,""changepct"")"),1.28)</f>
        <v>1.28</v>
      </c>
      <c r="R603" s="8"/>
      <c r="S603" s="8"/>
      <c r="T603" s="8"/>
      <c r="U603" s="8"/>
      <c r="V603" s="8"/>
      <c r="W603" s="8"/>
    </row>
    <row r="604" spans="1:23" ht="14.4">
      <c r="A604" s="3">
        <f>LOOKUP(D604,'AMFI DATA_2023H1'!B:C,'AMFI DATA_2023H1'!C:C)</f>
        <v>274</v>
      </c>
      <c r="B604" s="4" t="s">
        <v>816</v>
      </c>
      <c r="C604" s="4" t="s">
        <v>817</v>
      </c>
      <c r="D604" s="5" t="s">
        <v>818</v>
      </c>
      <c r="E604" s="5">
        <f>LOOKUP(D604,'AMFI DATA_2023H1'!B:D,'AMFI DATA_2023H1'!D:D)</f>
        <v>14980.48</v>
      </c>
      <c r="F604" s="7">
        <f t="shared" si="2"/>
        <v>0.75127899773572016</v>
      </c>
      <c r="G604" s="8">
        <v>26235</v>
      </c>
      <c r="H604" s="8">
        <v>25080</v>
      </c>
      <c r="I604" s="8">
        <v>23777</v>
      </c>
      <c r="J604" s="8">
        <v>23777</v>
      </c>
      <c r="K604" s="8">
        <v>23818</v>
      </c>
      <c r="L604" s="8">
        <v>23307</v>
      </c>
      <c r="M604" s="8"/>
      <c r="N604" s="8"/>
      <c r="O604" s="8"/>
      <c r="P604" s="8"/>
      <c r="Q604" s="9">
        <f ca="1">IFERROR(__xludf.DUMMYFUNCTION("GOOGLEFINANCE(C604,""changepct"")"),2.38)</f>
        <v>2.38</v>
      </c>
      <c r="R604" s="8"/>
      <c r="S604" s="8"/>
      <c r="T604" s="8"/>
      <c r="U604" s="8"/>
      <c r="V604" s="8"/>
      <c r="W604" s="8"/>
    </row>
    <row r="605" spans="1:23" ht="14.4">
      <c r="A605" s="3">
        <f>LOOKUP(D605,'AMFI DATA_2023H1'!B:C,'AMFI DATA_2023H1'!C:C)</f>
        <v>150</v>
      </c>
      <c r="B605" s="4" t="s">
        <v>432</v>
      </c>
      <c r="C605" s="4" t="s">
        <v>433</v>
      </c>
      <c r="D605" s="5" t="s">
        <v>434</v>
      </c>
      <c r="E605" s="5">
        <f>LOOKUP(D605,'AMFI DATA_2023H1'!B:D,'AMFI DATA_2023H1'!D:D)</f>
        <v>35072.21</v>
      </c>
      <c r="F605" s="7">
        <f t="shared" si="2"/>
        <v>0.58869372645750007</v>
      </c>
      <c r="G605" s="8">
        <v>55719</v>
      </c>
      <c r="H605" s="8">
        <v>55953</v>
      </c>
      <c r="I605" s="8">
        <v>55502</v>
      </c>
      <c r="J605" s="8">
        <v>55690</v>
      </c>
      <c r="K605" s="8">
        <v>55153</v>
      </c>
      <c r="L605" s="8">
        <v>54821</v>
      </c>
      <c r="M605" s="8"/>
      <c r="N605" s="8"/>
      <c r="O605" s="8"/>
      <c r="P605" s="8"/>
      <c r="Q605" s="9">
        <f ca="1">IFERROR(__xludf.DUMMYFUNCTION("GOOGLEFINANCE(C605,""changepct"")"),-0.24)</f>
        <v>-0.24</v>
      </c>
      <c r="R605" s="8"/>
      <c r="S605" s="8"/>
      <c r="T605" s="8"/>
      <c r="U605" s="8"/>
      <c r="V605" s="8"/>
      <c r="W605" s="8"/>
    </row>
    <row r="606" spans="1:23" ht="14.4">
      <c r="A606" s="3">
        <f>LOOKUP(D606,'AMFI DATA_2023H1'!B:C,'AMFI DATA_2023H1'!C:C)</f>
        <v>722</v>
      </c>
      <c r="B606" s="4" t="s">
        <v>1893</v>
      </c>
      <c r="C606" s="4" t="s">
        <v>1894</v>
      </c>
      <c r="D606" s="5" t="s">
        <v>1895</v>
      </c>
      <c r="E606" s="5">
        <f>LOOKUP(D606,'AMFI DATA_2023H1'!B:D,'AMFI DATA_2023H1'!D:D)</f>
        <v>2391.34</v>
      </c>
      <c r="F606" s="7">
        <f t="shared" si="2"/>
        <v>1.0632783293049086</v>
      </c>
      <c r="G606" s="8">
        <v>4934</v>
      </c>
      <c r="H606" s="8">
        <v>5028</v>
      </c>
      <c r="I606" s="8">
        <v>5022</v>
      </c>
      <c r="J606" s="8">
        <v>5070</v>
      </c>
      <c r="K606" s="8">
        <v>5196</v>
      </c>
      <c r="L606" s="8">
        <v>5323</v>
      </c>
      <c r="M606" s="8"/>
      <c r="N606" s="8"/>
      <c r="O606" s="8"/>
      <c r="P606" s="8"/>
      <c r="Q606" s="9">
        <f ca="1">IFERROR(__xludf.DUMMYFUNCTION("GOOGLEFINANCE(C606,""changepct"")"),0.38)</f>
        <v>0.38</v>
      </c>
      <c r="R606" s="8"/>
      <c r="S606" s="8"/>
      <c r="T606" s="8"/>
      <c r="U606" s="8"/>
      <c r="V606" s="8"/>
      <c r="W606" s="8"/>
    </row>
    <row r="607" spans="1:23" ht="14.4">
      <c r="A607" s="3">
        <f>LOOKUP(D607,'AMFI DATA_2023H1'!B:C,'AMFI DATA_2023H1'!C:C)</f>
        <v>866</v>
      </c>
      <c r="B607" s="4" t="s">
        <v>2876</v>
      </c>
      <c r="C607" s="4" t="s">
        <v>2877</v>
      </c>
      <c r="D607" s="5" t="s">
        <v>2878</v>
      </c>
      <c r="E607" s="5">
        <f>LOOKUP(D607,'AMFI DATA_2023H1'!B:D,'AMFI DATA_2023H1'!D:D)</f>
        <v>1630.21</v>
      </c>
      <c r="F607" s="7">
        <f t="shared" si="2"/>
        <v>0.12746210610902886</v>
      </c>
      <c r="G607" s="8">
        <v>1838</v>
      </c>
      <c r="H607" s="8">
        <v>1829</v>
      </c>
      <c r="I607" s="8">
        <v>1773</v>
      </c>
      <c r="J607" s="8">
        <v>1771</v>
      </c>
      <c r="K607" s="8">
        <v>1806</v>
      </c>
      <c r="L607" s="8">
        <v>1779</v>
      </c>
      <c r="M607" s="8"/>
      <c r="N607" s="8"/>
      <c r="O607" s="8"/>
      <c r="P607" s="8"/>
      <c r="Q607" s="9">
        <f ca="1">IFERROR(__xludf.DUMMYFUNCTION("GOOGLEFINANCE(C607,""changepct"")"),-1.16)</f>
        <v>-1.1599999999999999</v>
      </c>
      <c r="R607" s="8"/>
      <c r="S607" s="8"/>
      <c r="T607" s="8"/>
      <c r="U607" s="8"/>
      <c r="V607" s="8"/>
      <c r="W607" s="8"/>
    </row>
    <row r="608" spans="1:23" ht="14.4">
      <c r="A608" s="3">
        <f>LOOKUP(D608,'AMFI DATA_2023H1'!B:C,'AMFI DATA_2023H1'!C:C)</f>
        <v>1544</v>
      </c>
      <c r="B608" s="4" t="s">
        <v>4250</v>
      </c>
      <c r="C608" s="4" t="s">
        <v>4251</v>
      </c>
      <c r="D608" s="5" t="s">
        <v>4252</v>
      </c>
      <c r="E608" s="5">
        <f>LOOKUP(D608,'AMFI DATA_2023H1'!B:D,'AMFI DATA_2023H1'!D:D)</f>
        <v>319.56</v>
      </c>
      <c r="F608" s="7">
        <f t="shared" si="2"/>
        <v>0.89009888596820619</v>
      </c>
      <c r="G608" s="9">
        <v>604</v>
      </c>
      <c r="H608" s="9">
        <v>531</v>
      </c>
      <c r="I608" s="9">
        <v>471</v>
      </c>
      <c r="J608" s="9">
        <v>426</v>
      </c>
      <c r="K608" s="9">
        <v>418</v>
      </c>
      <c r="L608" s="9">
        <v>419</v>
      </c>
      <c r="M608" s="9"/>
      <c r="N608" s="9"/>
      <c r="O608" s="9"/>
      <c r="P608" s="9"/>
      <c r="Q608" s="9">
        <f ca="1">IFERROR(__xludf.DUMMYFUNCTION("GOOGLEFINANCE(C608,""changepct"")"),1.95)</f>
        <v>1.95</v>
      </c>
      <c r="R608" s="9"/>
      <c r="S608" s="9"/>
      <c r="T608" s="9"/>
      <c r="U608" s="9"/>
      <c r="V608" s="9"/>
      <c r="W608" s="9"/>
    </row>
    <row r="609" spans="1:23" ht="14.4">
      <c r="A609" s="3">
        <f>LOOKUP(D609,'AMFI DATA_2023H1'!B:C,'AMFI DATA_2023H1'!C:C)</f>
        <v>2262</v>
      </c>
      <c r="B609" s="4" t="s">
        <v>5266</v>
      </c>
      <c r="C609" s="4" t="s">
        <v>5267</v>
      </c>
      <c r="D609" s="5" t="s">
        <v>5268</v>
      </c>
      <c r="E609" s="5">
        <f>LOOKUP(D609,'AMFI DATA_2023H1'!B:D,'AMFI DATA_2023H1'!D:D)</f>
        <v>93.05</v>
      </c>
      <c r="F609" s="7">
        <f t="shared" si="2"/>
        <v>-4.3524986566362167E-2</v>
      </c>
      <c r="G609" s="9">
        <v>89</v>
      </c>
      <c r="H609" s="9">
        <v>87.6</v>
      </c>
      <c r="I609" s="9">
        <v>88.9</v>
      </c>
      <c r="J609" s="9">
        <v>88.3</v>
      </c>
      <c r="K609" s="9">
        <v>89.9</v>
      </c>
      <c r="L609" s="9">
        <v>88</v>
      </c>
      <c r="M609" s="9"/>
      <c r="N609" s="9"/>
      <c r="O609" s="9"/>
      <c r="P609" s="9"/>
      <c r="Q609" s="9">
        <f ca="1">IFERROR(__xludf.DUMMYFUNCTION("GOOGLEFINANCE(C609,""changepct"")"),0.76)</f>
        <v>0.76</v>
      </c>
      <c r="R609" s="9"/>
      <c r="S609" s="9"/>
      <c r="T609" s="9"/>
      <c r="U609" s="9"/>
      <c r="V609" s="9"/>
      <c r="W609" s="9"/>
    </row>
    <row r="610" spans="1:23" ht="14.4">
      <c r="A610" s="3">
        <f>LOOKUP(D610,'AMFI DATA_2023H1'!B:C,'AMFI DATA_2023H1'!C:C)</f>
        <v>885</v>
      </c>
      <c r="B610" s="4" t="s">
        <v>2984</v>
      </c>
      <c r="C610" s="4" t="s">
        <v>2985</v>
      </c>
      <c r="D610" s="5" t="s">
        <v>2986</v>
      </c>
      <c r="E610" s="5">
        <f>LOOKUP(D610,'AMFI DATA_2023H1'!B:D,'AMFI DATA_2023H1'!D:D)</f>
        <v>1549.05</v>
      </c>
      <c r="F610" s="7">
        <f t="shared" si="2"/>
        <v>0.20202704883638356</v>
      </c>
      <c r="G610" s="8">
        <v>1862</v>
      </c>
      <c r="H610" s="8">
        <v>1857</v>
      </c>
      <c r="I610" s="8">
        <v>1861</v>
      </c>
      <c r="J610" s="8">
        <v>1887</v>
      </c>
      <c r="K610" s="8">
        <v>1914</v>
      </c>
      <c r="L610" s="8">
        <v>1941</v>
      </c>
      <c r="M610" s="8"/>
      <c r="N610" s="8"/>
      <c r="O610" s="8"/>
      <c r="P610" s="8"/>
      <c r="Q610" s="9">
        <f ca="1">IFERROR(__xludf.DUMMYFUNCTION("GOOGLEFINANCE(C610,""changepct"")"),5.16)</f>
        <v>5.16</v>
      </c>
      <c r="R610" s="8"/>
      <c r="S610" s="8"/>
      <c r="T610" s="8"/>
      <c r="U610" s="8"/>
      <c r="V610" s="8"/>
      <c r="W610" s="8"/>
    </row>
    <row r="611" spans="1:23" ht="14.4">
      <c r="A611" s="3">
        <f>LOOKUP(D611,'AMFI DATA_2023H1'!B:C,'AMFI DATA_2023H1'!C:C)</f>
        <v>1780</v>
      </c>
      <c r="B611" s="4" t="s">
        <v>4277</v>
      </c>
      <c r="C611" s="4" t="s">
        <v>4278</v>
      </c>
      <c r="D611" s="5" t="s">
        <v>4279</v>
      </c>
      <c r="E611" s="5">
        <f>LOOKUP(D611,'AMFI DATA_2023H1'!B:D,'AMFI DATA_2023H1'!D:D)</f>
        <v>202.05</v>
      </c>
      <c r="F611" s="7">
        <f t="shared" si="2"/>
        <v>1.26676565206632</v>
      </c>
      <c r="G611" s="9">
        <v>458</v>
      </c>
      <c r="H611" s="9">
        <v>436</v>
      </c>
      <c r="I611" s="9">
        <v>439</v>
      </c>
      <c r="J611" s="9">
        <v>448</v>
      </c>
      <c r="K611" s="9">
        <v>461</v>
      </c>
      <c r="L611" s="9">
        <v>468</v>
      </c>
      <c r="M611" s="9"/>
      <c r="N611" s="9"/>
      <c r="O611" s="9"/>
      <c r="P611" s="9"/>
      <c r="Q611" s="9">
        <f ca="1">IFERROR(__xludf.DUMMYFUNCTION("GOOGLEFINANCE(C611,""changepct"")"),-3.94)</f>
        <v>-3.94</v>
      </c>
      <c r="R611" s="9"/>
      <c r="S611" s="9"/>
      <c r="T611" s="9"/>
      <c r="U611" s="9"/>
      <c r="V611" s="9"/>
      <c r="W611" s="9"/>
    </row>
    <row r="612" spans="1:23" ht="14.4">
      <c r="A612" s="3">
        <f>LOOKUP(D612,'AMFI DATA_2023H1'!B:C,'AMFI DATA_2023H1'!C:C)</f>
        <v>998</v>
      </c>
      <c r="B612" s="4" t="s">
        <v>2771</v>
      </c>
      <c r="C612" s="4" t="s">
        <v>2772</v>
      </c>
      <c r="D612" s="5" t="s">
        <v>2773</v>
      </c>
      <c r="E612" s="5">
        <f>LOOKUP(D612,'AMFI DATA_2023H1'!B:D,'AMFI DATA_2023H1'!D:D)</f>
        <v>1182.1600000000001</v>
      </c>
      <c r="F612" s="7">
        <f t="shared" si="2"/>
        <v>1.4083034445421938</v>
      </c>
      <c r="G612" s="8">
        <v>2847</v>
      </c>
      <c r="H612" s="8">
        <v>2680</v>
      </c>
      <c r="I612" s="8">
        <v>2653</v>
      </c>
      <c r="J612" s="8">
        <v>2672</v>
      </c>
      <c r="K612" s="8">
        <v>2675</v>
      </c>
      <c r="L612" s="8">
        <v>2650</v>
      </c>
      <c r="M612" s="8"/>
      <c r="N612" s="8"/>
      <c r="O612" s="8"/>
      <c r="P612" s="8"/>
      <c r="Q612" s="9">
        <f ca="1">IFERROR(__xludf.DUMMYFUNCTION("GOOGLEFINANCE(C612,""changepct"")"),-3.63)</f>
        <v>-3.63</v>
      </c>
      <c r="R612" s="8"/>
      <c r="S612" s="8"/>
      <c r="T612" s="8"/>
      <c r="U612" s="8"/>
      <c r="V612" s="8"/>
      <c r="W612" s="8"/>
    </row>
    <row r="613" spans="1:23" ht="14.4">
      <c r="A613" s="3">
        <f>LOOKUP(D613,'AMFI DATA_2023H1'!B:C,'AMFI DATA_2023H1'!C:C)</f>
        <v>1488</v>
      </c>
      <c r="B613" s="4" t="s">
        <v>4994</v>
      </c>
      <c r="C613" s="4" t="s">
        <v>4995</v>
      </c>
      <c r="D613" s="5" t="s">
        <v>4996</v>
      </c>
      <c r="E613" s="5">
        <f>LOOKUP(D613,'AMFI DATA_2023H1'!B:D,'AMFI DATA_2023H1'!D:D)</f>
        <v>352.9</v>
      </c>
      <c r="F613" s="7">
        <f t="shared" si="2"/>
        <v>-0.59761972230093507</v>
      </c>
      <c r="G613" s="9">
        <v>142</v>
      </c>
      <c r="H613" s="9">
        <v>143</v>
      </c>
      <c r="I613" s="9">
        <v>141</v>
      </c>
      <c r="J613" s="9">
        <v>143</v>
      </c>
      <c r="K613" s="9">
        <v>143</v>
      </c>
      <c r="L613" s="9">
        <v>141</v>
      </c>
      <c r="M613" s="9"/>
      <c r="N613" s="9"/>
      <c r="O613" s="9"/>
      <c r="P613" s="9"/>
      <c r="Q613" s="9">
        <f ca="1">IFERROR(__xludf.DUMMYFUNCTION("GOOGLEFINANCE(C613,""changepct"")"),-3.62)</f>
        <v>-3.62</v>
      </c>
      <c r="R613" s="9"/>
      <c r="S613" s="9"/>
      <c r="T613" s="9"/>
      <c r="U613" s="9"/>
      <c r="V613" s="9"/>
      <c r="W613" s="9"/>
    </row>
    <row r="614" spans="1:23" ht="14.4">
      <c r="A614" s="3">
        <f>LOOKUP(D614,'AMFI DATA_2023H1'!B:C,'AMFI DATA_2023H1'!C:C)</f>
        <v>1815</v>
      </c>
      <c r="B614" s="4" t="s">
        <v>4535</v>
      </c>
      <c r="C614" s="4" t="s">
        <v>4536</v>
      </c>
      <c r="D614" s="5" t="s">
        <v>4537</v>
      </c>
      <c r="E614" s="5">
        <f>LOOKUP(D614,'AMFI DATA_2023H1'!B:D,'AMFI DATA_2023H1'!D:D)</f>
        <v>190.11</v>
      </c>
      <c r="F614" s="7">
        <f t="shared" si="2"/>
        <v>0.47809163116090669</v>
      </c>
      <c r="G614" s="9">
        <v>281</v>
      </c>
      <c r="H614" s="9">
        <v>280</v>
      </c>
      <c r="I614" s="9">
        <v>279</v>
      </c>
      <c r="J614" s="9">
        <v>278</v>
      </c>
      <c r="K614" s="9">
        <v>268</v>
      </c>
      <c r="L614" s="9">
        <v>257</v>
      </c>
      <c r="M614" s="9"/>
      <c r="N614" s="9"/>
      <c r="O614" s="9"/>
      <c r="P614" s="9"/>
      <c r="Q614" s="9">
        <f ca="1">IFERROR(__xludf.DUMMYFUNCTION("GOOGLEFINANCE(C614,""changepct"")"),5.87)</f>
        <v>5.87</v>
      </c>
      <c r="R614" s="9"/>
      <c r="S614" s="9"/>
      <c r="T614" s="9"/>
      <c r="U614" s="9"/>
      <c r="V614" s="9"/>
      <c r="W614" s="9"/>
    </row>
    <row r="615" spans="1:23" ht="14.4">
      <c r="A615" s="3">
        <f>LOOKUP(D615,'AMFI DATA_2023H1'!B:C,'AMFI DATA_2023H1'!C:C)</f>
        <v>1569</v>
      </c>
      <c r="B615" s="4" t="s">
        <v>3827</v>
      </c>
      <c r="C615" s="4" t="s">
        <v>3828</v>
      </c>
      <c r="D615" s="5" t="s">
        <v>3829</v>
      </c>
      <c r="E615" s="5">
        <f>LOOKUP(D615,'AMFI DATA_2023H1'!B:D,'AMFI DATA_2023H1'!D:D)</f>
        <v>306.04000000000002</v>
      </c>
      <c r="F615" s="7">
        <f t="shared" si="2"/>
        <v>2.1923931512220625</v>
      </c>
      <c r="G615" s="9">
        <v>977</v>
      </c>
      <c r="H615" s="9">
        <v>960</v>
      </c>
      <c r="I615" s="9">
        <v>959</v>
      </c>
      <c r="J615" s="9">
        <v>942</v>
      </c>
      <c r="K615" s="9">
        <v>945</v>
      </c>
      <c r="L615" s="9">
        <v>948</v>
      </c>
      <c r="M615" s="9"/>
      <c r="N615" s="9"/>
      <c r="O615" s="9"/>
      <c r="P615" s="9"/>
      <c r="Q615" s="9">
        <f ca="1">IFERROR(__xludf.DUMMYFUNCTION("GOOGLEFINANCE(C615,""changepct"")"),4)</f>
        <v>4</v>
      </c>
      <c r="R615" s="9"/>
      <c r="S615" s="9"/>
      <c r="T615" s="9"/>
      <c r="U615" s="9"/>
      <c r="V615" s="9"/>
      <c r="W615" s="9"/>
    </row>
    <row r="616" spans="1:23" ht="14.4">
      <c r="A616" s="3">
        <f>LOOKUP(D616,'AMFI DATA_2023H1'!B:C,'AMFI DATA_2023H1'!C:C)</f>
        <v>416</v>
      </c>
      <c r="B616" s="4" t="s">
        <v>1377</v>
      </c>
      <c r="C616" s="4" t="s">
        <v>1378</v>
      </c>
      <c r="D616" s="5" t="s">
        <v>1379</v>
      </c>
      <c r="E616" s="5">
        <f>LOOKUP(D616,'AMFI DATA_2023H1'!B:D,'AMFI DATA_2023H1'!D:D)</f>
        <v>7099.31</v>
      </c>
      <c r="F616" s="7">
        <f t="shared" si="2"/>
        <v>0.39971349328314987</v>
      </c>
      <c r="G616" s="8">
        <v>9937</v>
      </c>
      <c r="H616" s="8">
        <v>9826</v>
      </c>
      <c r="I616" s="8">
        <v>9570</v>
      </c>
      <c r="J616" s="8">
        <v>9623</v>
      </c>
      <c r="K616" s="8">
        <v>9604</v>
      </c>
      <c r="L616" s="8">
        <v>9351</v>
      </c>
      <c r="M616" s="8"/>
      <c r="N616" s="8"/>
      <c r="O616" s="8"/>
      <c r="P616" s="8"/>
      <c r="Q616" s="9">
        <f ca="1">IFERROR(__xludf.DUMMYFUNCTION("GOOGLEFINANCE(C616,""changepct"")"),-1.15)</f>
        <v>-1.1499999999999999</v>
      </c>
      <c r="R616" s="8"/>
      <c r="S616" s="8"/>
      <c r="T616" s="8"/>
      <c r="U616" s="8"/>
      <c r="V616" s="8"/>
      <c r="W616" s="8"/>
    </row>
    <row r="617" spans="1:23" ht="14.4">
      <c r="A617" s="3">
        <f>LOOKUP(D617,'AMFI DATA_2023H1'!B:C,'AMFI DATA_2023H1'!C:C)</f>
        <v>444</v>
      </c>
      <c r="B617" s="4" t="s">
        <v>1308</v>
      </c>
      <c r="C617" s="4" t="s">
        <v>1309</v>
      </c>
      <c r="D617" s="5" t="s">
        <v>1310</v>
      </c>
      <c r="E617" s="5">
        <f>LOOKUP(D617,'AMFI DATA_2023H1'!B:D,'AMFI DATA_2023H1'!D:D)</f>
        <v>6459.86</v>
      </c>
      <c r="F617" s="7">
        <f t="shared" si="2"/>
        <v>0.65885947992680971</v>
      </c>
      <c r="G617" s="8">
        <v>10716</v>
      </c>
      <c r="H617" s="8">
        <v>10739</v>
      </c>
      <c r="I617" s="8">
        <v>10799</v>
      </c>
      <c r="J617" s="8">
        <v>10748</v>
      </c>
      <c r="K617" s="8">
        <v>10658</v>
      </c>
      <c r="L617" s="8">
        <v>10289</v>
      </c>
      <c r="M617" s="8"/>
      <c r="N617" s="8"/>
      <c r="O617" s="8"/>
      <c r="P617" s="8"/>
      <c r="Q617" s="9">
        <f ca="1">IFERROR(__xludf.DUMMYFUNCTION("GOOGLEFINANCE(C617,""changepct"")"),0.75)</f>
        <v>0.75</v>
      </c>
      <c r="R617" s="8"/>
      <c r="S617" s="8"/>
      <c r="T617" s="8"/>
      <c r="U617" s="8"/>
      <c r="V617" s="8"/>
      <c r="W617" s="8"/>
    </row>
    <row r="618" spans="1:23" ht="14.4">
      <c r="A618" s="3">
        <f>LOOKUP(D618,'AMFI DATA_2023H1'!B:C,'AMFI DATA_2023H1'!C:C)</f>
        <v>47</v>
      </c>
      <c r="B618" s="4" t="s">
        <v>153</v>
      </c>
      <c r="C618" s="4" t="s">
        <v>154</v>
      </c>
      <c r="D618" s="5" t="s">
        <v>155</v>
      </c>
      <c r="E618" s="5">
        <f>LOOKUP(D618,'AMFI DATA_2023H1'!B:D,'AMFI DATA_2023H1'!D:D)</f>
        <v>110044.86</v>
      </c>
      <c r="F618" s="7">
        <f t="shared" si="2"/>
        <v>0.27226296621214297</v>
      </c>
      <c r="G618" s="8">
        <v>140006</v>
      </c>
      <c r="H618" s="8">
        <v>140516</v>
      </c>
      <c r="I618" s="8">
        <v>140813</v>
      </c>
      <c r="J618" s="8">
        <v>139598</v>
      </c>
      <c r="K618" s="8">
        <v>136516</v>
      </c>
      <c r="L618" s="8">
        <v>134732</v>
      </c>
      <c r="M618" s="8"/>
      <c r="N618" s="8"/>
      <c r="O618" s="8"/>
      <c r="P618" s="8"/>
      <c r="Q618" s="9">
        <f ca="1">IFERROR(__xludf.DUMMYFUNCTION("GOOGLEFINANCE(C618,""changepct"")"),1.77)</f>
        <v>1.77</v>
      </c>
      <c r="R618" s="8"/>
      <c r="S618" s="8"/>
      <c r="T618" s="8"/>
      <c r="U618" s="8"/>
      <c r="V618" s="8"/>
      <c r="W618" s="8"/>
    </row>
    <row r="619" spans="1:23" ht="14.4">
      <c r="A619" s="3">
        <f>LOOKUP(D619,'AMFI DATA_2023H1'!B:C,'AMFI DATA_2023H1'!C:C)</f>
        <v>609</v>
      </c>
      <c r="B619" s="4" t="s">
        <v>1683</v>
      </c>
      <c r="C619" s="4" t="s">
        <v>1684</v>
      </c>
      <c r="D619" s="5" t="s">
        <v>1685</v>
      </c>
      <c r="E619" s="5">
        <f>LOOKUP(D619,'AMFI DATA_2023H1'!B:D,'AMFI DATA_2023H1'!D:D)</f>
        <v>3576.31</v>
      </c>
      <c r="F619" s="7">
        <f t="shared" si="2"/>
        <v>1.0867877784643949</v>
      </c>
      <c r="G619" s="8">
        <v>7463</v>
      </c>
      <c r="H619" s="8">
        <v>7561</v>
      </c>
      <c r="I619" s="8">
        <v>7525</v>
      </c>
      <c r="J619" s="8">
        <v>7708</v>
      </c>
      <c r="K619" s="8">
        <v>7536</v>
      </c>
      <c r="L619" s="8">
        <v>7233</v>
      </c>
      <c r="M619" s="8"/>
      <c r="N619" s="8"/>
      <c r="O619" s="8"/>
      <c r="P619" s="8"/>
      <c r="Q619" s="9">
        <f ca="1">IFERROR(__xludf.DUMMYFUNCTION("GOOGLEFINANCE(C619,""changepct"")"),0.77)</f>
        <v>0.77</v>
      </c>
      <c r="R619" s="8"/>
      <c r="S619" s="8"/>
      <c r="T619" s="8"/>
      <c r="U619" s="8"/>
      <c r="V619" s="8"/>
      <c r="W619" s="8"/>
    </row>
    <row r="620" spans="1:23" ht="14.4">
      <c r="A620" s="3">
        <f>LOOKUP(D620,'AMFI DATA_2023H1'!B:C,'AMFI DATA_2023H1'!C:C)</f>
        <v>641</v>
      </c>
      <c r="B620" s="4" t="s">
        <v>2240</v>
      </c>
      <c r="C620" s="4" t="s">
        <v>2241</v>
      </c>
      <c r="D620" s="5" t="s">
        <v>2242</v>
      </c>
      <c r="E620" s="5">
        <f>LOOKUP(D620,'AMFI DATA_2023H1'!B:D,'AMFI DATA_2023H1'!D:D)</f>
        <v>3159.35</v>
      </c>
      <c r="F620" s="7">
        <f t="shared" si="2"/>
        <v>0.14833747448051016</v>
      </c>
      <c r="G620" s="8">
        <v>3628</v>
      </c>
      <c r="H620" s="8">
        <v>3526</v>
      </c>
      <c r="I620" s="8">
        <v>3431</v>
      </c>
      <c r="J620" s="8">
        <v>3457</v>
      </c>
      <c r="K620" s="8">
        <v>3349</v>
      </c>
      <c r="L620" s="8">
        <v>3135</v>
      </c>
      <c r="M620" s="8"/>
      <c r="N620" s="8"/>
      <c r="O620" s="8"/>
      <c r="P620" s="8"/>
      <c r="Q620" s="9">
        <f ca="1">IFERROR(__xludf.DUMMYFUNCTION("GOOGLEFINANCE(C620,""changepct"")"),7.88)</f>
        <v>7.88</v>
      </c>
      <c r="R620" s="8"/>
      <c r="S620" s="8"/>
      <c r="T620" s="8"/>
      <c r="U620" s="8"/>
      <c r="V620" s="8"/>
      <c r="W620" s="8"/>
    </row>
    <row r="621" spans="1:23" ht="14.4">
      <c r="A621" s="3">
        <f>LOOKUP(D621,'AMFI DATA_2023H1'!B:C,'AMFI DATA_2023H1'!C:C)</f>
        <v>561</v>
      </c>
      <c r="B621" s="4" t="s">
        <v>1662</v>
      </c>
      <c r="C621" s="4" t="s">
        <v>1663</v>
      </c>
      <c r="D621" s="5" t="s">
        <v>1664</v>
      </c>
      <c r="E621" s="5">
        <f>LOOKUP(D621,'AMFI DATA_2023H1'!B:D,'AMFI DATA_2023H1'!D:D)</f>
        <v>4209.04</v>
      </c>
      <c r="F621" s="7">
        <f t="shared" si="2"/>
        <v>0.63671526048695193</v>
      </c>
      <c r="G621" s="8">
        <v>6889</v>
      </c>
      <c r="H621" s="8">
        <v>6838</v>
      </c>
      <c r="I621" s="8">
        <v>6883</v>
      </c>
      <c r="J621" s="8">
        <v>6952</v>
      </c>
      <c r="K621" s="8">
        <v>6890</v>
      </c>
      <c r="L621" s="8">
        <v>6924</v>
      </c>
      <c r="M621" s="8"/>
      <c r="N621" s="8"/>
      <c r="O621" s="8"/>
      <c r="P621" s="8"/>
      <c r="Q621" s="9">
        <f ca="1">IFERROR(__xludf.DUMMYFUNCTION("GOOGLEFINANCE(C621,""changepct"")"),-1.47)</f>
        <v>-1.47</v>
      </c>
      <c r="R621" s="8"/>
      <c r="S621" s="8"/>
      <c r="T621" s="8"/>
      <c r="U621" s="8"/>
      <c r="V621" s="8"/>
      <c r="W621" s="8"/>
    </row>
    <row r="622" spans="1:23" ht="14.4">
      <c r="A622" s="3">
        <f>LOOKUP(D622,'AMFI DATA_2023H1'!B:C,'AMFI DATA_2023H1'!C:C)</f>
        <v>598</v>
      </c>
      <c r="B622" s="4" t="s">
        <v>1926</v>
      </c>
      <c r="C622" s="4" t="s">
        <v>1927</v>
      </c>
      <c r="D622" s="5" t="s">
        <v>1928</v>
      </c>
      <c r="E622" s="5">
        <f>LOOKUP(D622,'AMFI DATA_2023H1'!B:D,'AMFI DATA_2023H1'!D:D)</f>
        <v>3739.86</v>
      </c>
      <c r="F622" s="7">
        <f t="shared" si="2"/>
        <v>0.37705689517789431</v>
      </c>
      <c r="G622" s="8">
        <v>5150</v>
      </c>
      <c r="H622" s="8">
        <v>5249</v>
      </c>
      <c r="I622" s="8">
        <v>5114</v>
      </c>
      <c r="J622" s="8">
        <v>4803</v>
      </c>
      <c r="K622" s="8">
        <v>4726</v>
      </c>
      <c r="L622" s="8">
        <v>4524</v>
      </c>
      <c r="M622" s="8"/>
      <c r="N622" s="8"/>
      <c r="O622" s="8"/>
      <c r="P622" s="8"/>
      <c r="Q622" s="9">
        <f ca="1">IFERROR(__xludf.DUMMYFUNCTION("GOOGLEFINANCE(C622,""changepct"")"),0.9)</f>
        <v>0.9</v>
      </c>
      <c r="R622" s="8"/>
      <c r="S622" s="8"/>
      <c r="T622" s="8"/>
      <c r="U622" s="8"/>
      <c r="V622" s="8"/>
      <c r="W622" s="8"/>
    </row>
    <row r="623" spans="1:23" ht="14.4">
      <c r="A623" s="3">
        <f>LOOKUP(D623,'AMFI DATA_2023H1'!B:C,'AMFI DATA_2023H1'!C:C)</f>
        <v>820</v>
      </c>
      <c r="B623" s="4" t="s">
        <v>2576</v>
      </c>
      <c r="C623" s="4" t="s">
        <v>2577</v>
      </c>
      <c r="D623" s="5" t="s">
        <v>2578</v>
      </c>
      <c r="E623" s="5">
        <f>LOOKUP(D623,'AMFI DATA_2023H1'!B:D,'AMFI DATA_2023H1'!D:D)</f>
        <v>1837.14</v>
      </c>
      <c r="F623" s="7">
        <f t="shared" si="2"/>
        <v>0.6160989363902587</v>
      </c>
      <c r="G623" s="8">
        <v>2969</v>
      </c>
      <c r="H623" s="8">
        <v>2944</v>
      </c>
      <c r="I623" s="8">
        <v>2934</v>
      </c>
      <c r="J623" s="8">
        <v>2902</v>
      </c>
      <c r="K623" s="8">
        <v>2826</v>
      </c>
      <c r="L623" s="8">
        <v>2843</v>
      </c>
      <c r="M623" s="8"/>
      <c r="N623" s="8"/>
      <c r="O623" s="8"/>
      <c r="P623" s="8"/>
      <c r="Q623" s="9">
        <f ca="1">IFERROR(__xludf.DUMMYFUNCTION("GOOGLEFINANCE(C623,""changepct"")"),1.88)</f>
        <v>1.88</v>
      </c>
      <c r="R623" s="8"/>
      <c r="S623" s="8"/>
      <c r="T623" s="8"/>
      <c r="U623" s="8"/>
      <c r="V623" s="8"/>
      <c r="W623" s="8"/>
    </row>
    <row r="624" spans="1:23" ht="14.4">
      <c r="A624" s="3">
        <f>LOOKUP(D624,'AMFI DATA_2023H1'!B:C,'AMFI DATA_2023H1'!C:C)</f>
        <v>211</v>
      </c>
      <c r="B624" s="4" t="s">
        <v>711</v>
      </c>
      <c r="C624" s="4" t="s">
        <v>712</v>
      </c>
      <c r="D624" s="5" t="s">
        <v>713</v>
      </c>
      <c r="E624" s="5">
        <f>LOOKUP(D624,'AMFI DATA_2023H1'!B:D,'AMFI DATA_2023H1'!D:D)</f>
        <v>21705.599999999999</v>
      </c>
      <c r="F624" s="7">
        <f t="shared" si="2"/>
        <v>0.19107511425622881</v>
      </c>
      <c r="G624" s="8">
        <v>25853</v>
      </c>
      <c r="H624" s="8">
        <v>25752</v>
      </c>
      <c r="I624" s="8">
        <v>24753</v>
      </c>
      <c r="J624" s="8">
        <v>25001</v>
      </c>
      <c r="K624" s="8">
        <v>24476</v>
      </c>
      <c r="L624" s="8">
        <v>24368</v>
      </c>
      <c r="M624" s="8"/>
      <c r="N624" s="8"/>
      <c r="O624" s="8"/>
      <c r="P624" s="8"/>
      <c r="Q624" s="9">
        <f ca="1">IFERROR(__xludf.DUMMYFUNCTION("GOOGLEFINANCE(C624,""changepct"")"),-0.21)</f>
        <v>-0.21</v>
      </c>
      <c r="R624" s="8"/>
      <c r="S624" s="8"/>
      <c r="T624" s="8"/>
      <c r="U624" s="8"/>
      <c r="V624" s="8"/>
      <c r="W624" s="8"/>
    </row>
    <row r="625" spans="1:23" ht="14.4">
      <c r="A625" s="3">
        <f>LOOKUP(D625,'AMFI DATA_2023H1'!B:C,'AMFI DATA_2023H1'!C:C)</f>
        <v>896</v>
      </c>
      <c r="B625" s="4" t="s">
        <v>3254</v>
      </c>
      <c r="C625" s="4" t="s">
        <v>3255</v>
      </c>
      <c r="D625" s="5" t="s">
        <v>3256</v>
      </c>
      <c r="E625" s="5">
        <f>LOOKUP(D625,'AMFI DATA_2023H1'!B:D,'AMFI DATA_2023H1'!D:D)</f>
        <v>1484.4</v>
      </c>
      <c r="F625" s="7">
        <f t="shared" si="2"/>
        <v>-0.23201293451899763</v>
      </c>
      <c r="G625" s="8">
        <v>1140</v>
      </c>
      <c r="H625" s="8">
        <v>1133</v>
      </c>
      <c r="I625" s="8">
        <v>1140</v>
      </c>
      <c r="J625" s="8">
        <v>1122</v>
      </c>
      <c r="K625" s="8">
        <v>1144</v>
      </c>
      <c r="L625" s="8">
        <v>1144</v>
      </c>
      <c r="M625" s="8"/>
      <c r="N625" s="8"/>
      <c r="O625" s="8"/>
      <c r="P625" s="8"/>
      <c r="Q625" s="9">
        <f ca="1">IFERROR(__xludf.DUMMYFUNCTION("GOOGLEFINANCE(C625,""changepct"")"),1.02)</f>
        <v>1.02</v>
      </c>
      <c r="R625" s="8"/>
      <c r="S625" s="8"/>
      <c r="T625" s="8"/>
      <c r="U625" s="8"/>
      <c r="V625" s="8"/>
      <c r="W625" s="8"/>
    </row>
    <row r="626" spans="1:23" ht="14.4">
      <c r="A626" s="3">
        <f>LOOKUP(D626,'AMFI DATA_2023H1'!B:C,'AMFI DATA_2023H1'!C:C)</f>
        <v>1405</v>
      </c>
      <c r="B626" s="4" t="s">
        <v>3917</v>
      </c>
      <c r="C626" s="4" t="s">
        <v>3918</v>
      </c>
      <c r="D626" s="5" t="s">
        <v>3919</v>
      </c>
      <c r="E626" s="5">
        <f>LOOKUP(D626,'AMFI DATA_2023H1'!B:D,'AMFI DATA_2023H1'!D:D)</f>
        <v>404.73</v>
      </c>
      <c r="F626" s="7">
        <f t="shared" si="2"/>
        <v>0.62577520816346688</v>
      </c>
      <c r="G626" s="9">
        <v>658</v>
      </c>
      <c r="H626" s="9">
        <v>639</v>
      </c>
      <c r="I626" s="9">
        <v>638</v>
      </c>
      <c r="J626" s="9">
        <v>638</v>
      </c>
      <c r="K626" s="9">
        <v>643</v>
      </c>
      <c r="L626" s="9">
        <v>640</v>
      </c>
      <c r="M626" s="9"/>
      <c r="N626" s="9"/>
      <c r="O626" s="9"/>
      <c r="P626" s="9"/>
      <c r="Q626" s="9">
        <f ca="1">IFERROR(__xludf.DUMMYFUNCTION("GOOGLEFINANCE(C626,""changepct"")"),-1.94)</f>
        <v>-1.94</v>
      </c>
      <c r="R626" s="9"/>
      <c r="S626" s="9"/>
      <c r="T626" s="9"/>
      <c r="U626" s="9"/>
      <c r="V626" s="9"/>
      <c r="W626" s="9"/>
    </row>
    <row r="627" spans="1:23" ht="14.4">
      <c r="A627" s="3">
        <f>LOOKUP(D627,'AMFI DATA_2023H1'!B:C,'AMFI DATA_2023H1'!C:C)</f>
        <v>1476</v>
      </c>
      <c r="B627" s="4" t="s">
        <v>4343</v>
      </c>
      <c r="C627" s="4" t="s">
        <v>4344</v>
      </c>
      <c r="D627" s="5" t="s">
        <v>4345</v>
      </c>
      <c r="E627" s="5">
        <f>LOOKUP(D627,'AMFI DATA_2023H1'!B:D,'AMFI DATA_2023H1'!D:D)</f>
        <v>361.63</v>
      </c>
      <c r="F627" s="7">
        <f t="shared" si="2"/>
        <v>-0.12894394823438315</v>
      </c>
      <c r="G627" s="9">
        <v>315</v>
      </c>
      <c r="H627" s="9">
        <v>315</v>
      </c>
      <c r="I627" s="9">
        <v>315</v>
      </c>
      <c r="J627" s="9">
        <v>317</v>
      </c>
      <c r="K627" s="9">
        <v>325</v>
      </c>
      <c r="L627" s="9">
        <v>324</v>
      </c>
      <c r="M627" s="9"/>
      <c r="N627" s="9"/>
      <c r="O627" s="9"/>
      <c r="P627" s="9"/>
      <c r="Q627" s="9">
        <f ca="1">IFERROR(__xludf.DUMMYFUNCTION("GOOGLEFINANCE(C627,""changepct"")"),-1.5)</f>
        <v>-1.5</v>
      </c>
      <c r="R627" s="9"/>
      <c r="S627" s="9"/>
      <c r="T627" s="9"/>
      <c r="U627" s="9"/>
      <c r="V627" s="9"/>
      <c r="W627" s="9"/>
    </row>
    <row r="628" spans="1:23" ht="14.4">
      <c r="A628" s="3">
        <f>LOOKUP(D628,'AMFI DATA_2023H1'!B:C,'AMFI DATA_2023H1'!C:C)</f>
        <v>1476</v>
      </c>
      <c r="B628" s="4" t="s">
        <v>5272</v>
      </c>
      <c r="C628" s="4" t="s">
        <v>5273</v>
      </c>
      <c r="D628" s="5" t="s">
        <v>5274</v>
      </c>
      <c r="E628" s="5">
        <f>LOOKUP(D628,'AMFI DATA_2023H1'!B:D,'AMFI DATA_2023H1'!D:D)</f>
        <v>361.63</v>
      </c>
      <c r="F628" s="7">
        <f t="shared" si="2"/>
        <v>-0.67369963775129271</v>
      </c>
      <c r="G628" s="9">
        <v>118</v>
      </c>
      <c r="H628" s="9">
        <v>124</v>
      </c>
      <c r="I628" s="9">
        <v>130</v>
      </c>
      <c r="J628" s="9">
        <v>137</v>
      </c>
      <c r="K628" s="9">
        <v>114</v>
      </c>
      <c r="L628" s="9">
        <v>95.3</v>
      </c>
      <c r="M628" s="9"/>
      <c r="N628" s="9"/>
      <c r="O628" s="9"/>
      <c r="P628" s="9"/>
      <c r="Q628" s="9">
        <f ca="1">IFERROR(__xludf.DUMMYFUNCTION("GOOGLEFINANCE(C628,""changepct"")"),2.68)</f>
        <v>2.68</v>
      </c>
      <c r="R628" s="9"/>
      <c r="S628" s="9"/>
      <c r="T628" s="9"/>
      <c r="U628" s="9"/>
      <c r="V628" s="9"/>
      <c r="W628" s="9"/>
    </row>
    <row r="629" spans="1:23" ht="14.4">
      <c r="A629" s="3">
        <f>LOOKUP(D629,'AMFI DATA_2023H1'!B:C,'AMFI DATA_2023H1'!C:C)</f>
        <v>1015</v>
      </c>
      <c r="B629" s="4" t="s">
        <v>3173</v>
      </c>
      <c r="C629" s="4" t="s">
        <v>3174</v>
      </c>
      <c r="D629" s="5" t="s">
        <v>3175</v>
      </c>
      <c r="E629" s="5">
        <f>LOOKUP(D629,'AMFI DATA_2023H1'!B:D,'AMFI DATA_2023H1'!D:D)</f>
        <v>1110.6099999999999</v>
      </c>
      <c r="F629" s="7">
        <f t="shared" si="2"/>
        <v>0.56850739683597307</v>
      </c>
      <c r="G629" s="8">
        <v>1742</v>
      </c>
      <c r="H629" s="8">
        <v>1665</v>
      </c>
      <c r="I629" s="8">
        <v>1703</v>
      </c>
      <c r="J629" s="8">
        <v>1780</v>
      </c>
      <c r="K629" s="8">
        <v>1818</v>
      </c>
      <c r="L629" s="8">
        <v>1793</v>
      </c>
      <c r="M629" s="8"/>
      <c r="N629" s="8"/>
      <c r="O629" s="8"/>
      <c r="P629" s="8"/>
      <c r="Q629" s="9">
        <f ca="1">IFERROR(__xludf.DUMMYFUNCTION("GOOGLEFINANCE(C629,""changepct"")"),6.06)</f>
        <v>6.06</v>
      </c>
      <c r="R629" s="8"/>
      <c r="S629" s="8"/>
      <c r="T629" s="8"/>
      <c r="U629" s="8"/>
      <c r="V629" s="8"/>
      <c r="W629" s="8"/>
    </row>
    <row r="630" spans="1:23" ht="14.4">
      <c r="A630" s="3">
        <f>LOOKUP(D630,'AMFI DATA_2023H1'!B:C,'AMFI DATA_2023H1'!C:C)</f>
        <v>2253</v>
      </c>
      <c r="B630" s="4" t="s">
        <v>5057</v>
      </c>
      <c r="C630" s="4" t="s">
        <v>5058</v>
      </c>
      <c r="D630" s="5" t="s">
        <v>5059</v>
      </c>
      <c r="E630" s="5">
        <f>LOOKUP(D630,'AMFI DATA_2023H1'!B:D,'AMFI DATA_2023H1'!D:D)</f>
        <v>94.06</v>
      </c>
      <c r="F630" s="7">
        <f t="shared" si="2"/>
        <v>0.7860939825643205</v>
      </c>
      <c r="G630" s="9">
        <v>168</v>
      </c>
      <c r="H630" s="9">
        <v>141</v>
      </c>
      <c r="I630" s="9">
        <v>139</v>
      </c>
      <c r="J630" s="9">
        <v>142</v>
      </c>
      <c r="K630" s="9">
        <v>139</v>
      </c>
      <c r="L630" s="9">
        <v>132</v>
      </c>
      <c r="M630" s="9"/>
      <c r="N630" s="9"/>
      <c r="O630" s="9"/>
      <c r="P630" s="9"/>
      <c r="Q630" s="9">
        <f ca="1">IFERROR(__xludf.DUMMYFUNCTION("GOOGLEFINANCE(C630,""changepct"")"),2.06)</f>
        <v>2.06</v>
      </c>
      <c r="R630" s="9"/>
      <c r="S630" s="9"/>
      <c r="T630" s="9"/>
      <c r="U630" s="9"/>
      <c r="V630" s="9"/>
      <c r="W630" s="9"/>
    </row>
    <row r="631" spans="1:23" ht="14.4">
      <c r="A631" s="3">
        <f>LOOKUP(D631,'AMFI DATA_2023H1'!B:C,'AMFI DATA_2023H1'!C:C)</f>
        <v>963</v>
      </c>
      <c r="B631" s="4" t="s">
        <v>2801</v>
      </c>
      <c r="C631" s="4" t="s">
        <v>2802</v>
      </c>
      <c r="D631" s="5" t="s">
        <v>2803</v>
      </c>
      <c r="E631" s="5">
        <f>LOOKUP(D631,'AMFI DATA_2023H1'!B:D,'AMFI DATA_2023H1'!D:D)</f>
        <v>1275.1300000000001</v>
      </c>
      <c r="F631" s="7">
        <f t="shared" si="2"/>
        <v>0.66022287923584244</v>
      </c>
      <c r="G631" s="8">
        <v>2117</v>
      </c>
      <c r="H631" s="8">
        <v>2159</v>
      </c>
      <c r="I631" s="8">
        <v>2096</v>
      </c>
      <c r="J631" s="8">
        <v>2148</v>
      </c>
      <c r="K631" s="8">
        <v>2224</v>
      </c>
      <c r="L631" s="8">
        <v>2156</v>
      </c>
      <c r="M631" s="8"/>
      <c r="N631" s="8"/>
      <c r="O631" s="8"/>
      <c r="P631" s="8"/>
      <c r="Q631" s="9">
        <f ca="1">IFERROR(__xludf.DUMMYFUNCTION("GOOGLEFINANCE(C631,""changepct"")"),0.44)</f>
        <v>0.44</v>
      </c>
      <c r="R631" s="8"/>
      <c r="S631" s="8"/>
      <c r="T631" s="8"/>
      <c r="U631" s="8"/>
      <c r="V631" s="8"/>
      <c r="W631" s="8"/>
    </row>
    <row r="632" spans="1:23" ht="14.4">
      <c r="A632" s="3">
        <f>LOOKUP(D632,'AMFI DATA_2023H1'!B:C,'AMFI DATA_2023H1'!C:C)</f>
        <v>783</v>
      </c>
      <c r="B632" s="4" t="s">
        <v>2378</v>
      </c>
      <c r="C632" s="4" t="s">
        <v>2379</v>
      </c>
      <c r="D632" s="5" t="s">
        <v>2380</v>
      </c>
      <c r="E632" s="5">
        <f>LOOKUP(D632,'AMFI DATA_2023H1'!B:D,'AMFI DATA_2023H1'!D:D)</f>
        <v>2030.39</v>
      </c>
      <c r="F632" s="7">
        <f t="shared" si="2"/>
        <v>0.55093356448761077</v>
      </c>
      <c r="G632" s="8">
        <v>3149</v>
      </c>
      <c r="H632" s="8">
        <v>3164</v>
      </c>
      <c r="I632" s="8">
        <v>3169</v>
      </c>
      <c r="J632" s="8">
        <v>3259</v>
      </c>
      <c r="K632" s="8">
        <v>3201</v>
      </c>
      <c r="L632" s="8">
        <v>3237</v>
      </c>
      <c r="M632" s="8"/>
      <c r="N632" s="8"/>
      <c r="O632" s="8"/>
      <c r="P632" s="8"/>
      <c r="Q632" s="9">
        <f ca="1">IFERROR(__xludf.DUMMYFUNCTION("GOOGLEFINANCE(C632,""changepct"")"),-0.8)</f>
        <v>-0.8</v>
      </c>
      <c r="R632" s="8"/>
      <c r="S632" s="8"/>
      <c r="T632" s="8"/>
      <c r="U632" s="8"/>
      <c r="V632" s="8"/>
      <c r="W632" s="8"/>
    </row>
    <row r="633" spans="1:23" ht="14.4">
      <c r="A633" s="3">
        <f>LOOKUP(D633,'AMFI DATA_2023H1'!B:C,'AMFI DATA_2023H1'!C:C)</f>
        <v>520</v>
      </c>
      <c r="B633" s="4" t="s">
        <v>1797</v>
      </c>
      <c r="C633" s="4" t="s">
        <v>1798</v>
      </c>
      <c r="D633" s="5" t="s">
        <v>1799</v>
      </c>
      <c r="E633" s="5">
        <f>LOOKUP(D633,'AMFI DATA_2023H1'!B:D,'AMFI DATA_2023H1'!D:D)</f>
        <v>4890.54</v>
      </c>
      <c r="F633" s="7">
        <f t="shared" si="2"/>
        <v>0.21929275703705531</v>
      </c>
      <c r="G633" s="8">
        <v>5963</v>
      </c>
      <c r="H633" s="8">
        <v>5711</v>
      </c>
      <c r="I633" s="8">
        <v>5719</v>
      </c>
      <c r="J633" s="8">
        <v>5728</v>
      </c>
      <c r="K633" s="8">
        <v>5799</v>
      </c>
      <c r="L633" s="8">
        <v>5519</v>
      </c>
      <c r="M633" s="8"/>
      <c r="N633" s="8"/>
      <c r="O633" s="8"/>
      <c r="P633" s="8"/>
      <c r="Q633" s="9">
        <f ca="1">IFERROR(__xludf.DUMMYFUNCTION("GOOGLEFINANCE(C633,""changepct"")"),1.74)</f>
        <v>1.74</v>
      </c>
      <c r="R633" s="8"/>
      <c r="S633" s="8"/>
      <c r="T633" s="8"/>
      <c r="U633" s="8"/>
      <c r="V633" s="8"/>
      <c r="W633" s="8"/>
    </row>
    <row r="634" spans="1:23" ht="14.4">
      <c r="A634" s="3">
        <f>LOOKUP(D634,'AMFI DATA_2023H1'!B:C,'AMFI DATA_2023H1'!C:C)</f>
        <v>473</v>
      </c>
      <c r="B634" s="4" t="s">
        <v>1527</v>
      </c>
      <c r="C634" s="4" t="s">
        <v>1528</v>
      </c>
      <c r="D634" s="5" t="s">
        <v>1529</v>
      </c>
      <c r="E634" s="5">
        <f>LOOKUP(D634,'AMFI DATA_2023H1'!B:D,'AMFI DATA_2023H1'!D:D)</f>
        <v>5655.79</v>
      </c>
      <c r="F634" s="7">
        <f t="shared" si="2"/>
        <v>0.47229653151902751</v>
      </c>
      <c r="G634" s="8">
        <v>8327</v>
      </c>
      <c r="H634" s="8">
        <v>8401</v>
      </c>
      <c r="I634" s="8">
        <v>8272</v>
      </c>
      <c r="J634" s="8">
        <v>8450</v>
      </c>
      <c r="K634" s="8">
        <v>8464</v>
      </c>
      <c r="L634" s="8">
        <v>8420</v>
      </c>
      <c r="M634" s="8"/>
      <c r="N634" s="8"/>
      <c r="O634" s="8"/>
      <c r="P634" s="8"/>
      <c r="Q634" s="9">
        <f ca="1">IFERROR(__xludf.DUMMYFUNCTION("GOOGLEFINANCE(C634,""changepct"")"),-0.64)</f>
        <v>-0.64</v>
      </c>
      <c r="R634" s="8"/>
      <c r="S634" s="8"/>
      <c r="T634" s="8"/>
      <c r="U634" s="8"/>
      <c r="V634" s="8"/>
      <c r="W634" s="8"/>
    </row>
    <row r="635" spans="1:23" ht="14.4">
      <c r="A635" s="3">
        <f>LOOKUP(D635,'AMFI DATA_2023H1'!B:C,'AMFI DATA_2023H1'!C:C)</f>
        <v>1722</v>
      </c>
      <c r="B635" s="4" t="s">
        <v>4490</v>
      </c>
      <c r="C635" s="4" t="s">
        <v>4491</v>
      </c>
      <c r="D635" s="5" t="s">
        <v>4492</v>
      </c>
      <c r="E635" s="5">
        <f>LOOKUP(D635,'AMFI DATA_2023H1'!B:D,'AMFI DATA_2023H1'!D:D)</f>
        <v>230.78</v>
      </c>
      <c r="F635" s="7">
        <f t="shared" si="2"/>
        <v>0.44293266314238666</v>
      </c>
      <c r="G635" s="9">
        <v>333</v>
      </c>
      <c r="H635" s="9">
        <v>309</v>
      </c>
      <c r="I635" s="9">
        <v>316</v>
      </c>
      <c r="J635" s="9">
        <v>293</v>
      </c>
      <c r="K635" s="9">
        <v>271</v>
      </c>
      <c r="L635" s="9">
        <v>269</v>
      </c>
      <c r="M635" s="9"/>
      <c r="N635" s="9"/>
      <c r="O635" s="9"/>
      <c r="P635" s="9"/>
      <c r="Q635" s="9">
        <f ca="1">IFERROR(__xludf.DUMMYFUNCTION("GOOGLEFINANCE(C635,""changepct"")"),-1.69)</f>
        <v>-1.69</v>
      </c>
      <c r="R635" s="9"/>
      <c r="S635" s="9"/>
      <c r="T635" s="9"/>
      <c r="U635" s="9"/>
      <c r="V635" s="9"/>
      <c r="W635" s="9"/>
    </row>
    <row r="636" spans="1:23" ht="14.4">
      <c r="A636" s="3">
        <f>LOOKUP(D636,'AMFI DATA_2023H1'!B:C,'AMFI DATA_2023H1'!C:C)</f>
        <v>153</v>
      </c>
      <c r="B636" s="4" t="s">
        <v>591</v>
      </c>
      <c r="C636" s="4" t="s">
        <v>592</v>
      </c>
      <c r="D636" s="5" t="s">
        <v>593</v>
      </c>
      <c r="E636" s="5">
        <f>LOOKUP(D636,'AMFI DATA_2023H1'!B:D,'AMFI DATA_2023H1'!D:D)</f>
        <v>33982.300000000003</v>
      </c>
      <c r="F636" s="7">
        <f t="shared" si="2"/>
        <v>0.23225914667341518</v>
      </c>
      <c r="G636" s="8">
        <v>41875</v>
      </c>
      <c r="H636" s="8">
        <v>40205</v>
      </c>
      <c r="I636" s="8">
        <v>40206</v>
      </c>
      <c r="J636" s="8">
        <v>39394</v>
      </c>
      <c r="K636" s="8">
        <v>39617</v>
      </c>
      <c r="L636" s="8">
        <v>39206</v>
      </c>
      <c r="M636" s="8"/>
      <c r="N636" s="8"/>
      <c r="O636" s="8"/>
      <c r="P636" s="8"/>
      <c r="Q636" s="9">
        <f ca="1">IFERROR(__xludf.DUMMYFUNCTION("GOOGLEFINANCE(C636,""changepct"")"),5.45)</f>
        <v>5.45</v>
      </c>
      <c r="R636" s="8"/>
      <c r="S636" s="8"/>
      <c r="T636" s="8"/>
      <c r="U636" s="8"/>
      <c r="V636" s="8"/>
      <c r="W636" s="8"/>
    </row>
    <row r="637" spans="1:23" ht="14.4">
      <c r="A637" s="3">
        <f>LOOKUP(D637,'AMFI DATA_2023H1'!B:C,'AMFI DATA_2023H1'!C:C)</f>
        <v>160</v>
      </c>
      <c r="B637" s="4" t="s">
        <v>618</v>
      </c>
      <c r="C637" s="4" t="s">
        <v>619</v>
      </c>
      <c r="D637" s="5" t="s">
        <v>620</v>
      </c>
      <c r="E637" s="5">
        <f>LOOKUP(D637,'AMFI DATA_2023H1'!B:D,'AMFI DATA_2023H1'!D:D)</f>
        <v>32989.19</v>
      </c>
      <c r="F637" s="7">
        <f t="shared" si="2"/>
        <v>1.0088456248849909E-2</v>
      </c>
      <c r="G637" s="8">
        <v>33322</v>
      </c>
      <c r="H637" s="8">
        <v>31755</v>
      </c>
      <c r="I637" s="8">
        <v>31139</v>
      </c>
      <c r="J637" s="8">
        <v>30978</v>
      </c>
      <c r="K637" s="8">
        <v>31067</v>
      </c>
      <c r="L637" s="8">
        <v>30795</v>
      </c>
      <c r="M637" s="8"/>
      <c r="N637" s="8"/>
      <c r="O637" s="8"/>
      <c r="P637" s="8"/>
      <c r="Q637" s="9">
        <f ca="1">IFERROR(__xludf.DUMMYFUNCTION("GOOGLEFINANCE(C637,""changepct"")"),-0.45)</f>
        <v>-0.45</v>
      </c>
      <c r="R637" s="8"/>
      <c r="S637" s="8"/>
      <c r="T637" s="8"/>
      <c r="U637" s="8"/>
      <c r="V637" s="8"/>
      <c r="W637" s="8"/>
    </row>
    <row r="638" spans="1:23" ht="14.4">
      <c r="A638" s="3">
        <f>LOOKUP(D638,'AMFI DATA_2023H1'!B:C,'AMFI DATA_2023H1'!C:C)</f>
        <v>958</v>
      </c>
      <c r="B638" s="4" t="s">
        <v>2633</v>
      </c>
      <c r="C638" s="4" t="s">
        <v>2634</v>
      </c>
      <c r="D638" s="5" t="s">
        <v>2635</v>
      </c>
      <c r="E638" s="5">
        <f>LOOKUP(D638,'AMFI DATA_2023H1'!B:D,'AMFI DATA_2023H1'!D:D)</f>
        <v>1296.83</v>
      </c>
      <c r="F638" s="7">
        <f t="shared" si="2"/>
        <v>1.1159288418682483</v>
      </c>
      <c r="G638" s="8">
        <v>2744</v>
      </c>
      <c r="H638" s="8">
        <v>2633</v>
      </c>
      <c r="I638" s="8">
        <v>2676</v>
      </c>
      <c r="J638" s="8">
        <v>2651</v>
      </c>
      <c r="K638" s="8">
        <v>2654</v>
      </c>
      <c r="L638" s="8">
        <v>2533</v>
      </c>
      <c r="M638" s="8"/>
      <c r="N638" s="8"/>
      <c r="O638" s="8"/>
      <c r="P638" s="8"/>
      <c r="Q638" s="9">
        <f ca="1">IFERROR(__xludf.DUMMYFUNCTION("GOOGLEFINANCE(C638,""changepct"")"),10.08)</f>
        <v>10.08</v>
      </c>
      <c r="R638" s="8"/>
      <c r="S638" s="8"/>
      <c r="T638" s="8"/>
      <c r="U638" s="8"/>
      <c r="V638" s="8"/>
      <c r="W638" s="8"/>
    </row>
    <row r="639" spans="1:23" ht="14.4">
      <c r="A639" s="3">
        <f>LOOKUP(D639,'AMFI DATA_2023H1'!B:C,'AMFI DATA_2023H1'!C:C)</f>
        <v>3943</v>
      </c>
      <c r="B639" s="4" t="s">
        <v>5737</v>
      </c>
      <c r="C639" s="4" t="s">
        <v>5738</v>
      </c>
      <c r="D639" s="5" t="s">
        <v>5739</v>
      </c>
      <c r="E639" s="5">
        <f>LOOKUP(D639,'AMFI DATA_2023H1'!B:D,'AMFI DATA_2023H1'!D:D)</f>
        <v>7.56</v>
      </c>
      <c r="F639" s="7">
        <f t="shared" si="2"/>
        <v>0.78571428571428581</v>
      </c>
      <c r="G639" s="9">
        <v>13.5</v>
      </c>
      <c r="H639" s="9">
        <v>12.9</v>
      </c>
      <c r="I639" s="9">
        <v>13.5</v>
      </c>
      <c r="J639" s="9">
        <v>12.9</v>
      </c>
      <c r="K639" s="9">
        <v>11.8</v>
      </c>
      <c r="L639" s="9">
        <v>11.8</v>
      </c>
      <c r="M639" s="9"/>
      <c r="N639" s="9"/>
      <c r="O639" s="9"/>
      <c r="P639" s="9"/>
      <c r="Q639" s="9">
        <f ca="1">IFERROR(__xludf.DUMMYFUNCTION("GOOGLEFINANCE(C639,""changepct"")"),9.88)</f>
        <v>9.8800000000000008</v>
      </c>
      <c r="R639" s="9"/>
      <c r="S639" s="9"/>
      <c r="T639" s="9"/>
      <c r="U639" s="9"/>
      <c r="V639" s="9"/>
      <c r="W639" s="9"/>
    </row>
    <row r="640" spans="1:23" ht="14.4">
      <c r="A640" s="3">
        <f>LOOKUP(D640,'AMFI DATA_2023H1'!B:C,'AMFI DATA_2023H1'!C:C)</f>
        <v>525</v>
      </c>
      <c r="B640" s="4" t="s">
        <v>1278</v>
      </c>
      <c r="C640" s="4" t="s">
        <v>1279</v>
      </c>
      <c r="D640" s="5" t="s">
        <v>1280</v>
      </c>
      <c r="E640" s="5">
        <f>LOOKUP(D640,'AMFI DATA_2023H1'!B:D,'AMFI DATA_2023H1'!D:D)</f>
        <v>4718.04</v>
      </c>
      <c r="F640" s="7">
        <f t="shared" si="2"/>
        <v>1.9134979779739045</v>
      </c>
      <c r="G640" s="8">
        <v>13746</v>
      </c>
      <c r="H640" s="8">
        <v>12939</v>
      </c>
      <c r="I640" s="8">
        <v>13033</v>
      </c>
      <c r="J640" s="8">
        <v>13087</v>
      </c>
      <c r="K640" s="8">
        <v>13084</v>
      </c>
      <c r="L640" s="8">
        <v>12962</v>
      </c>
      <c r="M640" s="8"/>
      <c r="N640" s="8"/>
      <c r="O640" s="8"/>
      <c r="P640" s="8"/>
      <c r="Q640" s="9">
        <f ca="1">IFERROR(__xludf.DUMMYFUNCTION("GOOGLEFINANCE(C640,""changepct"")"),4.1)</f>
        <v>4.0999999999999996</v>
      </c>
      <c r="R640" s="8"/>
      <c r="S640" s="8"/>
      <c r="T640" s="8"/>
      <c r="U640" s="8"/>
      <c r="V640" s="8"/>
      <c r="W640" s="8"/>
    </row>
    <row r="641" spans="1:23" ht="14.4">
      <c r="A641" s="3">
        <f>LOOKUP(D641,'AMFI DATA_2023H1'!B:C,'AMFI DATA_2023H1'!C:C)</f>
        <v>374</v>
      </c>
      <c r="B641" s="4" t="s">
        <v>1221</v>
      </c>
      <c r="C641" s="4" t="s">
        <v>1222</v>
      </c>
      <c r="D641" s="5" t="s">
        <v>1223</v>
      </c>
      <c r="E641" s="5">
        <f>LOOKUP(D641,'AMFI DATA_2023H1'!B:D,'AMFI DATA_2023H1'!D:D)</f>
        <v>8735.33</v>
      </c>
      <c r="F641" s="7">
        <f t="shared" si="2"/>
        <v>0.41185278632862188</v>
      </c>
      <c r="G641" s="8">
        <v>12333</v>
      </c>
      <c r="H641" s="8">
        <v>11690</v>
      </c>
      <c r="I641" s="8">
        <v>11610</v>
      </c>
      <c r="J641" s="8">
        <v>11486</v>
      </c>
      <c r="K641" s="8">
        <v>11664</v>
      </c>
      <c r="L641" s="8">
        <v>11364</v>
      </c>
      <c r="M641" s="8"/>
      <c r="N641" s="8"/>
      <c r="O641" s="8"/>
      <c r="P641" s="8"/>
      <c r="Q641" s="9">
        <f ca="1">IFERROR(__xludf.DUMMYFUNCTION("GOOGLEFINANCE(C641,""changepct"")"),1.58)</f>
        <v>1.58</v>
      </c>
      <c r="R641" s="8"/>
      <c r="S641" s="8"/>
      <c r="T641" s="8"/>
      <c r="U641" s="8"/>
      <c r="V641" s="8"/>
      <c r="W641" s="8"/>
    </row>
    <row r="642" spans="1:23" ht="14.4">
      <c r="A642" s="3">
        <f>LOOKUP(D642,'AMFI DATA_2023H1'!B:C,'AMFI DATA_2023H1'!C:C)</f>
        <v>503</v>
      </c>
      <c r="B642" s="4" t="s">
        <v>1635</v>
      </c>
      <c r="C642" s="4" t="s">
        <v>1636</v>
      </c>
      <c r="D642" s="5" t="s">
        <v>1637</v>
      </c>
      <c r="E642" s="5">
        <f>LOOKUP(D642,'AMFI DATA_2023H1'!B:D,'AMFI DATA_2023H1'!D:D)</f>
        <v>5190.54</v>
      </c>
      <c r="F642" s="7">
        <f t="shared" si="2"/>
        <v>0.47768825594254172</v>
      </c>
      <c r="G642" s="8">
        <v>7670</v>
      </c>
      <c r="H642" s="8">
        <v>7397</v>
      </c>
      <c r="I642" s="8">
        <v>7276</v>
      </c>
      <c r="J642" s="8">
        <v>7049</v>
      </c>
      <c r="K642" s="8">
        <v>7174</v>
      </c>
      <c r="L642" s="8">
        <v>7092</v>
      </c>
      <c r="M642" s="8"/>
      <c r="N642" s="8"/>
      <c r="O642" s="8"/>
      <c r="P642" s="8"/>
      <c r="Q642" s="9">
        <f ca="1">IFERROR(__xludf.DUMMYFUNCTION("GOOGLEFINANCE(C642,""changepct"")"),1.34)</f>
        <v>1.34</v>
      </c>
      <c r="R642" s="8"/>
      <c r="S642" s="8"/>
      <c r="T642" s="8"/>
      <c r="U642" s="8"/>
      <c r="V642" s="8"/>
      <c r="W642" s="8"/>
    </row>
    <row r="643" spans="1:23" ht="14.4">
      <c r="A643" s="3">
        <f>LOOKUP(D643,'AMFI DATA_2023H1'!B:C,'AMFI DATA_2023H1'!C:C)</f>
        <v>3443</v>
      </c>
      <c r="B643" s="4" t="s">
        <v>5689</v>
      </c>
      <c r="C643" s="4" t="s">
        <v>5690</v>
      </c>
      <c r="D643" s="5" t="s">
        <v>5691</v>
      </c>
      <c r="E643" s="5">
        <f>LOOKUP(D643,'AMFI DATA_2023H1'!B:D,'AMFI DATA_2023H1'!D:D)</f>
        <v>15.69</v>
      </c>
      <c r="F643" s="7">
        <f t="shared" si="2"/>
        <v>1.1669853409815167</v>
      </c>
      <c r="G643" s="9">
        <v>34</v>
      </c>
      <c r="H643" s="9">
        <v>33.200000000000003</v>
      </c>
      <c r="I643" s="9">
        <v>32.799999999999997</v>
      </c>
      <c r="J643" s="9">
        <v>32.1</v>
      </c>
      <c r="K643" s="9">
        <v>30.3</v>
      </c>
      <c r="L643" s="9">
        <v>29.4</v>
      </c>
      <c r="M643" s="9"/>
      <c r="N643" s="9"/>
      <c r="O643" s="9"/>
      <c r="P643" s="9"/>
      <c r="Q643" s="9">
        <f ca="1">IFERROR(__xludf.DUMMYFUNCTION("GOOGLEFINANCE(C643,""changepct"")"),-2.45)</f>
        <v>-2.4500000000000002</v>
      </c>
      <c r="R643" s="9"/>
      <c r="S643" s="9"/>
      <c r="T643" s="9"/>
      <c r="U643" s="9"/>
      <c r="V643" s="9"/>
      <c r="W643" s="9"/>
    </row>
    <row r="644" spans="1:23" ht="14.4">
      <c r="A644" s="3">
        <f>LOOKUP(D644,'AMFI DATA_2023H1'!B:C,'AMFI DATA_2023H1'!C:C)</f>
        <v>474</v>
      </c>
      <c r="B644" s="4" t="s">
        <v>1488</v>
      </c>
      <c r="C644" s="4" t="s">
        <v>1489</v>
      </c>
      <c r="D644" s="5" t="s">
        <v>1490</v>
      </c>
      <c r="E644" s="5">
        <f>LOOKUP(D644,'AMFI DATA_2023H1'!B:D,'AMFI DATA_2023H1'!D:D)</f>
        <v>5651.69</v>
      </c>
      <c r="F644" s="7">
        <f t="shared" si="2"/>
        <v>0.92933441147692131</v>
      </c>
      <c r="G644" s="8">
        <v>10904</v>
      </c>
      <c r="H644" s="8">
        <v>9621</v>
      </c>
      <c r="I644" s="8">
        <v>9777</v>
      </c>
      <c r="J644" s="8">
        <v>9229</v>
      </c>
      <c r="K644" s="8">
        <v>9227</v>
      </c>
      <c r="L644" s="8">
        <v>8930</v>
      </c>
      <c r="M644" s="8"/>
      <c r="N644" s="8"/>
      <c r="O644" s="8"/>
      <c r="P644" s="8"/>
      <c r="Q644" s="9">
        <f ca="1">IFERROR(__xludf.DUMMYFUNCTION("GOOGLEFINANCE(C644,""changepct"")"),12.44)</f>
        <v>12.44</v>
      </c>
      <c r="R644" s="8"/>
      <c r="S644" s="8"/>
      <c r="T644" s="8"/>
      <c r="U644" s="8"/>
      <c r="V644" s="8"/>
      <c r="W644" s="8"/>
    </row>
    <row r="645" spans="1:23" ht="14.4">
      <c r="A645" s="3">
        <f>LOOKUP(D645,'AMFI DATA_2023H1'!B:C,'AMFI DATA_2023H1'!C:C)</f>
        <v>263</v>
      </c>
      <c r="B645" s="4" t="s">
        <v>921</v>
      </c>
      <c r="C645" s="4" t="s">
        <v>922</v>
      </c>
      <c r="D645" s="5" t="s">
        <v>923</v>
      </c>
      <c r="E645" s="5">
        <f>LOOKUP(D645,'AMFI DATA_2023H1'!B:D,'AMFI DATA_2023H1'!D:D)</f>
        <v>15737.06</v>
      </c>
      <c r="F645" s="7">
        <f t="shared" si="2"/>
        <v>0.14945231193119946</v>
      </c>
      <c r="G645" s="8">
        <v>18089</v>
      </c>
      <c r="H645" s="8">
        <v>17251</v>
      </c>
      <c r="I645" s="8">
        <v>17428</v>
      </c>
      <c r="J645" s="8">
        <v>16644</v>
      </c>
      <c r="K645" s="8">
        <v>16817</v>
      </c>
      <c r="L645" s="8">
        <v>16582</v>
      </c>
      <c r="M645" s="8"/>
      <c r="N645" s="8"/>
      <c r="O645" s="8"/>
      <c r="P645" s="8"/>
      <c r="Q645" s="9">
        <f ca="1">IFERROR(__xludf.DUMMYFUNCTION("GOOGLEFINANCE(C645,""changepct"")"),11.22)</f>
        <v>11.22</v>
      </c>
      <c r="R645" s="8"/>
      <c r="S645" s="8"/>
      <c r="T645" s="8"/>
      <c r="U645" s="8"/>
      <c r="V645" s="8"/>
      <c r="W645" s="8"/>
    </row>
    <row r="646" spans="1:23" ht="14.4">
      <c r="A646" s="3">
        <f>LOOKUP(D646,'AMFI DATA_2023H1'!B:C,'AMFI DATA_2023H1'!C:C)</f>
        <v>765</v>
      </c>
      <c r="B646" s="4" t="s">
        <v>2330</v>
      </c>
      <c r="C646" s="4" t="s">
        <v>2331</v>
      </c>
      <c r="D646" s="5" t="s">
        <v>2332</v>
      </c>
      <c r="E646" s="5">
        <f>LOOKUP(D646,'AMFI DATA_2023H1'!B:D,'AMFI DATA_2023H1'!D:D)</f>
        <v>2096.3000000000002</v>
      </c>
      <c r="F646" s="7">
        <f t="shared" si="2"/>
        <v>0.69250584362925149</v>
      </c>
      <c r="G646" s="8">
        <v>3548</v>
      </c>
      <c r="H646" s="8">
        <v>3526</v>
      </c>
      <c r="I646" s="8">
        <v>3577</v>
      </c>
      <c r="J646" s="8">
        <v>3621</v>
      </c>
      <c r="K646" s="8">
        <v>3577</v>
      </c>
      <c r="L646" s="8">
        <v>3490</v>
      </c>
      <c r="M646" s="8"/>
      <c r="N646" s="8"/>
      <c r="O646" s="8"/>
      <c r="P646" s="8"/>
      <c r="Q646" s="9">
        <f ca="1">IFERROR(__xludf.DUMMYFUNCTION("GOOGLEFINANCE(C646,""changepct"")"),-0.27)</f>
        <v>-0.27</v>
      </c>
      <c r="R646" s="8"/>
      <c r="S646" s="8"/>
      <c r="T646" s="8"/>
      <c r="U646" s="8"/>
      <c r="V646" s="8"/>
      <c r="W646" s="8"/>
    </row>
    <row r="647" spans="1:23" ht="14.4">
      <c r="A647" s="3">
        <f>LOOKUP(D647,'AMFI DATA_2023H1'!B:C,'AMFI DATA_2023H1'!C:C)</f>
        <v>953</v>
      </c>
      <c r="B647" s="4" t="s">
        <v>3092</v>
      </c>
      <c r="C647" s="4" t="s">
        <v>3093</v>
      </c>
      <c r="D647" s="5" t="s">
        <v>3094</v>
      </c>
      <c r="E647" s="5">
        <f>LOOKUP(D647,'AMFI DATA_2023H1'!B:D,'AMFI DATA_2023H1'!D:D)</f>
        <v>1303.8800000000001</v>
      </c>
      <c r="F647" s="7">
        <f t="shared" si="2"/>
        <v>4.6936834678037442E-3</v>
      </c>
      <c r="G647" s="8">
        <v>1310</v>
      </c>
      <c r="H647" s="8">
        <v>1323</v>
      </c>
      <c r="I647" s="8">
        <v>1314</v>
      </c>
      <c r="J647" s="8">
        <v>1310</v>
      </c>
      <c r="K647" s="8">
        <v>1303</v>
      </c>
      <c r="L647" s="8">
        <v>1316</v>
      </c>
      <c r="M647" s="8"/>
      <c r="N647" s="8"/>
      <c r="O647" s="8"/>
      <c r="P647" s="8"/>
      <c r="Q647" s="9">
        <f ca="1">IFERROR(__xludf.DUMMYFUNCTION("GOOGLEFINANCE(C647,""changepct"")"),2.77)</f>
        <v>2.77</v>
      </c>
      <c r="R647" s="8"/>
      <c r="S647" s="8"/>
      <c r="T647" s="8"/>
      <c r="U647" s="8"/>
      <c r="V647" s="8"/>
      <c r="W647" s="8"/>
    </row>
    <row r="648" spans="1:23" ht="14.4">
      <c r="A648" s="3">
        <f>LOOKUP(D648,'AMFI DATA_2023H1'!B:C,'AMFI DATA_2023H1'!C:C)</f>
        <v>1388</v>
      </c>
      <c r="B648" s="4" t="s">
        <v>3248</v>
      </c>
      <c r="C648" s="4" t="s">
        <v>3249</v>
      </c>
      <c r="D648" s="5" t="s">
        <v>3250</v>
      </c>
      <c r="E648" s="5">
        <f>LOOKUP(D648,'AMFI DATA_2023H1'!B:D,'AMFI DATA_2023H1'!D:D)</f>
        <v>425.66</v>
      </c>
      <c r="F648" s="7">
        <f t="shared" si="2"/>
        <v>2.9209697880937835</v>
      </c>
      <c r="G648" s="8">
        <v>1669</v>
      </c>
      <c r="H648" s="8">
        <v>1582</v>
      </c>
      <c r="I648" s="8">
        <v>1576</v>
      </c>
      <c r="J648" s="8">
        <v>1578</v>
      </c>
      <c r="K648" s="8">
        <v>1573</v>
      </c>
      <c r="L648" s="8">
        <v>1571</v>
      </c>
      <c r="M648" s="8"/>
      <c r="N648" s="8"/>
      <c r="O648" s="8"/>
      <c r="P648" s="8"/>
      <c r="Q648" s="9">
        <f ca="1">IFERROR(__xludf.DUMMYFUNCTION("GOOGLEFINANCE(C648,""changepct"")"),-2.15)</f>
        <v>-2.15</v>
      </c>
      <c r="R648" s="8"/>
      <c r="S648" s="8"/>
      <c r="T648" s="8"/>
      <c r="U648" s="8"/>
      <c r="V648" s="8"/>
      <c r="W648" s="8"/>
    </row>
    <row r="649" spans="1:23" ht="14.4">
      <c r="A649" s="3">
        <f>LOOKUP(D649,'AMFI DATA_2023H1'!B:C,'AMFI DATA_2023H1'!C:C)</f>
        <v>1388</v>
      </c>
      <c r="B649" s="4" t="s">
        <v>4613</v>
      </c>
      <c r="C649" s="4" t="s">
        <v>4614</v>
      </c>
      <c r="D649" s="5" t="s">
        <v>4615</v>
      </c>
      <c r="E649" s="5">
        <f>LOOKUP(D649,'AMFI DATA_2023H1'!B:D,'AMFI DATA_2023H1'!D:D)</f>
        <v>425.66</v>
      </c>
      <c r="F649" s="7">
        <f t="shared" si="2"/>
        <v>-0.57712728468730923</v>
      </c>
      <c r="G649" s="9">
        <v>180</v>
      </c>
      <c r="H649" s="9">
        <v>177</v>
      </c>
      <c r="I649" s="9">
        <v>177</v>
      </c>
      <c r="J649" s="9">
        <v>174</v>
      </c>
      <c r="K649" s="9">
        <v>171</v>
      </c>
      <c r="L649" s="9">
        <v>170</v>
      </c>
      <c r="M649" s="9"/>
      <c r="N649" s="9"/>
      <c r="O649" s="9"/>
      <c r="P649" s="9"/>
      <c r="Q649" s="9">
        <f ca="1">IFERROR(__xludf.DUMMYFUNCTION("GOOGLEFINANCE(C649,""changepct"")"),-3.26)</f>
        <v>-3.26</v>
      </c>
      <c r="R649" s="9"/>
      <c r="S649" s="9"/>
      <c r="T649" s="9"/>
      <c r="U649" s="9"/>
      <c r="V649" s="9"/>
      <c r="W649" s="9"/>
    </row>
    <row r="650" spans="1:23" ht="14.4">
      <c r="A650" s="3">
        <f>LOOKUP(D650,'AMFI DATA_2023H1'!B:C,'AMFI DATA_2023H1'!C:C)</f>
        <v>501</v>
      </c>
      <c r="B650" s="4" t="s">
        <v>1707</v>
      </c>
      <c r="C650" s="4" t="s">
        <v>1708</v>
      </c>
      <c r="D650" s="5" t="s">
        <v>1709</v>
      </c>
      <c r="E650" s="5">
        <f>LOOKUP(D650,'AMFI DATA_2023H1'!B:D,'AMFI DATA_2023H1'!D:D)</f>
        <v>5225.41</v>
      </c>
      <c r="F650" s="7">
        <f t="shared" si="2"/>
        <v>6.0012515764313212E-2</v>
      </c>
      <c r="G650" s="8">
        <v>5539</v>
      </c>
      <c r="H650" s="8">
        <v>5528</v>
      </c>
      <c r="I650" s="8">
        <v>5487</v>
      </c>
      <c r="J650" s="8">
        <v>5306</v>
      </c>
      <c r="K650" s="8">
        <v>5280</v>
      </c>
      <c r="L650" s="8">
        <v>5340</v>
      </c>
      <c r="M650" s="8"/>
      <c r="N650" s="8"/>
      <c r="O650" s="8"/>
      <c r="P650" s="8"/>
      <c r="Q650" s="9">
        <f ca="1">IFERROR(__xludf.DUMMYFUNCTION("GOOGLEFINANCE(C650,""changepct"")"),-0.2)</f>
        <v>-0.2</v>
      </c>
      <c r="R650" s="8"/>
      <c r="S650" s="8"/>
      <c r="T650" s="8"/>
      <c r="U650" s="8"/>
      <c r="V650" s="8"/>
      <c r="W650" s="8"/>
    </row>
    <row r="651" spans="1:23" ht="14.4">
      <c r="A651" s="3">
        <f>LOOKUP(D651,'AMFI DATA_2023H1'!B:C,'AMFI DATA_2023H1'!C:C)</f>
        <v>299</v>
      </c>
      <c r="B651" s="4" t="s">
        <v>1020</v>
      </c>
      <c r="C651" s="4" t="s">
        <v>1021</v>
      </c>
      <c r="D651" s="5" t="s">
        <v>1022</v>
      </c>
      <c r="E651" s="5">
        <f>LOOKUP(D651,'AMFI DATA_2023H1'!B:D,'AMFI DATA_2023H1'!D:D)</f>
        <v>12632.85</v>
      </c>
      <c r="F651" s="7">
        <f t="shared" si="2"/>
        <v>8.7403080065068472E-2</v>
      </c>
      <c r="G651" s="8">
        <v>13737</v>
      </c>
      <c r="H651" s="8">
        <v>13641</v>
      </c>
      <c r="I651" s="8">
        <v>13662</v>
      </c>
      <c r="J651" s="8">
        <v>13772</v>
      </c>
      <c r="K651" s="8">
        <v>13856</v>
      </c>
      <c r="L651" s="8">
        <v>13958</v>
      </c>
      <c r="M651" s="8"/>
      <c r="N651" s="8"/>
      <c r="O651" s="8"/>
      <c r="P651" s="8"/>
      <c r="Q651" s="9">
        <f ca="1">IFERROR(__xludf.DUMMYFUNCTION("GOOGLEFINANCE(C651,""changepct"")"),0.01)</f>
        <v>0.01</v>
      </c>
      <c r="R651" s="8"/>
      <c r="S651" s="8"/>
      <c r="T651" s="8"/>
      <c r="U651" s="8"/>
      <c r="V651" s="8"/>
      <c r="W651" s="8"/>
    </row>
    <row r="652" spans="1:23" ht="14.4">
      <c r="A652" s="3">
        <f>LOOKUP(D652,'AMFI DATA_2023H1'!B:C,'AMFI DATA_2023H1'!C:C)</f>
        <v>1155</v>
      </c>
      <c r="B652" s="4" t="s">
        <v>3059</v>
      </c>
      <c r="C652" s="4" t="s">
        <v>3060</v>
      </c>
      <c r="D652" s="5" t="s">
        <v>3061</v>
      </c>
      <c r="E652" s="5">
        <f>LOOKUP(D652,'AMFI DATA_2023H1'!B:D,'AMFI DATA_2023H1'!D:D)</f>
        <v>781.95</v>
      </c>
      <c r="F652" s="7">
        <f t="shared" si="2"/>
        <v>0.79551122194513701</v>
      </c>
      <c r="G652" s="8">
        <v>1404</v>
      </c>
      <c r="H652" s="8">
        <v>1423</v>
      </c>
      <c r="I652" s="8">
        <v>1422</v>
      </c>
      <c r="J652" s="8">
        <v>1395</v>
      </c>
      <c r="K652" s="8">
        <v>1440</v>
      </c>
      <c r="L652" s="8">
        <v>1396</v>
      </c>
      <c r="M652" s="8"/>
      <c r="N652" s="8"/>
      <c r="O652" s="8"/>
      <c r="P652" s="8"/>
      <c r="Q652" s="9">
        <f ca="1">IFERROR(__xludf.DUMMYFUNCTION("GOOGLEFINANCE(C652,""changepct"")"),7.96)</f>
        <v>7.96</v>
      </c>
      <c r="R652" s="8"/>
      <c r="S652" s="8"/>
      <c r="T652" s="8"/>
      <c r="U652" s="8"/>
      <c r="V652" s="8"/>
      <c r="W652" s="8"/>
    </row>
    <row r="653" spans="1:23" ht="14.4">
      <c r="A653" s="3">
        <f>LOOKUP(D653,'AMFI DATA_2023H1'!B:C,'AMFI DATA_2023H1'!C:C)</f>
        <v>957</v>
      </c>
      <c r="B653" s="4" t="s">
        <v>2861</v>
      </c>
      <c r="C653" s="4" t="s">
        <v>2862</v>
      </c>
      <c r="D653" s="5" t="s">
        <v>2863</v>
      </c>
      <c r="E653" s="5">
        <f>LOOKUP(D653,'AMFI DATA_2023H1'!B:D,'AMFI DATA_2023H1'!D:D)</f>
        <v>1298.54</v>
      </c>
      <c r="F653" s="7">
        <f t="shared" si="2"/>
        <v>0.33457575430868514</v>
      </c>
      <c r="G653" s="8">
        <v>1733</v>
      </c>
      <c r="H653" s="8">
        <v>1729</v>
      </c>
      <c r="I653" s="8">
        <v>1744</v>
      </c>
      <c r="J653" s="8">
        <v>1737</v>
      </c>
      <c r="K653" s="8">
        <v>1755</v>
      </c>
      <c r="L653" s="8">
        <v>1751</v>
      </c>
      <c r="M653" s="8"/>
      <c r="N653" s="8"/>
      <c r="O653" s="8"/>
      <c r="P653" s="8"/>
      <c r="Q653" s="9">
        <f ca="1">IFERROR(__xludf.DUMMYFUNCTION("GOOGLEFINANCE(C653,""changepct"")"),-0.07)</f>
        <v>-7.0000000000000007E-2</v>
      </c>
      <c r="R653" s="8"/>
      <c r="S653" s="8"/>
      <c r="T653" s="8"/>
      <c r="U653" s="8"/>
      <c r="V653" s="8"/>
      <c r="W653" s="8"/>
    </row>
    <row r="654" spans="1:23" ht="14.4">
      <c r="A654" s="3">
        <f>LOOKUP(D654,'AMFI DATA_2023H1'!B:C,'AMFI DATA_2023H1'!C:C)</f>
        <v>1721</v>
      </c>
      <c r="B654" s="4" t="s">
        <v>4466</v>
      </c>
      <c r="C654" s="4" t="s">
        <v>4467</v>
      </c>
      <c r="D654" s="5" t="s">
        <v>4468</v>
      </c>
      <c r="E654" s="5">
        <f>LOOKUP(D654,'AMFI DATA_2023H1'!B:D,'AMFI DATA_2023H1'!D:D)</f>
        <v>230.82</v>
      </c>
      <c r="F654" s="7">
        <f t="shared" si="2"/>
        <v>0.37336452647084317</v>
      </c>
      <c r="G654" s="9">
        <v>317</v>
      </c>
      <c r="H654" s="9">
        <v>321</v>
      </c>
      <c r="I654" s="9">
        <v>338</v>
      </c>
      <c r="J654" s="9">
        <v>334</v>
      </c>
      <c r="K654" s="9">
        <v>344</v>
      </c>
      <c r="L654" s="9">
        <v>353</v>
      </c>
      <c r="M654" s="9"/>
      <c r="N654" s="9"/>
      <c r="O654" s="9"/>
      <c r="P654" s="9"/>
      <c r="Q654" s="9">
        <f ca="1">IFERROR(__xludf.DUMMYFUNCTION("GOOGLEFINANCE(C654,""changepct"")"),2.52)</f>
        <v>2.52</v>
      </c>
      <c r="R654" s="9"/>
      <c r="S654" s="9"/>
      <c r="T654" s="9"/>
      <c r="U654" s="9"/>
      <c r="V654" s="9"/>
      <c r="W654" s="9"/>
    </row>
    <row r="655" spans="1:23" ht="14.4">
      <c r="A655" s="3">
        <f>LOOKUP(D655,'AMFI DATA_2023H1'!B:C,'AMFI DATA_2023H1'!C:C)</f>
        <v>606</v>
      </c>
      <c r="B655" s="4" t="s">
        <v>2070</v>
      </c>
      <c r="C655" s="4" t="s">
        <v>2071</v>
      </c>
      <c r="D655" s="5" t="s">
        <v>2072</v>
      </c>
      <c r="E655" s="5">
        <f>LOOKUP(D655,'AMFI DATA_2023H1'!B:D,'AMFI DATA_2023H1'!D:D)</f>
        <v>3625.6</v>
      </c>
      <c r="F655" s="7">
        <f t="shared" si="2"/>
        <v>-1.5059576345984094E-2</v>
      </c>
      <c r="G655" s="8">
        <v>3571</v>
      </c>
      <c r="H655" s="8">
        <v>3552</v>
      </c>
      <c r="I655" s="8">
        <v>3585</v>
      </c>
      <c r="J655" s="8">
        <v>3589</v>
      </c>
      <c r="K655" s="8">
        <v>3550</v>
      </c>
      <c r="L655" s="8">
        <v>3566</v>
      </c>
      <c r="M655" s="8"/>
      <c r="N655" s="8"/>
      <c r="O655" s="8"/>
      <c r="P655" s="8"/>
      <c r="Q655" s="9">
        <f ca="1">IFERROR(__xludf.DUMMYFUNCTION("GOOGLEFINANCE(C655,""changepct"")"),0.52)</f>
        <v>0.52</v>
      </c>
      <c r="R655" s="8"/>
      <c r="S655" s="8"/>
      <c r="T655" s="8"/>
      <c r="U655" s="8"/>
      <c r="V655" s="8"/>
      <c r="W655" s="8"/>
    </row>
    <row r="656" spans="1:23" ht="14.4">
      <c r="A656" s="3">
        <f>LOOKUP(D656,'AMFI DATA_2023H1'!B:C,'AMFI DATA_2023H1'!C:C)</f>
        <v>695</v>
      </c>
      <c r="B656" s="4" t="s">
        <v>2222</v>
      </c>
      <c r="C656" s="4" t="s">
        <v>2223</v>
      </c>
      <c r="D656" s="5" t="s">
        <v>2224</v>
      </c>
      <c r="E656" s="5">
        <f>LOOKUP(D656,'AMFI DATA_2023H1'!B:D,'AMFI DATA_2023H1'!D:D)</f>
        <v>2604.11</v>
      </c>
      <c r="F656" s="7">
        <f t="shared" si="2"/>
        <v>0.47420807876779381</v>
      </c>
      <c r="G656" s="8">
        <v>3839</v>
      </c>
      <c r="H656" s="8">
        <v>3749</v>
      </c>
      <c r="I656" s="8">
        <v>3758</v>
      </c>
      <c r="J656" s="8">
        <v>3834</v>
      </c>
      <c r="K656" s="8">
        <v>3917</v>
      </c>
      <c r="L656" s="8">
        <v>3903</v>
      </c>
      <c r="M656" s="8"/>
      <c r="N656" s="8"/>
      <c r="O656" s="8"/>
      <c r="P656" s="8"/>
      <c r="Q656" s="9">
        <f ca="1">IFERROR(__xludf.DUMMYFUNCTION("GOOGLEFINANCE(C656,""changepct"")"),0)</f>
        <v>0</v>
      </c>
      <c r="R656" s="8"/>
      <c r="S656" s="8"/>
      <c r="T656" s="8"/>
      <c r="U656" s="8"/>
      <c r="V656" s="8"/>
      <c r="W656" s="8"/>
    </row>
    <row r="657" spans="1:23" ht="14.4">
      <c r="A657" s="3">
        <f>LOOKUP(D657,'AMFI DATA_2023H1'!B:C,'AMFI DATA_2023H1'!C:C)</f>
        <v>225</v>
      </c>
      <c r="B657" s="4" t="s">
        <v>699</v>
      </c>
      <c r="C657" s="4" t="s">
        <v>700</v>
      </c>
      <c r="D657" s="5" t="s">
        <v>701</v>
      </c>
      <c r="E657" s="5">
        <f>LOOKUP(D657,'AMFI DATA_2023H1'!B:D,'AMFI DATA_2023H1'!D:D)</f>
        <v>19609.23</v>
      </c>
      <c r="F657" s="7">
        <f t="shared" si="2"/>
        <v>0.30168293196622198</v>
      </c>
      <c r="G657" s="8">
        <v>25525</v>
      </c>
      <c r="H657" s="8">
        <v>25314</v>
      </c>
      <c r="I657" s="8">
        <v>24470</v>
      </c>
      <c r="J657" s="8">
        <v>24200</v>
      </c>
      <c r="K657" s="8">
        <v>24188</v>
      </c>
      <c r="L657" s="8">
        <v>24529</v>
      </c>
      <c r="M657" s="8"/>
      <c r="N657" s="8"/>
      <c r="O657" s="8"/>
      <c r="P657" s="8"/>
      <c r="Q657" s="9">
        <f ca="1">IFERROR(__xludf.DUMMYFUNCTION("GOOGLEFINANCE(C657,""changepct"")"),-4.53)</f>
        <v>-4.53</v>
      </c>
      <c r="R657" s="8"/>
      <c r="S657" s="8"/>
      <c r="T657" s="8"/>
      <c r="U657" s="8"/>
      <c r="V657" s="8"/>
      <c r="W657" s="8"/>
    </row>
    <row r="658" spans="1:23" ht="14.4">
      <c r="A658" s="3">
        <f>LOOKUP(D658,'AMFI DATA_2023H1'!B:C,'AMFI DATA_2023H1'!C:C)</f>
        <v>66</v>
      </c>
      <c r="B658" s="4" t="s">
        <v>228</v>
      </c>
      <c r="C658" s="4" t="s">
        <v>229</v>
      </c>
      <c r="D658" s="5" t="s">
        <v>230</v>
      </c>
      <c r="E658" s="5">
        <f>LOOKUP(D658,'AMFI DATA_2023H1'!B:D,'AMFI DATA_2023H1'!D:D)</f>
        <v>77125.7</v>
      </c>
      <c r="F658" s="7">
        <f t="shared" si="2"/>
        <v>0.10396404830037209</v>
      </c>
      <c r="G658" s="8">
        <v>85144</v>
      </c>
      <c r="H658" s="8">
        <v>85852</v>
      </c>
      <c r="I658" s="8">
        <v>85511</v>
      </c>
      <c r="J658" s="8">
        <v>85448</v>
      </c>
      <c r="K658" s="8">
        <v>85320</v>
      </c>
      <c r="L658" s="8">
        <v>84715</v>
      </c>
      <c r="M658" s="8"/>
      <c r="N658" s="8"/>
      <c r="O658" s="8"/>
      <c r="P658" s="8"/>
      <c r="Q658" s="9">
        <f ca="1">IFERROR(__xludf.DUMMYFUNCTION("GOOGLEFINANCE(C658,""changepct"")"),-2.16)</f>
        <v>-2.16</v>
      </c>
      <c r="R658" s="8"/>
      <c r="S658" s="8"/>
      <c r="T658" s="8"/>
      <c r="U658" s="8"/>
      <c r="V658" s="8"/>
      <c r="W658" s="8"/>
    </row>
    <row r="659" spans="1:23" ht="14.4">
      <c r="A659" s="3">
        <f>LOOKUP(D659,'AMFI DATA_2023H1'!B:C,'AMFI DATA_2023H1'!C:C)</f>
        <v>2900</v>
      </c>
      <c r="B659" s="4" t="s">
        <v>5515</v>
      </c>
      <c r="C659" s="4" t="s">
        <v>5516</v>
      </c>
      <c r="D659" s="5" t="s">
        <v>5517</v>
      </c>
      <c r="E659" s="5">
        <f>LOOKUP(D659,'AMFI DATA_2023H1'!B:D,'AMFI DATA_2023H1'!D:D)</f>
        <v>34.9</v>
      </c>
      <c r="F659" s="7">
        <f t="shared" si="2"/>
        <v>0.49570200573065915</v>
      </c>
      <c r="G659" s="9">
        <v>52.2</v>
      </c>
      <c r="H659" s="9">
        <v>52.3</v>
      </c>
      <c r="I659" s="9">
        <v>50</v>
      </c>
      <c r="J659" s="9">
        <v>50.6</v>
      </c>
      <c r="K659" s="9">
        <v>50.5</v>
      </c>
      <c r="L659" s="9">
        <v>50.2</v>
      </c>
      <c r="M659" s="9"/>
      <c r="N659" s="9"/>
      <c r="O659" s="9"/>
      <c r="P659" s="9"/>
      <c r="Q659" s="9">
        <f ca="1">IFERROR(__xludf.DUMMYFUNCTION("GOOGLEFINANCE(C659,""changepct"")"),-3.19)</f>
        <v>-3.19</v>
      </c>
      <c r="R659" s="9"/>
      <c r="S659" s="9"/>
      <c r="T659" s="9"/>
      <c r="U659" s="9"/>
      <c r="V659" s="9"/>
      <c r="W659" s="9"/>
    </row>
    <row r="660" spans="1:23" ht="14.4">
      <c r="A660" s="3">
        <f>LOOKUP(D660,'AMFI DATA_2023H1'!B:C,'AMFI DATA_2023H1'!C:C)</f>
        <v>653</v>
      </c>
      <c r="B660" s="4" t="s">
        <v>1419</v>
      </c>
      <c r="C660" s="4" t="s">
        <v>1420</v>
      </c>
      <c r="D660" s="5" t="s">
        <v>1421</v>
      </c>
      <c r="E660" s="5">
        <f>LOOKUP(D660,'AMFI DATA_2023H1'!B:D,'AMFI DATA_2023H1'!D:D)</f>
        <v>3008.72</v>
      </c>
      <c r="F660" s="7">
        <f t="shared" si="2"/>
        <v>3.0133345741710764</v>
      </c>
      <c r="G660" s="8">
        <v>12075</v>
      </c>
      <c r="H660" s="8">
        <v>12095</v>
      </c>
      <c r="I660" s="8">
        <v>12357</v>
      </c>
      <c r="J660" s="8">
        <v>12581</v>
      </c>
      <c r="K660" s="8">
        <v>12367</v>
      </c>
      <c r="L660" s="8">
        <v>12288</v>
      </c>
      <c r="M660" s="8"/>
      <c r="N660" s="8"/>
      <c r="O660" s="8"/>
      <c r="P660" s="8"/>
      <c r="Q660" s="9">
        <f ca="1">IFERROR(__xludf.DUMMYFUNCTION("GOOGLEFINANCE(C660,""changepct"")"),1.11)</f>
        <v>1.1100000000000001</v>
      </c>
      <c r="R660" s="8"/>
      <c r="S660" s="8"/>
      <c r="T660" s="8"/>
      <c r="U660" s="8"/>
      <c r="V660" s="8"/>
      <c r="W660" s="8"/>
    </row>
    <row r="661" spans="1:23" ht="14.4">
      <c r="A661" s="3">
        <f>LOOKUP(D661,'AMFI DATA_2023H1'!B:C,'AMFI DATA_2023H1'!C:C)</f>
        <v>1341</v>
      </c>
      <c r="B661" s="4" t="s">
        <v>3881</v>
      </c>
      <c r="C661" s="4" t="s">
        <v>3882</v>
      </c>
      <c r="D661" s="5" t="s">
        <v>3883</v>
      </c>
      <c r="E661" s="5">
        <f>LOOKUP(D661,'AMFI DATA_2023H1'!B:D,'AMFI DATA_2023H1'!D:D)</f>
        <v>463.35</v>
      </c>
      <c r="F661" s="7">
        <f t="shared" si="2"/>
        <v>0.48699687061616492</v>
      </c>
      <c r="G661" s="9">
        <v>689</v>
      </c>
      <c r="H661" s="9">
        <v>668</v>
      </c>
      <c r="I661" s="9">
        <v>691</v>
      </c>
      <c r="J661" s="9">
        <v>701</v>
      </c>
      <c r="K661" s="9">
        <v>726</v>
      </c>
      <c r="L661" s="9">
        <v>719</v>
      </c>
      <c r="M661" s="9"/>
      <c r="N661" s="9"/>
      <c r="O661" s="9"/>
      <c r="P661" s="9"/>
      <c r="Q661" s="9">
        <f ca="1">IFERROR(__xludf.DUMMYFUNCTION("GOOGLEFINANCE(C661,""changepct"")"),5.37)</f>
        <v>5.37</v>
      </c>
      <c r="R661" s="9"/>
      <c r="S661" s="9"/>
      <c r="T661" s="9"/>
      <c r="U661" s="9"/>
      <c r="V661" s="9"/>
      <c r="W661" s="9"/>
    </row>
    <row r="662" spans="1:23" ht="14.4">
      <c r="A662" s="3">
        <f>LOOKUP(D662,'AMFI DATA_2023H1'!B:C,'AMFI DATA_2023H1'!C:C)</f>
        <v>15</v>
      </c>
      <c r="B662" s="4" t="s">
        <v>46</v>
      </c>
      <c r="C662" s="4" t="s">
        <v>47</v>
      </c>
      <c r="D662" s="5" t="s">
        <v>48</v>
      </c>
      <c r="E662" s="5">
        <f>LOOKUP(D662,'AMFI DATA_2023H1'!B:D,'AMFI DATA_2023H1'!D:D)</f>
        <v>299146.53999999998</v>
      </c>
      <c r="F662" s="7">
        <f t="shared" si="2"/>
        <v>0.34541753349378546</v>
      </c>
      <c r="G662" s="8">
        <v>402477</v>
      </c>
      <c r="H662" s="8">
        <v>397850</v>
      </c>
      <c r="I662" s="8">
        <v>399967</v>
      </c>
      <c r="J662" s="8">
        <v>399343</v>
      </c>
      <c r="K662" s="8">
        <v>395883</v>
      </c>
      <c r="L662" s="8">
        <v>396928</v>
      </c>
      <c r="M662" s="8"/>
      <c r="N662" s="8"/>
      <c r="O662" s="8"/>
      <c r="P662" s="8"/>
      <c r="Q662" s="9">
        <f ca="1">IFERROR(__xludf.DUMMYFUNCTION("GOOGLEFINANCE(C662,""changepct"")"),-1.5)</f>
        <v>-1.5</v>
      </c>
      <c r="R662" s="8"/>
      <c r="S662" s="8"/>
      <c r="T662" s="8"/>
      <c r="U662" s="8"/>
      <c r="V662" s="8"/>
      <c r="W662" s="8"/>
    </row>
    <row r="663" spans="1:23" ht="14.4">
      <c r="A663" s="3">
        <f>LOOKUP(D663,'AMFI DATA_2023H1'!B:C,'AMFI DATA_2023H1'!C:C)</f>
        <v>130</v>
      </c>
      <c r="B663" s="4" t="s">
        <v>348</v>
      </c>
      <c r="C663" s="4" t="s">
        <v>349</v>
      </c>
      <c r="D663" s="5" t="s">
        <v>350</v>
      </c>
      <c r="E663" s="5">
        <f>LOOKUP(D663,'AMFI DATA_2023H1'!B:D,'AMFI DATA_2023H1'!D:D)</f>
        <v>40131.96</v>
      </c>
      <c r="F663" s="7">
        <f t="shared" si="2"/>
        <v>0.71476798043255307</v>
      </c>
      <c r="G663" s="8">
        <v>68817</v>
      </c>
      <c r="H663" s="8">
        <v>68452</v>
      </c>
      <c r="I663" s="8">
        <v>68654</v>
      </c>
      <c r="J663" s="8">
        <v>68442</v>
      </c>
      <c r="K663" s="8">
        <v>68245</v>
      </c>
      <c r="L663" s="8">
        <v>68774</v>
      </c>
      <c r="M663" s="8"/>
      <c r="N663" s="8"/>
      <c r="O663" s="8"/>
      <c r="P663" s="8"/>
      <c r="Q663" s="9">
        <f ca="1">IFERROR(__xludf.DUMMYFUNCTION("GOOGLEFINANCE(C663,""changepct"")"),-0.01)</f>
        <v>-0.01</v>
      </c>
      <c r="R663" s="8"/>
      <c r="S663" s="8"/>
      <c r="T663" s="8"/>
      <c r="U663" s="8"/>
      <c r="V663" s="8"/>
      <c r="W663" s="8"/>
    </row>
    <row r="664" spans="1:23" ht="14.4">
      <c r="A664" s="3">
        <f>LOOKUP(D664,'AMFI DATA_2023H1'!B:C,'AMFI DATA_2023H1'!C:C)</f>
        <v>3</v>
      </c>
      <c r="B664" s="4" t="s">
        <v>13</v>
      </c>
      <c r="C664" s="4" t="s">
        <v>14</v>
      </c>
      <c r="D664" s="5" t="s">
        <v>15</v>
      </c>
      <c r="E664" s="5">
        <f>LOOKUP(D664,'AMFI DATA_2023H1'!B:D,'AMFI DATA_2023H1'!D:D)</f>
        <v>908769.9</v>
      </c>
      <c r="F664" s="7">
        <f t="shared" si="2"/>
        <v>0.42075458265067978</v>
      </c>
      <c r="G664" s="8">
        <v>1291139</v>
      </c>
      <c r="H664" s="8">
        <v>1297972</v>
      </c>
      <c r="I664" s="8">
        <v>1294594</v>
      </c>
      <c r="J664" s="8">
        <v>1292809</v>
      </c>
      <c r="K664" s="8">
        <v>1277436</v>
      </c>
      <c r="L664" s="8">
        <v>1268515</v>
      </c>
      <c r="M664" s="8"/>
      <c r="N664" s="8"/>
      <c r="O664" s="8"/>
      <c r="P664" s="8"/>
      <c r="Q664" s="9">
        <f ca="1">IFERROR(__xludf.DUMMYFUNCTION("GOOGLEFINANCE(C664,""changepct"")"),-0.37)</f>
        <v>-0.37</v>
      </c>
      <c r="R664" s="8"/>
      <c r="S664" s="8"/>
      <c r="T664" s="8"/>
      <c r="U664" s="8"/>
      <c r="V664" s="8"/>
      <c r="W664" s="8"/>
    </row>
    <row r="665" spans="1:23" ht="14.4">
      <c r="A665" s="3">
        <f>LOOKUP(D665,'AMFI DATA_2023H1'!B:C,'AMFI DATA_2023H1'!C:C)</f>
        <v>44</v>
      </c>
      <c r="B665" s="4" t="s">
        <v>135</v>
      </c>
      <c r="C665" s="4" t="s">
        <v>136</v>
      </c>
      <c r="D665" s="5" t="s">
        <v>137</v>
      </c>
      <c r="E665" s="5">
        <f>LOOKUP(D665,'AMFI DATA_2023H1'!B:D,'AMFI DATA_2023H1'!D:D)</f>
        <v>117683.12</v>
      </c>
      <c r="F665" s="7">
        <f t="shared" si="2"/>
        <v>0.18422251211558627</v>
      </c>
      <c r="G665" s="8">
        <v>139363</v>
      </c>
      <c r="H665" s="8">
        <v>139158</v>
      </c>
      <c r="I665" s="8">
        <v>139373</v>
      </c>
      <c r="J665" s="8">
        <v>138126</v>
      </c>
      <c r="K665" s="8">
        <v>137223</v>
      </c>
      <c r="L665" s="8">
        <v>137610</v>
      </c>
      <c r="M665" s="8"/>
      <c r="N665" s="8"/>
      <c r="O665" s="8"/>
      <c r="P665" s="8"/>
      <c r="Q665" s="9">
        <f ca="1">IFERROR(__xludf.DUMMYFUNCTION("GOOGLEFINANCE(C665,""changepct"")"),0.2)</f>
        <v>0.2</v>
      </c>
      <c r="R665" s="8"/>
      <c r="S665" s="8"/>
      <c r="T665" s="8"/>
      <c r="U665" s="8"/>
      <c r="V665" s="8"/>
      <c r="W665" s="8"/>
    </row>
    <row r="666" spans="1:23" ht="14.4">
      <c r="A666" s="3">
        <f>LOOKUP(D666,'AMFI DATA_2023H1'!B:C,'AMFI DATA_2023H1'!C:C)</f>
        <v>3009</v>
      </c>
      <c r="B666" s="4" t="s">
        <v>5620</v>
      </c>
      <c r="C666" s="4" t="s">
        <v>5621</v>
      </c>
      <c r="D666" s="5" t="s">
        <v>5622</v>
      </c>
      <c r="E666" s="5">
        <f>LOOKUP(D666,'AMFI DATA_2023H1'!B:D,'AMFI DATA_2023H1'!D:D)</f>
        <v>29.88</v>
      </c>
      <c r="F666" s="7">
        <f t="shared" si="2"/>
        <v>0.1378848728246318</v>
      </c>
      <c r="G666" s="9">
        <v>34</v>
      </c>
      <c r="H666" s="9">
        <v>34.1</v>
      </c>
      <c r="I666" s="9">
        <v>35.1</v>
      </c>
      <c r="J666" s="9">
        <v>34.700000000000003</v>
      </c>
      <c r="K666" s="9">
        <v>33.200000000000003</v>
      </c>
      <c r="L666" s="9">
        <v>33.200000000000003</v>
      </c>
      <c r="M666" s="9"/>
      <c r="N666" s="9"/>
      <c r="O666" s="9"/>
      <c r="P666" s="9"/>
      <c r="Q666" s="9">
        <f ca="1">IFERROR(__xludf.DUMMYFUNCTION("GOOGLEFINANCE(C666,""changepct"")"),2.11)</f>
        <v>2.11</v>
      </c>
      <c r="R666" s="9"/>
      <c r="S666" s="9"/>
      <c r="T666" s="9"/>
      <c r="U666" s="9"/>
      <c r="V666" s="9"/>
      <c r="W666" s="9"/>
    </row>
    <row r="667" spans="1:23" ht="14.4">
      <c r="A667" s="3">
        <f>LOOKUP(D667,'AMFI DATA_2023H1'!B:C,'AMFI DATA_2023H1'!C:C)</f>
        <v>578</v>
      </c>
      <c r="B667" s="4" t="s">
        <v>1821</v>
      </c>
      <c r="C667" s="4" t="s">
        <v>1822</v>
      </c>
      <c r="D667" s="5" t="s">
        <v>1823</v>
      </c>
      <c r="E667" s="5">
        <f>LOOKUP(D667,'AMFI DATA_2023H1'!B:D,'AMFI DATA_2023H1'!D:D)</f>
        <v>3978.72</v>
      </c>
      <c r="F667" s="7">
        <f t="shared" si="2"/>
        <v>0.27955724454095798</v>
      </c>
      <c r="G667" s="8">
        <v>5091</v>
      </c>
      <c r="H667" s="8">
        <v>5056</v>
      </c>
      <c r="I667" s="8">
        <v>5084</v>
      </c>
      <c r="J667" s="8">
        <v>5100</v>
      </c>
      <c r="K667" s="8">
        <v>5174</v>
      </c>
      <c r="L667" s="8">
        <v>5121</v>
      </c>
      <c r="M667" s="8"/>
      <c r="N667" s="8"/>
      <c r="O667" s="8"/>
      <c r="P667" s="8"/>
      <c r="Q667" s="9">
        <f ca="1">IFERROR(__xludf.DUMMYFUNCTION("GOOGLEFINANCE(C667,""changepct"")"),-2.71)</f>
        <v>-2.71</v>
      </c>
      <c r="R667" s="8"/>
      <c r="S667" s="8"/>
      <c r="T667" s="8"/>
      <c r="U667" s="8"/>
      <c r="V667" s="8"/>
      <c r="W667" s="8"/>
    </row>
    <row r="668" spans="1:23" ht="14.4">
      <c r="A668" s="3">
        <f>LOOKUP(D668,'AMFI DATA_2023H1'!B:C,'AMFI DATA_2023H1'!C:C)</f>
        <v>2879</v>
      </c>
      <c r="B668" s="4" t="s">
        <v>5470</v>
      </c>
      <c r="C668" s="4" t="s">
        <v>5471</v>
      </c>
      <c r="D668" s="5" t="s">
        <v>5472</v>
      </c>
      <c r="E668" s="5">
        <f>LOOKUP(D668,'AMFI DATA_2023H1'!B:D,'AMFI DATA_2023H1'!D:D)</f>
        <v>35.81</v>
      </c>
      <c r="F668" s="7">
        <f t="shared" si="2"/>
        <v>1.4490365819603461</v>
      </c>
      <c r="G668" s="9">
        <v>87.7</v>
      </c>
      <c r="H668" s="9">
        <v>92.3</v>
      </c>
      <c r="I668" s="9">
        <v>97.1</v>
      </c>
      <c r="J668" s="9">
        <v>102</v>
      </c>
      <c r="K668" s="9">
        <v>97.4</v>
      </c>
      <c r="L668" s="9">
        <v>92.8</v>
      </c>
      <c r="M668" s="9"/>
      <c r="N668" s="9"/>
      <c r="O668" s="9"/>
      <c r="P668" s="9"/>
      <c r="Q668" s="9">
        <f ca="1">IFERROR(__xludf.DUMMYFUNCTION("GOOGLEFINANCE(C668,""changepct"")"),-3.96)</f>
        <v>-3.96</v>
      </c>
      <c r="R668" s="9"/>
      <c r="S668" s="9"/>
      <c r="T668" s="9"/>
      <c r="U668" s="9"/>
      <c r="V668" s="9"/>
      <c r="W668" s="9"/>
    </row>
    <row r="669" spans="1:23" ht="14.4">
      <c r="A669" s="3">
        <f>LOOKUP(D669,'AMFI DATA_2023H1'!B:C,'AMFI DATA_2023H1'!C:C)</f>
        <v>552</v>
      </c>
      <c r="B669" s="4" t="s">
        <v>1605</v>
      </c>
      <c r="C669" s="4" t="s">
        <v>1606</v>
      </c>
      <c r="D669" s="5" t="s">
        <v>1607</v>
      </c>
      <c r="E669" s="5">
        <f>LOOKUP(D669,'AMFI DATA_2023H1'!B:D,'AMFI DATA_2023H1'!D:D)</f>
        <v>4338.9399999999996</v>
      </c>
      <c r="F669" s="7">
        <f t="shared" si="2"/>
        <v>0.70871226612951577</v>
      </c>
      <c r="G669" s="8">
        <v>7414</v>
      </c>
      <c r="H669" s="8">
        <v>7349</v>
      </c>
      <c r="I669" s="8">
        <v>7431</v>
      </c>
      <c r="J669" s="8">
        <v>7264</v>
      </c>
      <c r="K669" s="8">
        <v>6944</v>
      </c>
      <c r="L669" s="8">
        <v>6808</v>
      </c>
      <c r="M669" s="8"/>
      <c r="N669" s="8"/>
      <c r="O669" s="8"/>
      <c r="P669" s="8"/>
      <c r="Q669" s="9">
        <f ca="1">IFERROR(__xludf.DUMMYFUNCTION("GOOGLEFINANCE(C669,""changepct"")"),1.65)</f>
        <v>1.65</v>
      </c>
      <c r="R669" s="8"/>
      <c r="S669" s="8"/>
      <c r="T669" s="8"/>
      <c r="U669" s="8"/>
      <c r="V669" s="8"/>
      <c r="W669" s="8"/>
    </row>
    <row r="670" spans="1:23" ht="14.4">
      <c r="A670" s="3">
        <f>LOOKUP(D670,'AMFI DATA_2023H1'!B:C,'AMFI DATA_2023H1'!C:C)</f>
        <v>584</v>
      </c>
      <c r="B670" s="4" t="s">
        <v>1944</v>
      </c>
      <c r="C670" s="4" t="s">
        <v>1945</v>
      </c>
      <c r="D670" s="5" t="s">
        <v>1946</v>
      </c>
      <c r="E670" s="5">
        <f>LOOKUP(D670,'AMFI DATA_2023H1'!B:D,'AMFI DATA_2023H1'!D:D)</f>
        <v>3907</v>
      </c>
      <c r="F670" s="7">
        <f t="shared" si="2"/>
        <v>0.35295623240337859</v>
      </c>
      <c r="G670" s="8">
        <v>5286</v>
      </c>
      <c r="H670" s="8">
        <v>5269</v>
      </c>
      <c r="I670" s="8">
        <v>5255</v>
      </c>
      <c r="J670" s="8">
        <v>5341</v>
      </c>
      <c r="K670" s="8">
        <v>5249</v>
      </c>
      <c r="L670" s="8">
        <v>5222</v>
      </c>
      <c r="M670" s="8"/>
      <c r="N670" s="8"/>
      <c r="O670" s="8"/>
      <c r="P670" s="8"/>
      <c r="Q670" s="9">
        <f ca="1">IFERROR(__xludf.DUMMYFUNCTION("GOOGLEFINANCE(C670,""changepct"")"),2.17)</f>
        <v>2.17</v>
      </c>
      <c r="R670" s="8"/>
      <c r="S670" s="8"/>
      <c r="T670" s="8"/>
      <c r="U670" s="8"/>
      <c r="V670" s="8"/>
      <c r="W670" s="8"/>
    </row>
    <row r="671" spans="1:23" ht="14.4">
      <c r="A671" s="3">
        <f>LOOKUP(D671,'AMFI DATA_2023H1'!B:C,'AMFI DATA_2023H1'!C:C)</f>
        <v>682</v>
      </c>
      <c r="B671" s="4" t="s">
        <v>2123</v>
      </c>
      <c r="C671" s="4" t="s">
        <v>2124</v>
      </c>
      <c r="D671" s="5" t="s">
        <v>2125</v>
      </c>
      <c r="E671" s="5">
        <f>LOOKUP(D671,'AMFI DATA_2023H1'!B:D,'AMFI DATA_2023H1'!D:D)</f>
        <v>2739.5</v>
      </c>
      <c r="F671" s="7">
        <f t="shared" si="2"/>
        <v>0.59262639167731335</v>
      </c>
      <c r="G671" s="8">
        <v>4363</v>
      </c>
      <c r="H671" s="8">
        <v>4365</v>
      </c>
      <c r="I671" s="8">
        <v>4405</v>
      </c>
      <c r="J671" s="8">
        <v>4378</v>
      </c>
      <c r="K671" s="8">
        <v>4493</v>
      </c>
      <c r="L671" s="8">
        <v>4315</v>
      </c>
      <c r="M671" s="8"/>
      <c r="N671" s="8"/>
      <c r="O671" s="8"/>
      <c r="P671" s="8"/>
      <c r="Q671" s="9">
        <f ca="1">IFERROR(__xludf.DUMMYFUNCTION("GOOGLEFINANCE(C671,""changepct"")"),7.15)</f>
        <v>7.15</v>
      </c>
      <c r="R671" s="8"/>
      <c r="S671" s="8"/>
      <c r="T671" s="8"/>
      <c r="U671" s="8"/>
      <c r="V671" s="8"/>
      <c r="W671" s="8"/>
    </row>
    <row r="672" spans="1:23" ht="14.4">
      <c r="A672" s="3">
        <f>LOOKUP(D672,'AMFI DATA_2023H1'!B:C,'AMFI DATA_2023H1'!C:C)</f>
        <v>907</v>
      </c>
      <c r="B672" s="4" t="s">
        <v>3011</v>
      </c>
      <c r="C672" s="4" t="s">
        <v>3012</v>
      </c>
      <c r="D672" s="5" t="s">
        <v>3013</v>
      </c>
      <c r="E672" s="5">
        <f>LOOKUP(D672,'AMFI DATA_2023H1'!B:D,'AMFI DATA_2023H1'!D:D)</f>
        <v>1446.9</v>
      </c>
      <c r="F672" s="7">
        <f t="shared" si="2"/>
        <v>0.11617941806621035</v>
      </c>
      <c r="G672" s="8">
        <v>1615</v>
      </c>
      <c r="H672" s="8">
        <v>1589</v>
      </c>
      <c r="I672" s="8">
        <v>1529</v>
      </c>
      <c r="J672" s="8">
        <v>1496</v>
      </c>
      <c r="K672" s="8">
        <v>1493</v>
      </c>
      <c r="L672" s="8">
        <v>1461</v>
      </c>
      <c r="M672" s="8"/>
      <c r="N672" s="8"/>
      <c r="O672" s="8"/>
      <c r="P672" s="8"/>
      <c r="Q672" s="9">
        <f ca="1">IFERROR(__xludf.DUMMYFUNCTION("GOOGLEFINANCE(C672,""changepct"")"),-0.1)</f>
        <v>-0.1</v>
      </c>
      <c r="R672" s="8"/>
      <c r="S672" s="8"/>
      <c r="T672" s="8"/>
      <c r="U672" s="8"/>
      <c r="V672" s="8"/>
      <c r="W672" s="8"/>
    </row>
    <row r="673" spans="1:23" ht="14.4">
      <c r="A673" s="3">
        <f>LOOKUP(D673,'AMFI DATA_2023H1'!B:C,'AMFI DATA_2023H1'!C:C)</f>
        <v>1196</v>
      </c>
      <c r="B673" s="4" t="s">
        <v>3371</v>
      </c>
      <c r="C673" s="4" t="s">
        <v>3372</v>
      </c>
      <c r="D673" s="5" t="s">
        <v>3373</v>
      </c>
      <c r="E673" s="5">
        <f>LOOKUP(D673,'AMFI DATA_2023H1'!B:D,'AMFI DATA_2023H1'!D:D)</f>
        <v>703.82</v>
      </c>
      <c r="F673" s="7">
        <f t="shared" si="2"/>
        <v>0.62825722485862845</v>
      </c>
      <c r="G673" s="8">
        <v>1146</v>
      </c>
      <c r="H673" s="8">
        <v>1132</v>
      </c>
      <c r="I673" s="8">
        <v>1132</v>
      </c>
      <c r="J673" s="8">
        <v>1149</v>
      </c>
      <c r="K673" s="8">
        <v>1132</v>
      </c>
      <c r="L673" s="8">
        <v>1079</v>
      </c>
      <c r="M673" s="8"/>
      <c r="N673" s="8"/>
      <c r="O673" s="8"/>
      <c r="P673" s="8"/>
      <c r="Q673" s="9">
        <f ca="1">IFERROR(__xludf.DUMMYFUNCTION("GOOGLEFINANCE(C673,""changepct"")"),-1.56)</f>
        <v>-1.56</v>
      </c>
      <c r="R673" s="8"/>
      <c r="S673" s="8"/>
      <c r="T673" s="8"/>
      <c r="U673" s="8"/>
      <c r="V673" s="8"/>
      <c r="W673" s="8"/>
    </row>
    <row r="674" spans="1:23" ht="14.4">
      <c r="A674" s="3">
        <f>LOOKUP(D674,'AMFI DATA_2023H1'!B:C,'AMFI DATA_2023H1'!C:C)</f>
        <v>869</v>
      </c>
      <c r="B674" s="4" t="s">
        <v>2561</v>
      </c>
      <c r="C674" s="4" t="s">
        <v>2562</v>
      </c>
      <c r="D674" s="5" t="s">
        <v>2563</v>
      </c>
      <c r="E674" s="5">
        <f>LOOKUP(D674,'AMFI DATA_2023H1'!B:D,'AMFI DATA_2023H1'!D:D)</f>
        <v>1613.73</v>
      </c>
      <c r="F674" s="7">
        <f t="shared" si="2"/>
        <v>0.74378613522708248</v>
      </c>
      <c r="G674" s="8">
        <v>2814</v>
      </c>
      <c r="H674" s="8">
        <v>2818</v>
      </c>
      <c r="I674" s="8">
        <v>2818</v>
      </c>
      <c r="J674" s="8">
        <v>2789</v>
      </c>
      <c r="K674" s="8">
        <v>2816</v>
      </c>
      <c r="L674" s="8">
        <v>2510</v>
      </c>
      <c r="M674" s="8"/>
      <c r="N674" s="8"/>
      <c r="O674" s="8"/>
      <c r="P674" s="8"/>
      <c r="Q674" s="9">
        <f ca="1">IFERROR(__xludf.DUMMYFUNCTION("GOOGLEFINANCE(C674,""changepct"")"),2.85)</f>
        <v>2.85</v>
      </c>
      <c r="R674" s="8"/>
      <c r="S674" s="8"/>
      <c r="T674" s="8"/>
      <c r="U674" s="8"/>
      <c r="V674" s="8"/>
      <c r="W674" s="8"/>
    </row>
    <row r="675" spans="1:23" ht="14.4">
      <c r="A675" s="3">
        <f>LOOKUP(D675,'AMFI DATA_2023H1'!B:C,'AMFI DATA_2023H1'!C:C)</f>
        <v>94</v>
      </c>
      <c r="B675" s="4" t="s">
        <v>315</v>
      </c>
      <c r="C675" s="4" t="s">
        <v>316</v>
      </c>
      <c r="D675" s="5" t="s">
        <v>317</v>
      </c>
      <c r="E675" s="5">
        <f>LOOKUP(D675,'AMFI DATA_2023H1'!B:D,'AMFI DATA_2023H1'!D:D)</f>
        <v>52342.96</v>
      </c>
      <c r="F675" s="7">
        <f t="shared" si="2"/>
        <v>0.57117595183764935</v>
      </c>
      <c r="G675" s="8">
        <v>82240</v>
      </c>
      <c r="H675" s="8">
        <v>82777</v>
      </c>
      <c r="I675" s="8">
        <v>83435</v>
      </c>
      <c r="J675" s="8">
        <v>81343</v>
      </c>
      <c r="K675" s="8">
        <v>81295</v>
      </c>
      <c r="L675" s="8">
        <v>78670</v>
      </c>
      <c r="M675" s="8"/>
      <c r="N675" s="8"/>
      <c r="O675" s="8"/>
      <c r="P675" s="8"/>
      <c r="Q675" s="9">
        <f ca="1">IFERROR(__xludf.DUMMYFUNCTION("GOOGLEFINANCE(C675,""changepct"")"),0.25)</f>
        <v>0.25</v>
      </c>
      <c r="R675" s="8"/>
      <c r="S675" s="8"/>
      <c r="T675" s="8"/>
      <c r="U675" s="8"/>
      <c r="V675" s="8"/>
      <c r="W675" s="8"/>
    </row>
    <row r="676" spans="1:23" ht="14.4">
      <c r="A676" s="3">
        <f>LOOKUP(D676,'AMFI DATA_2023H1'!B:C,'AMFI DATA_2023H1'!C:C)</f>
        <v>898</v>
      </c>
      <c r="B676" s="4" t="s">
        <v>3050</v>
      </c>
      <c r="C676" s="4" t="s">
        <v>3051</v>
      </c>
      <c r="D676" s="5" t="s">
        <v>3052</v>
      </c>
      <c r="E676" s="5">
        <f>LOOKUP(D676,'AMFI DATA_2023H1'!B:D,'AMFI DATA_2023H1'!D:D)</f>
        <v>1476.92</v>
      </c>
      <c r="F676" s="7">
        <f t="shared" si="2"/>
        <v>-0.15770657855537207</v>
      </c>
      <c r="G676" s="8">
        <v>1244</v>
      </c>
      <c r="H676" s="8">
        <v>1239</v>
      </c>
      <c r="I676" s="8">
        <v>1245</v>
      </c>
      <c r="J676" s="8">
        <v>1232</v>
      </c>
      <c r="K676" s="8">
        <v>1238</v>
      </c>
      <c r="L676" s="8">
        <v>1247</v>
      </c>
      <c r="M676" s="8"/>
      <c r="N676" s="8"/>
      <c r="O676" s="8"/>
      <c r="P676" s="8"/>
      <c r="Q676" s="9">
        <f ca="1">IFERROR(__xludf.DUMMYFUNCTION("GOOGLEFINANCE(C676,""changepct"")"),-2.93)</f>
        <v>-2.93</v>
      </c>
      <c r="R676" s="8"/>
      <c r="S676" s="8"/>
      <c r="T676" s="8"/>
      <c r="U676" s="8"/>
      <c r="V676" s="8"/>
      <c r="W676" s="8"/>
    </row>
    <row r="677" spans="1:23" ht="14.4">
      <c r="A677" s="3">
        <f>LOOKUP(D677,'AMFI DATA_2023H1'!B:C,'AMFI DATA_2023H1'!C:C)</f>
        <v>1170</v>
      </c>
      <c r="B677" s="4" t="s">
        <v>3308</v>
      </c>
      <c r="C677" s="4" t="s">
        <v>3309</v>
      </c>
      <c r="D677" s="5" t="s">
        <v>3310</v>
      </c>
      <c r="E677" s="5">
        <f>LOOKUP(D677,'AMFI DATA_2023H1'!B:D,'AMFI DATA_2023H1'!D:D)</f>
        <v>751.49</v>
      </c>
      <c r="F677" s="7">
        <f t="shared" si="2"/>
        <v>0.77114798600114431</v>
      </c>
      <c r="G677" s="8">
        <v>1331</v>
      </c>
      <c r="H677" s="8">
        <v>1356</v>
      </c>
      <c r="I677" s="8">
        <v>1382</v>
      </c>
      <c r="J677" s="8">
        <v>1399</v>
      </c>
      <c r="K677" s="8">
        <v>1426</v>
      </c>
      <c r="L677" s="8">
        <v>1372</v>
      </c>
      <c r="M677" s="8"/>
      <c r="N677" s="8"/>
      <c r="O677" s="8"/>
      <c r="P677" s="8"/>
      <c r="Q677" s="9">
        <f ca="1">IFERROR(__xludf.DUMMYFUNCTION("GOOGLEFINANCE(C677,""changepct"")"),0.4)</f>
        <v>0.4</v>
      </c>
      <c r="R677" s="8"/>
      <c r="S677" s="8"/>
      <c r="T677" s="8"/>
      <c r="U677" s="8"/>
      <c r="V677" s="8"/>
      <c r="W677" s="8"/>
    </row>
    <row r="678" spans="1:23" ht="14.4">
      <c r="A678" s="3">
        <f>LOOKUP(D678,'AMFI DATA_2023H1'!B:C,'AMFI DATA_2023H1'!C:C)</f>
        <v>1130</v>
      </c>
      <c r="B678" s="4" t="s">
        <v>3563</v>
      </c>
      <c r="C678" s="4" t="s">
        <v>3564</v>
      </c>
      <c r="D678" s="5" t="s">
        <v>3565</v>
      </c>
      <c r="E678" s="5">
        <f>LOOKUP(D678,'AMFI DATA_2023H1'!B:D,'AMFI DATA_2023H1'!D:D)</f>
        <v>828.91</v>
      </c>
      <c r="F678" s="7">
        <f t="shared" si="2"/>
        <v>2.6649455308779046E-2</v>
      </c>
      <c r="G678" s="9">
        <v>851</v>
      </c>
      <c r="H678" s="9">
        <v>851</v>
      </c>
      <c r="I678" s="9">
        <v>856</v>
      </c>
      <c r="J678" s="9">
        <v>874</v>
      </c>
      <c r="K678" s="9">
        <v>871</v>
      </c>
      <c r="L678" s="9">
        <v>862</v>
      </c>
      <c r="M678" s="9"/>
      <c r="N678" s="9"/>
      <c r="O678" s="9"/>
      <c r="P678" s="9"/>
      <c r="Q678" s="9">
        <f ca="1">IFERROR(__xludf.DUMMYFUNCTION("GOOGLEFINANCE(C678,""changepct"")"),-1.03)</f>
        <v>-1.03</v>
      </c>
      <c r="R678" s="9"/>
      <c r="S678" s="9"/>
      <c r="T678" s="9"/>
      <c r="U678" s="9"/>
      <c r="V678" s="9"/>
      <c r="W678" s="9"/>
    </row>
    <row r="679" spans="1:23" ht="14.4">
      <c r="A679" s="3">
        <f>LOOKUP(D679,'AMFI DATA_2023H1'!B:C,'AMFI DATA_2023H1'!C:C)</f>
        <v>365</v>
      </c>
      <c r="B679" s="4" t="s">
        <v>1230</v>
      </c>
      <c r="C679" s="4" t="s">
        <v>1231</v>
      </c>
      <c r="D679" s="5" t="s">
        <v>1232</v>
      </c>
      <c r="E679" s="5">
        <f>LOOKUP(D679,'AMFI DATA_2023H1'!B:D,'AMFI DATA_2023H1'!D:D)</f>
        <v>9161.92</v>
      </c>
      <c r="F679" s="7">
        <f t="shared" si="2"/>
        <v>0.31948325241870701</v>
      </c>
      <c r="G679" s="8">
        <v>12089</v>
      </c>
      <c r="H679" s="8">
        <v>12025</v>
      </c>
      <c r="I679" s="8">
        <v>11846</v>
      </c>
      <c r="J679" s="8">
        <v>12016</v>
      </c>
      <c r="K679" s="8">
        <v>12257</v>
      </c>
      <c r="L679" s="8">
        <v>11716</v>
      </c>
      <c r="M679" s="8"/>
      <c r="N679" s="8"/>
      <c r="O679" s="8"/>
      <c r="P679" s="8"/>
      <c r="Q679" s="9">
        <f ca="1">IFERROR(__xludf.DUMMYFUNCTION("GOOGLEFINANCE(C679,""changepct"")"),16.9)</f>
        <v>16.899999999999999</v>
      </c>
      <c r="R679" s="8"/>
      <c r="S679" s="8"/>
      <c r="T679" s="8"/>
      <c r="U679" s="8"/>
      <c r="V679" s="8"/>
      <c r="W679" s="8"/>
    </row>
    <row r="680" spans="1:23" ht="14.4">
      <c r="A680" s="3">
        <f>LOOKUP(D680,'AMFI DATA_2023H1'!B:C,'AMFI DATA_2023H1'!C:C)</f>
        <v>582</v>
      </c>
      <c r="B680" s="4" t="s">
        <v>2108</v>
      </c>
      <c r="C680" s="4" t="s">
        <v>2109</v>
      </c>
      <c r="D680" s="5" t="s">
        <v>2110</v>
      </c>
      <c r="E680" s="5">
        <f>LOOKUP(D680,'AMFI DATA_2023H1'!B:D,'AMFI DATA_2023H1'!D:D)</f>
        <v>3939.1</v>
      </c>
      <c r="F680" s="7">
        <f t="shared" si="2"/>
        <v>-6.0953009570714145E-2</v>
      </c>
      <c r="G680" s="8">
        <v>3699</v>
      </c>
      <c r="H680" s="8">
        <v>3733</v>
      </c>
      <c r="I680" s="8">
        <v>3799</v>
      </c>
      <c r="J680" s="8">
        <v>3837</v>
      </c>
      <c r="K680" s="8">
        <v>3863</v>
      </c>
      <c r="L680" s="8">
        <v>3748</v>
      </c>
      <c r="M680" s="8"/>
      <c r="N680" s="8"/>
      <c r="O680" s="8"/>
      <c r="P680" s="8"/>
      <c r="Q680" s="9">
        <f ca="1">IFERROR(__xludf.DUMMYFUNCTION("GOOGLEFINANCE(C680,""changepct"")"),1.34)</f>
        <v>1.34</v>
      </c>
      <c r="R680" s="8"/>
      <c r="S680" s="8"/>
      <c r="T680" s="8"/>
      <c r="U680" s="8"/>
      <c r="V680" s="8"/>
      <c r="W680" s="8"/>
    </row>
    <row r="681" spans="1:23" ht="14.4">
      <c r="A681" s="3">
        <f>LOOKUP(D681,'AMFI DATA_2023H1'!B:C,'AMFI DATA_2023H1'!C:C)</f>
        <v>790</v>
      </c>
      <c r="B681" s="4" t="s">
        <v>2582</v>
      </c>
      <c r="C681" s="4" t="s">
        <v>2583</v>
      </c>
      <c r="D681" s="5" t="s">
        <v>2584</v>
      </c>
      <c r="E681" s="5">
        <f>LOOKUP(D681,'AMFI DATA_2023H1'!B:D,'AMFI DATA_2023H1'!D:D)</f>
        <v>1981.71</v>
      </c>
      <c r="F681" s="7">
        <f t="shared" si="2"/>
        <v>9.0472369822022447E-2</v>
      </c>
      <c r="G681" s="8">
        <v>2161</v>
      </c>
      <c r="H681" s="8">
        <v>2120</v>
      </c>
      <c r="I681" s="8">
        <v>2145</v>
      </c>
      <c r="J681" s="8">
        <v>2120</v>
      </c>
      <c r="K681" s="8">
        <v>2085</v>
      </c>
      <c r="L681" s="8">
        <v>2114</v>
      </c>
      <c r="M681" s="8"/>
      <c r="N681" s="8"/>
      <c r="O681" s="8"/>
      <c r="P681" s="8"/>
      <c r="Q681" s="9">
        <f ca="1">IFERROR(__xludf.DUMMYFUNCTION("GOOGLEFINANCE(C681,""changepct"")"),-0.82)</f>
        <v>-0.82</v>
      </c>
      <c r="R681" s="8"/>
      <c r="S681" s="8"/>
      <c r="T681" s="8"/>
      <c r="U681" s="8"/>
      <c r="V681" s="8"/>
      <c r="W681" s="8"/>
    </row>
    <row r="682" spans="1:23" ht="14.4">
      <c r="A682" s="3">
        <f>LOOKUP(D682,'AMFI DATA_2023H1'!B:C,'AMFI DATA_2023H1'!C:C)</f>
        <v>1661</v>
      </c>
      <c r="B682" s="4" t="s">
        <v>4373</v>
      </c>
      <c r="C682" s="4" t="s">
        <v>4374</v>
      </c>
      <c r="D682" s="5" t="s">
        <v>4375</v>
      </c>
      <c r="E682" s="5">
        <f>LOOKUP(D682,'AMFI DATA_2023H1'!B:D,'AMFI DATA_2023H1'!D:D)</f>
        <v>255.81</v>
      </c>
      <c r="F682" s="7">
        <f t="shared" si="2"/>
        <v>0.10628982447910551</v>
      </c>
      <c r="G682" s="9">
        <v>283</v>
      </c>
      <c r="H682" s="9">
        <v>238</v>
      </c>
      <c r="I682" s="9">
        <v>269</v>
      </c>
      <c r="J682" s="9">
        <v>278</v>
      </c>
      <c r="K682" s="9">
        <v>277</v>
      </c>
      <c r="L682" s="9">
        <v>280</v>
      </c>
      <c r="M682" s="9"/>
      <c r="N682" s="9"/>
      <c r="O682" s="9"/>
      <c r="P682" s="9"/>
      <c r="Q682" s="9">
        <f ca="1">IFERROR(__xludf.DUMMYFUNCTION("GOOGLEFINANCE(C682,""changepct"")"),5.76)</f>
        <v>5.76</v>
      </c>
      <c r="R682" s="9"/>
      <c r="S682" s="9"/>
      <c r="T682" s="9"/>
      <c r="U682" s="9"/>
      <c r="V682" s="9"/>
      <c r="W682" s="9"/>
    </row>
    <row r="683" spans="1:23" ht="14.4">
      <c r="A683" s="3">
        <f>LOOKUP(D683,'AMFI DATA_2023H1'!B:C,'AMFI DATA_2023H1'!C:C)</f>
        <v>545</v>
      </c>
      <c r="B683" s="4" t="s">
        <v>1242</v>
      </c>
      <c r="C683" s="4" t="s">
        <v>1243</v>
      </c>
      <c r="D683" s="5" t="s">
        <v>1244</v>
      </c>
      <c r="E683" s="5">
        <f>LOOKUP(D683,'AMFI DATA_2023H1'!B:D,'AMFI DATA_2023H1'!D:D)</f>
        <v>4420.34</v>
      </c>
      <c r="F683" s="7">
        <f t="shared" si="2"/>
        <v>2.3128673359967786</v>
      </c>
      <c r="G683" s="8">
        <v>14644</v>
      </c>
      <c r="H683" s="8">
        <v>13635</v>
      </c>
      <c r="I683" s="8">
        <v>13662</v>
      </c>
      <c r="J683" s="8">
        <v>13562</v>
      </c>
      <c r="K683" s="8">
        <v>13554</v>
      </c>
      <c r="L683" s="8">
        <v>12628</v>
      </c>
      <c r="M683" s="8"/>
      <c r="N683" s="8"/>
      <c r="O683" s="8"/>
      <c r="P683" s="8"/>
      <c r="Q683" s="9">
        <f ca="1">IFERROR(__xludf.DUMMYFUNCTION("GOOGLEFINANCE(C683,""changepct"")"),-0.66)</f>
        <v>-0.66</v>
      </c>
      <c r="R683" s="8"/>
      <c r="S683" s="8"/>
      <c r="T683" s="8"/>
      <c r="U683" s="8"/>
      <c r="V683" s="8"/>
      <c r="W683" s="8"/>
    </row>
    <row r="684" spans="1:23" ht="14.4">
      <c r="A684" s="3">
        <f>LOOKUP(D684,'AMFI DATA_2023H1'!B:C,'AMFI DATA_2023H1'!C:C)</f>
        <v>1125</v>
      </c>
      <c r="B684" s="4" t="s">
        <v>3017</v>
      </c>
      <c r="C684" s="4" t="s">
        <v>3018</v>
      </c>
      <c r="D684" s="5" t="s">
        <v>3019</v>
      </c>
      <c r="E684" s="5">
        <f>LOOKUP(D684,'AMFI DATA_2023H1'!B:D,'AMFI DATA_2023H1'!D:D)</f>
        <v>834.39</v>
      </c>
      <c r="F684" s="7">
        <f t="shared" si="2"/>
        <v>1.0290271935186186</v>
      </c>
      <c r="G684" s="8">
        <v>1693</v>
      </c>
      <c r="H684" s="8">
        <v>1655</v>
      </c>
      <c r="I684" s="8">
        <v>1644</v>
      </c>
      <c r="J684" s="8">
        <v>1652</v>
      </c>
      <c r="K684" s="8">
        <v>1662</v>
      </c>
      <c r="L684" s="8">
        <v>1679</v>
      </c>
      <c r="M684" s="8"/>
      <c r="N684" s="8"/>
      <c r="O684" s="8"/>
      <c r="P684" s="8"/>
      <c r="Q684" s="9">
        <f ca="1">IFERROR(__xludf.DUMMYFUNCTION("GOOGLEFINANCE(C684,""changepct"")"),-1.81)</f>
        <v>-1.81</v>
      </c>
      <c r="R684" s="8"/>
      <c r="S684" s="8"/>
      <c r="T684" s="8"/>
      <c r="U684" s="8"/>
      <c r="V684" s="8"/>
      <c r="W684" s="8"/>
    </row>
    <row r="685" spans="1:23" ht="14.4">
      <c r="A685" s="3">
        <f>LOOKUP(D685,'AMFI DATA_2023H1'!B:C,'AMFI DATA_2023H1'!C:C)</f>
        <v>1450</v>
      </c>
      <c r="B685" s="4" t="s">
        <v>3650</v>
      </c>
      <c r="C685" s="4" t="s">
        <v>3651</v>
      </c>
      <c r="D685" s="5" t="s">
        <v>3652</v>
      </c>
      <c r="E685" s="5">
        <f>LOOKUP(D685,'AMFI DATA_2023H1'!B:D,'AMFI DATA_2023H1'!D:D)</f>
        <v>379.6</v>
      </c>
      <c r="F685" s="7">
        <f t="shared" si="2"/>
        <v>1.3814541622760799</v>
      </c>
      <c r="G685" s="9">
        <v>904</v>
      </c>
      <c r="H685" s="9">
        <v>932</v>
      </c>
      <c r="I685" s="9">
        <v>927</v>
      </c>
      <c r="J685" s="9">
        <v>953</v>
      </c>
      <c r="K685" s="9">
        <v>943</v>
      </c>
      <c r="L685" s="9">
        <v>945</v>
      </c>
      <c r="M685" s="9"/>
      <c r="N685" s="9"/>
      <c r="O685" s="9"/>
      <c r="P685" s="9"/>
      <c r="Q685" s="9">
        <f ca="1">IFERROR(__xludf.DUMMYFUNCTION("GOOGLEFINANCE(C685,""changepct"")"),10.39)</f>
        <v>10.39</v>
      </c>
      <c r="R685" s="9"/>
      <c r="S685" s="9"/>
      <c r="T685" s="9"/>
      <c r="U685" s="9"/>
      <c r="V685" s="9"/>
      <c r="W685" s="9"/>
    </row>
    <row r="686" spans="1:23" ht="14.4">
      <c r="A686" s="3">
        <f>LOOKUP(D686,'AMFI DATA_2023H1'!B:C,'AMFI DATA_2023H1'!C:C)</f>
        <v>53</v>
      </c>
      <c r="B686" s="4" t="s">
        <v>168</v>
      </c>
      <c r="C686" s="4" t="s">
        <v>169</v>
      </c>
      <c r="D686" s="5" t="s">
        <v>170</v>
      </c>
      <c r="E686" s="5">
        <f>LOOKUP(D686,'AMFI DATA_2023H1'!B:D,'AMFI DATA_2023H1'!D:D)</f>
        <v>96624.21</v>
      </c>
      <c r="F686" s="7">
        <f t="shared" si="2"/>
        <v>0.41682917769780459</v>
      </c>
      <c r="G686" s="8">
        <v>136900</v>
      </c>
      <c r="H686" s="8">
        <v>138181</v>
      </c>
      <c r="I686" s="8">
        <v>137900</v>
      </c>
      <c r="J686" s="8">
        <v>136069</v>
      </c>
      <c r="K686" s="8">
        <v>130408</v>
      </c>
      <c r="L686" s="8">
        <v>128192</v>
      </c>
      <c r="M686" s="8"/>
      <c r="N686" s="8"/>
      <c r="O686" s="8"/>
      <c r="P686" s="8"/>
      <c r="Q686" s="9">
        <f ca="1">IFERROR(__xludf.DUMMYFUNCTION("GOOGLEFINANCE(C686,""changepct"")"),0.99)</f>
        <v>0.99</v>
      </c>
      <c r="R686" s="8"/>
      <c r="S686" s="8"/>
      <c r="T686" s="8"/>
      <c r="U686" s="8"/>
      <c r="V686" s="8"/>
      <c r="W686" s="8"/>
    </row>
    <row r="687" spans="1:23" ht="14.4">
      <c r="A687" s="3">
        <f>LOOKUP(D687,'AMFI DATA_2023H1'!B:C,'AMFI DATA_2023H1'!C:C)</f>
        <v>2276</v>
      </c>
      <c r="B687" s="4" t="s">
        <v>4949</v>
      </c>
      <c r="C687" s="4" t="s">
        <v>4950</v>
      </c>
      <c r="D687" s="5" t="s">
        <v>4951</v>
      </c>
      <c r="E687" s="5">
        <f>LOOKUP(D687,'AMFI DATA_2023H1'!B:D,'AMFI DATA_2023H1'!D:D)</f>
        <v>91.5</v>
      </c>
      <c r="F687" s="7">
        <f t="shared" si="2"/>
        <v>2.081967213114754</v>
      </c>
      <c r="G687" s="9">
        <v>282</v>
      </c>
      <c r="H687" s="9">
        <v>297</v>
      </c>
      <c r="I687" s="9">
        <v>283</v>
      </c>
      <c r="J687" s="9">
        <v>298</v>
      </c>
      <c r="K687" s="9">
        <v>314</v>
      </c>
      <c r="L687" s="9">
        <v>327</v>
      </c>
      <c r="M687" s="9"/>
      <c r="N687" s="9"/>
      <c r="O687" s="9"/>
      <c r="P687" s="9"/>
      <c r="Q687" s="9">
        <f ca="1">IFERROR(__xludf.DUMMYFUNCTION("GOOGLEFINANCE(C687,""changepct"")"),2.94)</f>
        <v>2.94</v>
      </c>
      <c r="R687" s="9"/>
      <c r="S687" s="9"/>
      <c r="T687" s="9"/>
      <c r="U687" s="9"/>
      <c r="V687" s="9"/>
      <c r="W687" s="9"/>
    </row>
    <row r="688" spans="1:23" ht="14.4">
      <c r="A688" s="3">
        <f>LOOKUP(D688,'AMFI DATA_2023H1'!B:C,'AMFI DATA_2023H1'!C:C)</f>
        <v>2245</v>
      </c>
      <c r="B688" s="4" t="s">
        <v>5081</v>
      </c>
      <c r="C688" s="4" t="s">
        <v>5082</v>
      </c>
      <c r="D688" s="5" t="s">
        <v>5083</v>
      </c>
      <c r="E688" s="5">
        <f>LOOKUP(D688,'AMFI DATA_2023H1'!B:D,'AMFI DATA_2023H1'!D:D)</f>
        <v>95.56</v>
      </c>
      <c r="F688" s="7">
        <f t="shared" si="2"/>
        <v>0.29761406446211791</v>
      </c>
      <c r="G688" s="9">
        <v>124</v>
      </c>
      <c r="H688" s="9">
        <v>126</v>
      </c>
      <c r="I688" s="9">
        <v>117</v>
      </c>
      <c r="J688" s="9">
        <v>124</v>
      </c>
      <c r="K688" s="9">
        <v>119</v>
      </c>
      <c r="L688" s="9">
        <v>119</v>
      </c>
      <c r="M688" s="9"/>
      <c r="N688" s="9"/>
      <c r="O688" s="9"/>
      <c r="P688" s="9"/>
      <c r="Q688" s="9">
        <f ca="1">IFERROR(__xludf.DUMMYFUNCTION("GOOGLEFINANCE(C688,""changepct"")"),2.76)</f>
        <v>2.76</v>
      </c>
      <c r="R688" s="9"/>
      <c r="S688" s="9"/>
      <c r="T688" s="9"/>
      <c r="U688" s="9"/>
      <c r="V688" s="9"/>
      <c r="W688" s="9"/>
    </row>
    <row r="689" spans="1:23" ht="14.4">
      <c r="A689" s="3">
        <f>LOOKUP(D689,'AMFI DATA_2023H1'!B:C,'AMFI DATA_2023H1'!C:C)</f>
        <v>454</v>
      </c>
      <c r="B689" s="4" t="s">
        <v>1869</v>
      </c>
      <c r="C689" s="4" t="s">
        <v>1870</v>
      </c>
      <c r="D689" s="5" t="s">
        <v>1871</v>
      </c>
      <c r="E689" s="5">
        <f>LOOKUP(D689,'AMFI DATA_2023H1'!B:D,'AMFI DATA_2023H1'!D:D)</f>
        <v>6118.61</v>
      </c>
      <c r="F689" s="7">
        <f t="shared" si="2"/>
        <v>-0.2457437228390108</v>
      </c>
      <c r="G689" s="8">
        <v>4615</v>
      </c>
      <c r="H689" s="8">
        <v>4607</v>
      </c>
      <c r="I689" s="8">
        <v>4601</v>
      </c>
      <c r="J689" s="8">
        <v>4616</v>
      </c>
      <c r="K689" s="8">
        <v>4644</v>
      </c>
      <c r="L689" s="8">
        <v>4629</v>
      </c>
      <c r="M689" s="8"/>
      <c r="N689" s="8"/>
      <c r="O689" s="8"/>
      <c r="P689" s="8"/>
      <c r="Q689" s="9">
        <f ca="1">IFERROR(__xludf.DUMMYFUNCTION("GOOGLEFINANCE(C689,""changepct"")"),-0.54)</f>
        <v>-0.54</v>
      </c>
      <c r="R689" s="8"/>
      <c r="S689" s="8"/>
      <c r="T689" s="8"/>
      <c r="U689" s="8"/>
      <c r="V689" s="8"/>
      <c r="W689" s="8"/>
    </row>
    <row r="690" spans="1:23" ht="14.4">
      <c r="A690" s="3">
        <f>LOOKUP(D690,'AMFI DATA_2023H1'!B:C,'AMFI DATA_2023H1'!C:C)</f>
        <v>55</v>
      </c>
      <c r="B690" s="4" t="s">
        <v>129</v>
      </c>
      <c r="C690" s="4" t="s">
        <v>130</v>
      </c>
      <c r="D690" s="5" t="s">
        <v>131</v>
      </c>
      <c r="E690" s="5">
        <f>LOOKUP(D690,'AMFI DATA_2023H1'!B:D,'AMFI DATA_2023H1'!D:D)</f>
        <v>95787.07</v>
      </c>
      <c r="F690" s="7">
        <f t="shared" si="2"/>
        <v>0.97374238506303601</v>
      </c>
      <c r="G690" s="8">
        <v>189059</v>
      </c>
      <c r="H690" s="8">
        <v>187491</v>
      </c>
      <c r="I690" s="8">
        <v>187658</v>
      </c>
      <c r="J690" s="8">
        <v>187795</v>
      </c>
      <c r="K690" s="8">
        <v>188659</v>
      </c>
      <c r="L690" s="8">
        <v>180817</v>
      </c>
      <c r="M690" s="8"/>
      <c r="N690" s="8"/>
      <c r="O690" s="8"/>
      <c r="P690" s="8"/>
      <c r="Q690" s="9">
        <f ca="1">IFERROR(__xludf.DUMMYFUNCTION("GOOGLEFINANCE(C690,""changepct"")"),1.16)</f>
        <v>1.1599999999999999</v>
      </c>
      <c r="R690" s="8"/>
      <c r="S690" s="8"/>
      <c r="T690" s="8"/>
      <c r="U690" s="8"/>
      <c r="V690" s="8"/>
      <c r="W690" s="8"/>
    </row>
    <row r="691" spans="1:23" ht="14.4">
      <c r="A691" s="3">
        <f>LOOKUP(D691,'AMFI DATA_2023H1'!B:C,'AMFI DATA_2023H1'!C:C)</f>
        <v>1376</v>
      </c>
      <c r="B691" s="4" t="s">
        <v>3821</v>
      </c>
      <c r="C691" s="4" t="s">
        <v>3822</v>
      </c>
      <c r="D691" s="5" t="s">
        <v>3823</v>
      </c>
      <c r="E691" s="5">
        <f>LOOKUP(D691,'AMFI DATA_2023H1'!B:D,'AMFI DATA_2023H1'!D:D)</f>
        <v>432.4</v>
      </c>
      <c r="F691" s="7">
        <f t="shared" si="2"/>
        <v>0.52173913043478271</v>
      </c>
      <c r="G691" s="9">
        <v>658</v>
      </c>
      <c r="H691" s="9">
        <v>668</v>
      </c>
      <c r="I691" s="9">
        <v>660</v>
      </c>
      <c r="J691" s="9">
        <v>649</v>
      </c>
      <c r="K691" s="9">
        <v>647</v>
      </c>
      <c r="L691" s="9">
        <v>650</v>
      </c>
      <c r="M691" s="9"/>
      <c r="N691" s="9"/>
      <c r="O691" s="9"/>
      <c r="P691" s="9"/>
      <c r="Q691" s="9">
        <f ca="1">IFERROR(__xludf.DUMMYFUNCTION("GOOGLEFINANCE(C691,""changepct"")"),2.27)</f>
        <v>2.27</v>
      </c>
      <c r="R691" s="9"/>
      <c r="S691" s="9"/>
      <c r="T691" s="9"/>
      <c r="U691" s="9"/>
      <c r="V691" s="9"/>
      <c r="W691" s="9"/>
    </row>
    <row r="692" spans="1:23" ht="14.4">
      <c r="A692" s="3">
        <f>LOOKUP(D692,'AMFI DATA_2023H1'!B:C,'AMFI DATA_2023H1'!C:C)</f>
        <v>706</v>
      </c>
      <c r="B692" s="4" t="s">
        <v>2013</v>
      </c>
      <c r="C692" s="4" t="s">
        <v>2014</v>
      </c>
      <c r="D692" s="5" t="s">
        <v>2015</v>
      </c>
      <c r="E692" s="5">
        <f>LOOKUP(D692,'AMFI DATA_2023H1'!B:D,'AMFI DATA_2023H1'!D:D)</f>
        <v>2539.38</v>
      </c>
      <c r="F692" s="7">
        <f t="shared" si="2"/>
        <v>0.72719325189613215</v>
      </c>
      <c r="G692" s="8">
        <v>4386</v>
      </c>
      <c r="H692" s="8">
        <v>4324</v>
      </c>
      <c r="I692" s="8">
        <v>4303</v>
      </c>
      <c r="J692" s="8">
        <v>4348</v>
      </c>
      <c r="K692" s="8">
        <v>4320</v>
      </c>
      <c r="L692" s="8">
        <v>4395</v>
      </c>
      <c r="M692" s="8"/>
      <c r="N692" s="8"/>
      <c r="O692" s="8"/>
      <c r="P692" s="8"/>
      <c r="Q692" s="9">
        <f ca="1">IFERROR(__xludf.DUMMYFUNCTION("GOOGLEFINANCE(C692,""changepct"")"),5.1)</f>
        <v>5.0999999999999996</v>
      </c>
      <c r="R692" s="8"/>
      <c r="S692" s="8"/>
      <c r="T692" s="8"/>
      <c r="U692" s="8"/>
      <c r="V692" s="8"/>
      <c r="W692" s="8"/>
    </row>
    <row r="693" spans="1:23" ht="14.4">
      <c r="A693" s="3">
        <f>LOOKUP(D693,'AMFI DATA_2023H1'!B:C,'AMFI DATA_2023H1'!C:C)</f>
        <v>339</v>
      </c>
      <c r="B693" s="4" t="s">
        <v>945</v>
      </c>
      <c r="C693" s="4" t="s">
        <v>946</v>
      </c>
      <c r="D693" s="5" t="s">
        <v>947</v>
      </c>
      <c r="E693" s="5">
        <f>LOOKUP(D693,'AMFI DATA_2023H1'!B:D,'AMFI DATA_2023H1'!D:D)</f>
        <v>10476.469999999999</v>
      </c>
      <c r="F693" s="7">
        <f t="shared" si="2"/>
        <v>1.5046604438327034</v>
      </c>
      <c r="G693" s="8">
        <v>26240</v>
      </c>
      <c r="H693" s="8">
        <v>26458</v>
      </c>
      <c r="I693" s="8">
        <v>26148</v>
      </c>
      <c r="J693" s="8">
        <v>22744</v>
      </c>
      <c r="K693" s="8">
        <v>22556</v>
      </c>
      <c r="L693" s="8">
        <v>21913</v>
      </c>
      <c r="M693" s="8"/>
      <c r="N693" s="8"/>
      <c r="O693" s="8"/>
      <c r="P693" s="8"/>
      <c r="Q693" s="9">
        <f ca="1">IFERROR(__xludf.DUMMYFUNCTION("GOOGLEFINANCE(C693,""changepct"")"),6.67)</f>
        <v>6.67</v>
      </c>
      <c r="R693" s="8"/>
      <c r="S693" s="8"/>
      <c r="T693" s="8"/>
      <c r="U693" s="8"/>
      <c r="V693" s="8"/>
      <c r="W693" s="8"/>
    </row>
    <row r="694" spans="1:23" ht="14.4">
      <c r="A694" s="3">
        <f>LOOKUP(D694,'AMFI DATA_2023H1'!B:C,'AMFI DATA_2023H1'!C:C)</f>
        <v>446</v>
      </c>
      <c r="B694" s="4" t="s">
        <v>1650</v>
      </c>
      <c r="C694" s="4" t="s">
        <v>1651</v>
      </c>
      <c r="D694" s="5" t="s">
        <v>1652</v>
      </c>
      <c r="E694" s="5">
        <f>LOOKUP(D694,'AMFI DATA_2023H1'!B:D,'AMFI DATA_2023H1'!D:D)</f>
        <v>6399.34</v>
      </c>
      <c r="F694" s="7">
        <f t="shared" si="2"/>
        <v>-1.7398669237765119E-2</v>
      </c>
      <c r="G694" s="8">
        <v>6288</v>
      </c>
      <c r="H694" s="8">
        <v>6328</v>
      </c>
      <c r="I694" s="8">
        <v>6201</v>
      </c>
      <c r="J694" s="8">
        <v>6212</v>
      </c>
      <c r="K694" s="8">
        <v>6215</v>
      </c>
      <c r="L694" s="8">
        <v>6251</v>
      </c>
      <c r="M694" s="8"/>
      <c r="N694" s="8"/>
      <c r="O694" s="8"/>
      <c r="P694" s="8"/>
      <c r="Q694" s="9">
        <f ca="1">IFERROR(__xludf.DUMMYFUNCTION("GOOGLEFINANCE(C694,""changepct"")"),3.24)</f>
        <v>3.24</v>
      </c>
      <c r="R694" s="8"/>
      <c r="S694" s="8"/>
      <c r="T694" s="8"/>
      <c r="U694" s="8"/>
      <c r="V694" s="8"/>
      <c r="W694" s="8"/>
    </row>
    <row r="695" spans="1:23" ht="14.4">
      <c r="A695" s="3">
        <f>LOOKUP(D695,'AMFI DATA_2023H1'!B:C,'AMFI DATA_2023H1'!C:C)</f>
        <v>1429</v>
      </c>
      <c r="B695" s="4" t="s">
        <v>3899</v>
      </c>
      <c r="C695" s="4" t="s">
        <v>3900</v>
      </c>
      <c r="D695" s="5" t="s">
        <v>3901</v>
      </c>
      <c r="E695" s="5">
        <f>LOOKUP(D695,'AMFI DATA_2023H1'!B:D,'AMFI DATA_2023H1'!D:D)</f>
        <v>393.82</v>
      </c>
      <c r="F695" s="7">
        <f t="shared" si="2"/>
        <v>0.69366715758468334</v>
      </c>
      <c r="G695" s="9">
        <v>667</v>
      </c>
      <c r="H695" s="9">
        <v>673</v>
      </c>
      <c r="I695" s="9">
        <v>673</v>
      </c>
      <c r="J695" s="9">
        <v>697</v>
      </c>
      <c r="K695" s="9">
        <v>704</v>
      </c>
      <c r="L695" s="9">
        <v>679</v>
      </c>
      <c r="M695" s="9"/>
      <c r="N695" s="9"/>
      <c r="O695" s="9"/>
      <c r="P695" s="9"/>
      <c r="Q695" s="9">
        <f ca="1">IFERROR(__xludf.DUMMYFUNCTION("GOOGLEFINANCE(C695,""changepct"")"),-1.26)</f>
        <v>-1.26</v>
      </c>
      <c r="R695" s="9"/>
      <c r="S695" s="9"/>
      <c r="T695" s="9"/>
      <c r="U695" s="9"/>
      <c r="V695" s="9"/>
      <c r="W695" s="9"/>
    </row>
    <row r="696" spans="1:23" ht="14.4">
      <c r="A696" s="3">
        <f>LOOKUP(D696,'AMFI DATA_2023H1'!B:C,'AMFI DATA_2023H1'!C:C)</f>
        <v>1558</v>
      </c>
      <c r="B696" s="4" t="s">
        <v>4340</v>
      </c>
      <c r="C696" s="4" t="s">
        <v>4341</v>
      </c>
      <c r="D696" s="5" t="s">
        <v>4342</v>
      </c>
      <c r="E696" s="5">
        <f>LOOKUP(D696,'AMFI DATA_2023H1'!B:D,'AMFI DATA_2023H1'!D:D)</f>
        <v>310.02</v>
      </c>
      <c r="F696" s="7">
        <f t="shared" si="2"/>
        <v>0.17089220050319343</v>
      </c>
      <c r="G696" s="9">
        <v>363</v>
      </c>
      <c r="H696" s="9">
        <v>353</v>
      </c>
      <c r="I696" s="9">
        <v>339</v>
      </c>
      <c r="J696" s="9">
        <v>343</v>
      </c>
      <c r="K696" s="9">
        <v>346</v>
      </c>
      <c r="L696" s="9">
        <v>340</v>
      </c>
      <c r="M696" s="9"/>
      <c r="N696" s="9"/>
      <c r="O696" s="9"/>
      <c r="P696" s="9"/>
      <c r="Q696" s="9">
        <f ca="1">IFERROR(__xludf.DUMMYFUNCTION("GOOGLEFINANCE(C696,""changepct"")"),1.09)</f>
        <v>1.0900000000000001</v>
      </c>
      <c r="R696" s="9"/>
      <c r="S696" s="9"/>
      <c r="T696" s="9"/>
      <c r="U696" s="9"/>
      <c r="V696" s="9"/>
      <c r="W696" s="9"/>
    </row>
    <row r="697" spans="1:23" ht="14.4">
      <c r="A697" s="3">
        <f>LOOKUP(D697,'AMFI DATA_2023H1'!B:C,'AMFI DATA_2023H1'!C:C)</f>
        <v>785</v>
      </c>
      <c r="B697" s="4" t="s">
        <v>2510</v>
      </c>
      <c r="C697" s="4" t="s">
        <v>2511</v>
      </c>
      <c r="D697" s="5" t="s">
        <v>2512</v>
      </c>
      <c r="E697" s="5">
        <f>LOOKUP(D697,'AMFI DATA_2023H1'!B:D,'AMFI DATA_2023H1'!D:D)</f>
        <v>2022.18</v>
      </c>
      <c r="F697" s="7">
        <f t="shared" si="2"/>
        <v>0.18980506186392909</v>
      </c>
      <c r="G697" s="8">
        <v>2406</v>
      </c>
      <c r="H697" s="8">
        <v>2412</v>
      </c>
      <c r="I697" s="8">
        <v>2423</v>
      </c>
      <c r="J697" s="8">
        <v>2392</v>
      </c>
      <c r="K697" s="8">
        <v>2423</v>
      </c>
      <c r="L697" s="8">
        <v>2397</v>
      </c>
      <c r="M697" s="8"/>
      <c r="N697" s="8"/>
      <c r="O697" s="8"/>
      <c r="P697" s="8"/>
      <c r="Q697" s="9">
        <f ca="1">IFERROR(__xludf.DUMMYFUNCTION("GOOGLEFINANCE(C697,""changepct"")"),7.99)</f>
        <v>7.99</v>
      </c>
      <c r="R697" s="8"/>
      <c r="S697" s="8"/>
      <c r="T697" s="8"/>
      <c r="U697" s="8"/>
      <c r="V697" s="8"/>
      <c r="W697" s="8"/>
    </row>
    <row r="698" spans="1:23" ht="14.4">
      <c r="A698" s="3">
        <f>LOOKUP(D698,'AMFI DATA_2023H1'!B:C,'AMFI DATA_2023H1'!C:C)</f>
        <v>151</v>
      </c>
      <c r="B698" s="4" t="s">
        <v>489</v>
      </c>
      <c r="C698" s="4" t="s">
        <v>490</v>
      </c>
      <c r="D698" s="5" t="s">
        <v>491</v>
      </c>
      <c r="E698" s="5">
        <f>LOOKUP(D698,'AMFI DATA_2023H1'!B:D,'AMFI DATA_2023H1'!D:D)</f>
        <v>34806.959999999999</v>
      </c>
      <c r="F698" s="7">
        <f t="shared" si="2"/>
        <v>0.62938676632489599</v>
      </c>
      <c r="G698" s="8">
        <v>56714</v>
      </c>
      <c r="H698" s="8">
        <v>56565</v>
      </c>
      <c r="I698" s="8">
        <v>59267</v>
      </c>
      <c r="J698" s="8">
        <v>54160</v>
      </c>
      <c r="K698" s="8">
        <v>54516</v>
      </c>
      <c r="L698" s="8">
        <v>52387</v>
      </c>
      <c r="M698" s="8"/>
      <c r="N698" s="8"/>
      <c r="O698" s="8"/>
      <c r="P698" s="8"/>
      <c r="Q698" s="9">
        <f ca="1">IFERROR(__xludf.DUMMYFUNCTION("GOOGLEFINANCE(C698,""changepct"")"),3.56)</f>
        <v>3.56</v>
      </c>
      <c r="R698" s="8"/>
      <c r="S698" s="8"/>
      <c r="T698" s="8"/>
      <c r="U698" s="8"/>
      <c r="V698" s="8"/>
      <c r="W698" s="8"/>
    </row>
    <row r="699" spans="1:23" ht="14.4">
      <c r="A699" s="3">
        <f>LOOKUP(D699,'AMFI DATA_2023H1'!B:C,'AMFI DATA_2023H1'!C:C)</f>
        <v>5</v>
      </c>
      <c r="B699" s="4" t="s">
        <v>19</v>
      </c>
      <c r="C699" s="4" t="s">
        <v>20</v>
      </c>
      <c r="D699" s="5" t="s">
        <v>21</v>
      </c>
      <c r="E699" s="5">
        <f>LOOKUP(D699,'AMFI DATA_2023H1'!B:D,'AMFI DATA_2023H1'!D:D)</f>
        <v>604267.54</v>
      </c>
      <c r="F699" s="7">
        <f t="shared" si="2"/>
        <v>3.262372822475279E-2</v>
      </c>
      <c r="G699" s="8">
        <v>623981</v>
      </c>
      <c r="H699" s="8">
        <v>625778</v>
      </c>
      <c r="I699" s="8">
        <v>618847</v>
      </c>
      <c r="J699" s="8">
        <v>613067</v>
      </c>
      <c r="K699" s="8">
        <v>607429</v>
      </c>
      <c r="L699" s="8">
        <v>605161</v>
      </c>
      <c r="M699" s="8"/>
      <c r="N699" s="8"/>
      <c r="O699" s="8"/>
      <c r="P699" s="8"/>
      <c r="Q699" s="9">
        <f ca="1">IFERROR(__xludf.DUMMYFUNCTION("GOOGLEFINANCE(C699,""changepct"")"),-3.06)</f>
        <v>-3.06</v>
      </c>
      <c r="R699" s="8"/>
      <c r="S699" s="8"/>
      <c r="T699" s="8"/>
      <c r="U699" s="8"/>
      <c r="V699" s="8"/>
      <c r="W699" s="8"/>
    </row>
    <row r="700" spans="1:23" ht="14.4">
      <c r="A700" s="3">
        <f>LOOKUP(D700,'AMFI DATA_2023H1'!B:C,'AMFI DATA_2023H1'!C:C)</f>
        <v>40</v>
      </c>
      <c r="B700" s="4" t="s">
        <v>144</v>
      </c>
      <c r="C700" s="4" t="s">
        <v>145</v>
      </c>
      <c r="D700" s="5" t="s">
        <v>146</v>
      </c>
      <c r="E700" s="5">
        <f>LOOKUP(D700,'AMFI DATA_2023H1'!B:D,'AMFI DATA_2023H1'!D:D)</f>
        <v>134580.91</v>
      </c>
      <c r="F700" s="7">
        <f t="shared" si="2"/>
        <v>-3.4856355184409438E-4</v>
      </c>
      <c r="G700" s="8">
        <v>134534</v>
      </c>
      <c r="H700" s="8">
        <v>134365</v>
      </c>
      <c r="I700" s="8">
        <v>132253</v>
      </c>
      <c r="J700" s="8">
        <v>131724</v>
      </c>
      <c r="K700" s="8">
        <v>131703</v>
      </c>
      <c r="L700" s="8">
        <v>130943</v>
      </c>
      <c r="M700" s="8"/>
      <c r="N700" s="8"/>
      <c r="O700" s="8"/>
      <c r="P700" s="8"/>
      <c r="Q700" s="9">
        <f ca="1">IFERROR(__xludf.DUMMYFUNCTION("GOOGLEFINANCE(C700,""changepct"")"),0.95)</f>
        <v>0.95</v>
      </c>
      <c r="R700" s="8"/>
      <c r="S700" s="8"/>
      <c r="T700" s="8"/>
      <c r="U700" s="8"/>
      <c r="V700" s="8"/>
      <c r="W700" s="8"/>
    </row>
    <row r="701" spans="1:23" ht="14.4">
      <c r="A701" s="3">
        <f>LOOKUP(D701,'AMFI DATA_2023H1'!B:C,'AMFI DATA_2023H1'!C:C)</f>
        <v>647</v>
      </c>
      <c r="B701" s="4" t="s">
        <v>2043</v>
      </c>
      <c r="C701" s="4" t="s">
        <v>2044</v>
      </c>
      <c r="D701" s="5" t="s">
        <v>2045</v>
      </c>
      <c r="E701" s="5">
        <f>LOOKUP(D701,'AMFI DATA_2023H1'!B:D,'AMFI DATA_2023H1'!D:D)</f>
        <v>3035.57</v>
      </c>
      <c r="F701" s="7">
        <f t="shared" si="2"/>
        <v>0.20372780070958663</v>
      </c>
      <c r="G701" s="8">
        <v>3654</v>
      </c>
      <c r="H701" s="8">
        <v>3677</v>
      </c>
      <c r="I701" s="8">
        <v>3590</v>
      </c>
      <c r="J701" s="8">
        <v>3625</v>
      </c>
      <c r="K701" s="8">
        <v>3623</v>
      </c>
      <c r="L701" s="8">
        <v>3698</v>
      </c>
      <c r="M701" s="8"/>
      <c r="N701" s="8"/>
      <c r="O701" s="8"/>
      <c r="P701" s="8"/>
      <c r="Q701" s="9">
        <f ca="1">IFERROR(__xludf.DUMMYFUNCTION("GOOGLEFINANCE(C701,""changepct"")"),1.79)</f>
        <v>1.79</v>
      </c>
      <c r="R701" s="8"/>
      <c r="S701" s="8"/>
      <c r="T701" s="8"/>
      <c r="U701" s="8"/>
      <c r="V701" s="8"/>
      <c r="W701" s="8"/>
    </row>
    <row r="702" spans="1:23" ht="14.4">
      <c r="A702" s="3">
        <f>LOOKUP(D702,'AMFI DATA_2023H1'!B:C,'AMFI DATA_2023H1'!C:C)</f>
        <v>2359</v>
      </c>
      <c r="B702" s="4" t="s">
        <v>5207</v>
      </c>
      <c r="C702" s="4" t="s">
        <v>5208</v>
      </c>
      <c r="D702" s="5" t="s">
        <v>5209</v>
      </c>
      <c r="E702" s="5">
        <f>LOOKUP(D702,'AMFI DATA_2023H1'!B:D,'AMFI DATA_2023H1'!D:D)</f>
        <v>77.349999999999994</v>
      </c>
      <c r="F702" s="7">
        <f t="shared" si="2"/>
        <v>0.38332255979314822</v>
      </c>
      <c r="G702" s="9">
        <v>107</v>
      </c>
      <c r="H702" s="9">
        <v>111</v>
      </c>
      <c r="I702" s="9">
        <v>111</v>
      </c>
      <c r="J702" s="9">
        <v>107</v>
      </c>
      <c r="K702" s="9">
        <v>108</v>
      </c>
      <c r="L702" s="9">
        <v>108</v>
      </c>
      <c r="M702" s="9"/>
      <c r="N702" s="9"/>
      <c r="O702" s="9"/>
      <c r="P702" s="9"/>
      <c r="Q702" s="9">
        <f ca="1">IFERROR(__xludf.DUMMYFUNCTION("GOOGLEFINANCE(C702,""changepct"")"),4.45)</f>
        <v>4.45</v>
      </c>
      <c r="R702" s="9"/>
      <c r="S702" s="9"/>
      <c r="T702" s="9"/>
      <c r="U702" s="9"/>
      <c r="V702" s="9"/>
      <c r="W702" s="9"/>
    </row>
    <row r="703" spans="1:23" ht="14.4">
      <c r="A703" s="3">
        <f>LOOKUP(D703,'AMFI DATA_2023H1'!B:C,'AMFI DATA_2023H1'!C:C)</f>
        <v>276</v>
      </c>
      <c r="B703" s="4" t="s">
        <v>846</v>
      </c>
      <c r="C703" s="4" t="s">
        <v>847</v>
      </c>
      <c r="D703" s="5" t="s">
        <v>848</v>
      </c>
      <c r="E703" s="5">
        <f>LOOKUP(D703,'AMFI DATA_2023H1'!B:D,'AMFI DATA_2023H1'!D:D)</f>
        <v>14652.16</v>
      </c>
      <c r="F703" s="7">
        <f t="shared" si="2"/>
        <v>0.56714095396173669</v>
      </c>
      <c r="G703" s="8">
        <v>22962</v>
      </c>
      <c r="H703" s="8">
        <v>22441</v>
      </c>
      <c r="I703" s="8">
        <v>22210</v>
      </c>
      <c r="J703" s="8">
        <v>22091</v>
      </c>
      <c r="K703" s="8">
        <v>21889</v>
      </c>
      <c r="L703" s="8">
        <v>21746</v>
      </c>
      <c r="M703" s="8"/>
      <c r="N703" s="8"/>
      <c r="O703" s="8"/>
      <c r="P703" s="8"/>
      <c r="Q703" s="9">
        <f ca="1">IFERROR(__xludf.DUMMYFUNCTION("GOOGLEFINANCE(C703,""changepct"")"),1.85)</f>
        <v>1.85</v>
      </c>
      <c r="R703" s="8"/>
      <c r="S703" s="8"/>
      <c r="T703" s="8"/>
      <c r="U703" s="8"/>
      <c r="V703" s="8"/>
      <c r="W703" s="8"/>
    </row>
    <row r="704" spans="1:23" ht="14.4">
      <c r="A704" s="3">
        <f>LOOKUP(D704,'AMFI DATA_2023H1'!B:C,'AMFI DATA_2023H1'!C:C)</f>
        <v>1506</v>
      </c>
      <c r="B704" s="4" t="s">
        <v>4109</v>
      </c>
      <c r="C704" s="4" t="s">
        <v>4110</v>
      </c>
      <c r="D704" s="5" t="s">
        <v>4111</v>
      </c>
      <c r="E704" s="5">
        <f>LOOKUP(D704,'AMFI DATA_2023H1'!B:D,'AMFI DATA_2023H1'!D:D)</f>
        <v>340.66</v>
      </c>
      <c r="F704" s="7">
        <f t="shared" si="2"/>
        <v>0.3062877942816884</v>
      </c>
      <c r="G704" s="9">
        <v>445</v>
      </c>
      <c r="H704" s="9">
        <v>443</v>
      </c>
      <c r="I704" s="9">
        <v>441</v>
      </c>
      <c r="J704" s="9">
        <v>443</v>
      </c>
      <c r="K704" s="9">
        <v>450</v>
      </c>
      <c r="L704" s="9">
        <v>452</v>
      </c>
      <c r="M704" s="9"/>
      <c r="N704" s="9"/>
      <c r="O704" s="9"/>
      <c r="P704" s="9"/>
      <c r="Q704" s="9">
        <f ca="1">IFERROR(__xludf.DUMMYFUNCTION("GOOGLEFINANCE(C704,""changepct"")"),-0.39)</f>
        <v>-0.39</v>
      </c>
      <c r="R704" s="9"/>
      <c r="S704" s="9"/>
      <c r="T704" s="9"/>
      <c r="U704" s="9"/>
      <c r="V704" s="9"/>
      <c r="W704" s="9"/>
    </row>
    <row r="705" spans="1:23" ht="14.4">
      <c r="A705" s="3">
        <f>LOOKUP(D705,'AMFI DATA_2023H1'!B:C,'AMFI DATA_2023H1'!C:C)</f>
        <v>1053</v>
      </c>
      <c r="B705" s="4" t="s">
        <v>3221</v>
      </c>
      <c r="C705" s="4" t="s">
        <v>3222</v>
      </c>
      <c r="D705" s="5" t="s">
        <v>3223</v>
      </c>
      <c r="E705" s="5">
        <f>LOOKUP(D705,'AMFI DATA_2023H1'!B:D,'AMFI DATA_2023H1'!D:D)</f>
        <v>1025.3499999999999</v>
      </c>
      <c r="F705" s="7">
        <f t="shared" si="2"/>
        <v>0.54093724094211737</v>
      </c>
      <c r="G705" s="8">
        <v>1580</v>
      </c>
      <c r="H705" s="8">
        <v>1579</v>
      </c>
      <c r="I705" s="8">
        <v>1562</v>
      </c>
      <c r="J705" s="8">
        <v>1575</v>
      </c>
      <c r="K705" s="8">
        <v>1541</v>
      </c>
      <c r="L705" s="8">
        <v>1370</v>
      </c>
      <c r="M705" s="8"/>
      <c r="N705" s="8"/>
      <c r="O705" s="8"/>
      <c r="P705" s="8"/>
      <c r="Q705" s="9">
        <f ca="1">IFERROR(__xludf.DUMMYFUNCTION("GOOGLEFINANCE(C705,""changepct"")"),9.16)</f>
        <v>9.16</v>
      </c>
      <c r="R705" s="8"/>
      <c r="S705" s="8"/>
      <c r="T705" s="8"/>
      <c r="U705" s="8"/>
      <c r="V705" s="8"/>
      <c r="W705" s="8"/>
    </row>
    <row r="706" spans="1:23" ht="14.4">
      <c r="A706" s="3">
        <f>LOOKUP(D706,'AMFI DATA_2023H1'!B:C,'AMFI DATA_2023H1'!C:C)</f>
        <v>573</v>
      </c>
      <c r="B706" s="4" t="s">
        <v>2049</v>
      </c>
      <c r="C706" s="4" t="s">
        <v>2050</v>
      </c>
      <c r="D706" s="5" t="s">
        <v>2051</v>
      </c>
      <c r="E706" s="5">
        <f>LOOKUP(D706,'AMFI DATA_2023H1'!B:D,'AMFI DATA_2023H1'!D:D)</f>
        <v>4034.31</v>
      </c>
      <c r="F706" s="7">
        <f t="shared" si="2"/>
        <v>-9.1790169818382839E-2</v>
      </c>
      <c r="G706" s="8">
        <v>3664</v>
      </c>
      <c r="H706" s="8">
        <v>3693</v>
      </c>
      <c r="I706" s="8">
        <v>3692</v>
      </c>
      <c r="J706" s="8">
        <v>3685</v>
      </c>
      <c r="K706" s="8">
        <v>3700</v>
      </c>
      <c r="L706" s="8">
        <v>3632</v>
      </c>
      <c r="M706" s="8"/>
      <c r="N706" s="8"/>
      <c r="O706" s="8"/>
      <c r="P706" s="8"/>
      <c r="Q706" s="9">
        <f ca="1">IFERROR(__xludf.DUMMYFUNCTION("GOOGLEFINANCE(C706,""changepct"")"),2.78)</f>
        <v>2.78</v>
      </c>
      <c r="R706" s="8"/>
      <c r="S706" s="8"/>
      <c r="T706" s="8"/>
      <c r="U706" s="8"/>
      <c r="V706" s="8"/>
      <c r="W706" s="8"/>
    </row>
    <row r="707" spans="1:23" ht="14.4">
      <c r="A707" s="3">
        <f>LOOKUP(D707,'AMFI DATA_2023H1'!B:C,'AMFI DATA_2023H1'!C:C)</f>
        <v>1182</v>
      </c>
      <c r="B707" s="4" t="s">
        <v>3143</v>
      </c>
      <c r="C707" s="4" t="s">
        <v>3144</v>
      </c>
      <c r="D707" s="5" t="s">
        <v>3145</v>
      </c>
      <c r="E707" s="5">
        <f>LOOKUP(D707,'AMFI DATA_2023H1'!B:D,'AMFI DATA_2023H1'!D:D)</f>
        <v>723.97</v>
      </c>
      <c r="F707" s="7">
        <f t="shared" si="2"/>
        <v>1.6133679572357971</v>
      </c>
      <c r="G707" s="8">
        <v>1892</v>
      </c>
      <c r="H707" s="8">
        <v>1776</v>
      </c>
      <c r="I707" s="8">
        <v>1798</v>
      </c>
      <c r="J707" s="8">
        <v>1810</v>
      </c>
      <c r="K707" s="8">
        <v>1870</v>
      </c>
      <c r="L707" s="8">
        <v>1829</v>
      </c>
      <c r="M707" s="8"/>
      <c r="N707" s="8"/>
      <c r="O707" s="8"/>
      <c r="P707" s="8"/>
      <c r="Q707" s="9">
        <f ca="1">IFERROR(__xludf.DUMMYFUNCTION("GOOGLEFINANCE(C707,""changepct"")"),1.54)</f>
        <v>1.54</v>
      </c>
      <c r="R707" s="8"/>
      <c r="S707" s="8"/>
      <c r="T707" s="8"/>
      <c r="U707" s="8"/>
      <c r="V707" s="8"/>
      <c r="W707" s="8"/>
    </row>
    <row r="708" spans="1:23" ht="14.4">
      <c r="A708" s="3">
        <f>LOOKUP(D708,'AMFI DATA_2023H1'!B:C,'AMFI DATA_2023H1'!C:C)</f>
        <v>1182</v>
      </c>
      <c r="B708" s="4" t="s">
        <v>2171</v>
      </c>
      <c r="C708" s="4" t="s">
        <v>2172</v>
      </c>
      <c r="D708" s="5" t="s">
        <v>2173</v>
      </c>
      <c r="E708" s="5">
        <f>LOOKUP(D708,'AMFI DATA_2023H1'!B:D,'AMFI DATA_2023H1'!D:D)</f>
        <v>723.97</v>
      </c>
      <c r="F708" s="7">
        <f t="shared" si="2"/>
        <v>4.3303313673218504</v>
      </c>
      <c r="G708" s="8">
        <v>3859</v>
      </c>
      <c r="H708" s="8">
        <v>4206</v>
      </c>
      <c r="I708" s="8">
        <v>3829</v>
      </c>
      <c r="J708" s="8">
        <v>3826</v>
      </c>
      <c r="K708" s="8">
        <v>3896</v>
      </c>
      <c r="L708" s="8">
        <v>3845</v>
      </c>
      <c r="M708" s="8"/>
      <c r="N708" s="8"/>
      <c r="O708" s="8"/>
      <c r="P708" s="8"/>
      <c r="Q708" s="9">
        <f ca="1">IFERROR(__xludf.DUMMYFUNCTION("GOOGLEFINANCE(C708,""changepct"")"),-0.43)</f>
        <v>-0.43</v>
      </c>
      <c r="R708" s="8"/>
      <c r="S708" s="8"/>
      <c r="T708" s="8"/>
      <c r="U708" s="8"/>
      <c r="V708" s="8"/>
      <c r="W708" s="8"/>
    </row>
    <row r="709" spans="1:23" ht="14.4">
      <c r="A709" s="3">
        <f>LOOKUP(D709,'AMFI DATA_2023H1'!B:C,'AMFI DATA_2023H1'!C:C)</f>
        <v>940</v>
      </c>
      <c r="B709" s="4" t="s">
        <v>2714</v>
      </c>
      <c r="C709" s="4" t="s">
        <v>2715</v>
      </c>
      <c r="D709" s="5" t="s">
        <v>2716</v>
      </c>
      <c r="E709" s="5">
        <f>LOOKUP(D709,'AMFI DATA_2023H1'!B:D,'AMFI DATA_2023H1'!D:D)</f>
        <v>1342.35</v>
      </c>
      <c r="F709" s="7">
        <f t="shared" si="2"/>
        <v>0.37743509516892026</v>
      </c>
      <c r="G709" s="8">
        <v>1849</v>
      </c>
      <c r="H709" s="8">
        <v>1885</v>
      </c>
      <c r="I709" s="8">
        <v>1878</v>
      </c>
      <c r="J709" s="8">
        <v>1876</v>
      </c>
      <c r="K709" s="8">
        <v>1927</v>
      </c>
      <c r="L709" s="8">
        <v>1942</v>
      </c>
      <c r="M709" s="8"/>
      <c r="N709" s="8"/>
      <c r="O709" s="8"/>
      <c r="P709" s="8"/>
      <c r="Q709" s="9">
        <f ca="1">IFERROR(__xludf.DUMMYFUNCTION("GOOGLEFINANCE(C709,""changepct"")"),2.57)</f>
        <v>2.57</v>
      </c>
      <c r="R709" s="8"/>
      <c r="S709" s="8"/>
      <c r="T709" s="8"/>
      <c r="U709" s="8"/>
      <c r="V709" s="8"/>
      <c r="W709" s="8"/>
    </row>
    <row r="710" spans="1:23" ht="14.4">
      <c r="A710" s="3">
        <f>LOOKUP(D710,'AMFI DATA_2023H1'!B:C,'AMFI DATA_2023H1'!C:C)</f>
        <v>445</v>
      </c>
      <c r="B710" s="4" t="s">
        <v>1428</v>
      </c>
      <c r="C710" s="4" t="s">
        <v>1429</v>
      </c>
      <c r="D710" s="5" t="s">
        <v>1430</v>
      </c>
      <c r="E710" s="5">
        <f>LOOKUP(D710,'AMFI DATA_2023H1'!B:D,'AMFI DATA_2023H1'!D:D)</f>
        <v>6441.6</v>
      </c>
      <c r="F710" s="7">
        <f t="shared" si="2"/>
        <v>0.27825384997516145</v>
      </c>
      <c r="G710" s="8">
        <v>8234</v>
      </c>
      <c r="H710" s="8">
        <v>8219</v>
      </c>
      <c r="I710" s="8">
        <v>8293</v>
      </c>
      <c r="J710" s="8">
        <v>8507</v>
      </c>
      <c r="K710" s="8">
        <v>8469</v>
      </c>
      <c r="L710" s="8">
        <v>8787</v>
      </c>
      <c r="M710" s="8"/>
      <c r="N710" s="8"/>
      <c r="O710" s="8"/>
      <c r="P710" s="8"/>
      <c r="Q710" s="9">
        <f ca="1">IFERROR(__xludf.DUMMYFUNCTION("GOOGLEFINANCE(C710,""changepct"")"),0.51)</f>
        <v>0.51</v>
      </c>
      <c r="R710" s="8"/>
      <c r="S710" s="8"/>
      <c r="T710" s="8"/>
      <c r="U710" s="8"/>
      <c r="V710" s="8"/>
      <c r="W710" s="8"/>
    </row>
    <row r="711" spans="1:23" ht="14.4">
      <c r="A711" s="3">
        <f>LOOKUP(D711,'AMFI DATA_2023H1'!B:C,'AMFI DATA_2023H1'!C:C)</f>
        <v>445</v>
      </c>
      <c r="B711" s="4" t="s">
        <v>1056</v>
      </c>
      <c r="C711" s="4" t="s">
        <v>1057</v>
      </c>
      <c r="D711" s="5" t="s">
        <v>1058</v>
      </c>
      <c r="E711" s="5">
        <f>LOOKUP(D711,'AMFI DATA_2023H1'!B:D,'AMFI DATA_2023H1'!D:D)</f>
        <v>6441.6</v>
      </c>
      <c r="F711" s="7">
        <f t="shared" si="2"/>
        <v>1.1378229011425733</v>
      </c>
      <c r="G711" s="8">
        <v>13771</v>
      </c>
      <c r="H711" s="8">
        <v>14150</v>
      </c>
      <c r="I711" s="8">
        <v>14796</v>
      </c>
      <c r="J711" s="8">
        <v>14844</v>
      </c>
      <c r="K711" s="8">
        <v>14053</v>
      </c>
      <c r="L711" s="8">
        <v>13684</v>
      </c>
      <c r="M711" s="8"/>
      <c r="N711" s="8"/>
      <c r="O711" s="8"/>
      <c r="P711" s="8"/>
      <c r="Q711" s="9">
        <f ca="1">IFERROR(__xludf.DUMMYFUNCTION("GOOGLEFINANCE(C711,""changepct"")"),1.79)</f>
        <v>1.79</v>
      </c>
      <c r="R711" s="8"/>
      <c r="S711" s="8"/>
      <c r="T711" s="8"/>
      <c r="U711" s="8"/>
      <c r="V711" s="8"/>
      <c r="W711" s="8"/>
    </row>
    <row r="712" spans="1:23" ht="14.4">
      <c r="A712" s="3">
        <f>LOOKUP(D712,'AMFI DATA_2023H1'!B:C,'AMFI DATA_2023H1'!C:C)</f>
        <v>749</v>
      </c>
      <c r="B712" s="4" t="s">
        <v>2435</v>
      </c>
      <c r="C712" s="4" t="s">
        <v>2436</v>
      </c>
      <c r="D712" s="5" t="s">
        <v>2437</v>
      </c>
      <c r="E712" s="5">
        <f>LOOKUP(D712,'AMFI DATA_2023H1'!B:D,'AMFI DATA_2023H1'!D:D)</f>
        <v>2190.7199999999998</v>
      </c>
      <c r="F712" s="7">
        <f t="shared" si="2"/>
        <v>0.10420318434122122</v>
      </c>
      <c r="G712" s="8">
        <v>2419</v>
      </c>
      <c r="H712" s="8">
        <v>2432</v>
      </c>
      <c r="I712" s="8">
        <v>2434</v>
      </c>
      <c r="J712" s="8">
        <v>2428</v>
      </c>
      <c r="K712" s="8">
        <v>2408</v>
      </c>
      <c r="L712" s="8">
        <v>2404</v>
      </c>
      <c r="M712" s="8"/>
      <c r="N712" s="8"/>
      <c r="O712" s="8"/>
      <c r="P712" s="8"/>
      <c r="Q712" s="9">
        <f ca="1">IFERROR(__xludf.DUMMYFUNCTION("GOOGLEFINANCE(C712,""changepct"")"),-0.68)</f>
        <v>-0.68</v>
      </c>
      <c r="R712" s="8"/>
      <c r="S712" s="8"/>
      <c r="T712" s="8"/>
      <c r="U712" s="8"/>
      <c r="V712" s="8"/>
      <c r="W712" s="8"/>
    </row>
    <row r="713" spans="1:23" ht="14.4">
      <c r="A713" s="3">
        <f>LOOKUP(D713,'AMFI DATA_2023H1'!B:C,'AMFI DATA_2023H1'!C:C)</f>
        <v>155</v>
      </c>
      <c r="B713" s="4" t="s">
        <v>543</v>
      </c>
      <c r="C713" s="4" t="s">
        <v>544</v>
      </c>
      <c r="D713" s="5" t="s">
        <v>545</v>
      </c>
      <c r="E713" s="5">
        <f>LOOKUP(D713,'AMFI DATA_2023H1'!B:D,'AMFI DATA_2023H1'!D:D)</f>
        <v>33770.32</v>
      </c>
      <c r="F713" s="7">
        <f t="shared" si="2"/>
        <v>-2.2929009852438509E-2</v>
      </c>
      <c r="G713" s="8">
        <v>32996</v>
      </c>
      <c r="H713" s="8">
        <v>32619</v>
      </c>
      <c r="I713" s="8">
        <v>32531</v>
      </c>
      <c r="J713" s="8">
        <v>31223</v>
      </c>
      <c r="K713" s="8">
        <v>31636</v>
      </c>
      <c r="L713" s="8">
        <v>31037</v>
      </c>
      <c r="M713" s="8"/>
      <c r="N713" s="8"/>
      <c r="O713" s="8"/>
      <c r="P713" s="8"/>
      <c r="Q713" s="9">
        <f ca="1">IFERROR(__xludf.DUMMYFUNCTION("GOOGLEFINANCE(C713,""changepct"")"),0.26)</f>
        <v>0.26</v>
      </c>
      <c r="R713" s="8"/>
      <c r="S713" s="8"/>
      <c r="T713" s="8"/>
      <c r="U713" s="8"/>
      <c r="V713" s="8"/>
      <c r="W713" s="8"/>
    </row>
    <row r="714" spans="1:23" ht="14.4">
      <c r="A714" s="3">
        <f>LOOKUP(D714,'AMFI DATA_2023H1'!B:C,'AMFI DATA_2023H1'!C:C)</f>
        <v>346</v>
      </c>
      <c r="B714" s="4" t="s">
        <v>930</v>
      </c>
      <c r="C714" s="4" t="s">
        <v>931</v>
      </c>
      <c r="D714" s="5" t="s">
        <v>932</v>
      </c>
      <c r="E714" s="5">
        <f>LOOKUP(D714,'AMFI DATA_2023H1'!B:D,'AMFI DATA_2023H1'!D:D)</f>
        <v>10115.35</v>
      </c>
      <c r="F714" s="7">
        <f t="shared" si="2"/>
        <v>1.5559174917328615</v>
      </c>
      <c r="G714" s="8">
        <v>25854</v>
      </c>
      <c r="H714" s="8">
        <v>25188</v>
      </c>
      <c r="I714" s="8">
        <v>25632</v>
      </c>
      <c r="J714" s="8">
        <v>22838</v>
      </c>
      <c r="K714" s="8">
        <v>21094</v>
      </c>
      <c r="L714" s="8">
        <v>21140</v>
      </c>
      <c r="M714" s="8"/>
      <c r="N714" s="8"/>
      <c r="O714" s="8"/>
      <c r="P714" s="8"/>
      <c r="Q714" s="9">
        <f ca="1">IFERROR(__xludf.DUMMYFUNCTION("GOOGLEFINANCE(C714,""changepct"")"),21.13)</f>
        <v>21.13</v>
      </c>
      <c r="R714" s="8"/>
      <c r="S714" s="8"/>
      <c r="T714" s="8"/>
      <c r="U714" s="8"/>
      <c r="V714" s="8"/>
      <c r="W714" s="8"/>
    </row>
    <row r="715" spans="1:23" ht="14.4">
      <c r="A715" s="3">
        <f>LOOKUP(D715,'AMFI DATA_2023H1'!B:C,'AMFI DATA_2023H1'!C:C)</f>
        <v>2562</v>
      </c>
      <c r="B715" s="4" t="s">
        <v>5377</v>
      </c>
      <c r="C715" s="4" t="s">
        <v>5378</v>
      </c>
      <c r="D715" s="5" t="s">
        <v>5379</v>
      </c>
      <c r="E715" s="5">
        <f>LOOKUP(D715,'AMFI DATA_2023H1'!B:D,'AMFI DATA_2023H1'!D:D)</f>
        <v>56.35</v>
      </c>
      <c r="F715" s="7">
        <f t="shared" si="2"/>
        <v>0.69653948535936094</v>
      </c>
      <c r="G715" s="9">
        <v>95.6</v>
      </c>
      <c r="H715" s="9">
        <v>90.8</v>
      </c>
      <c r="I715" s="9">
        <v>94.3</v>
      </c>
      <c r="J715" s="9">
        <v>99.2</v>
      </c>
      <c r="K715" s="9">
        <v>99.4</v>
      </c>
      <c r="L715" s="9">
        <v>99.2</v>
      </c>
      <c r="M715" s="9"/>
      <c r="N715" s="9"/>
      <c r="O715" s="9"/>
      <c r="P715" s="9"/>
      <c r="Q715" s="9">
        <f ca="1">IFERROR(__xludf.DUMMYFUNCTION("GOOGLEFINANCE(C715,""changepct"")"),-0.39)</f>
        <v>-0.39</v>
      </c>
      <c r="R715" s="9"/>
      <c r="S715" s="9"/>
      <c r="T715" s="9"/>
      <c r="U715" s="9"/>
      <c r="V715" s="9"/>
      <c r="W715" s="9"/>
    </row>
    <row r="716" spans="1:23" ht="14.4">
      <c r="A716" s="3">
        <f>LOOKUP(D716,'AMFI DATA_2023H1'!B:C,'AMFI DATA_2023H1'!C:C)</f>
        <v>1201</v>
      </c>
      <c r="B716" s="4" t="s">
        <v>3482</v>
      </c>
      <c r="C716" s="4" t="s">
        <v>3483</v>
      </c>
      <c r="D716" s="5" t="s">
        <v>3484</v>
      </c>
      <c r="E716" s="5">
        <f>LOOKUP(D716,'AMFI DATA_2023H1'!B:D,'AMFI DATA_2023H1'!D:D)</f>
        <v>696.36</v>
      </c>
      <c r="F716" s="7">
        <f t="shared" si="2"/>
        <v>0.3383881900166581</v>
      </c>
      <c r="G716" s="9">
        <v>932</v>
      </c>
      <c r="H716" s="9">
        <v>927</v>
      </c>
      <c r="I716" s="9">
        <v>934</v>
      </c>
      <c r="J716" s="9">
        <v>950</v>
      </c>
      <c r="K716" s="9">
        <v>949</v>
      </c>
      <c r="L716" s="9">
        <v>888</v>
      </c>
      <c r="M716" s="9"/>
      <c r="N716" s="9"/>
      <c r="O716" s="9"/>
      <c r="P716" s="9"/>
      <c r="Q716" s="9">
        <f ca="1">IFERROR(__xludf.DUMMYFUNCTION("GOOGLEFINANCE(C716,""changepct"")"),20.28)</f>
        <v>20.28</v>
      </c>
      <c r="R716" s="9"/>
      <c r="S716" s="9"/>
      <c r="T716" s="9"/>
      <c r="U716" s="9"/>
      <c r="V716" s="9"/>
      <c r="W716" s="9"/>
    </row>
    <row r="717" spans="1:23" ht="14.4">
      <c r="A717" s="3">
        <f>LOOKUP(D717,'AMFI DATA_2023H1'!B:C,'AMFI DATA_2023H1'!C:C)</f>
        <v>1247</v>
      </c>
      <c r="B717" s="4" t="s">
        <v>3098</v>
      </c>
      <c r="C717" s="4" t="s">
        <v>3099</v>
      </c>
      <c r="D717" s="5" t="s">
        <v>3100</v>
      </c>
      <c r="E717" s="5">
        <f>LOOKUP(D717,'AMFI DATA_2023H1'!B:D,'AMFI DATA_2023H1'!D:D)</f>
        <v>612.20000000000005</v>
      </c>
      <c r="F717" s="7">
        <f t="shared" si="2"/>
        <v>1.8732440378961122</v>
      </c>
      <c r="G717" s="8">
        <v>1759</v>
      </c>
      <c r="H717" s="8">
        <v>1599</v>
      </c>
      <c r="I717" s="8">
        <v>1508</v>
      </c>
      <c r="J717" s="8">
        <v>1488</v>
      </c>
      <c r="K717" s="8">
        <v>1354</v>
      </c>
      <c r="L717" s="8">
        <v>1377</v>
      </c>
      <c r="M717" s="8"/>
      <c r="N717" s="8"/>
      <c r="O717" s="8"/>
      <c r="P717" s="8"/>
      <c r="Q717" s="9">
        <f ca="1">IFERROR(__xludf.DUMMYFUNCTION("GOOGLEFINANCE(C717,""changepct"")"),0.02)</f>
        <v>0.02</v>
      </c>
      <c r="R717" s="8"/>
      <c r="S717" s="8"/>
      <c r="T717" s="8"/>
      <c r="U717" s="8"/>
      <c r="V717" s="8"/>
      <c r="W717" s="8"/>
    </row>
    <row r="718" spans="1:23" ht="14.4">
      <c r="A718" s="3">
        <f>LOOKUP(D718,'AMFI DATA_2023H1'!B:C,'AMFI DATA_2023H1'!C:C)</f>
        <v>1375</v>
      </c>
      <c r="B718" s="4" t="s">
        <v>3875</v>
      </c>
      <c r="C718" s="4" t="s">
        <v>3876</v>
      </c>
      <c r="D718" s="5" t="s">
        <v>3877</v>
      </c>
      <c r="E718" s="5">
        <f>LOOKUP(D718,'AMFI DATA_2023H1'!B:D,'AMFI DATA_2023H1'!D:D)</f>
        <v>433.99</v>
      </c>
      <c r="F718" s="7">
        <f t="shared" si="2"/>
        <v>0.38712873568515405</v>
      </c>
      <c r="G718" s="9">
        <v>602</v>
      </c>
      <c r="H718" s="9">
        <v>593</v>
      </c>
      <c r="I718" s="9">
        <v>599</v>
      </c>
      <c r="J718" s="9">
        <v>607</v>
      </c>
      <c r="K718" s="9">
        <v>614</v>
      </c>
      <c r="L718" s="9">
        <v>599</v>
      </c>
      <c r="M718" s="9"/>
      <c r="N718" s="9"/>
      <c r="O718" s="9"/>
      <c r="P718" s="9"/>
      <c r="Q718" s="9">
        <f ca="1">IFERROR(__xludf.DUMMYFUNCTION("GOOGLEFINANCE(C718,""changepct"")"),-1.49)</f>
        <v>-1.49</v>
      </c>
      <c r="R718" s="9"/>
      <c r="S718" s="9"/>
      <c r="T718" s="9"/>
      <c r="U718" s="9"/>
      <c r="V718" s="9"/>
      <c r="W718" s="9"/>
    </row>
    <row r="719" spans="1:23" ht="14.4">
      <c r="A719" s="3">
        <f>LOOKUP(D719,'AMFI DATA_2023H1'!B:C,'AMFI DATA_2023H1'!C:C)</f>
        <v>1574</v>
      </c>
      <c r="B719" s="4" t="s">
        <v>4052</v>
      </c>
      <c r="C719" s="4" t="s">
        <v>4053</v>
      </c>
      <c r="D719" s="5" t="s">
        <v>4054</v>
      </c>
      <c r="E719" s="5">
        <f>LOOKUP(D719,'AMFI DATA_2023H1'!B:D,'AMFI DATA_2023H1'!D:D)</f>
        <v>303.68</v>
      </c>
      <c r="F719" s="7">
        <f t="shared" si="2"/>
        <v>1.0811380400421498</v>
      </c>
      <c r="G719" s="9">
        <v>632</v>
      </c>
      <c r="H719" s="9">
        <v>633</v>
      </c>
      <c r="I719" s="9">
        <v>603</v>
      </c>
      <c r="J719" s="9">
        <v>615</v>
      </c>
      <c r="K719" s="9">
        <v>647</v>
      </c>
      <c r="L719" s="9">
        <v>673</v>
      </c>
      <c r="M719" s="9"/>
      <c r="N719" s="9"/>
      <c r="O719" s="9"/>
      <c r="P719" s="9"/>
      <c r="Q719" s="9">
        <f ca="1">IFERROR(__xludf.DUMMYFUNCTION("GOOGLEFINANCE(C719,""changepct"")"),10.22)</f>
        <v>10.220000000000001</v>
      </c>
      <c r="R719" s="9"/>
      <c r="S719" s="9"/>
      <c r="T719" s="9"/>
      <c r="U719" s="9"/>
      <c r="V719" s="9"/>
      <c r="W719" s="9"/>
    </row>
    <row r="720" spans="1:23" ht="14.4">
      <c r="A720" s="3">
        <f>LOOKUP(D720,'AMFI DATA_2023H1'!B:C,'AMFI DATA_2023H1'!C:C)</f>
        <v>859</v>
      </c>
      <c r="B720" s="4" t="s">
        <v>2666</v>
      </c>
      <c r="C720" s="4" t="s">
        <v>2667</v>
      </c>
      <c r="D720" s="5" t="s">
        <v>2668</v>
      </c>
      <c r="E720" s="5">
        <f>LOOKUP(D720,'AMFI DATA_2023H1'!B:D,'AMFI DATA_2023H1'!D:D)</f>
        <v>1680.74</v>
      </c>
      <c r="F720" s="7">
        <f t="shared" si="2"/>
        <v>0.32025179385270763</v>
      </c>
      <c r="G720" s="8">
        <v>2219</v>
      </c>
      <c r="H720" s="8">
        <v>2168</v>
      </c>
      <c r="I720" s="8">
        <v>2153</v>
      </c>
      <c r="J720" s="8">
        <v>2149</v>
      </c>
      <c r="K720" s="8">
        <v>2149</v>
      </c>
      <c r="L720" s="8">
        <v>2174</v>
      </c>
      <c r="M720" s="8"/>
      <c r="N720" s="8"/>
      <c r="O720" s="8"/>
      <c r="P720" s="8"/>
      <c r="Q720" s="9">
        <f ca="1">IFERROR(__xludf.DUMMYFUNCTION("GOOGLEFINANCE(C720,""changepct"")"),3.94)</f>
        <v>3.94</v>
      </c>
      <c r="R720" s="8"/>
      <c r="S720" s="8"/>
      <c r="T720" s="8"/>
      <c r="U720" s="8"/>
      <c r="V720" s="8"/>
      <c r="W720" s="8"/>
    </row>
    <row r="721" spans="1:23" ht="14.4">
      <c r="A721" s="3">
        <f>LOOKUP(D721,'AMFI DATA_2023H1'!B:C,'AMFI DATA_2023H1'!C:C)</f>
        <v>2957</v>
      </c>
      <c r="B721" s="4" t="s">
        <v>5641</v>
      </c>
      <c r="C721" s="4" t="s">
        <v>5642</v>
      </c>
      <c r="D721" s="5" t="s">
        <v>5643</v>
      </c>
      <c r="E721" s="5">
        <f>LOOKUP(D721,'AMFI DATA_2023H1'!B:D,'AMFI DATA_2023H1'!D:D)</f>
        <v>32.18</v>
      </c>
      <c r="F721" s="7">
        <f t="shared" si="2"/>
        <v>-0.11746426351771289</v>
      </c>
      <c r="G721" s="9">
        <v>28.4</v>
      </c>
      <c r="H721" s="9">
        <v>27.1</v>
      </c>
      <c r="I721" s="9">
        <v>25.8</v>
      </c>
      <c r="J721" s="9">
        <v>24.7</v>
      </c>
      <c r="K721" s="9">
        <v>24.1</v>
      </c>
      <c r="L721" s="9">
        <v>24</v>
      </c>
      <c r="M721" s="9"/>
      <c r="N721" s="9"/>
      <c r="O721" s="9"/>
      <c r="P721" s="9"/>
      <c r="Q721" s="9">
        <f ca="1">IFERROR(__xludf.DUMMYFUNCTION("GOOGLEFINANCE(C721,""changepct"")"),1.52)</f>
        <v>1.52</v>
      </c>
      <c r="R721" s="9"/>
      <c r="S721" s="9"/>
      <c r="T721" s="9"/>
      <c r="U721" s="9"/>
      <c r="V721" s="9"/>
      <c r="W721" s="9"/>
    </row>
    <row r="722" spans="1:23" ht="14.4">
      <c r="A722" s="3">
        <f>LOOKUP(D722,'AMFI DATA_2023H1'!B:C,'AMFI DATA_2023H1'!C:C)</f>
        <v>2938</v>
      </c>
      <c r="B722" s="4" t="s">
        <v>5539</v>
      </c>
      <c r="C722" s="4" t="s">
        <v>5540</v>
      </c>
      <c r="D722" s="5" t="s">
        <v>5541</v>
      </c>
      <c r="E722" s="5">
        <f>LOOKUP(D722,'AMFI DATA_2023H1'!B:D,'AMFI DATA_2023H1'!D:D)</f>
        <v>33.200000000000003</v>
      </c>
      <c r="F722" s="7">
        <f t="shared" si="2"/>
        <v>1.1626506024096384</v>
      </c>
      <c r="G722" s="9">
        <v>71.8</v>
      </c>
      <c r="H722" s="9">
        <v>73.3</v>
      </c>
      <c r="I722" s="9">
        <v>74.8</v>
      </c>
      <c r="J722" s="9">
        <v>76.3</v>
      </c>
      <c r="K722" s="9">
        <v>75.099999999999994</v>
      </c>
      <c r="L722" s="9">
        <v>78</v>
      </c>
      <c r="M722" s="9"/>
      <c r="N722" s="9"/>
      <c r="O722" s="9"/>
      <c r="P722" s="9"/>
      <c r="Q722" s="9">
        <f ca="1">IFERROR(__xludf.DUMMYFUNCTION("GOOGLEFINANCE(C722,""changepct"")"),-1.41)</f>
        <v>-1.41</v>
      </c>
      <c r="R722" s="9"/>
      <c r="S722" s="9"/>
      <c r="T722" s="9"/>
      <c r="U722" s="9"/>
      <c r="V722" s="9"/>
      <c r="W722" s="9"/>
    </row>
    <row r="723" spans="1:23" ht="14.4">
      <c r="A723" s="3">
        <f>LOOKUP(D723,'AMFI DATA_2023H1'!B:C,'AMFI DATA_2023H1'!C:C)</f>
        <v>1320</v>
      </c>
      <c r="B723" s="4" t="s">
        <v>3491</v>
      </c>
      <c r="C723" s="4" t="s">
        <v>3492</v>
      </c>
      <c r="D723" s="5" t="s">
        <v>3493</v>
      </c>
      <c r="E723" s="5">
        <f>LOOKUP(D723,'AMFI DATA_2023H1'!B:D,'AMFI DATA_2023H1'!D:D)</f>
        <v>490.53</v>
      </c>
      <c r="F723" s="7">
        <f t="shared" si="2"/>
        <v>0.97745295904429907</v>
      </c>
      <c r="G723" s="8">
        <v>970</v>
      </c>
      <c r="H723" s="8">
        <v>973</v>
      </c>
      <c r="I723" s="8">
        <v>981</v>
      </c>
      <c r="J723" s="8">
        <v>990</v>
      </c>
      <c r="K723" s="8">
        <v>1000</v>
      </c>
      <c r="L723" s="8">
        <v>1004</v>
      </c>
      <c r="M723" s="8"/>
      <c r="N723" s="8"/>
      <c r="O723" s="8"/>
      <c r="P723" s="8"/>
      <c r="Q723" s="9">
        <f ca="1">IFERROR(__xludf.DUMMYFUNCTION("GOOGLEFINANCE(C723,""changepct"")"),1.54)</f>
        <v>1.54</v>
      </c>
      <c r="R723" s="8"/>
      <c r="S723" s="8"/>
      <c r="T723" s="8"/>
      <c r="U723" s="8"/>
      <c r="V723" s="8"/>
      <c r="W723" s="8"/>
    </row>
    <row r="724" spans="1:23" ht="14.4">
      <c r="A724" s="3">
        <f>LOOKUP(D724,'AMFI DATA_2023H1'!B:C,'AMFI DATA_2023H1'!C:C)</f>
        <v>4</v>
      </c>
      <c r="B724" s="4" t="s">
        <v>16</v>
      </c>
      <c r="C724" s="4" t="s">
        <v>17</v>
      </c>
      <c r="D724" s="5" t="s">
        <v>18</v>
      </c>
      <c r="E724" s="5">
        <f>LOOKUP(D724,'AMFI DATA_2023H1'!B:D,'AMFI DATA_2023H1'!D:D)</f>
        <v>621984.89</v>
      </c>
      <c r="F724" s="7">
        <f t="shared" si="2"/>
        <v>0.12916730179731539</v>
      </c>
      <c r="G724" s="8">
        <v>702325</v>
      </c>
      <c r="H724" s="8">
        <v>698958</v>
      </c>
      <c r="I724" s="8">
        <v>705236</v>
      </c>
      <c r="J724" s="8">
        <v>702637</v>
      </c>
      <c r="K724" s="8">
        <v>698288</v>
      </c>
      <c r="L724" s="8">
        <v>697411</v>
      </c>
      <c r="M724" s="8"/>
      <c r="N724" s="8"/>
      <c r="O724" s="8"/>
      <c r="P724" s="8"/>
      <c r="Q724" s="9">
        <f ca="1">IFERROR(__xludf.DUMMYFUNCTION("GOOGLEFINANCE(C724,""changepct"")"),2.55)</f>
        <v>2.5499999999999998</v>
      </c>
      <c r="R724" s="8"/>
      <c r="S724" s="8"/>
      <c r="T724" s="8"/>
      <c r="U724" s="8"/>
      <c r="V724" s="8"/>
      <c r="W724" s="8"/>
    </row>
    <row r="725" spans="1:23" ht="14.4">
      <c r="A725" s="3">
        <f>LOOKUP(D725,'AMFI DATA_2023H1'!B:C,'AMFI DATA_2023H1'!C:C)</f>
        <v>86</v>
      </c>
      <c r="B725" s="4" t="s">
        <v>306</v>
      </c>
      <c r="C725" s="4" t="s">
        <v>307</v>
      </c>
      <c r="D725" s="5" t="s">
        <v>308</v>
      </c>
      <c r="E725" s="5">
        <f>LOOKUP(D725,'AMFI DATA_2023H1'!B:D,'AMFI DATA_2023H1'!D:D)</f>
        <v>56235</v>
      </c>
      <c r="F725" s="7">
        <f t="shared" si="2"/>
        <v>0.2585756201653775</v>
      </c>
      <c r="G725" s="8">
        <v>70776</v>
      </c>
      <c r="H725" s="8">
        <v>69813</v>
      </c>
      <c r="I725" s="8">
        <v>70791</v>
      </c>
      <c r="J725" s="8">
        <v>69474</v>
      </c>
      <c r="K725" s="8">
        <v>69714</v>
      </c>
      <c r="L725" s="8">
        <v>70019</v>
      </c>
      <c r="M725" s="8"/>
      <c r="N725" s="8"/>
      <c r="O725" s="8"/>
      <c r="P725" s="8"/>
      <c r="Q725" s="9">
        <f ca="1">IFERROR(__xludf.DUMMYFUNCTION("GOOGLEFINANCE(C725,""changepct"")"),2.43)</f>
        <v>2.4300000000000002</v>
      </c>
      <c r="R725" s="8"/>
      <c r="S725" s="8"/>
      <c r="T725" s="8"/>
      <c r="U725" s="8"/>
      <c r="V725" s="8"/>
      <c r="W725" s="8"/>
    </row>
    <row r="726" spans="1:23" ht="14.4">
      <c r="A726" s="3">
        <f>LOOKUP(D726,'AMFI DATA_2023H1'!B:C,'AMFI DATA_2023H1'!C:C)</f>
        <v>79</v>
      </c>
      <c r="B726" s="4" t="s">
        <v>249</v>
      </c>
      <c r="C726" s="4" t="s">
        <v>250</v>
      </c>
      <c r="D726" s="5" t="s">
        <v>251</v>
      </c>
      <c r="E726" s="5">
        <f>LOOKUP(D726,'AMFI DATA_2023H1'!B:D,'AMFI DATA_2023H1'!D:D)</f>
        <v>65035.29</v>
      </c>
      <c r="F726" s="7">
        <f t="shared" si="2"/>
        <v>0.1786523901100463</v>
      </c>
      <c r="G726" s="8">
        <v>76654</v>
      </c>
      <c r="H726" s="8">
        <v>77043</v>
      </c>
      <c r="I726" s="8">
        <v>76280</v>
      </c>
      <c r="J726" s="8">
        <v>75826</v>
      </c>
      <c r="K726" s="8">
        <v>75408</v>
      </c>
      <c r="L726" s="8">
        <v>74732</v>
      </c>
      <c r="M726" s="8"/>
      <c r="N726" s="8"/>
      <c r="O726" s="8"/>
      <c r="P726" s="8"/>
      <c r="Q726" s="9">
        <f ca="1">IFERROR(__xludf.DUMMYFUNCTION("GOOGLEFINANCE(C726,""changepct"")"),1.09)</f>
        <v>1.0900000000000001</v>
      </c>
      <c r="R726" s="8"/>
      <c r="S726" s="8"/>
      <c r="T726" s="8"/>
      <c r="U726" s="8"/>
      <c r="V726" s="8"/>
      <c r="W726" s="8"/>
    </row>
    <row r="727" spans="1:23" ht="14.4">
      <c r="A727" s="3">
        <f>LOOKUP(D727,'AMFI DATA_2023H1'!B:C,'AMFI DATA_2023H1'!C:C)</f>
        <v>265</v>
      </c>
      <c r="B727" s="4" t="s">
        <v>783</v>
      </c>
      <c r="C727" s="4" t="s">
        <v>784</v>
      </c>
      <c r="D727" s="5" t="s">
        <v>785</v>
      </c>
      <c r="E727" s="5">
        <f>LOOKUP(D727,'AMFI DATA_2023H1'!B:D,'AMFI DATA_2023H1'!D:D)</f>
        <v>15642.39</v>
      </c>
      <c r="F727" s="7">
        <f t="shared" si="2"/>
        <v>0.4653770939095625</v>
      </c>
      <c r="G727" s="8">
        <v>22922</v>
      </c>
      <c r="H727" s="8">
        <v>23431</v>
      </c>
      <c r="I727" s="8">
        <v>23294</v>
      </c>
      <c r="J727" s="8">
        <v>23525</v>
      </c>
      <c r="K727" s="8">
        <v>23302</v>
      </c>
      <c r="L727" s="8">
        <v>23644</v>
      </c>
      <c r="M727" s="8"/>
      <c r="N727" s="8"/>
      <c r="O727" s="8"/>
      <c r="P727" s="8"/>
      <c r="Q727" s="9">
        <f ca="1">IFERROR(__xludf.DUMMYFUNCTION("GOOGLEFINANCE(C727,""changepct"")"),-0.9)</f>
        <v>-0.9</v>
      </c>
      <c r="R727" s="8"/>
      <c r="S727" s="8"/>
      <c r="T727" s="8"/>
      <c r="U727" s="8"/>
      <c r="V727" s="8"/>
      <c r="W727" s="8"/>
    </row>
    <row r="728" spans="1:23" ht="14.4">
      <c r="A728" s="3">
        <f>LOOKUP(D728,'AMFI DATA_2023H1'!B:C,'AMFI DATA_2023H1'!C:C)</f>
        <v>537</v>
      </c>
      <c r="B728" s="4" t="s">
        <v>1767</v>
      </c>
      <c r="C728" s="4" t="s">
        <v>1768</v>
      </c>
      <c r="D728" s="5" t="s">
        <v>1769</v>
      </c>
      <c r="E728" s="5">
        <f>LOOKUP(D728,'AMFI DATA_2023H1'!B:D,'AMFI DATA_2023H1'!D:D)</f>
        <v>4532.93</v>
      </c>
      <c r="F728" s="7">
        <f t="shared" si="2"/>
        <v>0.18929698892327917</v>
      </c>
      <c r="G728" s="8">
        <v>5391</v>
      </c>
      <c r="H728" s="8">
        <v>5518</v>
      </c>
      <c r="I728" s="8">
        <v>5377</v>
      </c>
      <c r="J728" s="8">
        <v>5348</v>
      </c>
      <c r="K728" s="8">
        <v>5344</v>
      </c>
      <c r="L728" s="8">
        <v>5377</v>
      </c>
      <c r="M728" s="8"/>
      <c r="N728" s="8"/>
      <c r="O728" s="8"/>
      <c r="P728" s="8"/>
      <c r="Q728" s="9">
        <f ca="1">IFERROR(__xludf.DUMMYFUNCTION("GOOGLEFINANCE(C728,""changepct"")"),0.4)</f>
        <v>0.4</v>
      </c>
      <c r="R728" s="8"/>
      <c r="S728" s="8"/>
      <c r="T728" s="8"/>
      <c r="U728" s="8"/>
      <c r="V728" s="8"/>
      <c r="W728" s="8"/>
    </row>
    <row r="729" spans="1:23" ht="14.4">
      <c r="A729" s="3">
        <f>LOOKUP(D729,'AMFI DATA_2023H1'!B:C,'AMFI DATA_2023H1'!C:C)</f>
        <v>88</v>
      </c>
      <c r="B729" s="4" t="s">
        <v>294</v>
      </c>
      <c r="C729" s="4" t="s">
        <v>295</v>
      </c>
      <c r="D729" s="5" t="s">
        <v>296</v>
      </c>
      <c r="E729" s="5">
        <f>LOOKUP(D729,'AMFI DATA_2023H1'!B:D,'AMFI DATA_2023H1'!D:D)</f>
        <v>55687.31</v>
      </c>
      <c r="F729" s="7">
        <f t="shared" si="2"/>
        <v>0.30390568335945845</v>
      </c>
      <c r="G729" s="8">
        <v>72611</v>
      </c>
      <c r="H729" s="8">
        <v>72482</v>
      </c>
      <c r="I729" s="8">
        <v>71235</v>
      </c>
      <c r="J729" s="8">
        <v>70805</v>
      </c>
      <c r="K729" s="8">
        <v>70417</v>
      </c>
      <c r="L729" s="8">
        <v>70912</v>
      </c>
      <c r="M729" s="8"/>
      <c r="N729" s="8"/>
      <c r="O729" s="8"/>
      <c r="P729" s="8"/>
      <c r="Q729" s="9">
        <f ca="1">IFERROR(__xludf.DUMMYFUNCTION("GOOGLEFINANCE(C729,""changepct"")"),12.12)</f>
        <v>12.12</v>
      </c>
      <c r="R729" s="8"/>
      <c r="S729" s="8"/>
      <c r="T729" s="8"/>
      <c r="U729" s="8"/>
      <c r="V729" s="8"/>
      <c r="W729" s="8"/>
    </row>
    <row r="730" spans="1:23" ht="14.4">
      <c r="A730" s="3">
        <f>LOOKUP(D730,'AMFI DATA_2023H1'!B:C,'AMFI DATA_2023H1'!C:C)</f>
        <v>169</v>
      </c>
      <c r="B730" s="4" t="s">
        <v>2052</v>
      </c>
      <c r="C730" s="4" t="s">
        <v>2053</v>
      </c>
      <c r="D730" s="5" t="s">
        <v>2054</v>
      </c>
      <c r="E730" s="5">
        <f>LOOKUP(D730,'AMFI DATA_2023H1'!B:D,'AMFI DATA_2023H1'!D:D)</f>
        <v>30988.15</v>
      </c>
      <c r="F730" s="7">
        <f t="shared" si="2"/>
        <v>-0.88463331951084534</v>
      </c>
      <c r="G730" s="8">
        <v>3575</v>
      </c>
      <c r="H730" s="8">
        <v>3582</v>
      </c>
      <c r="I730" s="8">
        <v>3543</v>
      </c>
      <c r="J730" s="8">
        <v>3566</v>
      </c>
      <c r="K730" s="8">
        <v>3512</v>
      </c>
      <c r="L730" s="8">
        <v>3555</v>
      </c>
      <c r="M730" s="8"/>
      <c r="N730" s="8"/>
      <c r="O730" s="8"/>
      <c r="P730" s="8"/>
      <c r="Q730" s="9">
        <f ca="1">IFERROR(__xludf.DUMMYFUNCTION("GOOGLEFINANCE(C730,""changepct"")"),0.81)</f>
        <v>0.81</v>
      </c>
      <c r="R730" s="8"/>
      <c r="S730" s="8"/>
      <c r="T730" s="8"/>
      <c r="U730" s="8"/>
      <c r="V730" s="8"/>
      <c r="W730" s="8"/>
    </row>
    <row r="731" spans="1:23" ht="14.4">
      <c r="A731" s="3">
        <f>LOOKUP(D731,'AMFI DATA_2023H1'!B:C,'AMFI DATA_2023H1'!C:C)</f>
        <v>131</v>
      </c>
      <c r="B731" s="4" t="s">
        <v>333</v>
      </c>
      <c r="C731" s="4" t="s">
        <v>334</v>
      </c>
      <c r="D731" s="5" t="s">
        <v>335</v>
      </c>
      <c r="E731" s="5">
        <f>LOOKUP(D731,'AMFI DATA_2023H1'!B:D,'AMFI DATA_2023H1'!D:D)</f>
        <v>39831.269999999997</v>
      </c>
      <c r="F731" s="7">
        <f t="shared" si="2"/>
        <v>0.55809744454545407</v>
      </c>
      <c r="G731" s="8">
        <v>62061</v>
      </c>
      <c r="H731" s="8">
        <v>62817</v>
      </c>
      <c r="I731" s="8">
        <v>62718</v>
      </c>
      <c r="J731" s="8">
        <v>62803</v>
      </c>
      <c r="K731" s="8">
        <v>62548</v>
      </c>
      <c r="L731" s="8">
        <v>62506</v>
      </c>
      <c r="M731" s="8"/>
      <c r="N731" s="8"/>
      <c r="O731" s="8"/>
      <c r="P731" s="8"/>
      <c r="Q731" s="9">
        <f ca="1">IFERROR(__xludf.DUMMYFUNCTION("GOOGLEFINANCE(C731,""changepct"")"),1.62)</f>
        <v>1.62</v>
      </c>
      <c r="R731" s="8"/>
      <c r="S731" s="8"/>
      <c r="T731" s="8"/>
      <c r="U731" s="8"/>
      <c r="V731" s="8"/>
      <c r="W731" s="8"/>
    </row>
    <row r="732" spans="1:23" ht="14.4">
      <c r="A732" s="3">
        <f>LOOKUP(D732,'AMFI DATA_2023H1'!B:C,'AMFI DATA_2023H1'!C:C)</f>
        <v>282</v>
      </c>
      <c r="B732" s="4" t="s">
        <v>834</v>
      </c>
      <c r="C732" s="4" t="s">
        <v>835</v>
      </c>
      <c r="D732" s="5" t="s">
        <v>836</v>
      </c>
      <c r="E732" s="5">
        <f>LOOKUP(D732,'AMFI DATA_2023H1'!B:D,'AMFI DATA_2023H1'!D:D)</f>
        <v>13907.48</v>
      </c>
      <c r="F732" s="7">
        <f t="shared" si="2"/>
        <v>0.44325212044166173</v>
      </c>
      <c r="G732" s="8">
        <v>20072</v>
      </c>
      <c r="H732" s="8">
        <v>20248</v>
      </c>
      <c r="I732" s="8">
        <v>20024</v>
      </c>
      <c r="J732" s="8">
        <v>19992</v>
      </c>
      <c r="K732" s="8">
        <v>19912</v>
      </c>
      <c r="L732" s="8">
        <v>19872</v>
      </c>
      <c r="M732" s="8"/>
      <c r="N732" s="8"/>
      <c r="O732" s="8"/>
      <c r="P732" s="8"/>
      <c r="Q732" s="9">
        <f ca="1">IFERROR(__xludf.DUMMYFUNCTION("GOOGLEFINANCE(C732,""changepct"")"),0.81)</f>
        <v>0.81</v>
      </c>
      <c r="R732" s="8"/>
      <c r="S732" s="8"/>
      <c r="T732" s="8"/>
      <c r="U732" s="8"/>
      <c r="V732" s="8"/>
      <c r="W732" s="8"/>
    </row>
    <row r="733" spans="1:23" ht="14.4">
      <c r="A733" s="3">
        <f>LOOKUP(D733,'AMFI DATA_2023H1'!B:C,'AMFI DATA_2023H1'!C:C)</f>
        <v>1344</v>
      </c>
      <c r="B733" s="4" t="s">
        <v>4010</v>
      </c>
      <c r="C733" s="4" t="s">
        <v>4011</v>
      </c>
      <c r="D733" s="5" t="s">
        <v>4012</v>
      </c>
      <c r="E733" s="5">
        <f>LOOKUP(D733,'AMFI DATA_2023H1'!B:D,'AMFI DATA_2023H1'!D:D)</f>
        <v>461.71</v>
      </c>
      <c r="F733" s="7">
        <f t="shared" si="2"/>
        <v>5.6940503779428608E-2</v>
      </c>
      <c r="G733" s="9">
        <v>488</v>
      </c>
      <c r="H733" s="9">
        <v>455</v>
      </c>
      <c r="I733" s="9">
        <v>457</v>
      </c>
      <c r="J733" s="9">
        <v>448</v>
      </c>
      <c r="K733" s="9">
        <v>446</v>
      </c>
      <c r="L733" s="9">
        <v>450</v>
      </c>
      <c r="M733" s="9"/>
      <c r="N733" s="9"/>
      <c r="O733" s="9"/>
      <c r="P733" s="9"/>
      <c r="Q733" s="9">
        <f ca="1">IFERROR(__xludf.DUMMYFUNCTION("GOOGLEFINANCE(C733,""changepct"")"),1.28)</f>
        <v>1.28</v>
      </c>
      <c r="R733" s="9"/>
      <c r="S733" s="9"/>
      <c r="T733" s="9"/>
      <c r="U733" s="9"/>
      <c r="V733" s="9"/>
      <c r="W733" s="9"/>
    </row>
    <row r="734" spans="1:23" ht="14.4">
      <c r="A734" s="3">
        <f>LOOKUP(D734,'AMFI DATA_2023H1'!B:C,'AMFI DATA_2023H1'!C:C)</f>
        <v>627</v>
      </c>
      <c r="B734" s="4" t="s">
        <v>2090</v>
      </c>
      <c r="C734" s="4" t="s">
        <v>2091</v>
      </c>
      <c r="D734" s="5" t="s">
        <v>2092</v>
      </c>
      <c r="E734" s="5">
        <f>LOOKUP(D734,'AMFI DATA_2023H1'!B:D,'AMFI DATA_2023H1'!D:D)</f>
        <v>3361.56</v>
      </c>
      <c r="F734" s="7">
        <f t="shared" si="2"/>
        <v>0.15125120479777254</v>
      </c>
      <c r="G734" s="8">
        <v>3870</v>
      </c>
      <c r="H734" s="8">
        <v>3781</v>
      </c>
      <c r="I734" s="8">
        <v>3822</v>
      </c>
      <c r="J734" s="8">
        <v>3782</v>
      </c>
      <c r="K734" s="8">
        <v>3783</v>
      </c>
      <c r="L734" s="8">
        <v>3680</v>
      </c>
      <c r="M734" s="8"/>
      <c r="N734" s="8"/>
      <c r="O734" s="8"/>
      <c r="P734" s="8"/>
      <c r="Q734" s="9">
        <f ca="1">IFERROR(__xludf.DUMMYFUNCTION("GOOGLEFINANCE(C734,""changepct"")"),-0.44)</f>
        <v>-0.44</v>
      </c>
      <c r="R734" s="8"/>
      <c r="S734" s="8"/>
      <c r="T734" s="8"/>
      <c r="U734" s="8"/>
      <c r="V734" s="8"/>
      <c r="W734" s="8"/>
    </row>
    <row r="735" spans="1:23" ht="14.4">
      <c r="A735" s="3">
        <f>LOOKUP(D735,'AMFI DATA_2023H1'!B:C,'AMFI DATA_2023H1'!C:C)</f>
        <v>701</v>
      </c>
      <c r="B735" s="4" t="s">
        <v>1806</v>
      </c>
      <c r="C735" s="4" t="s">
        <v>1807</v>
      </c>
      <c r="D735" s="5" t="s">
        <v>1808</v>
      </c>
      <c r="E735" s="5">
        <f>LOOKUP(D735,'AMFI DATA_2023H1'!B:D,'AMFI DATA_2023H1'!D:D)</f>
        <v>2574.38</v>
      </c>
      <c r="F735" s="7">
        <f t="shared" si="2"/>
        <v>1.8045587675479142</v>
      </c>
      <c r="G735" s="8">
        <v>7220</v>
      </c>
      <c r="H735" s="8">
        <v>7260</v>
      </c>
      <c r="I735" s="8">
        <v>7163</v>
      </c>
      <c r="J735" s="8">
        <v>6971</v>
      </c>
      <c r="K735" s="8">
        <v>6998</v>
      </c>
      <c r="L735" s="8">
        <v>7070</v>
      </c>
      <c r="M735" s="8"/>
      <c r="N735" s="8"/>
      <c r="O735" s="8"/>
      <c r="P735" s="8"/>
      <c r="Q735" s="9">
        <f ca="1">IFERROR(__xludf.DUMMYFUNCTION("GOOGLEFINANCE(C735,""changepct"")"),22.42)</f>
        <v>22.42</v>
      </c>
      <c r="R735" s="8"/>
      <c r="S735" s="8"/>
      <c r="T735" s="8"/>
      <c r="U735" s="8"/>
      <c r="V735" s="8"/>
      <c r="W735" s="8"/>
    </row>
    <row r="736" spans="1:23" ht="14.4">
      <c r="A736" s="3">
        <f>LOOKUP(D736,'AMFI DATA_2023H1'!B:C,'AMFI DATA_2023H1'!C:C)</f>
        <v>1080</v>
      </c>
      <c r="B736" s="4" t="s">
        <v>2702</v>
      </c>
      <c r="C736" s="4" t="s">
        <v>2703</v>
      </c>
      <c r="D736" s="5" t="s">
        <v>2704</v>
      </c>
      <c r="E736" s="5">
        <f>LOOKUP(D736,'AMFI DATA_2023H1'!B:D,'AMFI DATA_2023H1'!D:D)</f>
        <v>937.87</v>
      </c>
      <c r="F736" s="7">
        <f t="shared" si="2"/>
        <v>2.0622580954716536</v>
      </c>
      <c r="G736" s="8">
        <v>2872</v>
      </c>
      <c r="H736" s="8">
        <v>2863</v>
      </c>
      <c r="I736" s="8">
        <v>2889</v>
      </c>
      <c r="J736" s="8">
        <v>2926</v>
      </c>
      <c r="K736" s="8">
        <v>2854</v>
      </c>
      <c r="L736" s="8">
        <v>2766</v>
      </c>
      <c r="M736" s="8"/>
      <c r="N736" s="8"/>
      <c r="O736" s="8"/>
      <c r="P736" s="8"/>
      <c r="Q736" s="9">
        <f ca="1">IFERROR(__xludf.DUMMYFUNCTION("GOOGLEFINANCE(C736,""changepct"")"),0.45)</f>
        <v>0.45</v>
      </c>
      <c r="R736" s="8"/>
      <c r="S736" s="8"/>
      <c r="T736" s="8"/>
      <c r="U736" s="8"/>
      <c r="V736" s="8"/>
      <c r="W736" s="8"/>
    </row>
    <row r="737" spans="1:23" ht="14.4">
      <c r="A737" s="3">
        <f>LOOKUP(D737,'AMFI DATA_2023H1'!B:C,'AMFI DATA_2023H1'!C:C)</f>
        <v>909</v>
      </c>
      <c r="B737" s="4" t="s">
        <v>3005</v>
      </c>
      <c r="C737" s="4" t="s">
        <v>3006</v>
      </c>
      <c r="D737" s="5" t="s">
        <v>3007</v>
      </c>
      <c r="E737" s="5">
        <f>LOOKUP(D737,'AMFI DATA_2023H1'!B:D,'AMFI DATA_2023H1'!D:D)</f>
        <v>1439.98</v>
      </c>
      <c r="F737" s="7">
        <f t="shared" si="2"/>
        <v>4.4458950818761389E-2</v>
      </c>
      <c r="G737" s="8">
        <v>1504</v>
      </c>
      <c r="H737" s="8">
        <v>1446</v>
      </c>
      <c r="I737" s="8">
        <v>1417</v>
      </c>
      <c r="J737" s="8">
        <v>1427</v>
      </c>
      <c r="K737" s="8">
        <v>1443</v>
      </c>
      <c r="L737" s="8">
        <v>1407</v>
      </c>
      <c r="M737" s="8"/>
      <c r="N737" s="8"/>
      <c r="O737" s="8"/>
      <c r="P737" s="8"/>
      <c r="Q737" s="9">
        <f ca="1">IFERROR(__xludf.DUMMYFUNCTION("GOOGLEFINANCE(C737,""changepct"")"),0.83)</f>
        <v>0.83</v>
      </c>
      <c r="R737" s="8"/>
      <c r="S737" s="8"/>
      <c r="T737" s="8"/>
      <c r="U737" s="8"/>
      <c r="V737" s="8"/>
      <c r="W737" s="8"/>
    </row>
    <row r="738" spans="1:23" ht="14.4">
      <c r="A738" s="3">
        <f>LOOKUP(D738,'AMFI DATA_2023H1'!B:C,'AMFI DATA_2023H1'!C:C)</f>
        <v>964</v>
      </c>
      <c r="B738" s="4" t="s">
        <v>2840</v>
      </c>
      <c r="C738" s="4" t="s">
        <v>2841</v>
      </c>
      <c r="D738" s="5" t="s">
        <v>2842</v>
      </c>
      <c r="E738" s="5">
        <f>LOOKUP(D738,'AMFI DATA_2023H1'!B:D,'AMFI DATA_2023H1'!D:D)</f>
        <v>1275.0899999999999</v>
      </c>
      <c r="F738" s="7">
        <f t="shared" si="2"/>
        <v>0.27834113670407579</v>
      </c>
      <c r="G738" s="8">
        <v>1630</v>
      </c>
      <c r="H738" s="8">
        <v>1630</v>
      </c>
      <c r="I738" s="8">
        <v>1640</v>
      </c>
      <c r="J738" s="8">
        <v>1688</v>
      </c>
      <c r="K738" s="8">
        <v>1600</v>
      </c>
      <c r="L738" s="8">
        <v>1626</v>
      </c>
      <c r="M738" s="8"/>
      <c r="N738" s="8"/>
      <c r="O738" s="8"/>
      <c r="P738" s="8"/>
      <c r="Q738" s="9">
        <f ca="1">IFERROR(__xludf.DUMMYFUNCTION("GOOGLEFINANCE(C738,""changepct"")"),3.22)</f>
        <v>3.22</v>
      </c>
      <c r="R738" s="8"/>
      <c r="S738" s="8"/>
      <c r="T738" s="8"/>
      <c r="U738" s="8"/>
      <c r="V738" s="8"/>
      <c r="W738" s="8"/>
    </row>
    <row r="739" spans="1:23" ht="14.4">
      <c r="A739" s="3">
        <f>LOOKUP(D739,'AMFI DATA_2023H1'!B:C,'AMFI DATA_2023H1'!C:C)</f>
        <v>247</v>
      </c>
      <c r="B739" s="4" t="s">
        <v>738</v>
      </c>
      <c r="C739" s="4" t="s">
        <v>739</v>
      </c>
      <c r="D739" s="5" t="s">
        <v>740</v>
      </c>
      <c r="E739" s="5">
        <f>LOOKUP(D739,'AMFI DATA_2023H1'!B:D,'AMFI DATA_2023H1'!D:D)</f>
        <v>17630.36</v>
      </c>
      <c r="F739" s="7">
        <f t="shared" si="2"/>
        <v>0.30076753963050096</v>
      </c>
      <c r="G739" s="8">
        <v>22933</v>
      </c>
      <c r="H739" s="8">
        <v>22744</v>
      </c>
      <c r="I739" s="8">
        <v>22769</v>
      </c>
      <c r="J739" s="8">
        <v>22326</v>
      </c>
      <c r="K739" s="8">
        <v>22589</v>
      </c>
      <c r="L739" s="8">
        <v>21834</v>
      </c>
      <c r="M739" s="8"/>
      <c r="N739" s="8"/>
      <c r="O739" s="8"/>
      <c r="P739" s="8"/>
      <c r="Q739" s="9">
        <f ca="1">IFERROR(__xludf.DUMMYFUNCTION("GOOGLEFINANCE(C739,""changepct"")"),0.19)</f>
        <v>0.19</v>
      </c>
      <c r="R739" s="8"/>
      <c r="S739" s="8"/>
      <c r="T739" s="8"/>
      <c r="U739" s="8"/>
      <c r="V739" s="8"/>
      <c r="W739" s="8"/>
    </row>
    <row r="740" spans="1:23" ht="14.4">
      <c r="A740" s="3">
        <f>LOOKUP(D740,'AMFI DATA_2023H1'!B:C,'AMFI DATA_2023H1'!C:C)</f>
        <v>823</v>
      </c>
      <c r="B740" s="4" t="s">
        <v>2345</v>
      </c>
      <c r="C740" s="4" t="s">
        <v>2346</v>
      </c>
      <c r="D740" s="5" t="s">
        <v>2347</v>
      </c>
      <c r="E740" s="5">
        <f>LOOKUP(D740,'AMFI DATA_2023H1'!B:D,'AMFI DATA_2023H1'!D:D)</f>
        <v>1815.15</v>
      </c>
      <c r="F740" s="7">
        <f t="shared" si="2"/>
        <v>1.4460788364597965</v>
      </c>
      <c r="G740" s="8">
        <v>4440</v>
      </c>
      <c r="H740" s="8">
        <v>4507</v>
      </c>
      <c r="I740" s="8">
        <v>4347</v>
      </c>
      <c r="J740" s="8">
        <v>4403</v>
      </c>
      <c r="K740" s="8">
        <v>4477</v>
      </c>
      <c r="L740" s="8">
        <v>4222</v>
      </c>
      <c r="M740" s="8"/>
      <c r="N740" s="8"/>
      <c r="O740" s="8"/>
      <c r="P740" s="8"/>
      <c r="Q740" s="9">
        <f ca="1">IFERROR(__xludf.DUMMYFUNCTION("GOOGLEFINANCE(C740,""changepct"")"),-0.64)</f>
        <v>-0.64</v>
      </c>
      <c r="R740" s="8"/>
      <c r="S740" s="8"/>
      <c r="T740" s="8"/>
      <c r="U740" s="8"/>
      <c r="V740" s="8"/>
      <c r="W740" s="8"/>
    </row>
    <row r="741" spans="1:23" ht="14.4">
      <c r="A741" s="3">
        <f>LOOKUP(D741,'AMFI DATA_2023H1'!B:C,'AMFI DATA_2023H1'!C:C)</f>
        <v>621</v>
      </c>
      <c r="B741" s="4" t="s">
        <v>2336</v>
      </c>
      <c r="C741" s="4" t="s">
        <v>2337</v>
      </c>
      <c r="D741" s="5" t="s">
        <v>2338</v>
      </c>
      <c r="E741" s="5">
        <f>LOOKUP(D741,'AMFI DATA_2023H1'!B:D,'AMFI DATA_2023H1'!D:D)</f>
        <v>3430.74</v>
      </c>
      <c r="F741" s="7">
        <f t="shared" si="2"/>
        <v>-0.28237056728286025</v>
      </c>
      <c r="G741" s="8">
        <v>2462</v>
      </c>
      <c r="H741" s="8">
        <v>2461</v>
      </c>
      <c r="I741" s="8">
        <v>2469</v>
      </c>
      <c r="J741" s="8">
        <v>2524</v>
      </c>
      <c r="K741" s="8">
        <v>2597</v>
      </c>
      <c r="L741" s="8">
        <v>2650</v>
      </c>
      <c r="M741" s="8"/>
      <c r="N741" s="8"/>
      <c r="O741" s="8"/>
      <c r="P741" s="8"/>
      <c r="Q741" s="9">
        <f ca="1">IFERROR(__xludf.DUMMYFUNCTION("GOOGLEFINANCE(C741,""changepct"")"),2.2)</f>
        <v>2.2000000000000002</v>
      </c>
      <c r="R741" s="8"/>
      <c r="S741" s="8"/>
      <c r="T741" s="8"/>
      <c r="U741" s="8"/>
      <c r="V741" s="8"/>
      <c r="W741" s="8"/>
    </row>
    <row r="742" spans="1:23" ht="14.4">
      <c r="A742" s="3">
        <f>LOOKUP(D742,'AMFI DATA_2023H1'!B:C,'AMFI DATA_2023H1'!C:C)</f>
        <v>1897</v>
      </c>
      <c r="B742" s="4" t="s">
        <v>4496</v>
      </c>
      <c r="C742" s="4" t="s">
        <v>4497</v>
      </c>
      <c r="D742" s="5" t="s">
        <v>4498</v>
      </c>
      <c r="E742" s="5">
        <f>LOOKUP(D742,'AMFI DATA_2023H1'!B:D,'AMFI DATA_2023H1'!D:D)</f>
        <v>166.43</v>
      </c>
      <c r="F742" s="7">
        <f t="shared" si="2"/>
        <v>1.5175749564381422</v>
      </c>
      <c r="G742" s="9">
        <v>419</v>
      </c>
      <c r="H742" s="9">
        <v>411</v>
      </c>
      <c r="I742" s="9">
        <v>391</v>
      </c>
      <c r="J742" s="9">
        <v>372</v>
      </c>
      <c r="K742" s="9">
        <v>352</v>
      </c>
      <c r="L742" s="9">
        <v>337</v>
      </c>
      <c r="M742" s="9"/>
      <c r="N742" s="9"/>
      <c r="O742" s="9"/>
      <c r="P742" s="9"/>
      <c r="Q742" s="9">
        <f ca="1">IFERROR(__xludf.DUMMYFUNCTION("GOOGLEFINANCE(C742,""changepct"")"),3.88)</f>
        <v>3.88</v>
      </c>
      <c r="R742" s="9"/>
      <c r="S742" s="9"/>
      <c r="T742" s="9"/>
      <c r="U742" s="9"/>
      <c r="V742" s="9"/>
      <c r="W742" s="9"/>
    </row>
    <row r="743" spans="1:23" ht="14.4">
      <c r="A743" s="3">
        <f>LOOKUP(D743,'AMFI DATA_2023H1'!B:C,'AMFI DATA_2023H1'!C:C)</f>
        <v>1753</v>
      </c>
      <c r="B743" s="4" t="s">
        <v>4454</v>
      </c>
      <c r="C743" s="4" t="s">
        <v>4455</v>
      </c>
      <c r="D743" s="5" t="s">
        <v>4456</v>
      </c>
      <c r="E743" s="5">
        <f>LOOKUP(D743,'AMFI DATA_2023H1'!B:D,'AMFI DATA_2023H1'!D:D)</f>
        <v>213.32</v>
      </c>
      <c r="F743" s="7">
        <f t="shared" si="2"/>
        <v>0.75792237014813435</v>
      </c>
      <c r="G743" s="9">
        <v>375</v>
      </c>
      <c r="H743" s="9">
        <v>377</v>
      </c>
      <c r="I743" s="9">
        <v>381</v>
      </c>
      <c r="J743" s="9">
        <v>364</v>
      </c>
      <c r="K743" s="9">
        <v>375</v>
      </c>
      <c r="L743" s="9">
        <v>386</v>
      </c>
      <c r="M743" s="9"/>
      <c r="N743" s="9"/>
      <c r="O743" s="9"/>
      <c r="P743" s="9"/>
      <c r="Q743" s="9">
        <f ca="1">IFERROR(__xludf.DUMMYFUNCTION("GOOGLEFINANCE(C743,""changepct"")"),0.85)</f>
        <v>0.85</v>
      </c>
      <c r="R743" s="9"/>
      <c r="S743" s="9"/>
      <c r="T743" s="9"/>
      <c r="U743" s="9"/>
      <c r="V743" s="9"/>
      <c r="W743" s="9"/>
    </row>
    <row r="744" spans="1:23" ht="14.4">
      <c r="A744" s="3">
        <f>LOOKUP(D744,'AMFI DATA_2023H1'!B:C,'AMFI DATA_2023H1'!C:C)</f>
        <v>2121</v>
      </c>
      <c r="B744" s="4" t="s">
        <v>5021</v>
      </c>
      <c r="C744" s="4" t="s">
        <v>5022</v>
      </c>
      <c r="D744" s="5" t="s">
        <v>5023</v>
      </c>
      <c r="E744" s="5">
        <f>LOOKUP(D744,'AMFI DATA_2023H1'!B:D,'AMFI DATA_2023H1'!D:D)</f>
        <v>117.6</v>
      </c>
      <c r="F744" s="7">
        <f t="shared" si="2"/>
        <v>0.40306122448979598</v>
      </c>
      <c r="G744" s="9">
        <v>165</v>
      </c>
      <c r="H744" s="9">
        <v>158</v>
      </c>
      <c r="I744" s="9">
        <v>166</v>
      </c>
      <c r="J744" s="9">
        <v>164</v>
      </c>
      <c r="K744" s="9">
        <v>164</v>
      </c>
      <c r="L744" s="9">
        <v>166</v>
      </c>
      <c r="M744" s="9"/>
      <c r="N744" s="9"/>
      <c r="O744" s="9"/>
      <c r="P744" s="9"/>
      <c r="Q744" s="9">
        <f ca="1">IFERROR(__xludf.DUMMYFUNCTION("GOOGLEFINANCE(C744,""changepct"")"),-3.64)</f>
        <v>-3.64</v>
      </c>
      <c r="R744" s="9"/>
      <c r="S744" s="9"/>
      <c r="T744" s="9"/>
      <c r="U744" s="9"/>
      <c r="V744" s="9"/>
      <c r="W744" s="9"/>
    </row>
    <row r="745" spans="1:23" ht="14.4">
      <c r="A745" s="3">
        <f>LOOKUP(D745,'AMFI DATA_2023H1'!B:C,'AMFI DATA_2023H1'!C:C)</f>
        <v>840</v>
      </c>
      <c r="B745" s="4" t="s">
        <v>2441</v>
      </c>
      <c r="C745" s="4" t="s">
        <v>2442</v>
      </c>
      <c r="D745" s="5" t="s">
        <v>2443</v>
      </c>
      <c r="E745" s="5">
        <f>LOOKUP(D745,'AMFI DATA_2023H1'!B:D,'AMFI DATA_2023H1'!D:D)</f>
        <v>1743.08</v>
      </c>
      <c r="F745" s="7">
        <f t="shared" si="2"/>
        <v>0.66257429377882837</v>
      </c>
      <c r="G745" s="8">
        <v>2898</v>
      </c>
      <c r="H745" s="8">
        <v>2858</v>
      </c>
      <c r="I745" s="8">
        <v>2800</v>
      </c>
      <c r="J745" s="8">
        <v>2934</v>
      </c>
      <c r="K745" s="8">
        <v>2853</v>
      </c>
      <c r="L745" s="8">
        <v>2773</v>
      </c>
      <c r="M745" s="8"/>
      <c r="N745" s="8"/>
      <c r="O745" s="8"/>
      <c r="P745" s="8"/>
      <c r="Q745" s="9">
        <f ca="1">IFERROR(__xludf.DUMMYFUNCTION("GOOGLEFINANCE(C745,""changepct"")"),7.68)</f>
        <v>7.68</v>
      </c>
      <c r="R745" s="8"/>
      <c r="S745" s="8"/>
      <c r="T745" s="8"/>
      <c r="U745" s="8"/>
      <c r="V745" s="8"/>
      <c r="W745" s="8"/>
    </row>
    <row r="746" spans="1:23" ht="14.4">
      <c r="A746" s="3">
        <f>LOOKUP(D746,'AMFI DATA_2023H1'!B:C,'AMFI DATA_2023H1'!C:C)</f>
        <v>3064</v>
      </c>
      <c r="B746" s="4" t="s">
        <v>5623</v>
      </c>
      <c r="C746" s="4" t="s">
        <v>5624</v>
      </c>
      <c r="D746" s="5" t="s">
        <v>5625</v>
      </c>
      <c r="E746" s="5">
        <f>LOOKUP(D746,'AMFI DATA_2023H1'!B:D,'AMFI DATA_2023H1'!D:D)</f>
        <v>27.71</v>
      </c>
      <c r="F746" s="7">
        <f t="shared" si="2"/>
        <v>0.14760014435221946</v>
      </c>
      <c r="G746" s="9">
        <v>31.8</v>
      </c>
      <c r="H746" s="9">
        <v>30.3</v>
      </c>
      <c r="I746" s="9">
        <v>31.6</v>
      </c>
      <c r="J746" s="9">
        <v>32.1</v>
      </c>
      <c r="K746" s="9">
        <v>31.7</v>
      </c>
      <c r="L746" s="9">
        <v>30.3</v>
      </c>
      <c r="M746" s="9"/>
      <c r="N746" s="9"/>
      <c r="O746" s="9"/>
      <c r="P746" s="9"/>
      <c r="Q746" s="9">
        <f ca="1">IFERROR(__xludf.DUMMYFUNCTION("GOOGLEFINANCE(C746,""changepct"")"),-9.52)</f>
        <v>-9.52</v>
      </c>
      <c r="R746" s="9"/>
      <c r="S746" s="9"/>
      <c r="T746" s="9"/>
      <c r="U746" s="9"/>
      <c r="V746" s="9"/>
      <c r="W746" s="9"/>
    </row>
    <row r="747" spans="1:23" ht="14.4">
      <c r="A747" s="3">
        <f>LOOKUP(D747,'AMFI DATA_2023H1'!B:C,'AMFI DATA_2023H1'!C:C)</f>
        <v>2207</v>
      </c>
      <c r="B747" s="4" t="s">
        <v>4964</v>
      </c>
      <c r="C747" s="4" t="s">
        <v>4965</v>
      </c>
      <c r="D747" s="5" t="s">
        <v>4966</v>
      </c>
      <c r="E747" s="5">
        <f>LOOKUP(D747,'AMFI DATA_2023H1'!B:D,'AMFI DATA_2023H1'!D:D)</f>
        <v>102.05</v>
      </c>
      <c r="F747" s="7">
        <f t="shared" si="2"/>
        <v>0.5776580107790299</v>
      </c>
      <c r="G747" s="9">
        <v>161</v>
      </c>
      <c r="H747" s="9">
        <v>153</v>
      </c>
      <c r="I747" s="9">
        <v>150</v>
      </c>
      <c r="J747" s="9">
        <v>153</v>
      </c>
      <c r="K747" s="9">
        <v>146</v>
      </c>
      <c r="L747" s="9">
        <v>145</v>
      </c>
      <c r="M747" s="9"/>
      <c r="N747" s="9"/>
      <c r="O747" s="9"/>
      <c r="P747" s="9"/>
      <c r="Q747" s="9">
        <f ca="1">IFERROR(__xludf.DUMMYFUNCTION("GOOGLEFINANCE(C747,""changepct"")"),0)</f>
        <v>0</v>
      </c>
      <c r="R747" s="9"/>
      <c r="S747" s="9"/>
      <c r="T747" s="9"/>
      <c r="U747" s="9"/>
      <c r="V747" s="9"/>
      <c r="W747" s="9"/>
    </row>
    <row r="748" spans="1:23" ht="14.4">
      <c r="A748" s="3">
        <f>LOOKUP(D748,'AMFI DATA_2023H1'!B:C,'AMFI DATA_2023H1'!C:C)</f>
        <v>2136</v>
      </c>
      <c r="B748" s="4" t="s">
        <v>4961</v>
      </c>
      <c r="C748" s="4" t="s">
        <v>4962</v>
      </c>
      <c r="D748" s="5" t="s">
        <v>4963</v>
      </c>
      <c r="E748" s="5">
        <f>LOOKUP(D748,'AMFI DATA_2023H1'!B:D,'AMFI DATA_2023H1'!D:D)</f>
        <v>115.26</v>
      </c>
      <c r="F748" s="7">
        <f t="shared" si="2"/>
        <v>0.50963040083289957</v>
      </c>
      <c r="G748" s="9">
        <v>174</v>
      </c>
      <c r="H748" s="9">
        <v>170</v>
      </c>
      <c r="I748" s="9">
        <v>167</v>
      </c>
      <c r="J748" s="9">
        <v>166</v>
      </c>
      <c r="K748" s="9">
        <v>176</v>
      </c>
      <c r="L748" s="9">
        <v>178</v>
      </c>
      <c r="M748" s="9"/>
      <c r="N748" s="9"/>
      <c r="O748" s="9"/>
      <c r="P748" s="9"/>
      <c r="Q748" s="9">
        <f ca="1">IFERROR(__xludf.DUMMYFUNCTION("GOOGLEFINANCE(C748,""changepct"")"),4.43)</f>
        <v>4.43</v>
      </c>
      <c r="R748" s="9"/>
      <c r="S748" s="9"/>
      <c r="T748" s="9"/>
      <c r="U748" s="9"/>
      <c r="V748" s="9"/>
      <c r="W748" s="9"/>
    </row>
    <row r="749" spans="1:23" ht="14.4">
      <c r="A749" s="3">
        <f>LOOKUP(D749,'AMFI DATA_2023H1'!B:C,'AMFI DATA_2023H1'!C:C)</f>
        <v>799</v>
      </c>
      <c r="B749" s="4" t="s">
        <v>2615</v>
      </c>
      <c r="C749" s="4" t="s">
        <v>2616</v>
      </c>
      <c r="D749" s="5" t="s">
        <v>2617</v>
      </c>
      <c r="E749" s="5">
        <f>LOOKUP(D749,'AMFI DATA_2023H1'!B:D,'AMFI DATA_2023H1'!D:D)</f>
        <v>1933.83</v>
      </c>
      <c r="F749" s="7">
        <f t="shared" si="2"/>
        <v>0.32845182875433721</v>
      </c>
      <c r="G749" s="8">
        <v>2569</v>
      </c>
      <c r="H749" s="8">
        <v>2372</v>
      </c>
      <c r="I749" s="8">
        <v>2319</v>
      </c>
      <c r="J749" s="8">
        <v>2324</v>
      </c>
      <c r="K749" s="8">
        <v>2342</v>
      </c>
      <c r="L749" s="8">
        <v>2292</v>
      </c>
      <c r="M749" s="8"/>
      <c r="N749" s="8"/>
      <c r="O749" s="8"/>
      <c r="P749" s="8"/>
      <c r="Q749" s="9">
        <f ca="1">IFERROR(__xludf.DUMMYFUNCTION("GOOGLEFINANCE(C749,""changepct"")"),0.72)</f>
        <v>0.72</v>
      </c>
      <c r="R749" s="8"/>
      <c r="S749" s="8"/>
      <c r="T749" s="8"/>
      <c r="U749" s="8"/>
      <c r="V749" s="8"/>
      <c r="W749" s="8"/>
    </row>
    <row r="750" spans="1:23" ht="14.4">
      <c r="A750" s="3">
        <f>LOOKUP(D750,'AMFI DATA_2023H1'!B:C,'AMFI DATA_2023H1'!C:C)</f>
        <v>1091</v>
      </c>
      <c r="B750" s="4" t="s">
        <v>3347</v>
      </c>
      <c r="C750" s="4" t="s">
        <v>3348</v>
      </c>
      <c r="D750" s="5" t="s">
        <v>3349</v>
      </c>
      <c r="E750" s="5">
        <f>LOOKUP(D750,'AMFI DATA_2023H1'!B:D,'AMFI DATA_2023H1'!D:D)</f>
        <v>895.7</v>
      </c>
      <c r="F750" s="7">
        <f t="shared" si="2"/>
        <v>0.4245841241487105</v>
      </c>
      <c r="G750" s="8">
        <v>1276</v>
      </c>
      <c r="H750" s="8">
        <v>1256</v>
      </c>
      <c r="I750" s="8">
        <v>1268</v>
      </c>
      <c r="J750" s="8">
        <v>1303</v>
      </c>
      <c r="K750" s="8">
        <v>1313</v>
      </c>
      <c r="L750" s="8">
        <v>1307</v>
      </c>
      <c r="M750" s="8"/>
      <c r="N750" s="8"/>
      <c r="O750" s="8"/>
      <c r="P750" s="8"/>
      <c r="Q750" s="9">
        <f ca="1">IFERROR(__xludf.DUMMYFUNCTION("GOOGLEFINANCE(C750,""changepct"")"),6.13)</f>
        <v>6.13</v>
      </c>
      <c r="R750" s="8"/>
      <c r="S750" s="8"/>
      <c r="T750" s="8"/>
      <c r="U750" s="8"/>
      <c r="V750" s="8"/>
      <c r="W750" s="8"/>
    </row>
    <row r="751" spans="1:23" ht="14.4">
      <c r="A751" s="3">
        <f>LOOKUP(D751,'AMFI DATA_2023H1'!B:C,'AMFI DATA_2023H1'!C:C)</f>
        <v>1116</v>
      </c>
      <c r="B751" s="4" t="s">
        <v>3272</v>
      </c>
      <c r="C751" s="4" t="s">
        <v>3273</v>
      </c>
      <c r="D751" s="5" t="s">
        <v>3274</v>
      </c>
      <c r="E751" s="5">
        <f>LOOKUP(D751,'AMFI DATA_2023H1'!B:D,'AMFI DATA_2023H1'!D:D)</f>
        <v>844.7</v>
      </c>
      <c r="F751" s="7">
        <f t="shared" si="2"/>
        <v>0.42654196756244822</v>
      </c>
      <c r="G751" s="8">
        <v>1205</v>
      </c>
      <c r="H751" s="8">
        <v>1207</v>
      </c>
      <c r="I751" s="8">
        <v>1219</v>
      </c>
      <c r="J751" s="8">
        <v>1209</v>
      </c>
      <c r="K751" s="8">
        <v>1228</v>
      </c>
      <c r="L751" s="8">
        <v>1226</v>
      </c>
      <c r="M751" s="8"/>
      <c r="N751" s="8"/>
      <c r="O751" s="8"/>
      <c r="P751" s="8"/>
      <c r="Q751" s="9">
        <f ca="1">IFERROR(__xludf.DUMMYFUNCTION("GOOGLEFINANCE(C751,""changepct"")"),12.64)</f>
        <v>12.64</v>
      </c>
      <c r="R751" s="8"/>
      <c r="S751" s="8"/>
      <c r="T751" s="8"/>
      <c r="U751" s="8"/>
      <c r="V751" s="8"/>
      <c r="W751" s="8"/>
    </row>
    <row r="752" spans="1:23" ht="14.4">
      <c r="A752" s="3">
        <f>LOOKUP(D752,'AMFI DATA_2023H1'!B:C,'AMFI DATA_2023H1'!C:C)</f>
        <v>703</v>
      </c>
      <c r="B752" s="4" t="s">
        <v>2234</v>
      </c>
      <c r="C752" s="4" t="s">
        <v>2235</v>
      </c>
      <c r="D752" s="5" t="s">
        <v>2236</v>
      </c>
      <c r="E752" s="5">
        <f>LOOKUP(D752,'AMFI DATA_2023H1'!B:D,'AMFI DATA_2023H1'!D:D)</f>
        <v>2562.44</v>
      </c>
      <c r="F752" s="7">
        <f t="shared" si="2"/>
        <v>0.61408657373440945</v>
      </c>
      <c r="G752" s="8">
        <v>4136</v>
      </c>
      <c r="H752" s="8">
        <v>4189</v>
      </c>
      <c r="I752" s="8">
        <v>4247</v>
      </c>
      <c r="J752" s="8">
        <v>4282</v>
      </c>
      <c r="K752" s="8">
        <v>4256</v>
      </c>
      <c r="L752" s="8">
        <v>4083</v>
      </c>
      <c r="M752" s="8"/>
      <c r="N752" s="8"/>
      <c r="O752" s="8"/>
      <c r="P752" s="8"/>
      <c r="Q752" s="9">
        <f ca="1">IFERROR(__xludf.DUMMYFUNCTION("GOOGLEFINANCE(C752,""changepct"")"),2.57)</f>
        <v>2.57</v>
      </c>
      <c r="R752" s="8"/>
      <c r="S752" s="8"/>
      <c r="T752" s="8"/>
      <c r="U752" s="8"/>
      <c r="V752" s="8"/>
      <c r="W752" s="8"/>
    </row>
    <row r="753" spans="1:23" ht="14.4">
      <c r="A753" s="3">
        <f>LOOKUP(D753,'AMFI DATA_2023H1'!B:C,'AMFI DATA_2023H1'!C:C)</f>
        <v>675</v>
      </c>
      <c r="B753" s="4" t="s">
        <v>2180</v>
      </c>
      <c r="C753" s="4" t="s">
        <v>2181</v>
      </c>
      <c r="D753" s="5" t="s">
        <v>2182</v>
      </c>
      <c r="E753" s="5">
        <f>LOOKUP(D753,'AMFI DATA_2023H1'!B:D,'AMFI DATA_2023H1'!D:D)</f>
        <v>2786.2</v>
      </c>
      <c r="F753" s="7">
        <f t="shared" si="2"/>
        <v>0.40585744024118875</v>
      </c>
      <c r="G753" s="8">
        <v>3917</v>
      </c>
      <c r="H753" s="8">
        <v>3867</v>
      </c>
      <c r="I753" s="8">
        <v>3860</v>
      </c>
      <c r="J753" s="8">
        <v>3802</v>
      </c>
      <c r="K753" s="8">
        <v>3909</v>
      </c>
      <c r="L753" s="8">
        <v>3777</v>
      </c>
      <c r="M753" s="8"/>
      <c r="N753" s="8"/>
      <c r="O753" s="8"/>
      <c r="P753" s="8"/>
      <c r="Q753" s="9">
        <f ca="1">IFERROR(__xludf.DUMMYFUNCTION("GOOGLEFINANCE(C753,""changepct"")"),11.23)</f>
        <v>11.23</v>
      </c>
      <c r="R753" s="8"/>
      <c r="S753" s="8"/>
      <c r="T753" s="8"/>
      <c r="U753" s="8"/>
      <c r="V753" s="8"/>
      <c r="W753" s="8"/>
    </row>
    <row r="754" spans="1:23" ht="14.4">
      <c r="A754" s="3">
        <f>LOOKUP(D754,'AMFI DATA_2023H1'!B:C,'AMFI DATA_2023H1'!C:C)</f>
        <v>1743</v>
      </c>
      <c r="B754" s="4" t="s">
        <v>4631</v>
      </c>
      <c r="C754" s="4" t="s">
        <v>4632</v>
      </c>
      <c r="D754" s="5" t="s">
        <v>4633</v>
      </c>
      <c r="E754" s="5">
        <f>LOOKUP(D754,'AMFI DATA_2023H1'!B:D,'AMFI DATA_2023H1'!D:D)</f>
        <v>217.63</v>
      </c>
      <c r="F754" s="7">
        <f t="shared" si="2"/>
        <v>-4.8844368882966505E-2</v>
      </c>
      <c r="G754" s="9">
        <v>207</v>
      </c>
      <c r="H754" s="9">
        <v>210</v>
      </c>
      <c r="I754" s="9">
        <v>214</v>
      </c>
      <c r="J754" s="9">
        <v>216</v>
      </c>
      <c r="K754" s="9">
        <v>220</v>
      </c>
      <c r="L754" s="9">
        <v>222</v>
      </c>
      <c r="M754" s="9"/>
      <c r="N754" s="9"/>
      <c r="O754" s="9"/>
      <c r="P754" s="9"/>
      <c r="Q754" s="9">
        <f ca="1">IFERROR(__xludf.DUMMYFUNCTION("GOOGLEFINANCE(C754,""changepct"")"),-2.88)</f>
        <v>-2.88</v>
      </c>
      <c r="R754" s="9"/>
      <c r="S754" s="9"/>
      <c r="T754" s="9"/>
      <c r="U754" s="9"/>
      <c r="V754" s="9"/>
      <c r="W754" s="9"/>
    </row>
    <row r="755" spans="1:23" ht="14.4">
      <c r="A755" s="3">
        <f>LOOKUP(D755,'AMFI DATA_2023H1'!B:C,'AMFI DATA_2023H1'!C:C)</f>
        <v>491</v>
      </c>
      <c r="B755" s="4" t="s">
        <v>1374</v>
      </c>
      <c r="C755" s="4" t="s">
        <v>1375</v>
      </c>
      <c r="D755" s="5" t="s">
        <v>1376</v>
      </c>
      <c r="E755" s="5">
        <f>LOOKUP(D755,'AMFI DATA_2023H1'!B:D,'AMFI DATA_2023H1'!D:D)</f>
        <v>5377.67</v>
      </c>
      <c r="F755" s="7">
        <f t="shared" si="2"/>
        <v>0.97706441637363395</v>
      </c>
      <c r="G755" s="8">
        <v>10632</v>
      </c>
      <c r="H755" s="8">
        <v>10674</v>
      </c>
      <c r="I755" s="8">
        <v>10851</v>
      </c>
      <c r="J755" s="8">
        <v>10528</v>
      </c>
      <c r="K755" s="8">
        <v>10430</v>
      </c>
      <c r="L755" s="8">
        <v>10273</v>
      </c>
      <c r="M755" s="8"/>
      <c r="N755" s="8"/>
      <c r="O755" s="8"/>
      <c r="P755" s="8"/>
      <c r="Q755" s="9">
        <f ca="1">IFERROR(__xludf.DUMMYFUNCTION("GOOGLEFINANCE(C755,""changepct"")"),0.07)</f>
        <v>7.0000000000000007E-2</v>
      </c>
      <c r="R755" s="8"/>
      <c r="S755" s="8"/>
      <c r="T755" s="8"/>
      <c r="U755" s="8"/>
      <c r="V755" s="8"/>
      <c r="W755" s="8"/>
    </row>
    <row r="756" spans="1:23" ht="14.4">
      <c r="A756" s="3">
        <f>LOOKUP(D756,'AMFI DATA_2023H1'!B:C,'AMFI DATA_2023H1'!C:C)</f>
        <v>623</v>
      </c>
      <c r="B756" s="4" t="s">
        <v>1971</v>
      </c>
      <c r="C756" s="4" t="s">
        <v>1972</v>
      </c>
      <c r="D756" s="5" t="s">
        <v>1973</v>
      </c>
      <c r="E756" s="5">
        <f>LOOKUP(D756,'AMFI DATA_2023H1'!B:D,'AMFI DATA_2023H1'!D:D)</f>
        <v>3420.95</v>
      </c>
      <c r="F756" s="7">
        <f t="shared" si="2"/>
        <v>0.38967245940455153</v>
      </c>
      <c r="G756" s="8">
        <v>4754</v>
      </c>
      <c r="H756" s="8">
        <v>4722</v>
      </c>
      <c r="I756" s="8">
        <v>4745</v>
      </c>
      <c r="J756" s="8">
        <v>4842</v>
      </c>
      <c r="K756" s="8">
        <v>4862</v>
      </c>
      <c r="L756" s="8">
        <v>4843</v>
      </c>
      <c r="M756" s="8"/>
      <c r="N756" s="8"/>
      <c r="O756" s="8"/>
      <c r="P756" s="8"/>
      <c r="Q756" s="9">
        <f ca="1">IFERROR(__xludf.DUMMYFUNCTION("GOOGLEFINANCE(C756,""changepct"")"),3.41)</f>
        <v>3.41</v>
      </c>
      <c r="R756" s="8"/>
      <c r="S756" s="8"/>
      <c r="T756" s="8"/>
      <c r="U756" s="8"/>
      <c r="V756" s="8"/>
      <c r="W756" s="8"/>
    </row>
    <row r="757" spans="1:23" ht="14.4">
      <c r="A757" s="3">
        <f>LOOKUP(D757,'AMFI DATA_2023H1'!B:C,'AMFI DATA_2023H1'!C:C)</f>
        <v>264</v>
      </c>
      <c r="B757" s="4" t="s">
        <v>882</v>
      </c>
      <c r="C757" s="4" t="s">
        <v>883</v>
      </c>
      <c r="D757" s="5" t="s">
        <v>884</v>
      </c>
      <c r="E757" s="5">
        <f>LOOKUP(D757,'AMFI DATA_2023H1'!B:D,'AMFI DATA_2023H1'!D:D)</f>
        <v>15736.82</v>
      </c>
      <c r="F757" s="7">
        <f t="shared" si="2"/>
        <v>5.6121884853483683E-2</v>
      </c>
      <c r="G757" s="8">
        <v>16620</v>
      </c>
      <c r="H757" s="8">
        <v>16664</v>
      </c>
      <c r="I757" s="8">
        <v>17058</v>
      </c>
      <c r="J757" s="8">
        <v>16991</v>
      </c>
      <c r="K757" s="8">
        <v>16858</v>
      </c>
      <c r="L757" s="8">
        <v>16604</v>
      </c>
      <c r="M757" s="8"/>
      <c r="N757" s="8"/>
      <c r="O757" s="8"/>
      <c r="P757" s="8"/>
      <c r="Q757" s="9">
        <f ca="1">IFERROR(__xludf.DUMMYFUNCTION("GOOGLEFINANCE(C757,""changepct"")"),3.75)</f>
        <v>3.75</v>
      </c>
      <c r="R757" s="8"/>
      <c r="S757" s="8"/>
      <c r="T757" s="8"/>
      <c r="U757" s="8"/>
      <c r="V757" s="8"/>
      <c r="W757" s="8"/>
    </row>
    <row r="758" spans="1:23" ht="14.4">
      <c r="A758" s="3">
        <f>LOOKUP(D758,'AMFI DATA_2023H1'!B:C,'AMFI DATA_2023H1'!C:C)</f>
        <v>145</v>
      </c>
      <c r="B758" s="4" t="s">
        <v>399</v>
      </c>
      <c r="C758" s="4" t="s">
        <v>400</v>
      </c>
      <c r="D758" s="5" t="s">
        <v>401</v>
      </c>
      <c r="E758" s="5">
        <f>LOOKUP(D758,'AMFI DATA_2023H1'!B:D,'AMFI DATA_2023H1'!D:D)</f>
        <v>35864.720000000001</v>
      </c>
      <c r="F758" s="7">
        <f t="shared" si="2"/>
        <v>0.58450979123773994</v>
      </c>
      <c r="G758" s="8">
        <v>56828</v>
      </c>
      <c r="H758" s="8">
        <v>56680</v>
      </c>
      <c r="I758" s="8">
        <v>56882</v>
      </c>
      <c r="J758" s="8">
        <v>56088</v>
      </c>
      <c r="K758" s="8">
        <v>55199</v>
      </c>
      <c r="L758" s="8">
        <v>55522</v>
      </c>
      <c r="M758" s="8"/>
      <c r="N758" s="8"/>
      <c r="O758" s="8"/>
      <c r="P758" s="8"/>
      <c r="Q758" s="9">
        <f ca="1">IFERROR(__xludf.DUMMYFUNCTION("GOOGLEFINANCE(C758,""changepct"")"),2.81)</f>
        <v>2.81</v>
      </c>
      <c r="R758" s="8"/>
      <c r="S758" s="8"/>
      <c r="T758" s="8"/>
      <c r="U758" s="8"/>
      <c r="V758" s="8"/>
      <c r="W758" s="8"/>
    </row>
    <row r="759" spans="1:23" ht="14.4">
      <c r="A759" s="3">
        <f>LOOKUP(D759,'AMFI DATA_2023H1'!B:C,'AMFI DATA_2023H1'!C:C)</f>
        <v>2031</v>
      </c>
      <c r="B759" s="4" t="s">
        <v>4967</v>
      </c>
      <c r="C759" s="4" t="s">
        <v>4968</v>
      </c>
      <c r="D759" s="5" t="s">
        <v>4969</v>
      </c>
      <c r="E759" s="5">
        <f>LOOKUP(D759,'AMFI DATA_2023H1'!B:D,'AMFI DATA_2023H1'!D:D)</f>
        <v>134.62</v>
      </c>
      <c r="F759" s="7">
        <f t="shared" si="2"/>
        <v>0.19595899569157615</v>
      </c>
      <c r="G759" s="9">
        <v>161</v>
      </c>
      <c r="H759" s="9">
        <v>161</v>
      </c>
      <c r="I759" s="9">
        <v>158</v>
      </c>
      <c r="J759" s="9">
        <v>157</v>
      </c>
      <c r="K759" s="9">
        <v>159</v>
      </c>
      <c r="L759" s="9">
        <v>162</v>
      </c>
      <c r="M759" s="9"/>
      <c r="N759" s="9"/>
      <c r="O759" s="9"/>
      <c r="P759" s="9"/>
      <c r="Q759" s="9">
        <f ca="1">IFERROR(__xludf.DUMMYFUNCTION("GOOGLEFINANCE(C759,""changepct"")"),10.85)</f>
        <v>10.85</v>
      </c>
      <c r="R759" s="9"/>
      <c r="S759" s="9"/>
      <c r="T759" s="9"/>
      <c r="U759" s="9"/>
      <c r="V759" s="9"/>
      <c r="W759" s="9"/>
    </row>
    <row r="760" spans="1:23" ht="14.4">
      <c r="A760" s="3">
        <f>LOOKUP(D760,'AMFI DATA_2023H1'!B:C,'AMFI DATA_2023H1'!C:C)</f>
        <v>295</v>
      </c>
      <c r="B760" s="4" t="s">
        <v>1098</v>
      </c>
      <c r="C760" s="4" t="s">
        <v>1099</v>
      </c>
      <c r="D760" s="5" t="s">
        <v>1100</v>
      </c>
      <c r="E760" s="5">
        <f>LOOKUP(D760,'AMFI DATA_2023H1'!B:D,'AMFI DATA_2023H1'!D:D)</f>
        <v>12913.07</v>
      </c>
      <c r="F760" s="7">
        <f t="shared" si="2"/>
        <v>0.15874846182975855</v>
      </c>
      <c r="G760" s="8">
        <v>14963</v>
      </c>
      <c r="H760" s="8">
        <v>14972</v>
      </c>
      <c r="I760" s="8">
        <v>14401</v>
      </c>
      <c r="J760" s="8">
        <v>13790</v>
      </c>
      <c r="K760" s="8">
        <v>13942</v>
      </c>
      <c r="L760" s="8">
        <v>13603</v>
      </c>
      <c r="M760" s="8"/>
      <c r="N760" s="8"/>
      <c r="O760" s="8"/>
      <c r="P760" s="8"/>
      <c r="Q760" s="9">
        <f ca="1">IFERROR(__xludf.DUMMYFUNCTION("GOOGLEFINANCE(C760,""changepct"")"),3.94)</f>
        <v>3.94</v>
      </c>
      <c r="R760" s="8"/>
      <c r="S760" s="8"/>
      <c r="T760" s="8"/>
      <c r="U760" s="8"/>
      <c r="V760" s="8"/>
      <c r="W760" s="8"/>
    </row>
    <row r="761" spans="1:23" ht="14.4">
      <c r="A761" s="3">
        <f>LOOKUP(D761,'AMFI DATA_2023H1'!B:C,'AMFI DATA_2023H1'!C:C)</f>
        <v>1187</v>
      </c>
      <c r="B761" s="4" t="s">
        <v>3110</v>
      </c>
      <c r="C761" s="4" t="s">
        <v>3111</v>
      </c>
      <c r="D761" s="5" t="s">
        <v>3112</v>
      </c>
      <c r="E761" s="5">
        <f>LOOKUP(D761,'AMFI DATA_2023H1'!B:D,'AMFI DATA_2023H1'!D:D)</f>
        <v>715.23</v>
      </c>
      <c r="F761" s="7">
        <f t="shared" si="2"/>
        <v>0.80501377179368871</v>
      </c>
      <c r="G761" s="8">
        <v>1291</v>
      </c>
      <c r="H761" s="8">
        <v>1277</v>
      </c>
      <c r="I761" s="8">
        <v>1295</v>
      </c>
      <c r="J761" s="8">
        <v>1308</v>
      </c>
      <c r="K761" s="8">
        <v>1314</v>
      </c>
      <c r="L761" s="8">
        <v>1322</v>
      </c>
      <c r="M761" s="8"/>
      <c r="N761" s="8"/>
      <c r="O761" s="8"/>
      <c r="P761" s="8"/>
      <c r="Q761" s="9">
        <f ca="1">IFERROR(__xludf.DUMMYFUNCTION("GOOGLEFINANCE(C761,""changepct"")"),3.24)</f>
        <v>3.24</v>
      </c>
      <c r="R761" s="8"/>
      <c r="S761" s="8"/>
      <c r="T761" s="8"/>
      <c r="U761" s="8"/>
      <c r="V761" s="8"/>
      <c r="W761" s="8"/>
    </row>
    <row r="762" spans="1:23" ht="14.4">
      <c r="A762" s="3">
        <f>LOOKUP(D762,'AMFI DATA_2023H1'!B:C,'AMFI DATA_2023H1'!C:C)</f>
        <v>879</v>
      </c>
      <c r="B762" s="4" t="s">
        <v>2555</v>
      </c>
      <c r="C762" s="4" t="s">
        <v>2556</v>
      </c>
      <c r="D762" s="5" t="s">
        <v>2557</v>
      </c>
      <c r="E762" s="5">
        <f>LOOKUP(D762,'AMFI DATA_2023H1'!B:D,'AMFI DATA_2023H1'!D:D)</f>
        <v>1587.48</v>
      </c>
      <c r="F762" s="7">
        <f t="shared" si="2"/>
        <v>0.75372288154811407</v>
      </c>
      <c r="G762" s="8">
        <v>2784</v>
      </c>
      <c r="H762" s="8">
        <v>2691</v>
      </c>
      <c r="I762" s="8">
        <v>2723</v>
      </c>
      <c r="J762" s="8">
        <v>2741</v>
      </c>
      <c r="K762" s="8">
        <v>2662</v>
      </c>
      <c r="L762" s="8">
        <v>2648</v>
      </c>
      <c r="M762" s="8"/>
      <c r="N762" s="8"/>
      <c r="O762" s="8"/>
      <c r="P762" s="8"/>
      <c r="Q762" s="9">
        <f ca="1">IFERROR(__xludf.DUMMYFUNCTION("GOOGLEFINANCE(C762,""changepct"")"),1.37)</f>
        <v>1.37</v>
      </c>
      <c r="R762" s="8"/>
      <c r="S762" s="8"/>
      <c r="T762" s="8"/>
      <c r="U762" s="8"/>
      <c r="V762" s="8"/>
      <c r="W762" s="8"/>
    </row>
    <row r="763" spans="1:23" ht="14.4">
      <c r="A763" s="3">
        <f>LOOKUP(D763,'AMFI DATA_2023H1'!B:C,'AMFI DATA_2023H1'!C:C)</f>
        <v>46</v>
      </c>
      <c r="B763" s="4" t="s">
        <v>126</v>
      </c>
      <c r="C763" s="4" t="s">
        <v>127</v>
      </c>
      <c r="D763" s="5" t="s">
        <v>128</v>
      </c>
      <c r="E763" s="5">
        <f>LOOKUP(D763,'AMFI DATA_2023H1'!B:D,'AMFI DATA_2023H1'!D:D)</f>
        <v>116534.94</v>
      </c>
      <c r="F763" s="7">
        <f t="shared" si="2"/>
        <v>0.57952627769834519</v>
      </c>
      <c r="G763" s="8">
        <v>184070</v>
      </c>
      <c r="H763" s="8">
        <v>183294</v>
      </c>
      <c r="I763" s="8">
        <v>188236</v>
      </c>
      <c r="J763" s="8">
        <v>178916</v>
      </c>
      <c r="K763" s="8">
        <v>180822</v>
      </c>
      <c r="L763" s="8">
        <v>174680</v>
      </c>
      <c r="M763" s="8"/>
      <c r="N763" s="8"/>
      <c r="O763" s="8"/>
      <c r="P763" s="8"/>
      <c r="Q763" s="9">
        <f ca="1">IFERROR(__xludf.DUMMYFUNCTION("GOOGLEFINANCE(C763,""changepct"")"),2.73)</f>
        <v>2.73</v>
      </c>
      <c r="R763" s="8"/>
      <c r="S763" s="8"/>
      <c r="T763" s="8"/>
      <c r="U763" s="8"/>
      <c r="V763" s="8"/>
      <c r="W763" s="8"/>
    </row>
    <row r="764" spans="1:23" ht="14.4">
      <c r="A764" s="3">
        <f>LOOKUP(D764,'AMFI DATA_2023H1'!B:C,'AMFI DATA_2023H1'!C:C)</f>
        <v>107</v>
      </c>
      <c r="B764" s="4" t="s">
        <v>291</v>
      </c>
      <c r="C764" s="4" t="s">
        <v>292</v>
      </c>
      <c r="D764" s="5" t="s">
        <v>293</v>
      </c>
      <c r="E764" s="5">
        <f>LOOKUP(D764,'AMFI DATA_2023H1'!B:D,'AMFI DATA_2023H1'!D:D)</f>
        <v>48161.8</v>
      </c>
      <c r="F764" s="7">
        <f t="shared" si="2"/>
        <v>0.71002744914018989</v>
      </c>
      <c r="G764" s="8">
        <v>82358</v>
      </c>
      <c r="H764" s="8">
        <v>81885</v>
      </c>
      <c r="I764" s="8">
        <v>81810</v>
      </c>
      <c r="J764" s="8">
        <v>81847</v>
      </c>
      <c r="K764" s="8">
        <v>81129</v>
      </c>
      <c r="L764" s="8">
        <v>81186</v>
      </c>
      <c r="M764" s="8"/>
      <c r="N764" s="8"/>
      <c r="O764" s="8"/>
      <c r="P764" s="8"/>
      <c r="Q764" s="9">
        <f ca="1">IFERROR(__xludf.DUMMYFUNCTION("GOOGLEFINANCE(C764,""changepct"")"),2.38)</f>
        <v>2.38</v>
      </c>
      <c r="R764" s="8"/>
      <c r="S764" s="8"/>
      <c r="T764" s="8"/>
      <c r="U764" s="8"/>
      <c r="V764" s="8"/>
      <c r="W764" s="8"/>
    </row>
    <row r="765" spans="1:23" ht="14.4">
      <c r="A765" s="3">
        <f>LOOKUP(D765,'AMFI DATA_2023H1'!B:C,'AMFI DATA_2023H1'!C:C)</f>
        <v>98</v>
      </c>
      <c r="B765" s="4" t="s">
        <v>354</v>
      </c>
      <c r="C765" s="4" t="s">
        <v>355</v>
      </c>
      <c r="D765" s="5" t="s">
        <v>356</v>
      </c>
      <c r="E765" s="5">
        <f>LOOKUP(D765,'AMFI DATA_2023H1'!B:D,'AMFI DATA_2023H1'!D:D)</f>
        <v>49907.360000000001</v>
      </c>
      <c r="F765" s="7">
        <f t="shared" si="2"/>
        <v>0.42968892764514099</v>
      </c>
      <c r="G765" s="8">
        <v>71352</v>
      </c>
      <c r="H765" s="8">
        <v>70932</v>
      </c>
      <c r="I765" s="8">
        <v>69100</v>
      </c>
      <c r="J765" s="8">
        <v>69420</v>
      </c>
      <c r="K765" s="8">
        <v>69580</v>
      </c>
      <c r="L765" s="8">
        <v>68872</v>
      </c>
      <c r="M765" s="8"/>
      <c r="N765" s="8"/>
      <c r="O765" s="8"/>
      <c r="P765" s="8"/>
      <c r="Q765" s="9">
        <f ca="1">IFERROR(__xludf.DUMMYFUNCTION("GOOGLEFINANCE(C765,""changepct"")"),10.54)</f>
        <v>10.54</v>
      </c>
      <c r="R765" s="8"/>
      <c r="S765" s="8"/>
      <c r="T765" s="8"/>
      <c r="U765" s="8"/>
      <c r="V765" s="8"/>
      <c r="W765" s="8"/>
    </row>
    <row r="766" spans="1:23" ht="14.4">
      <c r="A766" s="3">
        <f>LOOKUP(D766,'AMFI DATA_2023H1'!B:C,'AMFI DATA_2023H1'!C:C)</f>
        <v>129</v>
      </c>
      <c r="B766" s="4" t="s">
        <v>225</v>
      </c>
      <c r="C766" s="4" t="s">
        <v>226</v>
      </c>
      <c r="D766" s="5" t="s">
        <v>227</v>
      </c>
      <c r="E766" s="5">
        <f>LOOKUP(D766,'AMFI DATA_2023H1'!B:D,'AMFI DATA_2023H1'!D:D)</f>
        <v>40196.47</v>
      </c>
      <c r="F766" s="7">
        <f t="shared" si="2"/>
        <v>2.263196992173691</v>
      </c>
      <c r="G766" s="8">
        <v>131169</v>
      </c>
      <c r="H766" s="8">
        <v>129796</v>
      </c>
      <c r="I766" s="8">
        <v>126046</v>
      </c>
      <c r="J766" s="8">
        <v>126425</v>
      </c>
      <c r="K766" s="8">
        <v>127274</v>
      </c>
      <c r="L766" s="8">
        <v>127745</v>
      </c>
      <c r="M766" s="8"/>
      <c r="N766" s="8"/>
      <c r="O766" s="8"/>
      <c r="P766" s="8"/>
      <c r="Q766" s="9">
        <f ca="1">IFERROR(__xludf.DUMMYFUNCTION("GOOGLEFINANCE(C766,""changepct"")"),20.51)</f>
        <v>20.51</v>
      </c>
      <c r="R766" s="8"/>
      <c r="S766" s="8"/>
      <c r="T766" s="8"/>
      <c r="U766" s="8"/>
      <c r="V766" s="8"/>
      <c r="W766" s="8"/>
    </row>
    <row r="767" spans="1:23" ht="14.4">
      <c r="A767" s="3">
        <f>LOOKUP(D767,'AMFI DATA_2023H1'!B:C,'AMFI DATA_2023H1'!C:C)</f>
        <v>98</v>
      </c>
      <c r="B767" s="4" t="s">
        <v>705</v>
      </c>
      <c r="C767" s="4" t="s">
        <v>706</v>
      </c>
      <c r="D767" s="5" t="s">
        <v>707</v>
      </c>
      <c r="E767" s="5">
        <f>LOOKUP(D767,'AMFI DATA_2023H1'!B:D,'AMFI DATA_2023H1'!D:D)</f>
        <v>49907.360000000001</v>
      </c>
      <c r="F767" s="7">
        <f t="shared" ref="F767:F1021" si="3">G767/E767-1</f>
        <v>-0.43641579117789442</v>
      </c>
      <c r="G767" s="8">
        <v>28127</v>
      </c>
      <c r="H767" s="8">
        <v>27603</v>
      </c>
      <c r="I767" s="8">
        <v>26136</v>
      </c>
      <c r="J767" s="8">
        <v>26827</v>
      </c>
      <c r="K767" s="8">
        <v>27402</v>
      </c>
      <c r="L767" s="8">
        <v>29525</v>
      </c>
      <c r="M767" s="8"/>
      <c r="N767" s="8"/>
      <c r="O767" s="8"/>
      <c r="P767" s="8"/>
      <c r="Q767" s="9">
        <f ca="1">IFERROR(__xludf.DUMMYFUNCTION("GOOGLEFINANCE(C767,""changepct"")"),20.97)</f>
        <v>20.97</v>
      </c>
      <c r="R767" s="8"/>
      <c r="S767" s="8"/>
      <c r="T767" s="8"/>
      <c r="U767" s="8"/>
      <c r="V767" s="8"/>
      <c r="W767" s="8"/>
    </row>
    <row r="768" spans="1:23" ht="14.4">
      <c r="A768" s="3">
        <f>LOOKUP(D768,'AMFI DATA_2023H1'!B:C,'AMFI DATA_2023H1'!C:C)</f>
        <v>1677</v>
      </c>
      <c r="B768" s="4" t="s">
        <v>4499</v>
      </c>
      <c r="C768" s="4" t="s">
        <v>4500</v>
      </c>
      <c r="D768" s="5" t="s">
        <v>4501</v>
      </c>
      <c r="E768" s="5">
        <f>LOOKUP(D768,'AMFI DATA_2023H1'!B:D,'AMFI DATA_2023H1'!D:D)</f>
        <v>250.15</v>
      </c>
      <c r="F768" s="7">
        <f t="shared" si="3"/>
        <v>0.19128522886268229</v>
      </c>
      <c r="G768" s="9">
        <v>298</v>
      </c>
      <c r="H768" s="9">
        <v>300</v>
      </c>
      <c r="I768" s="9">
        <v>305</v>
      </c>
      <c r="J768" s="9">
        <v>311</v>
      </c>
      <c r="K768" s="9">
        <v>310</v>
      </c>
      <c r="L768" s="9">
        <v>308</v>
      </c>
      <c r="M768" s="9"/>
      <c r="N768" s="9"/>
      <c r="O768" s="9"/>
      <c r="P768" s="9"/>
      <c r="Q768" s="9">
        <f ca="1">IFERROR(__xludf.DUMMYFUNCTION("GOOGLEFINANCE(C768,""changepct"")"),-1.59)</f>
        <v>-1.59</v>
      </c>
      <c r="R768" s="9"/>
      <c r="S768" s="9"/>
      <c r="T768" s="9"/>
      <c r="U768" s="9"/>
      <c r="V768" s="9"/>
      <c r="W768" s="9"/>
    </row>
    <row r="769" spans="1:23" ht="14.4">
      <c r="A769" s="3">
        <f>LOOKUP(D769,'AMFI DATA_2023H1'!B:C,'AMFI DATA_2023H1'!C:C)</f>
        <v>466</v>
      </c>
      <c r="B769" s="4" t="s">
        <v>1530</v>
      </c>
      <c r="C769" s="4" t="s">
        <v>1531</v>
      </c>
      <c r="D769" s="5" t="s">
        <v>1532</v>
      </c>
      <c r="E769" s="5">
        <f>LOOKUP(D769,'AMFI DATA_2023H1'!B:D,'AMFI DATA_2023H1'!D:D)</f>
        <v>5788.55</v>
      </c>
      <c r="F769" s="7">
        <f t="shared" si="3"/>
        <v>0.22828687667896097</v>
      </c>
      <c r="G769" s="8">
        <v>7110</v>
      </c>
      <c r="H769" s="8">
        <v>7051</v>
      </c>
      <c r="I769" s="8">
        <v>7090</v>
      </c>
      <c r="J769" s="8">
        <v>7137</v>
      </c>
      <c r="K769" s="8">
        <v>6990</v>
      </c>
      <c r="L769" s="8">
        <v>6977</v>
      </c>
      <c r="M769" s="8"/>
      <c r="N769" s="8"/>
      <c r="O769" s="8"/>
      <c r="P769" s="8"/>
      <c r="Q769" s="9">
        <f ca="1">IFERROR(__xludf.DUMMYFUNCTION("GOOGLEFINANCE(C769,""changepct"")"),-0.62)</f>
        <v>-0.62</v>
      </c>
      <c r="R769" s="8"/>
      <c r="S769" s="8"/>
      <c r="T769" s="8"/>
      <c r="U769" s="8"/>
      <c r="V769" s="8"/>
      <c r="W769" s="8"/>
    </row>
    <row r="770" spans="1:23" ht="14.4">
      <c r="A770" s="3">
        <f>LOOKUP(D770,'AMFI DATA_2023H1'!B:C,'AMFI DATA_2023H1'!C:C)</f>
        <v>1202</v>
      </c>
      <c r="B770" s="4" t="s">
        <v>3557</v>
      </c>
      <c r="C770" s="4" t="s">
        <v>3558</v>
      </c>
      <c r="D770" s="5" t="s">
        <v>3559</v>
      </c>
      <c r="E770" s="5">
        <f>LOOKUP(D770,'AMFI DATA_2023H1'!B:D,'AMFI DATA_2023H1'!D:D)</f>
        <v>689.96</v>
      </c>
      <c r="F770" s="7">
        <f t="shared" si="3"/>
        <v>0.43486578932112008</v>
      </c>
      <c r="G770" s="9">
        <v>990</v>
      </c>
      <c r="H770" s="9">
        <v>885</v>
      </c>
      <c r="I770" s="9">
        <v>872</v>
      </c>
      <c r="J770" s="9">
        <v>898</v>
      </c>
      <c r="K770" s="9">
        <v>916</v>
      </c>
      <c r="L770" s="9">
        <v>830</v>
      </c>
      <c r="M770" s="9"/>
      <c r="N770" s="9"/>
      <c r="O770" s="9"/>
      <c r="P770" s="9"/>
      <c r="Q770" s="9">
        <f ca="1">IFERROR(__xludf.DUMMYFUNCTION("GOOGLEFINANCE(C770,""changepct"")"),-2.04)</f>
        <v>-2.04</v>
      </c>
      <c r="R770" s="9"/>
      <c r="S770" s="9"/>
      <c r="T770" s="9"/>
      <c r="U770" s="9"/>
      <c r="V770" s="9"/>
      <c r="W770" s="9"/>
    </row>
    <row r="771" spans="1:23" ht="14.4">
      <c r="A771" s="3">
        <f>LOOKUP(D771,'AMFI DATA_2023H1'!B:C,'AMFI DATA_2023H1'!C:C)</f>
        <v>1435</v>
      </c>
      <c r="B771" s="4" t="s">
        <v>3935</v>
      </c>
      <c r="C771" s="4" t="s">
        <v>3936</v>
      </c>
      <c r="D771" s="5" t="s">
        <v>3937</v>
      </c>
      <c r="E771" s="5">
        <f>LOOKUP(D771,'AMFI DATA_2023H1'!B:D,'AMFI DATA_2023H1'!D:D)</f>
        <v>389.95</v>
      </c>
      <c r="F771" s="7">
        <f t="shared" si="3"/>
        <v>0.91050134632645219</v>
      </c>
      <c r="G771" s="9">
        <v>745</v>
      </c>
      <c r="H771" s="9">
        <v>731</v>
      </c>
      <c r="I771" s="9">
        <v>706</v>
      </c>
      <c r="J771" s="9">
        <v>682</v>
      </c>
      <c r="K771" s="9">
        <v>690</v>
      </c>
      <c r="L771" s="9">
        <v>710</v>
      </c>
      <c r="M771" s="9"/>
      <c r="N771" s="9"/>
      <c r="O771" s="9"/>
      <c r="P771" s="9"/>
      <c r="Q771" s="9">
        <f ca="1">IFERROR(__xludf.DUMMYFUNCTION("GOOGLEFINANCE(C771,""changepct"")"),2.03)</f>
        <v>2.0299999999999998</v>
      </c>
      <c r="R771" s="9"/>
      <c r="S771" s="9"/>
      <c r="T771" s="9"/>
      <c r="U771" s="9"/>
      <c r="V771" s="9"/>
      <c r="W771" s="9"/>
    </row>
    <row r="772" spans="1:23" ht="14.4">
      <c r="A772" s="3">
        <f>LOOKUP(D772,'AMFI DATA_2023H1'!B:C,'AMFI DATA_2023H1'!C:C)</f>
        <v>660</v>
      </c>
      <c r="B772" s="4" t="s">
        <v>1812</v>
      </c>
      <c r="C772" s="4" t="s">
        <v>1813</v>
      </c>
      <c r="D772" s="5" t="s">
        <v>1814</v>
      </c>
      <c r="E772" s="5">
        <f>LOOKUP(D772,'AMFI DATA_2023H1'!B:D,'AMFI DATA_2023H1'!D:D)</f>
        <v>2907.64</v>
      </c>
      <c r="F772" s="7">
        <f t="shared" si="3"/>
        <v>1.0466770301687967</v>
      </c>
      <c r="G772" s="8">
        <v>5951</v>
      </c>
      <c r="H772" s="8">
        <v>6086</v>
      </c>
      <c r="I772" s="8">
        <v>6097</v>
      </c>
      <c r="J772" s="8">
        <v>5902</v>
      </c>
      <c r="K772" s="8">
        <v>5849</v>
      </c>
      <c r="L772" s="8">
        <v>5806</v>
      </c>
      <c r="M772" s="8"/>
      <c r="N772" s="8"/>
      <c r="O772" s="8"/>
      <c r="P772" s="8"/>
      <c r="Q772" s="9">
        <f ca="1">IFERROR(__xludf.DUMMYFUNCTION("GOOGLEFINANCE(C772,""changepct"")"),-0.5)</f>
        <v>-0.5</v>
      </c>
      <c r="R772" s="8"/>
      <c r="S772" s="8"/>
      <c r="T772" s="8"/>
      <c r="U772" s="8"/>
      <c r="V772" s="8"/>
      <c r="W772" s="8"/>
    </row>
    <row r="773" spans="1:23" ht="14.4">
      <c r="A773" s="3">
        <f>LOOKUP(D773,'AMFI DATA_2023H1'!B:C,'AMFI DATA_2023H1'!C:C)</f>
        <v>983</v>
      </c>
      <c r="B773" s="4" t="s">
        <v>3131</v>
      </c>
      <c r="C773" s="4" t="s">
        <v>3132</v>
      </c>
      <c r="D773" s="5" t="s">
        <v>3133</v>
      </c>
      <c r="E773" s="5">
        <f>LOOKUP(D773,'AMFI DATA_2023H1'!B:D,'AMFI DATA_2023H1'!D:D)</f>
        <v>1238.31</v>
      </c>
      <c r="F773" s="7">
        <f t="shared" si="3"/>
        <v>0.10715410519175328</v>
      </c>
      <c r="G773" s="8">
        <v>1371</v>
      </c>
      <c r="H773" s="8">
        <v>1362</v>
      </c>
      <c r="I773" s="8">
        <v>1374</v>
      </c>
      <c r="J773" s="8">
        <v>1369</v>
      </c>
      <c r="K773" s="8">
        <v>1407</v>
      </c>
      <c r="L773" s="8">
        <v>1376</v>
      </c>
      <c r="M773" s="8"/>
      <c r="N773" s="8"/>
      <c r="O773" s="8"/>
      <c r="P773" s="8"/>
      <c r="Q773" s="9">
        <f ca="1">IFERROR(__xludf.DUMMYFUNCTION("GOOGLEFINANCE(C773,""changepct"")"),-0.65)</f>
        <v>-0.65</v>
      </c>
      <c r="R773" s="8"/>
      <c r="S773" s="8"/>
      <c r="T773" s="8"/>
      <c r="U773" s="8"/>
      <c r="V773" s="8"/>
      <c r="W773" s="8"/>
    </row>
    <row r="774" spans="1:23" ht="14.4">
      <c r="A774" s="3">
        <f>LOOKUP(D774,'AMFI DATA_2023H1'!B:C,'AMFI DATA_2023H1'!C:C)</f>
        <v>1671</v>
      </c>
      <c r="B774" s="4" t="s">
        <v>3941</v>
      </c>
      <c r="C774" s="4" t="s">
        <v>3942</v>
      </c>
      <c r="D774" s="5" t="s">
        <v>3943</v>
      </c>
      <c r="E774" s="5">
        <f>LOOKUP(D774,'AMFI DATA_2023H1'!B:D,'AMFI DATA_2023H1'!D:D)</f>
        <v>251.31</v>
      </c>
      <c r="F774" s="7">
        <f t="shared" si="3"/>
        <v>2.0281325852532728</v>
      </c>
      <c r="G774" s="9">
        <v>761</v>
      </c>
      <c r="H774" s="9">
        <v>723</v>
      </c>
      <c r="I774" s="9">
        <v>690</v>
      </c>
      <c r="J774" s="9">
        <v>672</v>
      </c>
      <c r="K774" s="9">
        <v>668</v>
      </c>
      <c r="L774" s="9">
        <v>636</v>
      </c>
      <c r="M774" s="9"/>
      <c r="N774" s="9"/>
      <c r="O774" s="9"/>
      <c r="P774" s="9"/>
      <c r="Q774" s="9">
        <f ca="1">IFERROR(__xludf.DUMMYFUNCTION("GOOGLEFINANCE(C774,""changepct"")"),3.82)</f>
        <v>3.82</v>
      </c>
      <c r="R774" s="9"/>
      <c r="S774" s="9"/>
      <c r="T774" s="9"/>
      <c r="U774" s="9"/>
      <c r="V774" s="9"/>
      <c r="W774" s="9"/>
    </row>
    <row r="775" spans="1:23" ht="14.4">
      <c r="A775" s="3">
        <f>LOOKUP(D775,'AMFI DATA_2023H1'!B:C,'AMFI DATA_2023H1'!C:C)</f>
        <v>1584</v>
      </c>
      <c r="B775" s="4" t="s">
        <v>4586</v>
      </c>
      <c r="C775" s="4" t="s">
        <v>4587</v>
      </c>
      <c r="D775" s="5" t="s">
        <v>4588</v>
      </c>
      <c r="E775" s="5">
        <f>LOOKUP(D775,'AMFI DATA_2023H1'!B:D,'AMFI DATA_2023H1'!D:D)</f>
        <v>294.99</v>
      </c>
      <c r="F775" s="7">
        <f t="shared" si="3"/>
        <v>-0.21353266212413979</v>
      </c>
      <c r="G775" s="9">
        <v>232</v>
      </c>
      <c r="H775" s="9">
        <v>229</v>
      </c>
      <c r="I775" s="9">
        <v>229</v>
      </c>
      <c r="J775" s="9">
        <v>224</v>
      </c>
      <c r="K775" s="9">
        <v>225</v>
      </c>
      <c r="L775" s="9">
        <v>230</v>
      </c>
      <c r="M775" s="9"/>
      <c r="N775" s="9"/>
      <c r="O775" s="9"/>
      <c r="P775" s="9"/>
      <c r="Q775" s="9">
        <f ca="1">IFERROR(__xludf.DUMMYFUNCTION("GOOGLEFINANCE(C775,""changepct"")"),-14.07)</f>
        <v>-14.07</v>
      </c>
      <c r="R775" s="9"/>
      <c r="S775" s="9"/>
      <c r="T775" s="9"/>
      <c r="U775" s="9"/>
      <c r="V775" s="9"/>
      <c r="W775" s="9"/>
    </row>
    <row r="776" spans="1:23" ht="14.4">
      <c r="A776" s="3">
        <f>LOOKUP(D776,'AMFI DATA_2023H1'!B:C,'AMFI DATA_2023H1'!C:C)</f>
        <v>638</v>
      </c>
      <c r="B776" s="4" t="s">
        <v>2246</v>
      </c>
      <c r="C776" s="4" t="s">
        <v>2247</v>
      </c>
      <c r="D776" s="5" t="s">
        <v>2248</v>
      </c>
      <c r="E776" s="5">
        <f>LOOKUP(D776,'AMFI DATA_2023H1'!B:D,'AMFI DATA_2023H1'!D:D)</f>
        <v>3180.82</v>
      </c>
      <c r="F776" s="7">
        <f t="shared" si="3"/>
        <v>0.15599122238919527</v>
      </c>
      <c r="G776" s="8">
        <v>3677</v>
      </c>
      <c r="H776" s="8">
        <v>3624</v>
      </c>
      <c r="I776" s="8">
        <v>3667</v>
      </c>
      <c r="J776" s="8">
        <v>3797</v>
      </c>
      <c r="K776" s="8">
        <v>3669</v>
      </c>
      <c r="L776" s="8">
        <v>3686</v>
      </c>
      <c r="M776" s="8"/>
      <c r="N776" s="8"/>
      <c r="O776" s="8"/>
      <c r="P776" s="8"/>
      <c r="Q776" s="9">
        <f ca="1">IFERROR(__xludf.DUMMYFUNCTION("GOOGLEFINANCE(C776,""changepct"")"),5.82)</f>
        <v>5.82</v>
      </c>
      <c r="R776" s="8"/>
      <c r="S776" s="8"/>
      <c r="T776" s="8"/>
      <c r="U776" s="8"/>
      <c r="V776" s="8"/>
      <c r="W776" s="8"/>
    </row>
    <row r="777" spans="1:23" ht="14.4">
      <c r="A777" s="3">
        <f>LOOKUP(D777,'AMFI DATA_2023H1'!B:C,'AMFI DATA_2023H1'!C:C)</f>
        <v>1647</v>
      </c>
      <c r="B777" s="4" t="s">
        <v>4160</v>
      </c>
      <c r="C777" s="4" t="s">
        <v>4161</v>
      </c>
      <c r="D777" s="5" t="s">
        <v>4162</v>
      </c>
      <c r="E777" s="5">
        <f>LOOKUP(D777,'AMFI DATA_2023H1'!B:D,'AMFI DATA_2023H1'!D:D)</f>
        <v>265.12</v>
      </c>
      <c r="F777" s="7">
        <f t="shared" si="3"/>
        <v>1.1801448400724199</v>
      </c>
      <c r="G777" s="9">
        <v>578</v>
      </c>
      <c r="H777" s="9">
        <v>586</v>
      </c>
      <c r="I777" s="9">
        <v>596</v>
      </c>
      <c r="J777" s="9">
        <v>569</v>
      </c>
      <c r="K777" s="9">
        <v>613</v>
      </c>
      <c r="L777" s="9">
        <v>519</v>
      </c>
      <c r="M777" s="9"/>
      <c r="N777" s="9"/>
      <c r="O777" s="9"/>
      <c r="P777" s="9"/>
      <c r="Q777" s="9">
        <f ca="1">IFERROR(__xludf.DUMMYFUNCTION("GOOGLEFINANCE(C777,""changepct"")"),-2.93)</f>
        <v>-2.93</v>
      </c>
      <c r="R777" s="9"/>
      <c r="S777" s="9"/>
      <c r="T777" s="9"/>
      <c r="U777" s="9"/>
      <c r="V777" s="9"/>
      <c r="W777" s="9"/>
    </row>
    <row r="778" spans="1:23" ht="14.4">
      <c r="A778" s="3">
        <f>LOOKUP(D778,'AMFI DATA_2023H1'!B:C,'AMFI DATA_2023H1'!C:C)</f>
        <v>834</v>
      </c>
      <c r="B778" s="4" t="s">
        <v>2642</v>
      </c>
      <c r="C778" s="4" t="s">
        <v>2643</v>
      </c>
      <c r="D778" s="5" t="s">
        <v>2644</v>
      </c>
      <c r="E778" s="5">
        <f>LOOKUP(D778,'AMFI DATA_2023H1'!B:D,'AMFI DATA_2023H1'!D:D)</f>
        <v>1751.67</v>
      </c>
      <c r="F778" s="7">
        <f t="shared" si="3"/>
        <v>0.34899838439888797</v>
      </c>
      <c r="G778" s="8">
        <v>2363</v>
      </c>
      <c r="H778" s="8">
        <v>2300</v>
      </c>
      <c r="I778" s="8">
        <v>2322</v>
      </c>
      <c r="J778" s="8">
        <v>2294</v>
      </c>
      <c r="K778" s="8">
        <v>2318</v>
      </c>
      <c r="L778" s="8">
        <v>2241</v>
      </c>
      <c r="M778" s="8"/>
      <c r="N778" s="8"/>
      <c r="O778" s="8"/>
      <c r="P778" s="8"/>
      <c r="Q778" s="9">
        <f ca="1">IFERROR(__xludf.DUMMYFUNCTION("GOOGLEFINANCE(C778,""changepct"")"),9.17)</f>
        <v>9.17</v>
      </c>
      <c r="R778" s="8"/>
      <c r="S778" s="8"/>
      <c r="T778" s="8"/>
      <c r="U778" s="8"/>
      <c r="V778" s="8"/>
      <c r="W778" s="8"/>
    </row>
    <row r="779" spans="1:23" ht="14.4">
      <c r="A779" s="3">
        <f>LOOKUP(D779,'AMFI DATA_2023H1'!B:C,'AMFI DATA_2023H1'!C:C)</f>
        <v>2015</v>
      </c>
      <c r="B779" s="4" t="s">
        <v>4853</v>
      </c>
      <c r="C779" s="4" t="s">
        <v>4854</v>
      </c>
      <c r="D779" s="5" t="s">
        <v>4855</v>
      </c>
      <c r="E779" s="5">
        <f>LOOKUP(D779,'AMFI DATA_2023H1'!B:D,'AMFI DATA_2023H1'!D:D)</f>
        <v>140.47999999999999</v>
      </c>
      <c r="F779" s="7">
        <f t="shared" si="3"/>
        <v>0.60165148063781326</v>
      </c>
      <c r="G779" s="9">
        <v>225</v>
      </c>
      <c r="H779" s="9">
        <v>221</v>
      </c>
      <c r="I779" s="9">
        <v>217</v>
      </c>
      <c r="J779" s="9">
        <v>217</v>
      </c>
      <c r="K779" s="9">
        <v>222</v>
      </c>
      <c r="L779" s="9">
        <v>226</v>
      </c>
      <c r="M779" s="9"/>
      <c r="N779" s="9"/>
      <c r="O779" s="9"/>
      <c r="P779" s="9"/>
      <c r="Q779" s="9">
        <f ca="1">IFERROR(__xludf.DUMMYFUNCTION("GOOGLEFINANCE(C779,""changepct"")"),3.53)</f>
        <v>3.53</v>
      </c>
      <c r="R779" s="9"/>
      <c r="S779" s="9"/>
      <c r="T779" s="9"/>
      <c r="U779" s="9"/>
      <c r="V779" s="9"/>
      <c r="W779" s="9"/>
    </row>
    <row r="780" spans="1:23" ht="14.4">
      <c r="A780" s="3">
        <f>LOOKUP(D780,'AMFI DATA_2023H1'!B:C,'AMFI DATA_2023H1'!C:C)</f>
        <v>167</v>
      </c>
      <c r="B780" s="4" t="s">
        <v>609</v>
      </c>
      <c r="C780" s="4" t="s">
        <v>610</v>
      </c>
      <c r="D780" s="5" t="s">
        <v>611</v>
      </c>
      <c r="E780" s="5">
        <f>LOOKUP(D780,'AMFI DATA_2023H1'!B:D,'AMFI DATA_2023H1'!D:D)</f>
        <v>31715.4</v>
      </c>
      <c r="F780" s="7">
        <f t="shared" si="3"/>
        <v>-7.1901978218783302E-2</v>
      </c>
      <c r="G780" s="8">
        <v>29435</v>
      </c>
      <c r="H780" s="8">
        <v>29267</v>
      </c>
      <c r="I780" s="8">
        <v>28970</v>
      </c>
      <c r="J780" s="8">
        <v>28753</v>
      </c>
      <c r="K780" s="8">
        <v>28822</v>
      </c>
      <c r="L780" s="8">
        <v>28564</v>
      </c>
      <c r="M780" s="8"/>
      <c r="N780" s="8"/>
      <c r="O780" s="8"/>
      <c r="P780" s="8"/>
      <c r="Q780" s="9">
        <f ca="1">IFERROR(__xludf.DUMMYFUNCTION("GOOGLEFINANCE(C780,""changepct"")"),0.81)</f>
        <v>0.81</v>
      </c>
      <c r="R780" s="8"/>
      <c r="S780" s="8"/>
      <c r="T780" s="8"/>
      <c r="U780" s="8"/>
      <c r="V780" s="8"/>
      <c r="W780" s="8"/>
    </row>
    <row r="781" spans="1:23" ht="14.4">
      <c r="A781" s="3">
        <f>LOOKUP(D781,'AMFI DATA_2023H1'!B:C,'AMFI DATA_2023H1'!C:C)</f>
        <v>1160</v>
      </c>
      <c r="B781" s="4" t="s">
        <v>2981</v>
      </c>
      <c r="C781" s="4" t="s">
        <v>2982</v>
      </c>
      <c r="D781" s="5" t="s">
        <v>2983</v>
      </c>
      <c r="E781" s="5">
        <f>LOOKUP(D781,'AMFI DATA_2023H1'!B:D,'AMFI DATA_2023H1'!D:D)</f>
        <v>775.12</v>
      </c>
      <c r="F781" s="7">
        <f t="shared" si="3"/>
        <v>1.110640933016823</v>
      </c>
      <c r="G781" s="8">
        <v>1636</v>
      </c>
      <c r="H781" s="8">
        <v>1586</v>
      </c>
      <c r="I781" s="8">
        <v>1586</v>
      </c>
      <c r="J781" s="8">
        <v>1623</v>
      </c>
      <c r="K781" s="8">
        <v>1643</v>
      </c>
      <c r="L781" s="8">
        <v>1646</v>
      </c>
      <c r="M781" s="8"/>
      <c r="N781" s="8"/>
      <c r="O781" s="8"/>
      <c r="P781" s="8"/>
      <c r="Q781" s="9">
        <f ca="1">IFERROR(__xludf.DUMMYFUNCTION("GOOGLEFINANCE(C781,""changepct"")"),1.89)</f>
        <v>1.89</v>
      </c>
      <c r="R781" s="8"/>
      <c r="S781" s="8"/>
      <c r="T781" s="8"/>
      <c r="U781" s="8"/>
      <c r="V781" s="8"/>
      <c r="W781" s="8"/>
    </row>
    <row r="782" spans="1:23" ht="14.4">
      <c r="A782" s="3">
        <f>LOOKUP(D782,'AMFI DATA_2023H1'!B:C,'AMFI DATA_2023H1'!C:C)</f>
        <v>1428</v>
      </c>
      <c r="B782" s="4" t="s">
        <v>3905</v>
      </c>
      <c r="C782" s="4" t="s">
        <v>3906</v>
      </c>
      <c r="D782" s="5" t="s">
        <v>3907</v>
      </c>
      <c r="E782" s="5">
        <f>LOOKUP(D782,'AMFI DATA_2023H1'!B:D,'AMFI DATA_2023H1'!D:D)</f>
        <v>393.85</v>
      </c>
      <c r="F782" s="7">
        <f t="shared" si="3"/>
        <v>0.59959375396724623</v>
      </c>
      <c r="G782" s="9">
        <v>630</v>
      </c>
      <c r="H782" s="9">
        <v>614</v>
      </c>
      <c r="I782" s="9">
        <v>602</v>
      </c>
      <c r="J782" s="9">
        <v>595</v>
      </c>
      <c r="K782" s="9">
        <v>578</v>
      </c>
      <c r="L782" s="9">
        <v>573</v>
      </c>
      <c r="M782" s="9"/>
      <c r="N782" s="9"/>
      <c r="O782" s="9"/>
      <c r="P782" s="9"/>
      <c r="Q782" s="9">
        <f ca="1">IFERROR(__xludf.DUMMYFUNCTION("GOOGLEFINANCE(C782,""changepct"")"),1.17)</f>
        <v>1.17</v>
      </c>
      <c r="R782" s="9"/>
      <c r="S782" s="9"/>
      <c r="T782" s="9"/>
      <c r="U782" s="9"/>
      <c r="V782" s="9"/>
      <c r="W782" s="9"/>
    </row>
    <row r="783" spans="1:23" ht="14.4">
      <c r="A783" s="3">
        <f>LOOKUP(D783,'AMFI DATA_2023H1'!B:C,'AMFI DATA_2023H1'!C:C)</f>
        <v>2645</v>
      </c>
      <c r="B783" s="4" t="s">
        <v>5260</v>
      </c>
      <c r="C783" s="4" t="s">
        <v>5261</v>
      </c>
      <c r="D783" s="5" t="s">
        <v>5262</v>
      </c>
      <c r="E783" s="5">
        <f>LOOKUP(D783,'AMFI DATA_2023H1'!B:D,'AMFI DATA_2023H1'!D:D)</f>
        <v>49.8</v>
      </c>
      <c r="F783" s="7">
        <f t="shared" si="3"/>
        <v>0.95783132530120496</v>
      </c>
      <c r="G783" s="9">
        <v>97.5</v>
      </c>
      <c r="H783" s="9">
        <v>96.9</v>
      </c>
      <c r="I783" s="9">
        <v>102</v>
      </c>
      <c r="J783" s="9">
        <v>97.1</v>
      </c>
      <c r="K783" s="9">
        <v>90.8</v>
      </c>
      <c r="L783" s="9">
        <v>87.8</v>
      </c>
      <c r="M783" s="9"/>
      <c r="N783" s="9"/>
      <c r="O783" s="9"/>
      <c r="P783" s="9"/>
      <c r="Q783" s="9">
        <f ca="1">IFERROR(__xludf.DUMMYFUNCTION("GOOGLEFINANCE(C783,""changepct"")"),0.28)</f>
        <v>0.28000000000000003</v>
      </c>
      <c r="R783" s="9"/>
      <c r="S783" s="9"/>
      <c r="T783" s="9"/>
      <c r="U783" s="9"/>
      <c r="V783" s="9"/>
      <c r="W783" s="9"/>
    </row>
    <row r="784" spans="1:23" ht="14.4">
      <c r="A784" s="3">
        <f>LOOKUP(D784,'AMFI DATA_2023H1'!B:C,'AMFI DATA_2023H1'!C:C)</f>
        <v>120</v>
      </c>
      <c r="B784" s="4" t="s">
        <v>414</v>
      </c>
      <c r="C784" s="4" t="s">
        <v>415</v>
      </c>
      <c r="D784" s="5" t="s">
        <v>416</v>
      </c>
      <c r="E784" s="5">
        <f>LOOKUP(D784,'AMFI DATA_2023H1'!B:D,'AMFI DATA_2023H1'!D:D)</f>
        <v>42619.1</v>
      </c>
      <c r="F784" s="7">
        <f t="shared" si="3"/>
        <v>0.28299283654511709</v>
      </c>
      <c r="G784" s="8">
        <v>54680</v>
      </c>
      <c r="H784" s="8">
        <v>53683</v>
      </c>
      <c r="I784" s="8">
        <v>50395</v>
      </c>
      <c r="J784" s="8">
        <v>50234</v>
      </c>
      <c r="K784" s="8">
        <v>50018</v>
      </c>
      <c r="L784" s="8">
        <v>50072</v>
      </c>
      <c r="M784" s="8"/>
      <c r="N784" s="8"/>
      <c r="O784" s="8"/>
      <c r="P784" s="8"/>
      <c r="Q784" s="9">
        <f ca="1">IFERROR(__xludf.DUMMYFUNCTION("GOOGLEFINANCE(C784,""changepct"")"),0.02)</f>
        <v>0.02</v>
      </c>
      <c r="R784" s="8"/>
      <c r="S784" s="8"/>
      <c r="T784" s="8"/>
      <c r="U784" s="8"/>
      <c r="V784" s="8"/>
      <c r="W784" s="8"/>
    </row>
    <row r="785" spans="1:23" ht="14.4">
      <c r="A785" s="3">
        <f>LOOKUP(D785,'AMFI DATA_2023H1'!B:C,'AMFI DATA_2023H1'!C:C)</f>
        <v>58</v>
      </c>
      <c r="B785" s="4" t="s">
        <v>165</v>
      </c>
      <c r="C785" s="4" t="s">
        <v>166</v>
      </c>
      <c r="D785" s="5" t="s">
        <v>167</v>
      </c>
      <c r="E785" s="5">
        <f>LOOKUP(D785,'AMFI DATA_2023H1'!B:D,'AMFI DATA_2023H1'!D:D)</f>
        <v>90877.4</v>
      </c>
      <c r="F785" s="7">
        <f t="shared" si="3"/>
        <v>0.36642333517464198</v>
      </c>
      <c r="G785" s="8">
        <v>124177</v>
      </c>
      <c r="H785" s="8">
        <v>123936</v>
      </c>
      <c r="I785" s="8">
        <v>125230</v>
      </c>
      <c r="J785" s="8">
        <v>124196</v>
      </c>
      <c r="K785" s="8">
        <v>122174</v>
      </c>
      <c r="L785" s="8">
        <v>121509</v>
      </c>
      <c r="M785" s="8"/>
      <c r="N785" s="8"/>
      <c r="O785" s="8"/>
      <c r="P785" s="8"/>
      <c r="Q785" s="9">
        <f ca="1">IFERROR(__xludf.DUMMYFUNCTION("GOOGLEFINANCE(C785,""changepct"")"),-4.77)</f>
        <v>-4.7699999999999996</v>
      </c>
      <c r="R785" s="8"/>
      <c r="S785" s="8"/>
      <c r="T785" s="8"/>
      <c r="U785" s="8"/>
      <c r="V785" s="8"/>
      <c r="W785" s="8"/>
    </row>
    <row r="786" spans="1:23" ht="14.4">
      <c r="A786" s="3">
        <f>LOOKUP(D786,'AMFI DATA_2023H1'!B:C,'AMFI DATA_2023H1'!C:C)</f>
        <v>1764</v>
      </c>
      <c r="B786" s="4" t="s">
        <v>4415</v>
      </c>
      <c r="C786" s="4" t="s">
        <v>4416</v>
      </c>
      <c r="D786" s="5" t="s">
        <v>4417</v>
      </c>
      <c r="E786" s="5">
        <f>LOOKUP(D786,'AMFI DATA_2023H1'!B:D,'AMFI DATA_2023H1'!D:D)</f>
        <v>208.44</v>
      </c>
      <c r="F786" s="7">
        <f t="shared" si="3"/>
        <v>0.97658798695068127</v>
      </c>
      <c r="G786" s="9">
        <v>412</v>
      </c>
      <c r="H786" s="9">
        <v>419</v>
      </c>
      <c r="I786" s="9">
        <v>400</v>
      </c>
      <c r="J786" s="9">
        <v>406</v>
      </c>
      <c r="K786" s="9">
        <v>396</v>
      </c>
      <c r="L786" s="9">
        <v>405</v>
      </c>
      <c r="M786" s="9"/>
      <c r="N786" s="9"/>
      <c r="O786" s="9"/>
      <c r="P786" s="9"/>
      <c r="Q786" s="9">
        <f ca="1">IFERROR(__xludf.DUMMYFUNCTION("GOOGLEFINANCE(C786,""changepct"")"),2.69)</f>
        <v>2.69</v>
      </c>
      <c r="R786" s="9"/>
      <c r="S786" s="9"/>
      <c r="T786" s="9"/>
      <c r="U786" s="9"/>
      <c r="V786" s="9"/>
      <c r="W786" s="9"/>
    </row>
    <row r="787" spans="1:23" ht="14.4">
      <c r="A787" s="3">
        <f>LOOKUP(D787,'AMFI DATA_2023H1'!B:C,'AMFI DATA_2023H1'!C:C)</f>
        <v>566</v>
      </c>
      <c r="B787" s="4" t="s">
        <v>1842</v>
      </c>
      <c r="C787" s="4" t="s">
        <v>1843</v>
      </c>
      <c r="D787" s="5" t="s">
        <v>1844</v>
      </c>
      <c r="E787" s="5">
        <f>LOOKUP(D787,'AMFI DATA_2023H1'!B:D,'AMFI DATA_2023H1'!D:D)</f>
        <v>4091.18</v>
      </c>
      <c r="F787" s="7">
        <f t="shared" si="3"/>
        <v>0.49810079243641203</v>
      </c>
      <c r="G787" s="8">
        <v>6129</v>
      </c>
      <c r="H787" s="8">
        <v>5943</v>
      </c>
      <c r="I787" s="8">
        <v>6012</v>
      </c>
      <c r="J787" s="8">
        <v>6004</v>
      </c>
      <c r="K787" s="8">
        <v>6099</v>
      </c>
      <c r="L787" s="8">
        <v>6029</v>
      </c>
      <c r="M787" s="8"/>
      <c r="N787" s="8"/>
      <c r="O787" s="8"/>
      <c r="P787" s="8"/>
      <c r="Q787" s="9">
        <f ca="1">IFERROR(__xludf.DUMMYFUNCTION("GOOGLEFINANCE(C787,""changepct"")"),-1.13)</f>
        <v>-1.1299999999999999</v>
      </c>
      <c r="R787" s="8"/>
      <c r="S787" s="8"/>
      <c r="T787" s="8"/>
      <c r="U787" s="8"/>
      <c r="V787" s="8"/>
      <c r="W787" s="8"/>
    </row>
    <row r="788" spans="1:23" ht="14.4">
      <c r="A788" s="3">
        <f>LOOKUP(D788,'AMFI DATA_2023H1'!B:C,'AMFI DATA_2023H1'!C:C)</f>
        <v>104</v>
      </c>
      <c r="B788" s="4" t="s">
        <v>342</v>
      </c>
      <c r="C788" s="4" t="s">
        <v>343</v>
      </c>
      <c r="D788" s="5" t="s">
        <v>344</v>
      </c>
      <c r="E788" s="5">
        <f>LOOKUP(D788,'AMFI DATA_2023H1'!B:D,'AMFI DATA_2023H1'!D:D)</f>
        <v>49101.91</v>
      </c>
      <c r="F788" s="7">
        <f t="shared" si="3"/>
        <v>0.35569064421322905</v>
      </c>
      <c r="G788" s="8">
        <v>66567</v>
      </c>
      <c r="H788" s="8">
        <v>66326</v>
      </c>
      <c r="I788" s="8">
        <v>66516</v>
      </c>
      <c r="J788" s="8">
        <v>66632</v>
      </c>
      <c r="K788" s="8">
        <v>65762</v>
      </c>
      <c r="L788" s="8">
        <v>64776</v>
      </c>
      <c r="M788" s="8"/>
      <c r="N788" s="8"/>
      <c r="O788" s="8"/>
      <c r="P788" s="8"/>
      <c r="Q788" s="9">
        <f ca="1">IFERROR(__xludf.DUMMYFUNCTION("GOOGLEFINANCE(C788,""changepct"")"),-0.89)</f>
        <v>-0.89</v>
      </c>
      <c r="R788" s="8"/>
      <c r="S788" s="8"/>
      <c r="T788" s="8"/>
      <c r="U788" s="8"/>
      <c r="V788" s="8"/>
      <c r="W788" s="8"/>
    </row>
    <row r="789" spans="1:23" ht="14.4">
      <c r="A789" s="3">
        <f>LOOKUP(D789,'AMFI DATA_2023H1'!B:C,'AMFI DATA_2023H1'!C:C)</f>
        <v>996</v>
      </c>
      <c r="B789" s="4" t="s">
        <v>3278</v>
      </c>
      <c r="C789" s="4" t="s">
        <v>3279</v>
      </c>
      <c r="D789" s="5" t="s">
        <v>3280</v>
      </c>
      <c r="E789" s="5">
        <f>LOOKUP(D789,'AMFI DATA_2023H1'!B:D,'AMFI DATA_2023H1'!D:D)</f>
        <v>1185.8699999999999</v>
      </c>
      <c r="F789" s="7">
        <f t="shared" si="3"/>
        <v>-6.1448556755799411E-2</v>
      </c>
      <c r="G789" s="8">
        <v>1113</v>
      </c>
      <c r="H789" s="8">
        <v>1067</v>
      </c>
      <c r="I789" s="8">
        <v>1072</v>
      </c>
      <c r="J789" s="8">
        <v>1093</v>
      </c>
      <c r="K789" s="8">
        <v>1106</v>
      </c>
      <c r="L789" s="8">
        <v>1118</v>
      </c>
      <c r="M789" s="8"/>
      <c r="N789" s="8"/>
      <c r="O789" s="8"/>
      <c r="P789" s="8"/>
      <c r="Q789" s="9">
        <f ca="1">IFERROR(__xludf.DUMMYFUNCTION("GOOGLEFINANCE(C789,""changepct"")"),-1.37)</f>
        <v>-1.37</v>
      </c>
      <c r="R789" s="8"/>
      <c r="S789" s="8"/>
      <c r="T789" s="8"/>
      <c r="U789" s="8"/>
      <c r="V789" s="8"/>
      <c r="W789" s="8"/>
    </row>
    <row r="790" spans="1:23" ht="14.4">
      <c r="A790" s="3">
        <f>LOOKUP(D790,'AMFI DATA_2023H1'!B:C,'AMFI DATA_2023H1'!C:C)</f>
        <v>3150</v>
      </c>
      <c r="B790" s="4" t="s">
        <v>5632</v>
      </c>
      <c r="C790" s="4" t="s">
        <v>5633</v>
      </c>
      <c r="D790" s="5" t="s">
        <v>5634</v>
      </c>
      <c r="E790" s="5">
        <f>LOOKUP(D790,'AMFI DATA_2023H1'!B:D,'AMFI DATA_2023H1'!D:D)</f>
        <v>24.31</v>
      </c>
      <c r="F790" s="7">
        <f t="shared" si="3"/>
        <v>0.27930892636774995</v>
      </c>
      <c r="G790" s="9">
        <v>31.1</v>
      </c>
      <c r="H790" s="9">
        <v>30.1</v>
      </c>
      <c r="I790" s="9">
        <v>31.4</v>
      </c>
      <c r="J790" s="9">
        <v>30.9</v>
      </c>
      <c r="K790" s="9">
        <v>27.5</v>
      </c>
      <c r="L790" s="9">
        <v>28.9</v>
      </c>
      <c r="M790" s="9"/>
      <c r="N790" s="9"/>
      <c r="O790" s="9"/>
      <c r="P790" s="9"/>
      <c r="Q790" s="9">
        <f ca="1">IFERROR(__xludf.DUMMYFUNCTION("GOOGLEFINANCE(C790,""changepct"")"),6.06)</f>
        <v>6.06</v>
      </c>
      <c r="R790" s="9"/>
      <c r="S790" s="9"/>
      <c r="T790" s="9"/>
      <c r="U790" s="9"/>
      <c r="V790" s="9"/>
      <c r="W790" s="9"/>
    </row>
    <row r="791" spans="1:23" ht="14.4">
      <c r="A791" s="3">
        <f>LOOKUP(D791,'AMFI DATA_2023H1'!B:C,'AMFI DATA_2023H1'!C:C)</f>
        <v>6</v>
      </c>
      <c r="B791" s="4" t="s">
        <v>22</v>
      </c>
      <c r="C791" s="4" t="s">
        <v>23</v>
      </c>
      <c r="D791" s="5" t="s">
        <v>24</v>
      </c>
      <c r="E791" s="5">
        <f>LOOKUP(D791,'AMFI DATA_2023H1'!B:D,'AMFI DATA_2023H1'!D:D)</f>
        <v>585251.79</v>
      </c>
      <c r="F791" s="7">
        <f t="shared" si="3"/>
        <v>0.10010428161185114</v>
      </c>
      <c r="G791" s="8">
        <v>643838</v>
      </c>
      <c r="H791" s="8">
        <v>640352</v>
      </c>
      <c r="I791" s="8">
        <v>648715</v>
      </c>
      <c r="J791" s="8">
        <v>650168</v>
      </c>
      <c r="K791" s="8">
        <v>641176</v>
      </c>
      <c r="L791" s="8">
        <v>648672</v>
      </c>
      <c r="M791" s="8"/>
      <c r="N791" s="8"/>
      <c r="O791" s="8"/>
      <c r="P791" s="8"/>
      <c r="Q791" s="9">
        <f ca="1">IFERROR(__xludf.DUMMYFUNCTION("GOOGLEFINANCE(C791,""changepct"")"),0.42)</f>
        <v>0.42</v>
      </c>
      <c r="R791" s="8"/>
      <c r="S791" s="8"/>
      <c r="T791" s="8"/>
      <c r="U791" s="8"/>
      <c r="V791" s="8"/>
      <c r="W791" s="8"/>
    </row>
    <row r="792" spans="1:23" ht="14.4">
      <c r="A792" s="3">
        <f>LOOKUP(D792,'AMFI DATA_2023H1'!B:C,'AMFI DATA_2023H1'!C:C)</f>
        <v>399</v>
      </c>
      <c r="B792" s="4" t="s">
        <v>1287</v>
      </c>
      <c r="C792" s="4" t="s">
        <v>1288</v>
      </c>
      <c r="D792" s="5" t="s">
        <v>1289</v>
      </c>
      <c r="E792" s="5">
        <f>LOOKUP(D792,'AMFI DATA_2023H1'!B:D,'AMFI DATA_2023H1'!D:D)</f>
        <v>7678.63</v>
      </c>
      <c r="F792" s="7">
        <f t="shared" si="3"/>
        <v>0.26832520905421919</v>
      </c>
      <c r="G792" s="8">
        <v>9739</v>
      </c>
      <c r="H792" s="8">
        <v>9844</v>
      </c>
      <c r="I792" s="8">
        <v>9813</v>
      </c>
      <c r="J792" s="8">
        <v>9844</v>
      </c>
      <c r="K792" s="8">
        <v>9773</v>
      </c>
      <c r="L792" s="8">
        <v>9760</v>
      </c>
      <c r="M792" s="8"/>
      <c r="N792" s="8"/>
      <c r="O792" s="8"/>
      <c r="P792" s="8"/>
      <c r="Q792" s="9">
        <f ca="1">IFERROR(__xludf.DUMMYFUNCTION("GOOGLEFINANCE(C792,""changepct"")"),-0.53)</f>
        <v>-0.53</v>
      </c>
      <c r="R792" s="8"/>
      <c r="S792" s="8"/>
      <c r="T792" s="8"/>
      <c r="U792" s="8"/>
      <c r="V792" s="8"/>
      <c r="W792" s="8"/>
    </row>
    <row r="793" spans="1:23" ht="14.4">
      <c r="A793" s="3">
        <f>LOOKUP(D793,'AMFI DATA_2023H1'!B:C,'AMFI DATA_2023H1'!C:C)</f>
        <v>937</v>
      </c>
      <c r="B793" s="4" t="s">
        <v>2672</v>
      </c>
      <c r="C793" s="4" t="s">
        <v>2673</v>
      </c>
      <c r="D793" s="5" t="s">
        <v>2674</v>
      </c>
      <c r="E793" s="5">
        <f>LOOKUP(D793,'AMFI DATA_2023H1'!B:D,'AMFI DATA_2023H1'!D:D)</f>
        <v>1356.87</v>
      </c>
      <c r="F793" s="7">
        <f t="shared" si="3"/>
        <v>1.439437823815104</v>
      </c>
      <c r="G793" s="8">
        <v>3310</v>
      </c>
      <c r="H793" s="8">
        <v>3067</v>
      </c>
      <c r="I793" s="8">
        <v>2970</v>
      </c>
      <c r="J793" s="8">
        <v>3004</v>
      </c>
      <c r="K793" s="8">
        <v>3088</v>
      </c>
      <c r="L793" s="8">
        <v>3064</v>
      </c>
      <c r="M793" s="8"/>
      <c r="N793" s="8"/>
      <c r="O793" s="8"/>
      <c r="P793" s="8"/>
      <c r="Q793" s="9" t="str">
        <f ca="1">IFERROR(__xludf.DUMMYFUNCTION("GOOGLEFINANCE(C793,""changepct"")"),"#N/A")</f>
        <v>#N/A</v>
      </c>
      <c r="R793" s="8"/>
      <c r="S793" s="8"/>
      <c r="T793" s="8"/>
      <c r="U793" s="8"/>
      <c r="V793" s="8"/>
      <c r="W793" s="8"/>
    </row>
    <row r="794" spans="1:23" ht="14.4">
      <c r="A794" s="3">
        <f>LOOKUP(D794,'AMFI DATA_2023H1'!B:C,'AMFI DATA_2023H1'!C:C)</f>
        <v>934</v>
      </c>
      <c r="B794" s="4" t="s">
        <v>2129</v>
      </c>
      <c r="C794" s="4" t="s">
        <v>2130</v>
      </c>
      <c r="D794" s="5" t="s">
        <v>2131</v>
      </c>
      <c r="E794" s="5">
        <f>LOOKUP(D794,'AMFI DATA_2023H1'!B:D,'AMFI DATA_2023H1'!D:D)</f>
        <v>1366.41</v>
      </c>
      <c r="F794" s="7">
        <f t="shared" si="3"/>
        <v>3.998499718239767</v>
      </c>
      <c r="G794" s="8">
        <v>6830</v>
      </c>
      <c r="H794" s="8">
        <v>6505</v>
      </c>
      <c r="I794" s="8">
        <v>6204</v>
      </c>
      <c r="J794" s="8">
        <v>6096</v>
      </c>
      <c r="K794" s="8">
        <v>6245</v>
      </c>
      <c r="L794" s="8">
        <v>6167</v>
      </c>
      <c r="M794" s="8"/>
      <c r="N794" s="8"/>
      <c r="O794" s="8"/>
      <c r="P794" s="8"/>
      <c r="Q794" s="9">
        <f ca="1">IFERROR(__xludf.DUMMYFUNCTION("GOOGLEFINANCE(C794,""changepct"")"),0.6)</f>
        <v>0.6</v>
      </c>
      <c r="R794" s="8"/>
      <c r="S794" s="8"/>
      <c r="T794" s="8"/>
      <c r="U794" s="8"/>
      <c r="V794" s="8"/>
      <c r="W794" s="8"/>
    </row>
    <row r="795" spans="1:23" ht="14.4">
      <c r="A795" s="3">
        <f>LOOKUP(D795,'AMFI DATA_2023H1'!B:C,'AMFI DATA_2023H1'!C:C)</f>
        <v>630</v>
      </c>
      <c r="B795" s="4" t="s">
        <v>1416</v>
      </c>
      <c r="C795" s="4" t="s">
        <v>1417</v>
      </c>
      <c r="D795" s="5" t="s">
        <v>1418</v>
      </c>
      <c r="E795" s="5">
        <f>LOOKUP(D795,'AMFI DATA_2023H1'!B:D,'AMFI DATA_2023H1'!D:D)</f>
        <v>3288.3</v>
      </c>
      <c r="F795" s="7">
        <f t="shared" si="3"/>
        <v>4.1896116534379466</v>
      </c>
      <c r="G795" s="8">
        <v>17065</v>
      </c>
      <c r="H795" s="8">
        <v>16167</v>
      </c>
      <c r="I795" s="8">
        <v>15833</v>
      </c>
      <c r="J795" s="8">
        <v>15419</v>
      </c>
      <c r="K795" s="8">
        <v>15213</v>
      </c>
      <c r="L795" s="8">
        <v>14774</v>
      </c>
      <c r="M795" s="8"/>
      <c r="N795" s="8"/>
      <c r="O795" s="8"/>
      <c r="P795" s="8"/>
      <c r="Q795" s="9">
        <f ca="1">IFERROR(__xludf.DUMMYFUNCTION("GOOGLEFINANCE(C795,""changepct"")"),-2.2)</f>
        <v>-2.2000000000000002</v>
      </c>
      <c r="R795" s="8"/>
      <c r="S795" s="8"/>
      <c r="T795" s="8"/>
      <c r="U795" s="8"/>
      <c r="V795" s="8"/>
      <c r="W795" s="8"/>
    </row>
    <row r="796" spans="1:23" ht="14.4">
      <c r="A796" s="3">
        <f>LOOKUP(D796,'AMFI DATA_2023H1'!B:C,'AMFI DATA_2023H1'!C:C)</f>
        <v>889</v>
      </c>
      <c r="B796" s="4" t="s">
        <v>2963</v>
      </c>
      <c r="C796" s="4" t="s">
        <v>2964</v>
      </c>
      <c r="D796" s="5" t="s">
        <v>2965</v>
      </c>
      <c r="E796" s="5">
        <f>LOOKUP(D796,'AMFI DATA_2023H1'!B:D,'AMFI DATA_2023H1'!D:D)</f>
        <v>1521.29</v>
      </c>
      <c r="F796" s="7">
        <f t="shared" si="3"/>
        <v>0.31467373084684702</v>
      </c>
      <c r="G796" s="8">
        <v>2000</v>
      </c>
      <c r="H796" s="8">
        <v>2006</v>
      </c>
      <c r="I796" s="8">
        <v>2069</v>
      </c>
      <c r="J796" s="8">
        <v>2029</v>
      </c>
      <c r="K796" s="8">
        <v>2071</v>
      </c>
      <c r="L796" s="8">
        <v>2048</v>
      </c>
      <c r="M796" s="8"/>
      <c r="N796" s="8"/>
      <c r="O796" s="8"/>
      <c r="P796" s="8"/>
      <c r="Q796" s="9">
        <f ca="1">IFERROR(__xludf.DUMMYFUNCTION("GOOGLEFINANCE(C796,""changepct"")"),-0.05)</f>
        <v>-0.05</v>
      </c>
      <c r="R796" s="8"/>
      <c r="S796" s="8"/>
      <c r="T796" s="8"/>
      <c r="U796" s="8"/>
      <c r="V796" s="8"/>
      <c r="W796" s="8"/>
    </row>
    <row r="797" spans="1:23" ht="14.4">
      <c r="A797" s="3">
        <f>LOOKUP(D797,'AMFI DATA_2023H1'!B:C,'AMFI DATA_2023H1'!C:C)</f>
        <v>1733</v>
      </c>
      <c r="B797" s="4" t="s">
        <v>4421</v>
      </c>
      <c r="C797" s="4" t="s">
        <v>4422</v>
      </c>
      <c r="D797" s="5" t="s">
        <v>4423</v>
      </c>
      <c r="E797" s="5">
        <f>LOOKUP(D797,'AMFI DATA_2023H1'!B:D,'AMFI DATA_2023H1'!D:D)</f>
        <v>224.23</v>
      </c>
      <c r="F797" s="7">
        <f t="shared" si="3"/>
        <v>0.65009142398430186</v>
      </c>
      <c r="G797" s="9">
        <v>370</v>
      </c>
      <c r="H797" s="9">
        <v>353</v>
      </c>
      <c r="I797" s="9">
        <v>346</v>
      </c>
      <c r="J797" s="9">
        <v>357</v>
      </c>
      <c r="K797" s="9">
        <v>342</v>
      </c>
      <c r="L797" s="9">
        <v>355</v>
      </c>
      <c r="M797" s="9"/>
      <c r="N797" s="9"/>
      <c r="O797" s="9"/>
      <c r="P797" s="9"/>
      <c r="Q797" s="9">
        <f ca="1">IFERROR(__xludf.DUMMYFUNCTION("GOOGLEFINANCE(C797,""changepct"")"),0.47)</f>
        <v>0.47</v>
      </c>
      <c r="R797" s="9"/>
      <c r="S797" s="9"/>
      <c r="T797" s="9"/>
      <c r="U797" s="9"/>
      <c r="V797" s="9"/>
      <c r="W797" s="9"/>
    </row>
    <row r="798" spans="1:23" ht="14.4">
      <c r="A798" s="3">
        <f>LOOKUP(D798,'AMFI DATA_2023H1'!B:C,'AMFI DATA_2023H1'!C:C)</f>
        <v>1543</v>
      </c>
      <c r="B798" s="4" t="s">
        <v>4442</v>
      </c>
      <c r="C798" s="4" t="s">
        <v>4443</v>
      </c>
      <c r="D798" s="5" t="s">
        <v>4444</v>
      </c>
      <c r="E798" s="5">
        <f>LOOKUP(D798,'AMFI DATA_2023H1'!B:D,'AMFI DATA_2023H1'!D:D)</f>
        <v>319.66000000000003</v>
      </c>
      <c r="F798" s="7">
        <f t="shared" si="3"/>
        <v>5.7373459300506635E-2</v>
      </c>
      <c r="G798" s="9">
        <v>338</v>
      </c>
      <c r="H798" s="9">
        <v>320</v>
      </c>
      <c r="I798" s="9">
        <v>322</v>
      </c>
      <c r="J798" s="9">
        <v>317</v>
      </c>
      <c r="K798" s="9">
        <v>293</v>
      </c>
      <c r="L798" s="9">
        <v>288</v>
      </c>
      <c r="M798" s="9"/>
      <c r="N798" s="9"/>
      <c r="O798" s="9"/>
      <c r="P798" s="9"/>
      <c r="Q798" s="9">
        <f ca="1">IFERROR(__xludf.DUMMYFUNCTION("GOOGLEFINANCE(C798,""changepct"")"),-3.97)</f>
        <v>-3.97</v>
      </c>
      <c r="R798" s="9"/>
      <c r="S798" s="9"/>
      <c r="T798" s="9"/>
      <c r="U798" s="9"/>
      <c r="V798" s="9"/>
      <c r="W798" s="9"/>
    </row>
    <row r="799" spans="1:23" ht="14.4">
      <c r="A799" s="3">
        <f>LOOKUP(D799,'AMFI DATA_2023H1'!B:C,'AMFI DATA_2023H1'!C:C)</f>
        <v>441</v>
      </c>
      <c r="B799" s="4" t="s">
        <v>1281</v>
      </c>
      <c r="C799" s="4" t="s">
        <v>1282</v>
      </c>
      <c r="D799" s="5" t="s">
        <v>1283</v>
      </c>
      <c r="E799" s="5">
        <f>LOOKUP(D799,'AMFI DATA_2023H1'!B:D,'AMFI DATA_2023H1'!D:D)</f>
        <v>6487.23</v>
      </c>
      <c r="F799" s="7">
        <f t="shared" si="3"/>
        <v>0.74296271289903415</v>
      </c>
      <c r="G799" s="8">
        <v>11307</v>
      </c>
      <c r="H799" s="8">
        <v>11431</v>
      </c>
      <c r="I799" s="8">
        <v>11448</v>
      </c>
      <c r="J799" s="8">
        <v>11405</v>
      </c>
      <c r="K799" s="8">
        <v>11257</v>
      </c>
      <c r="L799" s="8">
        <v>11089</v>
      </c>
      <c r="M799" s="8"/>
      <c r="N799" s="8"/>
      <c r="O799" s="8"/>
      <c r="P799" s="8"/>
      <c r="Q799" s="9">
        <f ca="1">IFERROR(__xludf.DUMMYFUNCTION("GOOGLEFINANCE(C799,""changepct"")"),8.38)</f>
        <v>8.3800000000000008</v>
      </c>
      <c r="R799" s="8"/>
      <c r="S799" s="8"/>
      <c r="T799" s="8"/>
      <c r="U799" s="8"/>
      <c r="V799" s="8"/>
      <c r="W799" s="8"/>
    </row>
    <row r="800" spans="1:23" ht="14.4">
      <c r="A800" s="3">
        <f>LOOKUP(D800,'AMFI DATA_2023H1'!B:C,'AMFI DATA_2023H1'!C:C)</f>
        <v>1976</v>
      </c>
      <c r="B800" s="4" t="s">
        <v>4649</v>
      </c>
      <c r="C800" s="4" t="s">
        <v>4650</v>
      </c>
      <c r="D800" s="5" t="s">
        <v>4651</v>
      </c>
      <c r="E800" s="5">
        <f>LOOKUP(D800,'AMFI DATA_2023H1'!B:D,'AMFI DATA_2023H1'!D:D)</f>
        <v>148.79</v>
      </c>
      <c r="F800" s="7">
        <f t="shared" si="3"/>
        <v>0.59284898178641043</v>
      </c>
      <c r="G800" s="9">
        <v>237</v>
      </c>
      <c r="H800" s="9">
        <v>239</v>
      </c>
      <c r="I800" s="9">
        <v>237</v>
      </c>
      <c r="J800" s="9">
        <v>242</v>
      </c>
      <c r="K800" s="9">
        <v>244</v>
      </c>
      <c r="L800" s="9">
        <v>242</v>
      </c>
      <c r="M800" s="9"/>
      <c r="N800" s="9"/>
      <c r="O800" s="9"/>
      <c r="P800" s="9"/>
      <c r="Q800" s="9">
        <f ca="1">IFERROR(__xludf.DUMMYFUNCTION("GOOGLEFINANCE(C800,""changepct"")"),-3.84)</f>
        <v>-3.84</v>
      </c>
      <c r="R800" s="9"/>
      <c r="S800" s="9"/>
      <c r="T800" s="9"/>
      <c r="U800" s="9"/>
      <c r="V800" s="9"/>
      <c r="W800" s="9"/>
    </row>
    <row r="801" spans="1:23" ht="14.4">
      <c r="A801" s="3">
        <f>LOOKUP(D801,'AMFI DATA_2023H1'!B:C,'AMFI DATA_2023H1'!C:C)</f>
        <v>64</v>
      </c>
      <c r="B801" s="4" t="s">
        <v>180</v>
      </c>
      <c r="C801" s="4" t="s">
        <v>181</v>
      </c>
      <c r="D801" s="5" t="s">
        <v>182</v>
      </c>
      <c r="E801" s="5">
        <f>LOOKUP(D801,'AMFI DATA_2023H1'!B:D,'AMFI DATA_2023H1'!D:D)</f>
        <v>80990.679999999993</v>
      </c>
      <c r="F801" s="7">
        <f t="shared" si="3"/>
        <v>0.41799031691053856</v>
      </c>
      <c r="G801" s="8">
        <v>114844</v>
      </c>
      <c r="H801" s="8">
        <v>114058</v>
      </c>
      <c r="I801" s="8">
        <v>113095</v>
      </c>
      <c r="J801" s="8">
        <v>113314</v>
      </c>
      <c r="K801" s="8">
        <v>112790</v>
      </c>
      <c r="L801" s="8">
        <v>110820</v>
      </c>
      <c r="M801" s="8"/>
      <c r="N801" s="8"/>
      <c r="O801" s="8"/>
      <c r="P801" s="8"/>
      <c r="Q801" s="9">
        <f ca="1">IFERROR(__xludf.DUMMYFUNCTION("GOOGLEFINANCE(C801,""changepct"")"),-0.36)</f>
        <v>-0.36</v>
      </c>
      <c r="R801" s="8"/>
      <c r="S801" s="8"/>
      <c r="T801" s="8"/>
      <c r="U801" s="8"/>
      <c r="V801" s="8"/>
      <c r="W801" s="8"/>
    </row>
    <row r="802" spans="1:23" ht="14.4">
      <c r="A802" s="3">
        <f>LOOKUP(D802,'AMFI DATA_2023H1'!B:C,'AMFI DATA_2023H1'!C:C)</f>
        <v>1446</v>
      </c>
      <c r="B802" s="4" t="s">
        <v>3911</v>
      </c>
      <c r="C802" s="4" t="s">
        <v>3912</v>
      </c>
      <c r="D802" s="5" t="s">
        <v>3913</v>
      </c>
      <c r="E802" s="5">
        <f>LOOKUP(D802,'AMFI DATA_2023H1'!B:D,'AMFI DATA_2023H1'!D:D)</f>
        <v>382.02</v>
      </c>
      <c r="F802" s="7">
        <f t="shared" si="3"/>
        <v>0.52609811004659446</v>
      </c>
      <c r="G802" s="9">
        <v>583</v>
      </c>
      <c r="H802" s="9">
        <v>577</v>
      </c>
      <c r="I802" s="9">
        <v>582</v>
      </c>
      <c r="J802" s="9">
        <v>588</v>
      </c>
      <c r="K802" s="9">
        <v>598</v>
      </c>
      <c r="L802" s="9">
        <v>601</v>
      </c>
      <c r="M802" s="9"/>
      <c r="N802" s="9"/>
      <c r="O802" s="9"/>
      <c r="P802" s="9"/>
      <c r="Q802" s="9">
        <f ca="1">IFERROR(__xludf.DUMMYFUNCTION("GOOGLEFINANCE(C802,""changepct"")"),-1.16)</f>
        <v>-1.1599999999999999</v>
      </c>
      <c r="R802" s="9"/>
      <c r="S802" s="9"/>
      <c r="T802" s="9"/>
      <c r="U802" s="9"/>
      <c r="V802" s="9"/>
      <c r="W802" s="9"/>
    </row>
    <row r="803" spans="1:23" ht="14.4">
      <c r="A803" s="3">
        <f>LOOKUP(D803,'AMFI DATA_2023H1'!B:C,'AMFI DATA_2023H1'!C:C)</f>
        <v>1801</v>
      </c>
      <c r="B803" s="4" t="s">
        <v>4718</v>
      </c>
      <c r="C803" s="4" t="s">
        <v>4719</v>
      </c>
      <c r="D803" s="5" t="s">
        <v>4720</v>
      </c>
      <c r="E803" s="5">
        <f>LOOKUP(D803,'AMFI DATA_2023H1'!B:D,'AMFI DATA_2023H1'!D:D)</f>
        <v>195.89</v>
      </c>
      <c r="F803" s="7">
        <f t="shared" si="3"/>
        <v>-8.1116953392209812E-2</v>
      </c>
      <c r="G803" s="9">
        <v>180</v>
      </c>
      <c r="H803" s="9">
        <v>179</v>
      </c>
      <c r="I803" s="9">
        <v>175</v>
      </c>
      <c r="J803" s="9">
        <v>180</v>
      </c>
      <c r="K803" s="9">
        <v>175</v>
      </c>
      <c r="L803" s="9">
        <v>180</v>
      </c>
      <c r="M803" s="9"/>
      <c r="N803" s="9"/>
      <c r="O803" s="9"/>
      <c r="P803" s="9"/>
      <c r="Q803" s="9">
        <f ca="1">IFERROR(__xludf.DUMMYFUNCTION("GOOGLEFINANCE(C803,""changepct"")"),12.88)</f>
        <v>12.88</v>
      </c>
      <c r="R803" s="9"/>
      <c r="S803" s="9"/>
      <c r="T803" s="9"/>
      <c r="U803" s="9"/>
      <c r="V803" s="9"/>
      <c r="W803" s="9"/>
    </row>
    <row r="804" spans="1:23" ht="14.4">
      <c r="A804" s="3">
        <f>LOOKUP(D804,'AMFI DATA_2023H1'!B:C,'AMFI DATA_2023H1'!C:C)</f>
        <v>1868</v>
      </c>
      <c r="B804" s="4" t="s">
        <v>4757</v>
      </c>
      <c r="C804" s="4" t="s">
        <v>4758</v>
      </c>
      <c r="D804" s="5" t="s">
        <v>4759</v>
      </c>
      <c r="E804" s="5">
        <f>LOOKUP(D804,'AMFI DATA_2023H1'!B:D,'AMFI DATA_2023H1'!D:D)</f>
        <v>174.24</v>
      </c>
      <c r="F804" s="7">
        <f t="shared" si="3"/>
        <v>0.27410468319559222</v>
      </c>
      <c r="G804" s="9">
        <v>222</v>
      </c>
      <c r="H804" s="9">
        <v>218</v>
      </c>
      <c r="I804" s="9">
        <v>219</v>
      </c>
      <c r="J804" s="9">
        <v>222</v>
      </c>
      <c r="K804" s="9">
        <v>226</v>
      </c>
      <c r="L804" s="9">
        <v>223</v>
      </c>
      <c r="M804" s="9"/>
      <c r="N804" s="9"/>
      <c r="O804" s="9"/>
      <c r="P804" s="9"/>
      <c r="Q804" s="9">
        <f ca="1">IFERROR(__xludf.DUMMYFUNCTION("GOOGLEFINANCE(C804,""changepct"")"),-3.28)</f>
        <v>-3.28</v>
      </c>
      <c r="R804" s="9"/>
      <c r="S804" s="9"/>
      <c r="T804" s="9"/>
      <c r="U804" s="9"/>
      <c r="V804" s="9"/>
      <c r="W804" s="9"/>
    </row>
    <row r="805" spans="1:23" ht="14.4">
      <c r="A805" s="3">
        <f>LOOKUP(D805,'AMFI DATA_2023H1'!B:C,'AMFI DATA_2023H1'!C:C)</f>
        <v>756</v>
      </c>
      <c r="B805" s="4" t="s">
        <v>2462</v>
      </c>
      <c r="C805" s="4" t="s">
        <v>2463</v>
      </c>
      <c r="D805" s="5" t="s">
        <v>2464</v>
      </c>
      <c r="E805" s="5">
        <f>LOOKUP(D805,'AMFI DATA_2023H1'!B:D,'AMFI DATA_2023H1'!D:D)</f>
        <v>2140.9299999999998</v>
      </c>
      <c r="F805" s="7">
        <f t="shared" si="3"/>
        <v>0.29990237887273308</v>
      </c>
      <c r="G805" s="8">
        <v>2783</v>
      </c>
      <c r="H805" s="8">
        <v>2722</v>
      </c>
      <c r="I805" s="8">
        <v>2730</v>
      </c>
      <c r="J805" s="8">
        <v>2765</v>
      </c>
      <c r="K805" s="8">
        <v>2804</v>
      </c>
      <c r="L805" s="8">
        <v>2751</v>
      </c>
      <c r="M805" s="8"/>
      <c r="N805" s="8"/>
      <c r="O805" s="8"/>
      <c r="P805" s="8"/>
      <c r="Q805" s="9">
        <f ca="1">IFERROR(__xludf.DUMMYFUNCTION("GOOGLEFINANCE(C805,""changepct"")"),0.31)</f>
        <v>0.31</v>
      </c>
      <c r="R805" s="8"/>
      <c r="S805" s="8"/>
      <c r="T805" s="8"/>
      <c r="U805" s="8"/>
      <c r="V805" s="8"/>
      <c r="W805" s="8"/>
    </row>
    <row r="806" spans="1:23" ht="14.4">
      <c r="A806" s="3">
        <f>LOOKUP(D806,'AMFI DATA_2023H1'!B:C,'AMFI DATA_2023H1'!C:C)</f>
        <v>517</v>
      </c>
      <c r="B806" s="4" t="s">
        <v>1410</v>
      </c>
      <c r="C806" s="4" t="s">
        <v>1411</v>
      </c>
      <c r="D806" s="5" t="s">
        <v>1412</v>
      </c>
      <c r="E806" s="5">
        <f>LOOKUP(D806,'AMFI DATA_2023H1'!B:D,'AMFI DATA_2023H1'!D:D)</f>
        <v>4980</v>
      </c>
      <c r="F806" s="7">
        <f t="shared" si="3"/>
        <v>0.65502008032128511</v>
      </c>
      <c r="G806" s="8">
        <v>8242</v>
      </c>
      <c r="H806" s="8">
        <v>8242</v>
      </c>
      <c r="I806" s="8">
        <v>8081</v>
      </c>
      <c r="J806" s="8">
        <v>8433</v>
      </c>
      <c r="K806" s="8">
        <v>8506</v>
      </c>
      <c r="L806" s="8">
        <v>8829</v>
      </c>
      <c r="M806" s="8"/>
      <c r="N806" s="8"/>
      <c r="O806" s="8"/>
      <c r="P806" s="8"/>
      <c r="Q806" s="9">
        <f ca="1">IFERROR(__xludf.DUMMYFUNCTION("GOOGLEFINANCE(C806,""changepct"")"),-2.36)</f>
        <v>-2.36</v>
      </c>
      <c r="R806" s="8"/>
      <c r="S806" s="8"/>
      <c r="T806" s="8"/>
      <c r="U806" s="8"/>
      <c r="V806" s="8"/>
      <c r="W806" s="8"/>
    </row>
    <row r="807" spans="1:23" ht="14.4">
      <c r="A807" s="3">
        <f>LOOKUP(D807,'AMFI DATA_2023H1'!B:C,'AMFI DATA_2023H1'!C:C)</f>
        <v>221</v>
      </c>
      <c r="B807" s="4" t="s">
        <v>708</v>
      </c>
      <c r="C807" s="4" t="s">
        <v>709</v>
      </c>
      <c r="D807" s="5" t="s">
        <v>710</v>
      </c>
      <c r="E807" s="5">
        <f>LOOKUP(D807,'AMFI DATA_2023H1'!B:D,'AMFI DATA_2023H1'!D:D)</f>
        <v>19906.990000000002</v>
      </c>
      <c r="F807" s="7">
        <f t="shared" si="3"/>
        <v>0.41744181315206363</v>
      </c>
      <c r="G807" s="8">
        <v>28217</v>
      </c>
      <c r="H807" s="8">
        <v>28161</v>
      </c>
      <c r="I807" s="8">
        <v>28415</v>
      </c>
      <c r="J807" s="8">
        <v>26942</v>
      </c>
      <c r="K807" s="8">
        <v>26918</v>
      </c>
      <c r="L807" s="8">
        <v>26960</v>
      </c>
      <c r="M807" s="8"/>
      <c r="N807" s="8"/>
      <c r="O807" s="8"/>
      <c r="P807" s="8"/>
      <c r="Q807" s="9">
        <f ca="1">IFERROR(__xludf.DUMMYFUNCTION("GOOGLEFINANCE(C807,""changepct"")"),-0.87)</f>
        <v>-0.87</v>
      </c>
      <c r="R807" s="8"/>
      <c r="S807" s="8"/>
      <c r="T807" s="8"/>
      <c r="U807" s="8"/>
      <c r="V807" s="8"/>
      <c r="W807" s="8"/>
    </row>
    <row r="808" spans="1:23" ht="14.4">
      <c r="A808" s="3">
        <f>LOOKUP(D808,'AMFI DATA_2023H1'!B:C,'AMFI DATA_2023H1'!C:C)</f>
        <v>252</v>
      </c>
      <c r="B808" s="4" t="s">
        <v>828</v>
      </c>
      <c r="C808" s="4" t="s">
        <v>829</v>
      </c>
      <c r="D808" s="5" t="s">
        <v>830</v>
      </c>
      <c r="E808" s="5">
        <f>LOOKUP(D808,'AMFI DATA_2023H1'!B:D,'AMFI DATA_2023H1'!D:D)</f>
        <v>16921.72</v>
      </c>
      <c r="F808" s="7">
        <f t="shared" si="3"/>
        <v>0.49352429894833372</v>
      </c>
      <c r="G808" s="8">
        <v>25273</v>
      </c>
      <c r="H808" s="8">
        <v>25074</v>
      </c>
      <c r="I808" s="8">
        <v>25001</v>
      </c>
      <c r="J808" s="8">
        <v>25219</v>
      </c>
      <c r="K808" s="8">
        <v>25267</v>
      </c>
      <c r="L808" s="8">
        <v>25152</v>
      </c>
      <c r="M808" s="8"/>
      <c r="N808" s="8"/>
      <c r="O808" s="8"/>
      <c r="P808" s="8"/>
      <c r="Q808" s="9">
        <f ca="1">IFERROR(__xludf.DUMMYFUNCTION("GOOGLEFINANCE(C808,""changepct"")"),5.33)</f>
        <v>5.33</v>
      </c>
      <c r="R808" s="8"/>
      <c r="S808" s="8"/>
      <c r="T808" s="8"/>
      <c r="U808" s="8"/>
      <c r="V808" s="8"/>
      <c r="W808" s="8"/>
    </row>
    <row r="809" spans="1:23" ht="14.4">
      <c r="A809" s="3">
        <f>LOOKUP(D809,'AMFI DATA_2023H1'!B:C,'AMFI DATA_2023H1'!C:C)</f>
        <v>452</v>
      </c>
      <c r="B809" s="4" t="s">
        <v>1053</v>
      </c>
      <c r="C809" s="4" t="s">
        <v>1054</v>
      </c>
      <c r="D809" s="5" t="s">
        <v>1055</v>
      </c>
      <c r="E809" s="5">
        <f>LOOKUP(D809,'AMFI DATA_2023H1'!B:D,'AMFI DATA_2023H1'!D:D)</f>
        <v>6238.77</v>
      </c>
      <c r="F809" s="7">
        <f t="shared" si="3"/>
        <v>1.6269601219471146</v>
      </c>
      <c r="G809" s="8">
        <v>16389</v>
      </c>
      <c r="H809" s="8">
        <v>16111</v>
      </c>
      <c r="I809" s="8">
        <v>15909</v>
      </c>
      <c r="J809" s="8">
        <v>15899</v>
      </c>
      <c r="K809" s="8">
        <v>16106</v>
      </c>
      <c r="L809" s="8">
        <v>15669</v>
      </c>
      <c r="M809" s="8"/>
      <c r="N809" s="8"/>
      <c r="O809" s="8"/>
      <c r="P809" s="8"/>
      <c r="Q809" s="9">
        <f ca="1">IFERROR(__xludf.DUMMYFUNCTION("GOOGLEFINANCE(C809,""changepct"")"),29.87)</f>
        <v>29.87</v>
      </c>
      <c r="R809" s="8"/>
      <c r="S809" s="8"/>
      <c r="T809" s="8"/>
      <c r="U809" s="8"/>
      <c r="V809" s="8"/>
      <c r="W809" s="8"/>
    </row>
    <row r="810" spans="1:23" ht="14.4">
      <c r="A810" s="3">
        <f>LOOKUP(D810,'AMFI DATA_2023H1'!B:C,'AMFI DATA_2023H1'!C:C)</f>
        <v>1964</v>
      </c>
      <c r="B810" s="4" t="s">
        <v>4628</v>
      </c>
      <c r="C810" s="4" t="s">
        <v>4629</v>
      </c>
      <c r="D810" s="5" t="s">
        <v>4630</v>
      </c>
      <c r="E810" s="5">
        <f>LOOKUP(D810,'AMFI DATA_2023H1'!B:D,'AMFI DATA_2023H1'!D:D)</f>
        <v>151.04</v>
      </c>
      <c r="F810" s="7">
        <f t="shared" si="3"/>
        <v>0.7346398305084747</v>
      </c>
      <c r="G810" s="9">
        <v>262</v>
      </c>
      <c r="H810" s="9">
        <v>248</v>
      </c>
      <c r="I810" s="9">
        <v>251</v>
      </c>
      <c r="J810" s="9">
        <v>254</v>
      </c>
      <c r="K810" s="9">
        <v>255</v>
      </c>
      <c r="L810" s="9">
        <v>255</v>
      </c>
      <c r="M810" s="9"/>
      <c r="N810" s="9"/>
      <c r="O810" s="9"/>
      <c r="P810" s="9"/>
      <c r="Q810" s="9">
        <f ca="1">IFERROR(__xludf.DUMMYFUNCTION("GOOGLEFINANCE(C810,""changepct"")"),3.61)</f>
        <v>3.61</v>
      </c>
      <c r="R810" s="9"/>
      <c r="S810" s="9"/>
      <c r="T810" s="9"/>
      <c r="U810" s="9"/>
      <c r="V810" s="9"/>
      <c r="W810" s="9"/>
    </row>
    <row r="811" spans="1:23" ht="14.4">
      <c r="A811" s="3">
        <f>LOOKUP(D811,'AMFI DATA_2023H1'!B:C,'AMFI DATA_2023H1'!C:C)</f>
        <v>1287</v>
      </c>
      <c r="B811" s="4" t="s">
        <v>3722</v>
      </c>
      <c r="C811" s="4" t="s">
        <v>3723</v>
      </c>
      <c r="D811" s="5" t="s">
        <v>3724</v>
      </c>
      <c r="E811" s="5">
        <f>LOOKUP(D811,'AMFI DATA_2023H1'!B:D,'AMFI DATA_2023H1'!D:D)</f>
        <v>547.08000000000004</v>
      </c>
      <c r="F811" s="7">
        <f t="shared" si="3"/>
        <v>0.24113475177304955</v>
      </c>
      <c r="G811" s="9">
        <v>679</v>
      </c>
      <c r="H811" s="9">
        <v>662</v>
      </c>
      <c r="I811" s="9">
        <v>652</v>
      </c>
      <c r="J811" s="9">
        <v>644</v>
      </c>
      <c r="K811" s="9">
        <v>655</v>
      </c>
      <c r="L811" s="9">
        <v>643</v>
      </c>
      <c r="M811" s="9"/>
      <c r="N811" s="9"/>
      <c r="O811" s="9"/>
      <c r="P811" s="9"/>
      <c r="Q811" s="9">
        <f ca="1">IFERROR(__xludf.DUMMYFUNCTION("GOOGLEFINANCE(C811,""changepct"")"),-2.18)</f>
        <v>-2.1800000000000002</v>
      </c>
      <c r="R811" s="9"/>
      <c r="S811" s="9"/>
      <c r="T811" s="9"/>
      <c r="U811" s="9"/>
      <c r="V811" s="9"/>
      <c r="W811" s="9"/>
    </row>
    <row r="812" spans="1:23" ht="14.4">
      <c r="A812" s="3">
        <f>LOOKUP(D812,'AMFI DATA_2023H1'!B:C,'AMFI DATA_2023H1'!C:C)</f>
        <v>1287</v>
      </c>
      <c r="B812" s="4" t="s">
        <v>2741</v>
      </c>
      <c r="C812" s="4" t="s">
        <v>2742</v>
      </c>
      <c r="D812" s="5" t="s">
        <v>2743</v>
      </c>
      <c r="E812" s="5">
        <f>LOOKUP(D812,'AMFI DATA_2023H1'!B:D,'AMFI DATA_2023H1'!D:D)</f>
        <v>547.08000000000004</v>
      </c>
      <c r="F812" s="7">
        <f t="shared" si="3"/>
        <v>2.9445784894348175</v>
      </c>
      <c r="G812" s="8">
        <v>2158</v>
      </c>
      <c r="H812" s="8">
        <v>2211</v>
      </c>
      <c r="I812" s="8">
        <v>2239</v>
      </c>
      <c r="J812" s="8">
        <v>2264</v>
      </c>
      <c r="K812" s="8">
        <v>2241</v>
      </c>
      <c r="L812" s="8">
        <v>2146</v>
      </c>
      <c r="M812" s="8"/>
      <c r="N812" s="8"/>
      <c r="O812" s="8"/>
      <c r="P812" s="8"/>
      <c r="Q812" s="9">
        <f ca="1">IFERROR(__xludf.DUMMYFUNCTION("GOOGLEFINANCE(C812,""changepct"")"),-1.45)</f>
        <v>-1.45</v>
      </c>
      <c r="R812" s="8"/>
      <c r="S812" s="8"/>
      <c r="T812" s="8"/>
      <c r="U812" s="8"/>
      <c r="V812" s="8"/>
      <c r="W812" s="8"/>
    </row>
    <row r="813" spans="1:23" ht="14.4">
      <c r="A813" s="3">
        <f>LOOKUP(D813,'AMFI DATA_2023H1'!B:C,'AMFI DATA_2023H1'!C:C)</f>
        <v>603</v>
      </c>
      <c r="B813" s="4" t="s">
        <v>1740</v>
      </c>
      <c r="C813" s="4" t="s">
        <v>1741</v>
      </c>
      <c r="D813" s="5" t="s">
        <v>1742</v>
      </c>
      <c r="E813" s="5">
        <f>LOOKUP(D813,'AMFI DATA_2023H1'!B:D,'AMFI DATA_2023H1'!D:D)</f>
        <v>3681.95</v>
      </c>
      <c r="F813" s="7">
        <f t="shared" si="3"/>
        <v>0.9853610179388641</v>
      </c>
      <c r="G813" s="8">
        <v>7310</v>
      </c>
      <c r="H813" s="8">
        <v>7215</v>
      </c>
      <c r="I813" s="8">
        <v>7174</v>
      </c>
      <c r="J813" s="8">
        <v>7000</v>
      </c>
      <c r="K813" s="8">
        <v>6900</v>
      </c>
      <c r="L813" s="8">
        <v>6829</v>
      </c>
      <c r="M813" s="8"/>
      <c r="N813" s="8"/>
      <c r="O813" s="8"/>
      <c r="P813" s="8"/>
      <c r="Q813" s="9">
        <f ca="1">IFERROR(__xludf.DUMMYFUNCTION("GOOGLEFINANCE(C813,""changepct"")"),3.04)</f>
        <v>3.04</v>
      </c>
      <c r="R813" s="8"/>
      <c r="S813" s="8"/>
      <c r="T813" s="8"/>
      <c r="U813" s="8"/>
      <c r="V813" s="8"/>
      <c r="W813" s="8"/>
    </row>
    <row r="814" spans="1:23" ht="14.4">
      <c r="A814" s="3">
        <f>LOOKUP(D814,'AMFI DATA_2023H1'!B:C,'AMFI DATA_2023H1'!C:C)</f>
        <v>761</v>
      </c>
      <c r="B814" s="4" t="s">
        <v>2471</v>
      </c>
      <c r="C814" s="4" t="s">
        <v>2472</v>
      </c>
      <c r="D814" s="5" t="s">
        <v>2473</v>
      </c>
      <c r="E814" s="5">
        <f>LOOKUP(D814,'AMFI DATA_2023H1'!B:D,'AMFI DATA_2023H1'!D:D)</f>
        <v>2122.23</v>
      </c>
      <c r="F814" s="7">
        <f t="shared" si="3"/>
        <v>0.29910518652549434</v>
      </c>
      <c r="G814" s="8">
        <v>2757</v>
      </c>
      <c r="H814" s="8">
        <v>2739</v>
      </c>
      <c r="I814" s="8">
        <v>2748</v>
      </c>
      <c r="J814" s="8">
        <v>2795</v>
      </c>
      <c r="K814" s="8">
        <v>2744</v>
      </c>
      <c r="L814" s="8">
        <v>2769</v>
      </c>
      <c r="M814" s="8"/>
      <c r="N814" s="8"/>
      <c r="O814" s="8"/>
      <c r="P814" s="8"/>
      <c r="Q814" s="9">
        <f ca="1">IFERROR(__xludf.DUMMYFUNCTION("GOOGLEFINANCE(C814,""changepct"")"),-1.02)</f>
        <v>-1.02</v>
      </c>
      <c r="R814" s="8"/>
      <c r="S814" s="8"/>
      <c r="T814" s="8"/>
      <c r="U814" s="8"/>
      <c r="V814" s="8"/>
      <c r="W814" s="8"/>
    </row>
    <row r="815" spans="1:23" ht="14.4">
      <c r="A815" s="3">
        <f>LOOKUP(D815,'AMFI DATA_2023H1'!B:C,'AMFI DATA_2023H1'!C:C)</f>
        <v>8</v>
      </c>
      <c r="B815" s="4" t="s">
        <v>25</v>
      </c>
      <c r="C815" s="4" t="s">
        <v>26</v>
      </c>
      <c r="D815" s="5" t="s">
        <v>27</v>
      </c>
      <c r="E815" s="5">
        <f>LOOKUP(D815,'AMFI DATA_2023H1'!B:D,'AMFI DATA_2023H1'!D:D)</f>
        <v>491395.14</v>
      </c>
      <c r="F815" s="7">
        <f t="shared" si="3"/>
        <v>0.18626122350335006</v>
      </c>
      <c r="G815" s="8">
        <v>582923</v>
      </c>
      <c r="H815" s="8">
        <v>576810</v>
      </c>
      <c r="I815" s="8">
        <v>579118</v>
      </c>
      <c r="J815" s="8">
        <v>569886</v>
      </c>
      <c r="K815" s="8">
        <v>569574</v>
      </c>
      <c r="L815" s="8">
        <v>567890</v>
      </c>
      <c r="M815" s="8"/>
      <c r="N815" s="8"/>
      <c r="O815" s="8"/>
      <c r="P815" s="8"/>
      <c r="Q815" s="9">
        <f ca="1">IFERROR(__xludf.DUMMYFUNCTION("GOOGLEFINANCE(C815,""changepct"")"),0.6)</f>
        <v>0.6</v>
      </c>
      <c r="R815" s="8"/>
      <c r="S815" s="8"/>
      <c r="T815" s="8"/>
      <c r="U815" s="8"/>
      <c r="V815" s="8"/>
      <c r="W815" s="8"/>
    </row>
    <row r="816" spans="1:23" ht="14.4">
      <c r="A816" s="3">
        <f>LOOKUP(D816,'AMFI DATA_2023H1'!B:C,'AMFI DATA_2023H1'!C:C)</f>
        <v>753</v>
      </c>
      <c r="B816" s="4" t="s">
        <v>2067</v>
      </c>
      <c r="C816" s="4" t="s">
        <v>2068</v>
      </c>
      <c r="D816" s="5" t="s">
        <v>2069</v>
      </c>
      <c r="E816" s="5">
        <f>LOOKUP(D816,'AMFI DATA_2023H1'!B:D,'AMFI DATA_2023H1'!D:D)</f>
        <v>2155.36</v>
      </c>
      <c r="F816" s="7">
        <f t="shared" si="3"/>
        <v>1.3035594981812784</v>
      </c>
      <c r="G816" s="8">
        <v>4965</v>
      </c>
      <c r="H816" s="8">
        <v>4880</v>
      </c>
      <c r="I816" s="8">
        <v>5039</v>
      </c>
      <c r="J816" s="8">
        <v>4899</v>
      </c>
      <c r="K816" s="8">
        <v>4826</v>
      </c>
      <c r="L816" s="8">
        <v>4833</v>
      </c>
      <c r="M816" s="8"/>
      <c r="N816" s="8"/>
      <c r="O816" s="8"/>
      <c r="P816" s="8"/>
      <c r="Q816" s="9">
        <f ca="1">IFERROR(__xludf.DUMMYFUNCTION("GOOGLEFINANCE(C816,""changepct"")"),1.84)</f>
        <v>1.84</v>
      </c>
      <c r="R816" s="8"/>
      <c r="S816" s="8"/>
      <c r="T816" s="8"/>
      <c r="U816" s="8"/>
      <c r="V816" s="8"/>
      <c r="W816" s="8"/>
    </row>
    <row r="817" spans="1:23" ht="14.4">
      <c r="A817" s="3">
        <f>LOOKUP(D817,'AMFI DATA_2023H1'!B:C,'AMFI DATA_2023H1'!C:C)</f>
        <v>353</v>
      </c>
      <c r="B817" s="4" t="s">
        <v>837</v>
      </c>
      <c r="C817" s="4" t="s">
        <v>838</v>
      </c>
      <c r="D817" s="5" t="s">
        <v>839</v>
      </c>
      <c r="E817" s="5">
        <f>LOOKUP(D817,'AMFI DATA_2023H1'!B:D,'AMFI DATA_2023H1'!D:D)</f>
        <v>9546.0499999999993</v>
      </c>
      <c r="F817" s="7">
        <f t="shared" si="3"/>
        <v>2.0907024371336838</v>
      </c>
      <c r="G817" s="8">
        <v>29504</v>
      </c>
      <c r="H817" s="8">
        <v>29249</v>
      </c>
      <c r="I817" s="8">
        <v>28927</v>
      </c>
      <c r="J817" s="8">
        <v>28879</v>
      </c>
      <c r="K817" s="8">
        <v>29091</v>
      </c>
      <c r="L817" s="8">
        <v>29259</v>
      </c>
      <c r="M817" s="8"/>
      <c r="N817" s="8"/>
      <c r="O817" s="8"/>
      <c r="P817" s="8"/>
      <c r="Q817" s="9">
        <f ca="1">IFERROR(__xludf.DUMMYFUNCTION("GOOGLEFINANCE(C817,""changepct"")"),1.99)</f>
        <v>1.99</v>
      </c>
      <c r="R817" s="8"/>
      <c r="S817" s="8"/>
      <c r="T817" s="8"/>
      <c r="U817" s="8"/>
      <c r="V817" s="8"/>
      <c r="W817" s="8"/>
    </row>
    <row r="818" spans="1:23" ht="14.4">
      <c r="A818" s="3">
        <f>LOOKUP(D818,'AMFI DATA_2023H1'!B:C,'AMFI DATA_2023H1'!C:C)</f>
        <v>1972</v>
      </c>
      <c r="B818" s="4" t="s">
        <v>4751</v>
      </c>
      <c r="C818" s="4" t="s">
        <v>4752</v>
      </c>
      <c r="D818" s="5" t="s">
        <v>4753</v>
      </c>
      <c r="E818" s="5">
        <f>LOOKUP(D818,'AMFI DATA_2023H1'!B:D,'AMFI DATA_2023H1'!D:D)</f>
        <v>149.04</v>
      </c>
      <c r="F818" s="7">
        <f t="shared" si="3"/>
        <v>0.58346752549651115</v>
      </c>
      <c r="G818" s="9">
        <v>236</v>
      </c>
      <c r="H818" s="9">
        <v>232</v>
      </c>
      <c r="I818" s="9">
        <v>234</v>
      </c>
      <c r="J818" s="9">
        <v>241</v>
      </c>
      <c r="K818" s="9">
        <v>230</v>
      </c>
      <c r="L818" s="9">
        <v>230</v>
      </c>
      <c r="M818" s="9"/>
      <c r="N818" s="9"/>
      <c r="O818" s="9"/>
      <c r="P818" s="9"/>
      <c r="Q818" s="9">
        <f ca="1">IFERROR(__xludf.DUMMYFUNCTION("GOOGLEFINANCE(C818,""changepct"")"),0.65)</f>
        <v>0.65</v>
      </c>
      <c r="R818" s="9"/>
      <c r="S818" s="9"/>
      <c r="T818" s="9"/>
      <c r="U818" s="9"/>
      <c r="V818" s="9"/>
      <c r="W818" s="9"/>
    </row>
    <row r="819" spans="1:23" ht="14.4">
      <c r="A819" s="3">
        <f>LOOKUP(D819,'AMFI DATA_2023H1'!B:C,'AMFI DATA_2023H1'!C:C)</f>
        <v>1890</v>
      </c>
      <c r="B819" s="4" t="s">
        <v>4457</v>
      </c>
      <c r="C819" s="4" t="s">
        <v>4458</v>
      </c>
      <c r="D819" s="5" t="s">
        <v>4459</v>
      </c>
      <c r="E819" s="5">
        <f>LOOKUP(D819,'AMFI DATA_2023H1'!B:D,'AMFI DATA_2023H1'!D:D)</f>
        <v>167.35</v>
      </c>
      <c r="F819" s="7">
        <f t="shared" si="3"/>
        <v>1.0495966537197492</v>
      </c>
      <c r="G819" s="9">
        <v>343</v>
      </c>
      <c r="H819" s="9">
        <v>340</v>
      </c>
      <c r="I819" s="9">
        <v>358</v>
      </c>
      <c r="J819" s="9">
        <v>341</v>
      </c>
      <c r="K819" s="9">
        <v>320</v>
      </c>
      <c r="L819" s="9">
        <v>307</v>
      </c>
      <c r="M819" s="9"/>
      <c r="N819" s="9"/>
      <c r="O819" s="9"/>
      <c r="P819" s="9"/>
      <c r="Q819" s="9">
        <f ca="1">IFERROR(__xludf.DUMMYFUNCTION("GOOGLEFINANCE(C819,""changepct"")"),-2.75)</f>
        <v>-2.75</v>
      </c>
      <c r="R819" s="9"/>
      <c r="S819" s="9"/>
      <c r="T819" s="9"/>
      <c r="U819" s="9"/>
      <c r="V819" s="9"/>
      <c r="W819" s="9"/>
    </row>
    <row r="820" spans="1:23" ht="14.4">
      <c r="A820" s="3">
        <f>LOOKUP(D820,'AMFI DATA_2023H1'!B:C,'AMFI DATA_2023H1'!C:C)</f>
        <v>784</v>
      </c>
      <c r="B820" s="4" t="s">
        <v>2264</v>
      </c>
      <c r="C820" s="4" t="s">
        <v>2265</v>
      </c>
      <c r="D820" s="5" t="s">
        <v>2266</v>
      </c>
      <c r="E820" s="5">
        <f>LOOKUP(D820,'AMFI DATA_2023H1'!B:D,'AMFI DATA_2023H1'!D:D)</f>
        <v>2029.92</v>
      </c>
      <c r="F820" s="7">
        <f t="shared" si="3"/>
        <v>1.2089540474501459</v>
      </c>
      <c r="G820" s="8">
        <v>4484</v>
      </c>
      <c r="H820" s="8">
        <v>4446</v>
      </c>
      <c r="I820" s="8">
        <v>4473</v>
      </c>
      <c r="J820" s="8">
        <v>4718</v>
      </c>
      <c r="K820" s="8">
        <v>4493</v>
      </c>
      <c r="L820" s="8">
        <v>3742</v>
      </c>
      <c r="M820" s="8"/>
      <c r="N820" s="8"/>
      <c r="O820" s="8"/>
      <c r="P820" s="8"/>
      <c r="Q820" s="9">
        <f ca="1">IFERROR(__xludf.DUMMYFUNCTION("GOOGLEFINANCE(C820,""changepct"")"),-1.87)</f>
        <v>-1.87</v>
      </c>
      <c r="R820" s="8"/>
      <c r="S820" s="8"/>
      <c r="T820" s="8"/>
      <c r="U820" s="8"/>
      <c r="V820" s="8"/>
      <c r="W820" s="8"/>
    </row>
    <row r="821" spans="1:23" ht="14.4">
      <c r="A821" s="3">
        <f>LOOKUP(D821,'AMFI DATA_2023H1'!B:C,'AMFI DATA_2023H1'!C:C)</f>
        <v>827</v>
      </c>
      <c r="B821" s="4" t="s">
        <v>2600</v>
      </c>
      <c r="C821" s="4" t="s">
        <v>2601</v>
      </c>
      <c r="D821" s="5" t="s">
        <v>2602</v>
      </c>
      <c r="E821" s="5">
        <f>LOOKUP(D821,'AMFI DATA_2023H1'!B:D,'AMFI DATA_2023H1'!D:D)</f>
        <v>1783.56</v>
      </c>
      <c r="F821" s="7">
        <f t="shared" si="3"/>
        <v>0.16676758841866834</v>
      </c>
      <c r="G821" s="8">
        <v>2081</v>
      </c>
      <c r="H821" s="8">
        <v>2043</v>
      </c>
      <c r="I821" s="8">
        <v>2068</v>
      </c>
      <c r="J821" s="8">
        <v>2035</v>
      </c>
      <c r="K821" s="8">
        <v>2035</v>
      </c>
      <c r="L821" s="8">
        <v>1993</v>
      </c>
      <c r="M821" s="8"/>
      <c r="N821" s="8"/>
      <c r="O821" s="8"/>
      <c r="P821" s="8"/>
      <c r="Q821" s="9">
        <f ca="1">IFERROR(__xludf.DUMMYFUNCTION("GOOGLEFINANCE(C821,""changepct"")"),-0.68)</f>
        <v>-0.68</v>
      </c>
      <c r="R821" s="8"/>
      <c r="S821" s="8"/>
      <c r="T821" s="8"/>
      <c r="U821" s="8"/>
      <c r="V821" s="8"/>
      <c r="W821" s="8"/>
    </row>
    <row r="822" spans="1:23" ht="14.4">
      <c r="A822" s="3">
        <f>LOOKUP(D822,'AMFI DATA_2023H1'!B:C,'AMFI DATA_2023H1'!C:C)</f>
        <v>1090</v>
      </c>
      <c r="B822" s="4" t="s">
        <v>3311</v>
      </c>
      <c r="C822" s="4" t="s">
        <v>3312</v>
      </c>
      <c r="D822" s="5" t="s">
        <v>3313</v>
      </c>
      <c r="E822" s="5">
        <f>LOOKUP(D822,'AMFI DATA_2023H1'!B:D,'AMFI DATA_2023H1'!D:D)</f>
        <v>897.98</v>
      </c>
      <c r="F822" s="7">
        <f t="shared" si="3"/>
        <v>0.14813247511080418</v>
      </c>
      <c r="G822" s="8">
        <v>1031</v>
      </c>
      <c r="H822" s="8">
        <v>1019</v>
      </c>
      <c r="I822" s="8">
        <v>1020</v>
      </c>
      <c r="J822" s="8">
        <v>1015</v>
      </c>
      <c r="K822" s="8">
        <v>1025</v>
      </c>
      <c r="L822" s="8">
        <v>1024</v>
      </c>
      <c r="M822" s="8"/>
      <c r="N822" s="8"/>
      <c r="O822" s="8"/>
      <c r="P822" s="8"/>
      <c r="Q822" s="9">
        <f ca="1">IFERROR(__xludf.DUMMYFUNCTION("GOOGLEFINANCE(C822,""changepct"")"),2.48)</f>
        <v>2.48</v>
      </c>
      <c r="R822" s="8"/>
      <c r="S822" s="8"/>
      <c r="T822" s="8"/>
      <c r="U822" s="8"/>
      <c r="V822" s="8"/>
      <c r="W822" s="8"/>
    </row>
    <row r="823" spans="1:23" ht="14.4">
      <c r="A823" s="3">
        <f>LOOKUP(D823,'AMFI DATA_2023H1'!B:C,'AMFI DATA_2023H1'!C:C)</f>
        <v>1096</v>
      </c>
      <c r="B823" s="4" t="s">
        <v>1620</v>
      </c>
      <c r="C823" s="4" t="s">
        <v>1621</v>
      </c>
      <c r="D823" s="5" t="s">
        <v>1622</v>
      </c>
      <c r="E823" s="5">
        <f>LOOKUP(D823,'AMFI DATA_2023H1'!B:D,'AMFI DATA_2023H1'!D:D)</f>
        <v>882.71</v>
      </c>
      <c r="F823" s="7">
        <f t="shared" si="3"/>
        <v>13.153006083538195</v>
      </c>
      <c r="G823" s="8">
        <v>12493</v>
      </c>
      <c r="H823" s="8">
        <v>12228</v>
      </c>
      <c r="I823" s="8">
        <v>12435</v>
      </c>
      <c r="J823" s="8">
        <v>12034</v>
      </c>
      <c r="K823" s="8">
        <v>11841</v>
      </c>
      <c r="L823" s="8">
        <v>11987</v>
      </c>
      <c r="M823" s="8"/>
      <c r="N823" s="8"/>
      <c r="O823" s="8"/>
      <c r="P823" s="8"/>
      <c r="Q823" s="9">
        <f ca="1">IFERROR(__xludf.DUMMYFUNCTION("GOOGLEFINANCE(C823,""changepct"")"),-1.59)</f>
        <v>-1.59</v>
      </c>
      <c r="R823" s="8"/>
      <c r="S823" s="8"/>
      <c r="T823" s="8"/>
      <c r="U823" s="8"/>
      <c r="V823" s="8"/>
      <c r="W823" s="8"/>
    </row>
    <row r="824" spans="1:23" ht="14.4">
      <c r="A824" s="3">
        <f>LOOKUP(D824,'AMFI DATA_2023H1'!B:C,'AMFI DATA_2023H1'!C:C)</f>
        <v>698</v>
      </c>
      <c r="B824" s="4" t="s">
        <v>1890</v>
      </c>
      <c r="C824" s="4" t="s">
        <v>1891</v>
      </c>
      <c r="D824" s="5" t="s">
        <v>1892</v>
      </c>
      <c r="E824" s="5">
        <f>LOOKUP(D824,'AMFI DATA_2023H1'!B:D,'AMFI DATA_2023H1'!D:D)</f>
        <v>2599.2399999999998</v>
      </c>
      <c r="F824" s="7">
        <f t="shared" si="3"/>
        <v>1.8031270679121594</v>
      </c>
      <c r="G824" s="8">
        <v>7286</v>
      </c>
      <c r="H824" s="8">
        <v>6946</v>
      </c>
      <c r="I824" s="8">
        <v>6938</v>
      </c>
      <c r="J824" s="8">
        <v>7194</v>
      </c>
      <c r="K824" s="8">
        <v>6905</v>
      </c>
      <c r="L824" s="8">
        <v>6585</v>
      </c>
      <c r="M824" s="8"/>
      <c r="N824" s="8"/>
      <c r="O824" s="8"/>
      <c r="P824" s="8"/>
      <c r="Q824" s="9">
        <f ca="1">IFERROR(__xludf.DUMMYFUNCTION("GOOGLEFINANCE(C824,""changepct"")"),-1.29)</f>
        <v>-1.29</v>
      </c>
      <c r="R824" s="8"/>
      <c r="S824" s="8"/>
      <c r="T824" s="8"/>
      <c r="U824" s="8"/>
      <c r="V824" s="8"/>
      <c r="W824" s="8"/>
    </row>
    <row r="825" spans="1:23" ht="14.4">
      <c r="A825" s="3">
        <f>LOOKUP(D825,'AMFI DATA_2023H1'!B:C,'AMFI DATA_2023H1'!C:C)</f>
        <v>419</v>
      </c>
      <c r="B825" s="4" t="s">
        <v>120</v>
      </c>
      <c r="C825" s="4" t="s">
        <v>121</v>
      </c>
      <c r="D825" s="5" t="s">
        <v>122</v>
      </c>
      <c r="E825" s="5">
        <f>LOOKUP(D825,'AMFI DATA_2023H1'!B:D,'AMFI DATA_2023H1'!D:D)</f>
        <v>7016.05</v>
      </c>
      <c r="F825" s="7">
        <f t="shared" si="3"/>
        <v>-0.99079253996194439</v>
      </c>
      <c r="G825" s="9">
        <v>64.599999999999994</v>
      </c>
      <c r="H825" s="9">
        <v>63.7</v>
      </c>
      <c r="I825" s="9">
        <v>64.099999999999994</v>
      </c>
      <c r="J825" s="9">
        <v>65.3</v>
      </c>
      <c r="K825" s="9">
        <v>63.7</v>
      </c>
      <c r="L825" s="9">
        <v>64.900000000000006</v>
      </c>
      <c r="M825" s="9"/>
      <c r="N825" s="9"/>
      <c r="O825" s="9"/>
      <c r="P825" s="9"/>
      <c r="Q825" s="9">
        <f ca="1">IFERROR(__xludf.DUMMYFUNCTION("GOOGLEFINANCE(C825,""changepct"")"),15.92)</f>
        <v>15.92</v>
      </c>
      <c r="R825" s="9"/>
      <c r="S825" s="9"/>
      <c r="T825" s="9"/>
      <c r="U825" s="9"/>
      <c r="V825" s="9"/>
      <c r="W825" s="9"/>
    </row>
    <row r="826" spans="1:23" ht="14.4">
      <c r="A826" s="3">
        <f>LOOKUP(D826,'AMFI DATA_2023H1'!B:C,'AMFI DATA_2023H1'!C:C)</f>
        <v>759</v>
      </c>
      <c r="B826" s="4" t="s">
        <v>120</v>
      </c>
      <c r="C826" s="4" t="s">
        <v>2073</v>
      </c>
      <c r="D826" s="5" t="s">
        <v>2074</v>
      </c>
      <c r="E826" s="5">
        <f>LOOKUP(D826,'AMFI DATA_2023H1'!B:D,'AMFI DATA_2023H1'!D:D)</f>
        <v>2124.84</v>
      </c>
      <c r="F826" s="7">
        <f t="shared" si="3"/>
        <v>1.0133280623482239</v>
      </c>
      <c r="G826" s="8">
        <v>4278</v>
      </c>
      <c r="H826" s="8">
        <v>4313</v>
      </c>
      <c r="I826" s="8">
        <v>4268</v>
      </c>
      <c r="J826" s="8">
        <v>4369</v>
      </c>
      <c r="K826" s="8">
        <v>4322</v>
      </c>
      <c r="L826" s="8">
        <v>4313</v>
      </c>
      <c r="M826" s="8"/>
      <c r="N826" s="8"/>
      <c r="O826" s="8"/>
      <c r="P826" s="8"/>
      <c r="Q826" s="9">
        <f ca="1">IFERROR(__xludf.DUMMYFUNCTION("GOOGLEFINANCE(C826,""changepct"")"),10.22)</f>
        <v>10.220000000000001</v>
      </c>
      <c r="R826" s="8"/>
      <c r="S826" s="8"/>
      <c r="T826" s="8"/>
      <c r="U826" s="8"/>
      <c r="V826" s="8"/>
      <c r="W826" s="8"/>
    </row>
    <row r="827" spans="1:23" ht="14.4">
      <c r="A827" s="3">
        <f>LOOKUP(D827,'AMFI DATA_2023H1'!B:C,'AMFI DATA_2023H1'!C:C)</f>
        <v>786</v>
      </c>
      <c r="B827" s="4" t="s">
        <v>2219</v>
      </c>
      <c r="C827" s="4" t="s">
        <v>2220</v>
      </c>
      <c r="D827" s="5" t="s">
        <v>2221</v>
      </c>
      <c r="E827" s="5">
        <f>LOOKUP(D827,'AMFI DATA_2023H1'!B:D,'AMFI DATA_2023H1'!D:D)</f>
        <v>2016.15</v>
      </c>
      <c r="F827" s="7">
        <f t="shared" si="3"/>
        <v>1.606452892889914</v>
      </c>
      <c r="G827" s="8">
        <v>5255</v>
      </c>
      <c r="H827" s="8">
        <v>4860</v>
      </c>
      <c r="I827" s="8">
        <v>4831</v>
      </c>
      <c r="J827" s="8">
        <v>4909</v>
      </c>
      <c r="K827" s="8">
        <v>5128</v>
      </c>
      <c r="L827" s="8">
        <v>5179</v>
      </c>
      <c r="M827" s="8"/>
      <c r="N827" s="8"/>
      <c r="O827" s="8"/>
      <c r="P827" s="8"/>
      <c r="Q827" s="9">
        <f ca="1">IFERROR(__xludf.DUMMYFUNCTION("GOOGLEFINANCE(C827,""changepct"")"),7.55)</f>
        <v>7.55</v>
      </c>
      <c r="R827" s="8"/>
      <c r="S827" s="8"/>
      <c r="T827" s="8"/>
      <c r="U827" s="8"/>
      <c r="V827" s="8"/>
      <c r="W827" s="8"/>
    </row>
    <row r="828" spans="1:23" ht="14.4">
      <c r="A828" s="3">
        <f>LOOKUP(D828,'AMFI DATA_2023H1'!B:C,'AMFI DATA_2023H1'!C:C)</f>
        <v>551</v>
      </c>
      <c r="B828" s="4" t="s">
        <v>1575</v>
      </c>
      <c r="C828" s="4" t="s">
        <v>1576</v>
      </c>
      <c r="D828" s="5" t="s">
        <v>1577</v>
      </c>
      <c r="E828" s="5">
        <f>LOOKUP(D828,'AMFI DATA_2023H1'!B:D,'AMFI DATA_2023H1'!D:D)</f>
        <v>4340.01</v>
      </c>
      <c r="F828" s="7">
        <f t="shared" si="3"/>
        <v>1.3260315068398461</v>
      </c>
      <c r="G828" s="8">
        <v>10095</v>
      </c>
      <c r="H828" s="8">
        <v>9561</v>
      </c>
      <c r="I828" s="8">
        <v>9218</v>
      </c>
      <c r="J828" s="8">
        <v>9458</v>
      </c>
      <c r="K828" s="8">
        <v>9561</v>
      </c>
      <c r="L828" s="8">
        <v>9081</v>
      </c>
      <c r="M828" s="8"/>
      <c r="N828" s="8"/>
      <c r="O828" s="8"/>
      <c r="P828" s="8"/>
      <c r="Q828" s="9">
        <f ca="1">IFERROR(__xludf.DUMMYFUNCTION("GOOGLEFINANCE(C828,""changepct"")"),4.7)</f>
        <v>4.7</v>
      </c>
      <c r="R828" s="8"/>
      <c r="S828" s="8"/>
      <c r="T828" s="8"/>
      <c r="U828" s="8"/>
      <c r="V828" s="8"/>
      <c r="W828" s="8"/>
    </row>
    <row r="829" spans="1:23" ht="14.4">
      <c r="A829" s="3">
        <f>LOOKUP(D829,'AMFI DATA_2023H1'!B:C,'AMFI DATA_2023H1'!C:C)</f>
        <v>569</v>
      </c>
      <c r="B829" s="4" t="s">
        <v>1896</v>
      </c>
      <c r="C829" s="4" t="s">
        <v>1897</v>
      </c>
      <c r="D829" s="5" t="s">
        <v>1898</v>
      </c>
      <c r="E829" s="5">
        <f>LOOKUP(D829,'AMFI DATA_2023H1'!B:D,'AMFI DATA_2023H1'!D:D)</f>
        <v>4071.97</v>
      </c>
      <c r="F829" s="7">
        <f t="shared" si="3"/>
        <v>9.5047360368568645E-2</v>
      </c>
      <c r="G829" s="8">
        <v>4459</v>
      </c>
      <c r="H829" s="8">
        <v>4459</v>
      </c>
      <c r="I829" s="8">
        <v>4427</v>
      </c>
      <c r="J829" s="8">
        <v>4367</v>
      </c>
      <c r="K829" s="8">
        <v>4325</v>
      </c>
      <c r="L829" s="8">
        <v>4307</v>
      </c>
      <c r="M829" s="8"/>
      <c r="N829" s="8"/>
      <c r="O829" s="8"/>
      <c r="P829" s="8"/>
      <c r="Q829" s="9">
        <f ca="1">IFERROR(__xludf.DUMMYFUNCTION("GOOGLEFINANCE(C829,""changepct"")"),2.1)</f>
        <v>2.1</v>
      </c>
      <c r="R829" s="8"/>
      <c r="S829" s="8"/>
      <c r="T829" s="8"/>
      <c r="U829" s="8"/>
      <c r="V829" s="8"/>
      <c r="W829" s="8"/>
    </row>
    <row r="830" spans="1:23" ht="14.4">
      <c r="A830" s="3">
        <f>LOOKUP(D830,'AMFI DATA_2023H1'!B:C,'AMFI DATA_2023H1'!C:C)</f>
        <v>1013</v>
      </c>
      <c r="B830" s="4" t="s">
        <v>2900</v>
      </c>
      <c r="C830" s="4" t="s">
        <v>2901</v>
      </c>
      <c r="D830" s="5" t="s">
        <v>2902</v>
      </c>
      <c r="E830" s="5">
        <f>LOOKUP(D830,'AMFI DATA_2023H1'!B:D,'AMFI DATA_2023H1'!D:D)</f>
        <v>1114.19</v>
      </c>
      <c r="F830" s="7">
        <f t="shared" si="3"/>
        <v>0.68642691102953712</v>
      </c>
      <c r="G830" s="8">
        <v>1879</v>
      </c>
      <c r="H830" s="8">
        <v>1882</v>
      </c>
      <c r="I830" s="8">
        <v>1894</v>
      </c>
      <c r="J830" s="8">
        <v>1892</v>
      </c>
      <c r="K830" s="8">
        <v>1909</v>
      </c>
      <c r="L830" s="8">
        <v>1830</v>
      </c>
      <c r="M830" s="8"/>
      <c r="N830" s="8"/>
      <c r="O830" s="8"/>
      <c r="P830" s="8"/>
      <c r="Q830" s="9">
        <f ca="1">IFERROR(__xludf.DUMMYFUNCTION("GOOGLEFINANCE(C830,""changepct"")"),8.89)</f>
        <v>8.89</v>
      </c>
      <c r="R830" s="8"/>
      <c r="S830" s="8"/>
      <c r="T830" s="8"/>
      <c r="U830" s="8"/>
      <c r="V830" s="8"/>
      <c r="W830" s="8"/>
    </row>
    <row r="831" spans="1:23" ht="14.4">
      <c r="A831" s="3">
        <f>LOOKUP(D831,'AMFI DATA_2023H1'!B:C,'AMFI DATA_2023H1'!C:C)</f>
        <v>1185</v>
      </c>
      <c r="B831" s="4" t="s">
        <v>3212</v>
      </c>
      <c r="C831" s="4" t="s">
        <v>3213</v>
      </c>
      <c r="D831" s="5" t="s">
        <v>3214</v>
      </c>
      <c r="E831" s="5">
        <f>LOOKUP(D831,'AMFI DATA_2023H1'!B:D,'AMFI DATA_2023H1'!D:D)</f>
        <v>717.97</v>
      </c>
      <c r="F831" s="7">
        <f t="shared" si="3"/>
        <v>0.75912642589523238</v>
      </c>
      <c r="G831" s="8">
        <v>1263</v>
      </c>
      <c r="H831" s="8">
        <v>1154</v>
      </c>
      <c r="I831" s="8">
        <v>1114</v>
      </c>
      <c r="J831" s="8">
        <v>1126</v>
      </c>
      <c r="K831" s="8">
        <v>1129</v>
      </c>
      <c r="L831" s="8">
        <v>1121</v>
      </c>
      <c r="M831" s="8"/>
      <c r="N831" s="8"/>
      <c r="O831" s="8"/>
      <c r="P831" s="8"/>
      <c r="Q831" s="9">
        <f ca="1">IFERROR(__xludf.DUMMYFUNCTION("GOOGLEFINANCE(C831,""changepct"")"),7.6)</f>
        <v>7.6</v>
      </c>
      <c r="R831" s="8"/>
      <c r="S831" s="8"/>
      <c r="T831" s="8"/>
      <c r="U831" s="8"/>
      <c r="V831" s="8"/>
      <c r="W831" s="8"/>
    </row>
    <row r="832" spans="1:23" ht="14.4">
      <c r="A832" s="3">
        <f>LOOKUP(D832,'AMFI DATA_2023H1'!B:C,'AMFI DATA_2023H1'!C:C)</f>
        <v>1293</v>
      </c>
      <c r="B832" s="4" t="s">
        <v>3740</v>
      </c>
      <c r="C832" s="4" t="s">
        <v>3741</v>
      </c>
      <c r="D832" s="5" t="s">
        <v>3742</v>
      </c>
      <c r="E832" s="5">
        <f>LOOKUP(D832,'AMFI DATA_2023H1'!B:D,'AMFI DATA_2023H1'!D:D)</f>
        <v>537.4</v>
      </c>
      <c r="F832" s="7">
        <f t="shared" si="3"/>
        <v>0.41235578712318577</v>
      </c>
      <c r="G832" s="9">
        <v>759</v>
      </c>
      <c r="H832" s="9">
        <v>752</v>
      </c>
      <c r="I832" s="9">
        <v>752</v>
      </c>
      <c r="J832" s="9">
        <v>771</v>
      </c>
      <c r="K832" s="9">
        <v>763</v>
      </c>
      <c r="L832" s="9">
        <v>744</v>
      </c>
      <c r="M832" s="9"/>
      <c r="N832" s="9"/>
      <c r="O832" s="9"/>
      <c r="P832" s="9"/>
      <c r="Q832" s="9">
        <f ca="1">IFERROR(__xludf.DUMMYFUNCTION("GOOGLEFINANCE(C832,""changepct"")"),-2.08)</f>
        <v>-2.08</v>
      </c>
      <c r="R832" s="9"/>
      <c r="S832" s="9"/>
      <c r="T832" s="9"/>
      <c r="U832" s="9"/>
      <c r="V832" s="9"/>
      <c r="W832" s="9"/>
    </row>
    <row r="833" spans="1:23" ht="14.4">
      <c r="A833" s="3">
        <f>LOOKUP(D833,'AMFI DATA_2023H1'!B:C,'AMFI DATA_2023H1'!C:C)</f>
        <v>745</v>
      </c>
      <c r="B833" s="4" t="s">
        <v>2132</v>
      </c>
      <c r="C833" s="4" t="s">
        <v>2133</v>
      </c>
      <c r="D833" s="5" t="s">
        <v>2134</v>
      </c>
      <c r="E833" s="5">
        <f>LOOKUP(D833,'AMFI DATA_2023H1'!B:D,'AMFI DATA_2023H1'!D:D)</f>
        <v>2232.25</v>
      </c>
      <c r="F833" s="7">
        <f t="shared" si="3"/>
        <v>1.1292417963937731</v>
      </c>
      <c r="G833" s="8">
        <v>4753</v>
      </c>
      <c r="H833" s="8">
        <v>4535</v>
      </c>
      <c r="I833" s="8">
        <v>4488</v>
      </c>
      <c r="J833" s="8">
        <v>4564</v>
      </c>
      <c r="K833" s="8">
        <v>4485</v>
      </c>
      <c r="L833" s="8">
        <v>4603</v>
      </c>
      <c r="M833" s="8"/>
      <c r="N833" s="8"/>
      <c r="O833" s="8"/>
      <c r="P833" s="8"/>
      <c r="Q833" s="9">
        <f ca="1">IFERROR(__xludf.DUMMYFUNCTION("GOOGLEFINANCE(C833,""changepct"")"),4.7)</f>
        <v>4.7</v>
      </c>
      <c r="R833" s="8"/>
      <c r="S833" s="8"/>
      <c r="T833" s="8"/>
      <c r="U833" s="8"/>
      <c r="V833" s="8"/>
      <c r="W833" s="8"/>
    </row>
    <row r="834" spans="1:23" ht="14.4">
      <c r="A834" s="3">
        <f>LOOKUP(D834,'AMFI DATA_2023H1'!B:C,'AMFI DATA_2023H1'!C:C)</f>
        <v>1656</v>
      </c>
      <c r="B834" s="4" t="s">
        <v>4445</v>
      </c>
      <c r="C834" s="4" t="s">
        <v>4446</v>
      </c>
      <c r="D834" s="5" t="s">
        <v>4447</v>
      </c>
      <c r="E834" s="5">
        <f>LOOKUP(D834,'AMFI DATA_2023H1'!B:D,'AMFI DATA_2023H1'!D:D)</f>
        <v>259.06</v>
      </c>
      <c r="F834" s="7">
        <f t="shared" si="3"/>
        <v>0.22751486142206434</v>
      </c>
      <c r="G834" s="9">
        <v>318</v>
      </c>
      <c r="H834" s="9">
        <v>306</v>
      </c>
      <c r="I834" s="9">
        <v>307</v>
      </c>
      <c r="J834" s="9">
        <v>310</v>
      </c>
      <c r="K834" s="9">
        <v>320</v>
      </c>
      <c r="L834" s="9">
        <v>320</v>
      </c>
      <c r="M834" s="9"/>
      <c r="N834" s="9"/>
      <c r="O834" s="9"/>
      <c r="P834" s="9"/>
      <c r="Q834" s="9">
        <f ca="1">IFERROR(__xludf.DUMMYFUNCTION("GOOGLEFINANCE(C834,""changepct"")"),-0.35)</f>
        <v>-0.35</v>
      </c>
      <c r="R834" s="9"/>
      <c r="S834" s="9"/>
      <c r="T834" s="9"/>
      <c r="U834" s="9"/>
      <c r="V834" s="9"/>
      <c r="W834" s="9"/>
    </row>
    <row r="835" spans="1:23" ht="14.4">
      <c r="A835" s="3">
        <f>LOOKUP(D835,'AMFI DATA_2023H1'!B:C,'AMFI DATA_2023H1'!C:C)</f>
        <v>262</v>
      </c>
      <c r="B835" s="4" t="s">
        <v>765</v>
      </c>
      <c r="C835" s="4" t="s">
        <v>766</v>
      </c>
      <c r="D835" s="5" t="s">
        <v>767</v>
      </c>
      <c r="E835" s="5">
        <f>LOOKUP(D835,'AMFI DATA_2023H1'!B:D,'AMFI DATA_2023H1'!D:D)</f>
        <v>15832.36</v>
      </c>
      <c r="F835" s="7">
        <f t="shared" si="3"/>
        <v>0.57936024698781474</v>
      </c>
      <c r="G835" s="8">
        <v>25005</v>
      </c>
      <c r="H835" s="8">
        <v>25185</v>
      </c>
      <c r="I835" s="8">
        <v>24813</v>
      </c>
      <c r="J835" s="8">
        <v>25173</v>
      </c>
      <c r="K835" s="8">
        <v>25069</v>
      </c>
      <c r="L835" s="8">
        <v>25099</v>
      </c>
      <c r="M835" s="8"/>
      <c r="N835" s="8"/>
      <c r="O835" s="8"/>
      <c r="P835" s="8"/>
      <c r="Q835" s="9">
        <f ca="1">IFERROR(__xludf.DUMMYFUNCTION("GOOGLEFINANCE(C835,""changepct"")"),1.24)</f>
        <v>1.24</v>
      </c>
      <c r="R835" s="8"/>
      <c r="S835" s="8"/>
      <c r="T835" s="8"/>
      <c r="U835" s="8"/>
      <c r="V835" s="8"/>
      <c r="W835" s="8"/>
    </row>
    <row r="836" spans="1:23" ht="14.4">
      <c r="A836" s="3">
        <f>LOOKUP(D836,'AMFI DATA_2023H1'!B:C,'AMFI DATA_2023H1'!C:C)</f>
        <v>384</v>
      </c>
      <c r="B836" s="4" t="s">
        <v>924</v>
      </c>
      <c r="C836" s="4" t="s">
        <v>925</v>
      </c>
      <c r="D836" s="5" t="s">
        <v>926</v>
      </c>
      <c r="E836" s="5">
        <f>LOOKUP(D836,'AMFI DATA_2023H1'!B:D,'AMFI DATA_2023H1'!D:D)</f>
        <v>8314.08</v>
      </c>
      <c r="F836" s="7">
        <f t="shared" si="3"/>
        <v>1.3039229836614514</v>
      </c>
      <c r="G836" s="8">
        <v>19155</v>
      </c>
      <c r="H836" s="8">
        <v>17334</v>
      </c>
      <c r="I836" s="8">
        <v>16509</v>
      </c>
      <c r="J836" s="8">
        <v>16797</v>
      </c>
      <c r="K836" s="8">
        <v>17024</v>
      </c>
      <c r="L836" s="8">
        <v>17017</v>
      </c>
      <c r="M836" s="8"/>
      <c r="N836" s="8"/>
      <c r="O836" s="8"/>
      <c r="P836" s="8"/>
      <c r="Q836" s="9">
        <f ca="1">IFERROR(__xludf.DUMMYFUNCTION("GOOGLEFINANCE(C836,""changepct"")"),-0.94)</f>
        <v>-0.94</v>
      </c>
      <c r="R836" s="8"/>
      <c r="S836" s="8"/>
      <c r="T836" s="8"/>
      <c r="U836" s="8"/>
      <c r="V836" s="8"/>
      <c r="W836" s="8"/>
    </row>
    <row r="837" spans="1:23" ht="14.4">
      <c r="A837" s="3">
        <f>LOOKUP(D837,'AMFI DATA_2023H1'!B:C,'AMFI DATA_2023H1'!C:C)</f>
        <v>1195</v>
      </c>
      <c r="B837" s="4" t="s">
        <v>3761</v>
      </c>
      <c r="C837" s="4" t="s">
        <v>3762</v>
      </c>
      <c r="D837" s="5" t="s">
        <v>3763</v>
      </c>
      <c r="E837" s="5">
        <f>LOOKUP(D837,'AMFI DATA_2023H1'!B:D,'AMFI DATA_2023H1'!D:D)</f>
        <v>706.36</v>
      </c>
      <c r="F837" s="7">
        <f t="shared" si="3"/>
        <v>-7.4126507729769586E-2</v>
      </c>
      <c r="G837" s="9">
        <v>654</v>
      </c>
      <c r="H837" s="9">
        <v>657</v>
      </c>
      <c r="I837" s="9">
        <v>649</v>
      </c>
      <c r="J837" s="9">
        <v>666</v>
      </c>
      <c r="K837" s="9">
        <v>682</v>
      </c>
      <c r="L837" s="9">
        <v>665</v>
      </c>
      <c r="M837" s="9"/>
      <c r="N837" s="9"/>
      <c r="O837" s="9"/>
      <c r="P837" s="9"/>
      <c r="Q837" s="9">
        <f ca="1">IFERROR(__xludf.DUMMYFUNCTION("GOOGLEFINANCE(C837,""changepct"")"),0.44)</f>
        <v>0.44</v>
      </c>
      <c r="R837" s="9"/>
      <c r="S837" s="9"/>
      <c r="T837" s="9"/>
      <c r="U837" s="9"/>
      <c r="V837" s="9"/>
      <c r="W837" s="9"/>
    </row>
    <row r="838" spans="1:23" ht="14.4">
      <c r="A838" s="3">
        <f>LOOKUP(D838,'AMFI DATA_2023H1'!B:C,'AMFI DATA_2023H1'!C:C)</f>
        <v>2527</v>
      </c>
      <c r="B838" s="4" t="s">
        <v>5467</v>
      </c>
      <c r="C838" s="4" t="s">
        <v>5468</v>
      </c>
      <c r="D838" s="5" t="s">
        <v>5469</v>
      </c>
      <c r="E838" s="5">
        <f>LOOKUP(D838,'AMFI DATA_2023H1'!B:D,'AMFI DATA_2023H1'!D:D)</f>
        <v>60.67</v>
      </c>
      <c r="F838" s="7">
        <f t="shared" si="3"/>
        <v>-2.4229437942970167E-2</v>
      </c>
      <c r="G838" s="9">
        <v>59.2</v>
      </c>
      <c r="H838" s="9">
        <v>59.2</v>
      </c>
      <c r="I838" s="9">
        <v>59.4</v>
      </c>
      <c r="J838" s="9">
        <v>61</v>
      </c>
      <c r="K838" s="9">
        <v>60.2</v>
      </c>
      <c r="L838" s="9">
        <v>62.4</v>
      </c>
      <c r="M838" s="9"/>
      <c r="N838" s="9"/>
      <c r="O838" s="9"/>
      <c r="P838" s="9"/>
      <c r="Q838" s="9">
        <f ca="1">IFERROR(__xludf.DUMMYFUNCTION("GOOGLEFINANCE(C838,""changepct"")"),2.21)</f>
        <v>2.21</v>
      </c>
      <c r="R838" s="9"/>
      <c r="S838" s="9"/>
      <c r="T838" s="9"/>
      <c r="U838" s="9"/>
      <c r="V838" s="9"/>
      <c r="W838" s="9"/>
    </row>
    <row r="839" spans="1:23" ht="14.4">
      <c r="A839" s="3">
        <f>LOOKUP(D839,'AMFI DATA_2023H1'!B:C,'AMFI DATA_2023H1'!C:C)</f>
        <v>2116</v>
      </c>
      <c r="B839" s="4" t="s">
        <v>4895</v>
      </c>
      <c r="C839" s="4" t="s">
        <v>4896</v>
      </c>
      <c r="D839" s="5" t="s">
        <v>4897</v>
      </c>
      <c r="E839" s="5">
        <f>LOOKUP(D839,'AMFI DATA_2023H1'!B:D,'AMFI DATA_2023H1'!D:D)</f>
        <v>118.81</v>
      </c>
      <c r="F839" s="7">
        <f t="shared" si="3"/>
        <v>0.37193838902449294</v>
      </c>
      <c r="G839" s="9">
        <v>163</v>
      </c>
      <c r="H839" s="9">
        <v>166</v>
      </c>
      <c r="I839" s="9">
        <v>171</v>
      </c>
      <c r="J839" s="9">
        <v>164</v>
      </c>
      <c r="K839" s="9">
        <v>169</v>
      </c>
      <c r="L839" s="9">
        <v>167</v>
      </c>
      <c r="M839" s="9"/>
      <c r="N839" s="9"/>
      <c r="O839" s="9"/>
      <c r="P839" s="9"/>
      <c r="Q839" s="9">
        <f ca="1">IFERROR(__xludf.DUMMYFUNCTION("GOOGLEFINANCE(C839,""changepct"")"),20.77)</f>
        <v>20.77</v>
      </c>
      <c r="R839" s="9"/>
      <c r="S839" s="9"/>
      <c r="T839" s="9"/>
      <c r="U839" s="9"/>
      <c r="V839" s="9"/>
      <c r="W839" s="9"/>
    </row>
    <row r="840" spans="1:23" ht="14.4">
      <c r="A840" s="3">
        <f>LOOKUP(D840,'AMFI DATA_2023H1'!B:C,'AMFI DATA_2023H1'!C:C)</f>
        <v>1114</v>
      </c>
      <c r="B840" s="4" t="s">
        <v>2858</v>
      </c>
      <c r="C840" s="4" t="s">
        <v>2859</v>
      </c>
      <c r="D840" s="5" t="s">
        <v>2860</v>
      </c>
      <c r="E840" s="5">
        <f>LOOKUP(D840,'AMFI DATA_2023H1'!B:D,'AMFI DATA_2023H1'!D:D)</f>
        <v>847.32</v>
      </c>
      <c r="F840" s="7">
        <f t="shared" si="3"/>
        <v>1.5846197422461406</v>
      </c>
      <c r="G840" s="8">
        <v>2190</v>
      </c>
      <c r="H840" s="8">
        <v>2133</v>
      </c>
      <c r="I840" s="8">
        <v>2123</v>
      </c>
      <c r="J840" s="8">
        <v>2208</v>
      </c>
      <c r="K840" s="8">
        <v>2191</v>
      </c>
      <c r="L840" s="8">
        <v>2234</v>
      </c>
      <c r="M840" s="8"/>
      <c r="N840" s="8"/>
      <c r="O840" s="8"/>
      <c r="P840" s="8"/>
      <c r="Q840" s="9">
        <f ca="1">IFERROR(__xludf.DUMMYFUNCTION("GOOGLEFINANCE(C840,""changepct"")"),-1.01)</f>
        <v>-1.01</v>
      </c>
      <c r="R840" s="8"/>
      <c r="S840" s="8"/>
      <c r="T840" s="8"/>
      <c r="U840" s="8"/>
      <c r="V840" s="8"/>
      <c r="W840" s="8"/>
    </row>
    <row r="841" spans="1:23" ht="14.4">
      <c r="A841" s="3">
        <f>LOOKUP(D841,'AMFI DATA_2023H1'!B:C,'AMFI DATA_2023H1'!C:C)</f>
        <v>1508</v>
      </c>
      <c r="B841" s="4" t="s">
        <v>3932</v>
      </c>
      <c r="C841" s="4" t="s">
        <v>3933</v>
      </c>
      <c r="D841" s="5" t="s">
        <v>3934</v>
      </c>
      <c r="E841" s="5">
        <f>LOOKUP(D841,'AMFI DATA_2023H1'!B:D,'AMFI DATA_2023H1'!D:D)</f>
        <v>339.96</v>
      </c>
      <c r="F841" s="7">
        <f t="shared" si="3"/>
        <v>0.81197787975055902</v>
      </c>
      <c r="G841" s="9">
        <v>616</v>
      </c>
      <c r="H841" s="9">
        <v>613</v>
      </c>
      <c r="I841" s="9">
        <v>610</v>
      </c>
      <c r="J841" s="9">
        <v>616</v>
      </c>
      <c r="K841" s="9">
        <v>619</v>
      </c>
      <c r="L841" s="9">
        <v>627</v>
      </c>
      <c r="M841" s="9"/>
      <c r="N841" s="9"/>
      <c r="O841" s="9"/>
      <c r="P841" s="9"/>
      <c r="Q841" s="9">
        <f ca="1">IFERROR(__xludf.DUMMYFUNCTION("GOOGLEFINANCE(C841,""changepct"")"),0.5)</f>
        <v>0.5</v>
      </c>
      <c r="R841" s="9"/>
      <c r="S841" s="9"/>
      <c r="T841" s="9"/>
      <c r="U841" s="9"/>
      <c r="V841" s="9"/>
      <c r="W841" s="9"/>
    </row>
    <row r="842" spans="1:23" ht="14.4">
      <c r="A842" s="3">
        <f>LOOKUP(D842,'AMFI DATA_2023H1'!B:C,'AMFI DATA_2023H1'!C:C)</f>
        <v>667</v>
      </c>
      <c r="B842" s="4" t="s">
        <v>2333</v>
      </c>
      <c r="C842" s="4" t="s">
        <v>2334</v>
      </c>
      <c r="D842" s="5" t="s">
        <v>2335</v>
      </c>
      <c r="E842" s="5">
        <f>LOOKUP(D842,'AMFI DATA_2023H1'!B:D,'AMFI DATA_2023H1'!D:D)</f>
        <v>2850.34</v>
      </c>
      <c r="F842" s="7">
        <f t="shared" si="3"/>
        <v>1.0405776153020296E-2</v>
      </c>
      <c r="G842" s="8">
        <v>2880</v>
      </c>
      <c r="H842" s="8">
        <v>2781</v>
      </c>
      <c r="I842" s="8">
        <v>2793</v>
      </c>
      <c r="J842" s="8">
        <v>2780</v>
      </c>
      <c r="K842" s="8">
        <v>2739</v>
      </c>
      <c r="L842" s="8">
        <v>2722</v>
      </c>
      <c r="M842" s="8"/>
      <c r="N842" s="8"/>
      <c r="O842" s="8"/>
      <c r="P842" s="8"/>
      <c r="Q842" s="9">
        <f ca="1">IFERROR(__xludf.DUMMYFUNCTION("GOOGLEFINANCE(C842,""changepct"")"),0.12)</f>
        <v>0.12</v>
      </c>
      <c r="R842" s="8"/>
      <c r="S842" s="8"/>
      <c r="T842" s="8"/>
      <c r="U842" s="8"/>
      <c r="V842" s="8"/>
      <c r="W842" s="8"/>
    </row>
    <row r="843" spans="1:23" ht="14.4">
      <c r="A843" s="3">
        <f>LOOKUP(D843,'AMFI DATA_2023H1'!B:C,'AMFI DATA_2023H1'!C:C)</f>
        <v>1294</v>
      </c>
      <c r="B843" s="4" t="s">
        <v>3818</v>
      </c>
      <c r="C843" s="4" t="s">
        <v>3819</v>
      </c>
      <c r="D843" s="5" t="s">
        <v>3820</v>
      </c>
      <c r="E843" s="5">
        <f>LOOKUP(D843,'AMFI DATA_2023H1'!B:D,'AMFI DATA_2023H1'!D:D)</f>
        <v>534.46</v>
      </c>
      <c r="F843" s="7">
        <f t="shared" si="3"/>
        <v>0.22366500767129427</v>
      </c>
      <c r="G843" s="9">
        <v>654</v>
      </c>
      <c r="H843" s="9">
        <v>654</v>
      </c>
      <c r="I843" s="9">
        <v>652</v>
      </c>
      <c r="J843" s="9">
        <v>656</v>
      </c>
      <c r="K843" s="9">
        <v>657</v>
      </c>
      <c r="L843" s="9">
        <v>657</v>
      </c>
      <c r="M843" s="9"/>
      <c r="N843" s="9"/>
      <c r="O843" s="9"/>
      <c r="P843" s="9"/>
      <c r="Q843" s="9">
        <f ca="1">IFERROR(__xludf.DUMMYFUNCTION("GOOGLEFINANCE(C843,""changepct"")"),-1.68)</f>
        <v>-1.68</v>
      </c>
      <c r="R843" s="9"/>
      <c r="S843" s="9"/>
      <c r="T843" s="9"/>
      <c r="U843" s="9"/>
      <c r="V843" s="9"/>
      <c r="W843" s="9"/>
    </row>
    <row r="844" spans="1:23" ht="14.4">
      <c r="A844" s="3">
        <f>LOOKUP(D844,'AMFI DATA_2023H1'!B:C,'AMFI DATA_2023H1'!C:C)</f>
        <v>495</v>
      </c>
      <c r="B844" s="4" t="s">
        <v>1086</v>
      </c>
      <c r="C844" s="4" t="s">
        <v>1087</v>
      </c>
      <c r="D844" s="5" t="s">
        <v>1088</v>
      </c>
      <c r="E844" s="5">
        <f>LOOKUP(D844,'AMFI DATA_2023H1'!B:D,'AMFI DATA_2023H1'!D:D)</f>
        <v>5312.09</v>
      </c>
      <c r="F844" s="7">
        <f t="shared" si="3"/>
        <v>1.5402431058208728</v>
      </c>
      <c r="G844" s="8">
        <v>13494</v>
      </c>
      <c r="H844" s="8">
        <v>13235</v>
      </c>
      <c r="I844" s="8">
        <v>13120</v>
      </c>
      <c r="J844" s="8">
        <v>13204</v>
      </c>
      <c r="K844" s="8">
        <v>13502</v>
      </c>
      <c r="L844" s="8">
        <v>13570</v>
      </c>
      <c r="M844" s="8"/>
      <c r="N844" s="8"/>
      <c r="O844" s="8"/>
      <c r="P844" s="8"/>
      <c r="Q844" s="9">
        <f ca="1">IFERROR(__xludf.DUMMYFUNCTION("GOOGLEFINANCE(C844,""changepct"")"),-2.95)</f>
        <v>-2.95</v>
      </c>
      <c r="R844" s="8"/>
      <c r="S844" s="8"/>
      <c r="T844" s="8"/>
      <c r="U844" s="8"/>
      <c r="V844" s="8"/>
      <c r="W844" s="8"/>
    </row>
    <row r="845" spans="1:23" ht="14.4">
      <c r="A845" s="3">
        <f>LOOKUP(D845,'AMFI DATA_2023H1'!B:C,'AMFI DATA_2023H1'!C:C)</f>
        <v>242</v>
      </c>
      <c r="B845" s="4" t="s">
        <v>510</v>
      </c>
      <c r="C845" s="4" t="s">
        <v>511</v>
      </c>
      <c r="D845" s="5" t="s">
        <v>512</v>
      </c>
      <c r="E845" s="5">
        <f>LOOKUP(D845,'AMFI DATA_2023H1'!B:D,'AMFI DATA_2023H1'!D:D)</f>
        <v>18441.79</v>
      </c>
      <c r="F845" s="7">
        <f t="shared" si="3"/>
        <v>1.5602720777104606</v>
      </c>
      <c r="G845" s="8">
        <v>47216</v>
      </c>
      <c r="H845" s="8">
        <v>47142</v>
      </c>
      <c r="I845" s="8">
        <v>46816</v>
      </c>
      <c r="J845" s="8">
        <v>45989</v>
      </c>
      <c r="K845" s="8">
        <v>45911</v>
      </c>
      <c r="L845" s="8">
        <v>45215</v>
      </c>
      <c r="M845" s="8"/>
      <c r="N845" s="8"/>
      <c r="O845" s="8"/>
      <c r="P845" s="8"/>
      <c r="Q845" s="9">
        <f ca="1">IFERROR(__xludf.DUMMYFUNCTION("GOOGLEFINANCE(C845,""changepct"")"),1.53)</f>
        <v>1.53</v>
      </c>
      <c r="R845" s="8"/>
      <c r="S845" s="8"/>
      <c r="T845" s="8"/>
      <c r="U845" s="8"/>
      <c r="V845" s="8"/>
      <c r="W845" s="8"/>
    </row>
    <row r="846" spans="1:23" ht="14.4">
      <c r="A846" s="3">
        <f>LOOKUP(D846,'AMFI DATA_2023H1'!B:C,'AMFI DATA_2023H1'!C:C)</f>
        <v>84</v>
      </c>
      <c r="B846" s="4" t="s">
        <v>300</v>
      </c>
      <c r="C846" s="4" t="s">
        <v>301</v>
      </c>
      <c r="D846" s="5" t="s">
        <v>302</v>
      </c>
      <c r="E846" s="5">
        <f>LOOKUP(D846,'AMFI DATA_2023H1'!B:D,'AMFI DATA_2023H1'!D:D)</f>
        <v>57937.91</v>
      </c>
      <c r="F846" s="7">
        <f t="shared" si="3"/>
        <v>0.30843518518358692</v>
      </c>
      <c r="G846" s="8">
        <v>75808</v>
      </c>
      <c r="H846" s="8">
        <v>76277</v>
      </c>
      <c r="I846" s="8">
        <v>75145</v>
      </c>
      <c r="J846" s="8">
        <v>74803</v>
      </c>
      <c r="K846" s="8">
        <v>74390</v>
      </c>
      <c r="L846" s="8">
        <v>74099</v>
      </c>
      <c r="M846" s="8"/>
      <c r="N846" s="8"/>
      <c r="O846" s="8"/>
      <c r="P846" s="8"/>
      <c r="Q846" s="9">
        <f ca="1">IFERROR(__xludf.DUMMYFUNCTION("GOOGLEFINANCE(C846,""changepct"")"),1.29)</f>
        <v>1.29</v>
      </c>
      <c r="R846" s="8"/>
      <c r="S846" s="8"/>
      <c r="T846" s="8"/>
      <c r="U846" s="8"/>
      <c r="V846" s="8"/>
      <c r="W846" s="8"/>
    </row>
    <row r="847" spans="1:23" ht="14.4">
      <c r="A847" s="3">
        <f>LOOKUP(D847,'AMFI DATA_2023H1'!B:C,'AMFI DATA_2023H1'!C:C)</f>
        <v>419</v>
      </c>
      <c r="B847" s="4" t="s">
        <v>1557</v>
      </c>
      <c r="C847" s="4" t="s">
        <v>1558</v>
      </c>
      <c r="D847" s="5" t="s">
        <v>1559</v>
      </c>
      <c r="E847" s="5">
        <f>LOOKUP(D847,'AMFI DATA_2023H1'!B:D,'AMFI DATA_2023H1'!D:D)</f>
        <v>7016.05</v>
      </c>
      <c r="F847" s="7">
        <f t="shared" si="3"/>
        <v>-0.1054795789653723</v>
      </c>
      <c r="G847" s="8">
        <v>6276</v>
      </c>
      <c r="H847" s="8">
        <v>6106</v>
      </c>
      <c r="I847" s="8">
        <v>5956</v>
      </c>
      <c r="J847" s="8">
        <v>6084</v>
      </c>
      <c r="K847" s="8">
        <v>6108</v>
      </c>
      <c r="L847" s="8">
        <v>6126</v>
      </c>
      <c r="M847" s="8"/>
      <c r="N847" s="8"/>
      <c r="O847" s="8"/>
      <c r="P847" s="8"/>
      <c r="Q847" s="9">
        <f ca="1">IFERROR(__xludf.DUMMYFUNCTION("GOOGLEFINANCE(C847,""changepct"")"),-0.67)</f>
        <v>-0.67</v>
      </c>
      <c r="R847" s="8"/>
      <c r="S847" s="8"/>
      <c r="T847" s="8"/>
      <c r="U847" s="8"/>
      <c r="V847" s="8"/>
      <c r="W847" s="8"/>
    </row>
    <row r="848" spans="1:23" ht="14.4">
      <c r="A848" s="3">
        <f>LOOKUP(D848,'AMFI DATA_2023H1'!B:C,'AMFI DATA_2023H1'!C:C)</f>
        <v>419</v>
      </c>
      <c r="B848" s="4" t="s">
        <v>123</v>
      </c>
      <c r="C848" s="4" t="s">
        <v>124</v>
      </c>
      <c r="D848" s="5" t="s">
        <v>125</v>
      </c>
      <c r="E848" s="5">
        <f>LOOKUP(D848,'AMFI DATA_2023H1'!B:D,'AMFI DATA_2023H1'!D:D)</f>
        <v>7016.05</v>
      </c>
      <c r="F848" s="7">
        <f t="shared" si="3"/>
        <v>20.243862287184385</v>
      </c>
      <c r="G848" s="8">
        <v>149048</v>
      </c>
      <c r="H848" s="8">
        <v>148063</v>
      </c>
      <c r="I848" s="8">
        <v>148254</v>
      </c>
      <c r="J848" s="8">
        <v>148667</v>
      </c>
      <c r="K848" s="8">
        <v>149112</v>
      </c>
      <c r="L848" s="8">
        <v>150414</v>
      </c>
      <c r="M848" s="8"/>
      <c r="N848" s="8"/>
      <c r="O848" s="8"/>
      <c r="P848" s="8"/>
      <c r="Q848" s="9">
        <f ca="1">IFERROR(__xludf.DUMMYFUNCTION("GOOGLEFINANCE(C848,""changepct"")"),1.25)</f>
        <v>1.25</v>
      </c>
      <c r="R848" s="8"/>
      <c r="S848" s="8"/>
      <c r="T848" s="8"/>
      <c r="U848" s="8"/>
      <c r="V848" s="8"/>
      <c r="W848" s="8"/>
    </row>
    <row r="849" spans="1:23" ht="14.4">
      <c r="A849" s="3">
        <f>LOOKUP(D849,'AMFI DATA_2023H1'!B:C,'AMFI DATA_2023H1'!C:C)</f>
        <v>1410</v>
      </c>
      <c r="B849" s="4" t="s">
        <v>3104</v>
      </c>
      <c r="C849" s="4" t="s">
        <v>3105</v>
      </c>
      <c r="D849" s="5" t="s">
        <v>3106</v>
      </c>
      <c r="E849" s="5">
        <f>LOOKUP(D849,'AMFI DATA_2023H1'!B:D,'AMFI DATA_2023H1'!D:D)</f>
        <v>402.79</v>
      </c>
      <c r="F849" s="7">
        <f t="shared" si="3"/>
        <v>2.6694058938901164</v>
      </c>
      <c r="G849" s="8">
        <v>1478</v>
      </c>
      <c r="H849" s="8">
        <v>1436</v>
      </c>
      <c r="I849" s="8">
        <v>1374</v>
      </c>
      <c r="J849" s="8">
        <v>1351</v>
      </c>
      <c r="K849" s="8">
        <v>1348</v>
      </c>
      <c r="L849" s="8">
        <v>1362</v>
      </c>
      <c r="M849" s="8"/>
      <c r="N849" s="8"/>
      <c r="O849" s="8"/>
      <c r="P849" s="8"/>
      <c r="Q849" s="9">
        <f ca="1">IFERROR(__xludf.DUMMYFUNCTION("GOOGLEFINANCE(C849,""changepct"")"),-1.28)</f>
        <v>-1.28</v>
      </c>
      <c r="R849" s="8"/>
      <c r="S849" s="8"/>
      <c r="T849" s="8"/>
      <c r="U849" s="8"/>
      <c r="V849" s="8"/>
      <c r="W849" s="8"/>
    </row>
    <row r="850" spans="1:23" ht="14.4">
      <c r="A850" s="3">
        <f>LOOKUP(D850,'AMFI DATA_2023H1'!B:C,'AMFI DATA_2023H1'!C:C)</f>
        <v>205</v>
      </c>
      <c r="B850" s="4" t="s">
        <v>672</v>
      </c>
      <c r="C850" s="4" t="s">
        <v>673</v>
      </c>
      <c r="D850" s="5" t="s">
        <v>674</v>
      </c>
      <c r="E850" s="5">
        <f>LOOKUP(D850,'AMFI DATA_2023H1'!B:D,'AMFI DATA_2023H1'!D:D)</f>
        <v>22855.09</v>
      </c>
      <c r="F850" s="7">
        <f t="shared" si="3"/>
        <v>0.28448411272937446</v>
      </c>
      <c r="G850" s="8">
        <v>29357</v>
      </c>
      <c r="H850" s="8">
        <v>29215</v>
      </c>
      <c r="I850" s="8">
        <v>29188</v>
      </c>
      <c r="J850" s="8">
        <v>29185</v>
      </c>
      <c r="K850" s="8">
        <v>29093</v>
      </c>
      <c r="L850" s="8">
        <v>29224</v>
      </c>
      <c r="M850" s="8"/>
      <c r="N850" s="8"/>
      <c r="O850" s="8"/>
      <c r="P850" s="8"/>
      <c r="Q850" s="9">
        <f ca="1">IFERROR(__xludf.DUMMYFUNCTION("GOOGLEFINANCE(C850,""changepct"")"),-0.53)</f>
        <v>-0.53</v>
      </c>
      <c r="R850" s="8"/>
      <c r="S850" s="8"/>
      <c r="T850" s="8"/>
      <c r="U850" s="8"/>
      <c r="V850" s="8"/>
      <c r="W850" s="8"/>
    </row>
    <row r="851" spans="1:23" ht="14.4">
      <c r="A851" s="3">
        <f>LOOKUP(D851,'AMFI DATA_2023H1'!B:C,'AMFI DATA_2023H1'!C:C)</f>
        <v>373</v>
      </c>
      <c r="B851" s="4" t="s">
        <v>1368</v>
      </c>
      <c r="C851" s="4" t="s">
        <v>1369</v>
      </c>
      <c r="D851" s="5" t="s">
        <v>1370</v>
      </c>
      <c r="E851" s="5">
        <f>LOOKUP(D851,'AMFI DATA_2023H1'!B:D,'AMFI DATA_2023H1'!D:D)</f>
        <v>8750.9599999999991</v>
      </c>
      <c r="F851" s="7">
        <f t="shared" si="3"/>
        <v>0.20512492343697164</v>
      </c>
      <c r="G851" s="8">
        <v>10546</v>
      </c>
      <c r="H851" s="8">
        <v>10614</v>
      </c>
      <c r="I851" s="8">
        <v>10600</v>
      </c>
      <c r="J851" s="8">
        <v>10403</v>
      </c>
      <c r="K851" s="8">
        <v>10426</v>
      </c>
      <c r="L851" s="8">
        <v>10238</v>
      </c>
      <c r="M851" s="8"/>
      <c r="N851" s="8"/>
      <c r="O851" s="8"/>
      <c r="P851" s="8"/>
      <c r="Q851" s="9">
        <f ca="1">IFERROR(__xludf.DUMMYFUNCTION("GOOGLEFINANCE(C851,""changepct"")"),3.23)</f>
        <v>3.23</v>
      </c>
      <c r="R851" s="8"/>
      <c r="S851" s="8"/>
      <c r="T851" s="8"/>
      <c r="U851" s="8"/>
      <c r="V851" s="8"/>
      <c r="W851" s="8"/>
    </row>
    <row r="852" spans="1:23" ht="14.4">
      <c r="A852" s="3">
        <f>LOOKUP(D852,'AMFI DATA_2023H1'!B:C,'AMFI DATA_2023H1'!C:C)</f>
        <v>449</v>
      </c>
      <c r="B852" s="4" t="s">
        <v>1638</v>
      </c>
      <c r="C852" s="4" t="s">
        <v>1639</v>
      </c>
      <c r="D852" s="5" t="s">
        <v>1640</v>
      </c>
      <c r="E852" s="5">
        <f>LOOKUP(D852,'AMFI DATA_2023H1'!B:D,'AMFI DATA_2023H1'!D:D)</f>
        <v>6342.64</v>
      </c>
      <c r="F852" s="7">
        <f t="shared" si="3"/>
        <v>8.188388431315663E-2</v>
      </c>
      <c r="G852" s="8">
        <v>6862</v>
      </c>
      <c r="H852" s="8">
        <v>6899</v>
      </c>
      <c r="I852" s="8">
        <v>6949</v>
      </c>
      <c r="J852" s="8">
        <v>6990</v>
      </c>
      <c r="K852" s="8">
        <v>6687</v>
      </c>
      <c r="L852" s="8">
        <v>6594</v>
      </c>
      <c r="M852" s="8"/>
      <c r="N852" s="8"/>
      <c r="O852" s="8"/>
      <c r="P852" s="8"/>
      <c r="Q852" s="9">
        <f ca="1">IFERROR(__xludf.DUMMYFUNCTION("GOOGLEFINANCE(C852,""changepct"")"),8.22)</f>
        <v>8.2200000000000006</v>
      </c>
      <c r="R852" s="8"/>
      <c r="S852" s="8"/>
      <c r="T852" s="8"/>
      <c r="U852" s="8"/>
      <c r="V852" s="8"/>
      <c r="W852" s="8"/>
    </row>
    <row r="853" spans="1:23" ht="14.4">
      <c r="A853" s="3">
        <f>LOOKUP(D853,'AMFI DATA_2023H1'!B:C,'AMFI DATA_2023H1'!C:C)</f>
        <v>556</v>
      </c>
      <c r="B853" s="4" t="s">
        <v>1479</v>
      </c>
      <c r="C853" s="4" t="s">
        <v>1480</v>
      </c>
      <c r="D853" s="5" t="s">
        <v>1481</v>
      </c>
      <c r="E853" s="5">
        <f>LOOKUP(D853,'AMFI DATA_2023H1'!B:D,'AMFI DATA_2023H1'!D:D)</f>
        <v>4262.38</v>
      </c>
      <c r="F853" s="7">
        <f t="shared" si="3"/>
        <v>1.4054636142249164</v>
      </c>
      <c r="G853" s="8">
        <v>10253</v>
      </c>
      <c r="H853" s="8">
        <v>9784</v>
      </c>
      <c r="I853" s="8">
        <v>9470</v>
      </c>
      <c r="J853" s="8">
        <v>9278</v>
      </c>
      <c r="K853" s="8">
        <v>9288</v>
      </c>
      <c r="L853" s="8">
        <v>9438</v>
      </c>
      <c r="M853" s="8"/>
      <c r="N853" s="8"/>
      <c r="O853" s="8"/>
      <c r="P853" s="8"/>
      <c r="Q853" s="9">
        <f ca="1">IFERROR(__xludf.DUMMYFUNCTION("GOOGLEFINANCE(C853,""changepct"")"),8.88)</f>
        <v>8.8800000000000008</v>
      </c>
      <c r="R853" s="8"/>
      <c r="S853" s="8"/>
      <c r="T853" s="8"/>
      <c r="U853" s="8"/>
      <c r="V853" s="8"/>
      <c r="W853" s="8"/>
    </row>
    <row r="854" spans="1:23" ht="14.4">
      <c r="A854" s="3">
        <f>LOOKUP(D854,'AMFI DATA_2023H1'!B:C,'AMFI DATA_2023H1'!C:C)</f>
        <v>450</v>
      </c>
      <c r="B854" s="4" t="s">
        <v>1407</v>
      </c>
      <c r="C854" s="4" t="s">
        <v>1408</v>
      </c>
      <c r="D854" s="5" t="s">
        <v>1409</v>
      </c>
      <c r="E854" s="5">
        <f>LOOKUP(D854,'AMFI DATA_2023H1'!B:D,'AMFI DATA_2023H1'!D:D)</f>
        <v>6332.41</v>
      </c>
      <c r="F854" s="7">
        <f t="shared" si="3"/>
        <v>0.50716709751895417</v>
      </c>
      <c r="G854" s="8">
        <v>9544</v>
      </c>
      <c r="H854" s="8">
        <v>9383</v>
      </c>
      <c r="I854" s="8">
        <v>9346</v>
      </c>
      <c r="J854" s="8">
        <v>9547</v>
      </c>
      <c r="K854" s="8">
        <v>9238</v>
      </c>
      <c r="L854" s="8">
        <v>9308</v>
      </c>
      <c r="M854" s="8"/>
      <c r="N854" s="8"/>
      <c r="O854" s="8"/>
      <c r="P854" s="8"/>
      <c r="Q854" s="9">
        <f ca="1">IFERROR(__xludf.DUMMYFUNCTION("GOOGLEFINANCE(C854,""changepct"")"),6.4)</f>
        <v>6.4</v>
      </c>
      <c r="R854" s="8"/>
      <c r="S854" s="8"/>
      <c r="T854" s="8"/>
      <c r="U854" s="8"/>
      <c r="V854" s="8"/>
      <c r="W854" s="8"/>
    </row>
    <row r="855" spans="1:23" ht="14.4">
      <c r="A855" s="3">
        <f>LOOKUP(D855,'AMFI DATA_2023H1'!B:C,'AMFI DATA_2023H1'!C:C)</f>
        <v>1926</v>
      </c>
      <c r="B855" s="4" t="s">
        <v>4787</v>
      </c>
      <c r="C855" s="4" t="s">
        <v>4788</v>
      </c>
      <c r="D855" s="5" t="s">
        <v>4789</v>
      </c>
      <c r="E855" s="5">
        <f>LOOKUP(D855,'AMFI DATA_2023H1'!B:D,'AMFI DATA_2023H1'!D:D)</f>
        <v>160.22</v>
      </c>
      <c r="F855" s="7">
        <f t="shared" si="3"/>
        <v>0.28573211833728629</v>
      </c>
      <c r="G855" s="9">
        <v>206</v>
      </c>
      <c r="H855" s="9">
        <v>199</v>
      </c>
      <c r="I855" s="9">
        <v>202</v>
      </c>
      <c r="J855" s="9">
        <v>202</v>
      </c>
      <c r="K855" s="9">
        <v>206</v>
      </c>
      <c r="L855" s="9">
        <v>208</v>
      </c>
      <c r="M855" s="9"/>
      <c r="N855" s="9"/>
      <c r="O855" s="9"/>
      <c r="P855" s="9"/>
      <c r="Q855" s="9">
        <f ca="1">IFERROR(__xludf.DUMMYFUNCTION("GOOGLEFINANCE(C855,""changepct"")"),1.8)</f>
        <v>1.8</v>
      </c>
      <c r="R855" s="9"/>
      <c r="S855" s="9"/>
      <c r="T855" s="9"/>
      <c r="U855" s="9"/>
      <c r="V855" s="9"/>
      <c r="W855" s="9"/>
    </row>
    <row r="856" spans="1:23" ht="14.4">
      <c r="A856" s="3">
        <f>LOOKUP(D856,'AMFI DATA_2023H1'!B:C,'AMFI DATA_2023H1'!C:C)</f>
        <v>651</v>
      </c>
      <c r="B856" s="4" t="s">
        <v>2252</v>
      </c>
      <c r="C856" s="4" t="s">
        <v>2253</v>
      </c>
      <c r="D856" s="5" t="s">
        <v>2254</v>
      </c>
      <c r="E856" s="5">
        <f>LOOKUP(D856,'AMFI DATA_2023H1'!B:D,'AMFI DATA_2023H1'!D:D)</f>
        <v>3019.75</v>
      </c>
      <c r="F856" s="7">
        <f t="shared" si="3"/>
        <v>1.1010845268648151E-2</v>
      </c>
      <c r="G856" s="8">
        <v>3053</v>
      </c>
      <c r="H856" s="8">
        <v>3047</v>
      </c>
      <c r="I856" s="8">
        <v>3038</v>
      </c>
      <c r="J856" s="8">
        <v>3015</v>
      </c>
      <c r="K856" s="8">
        <v>3056</v>
      </c>
      <c r="L856" s="8">
        <v>3074</v>
      </c>
      <c r="M856" s="8"/>
      <c r="N856" s="8"/>
      <c r="O856" s="8"/>
      <c r="P856" s="8"/>
      <c r="Q856" s="9">
        <f ca="1">IFERROR(__xludf.DUMMYFUNCTION("GOOGLEFINANCE(C856,""changepct"")"),-3.05)</f>
        <v>-3.05</v>
      </c>
      <c r="R856" s="8"/>
      <c r="S856" s="8"/>
      <c r="T856" s="8"/>
      <c r="U856" s="8"/>
      <c r="V856" s="8"/>
      <c r="W856" s="8"/>
    </row>
    <row r="857" spans="1:23" ht="14.4">
      <c r="A857" s="3">
        <f>LOOKUP(D857,'AMFI DATA_2023H1'!B:C,'AMFI DATA_2023H1'!C:C)</f>
        <v>128</v>
      </c>
      <c r="B857" s="4" t="s">
        <v>327</v>
      </c>
      <c r="C857" s="4" t="s">
        <v>328</v>
      </c>
      <c r="D857" s="5" t="s">
        <v>329</v>
      </c>
      <c r="E857" s="5">
        <f>LOOKUP(D857,'AMFI DATA_2023H1'!B:D,'AMFI DATA_2023H1'!D:D)</f>
        <v>41406.97</v>
      </c>
      <c r="F857" s="7">
        <f t="shared" si="3"/>
        <v>0.62871130150310428</v>
      </c>
      <c r="G857" s="8">
        <v>67440</v>
      </c>
      <c r="H857" s="8">
        <v>67284</v>
      </c>
      <c r="I857" s="8">
        <v>67103</v>
      </c>
      <c r="J857" s="8">
        <v>67572</v>
      </c>
      <c r="K857" s="8">
        <v>68237</v>
      </c>
      <c r="L857" s="8">
        <v>67317</v>
      </c>
      <c r="M857" s="8"/>
      <c r="N857" s="8"/>
      <c r="O857" s="8"/>
      <c r="P857" s="8"/>
      <c r="Q857" s="9">
        <f ca="1">IFERROR(__xludf.DUMMYFUNCTION("GOOGLEFINANCE(C857,""changepct"")"),6.53)</f>
        <v>6.53</v>
      </c>
      <c r="R857" s="8"/>
      <c r="S857" s="8"/>
      <c r="T857" s="8"/>
      <c r="U857" s="8"/>
      <c r="V857" s="8"/>
      <c r="W857" s="8"/>
    </row>
    <row r="858" spans="1:23" ht="14.4">
      <c r="A858" s="3">
        <f>LOOKUP(D858,'AMFI DATA_2023H1'!B:C,'AMFI DATA_2023H1'!C:C)</f>
        <v>532</v>
      </c>
      <c r="B858" s="4" t="s">
        <v>1788</v>
      </c>
      <c r="C858" s="4" t="s">
        <v>1789</v>
      </c>
      <c r="D858" s="5" t="s">
        <v>1790</v>
      </c>
      <c r="E858" s="5">
        <f>LOOKUP(D858,'AMFI DATA_2023H1'!B:D,'AMFI DATA_2023H1'!D:D)</f>
        <v>4585.9799999999996</v>
      </c>
      <c r="F858" s="7">
        <f t="shared" si="3"/>
        <v>0.24902419984387203</v>
      </c>
      <c r="G858" s="8">
        <v>5728</v>
      </c>
      <c r="H858" s="8">
        <v>5689</v>
      </c>
      <c r="I858" s="8">
        <v>5843</v>
      </c>
      <c r="J858" s="8">
        <v>5883</v>
      </c>
      <c r="K858" s="8">
        <v>5833</v>
      </c>
      <c r="L858" s="8">
        <v>5608</v>
      </c>
      <c r="M858" s="8"/>
      <c r="N858" s="8"/>
      <c r="O858" s="8"/>
      <c r="P858" s="8"/>
      <c r="Q858" s="9">
        <f ca="1">IFERROR(__xludf.DUMMYFUNCTION("GOOGLEFINANCE(C858,""changepct"")"),0.98)</f>
        <v>0.98</v>
      </c>
      <c r="R858" s="8"/>
      <c r="S858" s="8"/>
      <c r="T858" s="8"/>
      <c r="U858" s="8"/>
      <c r="V858" s="8"/>
      <c r="W858" s="8"/>
    </row>
    <row r="859" spans="1:23" ht="14.4">
      <c r="A859" s="3">
        <f>LOOKUP(D859,'AMFI DATA_2023H1'!B:C,'AMFI DATA_2023H1'!C:C)</f>
        <v>532</v>
      </c>
      <c r="B859" s="4" t="s">
        <v>486</v>
      </c>
      <c r="C859" s="4" t="s">
        <v>487</v>
      </c>
      <c r="D859" s="5" t="s">
        <v>488</v>
      </c>
      <c r="E859" s="5">
        <f>LOOKUP(D859,'AMFI DATA_2023H1'!B:D,'AMFI DATA_2023H1'!D:D)</f>
        <v>4585.9799999999996</v>
      </c>
      <c r="F859" s="7">
        <f t="shared" si="3"/>
        <v>8.6507180580813703</v>
      </c>
      <c r="G859" s="8">
        <v>44258</v>
      </c>
      <c r="H859" s="8">
        <v>43743</v>
      </c>
      <c r="I859" s="8">
        <v>44289</v>
      </c>
      <c r="J859" s="8">
        <v>44562</v>
      </c>
      <c r="K859" s="8">
        <v>46400</v>
      </c>
      <c r="L859" s="8">
        <v>46305</v>
      </c>
      <c r="M859" s="8"/>
      <c r="N859" s="8"/>
      <c r="O859" s="8"/>
      <c r="P859" s="8"/>
      <c r="Q859" s="9">
        <f ca="1">IFERROR(__xludf.DUMMYFUNCTION("GOOGLEFINANCE(C859,""changepct"")"),2.14)</f>
        <v>2.14</v>
      </c>
      <c r="R859" s="8"/>
      <c r="S859" s="8"/>
      <c r="T859" s="8"/>
      <c r="U859" s="8"/>
      <c r="V859" s="8"/>
      <c r="W859" s="8"/>
    </row>
    <row r="860" spans="1:23" ht="14.4">
      <c r="A860" s="3">
        <f>LOOKUP(D860,'AMFI DATA_2023H1'!B:C,'AMFI DATA_2023H1'!C:C)</f>
        <v>28</v>
      </c>
      <c r="B860" s="4" t="s">
        <v>96</v>
      </c>
      <c r="C860" s="4" t="s">
        <v>97</v>
      </c>
      <c r="D860" s="5" t="s">
        <v>98</v>
      </c>
      <c r="E860" s="5">
        <f>LOOKUP(D860,'AMFI DATA_2023H1'!B:D,'AMFI DATA_2023H1'!D:D)</f>
        <v>173445.72</v>
      </c>
      <c r="F860" s="7">
        <f t="shared" si="3"/>
        <v>0.23699794956024278</v>
      </c>
      <c r="G860" s="8">
        <v>214552</v>
      </c>
      <c r="H860" s="8">
        <v>215298</v>
      </c>
      <c r="I860" s="8">
        <v>215298</v>
      </c>
      <c r="J860" s="8">
        <v>214197</v>
      </c>
      <c r="K860" s="8">
        <v>208536</v>
      </c>
      <c r="L860" s="8">
        <v>209160</v>
      </c>
      <c r="M860" s="8"/>
      <c r="N860" s="8"/>
      <c r="O860" s="8"/>
      <c r="P860" s="8"/>
      <c r="Q860" s="9">
        <f ca="1">IFERROR(__xludf.DUMMYFUNCTION("GOOGLEFINANCE(C860,""changepct"")"),0.38)</f>
        <v>0.38</v>
      </c>
      <c r="R860" s="8"/>
      <c r="S860" s="8"/>
      <c r="T860" s="8"/>
      <c r="U860" s="8"/>
      <c r="V860" s="8"/>
      <c r="W860" s="8"/>
    </row>
    <row r="861" spans="1:23" ht="14.4">
      <c r="A861" s="3">
        <f>LOOKUP(D861,'AMFI DATA_2023H1'!B:C,'AMFI DATA_2023H1'!C:C)</f>
        <v>657</v>
      </c>
      <c r="B861" s="4" t="s">
        <v>2156</v>
      </c>
      <c r="C861" s="4" t="s">
        <v>2157</v>
      </c>
      <c r="D861" s="5" t="s">
        <v>2158</v>
      </c>
      <c r="E861" s="5">
        <f>LOOKUP(D861,'AMFI DATA_2023H1'!B:D,'AMFI DATA_2023H1'!D:D)</f>
        <v>2958.51</v>
      </c>
      <c r="F861" s="7">
        <f t="shared" si="3"/>
        <v>0.31654109670070407</v>
      </c>
      <c r="G861" s="8">
        <v>3895</v>
      </c>
      <c r="H861" s="8">
        <v>3881</v>
      </c>
      <c r="I861" s="8">
        <v>3618</v>
      </c>
      <c r="J861" s="8">
        <v>3672</v>
      </c>
      <c r="K861" s="8">
        <v>3565</v>
      </c>
      <c r="L861" s="8">
        <v>3590</v>
      </c>
      <c r="M861" s="8"/>
      <c r="N861" s="8"/>
      <c r="O861" s="8"/>
      <c r="P861" s="8"/>
      <c r="Q861" s="9">
        <f ca="1">IFERROR(__xludf.DUMMYFUNCTION("GOOGLEFINANCE(C861,""changepct"")"),4.62)</f>
        <v>4.62</v>
      </c>
      <c r="R861" s="8"/>
      <c r="S861" s="8"/>
      <c r="T861" s="8"/>
      <c r="U861" s="8"/>
      <c r="V861" s="8"/>
      <c r="W861" s="8"/>
    </row>
    <row r="862" spans="1:23" ht="14.4">
      <c r="A862" s="3">
        <f>LOOKUP(D862,'AMFI DATA_2023H1'!B:C,'AMFI DATA_2023H1'!C:C)</f>
        <v>744</v>
      </c>
      <c r="B862" s="4" t="s">
        <v>2126</v>
      </c>
      <c r="C862" s="4" t="s">
        <v>2127</v>
      </c>
      <c r="D862" s="5" t="s">
        <v>2128</v>
      </c>
      <c r="E862" s="5">
        <f>LOOKUP(D862,'AMFI DATA_2023H1'!B:D,'AMFI DATA_2023H1'!D:D)</f>
        <v>2240.4699999999998</v>
      </c>
      <c r="F862" s="7">
        <f t="shared" si="3"/>
        <v>0.81524412288493053</v>
      </c>
      <c r="G862" s="8">
        <v>4067</v>
      </c>
      <c r="H862" s="8">
        <v>4082</v>
      </c>
      <c r="I862" s="8">
        <v>3992</v>
      </c>
      <c r="J862" s="8">
        <v>4063</v>
      </c>
      <c r="K862" s="8">
        <v>4111</v>
      </c>
      <c r="L862" s="8">
        <v>4129</v>
      </c>
      <c r="M862" s="8"/>
      <c r="N862" s="8"/>
      <c r="O862" s="8"/>
      <c r="P862" s="8"/>
      <c r="Q862" s="9">
        <f ca="1">IFERROR(__xludf.DUMMYFUNCTION("GOOGLEFINANCE(C862,""changepct"")"),3.12)</f>
        <v>3.12</v>
      </c>
      <c r="R862" s="8"/>
      <c r="S862" s="8"/>
      <c r="T862" s="8"/>
      <c r="U862" s="8"/>
      <c r="V862" s="8"/>
      <c r="W862" s="8"/>
    </row>
    <row r="863" spans="1:23" ht="14.4">
      <c r="A863" s="3">
        <f>LOOKUP(D863,'AMFI DATA_2023H1'!B:C,'AMFI DATA_2023H1'!C:C)</f>
        <v>170</v>
      </c>
      <c r="B863" s="4" t="s">
        <v>546</v>
      </c>
      <c r="C863" s="4" t="s">
        <v>547</v>
      </c>
      <c r="D863" s="5" t="s">
        <v>548</v>
      </c>
      <c r="E863" s="5">
        <f>LOOKUP(D863,'AMFI DATA_2023H1'!B:D,'AMFI DATA_2023H1'!D:D)</f>
        <v>30760.55</v>
      </c>
      <c r="F863" s="7">
        <f t="shared" si="3"/>
        <v>0.20264429602201517</v>
      </c>
      <c r="G863" s="8">
        <v>36994</v>
      </c>
      <c r="H863" s="8">
        <v>37166</v>
      </c>
      <c r="I863" s="8">
        <v>37614</v>
      </c>
      <c r="J863" s="8">
        <v>37413</v>
      </c>
      <c r="K863" s="8">
        <v>37654</v>
      </c>
      <c r="L863" s="8">
        <v>38367</v>
      </c>
      <c r="M863" s="8"/>
      <c r="N863" s="8"/>
      <c r="O863" s="8"/>
      <c r="P863" s="8"/>
      <c r="Q863" s="9">
        <f ca="1">IFERROR(__xludf.DUMMYFUNCTION("GOOGLEFINANCE(C863,""changepct"")"),-0.34)</f>
        <v>-0.34</v>
      </c>
      <c r="R863" s="8"/>
      <c r="S863" s="8"/>
      <c r="T863" s="8"/>
      <c r="U863" s="8"/>
      <c r="V863" s="8"/>
      <c r="W863" s="8"/>
    </row>
    <row r="864" spans="1:23" ht="14.4">
      <c r="A864" s="3">
        <f>LOOKUP(D864,'AMFI DATA_2023H1'!B:C,'AMFI DATA_2023H1'!C:C)</f>
        <v>1228</v>
      </c>
      <c r="B864" s="4" t="s">
        <v>3455</v>
      </c>
      <c r="C864" s="4" t="s">
        <v>3456</v>
      </c>
      <c r="D864" s="5" t="s">
        <v>3457</v>
      </c>
      <c r="E864" s="5">
        <f>LOOKUP(D864,'AMFI DATA_2023H1'!B:D,'AMFI DATA_2023H1'!D:D)</f>
        <v>638.19000000000005</v>
      </c>
      <c r="F864" s="7">
        <f t="shared" si="3"/>
        <v>0.45724627462041068</v>
      </c>
      <c r="G864" s="9">
        <v>930</v>
      </c>
      <c r="H864" s="9">
        <v>911</v>
      </c>
      <c r="I864" s="9">
        <v>906</v>
      </c>
      <c r="J864" s="9">
        <v>906</v>
      </c>
      <c r="K864" s="9">
        <v>907</v>
      </c>
      <c r="L864" s="9">
        <v>925</v>
      </c>
      <c r="M864" s="9"/>
      <c r="N864" s="9"/>
      <c r="O864" s="9"/>
      <c r="P864" s="9"/>
      <c r="Q864" s="9">
        <f ca="1">IFERROR(__xludf.DUMMYFUNCTION("GOOGLEFINANCE(C864,""changepct"")"),-0.35)</f>
        <v>-0.35</v>
      </c>
      <c r="R864" s="9"/>
      <c r="S864" s="9"/>
      <c r="T864" s="9"/>
      <c r="U864" s="9"/>
      <c r="V864" s="9"/>
      <c r="W864" s="9"/>
    </row>
    <row r="865" spans="1:23" ht="14.4">
      <c r="A865" s="3">
        <f>LOOKUP(D865,'AMFI DATA_2023H1'!B:C,'AMFI DATA_2023H1'!C:C)</f>
        <v>421</v>
      </c>
      <c r="B865" s="4" t="s">
        <v>1506</v>
      </c>
      <c r="C865" s="4" t="s">
        <v>1507</v>
      </c>
      <c r="D865" s="5" t="s">
        <v>1508</v>
      </c>
      <c r="E865" s="5">
        <f>LOOKUP(D865,'AMFI DATA_2023H1'!B:D,'AMFI DATA_2023H1'!D:D)</f>
        <v>6961.06</v>
      </c>
      <c r="F865" s="7">
        <f t="shared" si="3"/>
        <v>0.16289760467515002</v>
      </c>
      <c r="G865" s="8">
        <v>8095</v>
      </c>
      <c r="H865" s="8">
        <v>8126</v>
      </c>
      <c r="I865" s="8">
        <v>8084</v>
      </c>
      <c r="J865" s="8">
        <v>8044</v>
      </c>
      <c r="K865" s="8">
        <v>8013</v>
      </c>
      <c r="L865" s="8">
        <v>7968</v>
      </c>
      <c r="M865" s="8"/>
      <c r="N865" s="8"/>
      <c r="O865" s="8"/>
      <c r="P865" s="8"/>
      <c r="Q865" s="9">
        <f ca="1">IFERROR(__xludf.DUMMYFUNCTION("GOOGLEFINANCE(C865,""changepct"")"),1.8)</f>
        <v>1.8</v>
      </c>
      <c r="R865" s="8"/>
      <c r="S865" s="8"/>
      <c r="T865" s="8"/>
      <c r="U865" s="8"/>
      <c r="V865" s="8"/>
      <c r="W865" s="8"/>
    </row>
    <row r="866" spans="1:23" ht="14.4">
      <c r="A866" s="3">
        <f>LOOKUP(D866,'AMFI DATA_2023H1'!B:C,'AMFI DATA_2023H1'!C:C)</f>
        <v>496</v>
      </c>
      <c r="B866" s="4" t="s">
        <v>1572</v>
      </c>
      <c r="C866" s="4" t="s">
        <v>1573</v>
      </c>
      <c r="D866" s="5" t="s">
        <v>1574</v>
      </c>
      <c r="E866" s="5">
        <f>LOOKUP(D866,'AMFI DATA_2023H1'!B:D,'AMFI DATA_2023H1'!D:D)</f>
        <v>5302.89</v>
      </c>
      <c r="F866" s="7">
        <f t="shared" si="3"/>
        <v>0.74037175954998102</v>
      </c>
      <c r="G866" s="8">
        <v>9229</v>
      </c>
      <c r="H866" s="8">
        <v>8725</v>
      </c>
      <c r="I866" s="8">
        <v>8624</v>
      </c>
      <c r="J866" s="8">
        <v>8578</v>
      </c>
      <c r="K866" s="8">
        <v>8532</v>
      </c>
      <c r="L866" s="8">
        <v>8485</v>
      </c>
      <c r="M866" s="8"/>
      <c r="N866" s="8"/>
      <c r="O866" s="8"/>
      <c r="P866" s="8"/>
      <c r="Q866" s="9">
        <f ca="1">IFERROR(__xludf.DUMMYFUNCTION("GOOGLEFINANCE(C866,""changepct"")"),2.76)</f>
        <v>2.76</v>
      </c>
      <c r="R866" s="8"/>
      <c r="S866" s="8"/>
      <c r="T866" s="8"/>
      <c r="U866" s="8"/>
      <c r="V866" s="8"/>
      <c r="W866" s="8"/>
    </row>
    <row r="867" spans="1:23" ht="14.4">
      <c r="A867" s="3">
        <f>LOOKUP(D867,'AMFI DATA_2023H1'!B:C,'AMFI DATA_2023H1'!C:C)</f>
        <v>1959</v>
      </c>
      <c r="B867" s="4" t="s">
        <v>4796</v>
      </c>
      <c r="C867" s="4" t="s">
        <v>4797</v>
      </c>
      <c r="D867" s="5" t="s">
        <v>4798</v>
      </c>
      <c r="E867" s="5">
        <f>LOOKUP(D867,'AMFI DATA_2023H1'!B:D,'AMFI DATA_2023H1'!D:D)</f>
        <v>152.12</v>
      </c>
      <c r="F867" s="7">
        <f t="shared" si="3"/>
        <v>0.27530896660531146</v>
      </c>
      <c r="G867" s="9">
        <v>194</v>
      </c>
      <c r="H867" s="9">
        <v>188</v>
      </c>
      <c r="I867" s="9">
        <v>188</v>
      </c>
      <c r="J867" s="9">
        <v>188</v>
      </c>
      <c r="K867" s="9">
        <v>189</v>
      </c>
      <c r="L867" s="9">
        <v>183</v>
      </c>
      <c r="M867" s="9"/>
      <c r="N867" s="9"/>
      <c r="O867" s="9"/>
      <c r="P867" s="9"/>
      <c r="Q867" s="9">
        <f ca="1">IFERROR(__xludf.DUMMYFUNCTION("GOOGLEFINANCE(C867,""changepct"")"),-0.53)</f>
        <v>-0.53</v>
      </c>
      <c r="R867" s="9"/>
      <c r="S867" s="9"/>
      <c r="T867" s="9"/>
      <c r="U867" s="9"/>
      <c r="V867" s="9"/>
      <c r="W867" s="9"/>
    </row>
    <row r="868" spans="1:23" ht="14.4">
      <c r="A868" s="3">
        <f>LOOKUP(D868,'AMFI DATA_2023H1'!B:C,'AMFI DATA_2023H1'!C:C)</f>
        <v>556</v>
      </c>
      <c r="B868" s="4" t="s">
        <v>1551</v>
      </c>
      <c r="C868" s="4" t="s">
        <v>1552</v>
      </c>
      <c r="D868" s="5" t="s">
        <v>1553</v>
      </c>
      <c r="E868" s="5">
        <f>LOOKUP(D868,'AMFI DATA_2023H1'!B:D,'AMFI DATA_2023H1'!D:D)</f>
        <v>4262.38</v>
      </c>
      <c r="F868" s="7">
        <f t="shared" si="3"/>
        <v>0.69905076506552666</v>
      </c>
      <c r="G868" s="8">
        <v>7242</v>
      </c>
      <c r="H868" s="8">
        <v>7152</v>
      </c>
      <c r="I868" s="8">
        <v>7376</v>
      </c>
      <c r="J868" s="8">
        <v>7376</v>
      </c>
      <c r="K868" s="8">
        <v>7337</v>
      </c>
      <c r="L868" s="8">
        <v>7526</v>
      </c>
      <c r="M868" s="8"/>
      <c r="N868" s="8"/>
      <c r="O868" s="8"/>
      <c r="P868" s="8"/>
      <c r="Q868" s="9">
        <f ca="1">IFERROR(__xludf.DUMMYFUNCTION("GOOGLEFINANCE(C868,""changepct"")"),-0.94)</f>
        <v>-0.94</v>
      </c>
      <c r="R868" s="8"/>
      <c r="S868" s="8"/>
      <c r="T868" s="8"/>
      <c r="U868" s="8"/>
      <c r="V868" s="8"/>
      <c r="W868" s="8"/>
    </row>
    <row r="869" spans="1:23" ht="14.4">
      <c r="A869" s="3">
        <f>LOOKUP(D869,'AMFI DATA_2023H1'!B:C,'AMFI DATA_2023H1'!C:C)</f>
        <v>550</v>
      </c>
      <c r="B869" s="4" t="s">
        <v>1113</v>
      </c>
      <c r="C869" s="4" t="s">
        <v>1114</v>
      </c>
      <c r="D869" s="5" t="s">
        <v>1115</v>
      </c>
      <c r="E869" s="5">
        <f>LOOKUP(D869,'AMFI DATA_2023H1'!B:D,'AMFI DATA_2023H1'!D:D)</f>
        <v>4343.63</v>
      </c>
      <c r="F869" s="7">
        <f t="shared" si="3"/>
        <v>2.0364004300550462</v>
      </c>
      <c r="G869" s="8">
        <v>13189</v>
      </c>
      <c r="H869" s="8">
        <v>13154</v>
      </c>
      <c r="I869" s="8">
        <v>13070</v>
      </c>
      <c r="J869" s="8">
        <v>13239</v>
      </c>
      <c r="K869" s="8">
        <v>13202</v>
      </c>
      <c r="L869" s="8">
        <v>13346</v>
      </c>
      <c r="M869" s="8"/>
      <c r="N869" s="8"/>
      <c r="O869" s="8"/>
      <c r="P869" s="8"/>
      <c r="Q869" s="9">
        <f ca="1">IFERROR(__xludf.DUMMYFUNCTION("GOOGLEFINANCE(C869,""changepct"")"),8.66)</f>
        <v>8.66</v>
      </c>
      <c r="R869" s="8"/>
      <c r="S869" s="8"/>
      <c r="T869" s="8"/>
      <c r="U869" s="8"/>
      <c r="V869" s="8"/>
      <c r="W869" s="8"/>
    </row>
    <row r="870" spans="1:23" ht="14.4">
      <c r="A870" s="3">
        <f>LOOKUP(D870,'AMFI DATA_2023H1'!B:C,'AMFI DATA_2023H1'!C:C)</f>
        <v>480</v>
      </c>
      <c r="B870" s="4" t="s">
        <v>1629</v>
      </c>
      <c r="C870" s="4" t="s">
        <v>1630</v>
      </c>
      <c r="D870" s="5" t="s">
        <v>1631</v>
      </c>
      <c r="E870" s="5">
        <f>LOOKUP(D870,'AMFI DATA_2023H1'!B:D,'AMFI DATA_2023H1'!D:D)</f>
        <v>5525.04</v>
      </c>
      <c r="F870" s="7">
        <f t="shared" si="3"/>
        <v>0.23600915106496978</v>
      </c>
      <c r="G870" s="8">
        <v>6829</v>
      </c>
      <c r="H870" s="8">
        <v>6803</v>
      </c>
      <c r="I870" s="8">
        <v>6726</v>
      </c>
      <c r="J870" s="8">
        <v>6685</v>
      </c>
      <c r="K870" s="8">
        <v>6745</v>
      </c>
      <c r="L870" s="8">
        <v>6695</v>
      </c>
      <c r="M870" s="8"/>
      <c r="N870" s="8"/>
      <c r="O870" s="8"/>
      <c r="P870" s="8"/>
      <c r="Q870" s="9">
        <f ca="1">IFERROR(__xludf.DUMMYFUNCTION("GOOGLEFINANCE(C870,""changepct"")"),-0.95)</f>
        <v>-0.95</v>
      </c>
      <c r="R870" s="8"/>
      <c r="S870" s="8"/>
      <c r="T870" s="8"/>
      <c r="U870" s="8"/>
      <c r="V870" s="8"/>
      <c r="W870" s="8"/>
    </row>
    <row r="871" spans="1:23" ht="14.4">
      <c r="A871" s="3">
        <f>LOOKUP(D871,'AMFI DATA_2023H1'!B:C,'AMFI DATA_2023H1'!C:C)</f>
        <v>407</v>
      </c>
      <c r="B871" s="4" t="s">
        <v>1023</v>
      </c>
      <c r="C871" s="4" t="s">
        <v>1024</v>
      </c>
      <c r="D871" s="5" t="s">
        <v>1025</v>
      </c>
      <c r="E871" s="5">
        <f>LOOKUP(D871,'AMFI DATA_2023H1'!B:D,'AMFI DATA_2023H1'!D:D)</f>
        <v>7367.95</v>
      </c>
      <c r="F871" s="7">
        <f t="shared" si="3"/>
        <v>1.3972746829172293</v>
      </c>
      <c r="G871" s="8">
        <v>17663</v>
      </c>
      <c r="H871" s="8">
        <v>17630</v>
      </c>
      <c r="I871" s="8">
        <v>17749</v>
      </c>
      <c r="J871" s="8">
        <v>17786</v>
      </c>
      <c r="K871" s="8">
        <v>17554</v>
      </c>
      <c r="L871" s="8">
        <v>17598</v>
      </c>
      <c r="M871" s="8"/>
      <c r="N871" s="8"/>
      <c r="O871" s="8"/>
      <c r="P871" s="8"/>
      <c r="Q871" s="9">
        <f ca="1">IFERROR(__xludf.DUMMYFUNCTION("GOOGLEFINANCE(C871,""changepct"")"),0.17)</f>
        <v>0.17</v>
      </c>
      <c r="R871" s="8"/>
      <c r="S871" s="8"/>
      <c r="T871" s="8"/>
      <c r="U871" s="8"/>
      <c r="V871" s="8"/>
      <c r="W871" s="8"/>
    </row>
    <row r="872" spans="1:23" ht="14.4">
      <c r="A872" s="3">
        <f>LOOKUP(D872,'AMFI DATA_2023H1'!B:C,'AMFI DATA_2023H1'!C:C)</f>
        <v>1313</v>
      </c>
      <c r="B872" s="4" t="s">
        <v>3515</v>
      </c>
      <c r="C872" s="4" t="s">
        <v>3516</v>
      </c>
      <c r="D872" s="5" t="s">
        <v>3517</v>
      </c>
      <c r="E872" s="5">
        <f>LOOKUP(D872,'AMFI DATA_2023H1'!B:D,'AMFI DATA_2023H1'!D:D)</f>
        <v>496.47</v>
      </c>
      <c r="F872" s="7">
        <f t="shared" si="3"/>
        <v>1.5157612745986664</v>
      </c>
      <c r="G872" s="8">
        <v>1249</v>
      </c>
      <c r="H872" s="8">
        <v>1228</v>
      </c>
      <c r="I872" s="8">
        <v>1212</v>
      </c>
      <c r="J872" s="8">
        <v>1188</v>
      </c>
      <c r="K872" s="8">
        <v>1191</v>
      </c>
      <c r="L872" s="8">
        <v>1221</v>
      </c>
      <c r="M872" s="8"/>
      <c r="N872" s="8"/>
      <c r="O872" s="8"/>
      <c r="P872" s="8"/>
      <c r="Q872" s="9">
        <f ca="1">IFERROR(__xludf.DUMMYFUNCTION("GOOGLEFINANCE(C872,""changepct"")"),10.06)</f>
        <v>10.06</v>
      </c>
      <c r="R872" s="8"/>
      <c r="S872" s="8"/>
      <c r="T872" s="8"/>
      <c r="U872" s="8"/>
      <c r="V872" s="8"/>
      <c r="W872" s="8"/>
    </row>
    <row r="873" spans="1:23" ht="14.4">
      <c r="A873" s="3">
        <f>LOOKUP(D873,'AMFI DATA_2023H1'!B:C,'AMFI DATA_2023H1'!C:C)</f>
        <v>1668</v>
      </c>
      <c r="B873" s="4" t="s">
        <v>4433</v>
      </c>
      <c r="C873" s="4" t="s">
        <v>4434</v>
      </c>
      <c r="D873" s="5" t="s">
        <v>4435</v>
      </c>
      <c r="E873" s="5">
        <f>LOOKUP(D873,'AMFI DATA_2023H1'!B:D,'AMFI DATA_2023H1'!D:D)</f>
        <v>252.01</v>
      </c>
      <c r="F873" s="7">
        <f t="shared" si="3"/>
        <v>0.15471608269513126</v>
      </c>
      <c r="G873" s="9">
        <v>291</v>
      </c>
      <c r="H873" s="9">
        <v>290</v>
      </c>
      <c r="I873" s="9">
        <v>287</v>
      </c>
      <c r="J873" s="9">
        <v>288</v>
      </c>
      <c r="K873" s="9">
        <v>289</v>
      </c>
      <c r="L873" s="9">
        <v>293</v>
      </c>
      <c r="M873" s="9"/>
      <c r="N873" s="9"/>
      <c r="O873" s="9"/>
      <c r="P873" s="9"/>
      <c r="Q873" s="9">
        <f ca="1">IFERROR(__xludf.DUMMYFUNCTION("GOOGLEFINANCE(C873,""changepct"")"),5.8)</f>
        <v>5.8</v>
      </c>
      <c r="R873" s="9"/>
      <c r="S873" s="9"/>
      <c r="T873" s="9"/>
      <c r="U873" s="9"/>
      <c r="V873" s="9"/>
      <c r="W873" s="9"/>
    </row>
    <row r="874" spans="1:23" ht="14.4">
      <c r="A874" s="3">
        <f>LOOKUP(D874,'AMFI DATA_2023H1'!B:C,'AMFI DATA_2023H1'!C:C)</f>
        <v>223</v>
      </c>
      <c r="B874" s="4" t="s">
        <v>687</v>
      </c>
      <c r="C874" s="4" t="s">
        <v>688</v>
      </c>
      <c r="D874" s="5" t="s">
        <v>689</v>
      </c>
      <c r="E874" s="5">
        <f>LOOKUP(D874,'AMFI DATA_2023H1'!B:D,'AMFI DATA_2023H1'!D:D)</f>
        <v>19841.62</v>
      </c>
      <c r="F874" s="7">
        <f t="shared" si="3"/>
        <v>0.39711374373665054</v>
      </c>
      <c r="G874" s="8">
        <v>27721</v>
      </c>
      <c r="H874" s="8">
        <v>28234</v>
      </c>
      <c r="I874" s="8">
        <v>28196</v>
      </c>
      <c r="J874" s="8">
        <v>27943</v>
      </c>
      <c r="K874" s="8">
        <v>28221</v>
      </c>
      <c r="L874" s="8">
        <v>28482</v>
      </c>
      <c r="M874" s="8"/>
      <c r="N874" s="8"/>
      <c r="O874" s="8"/>
      <c r="P874" s="8"/>
      <c r="Q874" s="9">
        <f ca="1">IFERROR(__xludf.DUMMYFUNCTION("GOOGLEFINANCE(C874,""changepct"")"),-0.79)</f>
        <v>-0.79</v>
      </c>
      <c r="R874" s="8"/>
      <c r="S874" s="8"/>
      <c r="T874" s="8"/>
      <c r="U874" s="8"/>
      <c r="V874" s="8"/>
      <c r="W874" s="8"/>
    </row>
    <row r="875" spans="1:23" ht="14.4">
      <c r="A875" s="3">
        <f>LOOKUP(D875,'AMFI DATA_2023H1'!B:C,'AMFI DATA_2023H1'!C:C)</f>
        <v>860</v>
      </c>
      <c r="B875" s="4" t="s">
        <v>2978</v>
      </c>
      <c r="C875" s="4" t="s">
        <v>2979</v>
      </c>
      <c r="D875" s="5" t="s">
        <v>2980</v>
      </c>
      <c r="E875" s="5">
        <f>LOOKUP(D875,'AMFI DATA_2023H1'!B:D,'AMFI DATA_2023H1'!D:D)</f>
        <v>1679.45</v>
      </c>
      <c r="F875" s="7">
        <f t="shared" si="3"/>
        <v>-0.12411801482628249</v>
      </c>
      <c r="G875" s="8">
        <v>1471</v>
      </c>
      <c r="H875" s="8">
        <v>1489</v>
      </c>
      <c r="I875" s="8">
        <v>1496</v>
      </c>
      <c r="J875" s="8">
        <v>1513</v>
      </c>
      <c r="K875" s="8">
        <v>1544</v>
      </c>
      <c r="L875" s="8">
        <v>1458</v>
      </c>
      <c r="M875" s="8"/>
      <c r="N875" s="8"/>
      <c r="O875" s="8"/>
      <c r="P875" s="8"/>
      <c r="Q875" s="9">
        <f ca="1">IFERROR(__xludf.DUMMYFUNCTION("GOOGLEFINANCE(C875,""changepct"")"),-2.03)</f>
        <v>-2.0299999999999998</v>
      </c>
      <c r="R875" s="8"/>
      <c r="S875" s="8"/>
      <c r="T875" s="8"/>
      <c r="U875" s="8"/>
      <c r="V875" s="8"/>
      <c r="W875" s="8"/>
    </row>
    <row r="876" spans="1:23" ht="14.4">
      <c r="A876" s="3">
        <f>LOOKUP(D876,'AMFI DATA_2023H1'!B:C,'AMFI DATA_2023H1'!C:C)</f>
        <v>245</v>
      </c>
      <c r="B876" s="4" t="s">
        <v>768</v>
      </c>
      <c r="C876" s="4" t="s">
        <v>769</v>
      </c>
      <c r="D876" s="5" t="s">
        <v>770</v>
      </c>
      <c r="E876" s="5">
        <f>LOOKUP(D876,'AMFI DATA_2023H1'!B:D,'AMFI DATA_2023H1'!D:D)</f>
        <v>18078.88</v>
      </c>
      <c r="F876" s="7">
        <f t="shared" si="3"/>
        <v>0.15178595134211847</v>
      </c>
      <c r="G876" s="8">
        <v>20823</v>
      </c>
      <c r="H876" s="8">
        <v>20744</v>
      </c>
      <c r="I876" s="8">
        <v>21147</v>
      </c>
      <c r="J876" s="8">
        <v>21532</v>
      </c>
      <c r="K876" s="8">
        <v>21643</v>
      </c>
      <c r="L876" s="8">
        <v>22027</v>
      </c>
      <c r="M876" s="8"/>
      <c r="N876" s="8"/>
      <c r="O876" s="8"/>
      <c r="P876" s="8"/>
      <c r="Q876" s="9">
        <f ca="1">IFERROR(__xludf.DUMMYFUNCTION("GOOGLEFINANCE(C876,""changepct"")"),-0.81)</f>
        <v>-0.81</v>
      </c>
      <c r="R876" s="8"/>
      <c r="S876" s="8"/>
      <c r="T876" s="8"/>
      <c r="U876" s="8"/>
      <c r="V876" s="8"/>
      <c r="W876" s="8"/>
    </row>
    <row r="877" spans="1:23" ht="14.4">
      <c r="A877" s="3">
        <f>LOOKUP(D877,'AMFI DATA_2023H1'!B:C,'AMFI DATA_2023H1'!C:C)</f>
        <v>1945</v>
      </c>
      <c r="B877" s="4" t="s">
        <v>4808</v>
      </c>
      <c r="C877" s="4" t="s">
        <v>4809</v>
      </c>
      <c r="D877" s="5" t="s">
        <v>4810</v>
      </c>
      <c r="E877" s="5">
        <f>LOOKUP(D877,'AMFI DATA_2023H1'!B:D,'AMFI DATA_2023H1'!D:D)</f>
        <v>156.49</v>
      </c>
      <c r="F877" s="7">
        <f t="shared" si="3"/>
        <v>0.2396958272094063</v>
      </c>
      <c r="G877" s="9">
        <v>194</v>
      </c>
      <c r="H877" s="9">
        <v>191</v>
      </c>
      <c r="I877" s="9">
        <v>196</v>
      </c>
      <c r="J877" s="9">
        <v>194</v>
      </c>
      <c r="K877" s="9">
        <v>196</v>
      </c>
      <c r="L877" s="9">
        <v>200</v>
      </c>
      <c r="M877" s="9"/>
      <c r="N877" s="9"/>
      <c r="O877" s="9"/>
      <c r="P877" s="9"/>
      <c r="Q877" s="9">
        <f ca="1">IFERROR(__xludf.DUMMYFUNCTION("GOOGLEFINANCE(C877,""changepct"")"),4.88)</f>
        <v>4.88</v>
      </c>
      <c r="R877" s="9"/>
      <c r="S877" s="9"/>
      <c r="T877" s="9"/>
      <c r="U877" s="9"/>
      <c r="V877" s="9"/>
      <c r="W877" s="9"/>
    </row>
    <row r="878" spans="1:23" ht="14.4">
      <c r="A878" s="3">
        <f>LOOKUP(D878,'AMFI DATA_2023H1'!B:C,'AMFI DATA_2023H1'!C:C)</f>
        <v>377</v>
      </c>
      <c r="B878" s="4" t="s">
        <v>1194</v>
      </c>
      <c r="C878" s="4" t="s">
        <v>1195</v>
      </c>
      <c r="D878" s="5" t="s">
        <v>1196</v>
      </c>
      <c r="E878" s="5">
        <f>LOOKUP(D878,'AMFI DATA_2023H1'!B:D,'AMFI DATA_2023H1'!D:D)</f>
        <v>8460.89</v>
      </c>
      <c r="F878" s="7">
        <f t="shared" si="3"/>
        <v>0.37810561300288748</v>
      </c>
      <c r="G878" s="8">
        <v>11660</v>
      </c>
      <c r="H878" s="8">
        <v>11518</v>
      </c>
      <c r="I878" s="8">
        <v>10794</v>
      </c>
      <c r="J878" s="8">
        <v>10501</v>
      </c>
      <c r="K878" s="8">
        <v>10402</v>
      </c>
      <c r="L878" s="8">
        <v>10253</v>
      </c>
      <c r="M878" s="8"/>
      <c r="N878" s="8"/>
      <c r="O878" s="8"/>
      <c r="P878" s="8"/>
      <c r="Q878" s="9">
        <f ca="1">IFERROR(__xludf.DUMMYFUNCTION("GOOGLEFINANCE(C878,""changepct"")"),0.6)</f>
        <v>0.6</v>
      </c>
      <c r="R878" s="8"/>
      <c r="S878" s="8"/>
      <c r="T878" s="8"/>
      <c r="U878" s="8"/>
      <c r="V878" s="8"/>
      <c r="W878" s="8"/>
    </row>
    <row r="879" spans="1:23" ht="14.4">
      <c r="A879" s="3">
        <f>LOOKUP(D879,'AMFI DATA_2023H1'!B:C,'AMFI DATA_2023H1'!C:C)</f>
        <v>312</v>
      </c>
      <c r="B879" s="4" t="s">
        <v>660</v>
      </c>
      <c r="C879" s="4" t="s">
        <v>661</v>
      </c>
      <c r="D879" s="5" t="s">
        <v>662</v>
      </c>
      <c r="E879" s="5">
        <f>LOOKUP(D879,'AMFI DATA_2023H1'!B:D,'AMFI DATA_2023H1'!D:D)</f>
        <v>11685.06</v>
      </c>
      <c r="F879" s="7">
        <f t="shared" si="3"/>
        <v>2.1880024578393265</v>
      </c>
      <c r="G879" s="8">
        <v>37252</v>
      </c>
      <c r="H879" s="8">
        <v>36510</v>
      </c>
      <c r="I879" s="8">
        <v>35733</v>
      </c>
      <c r="J879" s="8">
        <v>36273</v>
      </c>
      <c r="K879" s="8">
        <v>35341</v>
      </c>
      <c r="L879" s="8">
        <v>34373</v>
      </c>
      <c r="M879" s="8"/>
      <c r="N879" s="8"/>
      <c r="O879" s="8"/>
      <c r="P879" s="8"/>
      <c r="Q879" s="9">
        <f ca="1">IFERROR(__xludf.DUMMYFUNCTION("GOOGLEFINANCE(C879,""changepct"")"),-0.12)</f>
        <v>-0.12</v>
      </c>
      <c r="R879" s="8"/>
      <c r="S879" s="8"/>
      <c r="T879" s="8"/>
      <c r="U879" s="8"/>
      <c r="V879" s="8"/>
      <c r="W879" s="8"/>
    </row>
    <row r="880" spans="1:23" ht="14.4">
      <c r="A880" s="3">
        <f>LOOKUP(D880,'AMFI DATA_2023H1'!B:C,'AMFI DATA_2023H1'!C:C)</f>
        <v>3626</v>
      </c>
      <c r="B880" s="4" t="s">
        <v>5728</v>
      </c>
      <c r="C880" s="4" t="s">
        <v>5729</v>
      </c>
      <c r="D880" s="5" t="s">
        <v>5730</v>
      </c>
      <c r="E880" s="5">
        <f>LOOKUP(D880,'AMFI DATA_2023H1'!B:D,'AMFI DATA_2023H1'!D:D)</f>
        <v>11.93</v>
      </c>
      <c r="F880" s="7">
        <f t="shared" si="3"/>
        <v>-2.5146689019278634E-3</v>
      </c>
      <c r="G880" s="9">
        <v>11.9</v>
      </c>
      <c r="H880" s="9">
        <v>11.9</v>
      </c>
      <c r="I880" s="9">
        <v>11.9</v>
      </c>
      <c r="J880" s="9">
        <v>11.9</v>
      </c>
      <c r="K880" s="9">
        <v>11.9</v>
      </c>
      <c r="L880" s="9">
        <v>11.9</v>
      </c>
      <c r="M880" s="9"/>
      <c r="N880" s="9"/>
      <c r="O880" s="9"/>
      <c r="P880" s="9"/>
      <c r="Q880" s="9">
        <f ca="1">IFERROR(__xludf.DUMMYFUNCTION("GOOGLEFINANCE(C880,""changepct"")"),0)</f>
        <v>0</v>
      </c>
      <c r="R880" s="9"/>
      <c r="S880" s="9"/>
      <c r="T880" s="9"/>
      <c r="U880" s="9"/>
      <c r="V880" s="9"/>
      <c r="W880" s="9"/>
    </row>
    <row r="881" spans="1:23" ht="14.4">
      <c r="A881" s="3">
        <f>LOOKUP(D881,'AMFI DATA_2023H1'!B:C,'AMFI DATA_2023H1'!C:C)</f>
        <v>2290</v>
      </c>
      <c r="B881" s="4" t="s">
        <v>4976</v>
      </c>
      <c r="C881" s="4" t="s">
        <v>4977</v>
      </c>
      <c r="D881" s="5" t="s">
        <v>4978</v>
      </c>
      <c r="E881" s="5">
        <f>LOOKUP(D881,'AMFI DATA_2023H1'!B:D,'AMFI DATA_2023H1'!D:D)</f>
        <v>88.57</v>
      </c>
      <c r="F881" s="7">
        <f t="shared" si="3"/>
        <v>0.75002822626171395</v>
      </c>
      <c r="G881" s="9">
        <v>155</v>
      </c>
      <c r="H881" s="9">
        <v>148</v>
      </c>
      <c r="I881" s="9">
        <v>151</v>
      </c>
      <c r="J881" s="9">
        <v>156</v>
      </c>
      <c r="K881" s="9">
        <v>151</v>
      </c>
      <c r="L881" s="9">
        <v>146</v>
      </c>
      <c r="M881" s="9"/>
      <c r="N881" s="9"/>
      <c r="O881" s="9"/>
      <c r="P881" s="9"/>
      <c r="Q881" s="9">
        <f ca="1">IFERROR(__xludf.DUMMYFUNCTION("GOOGLEFINANCE(C881,""changepct"")"),1.3)</f>
        <v>1.3</v>
      </c>
      <c r="R881" s="9"/>
      <c r="S881" s="9"/>
      <c r="T881" s="9"/>
      <c r="U881" s="9"/>
      <c r="V881" s="9"/>
      <c r="W881" s="9"/>
    </row>
    <row r="882" spans="1:23" ht="14.4">
      <c r="A882" s="3">
        <f>LOOKUP(D882,'AMFI DATA_2023H1'!B:C,'AMFI DATA_2023H1'!C:C)</f>
        <v>1142</v>
      </c>
      <c r="B882" s="4" t="s">
        <v>3251</v>
      </c>
      <c r="C882" s="4" t="s">
        <v>3252</v>
      </c>
      <c r="D882" s="5" t="s">
        <v>3253</v>
      </c>
      <c r="E882" s="5">
        <f>LOOKUP(D882,'AMFI DATA_2023H1'!B:D,'AMFI DATA_2023H1'!D:D)</f>
        <v>802.35</v>
      </c>
      <c r="F882" s="7">
        <f t="shared" si="3"/>
        <v>0.78600361438275068</v>
      </c>
      <c r="G882" s="8">
        <v>1433</v>
      </c>
      <c r="H882" s="8">
        <v>1433</v>
      </c>
      <c r="I882" s="8">
        <v>1427</v>
      </c>
      <c r="J882" s="8">
        <v>1459</v>
      </c>
      <c r="K882" s="8">
        <v>1483</v>
      </c>
      <c r="L882" s="8">
        <v>1505</v>
      </c>
      <c r="M882" s="8"/>
      <c r="N882" s="8"/>
      <c r="O882" s="8"/>
      <c r="P882" s="8"/>
      <c r="Q882" s="9">
        <f ca="1">IFERROR(__xludf.DUMMYFUNCTION("GOOGLEFINANCE(C882,""changepct"")"),12.38)</f>
        <v>12.38</v>
      </c>
      <c r="R882" s="8"/>
      <c r="S882" s="8"/>
      <c r="T882" s="8"/>
      <c r="U882" s="8"/>
      <c r="V882" s="8"/>
      <c r="W882" s="8"/>
    </row>
    <row r="883" spans="1:23" ht="14.4">
      <c r="A883" s="3">
        <f>LOOKUP(D883,'AMFI DATA_2023H1'!B:C,'AMFI DATA_2023H1'!C:C)</f>
        <v>908</v>
      </c>
      <c r="B883" s="4" t="s">
        <v>2699</v>
      </c>
      <c r="C883" s="4" t="s">
        <v>2700</v>
      </c>
      <c r="D883" s="5" t="s">
        <v>2701</v>
      </c>
      <c r="E883" s="5">
        <f>LOOKUP(D883,'AMFI DATA_2023H1'!B:D,'AMFI DATA_2023H1'!D:D)</f>
        <v>1441.72</v>
      </c>
      <c r="F883" s="7">
        <f t="shared" si="3"/>
        <v>0.66675914879449549</v>
      </c>
      <c r="G883" s="8">
        <v>2403</v>
      </c>
      <c r="H883" s="8">
        <v>2126</v>
      </c>
      <c r="I883" s="8">
        <v>2135</v>
      </c>
      <c r="J883" s="8">
        <v>2118</v>
      </c>
      <c r="K883" s="8">
        <v>2110</v>
      </c>
      <c r="L883" s="8">
        <v>1879</v>
      </c>
      <c r="M883" s="8"/>
      <c r="N883" s="8"/>
      <c r="O883" s="8"/>
      <c r="P883" s="8"/>
      <c r="Q883" s="9">
        <f ca="1">IFERROR(__xludf.DUMMYFUNCTION("GOOGLEFINANCE(C883,""changepct"")"),-2.83)</f>
        <v>-2.83</v>
      </c>
      <c r="R883" s="8"/>
      <c r="S883" s="8"/>
      <c r="T883" s="8"/>
      <c r="U883" s="8"/>
      <c r="V883" s="8"/>
      <c r="W883" s="8"/>
    </row>
    <row r="884" spans="1:23" ht="14.4">
      <c r="A884" s="3">
        <f>LOOKUP(D884,'AMFI DATA_2023H1'!B:C,'AMFI DATA_2023H1'!C:C)</f>
        <v>1471</v>
      </c>
      <c r="B884" s="4" t="s">
        <v>3914</v>
      </c>
      <c r="C884" s="4" t="s">
        <v>3915</v>
      </c>
      <c r="D884" s="5" t="s">
        <v>3916</v>
      </c>
      <c r="E884" s="5">
        <f>LOOKUP(D884,'AMFI DATA_2023H1'!B:D,'AMFI DATA_2023H1'!D:D)</f>
        <v>364.82</v>
      </c>
      <c r="F884" s="7">
        <f t="shared" si="3"/>
        <v>0.89134367633353428</v>
      </c>
      <c r="G884" s="9">
        <v>690</v>
      </c>
      <c r="H884" s="9">
        <v>670</v>
      </c>
      <c r="I884" s="9">
        <v>648</v>
      </c>
      <c r="J884" s="9">
        <v>649</v>
      </c>
      <c r="K884" s="9">
        <v>658</v>
      </c>
      <c r="L884" s="9">
        <v>684</v>
      </c>
      <c r="M884" s="9"/>
      <c r="N884" s="9"/>
      <c r="O884" s="9"/>
      <c r="P884" s="9"/>
      <c r="Q884" s="9">
        <f ca="1">IFERROR(__xludf.DUMMYFUNCTION("GOOGLEFINANCE(C884,""changepct"")"),1.51)</f>
        <v>1.51</v>
      </c>
      <c r="R884" s="9"/>
      <c r="S884" s="9"/>
      <c r="T884" s="9"/>
      <c r="U884" s="9"/>
      <c r="V884" s="9"/>
      <c r="W884" s="9"/>
    </row>
    <row r="885" spans="1:23" ht="14.4">
      <c r="A885" s="3">
        <f>LOOKUP(D885,'AMFI DATA_2023H1'!B:C,'AMFI DATA_2023H1'!C:C)</f>
        <v>1083</v>
      </c>
      <c r="B885" s="4" t="s">
        <v>3569</v>
      </c>
      <c r="C885" s="4" t="s">
        <v>3570</v>
      </c>
      <c r="D885" s="5" t="s">
        <v>3571</v>
      </c>
      <c r="E885" s="5">
        <f>LOOKUP(D885,'AMFI DATA_2023H1'!B:D,'AMFI DATA_2023H1'!D:D)</f>
        <v>925.81</v>
      </c>
      <c r="F885" s="7">
        <f t="shared" si="3"/>
        <v>5.8532528272539741E-2</v>
      </c>
      <c r="G885" s="9">
        <v>980</v>
      </c>
      <c r="H885" s="9">
        <v>984</v>
      </c>
      <c r="I885" s="9">
        <v>1027</v>
      </c>
      <c r="J885" s="9">
        <v>981</v>
      </c>
      <c r="K885" s="9">
        <v>831</v>
      </c>
      <c r="L885" s="9">
        <v>784</v>
      </c>
      <c r="M885" s="9"/>
      <c r="N885" s="9"/>
      <c r="O885" s="9"/>
      <c r="P885" s="9"/>
      <c r="Q885" s="9">
        <f ca="1">IFERROR(__xludf.DUMMYFUNCTION("GOOGLEFINANCE(C885,""changepct"")"),15.74)</f>
        <v>15.74</v>
      </c>
      <c r="R885" s="9"/>
      <c r="S885" s="9"/>
      <c r="T885" s="9"/>
      <c r="U885" s="9"/>
      <c r="V885" s="9"/>
      <c r="W885" s="9"/>
    </row>
    <row r="886" spans="1:23" ht="14.4">
      <c r="A886" s="3">
        <f>LOOKUP(D886,'AMFI DATA_2023H1'!B:C,'AMFI DATA_2023H1'!C:C)</f>
        <v>1264</v>
      </c>
      <c r="B886" s="4" t="s">
        <v>3368</v>
      </c>
      <c r="C886" s="4" t="s">
        <v>3369</v>
      </c>
      <c r="D886" s="5" t="s">
        <v>3370</v>
      </c>
      <c r="E886" s="5">
        <f>LOOKUP(D886,'AMFI DATA_2023H1'!B:D,'AMFI DATA_2023H1'!D:D)</f>
        <v>577.79</v>
      </c>
      <c r="F886" s="7">
        <f t="shared" si="3"/>
        <v>0.87092196126620403</v>
      </c>
      <c r="G886" s="8">
        <v>1081</v>
      </c>
      <c r="H886" s="8">
        <v>1082</v>
      </c>
      <c r="I886" s="8">
        <v>1114</v>
      </c>
      <c r="J886" s="8">
        <v>1123</v>
      </c>
      <c r="K886" s="8">
        <v>1107</v>
      </c>
      <c r="L886" s="8">
        <v>1113</v>
      </c>
      <c r="M886" s="8"/>
      <c r="N886" s="8"/>
      <c r="O886" s="8"/>
      <c r="P886" s="8"/>
      <c r="Q886" s="9">
        <f ca="1">IFERROR(__xludf.DUMMYFUNCTION("GOOGLEFINANCE(C886,""changepct"")"),12.5)</f>
        <v>12.5</v>
      </c>
      <c r="R886" s="8"/>
      <c r="S886" s="8"/>
      <c r="T886" s="8"/>
      <c r="U886" s="8"/>
      <c r="V886" s="8"/>
      <c r="W886" s="8"/>
    </row>
    <row r="887" spans="1:23" ht="14.4">
      <c r="A887" s="3">
        <f>LOOKUP(D887,'AMFI DATA_2023H1'!B:C,'AMFI DATA_2023H1'!C:C)</f>
        <v>2360</v>
      </c>
      <c r="B887" s="4" t="s">
        <v>5323</v>
      </c>
      <c r="C887" s="4" t="s">
        <v>5324</v>
      </c>
      <c r="D887" s="5" t="s">
        <v>5325</v>
      </c>
      <c r="E887" s="5">
        <f>LOOKUP(D887,'AMFI DATA_2023H1'!B:D,'AMFI DATA_2023H1'!D:D)</f>
        <v>77.27</v>
      </c>
      <c r="F887" s="7">
        <f t="shared" si="3"/>
        <v>-7.3767309434449313E-3</v>
      </c>
      <c r="G887" s="9">
        <v>76.7</v>
      </c>
      <c r="H887" s="9">
        <v>74.2</v>
      </c>
      <c r="I887" s="9">
        <v>71.400000000000006</v>
      </c>
      <c r="J887" s="9">
        <v>75.2</v>
      </c>
      <c r="K887" s="9">
        <v>75.2</v>
      </c>
      <c r="L887" s="9">
        <v>74.2</v>
      </c>
      <c r="M887" s="9"/>
      <c r="N887" s="9"/>
      <c r="O887" s="9"/>
      <c r="P887" s="9"/>
      <c r="Q887" s="9">
        <f ca="1">IFERROR(__xludf.DUMMYFUNCTION("GOOGLEFINANCE(C887,""changepct"")"),5.42)</f>
        <v>5.42</v>
      </c>
      <c r="R887" s="9"/>
      <c r="S887" s="9"/>
      <c r="T887" s="9"/>
      <c r="U887" s="9"/>
      <c r="V887" s="9"/>
      <c r="W887" s="9"/>
    </row>
    <row r="888" spans="1:23" ht="14.4">
      <c r="A888" s="3">
        <f>LOOKUP(D888,'AMFI DATA_2023H1'!B:C,'AMFI DATA_2023H1'!C:C)</f>
        <v>1295</v>
      </c>
      <c r="B888" s="4" t="s">
        <v>3896</v>
      </c>
      <c r="C888" s="4" t="s">
        <v>3897</v>
      </c>
      <c r="D888" s="5" t="s">
        <v>3898</v>
      </c>
      <c r="E888" s="5">
        <f>LOOKUP(D888,'AMFI DATA_2023H1'!B:D,'AMFI DATA_2023H1'!D:D)</f>
        <v>534.30999999999995</v>
      </c>
      <c r="F888" s="7">
        <f t="shared" si="3"/>
        <v>9.6741591959723872E-2</v>
      </c>
      <c r="G888" s="9">
        <v>586</v>
      </c>
      <c r="H888" s="9">
        <v>588</v>
      </c>
      <c r="I888" s="9">
        <v>594</v>
      </c>
      <c r="J888" s="9">
        <v>600</v>
      </c>
      <c r="K888" s="9">
        <v>618</v>
      </c>
      <c r="L888" s="9">
        <v>591</v>
      </c>
      <c r="M888" s="9"/>
      <c r="N888" s="9"/>
      <c r="O888" s="9"/>
      <c r="P888" s="9"/>
      <c r="Q888" s="9">
        <f ca="1">IFERROR(__xludf.DUMMYFUNCTION("GOOGLEFINANCE(C888,""changepct"")"),-0.29)</f>
        <v>-0.28999999999999998</v>
      </c>
      <c r="R888" s="9"/>
      <c r="S888" s="9"/>
      <c r="T888" s="9"/>
      <c r="U888" s="9"/>
      <c r="V888" s="9"/>
      <c r="W888" s="9"/>
    </row>
    <row r="889" spans="1:23" ht="14.4">
      <c r="A889" s="3">
        <f>LOOKUP(D889,'AMFI DATA_2023H1'!B:C,'AMFI DATA_2023H1'!C:C)</f>
        <v>1798</v>
      </c>
      <c r="B889" s="4" t="s">
        <v>4517</v>
      </c>
      <c r="C889" s="4" t="s">
        <v>4518</v>
      </c>
      <c r="D889" s="5" t="s">
        <v>4519</v>
      </c>
      <c r="E889" s="5">
        <f>LOOKUP(D889,'AMFI DATA_2023H1'!B:D,'AMFI DATA_2023H1'!D:D)</f>
        <v>196.25</v>
      </c>
      <c r="F889" s="7">
        <f t="shared" si="3"/>
        <v>0.28407643312101905</v>
      </c>
      <c r="G889" s="9">
        <v>252</v>
      </c>
      <c r="H889" s="9">
        <v>251</v>
      </c>
      <c r="I889" s="9">
        <v>253</v>
      </c>
      <c r="J889" s="9">
        <v>253</v>
      </c>
      <c r="K889" s="9">
        <v>254</v>
      </c>
      <c r="L889" s="9">
        <v>255</v>
      </c>
      <c r="M889" s="9"/>
      <c r="N889" s="9"/>
      <c r="O889" s="9"/>
      <c r="P889" s="9"/>
      <c r="Q889" s="9">
        <f ca="1">IFERROR(__xludf.DUMMYFUNCTION("GOOGLEFINANCE(C889,""changepct"")"),3.36)</f>
        <v>3.36</v>
      </c>
      <c r="R889" s="9"/>
      <c r="S889" s="9"/>
      <c r="T889" s="9"/>
      <c r="U889" s="9"/>
      <c r="V889" s="9"/>
      <c r="W889" s="9"/>
    </row>
    <row r="890" spans="1:23" ht="14.4">
      <c r="A890" s="3">
        <f>LOOKUP(D890,'AMFI DATA_2023H1'!B:C,'AMFI DATA_2023H1'!C:C)</f>
        <v>206</v>
      </c>
      <c r="B890" s="4" t="s">
        <v>666</v>
      </c>
      <c r="C890" s="4" t="s">
        <v>667</v>
      </c>
      <c r="D890" s="5" t="s">
        <v>668</v>
      </c>
      <c r="E890" s="5">
        <f>LOOKUP(D890,'AMFI DATA_2023H1'!B:D,'AMFI DATA_2023H1'!D:D)</f>
        <v>22182.83</v>
      </c>
      <c r="F890" s="7">
        <f t="shared" si="3"/>
        <v>0.2103956077741207</v>
      </c>
      <c r="G890" s="8">
        <v>26850</v>
      </c>
      <c r="H890" s="8">
        <v>26903</v>
      </c>
      <c r="I890" s="8">
        <v>26976</v>
      </c>
      <c r="J890" s="8">
        <v>27279</v>
      </c>
      <c r="K890" s="8">
        <v>26313</v>
      </c>
      <c r="L890" s="8">
        <v>26066</v>
      </c>
      <c r="M890" s="8"/>
      <c r="N890" s="8"/>
      <c r="O890" s="8"/>
      <c r="P890" s="8"/>
      <c r="Q890" s="9">
        <f ca="1">IFERROR(__xludf.DUMMYFUNCTION("GOOGLEFINANCE(C890,""changepct"")"),-0.01)</f>
        <v>-0.01</v>
      </c>
      <c r="R890" s="8"/>
      <c r="S890" s="8"/>
      <c r="T890" s="8"/>
      <c r="U890" s="8"/>
      <c r="V890" s="8"/>
      <c r="W890" s="8"/>
    </row>
    <row r="891" spans="1:23" ht="14.4">
      <c r="A891" s="3">
        <f>LOOKUP(D891,'AMFI DATA_2023H1'!B:C,'AMFI DATA_2023H1'!C:C)</f>
        <v>2005</v>
      </c>
      <c r="B891" s="4" t="s">
        <v>4736</v>
      </c>
      <c r="C891" s="4" t="s">
        <v>4737</v>
      </c>
      <c r="D891" s="5" t="s">
        <v>4738</v>
      </c>
      <c r="E891" s="5">
        <f>LOOKUP(D891,'AMFI DATA_2023H1'!B:D,'AMFI DATA_2023H1'!D:D)</f>
        <v>143.11000000000001</v>
      </c>
      <c r="F891" s="7">
        <f t="shared" si="3"/>
        <v>0.76088323667109203</v>
      </c>
      <c r="G891" s="9">
        <v>252</v>
      </c>
      <c r="H891" s="9">
        <v>254</v>
      </c>
      <c r="I891" s="9">
        <v>251</v>
      </c>
      <c r="J891" s="9">
        <v>255</v>
      </c>
      <c r="K891" s="9">
        <v>250</v>
      </c>
      <c r="L891" s="9">
        <v>238</v>
      </c>
      <c r="M891" s="9"/>
      <c r="N891" s="9"/>
      <c r="O891" s="9"/>
      <c r="P891" s="9"/>
      <c r="Q891" s="9">
        <f ca="1">IFERROR(__xludf.DUMMYFUNCTION("GOOGLEFINANCE(C891,""changepct"")"),2.54)</f>
        <v>2.54</v>
      </c>
      <c r="R891" s="9"/>
      <c r="S891" s="9"/>
      <c r="T891" s="9"/>
      <c r="U891" s="9"/>
      <c r="V891" s="9"/>
      <c r="W891" s="9"/>
    </row>
    <row r="892" spans="1:23" ht="14.4">
      <c r="A892" s="3">
        <f>LOOKUP(D892,'AMFI DATA_2023H1'!B:C,'AMFI DATA_2023H1'!C:C)</f>
        <v>2844</v>
      </c>
      <c r="B892" s="4" t="s">
        <v>5422</v>
      </c>
      <c r="C892" s="4" t="s">
        <v>5423</v>
      </c>
      <c r="D892" s="5" t="s">
        <v>5424</v>
      </c>
      <c r="E892" s="5">
        <f>LOOKUP(D892,'AMFI DATA_2023H1'!B:D,'AMFI DATA_2023H1'!D:D)</f>
        <v>37.729999999999997</v>
      </c>
      <c r="F892" s="7">
        <f t="shared" si="3"/>
        <v>1.2422475483699973</v>
      </c>
      <c r="G892" s="9">
        <v>84.6</v>
      </c>
      <c r="H892" s="9">
        <v>86.3</v>
      </c>
      <c r="I892" s="9">
        <v>88</v>
      </c>
      <c r="J892" s="9">
        <v>89.8</v>
      </c>
      <c r="K892" s="9">
        <v>101</v>
      </c>
      <c r="L892" s="9">
        <v>98.3</v>
      </c>
      <c r="M892" s="9"/>
      <c r="N892" s="9"/>
      <c r="O892" s="9"/>
      <c r="P892" s="9"/>
      <c r="Q892" s="9">
        <f ca="1">IFERROR(__xludf.DUMMYFUNCTION("GOOGLEFINANCE(C892,""changepct"")"),-3.44)</f>
        <v>-3.44</v>
      </c>
      <c r="R892" s="9"/>
      <c r="S892" s="9"/>
      <c r="T892" s="9"/>
      <c r="U892" s="9"/>
      <c r="V892" s="9"/>
      <c r="W892" s="9"/>
    </row>
    <row r="893" spans="1:23" ht="14.4">
      <c r="A893" s="3">
        <f>LOOKUP(D893,'AMFI DATA_2023H1'!B:C,'AMFI DATA_2023H1'!C:C)</f>
        <v>381</v>
      </c>
      <c r="B893" s="4" t="s">
        <v>1146</v>
      </c>
      <c r="C893" s="4" t="s">
        <v>1147</v>
      </c>
      <c r="D893" s="5" t="s">
        <v>1148</v>
      </c>
      <c r="E893" s="5">
        <f>LOOKUP(D893,'AMFI DATA_2023H1'!B:D,'AMFI DATA_2023H1'!D:D)</f>
        <v>8369.1</v>
      </c>
      <c r="F893" s="7">
        <f t="shared" si="3"/>
        <v>0.63816897874323386</v>
      </c>
      <c r="G893" s="8">
        <v>13710</v>
      </c>
      <c r="H893" s="8">
        <v>13529</v>
      </c>
      <c r="I893" s="8">
        <v>13525</v>
      </c>
      <c r="J893" s="8">
        <v>13200</v>
      </c>
      <c r="K893" s="8">
        <v>13120</v>
      </c>
      <c r="L893" s="8">
        <v>13405</v>
      </c>
      <c r="M893" s="8"/>
      <c r="N893" s="8"/>
      <c r="O893" s="8"/>
      <c r="P893" s="8"/>
      <c r="Q893" s="9">
        <f ca="1">IFERROR(__xludf.DUMMYFUNCTION("GOOGLEFINANCE(C893,""changepct"")"),-1.08)</f>
        <v>-1.08</v>
      </c>
      <c r="R893" s="8"/>
      <c r="S893" s="8"/>
      <c r="T893" s="8"/>
      <c r="U893" s="8"/>
      <c r="V893" s="8"/>
      <c r="W893" s="8"/>
    </row>
    <row r="894" spans="1:23" ht="14.4">
      <c r="A894" s="3">
        <f>LOOKUP(D894,'AMFI DATA_2023H1'!B:C,'AMFI DATA_2023H1'!C:C)</f>
        <v>3441</v>
      </c>
      <c r="B894" s="4" t="s">
        <v>5650</v>
      </c>
      <c r="C894" s="4" t="s">
        <v>5651</v>
      </c>
      <c r="D894" s="5" t="s">
        <v>5652</v>
      </c>
      <c r="E894" s="5">
        <f>LOOKUP(D894,'AMFI DATA_2023H1'!B:D,'AMFI DATA_2023H1'!D:D)</f>
        <v>15.74</v>
      </c>
      <c r="F894" s="7">
        <f t="shared" si="3"/>
        <v>0.90597204574332912</v>
      </c>
      <c r="G894" s="9">
        <v>30</v>
      </c>
      <c r="H894" s="9">
        <v>29.4</v>
      </c>
      <c r="I894" s="9">
        <v>29.6</v>
      </c>
      <c r="J894" s="9">
        <v>29.1</v>
      </c>
      <c r="K894" s="9">
        <v>29.1</v>
      </c>
      <c r="L894" s="9">
        <v>28.7</v>
      </c>
      <c r="M894" s="9"/>
      <c r="N894" s="9"/>
      <c r="O894" s="9"/>
      <c r="P894" s="9"/>
      <c r="Q894" s="9">
        <f ca="1">IFERROR(__xludf.DUMMYFUNCTION("GOOGLEFINANCE(C894,""changepct"")"),1.55)</f>
        <v>1.55</v>
      </c>
      <c r="R894" s="9"/>
      <c r="S894" s="9"/>
      <c r="T894" s="9"/>
      <c r="U894" s="9"/>
      <c r="V894" s="9"/>
      <c r="W894" s="9"/>
    </row>
    <row r="895" spans="1:23" ht="14.4">
      <c r="A895" s="3">
        <f>LOOKUP(D895,'AMFI DATA_2023H1'!B:C,'AMFI DATA_2023H1'!C:C)</f>
        <v>658</v>
      </c>
      <c r="B895" s="4" t="s">
        <v>2204</v>
      </c>
      <c r="C895" s="4" t="s">
        <v>2205</v>
      </c>
      <c r="D895" s="5" t="s">
        <v>2206</v>
      </c>
      <c r="E895" s="5">
        <f>LOOKUP(D895,'AMFI DATA_2023H1'!B:D,'AMFI DATA_2023H1'!D:D)</f>
        <v>2924.51</v>
      </c>
      <c r="F895" s="7">
        <f t="shared" si="3"/>
        <v>0.23542063456784201</v>
      </c>
      <c r="G895" s="8">
        <v>3613</v>
      </c>
      <c r="H895" s="8">
        <v>3432</v>
      </c>
      <c r="I895" s="8">
        <v>3422</v>
      </c>
      <c r="J895" s="8">
        <v>3462</v>
      </c>
      <c r="K895" s="8">
        <v>3445</v>
      </c>
      <c r="L895" s="8">
        <v>3419</v>
      </c>
      <c r="M895" s="8"/>
      <c r="N895" s="8"/>
      <c r="O895" s="8"/>
      <c r="P895" s="8"/>
      <c r="Q895" s="9">
        <f ca="1">IFERROR(__xludf.DUMMYFUNCTION("GOOGLEFINANCE(C895,""changepct"")"),1.44)</f>
        <v>1.44</v>
      </c>
      <c r="R895" s="8"/>
      <c r="S895" s="8"/>
      <c r="T895" s="8"/>
      <c r="U895" s="8"/>
      <c r="V895" s="8"/>
      <c r="W895" s="8"/>
    </row>
    <row r="896" spans="1:23" ht="14.4">
      <c r="A896" s="3">
        <f>LOOKUP(D896,'AMFI DATA_2023H1'!B:C,'AMFI DATA_2023H1'!C:C)</f>
        <v>3591</v>
      </c>
      <c r="B896" s="4" t="s">
        <v>5674</v>
      </c>
      <c r="C896" s="4" t="s">
        <v>5675</v>
      </c>
      <c r="D896" s="5" t="s">
        <v>5676</v>
      </c>
      <c r="E896" s="5">
        <f>LOOKUP(D896,'AMFI DATA_2023H1'!B:D,'AMFI DATA_2023H1'!D:D)</f>
        <v>12.4</v>
      </c>
      <c r="F896" s="7">
        <f t="shared" si="3"/>
        <v>1.3709677419354835</v>
      </c>
      <c r="G896" s="9">
        <v>29.4</v>
      </c>
      <c r="H896" s="9">
        <v>28.7</v>
      </c>
      <c r="I896" s="9">
        <v>30.1</v>
      </c>
      <c r="J896" s="9">
        <v>29.9</v>
      </c>
      <c r="K896" s="9">
        <v>30.1</v>
      </c>
      <c r="L896" s="9">
        <v>29.2</v>
      </c>
      <c r="M896" s="9"/>
      <c r="N896" s="9"/>
      <c r="O896" s="9"/>
      <c r="P896" s="9"/>
      <c r="Q896" s="9">
        <f ca="1">IFERROR(__xludf.DUMMYFUNCTION("GOOGLEFINANCE(C896,""changepct"")"),-1.03)</f>
        <v>-1.03</v>
      </c>
      <c r="R896" s="9"/>
      <c r="S896" s="9"/>
      <c r="T896" s="9"/>
      <c r="U896" s="9"/>
      <c r="V896" s="9"/>
      <c r="W896" s="9"/>
    </row>
    <row r="897" spans="1:23" ht="14.4">
      <c r="A897" s="3">
        <f>LOOKUP(D897,'AMFI DATA_2023H1'!B:C,'AMFI DATA_2023H1'!C:C)</f>
        <v>1409</v>
      </c>
      <c r="B897" s="4" t="s">
        <v>4061</v>
      </c>
      <c r="C897" s="4" t="s">
        <v>4062</v>
      </c>
      <c r="D897" s="5" t="s">
        <v>4063</v>
      </c>
      <c r="E897" s="5">
        <f>LOOKUP(D897,'AMFI DATA_2023H1'!B:D,'AMFI DATA_2023H1'!D:D)</f>
        <v>403.41</v>
      </c>
      <c r="F897" s="7">
        <f t="shared" si="3"/>
        <v>9.5659502739148694E-2</v>
      </c>
      <c r="G897" s="9">
        <v>442</v>
      </c>
      <c r="H897" s="9">
        <v>439</v>
      </c>
      <c r="I897" s="9">
        <v>411</v>
      </c>
      <c r="J897" s="9">
        <v>412</v>
      </c>
      <c r="K897" s="9">
        <v>410</v>
      </c>
      <c r="L897" s="9">
        <v>416</v>
      </c>
      <c r="M897" s="9"/>
      <c r="N897" s="9"/>
      <c r="O897" s="9"/>
      <c r="P897" s="9"/>
      <c r="Q897" s="9">
        <f ca="1">IFERROR(__xludf.DUMMYFUNCTION("GOOGLEFINANCE(C897,""changepct"")"),-0.02)</f>
        <v>-0.02</v>
      </c>
      <c r="R897" s="9"/>
      <c r="S897" s="9"/>
      <c r="T897" s="9"/>
      <c r="U897" s="9"/>
      <c r="V897" s="9"/>
      <c r="W897" s="9"/>
    </row>
    <row r="898" spans="1:23" ht="14.4">
      <c r="A898" s="3">
        <f>LOOKUP(D898,'AMFI DATA_2023H1'!B:C,'AMFI DATA_2023H1'!C:C)</f>
        <v>457</v>
      </c>
      <c r="B898" s="4" t="s">
        <v>1041</v>
      </c>
      <c r="C898" s="4" t="s">
        <v>1042</v>
      </c>
      <c r="D898" s="5" t="s">
        <v>1043</v>
      </c>
      <c r="E898" s="5">
        <f>LOOKUP(D898,'AMFI DATA_2023H1'!B:D,'AMFI DATA_2023H1'!D:D)</f>
        <v>6040.37</v>
      </c>
      <c r="F898" s="7">
        <f t="shared" si="3"/>
        <v>1.8253236142819067</v>
      </c>
      <c r="G898" s="8">
        <v>17066</v>
      </c>
      <c r="H898" s="8">
        <v>16677</v>
      </c>
      <c r="I898" s="8">
        <v>16657</v>
      </c>
      <c r="J898" s="8">
        <v>16515</v>
      </c>
      <c r="K898" s="8">
        <v>15307</v>
      </c>
      <c r="L898" s="8">
        <v>15951</v>
      </c>
      <c r="M898" s="8"/>
      <c r="N898" s="8"/>
      <c r="O898" s="8"/>
      <c r="P898" s="8"/>
      <c r="Q898" s="9">
        <f ca="1">IFERROR(__xludf.DUMMYFUNCTION("GOOGLEFINANCE(C898,""changepct"")"),0.66)</f>
        <v>0.66</v>
      </c>
      <c r="R898" s="8"/>
      <c r="S898" s="8"/>
      <c r="T898" s="8"/>
      <c r="U898" s="8"/>
      <c r="V898" s="8"/>
      <c r="W898" s="8"/>
    </row>
    <row r="899" spans="1:23" ht="14.4">
      <c r="A899" s="3">
        <f>LOOKUP(D899,'AMFI DATA_2023H1'!B:C,'AMFI DATA_2023H1'!C:C)</f>
        <v>1844</v>
      </c>
      <c r="B899" s="4" t="s">
        <v>4712</v>
      </c>
      <c r="C899" s="4" t="s">
        <v>4713</v>
      </c>
      <c r="D899" s="5" t="s">
        <v>4714</v>
      </c>
      <c r="E899" s="5">
        <f>LOOKUP(D899,'AMFI DATA_2023H1'!B:D,'AMFI DATA_2023H1'!D:D)</f>
        <v>183.21</v>
      </c>
      <c r="F899" s="7">
        <f t="shared" si="3"/>
        <v>4.2519513127012631E-2</v>
      </c>
      <c r="G899" s="9">
        <v>191</v>
      </c>
      <c r="H899" s="9">
        <v>192</v>
      </c>
      <c r="I899" s="9">
        <v>192</v>
      </c>
      <c r="J899" s="9">
        <v>192</v>
      </c>
      <c r="K899" s="9">
        <v>192</v>
      </c>
      <c r="L899" s="9">
        <v>192</v>
      </c>
      <c r="M899" s="9"/>
      <c r="N899" s="9"/>
      <c r="O899" s="9"/>
      <c r="P899" s="9"/>
      <c r="Q899" s="9">
        <f ca="1">IFERROR(__xludf.DUMMYFUNCTION("GOOGLEFINANCE(C899,""changepct"")"),-2.22)</f>
        <v>-2.2200000000000002</v>
      </c>
      <c r="R899" s="9"/>
      <c r="S899" s="9"/>
      <c r="T899" s="9"/>
      <c r="U899" s="9"/>
      <c r="V899" s="9"/>
      <c r="W899" s="9"/>
    </row>
    <row r="900" spans="1:23" ht="14.4">
      <c r="A900" s="3">
        <f>LOOKUP(D900,'AMFI DATA_2023H1'!B:C,'AMFI DATA_2023H1'!C:C)</f>
        <v>941</v>
      </c>
      <c r="B900" s="4" t="s">
        <v>2897</v>
      </c>
      <c r="C900" s="4" t="s">
        <v>2898</v>
      </c>
      <c r="D900" s="5" t="s">
        <v>2899</v>
      </c>
      <c r="E900" s="5">
        <f>LOOKUP(D900,'AMFI DATA_2023H1'!B:D,'AMFI DATA_2023H1'!D:D)</f>
        <v>1341.17</v>
      </c>
      <c r="F900" s="7">
        <f t="shared" si="3"/>
        <v>0.44202450099539936</v>
      </c>
      <c r="G900" s="8">
        <v>1934</v>
      </c>
      <c r="H900" s="8">
        <v>1971</v>
      </c>
      <c r="I900" s="8">
        <v>1996</v>
      </c>
      <c r="J900" s="8">
        <v>1980</v>
      </c>
      <c r="K900" s="8">
        <v>2005</v>
      </c>
      <c r="L900" s="8">
        <v>1983</v>
      </c>
      <c r="M900" s="8"/>
      <c r="N900" s="8"/>
      <c r="O900" s="8"/>
      <c r="P900" s="8"/>
      <c r="Q900" s="9">
        <f ca="1">IFERROR(__xludf.DUMMYFUNCTION("GOOGLEFINANCE(C900,""changepct"")"),1.81)</f>
        <v>1.81</v>
      </c>
      <c r="R900" s="8"/>
      <c r="S900" s="8"/>
      <c r="T900" s="8"/>
      <c r="U900" s="8"/>
      <c r="V900" s="8"/>
      <c r="W900" s="8"/>
    </row>
    <row r="901" spans="1:23" ht="14.4">
      <c r="A901" s="3">
        <f>LOOKUP(D901,'AMFI DATA_2023H1'!B:C,'AMFI DATA_2023H1'!C:C)</f>
        <v>1592</v>
      </c>
      <c r="B901" s="4" t="s">
        <v>4205</v>
      </c>
      <c r="C901" s="4" t="s">
        <v>4206</v>
      </c>
      <c r="D901" s="5" t="s">
        <v>4207</v>
      </c>
      <c r="E901" s="5">
        <f>LOOKUP(D901,'AMFI DATA_2023H1'!B:D,'AMFI DATA_2023H1'!D:D)</f>
        <v>291.92</v>
      </c>
      <c r="F901" s="7">
        <f t="shared" si="3"/>
        <v>0.40449438202247179</v>
      </c>
      <c r="G901" s="9">
        <v>410</v>
      </c>
      <c r="H901" s="9">
        <v>402</v>
      </c>
      <c r="I901" s="9">
        <v>403</v>
      </c>
      <c r="J901" s="9">
        <v>408</v>
      </c>
      <c r="K901" s="9">
        <v>416</v>
      </c>
      <c r="L901" s="9">
        <v>419</v>
      </c>
      <c r="M901" s="9"/>
      <c r="N901" s="9"/>
      <c r="O901" s="9"/>
      <c r="P901" s="9"/>
      <c r="Q901" s="9">
        <f ca="1">IFERROR(__xludf.DUMMYFUNCTION("GOOGLEFINANCE(C901,""changepct"")"),3.97)</f>
        <v>3.97</v>
      </c>
      <c r="R901" s="9"/>
      <c r="S901" s="9"/>
      <c r="T901" s="9"/>
      <c r="U901" s="9"/>
      <c r="V901" s="9"/>
      <c r="W901" s="9"/>
    </row>
    <row r="902" spans="1:23" ht="14.4">
      <c r="A902" s="3">
        <f>LOOKUP(D902,'AMFI DATA_2023H1'!B:C,'AMFI DATA_2023H1'!C:C)</f>
        <v>912</v>
      </c>
      <c r="B902" s="4" t="s">
        <v>2390</v>
      </c>
      <c r="C902" s="4" t="s">
        <v>2391</v>
      </c>
      <c r="D902" s="5" t="s">
        <v>2392</v>
      </c>
      <c r="E902" s="5">
        <f>LOOKUP(D902,'AMFI DATA_2023H1'!B:D,'AMFI DATA_2023H1'!D:D)</f>
        <v>1428.5</v>
      </c>
      <c r="F902" s="7">
        <f t="shared" si="3"/>
        <v>1.4445222261113058</v>
      </c>
      <c r="G902" s="8">
        <v>3492</v>
      </c>
      <c r="H902" s="8">
        <v>3553</v>
      </c>
      <c r="I902" s="8">
        <v>3546</v>
      </c>
      <c r="J902" s="8">
        <v>3556</v>
      </c>
      <c r="K902" s="8">
        <v>3483</v>
      </c>
      <c r="L902" s="8">
        <v>3361</v>
      </c>
      <c r="M902" s="8"/>
      <c r="N902" s="8"/>
      <c r="O902" s="8"/>
      <c r="P902" s="8"/>
      <c r="Q902" s="9">
        <f ca="1">IFERROR(__xludf.DUMMYFUNCTION("GOOGLEFINANCE(C902,""changepct"")"),3.13)</f>
        <v>3.13</v>
      </c>
      <c r="R902" s="8"/>
      <c r="S902" s="8"/>
      <c r="T902" s="8"/>
      <c r="U902" s="8"/>
      <c r="V902" s="8"/>
      <c r="W902" s="8"/>
    </row>
    <row r="903" spans="1:23" ht="14.4">
      <c r="A903" s="3">
        <f>LOOKUP(D903,'AMFI DATA_2023H1'!B:C,'AMFI DATA_2023H1'!C:C)</f>
        <v>298</v>
      </c>
      <c r="B903" s="4" t="s">
        <v>918</v>
      </c>
      <c r="C903" s="4" t="s">
        <v>919</v>
      </c>
      <c r="D903" s="5" t="s">
        <v>920</v>
      </c>
      <c r="E903" s="5">
        <f>LOOKUP(D903,'AMFI DATA_2023H1'!B:D,'AMFI DATA_2023H1'!D:D)</f>
        <v>12676.58</v>
      </c>
      <c r="F903" s="7">
        <f t="shared" si="3"/>
        <v>0.23101025670961728</v>
      </c>
      <c r="G903" s="8">
        <v>15605</v>
      </c>
      <c r="H903" s="8">
        <v>15141</v>
      </c>
      <c r="I903" s="8">
        <v>15202</v>
      </c>
      <c r="J903" s="8">
        <v>15184</v>
      </c>
      <c r="K903" s="8">
        <v>15230</v>
      </c>
      <c r="L903" s="8">
        <v>15393</v>
      </c>
      <c r="M903" s="8"/>
      <c r="N903" s="8"/>
      <c r="O903" s="8"/>
      <c r="P903" s="8"/>
      <c r="Q903" s="9">
        <f ca="1">IFERROR(__xludf.DUMMYFUNCTION("GOOGLEFINANCE(C903,""changepct"")"),-0.72)</f>
        <v>-0.72</v>
      </c>
      <c r="R903" s="8"/>
      <c r="S903" s="8"/>
      <c r="T903" s="8"/>
      <c r="U903" s="8"/>
      <c r="V903" s="8"/>
      <c r="W903" s="8"/>
    </row>
    <row r="904" spans="1:23" ht="14.4">
      <c r="A904" s="3">
        <f>LOOKUP(D904,'AMFI DATA_2023H1'!B:C,'AMFI DATA_2023H1'!C:C)</f>
        <v>257</v>
      </c>
      <c r="B904" s="4" t="s">
        <v>720</v>
      </c>
      <c r="C904" s="4" t="s">
        <v>721</v>
      </c>
      <c r="D904" s="5" t="s">
        <v>722</v>
      </c>
      <c r="E904" s="5">
        <f>LOOKUP(D904,'AMFI DATA_2023H1'!B:D,'AMFI DATA_2023H1'!D:D)</f>
        <v>16238.87</v>
      </c>
      <c r="F904" s="7">
        <f t="shared" si="3"/>
        <v>0.7781409667051955</v>
      </c>
      <c r="G904" s="8">
        <v>28875</v>
      </c>
      <c r="H904" s="8">
        <v>29354</v>
      </c>
      <c r="I904" s="8">
        <v>29676</v>
      </c>
      <c r="J904" s="8">
        <v>28154</v>
      </c>
      <c r="K904" s="8">
        <v>27717</v>
      </c>
      <c r="L904" s="8">
        <v>27584</v>
      </c>
      <c r="M904" s="8"/>
      <c r="N904" s="8"/>
      <c r="O904" s="8"/>
      <c r="P904" s="8"/>
      <c r="Q904" s="9">
        <f ca="1">IFERROR(__xludf.DUMMYFUNCTION("GOOGLEFINANCE(C904,""changepct"")"),-3.36)</f>
        <v>-3.36</v>
      </c>
      <c r="R904" s="8"/>
      <c r="S904" s="8"/>
      <c r="T904" s="8"/>
      <c r="U904" s="8"/>
      <c r="V904" s="8"/>
      <c r="W904" s="8"/>
    </row>
    <row r="905" spans="1:23" ht="14.4">
      <c r="A905" s="3">
        <f>LOOKUP(D905,'AMFI DATA_2023H1'!B:C,'AMFI DATA_2023H1'!C:C)</f>
        <v>1290</v>
      </c>
      <c r="B905" s="4" t="s">
        <v>3554</v>
      </c>
      <c r="C905" s="4" t="s">
        <v>3555</v>
      </c>
      <c r="D905" s="5" t="s">
        <v>3556</v>
      </c>
      <c r="E905" s="5">
        <f>LOOKUP(D905,'AMFI DATA_2023H1'!B:D,'AMFI DATA_2023H1'!D:D)</f>
        <v>544.79</v>
      </c>
      <c r="F905" s="7">
        <f t="shared" si="3"/>
        <v>0.80252941500394659</v>
      </c>
      <c r="G905" s="9">
        <v>982</v>
      </c>
      <c r="H905" s="9">
        <v>980</v>
      </c>
      <c r="I905" s="9">
        <v>954</v>
      </c>
      <c r="J905" s="9">
        <v>980</v>
      </c>
      <c r="K905" s="9">
        <v>965</v>
      </c>
      <c r="L905" s="9">
        <v>975</v>
      </c>
      <c r="M905" s="9"/>
      <c r="N905" s="9"/>
      <c r="O905" s="9"/>
      <c r="P905" s="9"/>
      <c r="Q905" s="9">
        <f ca="1">IFERROR(__xludf.DUMMYFUNCTION("GOOGLEFINANCE(C905,""changepct"")"),1.39)</f>
        <v>1.39</v>
      </c>
      <c r="R905" s="9"/>
      <c r="S905" s="9"/>
      <c r="T905" s="9"/>
      <c r="U905" s="9"/>
      <c r="V905" s="9"/>
      <c r="W905" s="9"/>
    </row>
    <row r="906" spans="1:23" ht="14.4">
      <c r="A906" s="3">
        <f>LOOKUP(D906,'AMFI DATA_2023H1'!B:C,'AMFI DATA_2023H1'!C:C)</f>
        <v>1399</v>
      </c>
      <c r="B906" s="4" t="s">
        <v>3632</v>
      </c>
      <c r="C906" s="4" t="s">
        <v>3633</v>
      </c>
      <c r="D906" s="5" t="s">
        <v>3634</v>
      </c>
      <c r="E906" s="5">
        <f>LOOKUP(D906,'AMFI DATA_2023H1'!B:D,'AMFI DATA_2023H1'!D:D)</f>
        <v>409.44</v>
      </c>
      <c r="F906" s="7">
        <f t="shared" si="3"/>
        <v>1.3177999218444705</v>
      </c>
      <c r="G906" s="9">
        <v>949</v>
      </c>
      <c r="H906" s="9">
        <v>937</v>
      </c>
      <c r="I906" s="9">
        <v>951</v>
      </c>
      <c r="J906" s="9">
        <v>941</v>
      </c>
      <c r="K906" s="9">
        <v>933</v>
      </c>
      <c r="L906" s="9">
        <v>959</v>
      </c>
      <c r="M906" s="9"/>
      <c r="N906" s="9"/>
      <c r="O906" s="9"/>
      <c r="P906" s="9"/>
      <c r="Q906" s="9">
        <f ca="1">IFERROR(__xludf.DUMMYFUNCTION("GOOGLEFINANCE(C906,""changepct"")"),7.02)</f>
        <v>7.02</v>
      </c>
      <c r="R906" s="9"/>
      <c r="S906" s="9"/>
      <c r="T906" s="9"/>
      <c r="U906" s="9"/>
      <c r="V906" s="9"/>
      <c r="W906" s="9"/>
    </row>
    <row r="907" spans="1:23" ht="14.4">
      <c r="A907" s="3">
        <f>LOOKUP(D907,'AMFI DATA_2023H1'!B:C,'AMFI DATA_2023H1'!C:C)</f>
        <v>811</v>
      </c>
      <c r="B907" s="4" t="s">
        <v>2258</v>
      </c>
      <c r="C907" s="4" t="s">
        <v>2259</v>
      </c>
      <c r="D907" s="5" t="s">
        <v>2260</v>
      </c>
      <c r="E907" s="5">
        <f>LOOKUP(D907,'AMFI DATA_2023H1'!B:D,'AMFI DATA_2023H1'!D:D)</f>
        <v>1885.75</v>
      </c>
      <c r="F907" s="7">
        <f t="shared" si="3"/>
        <v>1.9128993769057403</v>
      </c>
      <c r="G907" s="8">
        <v>5493</v>
      </c>
      <c r="H907" s="8">
        <v>5477</v>
      </c>
      <c r="I907" s="8">
        <v>5474</v>
      </c>
      <c r="J907" s="8">
        <v>5498</v>
      </c>
      <c r="K907" s="8">
        <v>5241</v>
      </c>
      <c r="L907" s="8">
        <v>5190</v>
      </c>
      <c r="M907" s="8"/>
      <c r="N907" s="8"/>
      <c r="O907" s="8"/>
      <c r="P907" s="8"/>
      <c r="Q907" s="9">
        <f ca="1">IFERROR(__xludf.DUMMYFUNCTION("GOOGLEFINANCE(C907,""changepct"")"),0.75)</f>
        <v>0.75</v>
      </c>
      <c r="R907" s="8"/>
      <c r="S907" s="8"/>
      <c r="T907" s="8"/>
      <c r="U907" s="8"/>
      <c r="V907" s="8"/>
      <c r="W907" s="8"/>
    </row>
    <row r="908" spans="1:23" ht="14.4">
      <c r="A908" s="3">
        <f>LOOKUP(D908,'AMFI DATA_2023H1'!B:C,'AMFI DATA_2023H1'!C:C)</f>
        <v>668</v>
      </c>
      <c r="B908" s="4" t="s">
        <v>1908</v>
      </c>
      <c r="C908" s="4" t="s">
        <v>1909</v>
      </c>
      <c r="D908" s="5" t="s">
        <v>1910</v>
      </c>
      <c r="E908" s="5">
        <f>LOOKUP(D908,'AMFI DATA_2023H1'!B:D,'AMFI DATA_2023H1'!D:D)</f>
        <v>2845.43</v>
      </c>
      <c r="F908" s="7">
        <f t="shared" si="3"/>
        <v>0.71151636132324469</v>
      </c>
      <c r="G908" s="8">
        <v>4870</v>
      </c>
      <c r="H908" s="8">
        <v>4702</v>
      </c>
      <c r="I908" s="8">
        <v>4725</v>
      </c>
      <c r="J908" s="8">
        <v>4838</v>
      </c>
      <c r="K908" s="8">
        <v>4859</v>
      </c>
      <c r="L908" s="8">
        <v>4755</v>
      </c>
      <c r="M908" s="8"/>
      <c r="N908" s="8"/>
      <c r="O908" s="8"/>
      <c r="P908" s="8"/>
      <c r="Q908" s="9">
        <f ca="1">IFERROR(__xludf.DUMMYFUNCTION("GOOGLEFINANCE(C908,""changepct"")"),4.61)</f>
        <v>4.6100000000000003</v>
      </c>
      <c r="R908" s="8"/>
      <c r="S908" s="8"/>
      <c r="T908" s="8"/>
      <c r="U908" s="8"/>
      <c r="V908" s="8"/>
      <c r="W908" s="8"/>
    </row>
    <row r="909" spans="1:23" ht="14.4">
      <c r="A909" s="3">
        <f>LOOKUP(D909,'AMFI DATA_2023H1'!B:C,'AMFI DATA_2023H1'!C:C)</f>
        <v>2463</v>
      </c>
      <c r="B909" s="4" t="s">
        <v>5302</v>
      </c>
      <c r="C909" s="4" t="s">
        <v>5303</v>
      </c>
      <c r="D909" s="5" t="s">
        <v>5304</v>
      </c>
      <c r="E909" s="5">
        <f>LOOKUP(D909,'AMFI DATA_2023H1'!B:D,'AMFI DATA_2023H1'!D:D)</f>
        <v>67.64</v>
      </c>
      <c r="F909" s="7">
        <f t="shared" si="3"/>
        <v>0.27143701951507992</v>
      </c>
      <c r="G909" s="9">
        <v>86</v>
      </c>
      <c r="H909" s="9">
        <v>86.6</v>
      </c>
      <c r="I909" s="9">
        <v>82.1</v>
      </c>
      <c r="J909" s="9">
        <v>84.2</v>
      </c>
      <c r="K909" s="9">
        <v>83.2</v>
      </c>
      <c r="L909" s="9">
        <v>82.9</v>
      </c>
      <c r="M909" s="9"/>
      <c r="N909" s="9"/>
      <c r="O909" s="9"/>
      <c r="P909" s="9"/>
      <c r="Q909" s="9">
        <f ca="1">IFERROR(__xludf.DUMMYFUNCTION("GOOGLEFINANCE(C909,""changepct"")"),15.5)</f>
        <v>15.5</v>
      </c>
      <c r="R909" s="9"/>
      <c r="S909" s="9"/>
      <c r="T909" s="9"/>
      <c r="U909" s="9"/>
      <c r="V909" s="9"/>
      <c r="W909" s="9"/>
    </row>
    <row r="910" spans="1:23" ht="14.4">
      <c r="A910" s="3">
        <f>LOOKUP(D910,'AMFI DATA_2023H1'!B:C,'AMFI DATA_2023H1'!C:C)</f>
        <v>478</v>
      </c>
      <c r="B910" s="4" t="s">
        <v>1596</v>
      </c>
      <c r="C910" s="4" t="s">
        <v>1597</v>
      </c>
      <c r="D910" s="5" t="s">
        <v>1598</v>
      </c>
      <c r="E910" s="5">
        <f>LOOKUP(D910,'AMFI DATA_2023H1'!B:D,'AMFI DATA_2023H1'!D:D)</f>
        <v>5577.31</v>
      </c>
      <c r="F910" s="7">
        <f t="shared" si="3"/>
        <v>0.29865472781681479</v>
      </c>
      <c r="G910" s="8">
        <v>7243</v>
      </c>
      <c r="H910" s="8">
        <v>7282</v>
      </c>
      <c r="I910" s="8">
        <v>7029</v>
      </c>
      <c r="J910" s="8">
        <v>7032</v>
      </c>
      <c r="K910" s="8">
        <v>6974</v>
      </c>
      <c r="L910" s="8">
        <v>6976</v>
      </c>
      <c r="M910" s="8"/>
      <c r="N910" s="8"/>
      <c r="O910" s="8"/>
      <c r="P910" s="8"/>
      <c r="Q910" s="9">
        <f ca="1">IFERROR(__xludf.DUMMYFUNCTION("GOOGLEFINANCE(C910,""changepct"")"),-0.49)</f>
        <v>-0.49</v>
      </c>
      <c r="R910" s="8"/>
      <c r="S910" s="8"/>
      <c r="T910" s="8"/>
      <c r="U910" s="8"/>
      <c r="V910" s="8"/>
      <c r="W910" s="8"/>
    </row>
    <row r="911" spans="1:23" ht="14.4">
      <c r="A911" s="3">
        <f>LOOKUP(D911,'AMFI DATA_2023H1'!B:C,'AMFI DATA_2023H1'!C:C)</f>
        <v>492</v>
      </c>
      <c r="B911" s="4" t="s">
        <v>1443</v>
      </c>
      <c r="C911" s="4" t="s">
        <v>1444</v>
      </c>
      <c r="D911" s="5" t="s">
        <v>1445</v>
      </c>
      <c r="E911" s="5">
        <f>LOOKUP(D911,'AMFI DATA_2023H1'!B:D,'AMFI DATA_2023H1'!D:D)</f>
        <v>5364.55</v>
      </c>
      <c r="F911" s="7">
        <f t="shared" si="3"/>
        <v>0.53806004231482607</v>
      </c>
      <c r="G911" s="8">
        <v>8251</v>
      </c>
      <c r="H911" s="8">
        <v>8226</v>
      </c>
      <c r="I911" s="8">
        <v>8413</v>
      </c>
      <c r="J911" s="8">
        <v>8582</v>
      </c>
      <c r="K911" s="8">
        <v>8584</v>
      </c>
      <c r="L911" s="8">
        <v>8393</v>
      </c>
      <c r="M911" s="8"/>
      <c r="N911" s="8"/>
      <c r="O911" s="8"/>
      <c r="P911" s="8"/>
      <c r="Q911" s="9">
        <f ca="1">IFERROR(__xludf.DUMMYFUNCTION("GOOGLEFINANCE(C911,""changepct"")"),2.55)</f>
        <v>2.5499999999999998</v>
      </c>
      <c r="R911" s="8"/>
      <c r="S911" s="8"/>
      <c r="T911" s="8"/>
      <c r="U911" s="8"/>
      <c r="V911" s="8"/>
      <c r="W911" s="8"/>
    </row>
    <row r="912" spans="1:23" ht="14.4">
      <c r="A912" s="3">
        <f>LOOKUP(D912,'AMFI DATA_2023H1'!B:C,'AMFI DATA_2023H1'!C:C)</f>
        <v>1441</v>
      </c>
      <c r="B912" s="4" t="s">
        <v>3884</v>
      </c>
      <c r="C912" s="4" t="s">
        <v>3885</v>
      </c>
      <c r="D912" s="5" t="s">
        <v>3886</v>
      </c>
      <c r="E912" s="5">
        <f>LOOKUP(D912,'AMFI DATA_2023H1'!B:D,'AMFI DATA_2023H1'!D:D)</f>
        <v>387.47</v>
      </c>
      <c r="F912" s="7">
        <f t="shared" si="3"/>
        <v>0.62851317521356487</v>
      </c>
      <c r="G912" s="9">
        <v>631</v>
      </c>
      <c r="H912" s="9">
        <v>647</v>
      </c>
      <c r="I912" s="9">
        <v>633</v>
      </c>
      <c r="J912" s="9">
        <v>654</v>
      </c>
      <c r="K912" s="9">
        <v>667</v>
      </c>
      <c r="L912" s="9">
        <v>666</v>
      </c>
      <c r="M912" s="9"/>
      <c r="N912" s="9"/>
      <c r="O912" s="9"/>
      <c r="P912" s="9"/>
      <c r="Q912" s="9">
        <f ca="1">IFERROR(__xludf.DUMMYFUNCTION("GOOGLEFINANCE(C912,""changepct"")"),0.43)</f>
        <v>0.43</v>
      </c>
      <c r="R912" s="9"/>
      <c r="S912" s="9"/>
      <c r="T912" s="9"/>
      <c r="U912" s="9"/>
      <c r="V912" s="9"/>
      <c r="W912" s="9"/>
    </row>
    <row r="913" spans="1:23" ht="14.4">
      <c r="A913" s="3">
        <f>LOOKUP(D913,'AMFI DATA_2023H1'!B:C,'AMFI DATA_2023H1'!C:C)</f>
        <v>3215</v>
      </c>
      <c r="B913" s="4" t="s">
        <v>5629</v>
      </c>
      <c r="C913" s="4" t="s">
        <v>5630</v>
      </c>
      <c r="D913" s="5" t="s">
        <v>5631</v>
      </c>
      <c r="E913" s="5">
        <f>LOOKUP(D913,'AMFI DATA_2023H1'!B:D,'AMFI DATA_2023H1'!D:D)</f>
        <v>22.04</v>
      </c>
      <c r="F913" s="7">
        <f t="shared" si="3"/>
        <v>0.29764065335753198</v>
      </c>
      <c r="G913" s="9">
        <v>28.6</v>
      </c>
      <c r="H913" s="9">
        <v>28.5</v>
      </c>
      <c r="I913" s="9">
        <v>27.6</v>
      </c>
      <c r="J913" s="9">
        <v>29.2</v>
      </c>
      <c r="K913" s="9">
        <v>29.2</v>
      </c>
      <c r="L913" s="9">
        <v>27.2</v>
      </c>
      <c r="M913" s="9"/>
      <c r="N913" s="9"/>
      <c r="O913" s="9"/>
      <c r="P913" s="9"/>
      <c r="Q913" s="9">
        <f ca="1">IFERROR(__xludf.DUMMYFUNCTION("GOOGLEFINANCE(C913,""changepct"")"),6.27)</f>
        <v>6.27</v>
      </c>
      <c r="R913" s="9"/>
      <c r="S913" s="9"/>
      <c r="T913" s="9"/>
      <c r="U913" s="9"/>
      <c r="V913" s="9"/>
      <c r="W913" s="9"/>
    </row>
    <row r="914" spans="1:23" ht="14.4">
      <c r="A914" s="3">
        <f>LOOKUP(D914,'AMFI DATA_2023H1'!B:C,'AMFI DATA_2023H1'!C:C)</f>
        <v>1212</v>
      </c>
      <c r="B914" s="4" t="s">
        <v>3788</v>
      </c>
      <c r="C914" s="4" t="s">
        <v>3789</v>
      </c>
      <c r="D914" s="5" t="s">
        <v>3790</v>
      </c>
      <c r="E914" s="5">
        <f>LOOKUP(D914,'AMFI DATA_2023H1'!B:D,'AMFI DATA_2023H1'!D:D)</f>
        <v>676.38</v>
      </c>
      <c r="F914" s="7">
        <f t="shared" si="3"/>
        <v>4.5270410124486293E-2</v>
      </c>
      <c r="G914" s="9">
        <v>707</v>
      </c>
      <c r="H914" s="9">
        <v>669</v>
      </c>
      <c r="I914" s="9">
        <v>679</v>
      </c>
      <c r="J914" s="9">
        <v>677</v>
      </c>
      <c r="K914" s="9">
        <v>659</v>
      </c>
      <c r="L914" s="9">
        <v>652</v>
      </c>
      <c r="M914" s="9"/>
      <c r="N914" s="9"/>
      <c r="O914" s="9"/>
      <c r="P914" s="9"/>
      <c r="Q914" s="9">
        <f ca="1">IFERROR(__xludf.DUMMYFUNCTION("GOOGLEFINANCE(C914,""changepct"")"),21.57)</f>
        <v>21.57</v>
      </c>
      <c r="R914" s="9"/>
      <c r="S914" s="9"/>
      <c r="T914" s="9"/>
      <c r="U914" s="9"/>
      <c r="V914" s="9"/>
      <c r="W914" s="9"/>
    </row>
    <row r="915" spans="1:23" ht="14.4">
      <c r="A915" s="3">
        <f>LOOKUP(D915,'AMFI DATA_2023H1'!B:C,'AMFI DATA_2023H1'!C:C)</f>
        <v>2683</v>
      </c>
      <c r="B915" s="4" t="s">
        <v>5542</v>
      </c>
      <c r="C915" s="4" t="s">
        <v>5543</v>
      </c>
      <c r="D915" s="5" t="s">
        <v>5544</v>
      </c>
      <c r="E915" s="5">
        <f>LOOKUP(D915,'AMFI DATA_2023H1'!B:D,'AMFI DATA_2023H1'!D:D)</f>
        <v>47.41</v>
      </c>
      <c r="F915" s="7">
        <f t="shared" si="3"/>
        <v>-0.17527947690360679</v>
      </c>
      <c r="G915" s="9">
        <v>39.1</v>
      </c>
      <c r="H915" s="9">
        <v>39.1</v>
      </c>
      <c r="I915" s="9">
        <v>38.6</v>
      </c>
      <c r="J915" s="9">
        <v>40.6</v>
      </c>
      <c r="K915" s="9">
        <v>42</v>
      </c>
      <c r="L915" s="9">
        <v>38.700000000000003</v>
      </c>
      <c r="M915" s="9"/>
      <c r="N915" s="9"/>
      <c r="O915" s="9"/>
      <c r="P915" s="9"/>
      <c r="Q915" s="9">
        <f ca="1">IFERROR(__xludf.DUMMYFUNCTION("GOOGLEFINANCE(C915,""changepct"")"),0)</f>
        <v>0</v>
      </c>
      <c r="R915" s="9"/>
      <c r="S915" s="9"/>
      <c r="T915" s="9"/>
      <c r="U915" s="9"/>
      <c r="V915" s="9"/>
      <c r="W915" s="9"/>
    </row>
    <row r="916" spans="1:23" ht="14.4">
      <c r="A916" s="3">
        <f>LOOKUP(D916,'AMFI DATA_2023H1'!B:C,'AMFI DATA_2023H1'!C:C)</f>
        <v>1648</v>
      </c>
      <c r="B916" s="4" t="s">
        <v>4163</v>
      </c>
      <c r="C916" s="4" t="s">
        <v>4164</v>
      </c>
      <c r="D916" s="5" t="s">
        <v>4165</v>
      </c>
      <c r="E916" s="5">
        <f>LOOKUP(D916,'AMFI DATA_2023H1'!B:D,'AMFI DATA_2023H1'!D:D)</f>
        <v>264.70999999999998</v>
      </c>
      <c r="F916" s="7">
        <f t="shared" si="3"/>
        <v>1.2061879037437198</v>
      </c>
      <c r="G916" s="9">
        <v>584</v>
      </c>
      <c r="H916" s="9">
        <v>600</v>
      </c>
      <c r="I916" s="9">
        <v>600</v>
      </c>
      <c r="J916" s="9">
        <v>603</v>
      </c>
      <c r="K916" s="9">
        <v>592</v>
      </c>
      <c r="L916" s="9">
        <v>615</v>
      </c>
      <c r="M916" s="9"/>
      <c r="N916" s="9"/>
      <c r="O916" s="9"/>
      <c r="P916" s="9"/>
      <c r="Q916" s="9">
        <f ca="1">IFERROR(__xludf.DUMMYFUNCTION("GOOGLEFINANCE(C916,""changepct"")"),-2.42)</f>
        <v>-2.42</v>
      </c>
      <c r="R916" s="9"/>
      <c r="S916" s="9"/>
      <c r="T916" s="9"/>
      <c r="U916" s="9"/>
      <c r="V916" s="9"/>
      <c r="W916" s="9"/>
    </row>
    <row r="917" spans="1:23" ht="14.4">
      <c r="A917" s="3">
        <f>LOOKUP(D917,'AMFI DATA_2023H1'!B:C,'AMFI DATA_2023H1'!C:C)</f>
        <v>810</v>
      </c>
      <c r="B917" s="4" t="s">
        <v>2387</v>
      </c>
      <c r="C917" s="4" t="s">
        <v>2388</v>
      </c>
      <c r="D917" s="5" t="s">
        <v>2389</v>
      </c>
      <c r="E917" s="5">
        <f>LOOKUP(D917,'AMFI DATA_2023H1'!B:D,'AMFI DATA_2023H1'!D:D)</f>
        <v>1891.56</v>
      </c>
      <c r="F917" s="7">
        <f t="shared" si="3"/>
        <v>0.47708769481274715</v>
      </c>
      <c r="G917" s="8">
        <v>2794</v>
      </c>
      <c r="H917" s="8">
        <v>2886</v>
      </c>
      <c r="I917" s="8">
        <v>2811</v>
      </c>
      <c r="J917" s="8">
        <v>2804</v>
      </c>
      <c r="K917" s="8">
        <v>2762</v>
      </c>
      <c r="L917" s="8">
        <v>2702</v>
      </c>
      <c r="M917" s="8"/>
      <c r="N917" s="8"/>
      <c r="O917" s="8"/>
      <c r="P917" s="8"/>
      <c r="Q917" s="9">
        <f ca="1">IFERROR(__xludf.DUMMYFUNCTION("GOOGLEFINANCE(C917,""changepct"")"),-0.36)</f>
        <v>-0.36</v>
      </c>
      <c r="R917" s="8"/>
      <c r="S917" s="8"/>
      <c r="T917" s="8"/>
      <c r="U917" s="8"/>
      <c r="V917" s="8"/>
      <c r="W917" s="8"/>
    </row>
    <row r="918" spans="1:23" ht="14.4">
      <c r="A918" s="3">
        <f>LOOKUP(D918,'AMFI DATA_2023H1'!B:C,'AMFI DATA_2023H1'!C:C)</f>
        <v>309</v>
      </c>
      <c r="B918" s="4" t="s">
        <v>885</v>
      </c>
      <c r="C918" s="4" t="s">
        <v>886</v>
      </c>
      <c r="D918" s="5" t="s">
        <v>887</v>
      </c>
      <c r="E918" s="5">
        <f>LOOKUP(D918,'AMFI DATA_2023H1'!B:D,'AMFI DATA_2023H1'!D:D)</f>
        <v>11854.88</v>
      </c>
      <c r="F918" s="7">
        <f t="shared" si="3"/>
        <v>1.0088773568353289</v>
      </c>
      <c r="G918" s="8">
        <v>23815</v>
      </c>
      <c r="H918" s="8">
        <v>22399</v>
      </c>
      <c r="I918" s="8">
        <v>22775</v>
      </c>
      <c r="J918" s="8">
        <v>22912</v>
      </c>
      <c r="K918" s="8">
        <v>23198</v>
      </c>
      <c r="L918" s="8">
        <v>22952</v>
      </c>
      <c r="M918" s="8"/>
      <c r="N918" s="8"/>
      <c r="O918" s="8"/>
      <c r="P918" s="8"/>
      <c r="Q918" s="9">
        <f ca="1">IFERROR(__xludf.DUMMYFUNCTION("GOOGLEFINANCE(C918,""changepct"")"),5.4)</f>
        <v>5.4</v>
      </c>
      <c r="R918" s="8"/>
      <c r="S918" s="8"/>
      <c r="T918" s="8"/>
      <c r="U918" s="8"/>
      <c r="V918" s="8"/>
      <c r="W918" s="8"/>
    </row>
    <row r="919" spans="1:23" ht="14.4">
      <c r="A919" s="3">
        <f>LOOKUP(D919,'AMFI DATA_2023H1'!B:C,'AMFI DATA_2023H1'!C:C)</f>
        <v>867</v>
      </c>
      <c r="B919" s="4" t="s">
        <v>3002</v>
      </c>
      <c r="C919" s="4" t="s">
        <v>3003</v>
      </c>
      <c r="D919" s="5" t="s">
        <v>3004</v>
      </c>
      <c r="E919" s="5">
        <f>LOOKUP(D919,'AMFI DATA_2023H1'!B:D,'AMFI DATA_2023H1'!D:D)</f>
        <v>1624.15</v>
      </c>
      <c r="F919" s="7">
        <f t="shared" si="3"/>
        <v>0.32253794292399096</v>
      </c>
      <c r="G919" s="8">
        <v>2148</v>
      </c>
      <c r="H919" s="8">
        <v>2072</v>
      </c>
      <c r="I919" s="8">
        <v>2133</v>
      </c>
      <c r="J919" s="8">
        <v>2136</v>
      </c>
      <c r="K919" s="8">
        <v>2106</v>
      </c>
      <c r="L919" s="8">
        <v>2085</v>
      </c>
      <c r="M919" s="8"/>
      <c r="N919" s="8"/>
      <c r="O919" s="8"/>
      <c r="P919" s="8"/>
      <c r="Q919" s="9">
        <f ca="1">IFERROR(__xludf.DUMMYFUNCTION("GOOGLEFINANCE(C919,""changepct"")"),1.84)</f>
        <v>1.84</v>
      </c>
      <c r="R919" s="8"/>
      <c r="S919" s="8"/>
      <c r="T919" s="8"/>
      <c r="U919" s="8"/>
      <c r="V919" s="8"/>
      <c r="W919" s="8"/>
    </row>
    <row r="920" spans="1:23" ht="14.4">
      <c r="A920" s="3">
        <f>LOOKUP(D920,'AMFI DATA_2023H1'!B:C,'AMFI DATA_2023H1'!C:C)</f>
        <v>620</v>
      </c>
      <c r="B920" s="4" t="s">
        <v>1578</v>
      </c>
      <c r="C920" s="4" t="s">
        <v>1579</v>
      </c>
      <c r="D920" s="5" t="s">
        <v>1580</v>
      </c>
      <c r="E920" s="5">
        <f>LOOKUP(D920,'AMFI DATA_2023H1'!B:D,'AMFI DATA_2023H1'!D:D)</f>
        <v>3438.39</v>
      </c>
      <c r="F920" s="7">
        <f t="shared" si="3"/>
        <v>1.0733540988660391</v>
      </c>
      <c r="G920" s="8">
        <v>7129</v>
      </c>
      <c r="H920" s="8">
        <v>7185</v>
      </c>
      <c r="I920" s="8">
        <v>6978</v>
      </c>
      <c r="J920" s="8">
        <v>7147</v>
      </c>
      <c r="K920" s="8">
        <v>7158</v>
      </c>
      <c r="L920" s="8">
        <v>7206</v>
      </c>
      <c r="M920" s="8"/>
      <c r="N920" s="8"/>
      <c r="O920" s="8"/>
      <c r="P920" s="8"/>
      <c r="Q920" s="9">
        <f ca="1">IFERROR(__xludf.DUMMYFUNCTION("GOOGLEFINANCE(C920,""changepct"")"),1.46)</f>
        <v>1.46</v>
      </c>
      <c r="R920" s="8"/>
      <c r="S920" s="8"/>
      <c r="T920" s="8"/>
      <c r="U920" s="8"/>
      <c r="V920" s="8"/>
      <c r="W920" s="8"/>
    </row>
    <row r="921" spans="1:23" ht="14.4">
      <c r="A921" s="3">
        <f>LOOKUP(D921,'AMFI DATA_2023H1'!B:C,'AMFI DATA_2023H1'!C:C)</f>
        <v>1261</v>
      </c>
      <c r="B921" s="4" t="s">
        <v>3611</v>
      </c>
      <c r="C921" s="4" t="s">
        <v>3612</v>
      </c>
      <c r="D921" s="5" t="s">
        <v>3613</v>
      </c>
      <c r="E921" s="5">
        <f>LOOKUP(D921,'AMFI DATA_2023H1'!B:D,'AMFI DATA_2023H1'!D:D)</f>
        <v>580.51</v>
      </c>
      <c r="F921" s="7">
        <f t="shared" si="3"/>
        <v>0.27474117586260349</v>
      </c>
      <c r="G921" s="9">
        <v>740</v>
      </c>
      <c r="H921" s="9">
        <v>737</v>
      </c>
      <c r="I921" s="9">
        <v>731</v>
      </c>
      <c r="J921" s="9">
        <v>742</v>
      </c>
      <c r="K921" s="9">
        <v>743</v>
      </c>
      <c r="L921" s="9">
        <v>740</v>
      </c>
      <c r="M921" s="9"/>
      <c r="N921" s="9"/>
      <c r="O921" s="9"/>
      <c r="P921" s="9"/>
      <c r="Q921" s="9">
        <f ca="1">IFERROR(__xludf.DUMMYFUNCTION("GOOGLEFINANCE(C921,""changepct"")"),0.25)</f>
        <v>0.25</v>
      </c>
      <c r="R921" s="9"/>
      <c r="S921" s="9"/>
      <c r="T921" s="9"/>
      <c r="U921" s="9"/>
      <c r="V921" s="9"/>
      <c r="W921" s="9"/>
    </row>
    <row r="922" spans="1:23" ht="14.4">
      <c r="A922" s="3">
        <f>LOOKUP(D922,'AMFI DATA_2023H1'!B:C,'AMFI DATA_2023H1'!C:C)</f>
        <v>719</v>
      </c>
      <c r="B922" s="4" t="s">
        <v>2207</v>
      </c>
      <c r="C922" s="4" t="s">
        <v>2208</v>
      </c>
      <c r="D922" s="5" t="s">
        <v>2209</v>
      </c>
      <c r="E922" s="5">
        <f>LOOKUP(D922,'AMFI DATA_2023H1'!B:D,'AMFI DATA_2023H1'!D:D)</f>
        <v>2404.89</v>
      </c>
      <c r="F922" s="7">
        <f t="shared" si="3"/>
        <v>0.4616053125090962</v>
      </c>
      <c r="G922" s="8">
        <v>3515</v>
      </c>
      <c r="H922" s="8">
        <v>3486</v>
      </c>
      <c r="I922" s="8">
        <v>3507</v>
      </c>
      <c r="J922" s="8">
        <v>3449</v>
      </c>
      <c r="K922" s="8">
        <v>3446</v>
      </c>
      <c r="L922" s="8">
        <v>3307</v>
      </c>
      <c r="M922" s="8"/>
      <c r="N922" s="8"/>
      <c r="O922" s="8"/>
      <c r="P922" s="8"/>
      <c r="Q922" s="9">
        <f ca="1">IFERROR(__xludf.DUMMYFUNCTION("GOOGLEFINANCE(C922,""changepct"")"),3.57)</f>
        <v>3.57</v>
      </c>
      <c r="R922" s="8"/>
      <c r="S922" s="8"/>
      <c r="T922" s="8"/>
      <c r="U922" s="8"/>
      <c r="V922" s="8"/>
      <c r="W922" s="8"/>
    </row>
    <row r="923" spans="1:23" ht="14.4">
      <c r="A923" s="3">
        <f>LOOKUP(D923,'AMFI DATA_2023H1'!B:C,'AMFI DATA_2023H1'!C:C)</f>
        <v>494</v>
      </c>
      <c r="B923" s="4" t="s">
        <v>1467</v>
      </c>
      <c r="C923" s="4" t="s">
        <v>1468</v>
      </c>
      <c r="D923" s="5" t="s">
        <v>1469</v>
      </c>
      <c r="E923" s="5">
        <f>LOOKUP(D923,'AMFI DATA_2023H1'!B:D,'AMFI DATA_2023H1'!D:D)</f>
        <v>5319.51</v>
      </c>
      <c r="F923" s="7">
        <f t="shared" si="3"/>
        <v>0.80129372818173095</v>
      </c>
      <c r="G923" s="8">
        <v>9582</v>
      </c>
      <c r="H923" s="8">
        <v>9468</v>
      </c>
      <c r="I923" s="8">
        <v>9568</v>
      </c>
      <c r="J923" s="8">
        <v>9560</v>
      </c>
      <c r="K923" s="8">
        <v>9716</v>
      </c>
      <c r="L923" s="8">
        <v>9554</v>
      </c>
      <c r="M923" s="8"/>
      <c r="N923" s="8"/>
      <c r="O923" s="8"/>
      <c r="P923" s="8"/>
      <c r="Q923" s="9">
        <f ca="1">IFERROR(__xludf.DUMMYFUNCTION("GOOGLEFINANCE(C923,""changepct"")"),-1.15)</f>
        <v>-1.1499999999999999</v>
      </c>
      <c r="R923" s="8"/>
      <c r="S923" s="8"/>
      <c r="T923" s="8"/>
      <c r="U923" s="8"/>
      <c r="V923" s="8"/>
      <c r="W923" s="8"/>
    </row>
    <row r="924" spans="1:23" ht="14.4">
      <c r="A924" s="3">
        <f>LOOKUP(D924,'AMFI DATA_2023H1'!B:C,'AMFI DATA_2023H1'!C:C)</f>
        <v>590</v>
      </c>
      <c r="B924" s="4" t="s">
        <v>2010</v>
      </c>
      <c r="C924" s="4" t="s">
        <v>2011</v>
      </c>
      <c r="D924" s="5" t="s">
        <v>2012</v>
      </c>
      <c r="E924" s="5">
        <f>LOOKUP(D924,'AMFI DATA_2023H1'!B:D,'AMFI DATA_2023H1'!D:D)</f>
        <v>3862.02</v>
      </c>
      <c r="F924" s="7">
        <f t="shared" si="3"/>
        <v>1.8120051164934425E-2</v>
      </c>
      <c r="G924" s="8">
        <v>3932</v>
      </c>
      <c r="H924" s="8">
        <v>3873</v>
      </c>
      <c r="I924" s="8">
        <v>3866</v>
      </c>
      <c r="J924" s="8">
        <v>3989</v>
      </c>
      <c r="K924" s="8">
        <v>3877</v>
      </c>
      <c r="L924" s="8">
        <v>3915</v>
      </c>
      <c r="M924" s="8"/>
      <c r="N924" s="8"/>
      <c r="O924" s="8"/>
      <c r="P924" s="8"/>
      <c r="Q924" s="9" t="str">
        <f ca="1">IFERROR(__xludf.DUMMYFUNCTION("GOOGLEFINANCE(C924,""changepct"")"),"#N/A")</f>
        <v>#N/A</v>
      </c>
      <c r="R924" s="8"/>
      <c r="S924" s="8"/>
      <c r="T924" s="8"/>
      <c r="U924" s="8"/>
      <c r="V924" s="8"/>
      <c r="W924" s="8"/>
    </row>
    <row r="925" spans="1:23" ht="14.4">
      <c r="A925" s="3">
        <f>LOOKUP(D925,'AMFI DATA_2023H1'!B:C,'AMFI DATA_2023H1'!C:C)</f>
        <v>1023</v>
      </c>
      <c r="B925" s="4" t="s">
        <v>3101</v>
      </c>
      <c r="C925" s="4" t="s">
        <v>3102</v>
      </c>
      <c r="D925" s="5" t="s">
        <v>3103</v>
      </c>
      <c r="E925" s="5">
        <f>LOOKUP(D925,'AMFI DATA_2023H1'!B:D,'AMFI DATA_2023H1'!D:D)</f>
        <v>1086.49</v>
      </c>
      <c r="F925" s="7">
        <f t="shared" si="3"/>
        <v>0.37507018012130811</v>
      </c>
      <c r="G925" s="8">
        <v>1494</v>
      </c>
      <c r="H925" s="8">
        <v>1496</v>
      </c>
      <c r="I925" s="8">
        <v>1509</v>
      </c>
      <c r="J925" s="8">
        <v>1518</v>
      </c>
      <c r="K925" s="8">
        <v>1525</v>
      </c>
      <c r="L925" s="8">
        <v>1505</v>
      </c>
      <c r="M925" s="8"/>
      <c r="N925" s="8"/>
      <c r="O925" s="8"/>
      <c r="P925" s="8"/>
      <c r="Q925" s="9">
        <f ca="1">IFERROR(__xludf.DUMMYFUNCTION("GOOGLEFINANCE(C925,""changepct"")"),-0.66)</f>
        <v>-0.66</v>
      </c>
      <c r="R925" s="8"/>
      <c r="S925" s="8"/>
      <c r="T925" s="8"/>
      <c r="U925" s="8"/>
      <c r="V925" s="8"/>
      <c r="W925" s="8"/>
    </row>
    <row r="926" spans="1:23" ht="14.4">
      <c r="A926" s="3">
        <f>LOOKUP(D926,'AMFI DATA_2023H1'!B:C,'AMFI DATA_2023H1'!C:C)</f>
        <v>418</v>
      </c>
      <c r="B926" s="4" t="s">
        <v>1464</v>
      </c>
      <c r="C926" s="4" t="s">
        <v>1465</v>
      </c>
      <c r="D926" s="5" t="s">
        <v>1466</v>
      </c>
      <c r="E926" s="5">
        <f>LOOKUP(D926,'AMFI DATA_2023H1'!B:D,'AMFI DATA_2023H1'!D:D)</f>
        <v>7051.96</v>
      </c>
      <c r="F926" s="7">
        <f t="shared" si="3"/>
        <v>2.9926431800520792E-2</v>
      </c>
      <c r="G926" s="8">
        <v>7263</v>
      </c>
      <c r="H926" s="8">
        <v>7254</v>
      </c>
      <c r="I926" s="8">
        <v>7256</v>
      </c>
      <c r="J926" s="8">
        <v>7316</v>
      </c>
      <c r="K926" s="8">
        <v>7474</v>
      </c>
      <c r="L926" s="8">
        <v>7326</v>
      </c>
      <c r="M926" s="8"/>
      <c r="N926" s="8"/>
      <c r="O926" s="8"/>
      <c r="P926" s="8"/>
      <c r="Q926" s="9">
        <f ca="1">IFERROR(__xludf.DUMMYFUNCTION("GOOGLEFINANCE(C926,""changepct"")"),5.48)</f>
        <v>5.48</v>
      </c>
      <c r="R926" s="8"/>
      <c r="S926" s="8"/>
      <c r="T926" s="8"/>
      <c r="U926" s="8"/>
      <c r="V926" s="8"/>
      <c r="W926" s="8"/>
    </row>
    <row r="927" spans="1:23" ht="14.4">
      <c r="A927" s="3">
        <f>LOOKUP(D927,'AMFI DATA_2023H1'!B:C,'AMFI DATA_2023H1'!C:C)</f>
        <v>1873</v>
      </c>
      <c r="B927" s="4" t="s">
        <v>4973</v>
      </c>
      <c r="C927" s="4" t="s">
        <v>4974</v>
      </c>
      <c r="D927" s="5" t="s">
        <v>4975</v>
      </c>
      <c r="E927" s="5">
        <f>LOOKUP(D927,'AMFI DATA_2023H1'!B:D,'AMFI DATA_2023H1'!D:D)</f>
        <v>172.79</v>
      </c>
      <c r="F927" s="7">
        <f t="shared" si="3"/>
        <v>-1.0359395798367865E-2</v>
      </c>
      <c r="G927" s="9">
        <v>171</v>
      </c>
      <c r="H927" s="9">
        <v>172</v>
      </c>
      <c r="I927" s="9">
        <v>173</v>
      </c>
      <c r="J927" s="9">
        <v>176</v>
      </c>
      <c r="K927" s="9">
        <v>172</v>
      </c>
      <c r="L927" s="9">
        <v>178</v>
      </c>
      <c r="M927" s="9"/>
      <c r="N927" s="9"/>
      <c r="O927" s="9"/>
      <c r="P927" s="9"/>
      <c r="Q927" s="9">
        <f ca="1">IFERROR(__xludf.DUMMYFUNCTION("GOOGLEFINANCE(C927,""changepct"")"),3.38)</f>
        <v>3.38</v>
      </c>
      <c r="R927" s="9"/>
      <c r="S927" s="9"/>
      <c r="T927" s="9"/>
      <c r="U927" s="9"/>
      <c r="V927" s="9"/>
      <c r="W927" s="9"/>
    </row>
    <row r="928" spans="1:23" ht="14.4">
      <c r="A928" s="3">
        <f>LOOKUP(D928,'AMFI DATA_2023H1'!B:C,'AMFI DATA_2023H1'!C:C)</f>
        <v>1113</v>
      </c>
      <c r="B928" s="4" t="s">
        <v>3029</v>
      </c>
      <c r="C928" s="4" t="s">
        <v>3030</v>
      </c>
      <c r="D928" s="5" t="s">
        <v>3031</v>
      </c>
      <c r="E928" s="5">
        <f>LOOKUP(D928,'AMFI DATA_2023H1'!B:D,'AMFI DATA_2023H1'!D:D)</f>
        <v>850.05</v>
      </c>
      <c r="F928" s="7">
        <f t="shared" si="3"/>
        <v>0.69990000588200707</v>
      </c>
      <c r="G928" s="8">
        <v>1445</v>
      </c>
      <c r="H928" s="8">
        <v>1451</v>
      </c>
      <c r="I928" s="8">
        <v>1438</v>
      </c>
      <c r="J928" s="8">
        <v>1455</v>
      </c>
      <c r="K928" s="8">
        <v>1485</v>
      </c>
      <c r="L928" s="8">
        <v>1489</v>
      </c>
      <c r="M928" s="8"/>
      <c r="N928" s="8"/>
      <c r="O928" s="8"/>
      <c r="P928" s="8"/>
      <c r="Q928" s="9">
        <f ca="1">IFERROR(__xludf.DUMMYFUNCTION("GOOGLEFINANCE(C928,""changepct"")"),2.62)</f>
        <v>2.62</v>
      </c>
      <c r="R928" s="8"/>
      <c r="S928" s="8"/>
      <c r="T928" s="8"/>
      <c r="U928" s="8"/>
      <c r="V928" s="8"/>
      <c r="W928" s="8"/>
    </row>
    <row r="929" spans="1:23" ht="14.4">
      <c r="A929" s="3">
        <f>LOOKUP(D929,'AMFI DATA_2023H1'!B:C,'AMFI DATA_2023H1'!C:C)</f>
        <v>757</v>
      </c>
      <c r="B929" s="4" t="s">
        <v>2138</v>
      </c>
      <c r="C929" s="4" t="s">
        <v>2139</v>
      </c>
      <c r="D929" s="5" t="s">
        <v>2140</v>
      </c>
      <c r="E929" s="5">
        <f>LOOKUP(D929,'AMFI DATA_2023H1'!B:D,'AMFI DATA_2023H1'!D:D)</f>
        <v>2138.62</v>
      </c>
      <c r="F929" s="7">
        <f t="shared" si="3"/>
        <v>0.8446474829562991</v>
      </c>
      <c r="G929" s="8">
        <v>3945</v>
      </c>
      <c r="H929" s="8">
        <v>3815</v>
      </c>
      <c r="I929" s="8">
        <v>3677</v>
      </c>
      <c r="J929" s="8">
        <v>3728</v>
      </c>
      <c r="K929" s="8">
        <v>3699</v>
      </c>
      <c r="L929" s="8">
        <v>3670</v>
      </c>
      <c r="M929" s="8"/>
      <c r="N929" s="8"/>
      <c r="O929" s="8"/>
      <c r="P929" s="8"/>
      <c r="Q929" s="9">
        <f ca="1">IFERROR(__xludf.DUMMYFUNCTION("GOOGLEFINANCE(C929,""changepct"")"),-0.69)</f>
        <v>-0.69</v>
      </c>
      <c r="R929" s="8"/>
      <c r="S929" s="8"/>
      <c r="T929" s="8"/>
      <c r="U929" s="8"/>
      <c r="V929" s="8"/>
      <c r="W929" s="8"/>
    </row>
    <row r="930" spans="1:23" ht="14.4">
      <c r="A930" s="3">
        <f>LOOKUP(D930,'AMFI DATA_2023H1'!B:C,'AMFI DATA_2023H1'!C:C)</f>
        <v>1210</v>
      </c>
      <c r="B930" s="4" t="s">
        <v>3338</v>
      </c>
      <c r="C930" s="4" t="s">
        <v>3339</v>
      </c>
      <c r="D930" s="5" t="s">
        <v>3340</v>
      </c>
      <c r="E930" s="5">
        <f>LOOKUP(D930,'AMFI DATA_2023H1'!B:D,'AMFI DATA_2023H1'!D:D)</f>
        <v>678.95</v>
      </c>
      <c r="F930" s="7">
        <f t="shared" si="3"/>
        <v>0.78363649753295528</v>
      </c>
      <c r="G930" s="8">
        <v>1211</v>
      </c>
      <c r="H930" s="8">
        <v>1164</v>
      </c>
      <c r="I930" s="8">
        <v>1181</v>
      </c>
      <c r="J930" s="8">
        <v>1193</v>
      </c>
      <c r="K930" s="8">
        <v>1207</v>
      </c>
      <c r="L930" s="8">
        <v>1188</v>
      </c>
      <c r="M930" s="8"/>
      <c r="N930" s="8"/>
      <c r="O930" s="8"/>
      <c r="P930" s="8"/>
      <c r="Q930" s="9">
        <f ca="1">IFERROR(__xludf.DUMMYFUNCTION("GOOGLEFINANCE(C930,""changepct"")"),-0.78)</f>
        <v>-0.78</v>
      </c>
      <c r="R930" s="8"/>
      <c r="S930" s="8"/>
      <c r="T930" s="8"/>
      <c r="U930" s="8"/>
      <c r="V930" s="8"/>
      <c r="W930" s="8"/>
    </row>
    <row r="931" spans="1:23" ht="14.4">
      <c r="A931" s="3">
        <f>LOOKUP(D931,'AMFI DATA_2023H1'!B:C,'AMFI DATA_2023H1'!C:C)</f>
        <v>13</v>
      </c>
      <c r="B931" s="4" t="s">
        <v>43</v>
      </c>
      <c r="C931" s="4" t="s">
        <v>44</v>
      </c>
      <c r="D931" s="5" t="s">
        <v>45</v>
      </c>
      <c r="E931" s="5">
        <f>LOOKUP(D931,'AMFI DATA_2023H1'!B:D,'AMFI DATA_2023H1'!D:D)</f>
        <v>361214.52</v>
      </c>
      <c r="F931" s="7">
        <f t="shared" si="3"/>
        <v>5.1444443595456635E-2</v>
      </c>
      <c r="G931" s="8">
        <v>379797</v>
      </c>
      <c r="H931" s="8">
        <v>378565</v>
      </c>
      <c r="I931" s="8">
        <v>381586</v>
      </c>
      <c r="J931" s="8">
        <v>378148</v>
      </c>
      <c r="K931" s="8">
        <v>374856</v>
      </c>
      <c r="L931" s="8">
        <v>369780</v>
      </c>
      <c r="M931" s="8"/>
      <c r="N931" s="8"/>
      <c r="O931" s="8"/>
      <c r="P931" s="8"/>
      <c r="Q931" s="9">
        <f ca="1">IFERROR(__xludf.DUMMYFUNCTION("GOOGLEFINANCE(C931,""changepct"")"),1.84)</f>
        <v>1.84</v>
      </c>
      <c r="R931" s="8"/>
      <c r="S931" s="8"/>
      <c r="T931" s="8"/>
      <c r="U931" s="8"/>
      <c r="V931" s="8"/>
      <c r="W931" s="8"/>
    </row>
    <row r="932" spans="1:23" ht="14.4">
      <c r="A932" s="3">
        <f>LOOKUP(D932,'AMFI DATA_2023H1'!B:C,'AMFI DATA_2023H1'!C:C)</f>
        <v>1433</v>
      </c>
      <c r="B932" s="4" t="s">
        <v>3641</v>
      </c>
      <c r="C932" s="4" t="s">
        <v>3642</v>
      </c>
      <c r="D932" s="5" t="s">
        <v>3643</v>
      </c>
      <c r="E932" s="5">
        <f>LOOKUP(D932,'AMFI DATA_2023H1'!B:D,'AMFI DATA_2023H1'!D:D)</f>
        <v>390.38</v>
      </c>
      <c r="F932" s="7">
        <f t="shared" si="3"/>
        <v>1.1978584968492241</v>
      </c>
      <c r="G932" s="9">
        <v>858</v>
      </c>
      <c r="H932" s="9">
        <v>855</v>
      </c>
      <c r="I932" s="9">
        <v>842</v>
      </c>
      <c r="J932" s="9">
        <v>872</v>
      </c>
      <c r="K932" s="9">
        <v>897</v>
      </c>
      <c r="L932" s="9">
        <v>868</v>
      </c>
      <c r="M932" s="9"/>
      <c r="N932" s="9"/>
      <c r="O932" s="9"/>
      <c r="P932" s="9"/>
      <c r="Q932" s="9">
        <f ca="1">IFERROR(__xludf.DUMMYFUNCTION("GOOGLEFINANCE(C932,""changepct"")"),0.89)</f>
        <v>0.89</v>
      </c>
      <c r="R932" s="9"/>
      <c r="S932" s="9"/>
      <c r="T932" s="9"/>
      <c r="U932" s="9"/>
      <c r="V932" s="9"/>
      <c r="W932" s="9"/>
    </row>
    <row r="933" spans="1:23" ht="14.4">
      <c r="A933" s="3">
        <f>LOOKUP(D933,'AMFI DATA_2023H1'!B:C,'AMFI DATA_2023H1'!C:C)</f>
        <v>1497</v>
      </c>
      <c r="B933" s="4" t="s">
        <v>4259</v>
      </c>
      <c r="C933" s="4" t="s">
        <v>4260</v>
      </c>
      <c r="D933" s="5" t="s">
        <v>4261</v>
      </c>
      <c r="E933" s="5">
        <f>LOOKUP(D933,'AMFI DATA_2023H1'!B:D,'AMFI DATA_2023H1'!D:D)</f>
        <v>349.32</v>
      </c>
      <c r="F933" s="7">
        <f t="shared" si="3"/>
        <v>9.6415893736402136E-2</v>
      </c>
      <c r="G933" s="9">
        <v>383</v>
      </c>
      <c r="H933" s="9">
        <v>375</v>
      </c>
      <c r="I933" s="9">
        <v>373</v>
      </c>
      <c r="J933" s="9">
        <v>375</v>
      </c>
      <c r="K933" s="9">
        <v>374</v>
      </c>
      <c r="L933" s="9">
        <v>370</v>
      </c>
      <c r="M933" s="9"/>
      <c r="N933" s="9"/>
      <c r="O933" s="9"/>
      <c r="P933" s="9"/>
      <c r="Q933" s="9">
        <f ca="1">IFERROR(__xludf.DUMMYFUNCTION("GOOGLEFINANCE(C933,""changepct"")"),-0.54)</f>
        <v>-0.54</v>
      </c>
      <c r="R933" s="9"/>
      <c r="S933" s="9"/>
      <c r="T933" s="9"/>
      <c r="U933" s="9"/>
      <c r="V933" s="9"/>
      <c r="W933" s="9"/>
    </row>
    <row r="934" spans="1:23" ht="14.4">
      <c r="A934" s="3">
        <f>LOOKUP(D934,'AMFI DATA_2023H1'!B:C,'AMFI DATA_2023H1'!C:C)</f>
        <v>1537</v>
      </c>
      <c r="B934" s="4" t="s">
        <v>4112</v>
      </c>
      <c r="C934" s="4" t="s">
        <v>4113</v>
      </c>
      <c r="D934" s="5" t="s">
        <v>4114</v>
      </c>
      <c r="E934" s="5">
        <f>LOOKUP(D934,'AMFI DATA_2023H1'!B:D,'AMFI DATA_2023H1'!D:D)</f>
        <v>324.08</v>
      </c>
      <c r="F934" s="7">
        <f t="shared" si="3"/>
        <v>0.36694643297951135</v>
      </c>
      <c r="G934" s="9">
        <v>443</v>
      </c>
      <c r="H934" s="9">
        <v>437</v>
      </c>
      <c r="I934" s="9">
        <v>436</v>
      </c>
      <c r="J934" s="9">
        <v>435</v>
      </c>
      <c r="K934" s="9">
        <v>438</v>
      </c>
      <c r="L934" s="9">
        <v>434</v>
      </c>
      <c r="M934" s="9"/>
      <c r="N934" s="9"/>
      <c r="O934" s="9"/>
      <c r="P934" s="9"/>
      <c r="Q934" s="9">
        <f ca="1">IFERROR(__xludf.DUMMYFUNCTION("GOOGLEFINANCE(C934,""changepct"")"),-0.85)</f>
        <v>-0.85</v>
      </c>
      <c r="R934" s="9"/>
      <c r="S934" s="9"/>
      <c r="T934" s="9"/>
      <c r="U934" s="9"/>
      <c r="V934" s="9"/>
      <c r="W934" s="9"/>
    </row>
    <row r="935" spans="1:23" ht="14.4">
      <c r="A935" s="3">
        <f>LOOKUP(D935,'AMFI DATA_2023H1'!B:C,'AMFI DATA_2023H1'!C:C)</f>
        <v>824</v>
      </c>
      <c r="B935" s="4" t="s">
        <v>2159</v>
      </c>
      <c r="C935" s="4" t="s">
        <v>2160</v>
      </c>
      <c r="D935" s="5" t="s">
        <v>2161</v>
      </c>
      <c r="E935" s="5">
        <f>LOOKUP(D935,'AMFI DATA_2023H1'!B:D,'AMFI DATA_2023H1'!D:D)</f>
        <v>1793.94</v>
      </c>
      <c r="F935" s="7">
        <f t="shared" si="3"/>
        <v>2.2007759456838021</v>
      </c>
      <c r="G935" s="8">
        <v>5742</v>
      </c>
      <c r="H935" s="8">
        <v>5900</v>
      </c>
      <c r="I935" s="8">
        <v>5364</v>
      </c>
      <c r="J935" s="8">
        <v>5142</v>
      </c>
      <c r="K935" s="8">
        <v>5000</v>
      </c>
      <c r="L935" s="8">
        <v>5054</v>
      </c>
      <c r="M935" s="8"/>
      <c r="N935" s="8"/>
      <c r="O935" s="8"/>
      <c r="P935" s="8"/>
      <c r="Q935" s="9">
        <f ca="1">IFERROR(__xludf.DUMMYFUNCTION("GOOGLEFINANCE(C935,""changepct"")"),1.87)</f>
        <v>1.87</v>
      </c>
      <c r="R935" s="8"/>
      <c r="S935" s="8"/>
      <c r="T935" s="8"/>
      <c r="U935" s="8"/>
      <c r="V935" s="8"/>
      <c r="W935" s="8"/>
    </row>
    <row r="936" spans="1:23" ht="14.4">
      <c r="A936" s="3">
        <f>LOOKUP(D936,'AMFI DATA_2023H1'!B:C,'AMFI DATA_2023H1'!C:C)</f>
        <v>198</v>
      </c>
      <c r="B936" s="4" t="s">
        <v>561</v>
      </c>
      <c r="C936" s="4" t="s">
        <v>562</v>
      </c>
      <c r="D936" s="5" t="s">
        <v>563</v>
      </c>
      <c r="E936" s="5">
        <f>LOOKUP(D936,'AMFI DATA_2023H1'!B:D,'AMFI DATA_2023H1'!D:D)</f>
        <v>24090.03</v>
      </c>
      <c r="F936" s="7">
        <f t="shared" si="3"/>
        <v>0.69680153989015392</v>
      </c>
      <c r="G936" s="8">
        <v>40876</v>
      </c>
      <c r="H936" s="8">
        <v>41498</v>
      </c>
      <c r="I936" s="8">
        <v>41283</v>
      </c>
      <c r="J936" s="8">
        <v>41592</v>
      </c>
      <c r="K936" s="8">
        <v>41870</v>
      </c>
      <c r="L936" s="8">
        <v>42200</v>
      </c>
      <c r="M936" s="8"/>
      <c r="N936" s="8"/>
      <c r="O936" s="8"/>
      <c r="P936" s="8"/>
      <c r="Q936" s="9">
        <f ca="1">IFERROR(__xludf.DUMMYFUNCTION("GOOGLEFINANCE(C936,""changepct"")"),-0.46)</f>
        <v>-0.46</v>
      </c>
      <c r="R936" s="8"/>
      <c r="S936" s="8"/>
      <c r="T936" s="8"/>
      <c r="U936" s="8"/>
      <c r="V936" s="8"/>
      <c r="W936" s="8"/>
    </row>
    <row r="937" spans="1:23" ht="14.4">
      <c r="A937" s="3">
        <f>LOOKUP(D937,'AMFI DATA_2023H1'!B:C,'AMFI DATA_2023H1'!C:C)</f>
        <v>371</v>
      </c>
      <c r="B937" s="4" t="s">
        <v>1326</v>
      </c>
      <c r="C937" s="4" t="s">
        <v>1327</v>
      </c>
      <c r="D937" s="5" t="s">
        <v>1328</v>
      </c>
      <c r="E937" s="5">
        <f>LOOKUP(D937,'AMFI DATA_2023H1'!B:D,'AMFI DATA_2023H1'!D:D)</f>
        <v>8762.49</v>
      </c>
      <c r="F937" s="7">
        <f t="shared" si="3"/>
        <v>1.1356361034363438E-2</v>
      </c>
      <c r="G937" s="8">
        <v>8862</v>
      </c>
      <c r="H937" s="8">
        <v>8817</v>
      </c>
      <c r="I937" s="8">
        <v>8481</v>
      </c>
      <c r="J937" s="8">
        <v>8525</v>
      </c>
      <c r="K937" s="8">
        <v>8446</v>
      </c>
      <c r="L937" s="8">
        <v>8330</v>
      </c>
      <c r="M937" s="8"/>
      <c r="N937" s="8"/>
      <c r="O937" s="8"/>
      <c r="P937" s="8"/>
      <c r="Q937" s="9">
        <f ca="1">IFERROR(__xludf.DUMMYFUNCTION("GOOGLEFINANCE(C937,""changepct"")"),1.26)</f>
        <v>1.26</v>
      </c>
      <c r="R937" s="8"/>
      <c r="S937" s="8"/>
      <c r="T937" s="8"/>
      <c r="U937" s="8"/>
      <c r="V937" s="8"/>
      <c r="W937" s="8"/>
    </row>
    <row r="938" spans="1:23" ht="14.4">
      <c r="A938" s="3">
        <f>LOOKUP(D938,'AMFI DATA_2023H1'!B:C,'AMFI DATA_2023H1'!C:C)</f>
        <v>1884</v>
      </c>
      <c r="B938" s="4" t="s">
        <v>4889</v>
      </c>
      <c r="C938" s="4" t="s">
        <v>4890</v>
      </c>
      <c r="D938" s="5" t="s">
        <v>4891</v>
      </c>
      <c r="E938" s="5">
        <f>LOOKUP(D938,'AMFI DATA_2023H1'!B:D,'AMFI DATA_2023H1'!D:D)</f>
        <v>169.35</v>
      </c>
      <c r="F938" s="7">
        <f t="shared" si="3"/>
        <v>3.8382049010925456E-3</v>
      </c>
      <c r="G938" s="9">
        <v>170</v>
      </c>
      <c r="H938" s="9">
        <v>169</v>
      </c>
      <c r="I938" s="9">
        <v>168</v>
      </c>
      <c r="J938" s="9">
        <v>170</v>
      </c>
      <c r="K938" s="9">
        <v>174</v>
      </c>
      <c r="L938" s="9">
        <v>171</v>
      </c>
      <c r="M938" s="9"/>
      <c r="N938" s="9"/>
      <c r="O938" s="9"/>
      <c r="P938" s="9"/>
      <c r="Q938" s="9">
        <f ca="1">IFERROR(__xludf.DUMMYFUNCTION("GOOGLEFINANCE(C938,""changepct"")"),-1.8)</f>
        <v>-1.8</v>
      </c>
      <c r="R938" s="9"/>
      <c r="S938" s="9"/>
      <c r="T938" s="9"/>
      <c r="U938" s="9"/>
      <c r="V938" s="9"/>
      <c r="W938" s="9"/>
    </row>
    <row r="939" spans="1:23" ht="14.4">
      <c r="A939" s="3">
        <f>LOOKUP(D939,'AMFI DATA_2023H1'!B:C,'AMFI DATA_2023H1'!C:C)</f>
        <v>3115</v>
      </c>
      <c r="B939" s="4" t="s">
        <v>5647</v>
      </c>
      <c r="C939" s="4" t="s">
        <v>5648</v>
      </c>
      <c r="D939" s="5" t="s">
        <v>5649</v>
      </c>
      <c r="E939" s="5">
        <f>LOOKUP(D939,'AMFI DATA_2023H1'!B:D,'AMFI DATA_2023H1'!D:D)</f>
        <v>25.73</v>
      </c>
      <c r="F939" s="7">
        <f t="shared" si="3"/>
        <v>0.32918771861640117</v>
      </c>
      <c r="G939" s="9">
        <v>34.200000000000003</v>
      </c>
      <c r="H939" s="9">
        <v>32.6</v>
      </c>
      <c r="I939" s="9">
        <v>31.1</v>
      </c>
      <c r="J939" s="9">
        <v>29.6</v>
      </c>
      <c r="K939" s="9">
        <v>28.6</v>
      </c>
      <c r="L939" s="9">
        <v>28.9</v>
      </c>
      <c r="M939" s="9"/>
      <c r="N939" s="9"/>
      <c r="O939" s="9"/>
      <c r="P939" s="9"/>
      <c r="Q939" s="9">
        <f ca="1">IFERROR(__xludf.DUMMYFUNCTION("GOOGLEFINANCE(C939,""changepct"")"),-8.42)</f>
        <v>-8.42</v>
      </c>
      <c r="R939" s="9"/>
      <c r="S939" s="9"/>
      <c r="T939" s="9"/>
      <c r="U939" s="9"/>
      <c r="V939" s="9"/>
      <c r="W939" s="9"/>
    </row>
    <row r="940" spans="1:23" ht="14.4">
      <c r="A940" s="3">
        <f>LOOKUP(D940,'AMFI DATA_2023H1'!B:C,'AMFI DATA_2023H1'!C:C)</f>
        <v>927</v>
      </c>
      <c r="B940" s="4" t="s">
        <v>3068</v>
      </c>
      <c r="C940" s="4" t="s">
        <v>3069</v>
      </c>
      <c r="D940" s="5" t="s">
        <v>3070</v>
      </c>
      <c r="E940" s="5">
        <f>LOOKUP(D940,'AMFI DATA_2023H1'!B:D,'AMFI DATA_2023H1'!D:D)</f>
        <v>1386.29</v>
      </c>
      <c r="F940" s="7">
        <f t="shared" si="3"/>
        <v>8.1303334800078009E-2</v>
      </c>
      <c r="G940" s="8">
        <v>1499</v>
      </c>
      <c r="H940" s="8">
        <v>1501</v>
      </c>
      <c r="I940" s="8">
        <v>1499</v>
      </c>
      <c r="J940" s="8">
        <v>1508</v>
      </c>
      <c r="K940" s="8">
        <v>1508</v>
      </c>
      <c r="L940" s="8">
        <v>1511</v>
      </c>
      <c r="M940" s="8"/>
      <c r="N940" s="8"/>
      <c r="O940" s="8"/>
      <c r="P940" s="8"/>
      <c r="Q940" s="9">
        <f ca="1">IFERROR(__xludf.DUMMYFUNCTION("GOOGLEFINANCE(C940,""changepct"")"),-2.51)</f>
        <v>-2.5099999999999998</v>
      </c>
      <c r="R940" s="8"/>
      <c r="S940" s="8"/>
      <c r="T940" s="8"/>
      <c r="U940" s="8"/>
      <c r="V940" s="8"/>
      <c r="W940" s="8"/>
    </row>
    <row r="941" spans="1:23" ht="14.4">
      <c r="A941" s="3">
        <f>LOOKUP(D941,'AMFI DATA_2023H1'!B:C,'AMFI DATA_2023H1'!C:C)</f>
        <v>307</v>
      </c>
      <c r="B941" s="4" t="s">
        <v>939</v>
      </c>
      <c r="C941" s="4" t="s">
        <v>940</v>
      </c>
      <c r="D941" s="5" t="s">
        <v>941</v>
      </c>
      <c r="E941" s="5">
        <f>LOOKUP(D941,'AMFI DATA_2023H1'!B:D,'AMFI DATA_2023H1'!D:D)</f>
        <v>11951.54</v>
      </c>
      <c r="F941" s="7">
        <f t="shared" si="3"/>
        <v>0.30903632502589606</v>
      </c>
      <c r="G941" s="8">
        <v>15645</v>
      </c>
      <c r="H941" s="8">
        <v>15830</v>
      </c>
      <c r="I941" s="8">
        <v>15948</v>
      </c>
      <c r="J941" s="8">
        <v>16025</v>
      </c>
      <c r="K941" s="8">
        <v>15978</v>
      </c>
      <c r="L941" s="8">
        <v>15842</v>
      </c>
      <c r="M941" s="8"/>
      <c r="N941" s="8"/>
      <c r="O941" s="8"/>
      <c r="P941" s="8"/>
      <c r="Q941" s="9">
        <f ca="1">IFERROR(__xludf.DUMMYFUNCTION("GOOGLEFINANCE(C941,""changepct"")"),1.71)</f>
        <v>1.71</v>
      </c>
      <c r="R941" s="8"/>
      <c r="S941" s="8"/>
      <c r="T941" s="8"/>
      <c r="U941" s="8"/>
      <c r="V941" s="8"/>
      <c r="W941" s="8"/>
    </row>
    <row r="942" spans="1:23" ht="14.4">
      <c r="A942" s="3">
        <f>LOOKUP(D942,'AMFI DATA_2023H1'!B:C,'AMFI DATA_2023H1'!C:C)</f>
        <v>1318</v>
      </c>
      <c r="B942" s="4" t="s">
        <v>3926</v>
      </c>
      <c r="C942" s="4" t="s">
        <v>3927</v>
      </c>
      <c r="D942" s="5" t="s">
        <v>3928</v>
      </c>
      <c r="E942" s="5">
        <f>LOOKUP(D942,'AMFI DATA_2023H1'!B:D,'AMFI DATA_2023H1'!D:D)</f>
        <v>491.36</v>
      </c>
      <c r="F942" s="7">
        <f t="shared" si="3"/>
        <v>0.15394008466297615</v>
      </c>
      <c r="G942" s="9">
        <v>567</v>
      </c>
      <c r="H942" s="9">
        <v>558</v>
      </c>
      <c r="I942" s="9">
        <v>558</v>
      </c>
      <c r="J942" s="9">
        <v>572</v>
      </c>
      <c r="K942" s="9">
        <v>571</v>
      </c>
      <c r="L942" s="9">
        <v>559</v>
      </c>
      <c r="M942" s="9"/>
      <c r="N942" s="9"/>
      <c r="O942" s="9"/>
      <c r="P942" s="9"/>
      <c r="Q942" s="9">
        <f ca="1">IFERROR(__xludf.DUMMYFUNCTION("GOOGLEFINANCE(C942,""changepct"")"),8.07)</f>
        <v>8.07</v>
      </c>
      <c r="R942" s="9"/>
      <c r="S942" s="9"/>
      <c r="T942" s="9"/>
      <c r="U942" s="9"/>
      <c r="V942" s="9"/>
      <c r="W942" s="9"/>
    </row>
    <row r="943" spans="1:23" ht="14.4">
      <c r="A943" s="3">
        <f>LOOKUP(D943,'AMFI DATA_2023H1'!B:C,'AMFI DATA_2023H1'!C:C)</f>
        <v>1711</v>
      </c>
      <c r="B943" s="4" t="s">
        <v>4220</v>
      </c>
      <c r="C943" s="4" t="s">
        <v>4221</v>
      </c>
      <c r="D943" s="5" t="s">
        <v>4222</v>
      </c>
      <c r="E943" s="5">
        <f>LOOKUP(D943,'AMFI DATA_2023H1'!B:D,'AMFI DATA_2023H1'!D:D)</f>
        <v>237.58</v>
      </c>
      <c r="F943" s="7">
        <f t="shared" si="3"/>
        <v>0.79728933411903347</v>
      </c>
      <c r="G943" s="9">
        <v>427</v>
      </c>
      <c r="H943" s="9">
        <v>431</v>
      </c>
      <c r="I943" s="9">
        <v>430</v>
      </c>
      <c r="J943" s="9">
        <v>432</v>
      </c>
      <c r="K943" s="9">
        <v>442</v>
      </c>
      <c r="L943" s="9">
        <v>439</v>
      </c>
      <c r="M943" s="9"/>
      <c r="N943" s="9"/>
      <c r="O943" s="9"/>
      <c r="P943" s="9"/>
      <c r="Q943" s="9">
        <f ca="1">IFERROR(__xludf.DUMMYFUNCTION("GOOGLEFINANCE(C943,""changepct"")"),7.43)</f>
        <v>7.43</v>
      </c>
      <c r="R943" s="9"/>
      <c r="S943" s="9"/>
      <c r="T943" s="9"/>
      <c r="U943" s="9"/>
      <c r="V943" s="9"/>
      <c r="W943" s="9"/>
    </row>
    <row r="944" spans="1:23" ht="14.4">
      <c r="A944" s="3">
        <f>LOOKUP(D944,'AMFI DATA_2023H1'!B:C,'AMFI DATA_2023H1'!C:C)</f>
        <v>2159</v>
      </c>
      <c r="B944" s="4" t="s">
        <v>4745</v>
      </c>
      <c r="C944" s="4" t="s">
        <v>4746</v>
      </c>
      <c r="D944" s="5" t="s">
        <v>4747</v>
      </c>
      <c r="E944" s="5">
        <f>LOOKUP(D944,'AMFI DATA_2023H1'!B:D,'AMFI DATA_2023H1'!D:D)</f>
        <v>111.31</v>
      </c>
      <c r="F944" s="7">
        <f t="shared" si="3"/>
        <v>1.6951756356122538</v>
      </c>
      <c r="G944" s="9">
        <v>300</v>
      </c>
      <c r="H944" s="9">
        <v>294</v>
      </c>
      <c r="I944" s="9">
        <v>289</v>
      </c>
      <c r="J944" s="9">
        <v>284</v>
      </c>
      <c r="K944" s="9">
        <v>284</v>
      </c>
      <c r="L944" s="9">
        <v>278</v>
      </c>
      <c r="M944" s="9"/>
      <c r="N944" s="9"/>
      <c r="O944" s="9"/>
      <c r="P944" s="9"/>
      <c r="Q944" s="9">
        <f ca="1">IFERROR(__xludf.DUMMYFUNCTION("GOOGLEFINANCE(C944,""changepct"")"),-3.52)</f>
        <v>-3.52</v>
      </c>
      <c r="R944" s="9"/>
      <c r="S944" s="9"/>
      <c r="T944" s="9"/>
      <c r="U944" s="9"/>
      <c r="V944" s="9"/>
      <c r="W944" s="9"/>
    </row>
    <row r="945" spans="1:23" ht="14.4">
      <c r="A945" s="3">
        <f>LOOKUP(D945,'AMFI DATA_2023H1'!B:C,'AMFI DATA_2023H1'!C:C)</f>
        <v>893</v>
      </c>
      <c r="B945" s="4" t="s">
        <v>2729</v>
      </c>
      <c r="C945" s="4" t="s">
        <v>2730</v>
      </c>
      <c r="D945" s="5" t="s">
        <v>2731</v>
      </c>
      <c r="E945" s="5">
        <f>LOOKUP(D945,'AMFI DATA_2023H1'!B:D,'AMFI DATA_2023H1'!D:D)</f>
        <v>1492.61</v>
      </c>
      <c r="F945" s="7">
        <f t="shared" si="3"/>
        <v>0.53757512009165165</v>
      </c>
      <c r="G945" s="8">
        <v>2295</v>
      </c>
      <c r="H945" s="8">
        <v>2276</v>
      </c>
      <c r="I945" s="8">
        <v>2325</v>
      </c>
      <c r="J945" s="8">
        <v>2357</v>
      </c>
      <c r="K945" s="8">
        <v>2415</v>
      </c>
      <c r="L945" s="8">
        <v>2348</v>
      </c>
      <c r="M945" s="8"/>
      <c r="N945" s="8"/>
      <c r="O945" s="8"/>
      <c r="P945" s="8"/>
      <c r="Q945" s="9">
        <f ca="1">IFERROR(__xludf.DUMMYFUNCTION("GOOGLEFINANCE(C945,""changepct"")"),-0.86)</f>
        <v>-0.86</v>
      </c>
      <c r="R945" s="8"/>
      <c r="S945" s="8"/>
      <c r="T945" s="8"/>
      <c r="U945" s="8"/>
      <c r="V945" s="8"/>
      <c r="W945" s="8"/>
    </row>
    <row r="946" spans="1:23" ht="14.4">
      <c r="A946" s="3">
        <f>LOOKUP(D946,'AMFI DATA_2023H1'!B:C,'AMFI DATA_2023H1'!C:C)</f>
        <v>415</v>
      </c>
      <c r="B946" s="4" t="s">
        <v>1218</v>
      </c>
      <c r="C946" s="4" t="s">
        <v>1219</v>
      </c>
      <c r="D946" s="5" t="s">
        <v>1220</v>
      </c>
      <c r="E946" s="5">
        <f>LOOKUP(D946,'AMFI DATA_2023H1'!B:D,'AMFI DATA_2023H1'!D:D)</f>
        <v>7101.08</v>
      </c>
      <c r="F946" s="7">
        <f t="shared" si="3"/>
        <v>0.70692345389715361</v>
      </c>
      <c r="G946" s="8">
        <v>12121</v>
      </c>
      <c r="H946" s="8">
        <v>12009</v>
      </c>
      <c r="I946" s="8">
        <v>12121</v>
      </c>
      <c r="J946" s="8">
        <v>11830</v>
      </c>
      <c r="K946" s="8">
        <v>11998</v>
      </c>
      <c r="L946" s="8">
        <v>12076</v>
      </c>
      <c r="M946" s="8"/>
      <c r="N946" s="8"/>
      <c r="O946" s="8"/>
      <c r="P946" s="8"/>
      <c r="Q946" s="9">
        <f ca="1">IFERROR(__xludf.DUMMYFUNCTION("GOOGLEFINANCE(C946,""changepct"")"),-0.35)</f>
        <v>-0.35</v>
      </c>
      <c r="R946" s="8"/>
      <c r="S946" s="8"/>
      <c r="T946" s="8"/>
      <c r="U946" s="8"/>
      <c r="V946" s="8"/>
      <c r="W946" s="8"/>
    </row>
    <row r="947" spans="1:23" ht="14.4">
      <c r="A947" s="3">
        <f>LOOKUP(D947,'AMFI DATA_2023H1'!B:C,'AMFI DATA_2023H1'!C:C)</f>
        <v>2191</v>
      </c>
      <c r="B947" s="4" t="s">
        <v>5584</v>
      </c>
      <c r="C947" s="4" t="s">
        <v>5585</v>
      </c>
      <c r="D947" s="5" t="s">
        <v>5586</v>
      </c>
      <c r="E947" s="5">
        <f>LOOKUP(D947,'AMFI DATA_2023H1'!B:D,'AMFI DATA_2023H1'!D:D)</f>
        <v>105.13</v>
      </c>
      <c r="F947" s="7">
        <f t="shared" si="3"/>
        <v>-0.67754209074479221</v>
      </c>
      <c r="G947" s="9">
        <v>33.9</v>
      </c>
      <c r="H947" s="9">
        <v>34.200000000000003</v>
      </c>
      <c r="I947" s="9">
        <v>34.200000000000003</v>
      </c>
      <c r="J947" s="9">
        <v>33.4</v>
      </c>
      <c r="K947" s="9">
        <v>31.9</v>
      </c>
      <c r="L947" s="9">
        <v>32.9</v>
      </c>
      <c r="M947" s="9"/>
      <c r="N947" s="9"/>
      <c r="O947" s="9"/>
      <c r="P947" s="9"/>
      <c r="Q947" s="9">
        <f ca="1">IFERROR(__xludf.DUMMYFUNCTION("GOOGLEFINANCE(C947,""changepct"")"),1.49)</f>
        <v>1.49</v>
      </c>
      <c r="R947" s="9"/>
      <c r="S947" s="9"/>
      <c r="T947" s="9"/>
      <c r="U947" s="9"/>
      <c r="V947" s="9"/>
      <c r="W947" s="9"/>
    </row>
    <row r="948" spans="1:23" ht="14.4">
      <c r="A948" s="3">
        <f>LOOKUP(D948,'AMFI DATA_2023H1'!B:C,'AMFI DATA_2023H1'!C:C)</f>
        <v>1197</v>
      </c>
      <c r="B948" s="4" t="s">
        <v>3134</v>
      </c>
      <c r="C948" s="4" t="s">
        <v>3135</v>
      </c>
      <c r="D948" s="5" t="s">
        <v>3136</v>
      </c>
      <c r="E948" s="5">
        <f>LOOKUP(D948,'AMFI DATA_2023H1'!B:D,'AMFI DATA_2023H1'!D:D)</f>
        <v>703.37</v>
      </c>
      <c r="F948" s="7">
        <f t="shared" si="3"/>
        <v>1.2662325660747542</v>
      </c>
      <c r="G948" s="8">
        <v>1594</v>
      </c>
      <c r="H948" s="8">
        <v>1410</v>
      </c>
      <c r="I948" s="8">
        <v>1387</v>
      </c>
      <c r="J948" s="8">
        <v>1416</v>
      </c>
      <c r="K948" s="8">
        <v>1433</v>
      </c>
      <c r="L948" s="8">
        <v>1461</v>
      </c>
      <c r="M948" s="8"/>
      <c r="N948" s="8"/>
      <c r="O948" s="8"/>
      <c r="P948" s="8"/>
      <c r="Q948" s="9">
        <f ca="1">IFERROR(__xludf.DUMMYFUNCTION("GOOGLEFINANCE(C948,""changepct"")"),-3.53)</f>
        <v>-3.53</v>
      </c>
      <c r="R948" s="8"/>
      <c r="S948" s="8"/>
      <c r="T948" s="8"/>
      <c r="U948" s="8"/>
      <c r="V948" s="8"/>
      <c r="W948" s="8"/>
    </row>
    <row r="949" spans="1:23" ht="14.4">
      <c r="A949" s="3">
        <f>LOOKUP(D949,'AMFI DATA_2023H1'!B:C,'AMFI DATA_2023H1'!C:C)</f>
        <v>979</v>
      </c>
      <c r="B949" s="4" t="s">
        <v>2924</v>
      </c>
      <c r="C949" s="4" t="s">
        <v>2925</v>
      </c>
      <c r="D949" s="5" t="s">
        <v>2926</v>
      </c>
      <c r="E949" s="5">
        <f>LOOKUP(D949,'AMFI DATA_2023H1'!B:D,'AMFI DATA_2023H1'!D:D)</f>
        <v>1244.25</v>
      </c>
      <c r="F949" s="7">
        <f t="shared" si="3"/>
        <v>0.22563793449869407</v>
      </c>
      <c r="G949" s="8">
        <v>1525</v>
      </c>
      <c r="H949" s="8">
        <v>1500</v>
      </c>
      <c r="I949" s="8">
        <v>1517</v>
      </c>
      <c r="J949" s="8">
        <v>1507</v>
      </c>
      <c r="K949" s="8">
        <v>1522</v>
      </c>
      <c r="L949" s="8">
        <v>1506</v>
      </c>
      <c r="M949" s="8"/>
      <c r="N949" s="8"/>
      <c r="O949" s="8"/>
      <c r="P949" s="8"/>
      <c r="Q949" s="9">
        <f ca="1">IFERROR(__xludf.DUMMYFUNCTION("GOOGLEFINANCE(C949,""changepct"")"),5.59)</f>
        <v>5.59</v>
      </c>
      <c r="R949" s="8"/>
      <c r="S949" s="8"/>
      <c r="T949" s="8"/>
      <c r="U949" s="8"/>
      <c r="V949" s="8"/>
      <c r="W949" s="8"/>
    </row>
    <row r="950" spans="1:23" ht="14.4">
      <c r="A950" s="3">
        <f>LOOKUP(D950,'AMFI DATA_2023H1'!B:C,'AMFI DATA_2023H1'!C:C)</f>
        <v>201</v>
      </c>
      <c r="B950" s="4" t="s">
        <v>564</v>
      </c>
      <c r="C950" s="4" t="s">
        <v>565</v>
      </c>
      <c r="D950" s="5" t="s">
        <v>566</v>
      </c>
      <c r="E950" s="5">
        <f>LOOKUP(D950,'AMFI DATA_2023H1'!B:D,'AMFI DATA_2023H1'!D:D)</f>
        <v>23582.639999999999</v>
      </c>
      <c r="F950" s="7">
        <f t="shared" si="3"/>
        <v>0.72465847759199153</v>
      </c>
      <c r="G950" s="8">
        <v>40672</v>
      </c>
      <c r="H950" s="8">
        <v>41070</v>
      </c>
      <c r="I950" s="8">
        <v>40336</v>
      </c>
      <c r="J950" s="8">
        <v>38819</v>
      </c>
      <c r="K950" s="8">
        <v>38060</v>
      </c>
      <c r="L950" s="8">
        <v>38010</v>
      </c>
      <c r="M950" s="8"/>
      <c r="N950" s="8"/>
      <c r="O950" s="8"/>
      <c r="P950" s="8"/>
      <c r="Q950" s="9">
        <f ca="1">IFERROR(__xludf.DUMMYFUNCTION("GOOGLEFINANCE(C950,""changepct"")"),0.33)</f>
        <v>0.33</v>
      </c>
      <c r="R950" s="8"/>
      <c r="S950" s="8"/>
      <c r="T950" s="8"/>
      <c r="U950" s="8"/>
      <c r="V950" s="8"/>
      <c r="W950" s="8"/>
    </row>
    <row r="951" spans="1:23" ht="14.4">
      <c r="A951" s="3">
        <f>LOOKUP(D951,'AMFI DATA_2023H1'!B:C,'AMFI DATA_2023H1'!C:C)</f>
        <v>137</v>
      </c>
      <c r="B951" s="4" t="s">
        <v>435</v>
      </c>
      <c r="C951" s="4" t="s">
        <v>436</v>
      </c>
      <c r="D951" s="5" t="s">
        <v>437</v>
      </c>
      <c r="E951" s="5">
        <f>LOOKUP(D951,'AMFI DATA_2023H1'!B:D,'AMFI DATA_2023H1'!D:D)</f>
        <v>38548.230000000003</v>
      </c>
      <c r="F951" s="7">
        <f t="shared" si="3"/>
        <v>0.42764012770495552</v>
      </c>
      <c r="G951" s="8">
        <v>55033</v>
      </c>
      <c r="H951" s="8">
        <v>55559</v>
      </c>
      <c r="I951" s="8">
        <v>54904</v>
      </c>
      <c r="J951" s="8">
        <v>55020</v>
      </c>
      <c r="K951" s="8">
        <v>55011</v>
      </c>
      <c r="L951" s="8">
        <v>55012</v>
      </c>
      <c r="M951" s="8"/>
      <c r="N951" s="8"/>
      <c r="O951" s="8"/>
      <c r="P951" s="8"/>
      <c r="Q951" s="9">
        <f ca="1">IFERROR(__xludf.DUMMYFUNCTION("GOOGLEFINANCE(C951,""changepct"")"),0.04)</f>
        <v>0.04</v>
      </c>
      <c r="R951" s="8"/>
      <c r="S951" s="8"/>
      <c r="T951" s="8"/>
      <c r="U951" s="8"/>
      <c r="V951" s="8"/>
      <c r="W951" s="8"/>
    </row>
    <row r="952" spans="1:23" ht="14.4">
      <c r="A952" s="3">
        <f>LOOKUP(D952,'AMFI DATA_2023H1'!B:C,'AMFI DATA_2023H1'!C:C)</f>
        <v>563</v>
      </c>
      <c r="B952" s="4" t="s">
        <v>1872</v>
      </c>
      <c r="C952" s="4" t="s">
        <v>1873</v>
      </c>
      <c r="D952" s="5" t="s">
        <v>1874</v>
      </c>
      <c r="E952" s="5">
        <f>LOOKUP(D952,'AMFI DATA_2023H1'!B:D,'AMFI DATA_2023H1'!D:D)</f>
        <v>4168.12</v>
      </c>
      <c r="F952" s="7">
        <f t="shared" si="3"/>
        <v>-1.9941844284713461E-2</v>
      </c>
      <c r="G952" s="8">
        <v>4085</v>
      </c>
      <c r="H952" s="8">
        <v>4129</v>
      </c>
      <c r="I952" s="8">
        <v>4215</v>
      </c>
      <c r="J952" s="8">
        <v>4276</v>
      </c>
      <c r="K952" s="8">
        <v>4295</v>
      </c>
      <c r="L952" s="8">
        <v>4342</v>
      </c>
      <c r="M952" s="8"/>
      <c r="N952" s="8"/>
      <c r="O952" s="8"/>
      <c r="P952" s="8"/>
      <c r="Q952" s="9">
        <f ca="1">IFERROR(__xludf.DUMMYFUNCTION("GOOGLEFINANCE(C952,""changepct"")"),5.2)</f>
        <v>5.2</v>
      </c>
      <c r="R952" s="8"/>
      <c r="S952" s="8"/>
      <c r="T952" s="8"/>
      <c r="U952" s="8"/>
      <c r="V952" s="8"/>
      <c r="W952" s="8"/>
    </row>
    <row r="953" spans="1:23" ht="14.4">
      <c r="A953" s="3">
        <f>LOOKUP(D953,'AMFI DATA_2023H1'!B:C,'AMFI DATA_2023H1'!C:C)</f>
        <v>2248</v>
      </c>
      <c r="B953" s="4" t="s">
        <v>5051</v>
      </c>
      <c r="C953" s="4" t="s">
        <v>5052</v>
      </c>
      <c r="D953" s="5" t="s">
        <v>5053</v>
      </c>
      <c r="E953" s="5">
        <f>LOOKUP(D953,'AMFI DATA_2023H1'!B:D,'AMFI DATA_2023H1'!D:D)</f>
        <v>94.6</v>
      </c>
      <c r="F953" s="7">
        <f t="shared" si="3"/>
        <v>0.61733615221987326</v>
      </c>
      <c r="G953" s="9">
        <v>153</v>
      </c>
      <c r="H953" s="9">
        <v>156</v>
      </c>
      <c r="I953" s="9">
        <v>170</v>
      </c>
      <c r="J953" s="9">
        <v>143</v>
      </c>
      <c r="K953" s="9">
        <v>145</v>
      </c>
      <c r="L953" s="9">
        <v>147</v>
      </c>
      <c r="M953" s="9"/>
      <c r="N953" s="9"/>
      <c r="O953" s="9"/>
      <c r="P953" s="9"/>
      <c r="Q953" s="9">
        <f ca="1">IFERROR(__xludf.DUMMYFUNCTION("GOOGLEFINANCE(C953,""changepct"")"),4.17)</f>
        <v>4.17</v>
      </c>
      <c r="R953" s="9"/>
      <c r="S953" s="9"/>
      <c r="T953" s="9"/>
      <c r="U953" s="9"/>
      <c r="V953" s="9"/>
      <c r="W953" s="9"/>
    </row>
    <row r="954" spans="1:23" ht="14.4">
      <c r="A954" s="3">
        <f>LOOKUP(D954,'AMFI DATA_2023H1'!B:C,'AMFI DATA_2023H1'!C:C)</f>
        <v>2880</v>
      </c>
      <c r="B954" s="4" t="s">
        <v>5509</v>
      </c>
      <c r="C954" s="4" t="s">
        <v>5510</v>
      </c>
      <c r="D954" s="5" t="s">
        <v>5511</v>
      </c>
      <c r="E954" s="5">
        <f>LOOKUP(D954,'AMFI DATA_2023H1'!B:D,'AMFI DATA_2023H1'!D:D)</f>
        <v>35.79</v>
      </c>
      <c r="F954" s="7">
        <f t="shared" si="3"/>
        <v>0.48644872869516642</v>
      </c>
      <c r="G954" s="9">
        <v>53.2</v>
      </c>
      <c r="H954" s="9">
        <v>54.7</v>
      </c>
      <c r="I954" s="9">
        <v>54.9</v>
      </c>
      <c r="J954" s="9">
        <v>55.8</v>
      </c>
      <c r="K954" s="9">
        <v>58</v>
      </c>
      <c r="L954" s="9">
        <v>60.9</v>
      </c>
      <c r="M954" s="9"/>
      <c r="N954" s="9"/>
      <c r="O954" s="9"/>
      <c r="P954" s="9"/>
      <c r="Q954" s="9">
        <f ca="1">IFERROR(__xludf.DUMMYFUNCTION("GOOGLEFINANCE(C954,""changepct"")"),4.49)</f>
        <v>4.49</v>
      </c>
      <c r="R954" s="9"/>
      <c r="S954" s="9"/>
      <c r="T954" s="9"/>
      <c r="U954" s="9"/>
      <c r="V954" s="9"/>
      <c r="W954" s="9"/>
    </row>
    <row r="955" spans="1:23" ht="14.4">
      <c r="A955" s="3">
        <f>LOOKUP(D955,'AMFI DATA_2023H1'!B:C,'AMFI DATA_2023H1'!C:C)</f>
        <v>306</v>
      </c>
      <c r="B955" s="4" t="s">
        <v>963</v>
      </c>
      <c r="C955" s="4" t="s">
        <v>964</v>
      </c>
      <c r="D955" s="5" t="s">
        <v>965</v>
      </c>
      <c r="E955" s="5">
        <f>LOOKUP(D955,'AMFI DATA_2023H1'!B:D,'AMFI DATA_2023H1'!D:D)</f>
        <v>12029.39</v>
      </c>
      <c r="F955" s="7">
        <f t="shared" si="3"/>
        <v>0.21851565208210899</v>
      </c>
      <c r="G955" s="8">
        <v>14658</v>
      </c>
      <c r="H955" s="8">
        <v>14652</v>
      </c>
      <c r="I955" s="8">
        <v>14222</v>
      </c>
      <c r="J955" s="8">
        <v>14236</v>
      </c>
      <c r="K955" s="8">
        <v>14072</v>
      </c>
      <c r="L955" s="8">
        <v>14226</v>
      </c>
      <c r="M955" s="8"/>
      <c r="N955" s="8"/>
      <c r="O955" s="8"/>
      <c r="P955" s="8"/>
      <c r="Q955" s="9">
        <f ca="1">IFERROR(__xludf.DUMMYFUNCTION("GOOGLEFINANCE(C955,""changepct"")"),1.77)</f>
        <v>1.77</v>
      </c>
      <c r="R955" s="8"/>
      <c r="S955" s="8"/>
      <c r="T955" s="8"/>
      <c r="U955" s="8"/>
      <c r="V955" s="8"/>
      <c r="W955" s="8"/>
    </row>
    <row r="956" spans="1:23" ht="14.4">
      <c r="A956" s="3">
        <f>LOOKUP(D956,'AMFI DATA_2023H1'!B:C,'AMFI DATA_2023H1'!C:C)</f>
        <v>4220</v>
      </c>
      <c r="B956" s="4" t="s">
        <v>5776</v>
      </c>
      <c r="C956" s="4" t="s">
        <v>5777</v>
      </c>
      <c r="D956" s="5" t="s">
        <v>5778</v>
      </c>
      <c r="E956" s="5">
        <f>LOOKUP(D956,'AMFI DATA_2023H1'!B:D,'AMFI DATA_2023H1'!D:D)</f>
        <v>5.2</v>
      </c>
      <c r="F956" s="7">
        <f t="shared" si="3"/>
        <v>0.15000000000000013</v>
      </c>
      <c r="G956" s="9">
        <v>5.98</v>
      </c>
      <c r="H956" s="9">
        <v>5.91</v>
      </c>
      <c r="I956" s="9">
        <v>5.91</v>
      </c>
      <c r="J956" s="9">
        <v>5.71</v>
      </c>
      <c r="K956" s="9">
        <v>5.8</v>
      </c>
      <c r="L956" s="9">
        <v>5.8</v>
      </c>
      <c r="M956" s="9"/>
      <c r="N956" s="9"/>
      <c r="O956" s="9"/>
      <c r="P956" s="9"/>
      <c r="Q956" s="9">
        <f ca="1">IFERROR(__xludf.DUMMYFUNCTION("GOOGLEFINANCE(C956,""changepct"")"),-5.11)</f>
        <v>-5.1100000000000003</v>
      </c>
      <c r="R956" s="9"/>
      <c r="S956" s="9"/>
      <c r="T956" s="9"/>
      <c r="U956" s="9"/>
      <c r="V956" s="9"/>
      <c r="W956" s="9"/>
    </row>
    <row r="957" spans="1:23" ht="14.4">
      <c r="A957" s="3">
        <f>LOOKUP(D957,'AMFI DATA_2023H1'!B:C,'AMFI DATA_2023H1'!C:C)</f>
        <v>1920</v>
      </c>
      <c r="B957" s="4" t="s">
        <v>4931</v>
      </c>
      <c r="C957" s="4" t="s">
        <v>4932</v>
      </c>
      <c r="D957" s="5" t="s">
        <v>4933</v>
      </c>
      <c r="E957" s="5">
        <f>LOOKUP(D957,'AMFI DATA_2023H1'!B:D,'AMFI DATA_2023H1'!D:D)</f>
        <v>161.85</v>
      </c>
      <c r="F957" s="7">
        <f t="shared" si="3"/>
        <v>1.3283904850169836E-2</v>
      </c>
      <c r="G957" s="9">
        <v>164</v>
      </c>
      <c r="H957" s="9">
        <v>163</v>
      </c>
      <c r="I957" s="9">
        <v>162</v>
      </c>
      <c r="J957" s="9">
        <v>162</v>
      </c>
      <c r="K957" s="9">
        <v>165</v>
      </c>
      <c r="L957" s="9">
        <v>169</v>
      </c>
      <c r="M957" s="9"/>
      <c r="N957" s="9"/>
      <c r="O957" s="9"/>
      <c r="P957" s="9"/>
      <c r="Q957" s="9">
        <f ca="1">IFERROR(__xludf.DUMMYFUNCTION("GOOGLEFINANCE(C957,""changepct"")"),-1.13)</f>
        <v>-1.1299999999999999</v>
      </c>
      <c r="R957" s="9"/>
      <c r="S957" s="9"/>
      <c r="T957" s="9"/>
      <c r="U957" s="9"/>
      <c r="V957" s="9"/>
      <c r="W957" s="9"/>
    </row>
    <row r="958" spans="1:23" ht="14.4">
      <c r="A958" s="3">
        <f>LOOKUP(D958,'AMFI DATA_2023H1'!B:C,'AMFI DATA_2023H1'!C:C)</f>
        <v>720</v>
      </c>
      <c r="B958" s="4" t="s">
        <v>2282</v>
      </c>
      <c r="C958" s="4" t="s">
        <v>2283</v>
      </c>
      <c r="D958" s="5" t="s">
        <v>2284</v>
      </c>
      <c r="E958" s="5">
        <f>LOOKUP(D958,'AMFI DATA_2023H1'!B:D,'AMFI DATA_2023H1'!D:D)</f>
        <v>2402.14</v>
      </c>
      <c r="F958" s="7">
        <f t="shared" si="3"/>
        <v>0.40499721082035189</v>
      </c>
      <c r="G958" s="8">
        <v>3375</v>
      </c>
      <c r="H958" s="8">
        <v>3417</v>
      </c>
      <c r="I958" s="8">
        <v>3367</v>
      </c>
      <c r="J958" s="8">
        <v>3241</v>
      </c>
      <c r="K958" s="8">
        <v>3238</v>
      </c>
      <c r="L958" s="8">
        <v>3335</v>
      </c>
      <c r="M958" s="8"/>
      <c r="N958" s="8"/>
      <c r="O958" s="8"/>
      <c r="P958" s="8"/>
      <c r="Q958" s="9">
        <f ca="1">IFERROR(__xludf.DUMMYFUNCTION("GOOGLEFINANCE(C958,""changepct"")"),-0.26)</f>
        <v>-0.26</v>
      </c>
      <c r="R958" s="8"/>
      <c r="S958" s="8"/>
      <c r="T958" s="8"/>
      <c r="U958" s="8"/>
      <c r="V958" s="8"/>
      <c r="W958" s="8"/>
    </row>
    <row r="959" spans="1:23" ht="14.4">
      <c r="A959" s="3">
        <f>LOOKUP(D959,'AMFI DATA_2023H1'!B:C,'AMFI DATA_2023H1'!C:C)</f>
        <v>2308</v>
      </c>
      <c r="B959" s="4" t="s">
        <v>5219</v>
      </c>
      <c r="C959" s="4" t="s">
        <v>5220</v>
      </c>
      <c r="D959" s="5" t="s">
        <v>5221</v>
      </c>
      <c r="E959" s="5">
        <f>LOOKUP(D959,'AMFI DATA_2023H1'!B:D,'AMFI DATA_2023H1'!D:D)</f>
        <v>85.92</v>
      </c>
      <c r="F959" s="7">
        <f t="shared" si="3"/>
        <v>0.21042830540037238</v>
      </c>
      <c r="G959" s="9">
        <v>104</v>
      </c>
      <c r="H959" s="9">
        <v>99.2</v>
      </c>
      <c r="I959" s="9">
        <v>101</v>
      </c>
      <c r="J959" s="9">
        <v>98.6</v>
      </c>
      <c r="K959" s="9">
        <v>99.8</v>
      </c>
      <c r="L959" s="9">
        <v>99.3</v>
      </c>
      <c r="M959" s="9"/>
      <c r="N959" s="9"/>
      <c r="O959" s="9"/>
      <c r="P959" s="9"/>
      <c r="Q959" s="9">
        <f ca="1">IFERROR(__xludf.DUMMYFUNCTION("GOOGLEFINANCE(C959,""changepct"")"),14.88)</f>
        <v>14.88</v>
      </c>
      <c r="R959" s="9"/>
      <c r="S959" s="9"/>
      <c r="T959" s="9"/>
      <c r="U959" s="9"/>
      <c r="V959" s="9"/>
      <c r="W959" s="9"/>
    </row>
    <row r="960" spans="1:23" ht="14.4">
      <c r="A960" s="3">
        <f>LOOKUP(D960,'AMFI DATA_2023H1'!B:C,'AMFI DATA_2023H1'!C:C)</f>
        <v>14</v>
      </c>
      <c r="B960" s="4" t="s">
        <v>40</v>
      </c>
      <c r="C960" s="4" t="s">
        <v>41</v>
      </c>
      <c r="D960" s="5" t="s">
        <v>42</v>
      </c>
      <c r="E960" s="5">
        <f>LOOKUP(D960,'AMFI DATA_2023H1'!B:D,'AMFI DATA_2023H1'!D:D)</f>
        <v>312871.87</v>
      </c>
      <c r="F960" s="7">
        <f t="shared" si="3"/>
        <v>0.547483319609398</v>
      </c>
      <c r="G960" s="8">
        <v>484164</v>
      </c>
      <c r="H960" s="8">
        <v>484810</v>
      </c>
      <c r="I960" s="8">
        <v>483573</v>
      </c>
      <c r="J960" s="8">
        <v>487016</v>
      </c>
      <c r="K960" s="8">
        <v>479952</v>
      </c>
      <c r="L960" s="8">
        <v>478061</v>
      </c>
      <c r="M960" s="8"/>
      <c r="N960" s="8"/>
      <c r="O960" s="8"/>
      <c r="P960" s="8"/>
      <c r="Q960" s="9">
        <f ca="1">IFERROR(__xludf.DUMMYFUNCTION("GOOGLEFINANCE(C960,""changepct"")"),1.15)</f>
        <v>1.1499999999999999</v>
      </c>
      <c r="R960" s="8"/>
      <c r="S960" s="8"/>
      <c r="T960" s="8"/>
      <c r="U960" s="8"/>
      <c r="V960" s="8"/>
      <c r="W960" s="8"/>
    </row>
    <row r="961" spans="1:23" ht="14.4">
      <c r="A961" s="3">
        <f>LOOKUP(D961,'AMFI DATA_2023H1'!B:C,'AMFI DATA_2023H1'!C:C)</f>
        <v>2133</v>
      </c>
      <c r="B961" s="4" t="s">
        <v>5024</v>
      </c>
      <c r="C961" s="4" t="s">
        <v>5025</v>
      </c>
      <c r="D961" s="5" t="s">
        <v>5026</v>
      </c>
      <c r="E961" s="5">
        <f>LOOKUP(D961,'AMFI DATA_2023H1'!B:D,'AMFI DATA_2023H1'!D:D)</f>
        <v>115.72</v>
      </c>
      <c r="F961" s="7">
        <f t="shared" si="3"/>
        <v>0.23574144486692017</v>
      </c>
      <c r="G961" s="9">
        <v>143</v>
      </c>
      <c r="H961" s="9">
        <v>150</v>
      </c>
      <c r="I961" s="9">
        <v>153</v>
      </c>
      <c r="J961" s="9">
        <v>165</v>
      </c>
      <c r="K961" s="9">
        <v>150</v>
      </c>
      <c r="L961" s="9">
        <v>139</v>
      </c>
      <c r="M961" s="9"/>
      <c r="N961" s="9"/>
      <c r="O961" s="9"/>
      <c r="P961" s="9"/>
      <c r="Q961" s="9">
        <f ca="1">IFERROR(__xludf.DUMMYFUNCTION("GOOGLEFINANCE(C961,""changepct"")"),-0.9)</f>
        <v>-0.9</v>
      </c>
      <c r="R961" s="9"/>
      <c r="S961" s="9"/>
      <c r="T961" s="9"/>
      <c r="U961" s="9"/>
      <c r="V961" s="9"/>
      <c r="W961" s="9"/>
    </row>
    <row r="962" spans="1:23" ht="14.4">
      <c r="A962" s="3">
        <f>LOOKUP(D962,'AMFI DATA_2023H1'!B:C,'AMFI DATA_2023H1'!C:C)</f>
        <v>414</v>
      </c>
      <c r="B962" s="4" t="s">
        <v>1353</v>
      </c>
      <c r="C962" s="4" t="s">
        <v>1354</v>
      </c>
      <c r="D962" s="5" t="s">
        <v>1355</v>
      </c>
      <c r="E962" s="5">
        <f>LOOKUP(D962,'AMFI DATA_2023H1'!B:D,'AMFI DATA_2023H1'!D:D)</f>
        <v>7147.52</v>
      </c>
      <c r="F962" s="7">
        <f t="shared" si="3"/>
        <v>0.31122403295128942</v>
      </c>
      <c r="G962" s="8">
        <v>9372</v>
      </c>
      <c r="H962" s="8">
        <v>9378</v>
      </c>
      <c r="I962" s="8">
        <v>9305</v>
      </c>
      <c r="J962" s="8">
        <v>9333</v>
      </c>
      <c r="K962" s="8">
        <v>9348</v>
      </c>
      <c r="L962" s="8">
        <v>9416</v>
      </c>
      <c r="M962" s="8"/>
      <c r="N962" s="8"/>
      <c r="O962" s="8"/>
      <c r="P962" s="8"/>
      <c r="Q962" s="9">
        <f ca="1">IFERROR(__xludf.DUMMYFUNCTION("GOOGLEFINANCE(C962,""changepct"")"),1.1)</f>
        <v>1.1000000000000001</v>
      </c>
      <c r="R962" s="8"/>
      <c r="S962" s="8"/>
      <c r="T962" s="8"/>
      <c r="U962" s="8"/>
      <c r="V962" s="8"/>
      <c r="W962" s="8"/>
    </row>
    <row r="963" spans="1:23" ht="14.4">
      <c r="A963" s="3">
        <f>LOOKUP(D963,'AMFI DATA_2023H1'!B:C,'AMFI DATA_2023H1'!C:C)</f>
        <v>1693</v>
      </c>
      <c r="B963" s="4" t="s">
        <v>4625</v>
      </c>
      <c r="C963" s="4" t="s">
        <v>4626</v>
      </c>
      <c r="D963" s="5" t="s">
        <v>4627</v>
      </c>
      <c r="E963" s="5">
        <f>LOOKUP(D963,'AMFI DATA_2023H1'!B:D,'AMFI DATA_2023H1'!D:D)</f>
        <v>242.56</v>
      </c>
      <c r="F963" s="7">
        <f t="shared" si="3"/>
        <v>-0.20019788918205805</v>
      </c>
      <c r="G963" s="9">
        <v>194</v>
      </c>
      <c r="H963" s="9">
        <v>201</v>
      </c>
      <c r="I963" s="9">
        <v>202</v>
      </c>
      <c r="J963" s="9">
        <v>186</v>
      </c>
      <c r="K963" s="9">
        <v>184</v>
      </c>
      <c r="L963" s="9">
        <v>172</v>
      </c>
      <c r="M963" s="9"/>
      <c r="N963" s="9"/>
      <c r="O963" s="9"/>
      <c r="P963" s="9"/>
      <c r="Q963" s="9">
        <f ca="1">IFERROR(__xludf.DUMMYFUNCTION("GOOGLEFINANCE(C963,""changepct"")"),0.6)</f>
        <v>0.6</v>
      </c>
      <c r="R963" s="9"/>
      <c r="S963" s="9"/>
      <c r="T963" s="9"/>
      <c r="U963" s="9"/>
      <c r="V963" s="9"/>
      <c r="W963" s="9"/>
    </row>
    <row r="964" spans="1:23" ht="14.4">
      <c r="A964" s="3">
        <f>LOOKUP(D964,'AMFI DATA_2023H1'!B:C,'AMFI DATA_2023H1'!C:C)</f>
        <v>246</v>
      </c>
      <c r="B964" s="4" t="s">
        <v>792</v>
      </c>
      <c r="C964" s="4" t="s">
        <v>793</v>
      </c>
      <c r="D964" s="5" t="s">
        <v>794</v>
      </c>
      <c r="E964" s="5">
        <f>LOOKUP(D964,'AMFI DATA_2023H1'!B:D,'AMFI DATA_2023H1'!D:D)</f>
        <v>17765.009999999998</v>
      </c>
      <c r="F964" s="7">
        <f t="shared" si="3"/>
        <v>0.31449405319783108</v>
      </c>
      <c r="G964" s="8">
        <v>23352</v>
      </c>
      <c r="H964" s="8">
        <v>23186</v>
      </c>
      <c r="I964" s="8">
        <v>22982</v>
      </c>
      <c r="J964" s="8">
        <v>23286</v>
      </c>
      <c r="K964" s="8">
        <v>23416</v>
      </c>
      <c r="L964" s="8">
        <v>22330</v>
      </c>
      <c r="M964" s="8"/>
      <c r="N964" s="8"/>
      <c r="O964" s="8"/>
      <c r="P964" s="8"/>
      <c r="Q964" s="9">
        <f ca="1">IFERROR(__xludf.DUMMYFUNCTION("GOOGLEFINANCE(C964,""changepct"")"),-3.14)</f>
        <v>-3.14</v>
      </c>
      <c r="R964" s="8"/>
      <c r="S964" s="8"/>
      <c r="T964" s="8"/>
      <c r="U964" s="8"/>
      <c r="V964" s="8"/>
      <c r="W964" s="8"/>
    </row>
    <row r="965" spans="1:23" ht="14.4">
      <c r="A965" s="3">
        <f>LOOKUP(D965,'AMFI DATA_2023H1'!B:C,'AMFI DATA_2023H1'!C:C)</f>
        <v>2884</v>
      </c>
      <c r="B965" s="4" t="s">
        <v>5551</v>
      </c>
      <c r="C965" s="4" t="s">
        <v>5552</v>
      </c>
      <c r="D965" s="5" t="s">
        <v>5553</v>
      </c>
      <c r="E965" s="5">
        <f>LOOKUP(D965,'AMFI DATA_2023H1'!B:D,'AMFI DATA_2023H1'!D:D)</f>
        <v>35.65</v>
      </c>
      <c r="F965" s="7">
        <f t="shared" si="3"/>
        <v>0.20617110799438998</v>
      </c>
      <c r="G965" s="9">
        <v>43</v>
      </c>
      <c r="H965" s="9">
        <v>43.1</v>
      </c>
      <c r="I965" s="9">
        <v>43.1</v>
      </c>
      <c r="J965" s="9">
        <v>44.7</v>
      </c>
      <c r="K965" s="9">
        <v>48.2</v>
      </c>
      <c r="L965" s="9">
        <v>41.8</v>
      </c>
      <c r="M965" s="9"/>
      <c r="N965" s="9"/>
      <c r="O965" s="9"/>
      <c r="P965" s="9"/>
      <c r="Q965" s="9">
        <f ca="1">IFERROR(__xludf.DUMMYFUNCTION("GOOGLEFINANCE(C965,""changepct"")"),2.89)</f>
        <v>2.89</v>
      </c>
      <c r="R965" s="9"/>
      <c r="S965" s="9"/>
      <c r="T965" s="9"/>
      <c r="U965" s="9"/>
      <c r="V965" s="9"/>
      <c r="W965" s="9"/>
    </row>
    <row r="966" spans="1:23" ht="14.4">
      <c r="A966" s="3">
        <f>LOOKUP(D966,'AMFI DATA_2023H1'!B:C,'AMFI DATA_2023H1'!C:C)</f>
        <v>1729</v>
      </c>
      <c r="B966" s="4" t="s">
        <v>4358</v>
      </c>
      <c r="C966" s="4" t="s">
        <v>4359</v>
      </c>
      <c r="D966" s="5" t="s">
        <v>4360</v>
      </c>
      <c r="E966" s="5">
        <f>LOOKUP(D966,'AMFI DATA_2023H1'!B:D,'AMFI DATA_2023H1'!D:D)</f>
        <v>225.65</v>
      </c>
      <c r="F966" s="7">
        <f t="shared" si="3"/>
        <v>0.47130511854642143</v>
      </c>
      <c r="G966" s="9">
        <v>332</v>
      </c>
      <c r="H966" s="9">
        <v>317</v>
      </c>
      <c r="I966" s="9">
        <v>333</v>
      </c>
      <c r="J966" s="9">
        <v>317</v>
      </c>
      <c r="K966" s="9">
        <v>317</v>
      </c>
      <c r="L966" s="9">
        <v>330</v>
      </c>
      <c r="M966" s="9"/>
      <c r="N966" s="9"/>
      <c r="O966" s="9"/>
      <c r="P966" s="9"/>
      <c r="Q966" s="9">
        <f ca="1">IFERROR(__xludf.DUMMYFUNCTION("GOOGLEFINANCE(C966,""changepct"")"),1.9)</f>
        <v>1.9</v>
      </c>
      <c r="R966" s="9"/>
      <c r="S966" s="9"/>
      <c r="T966" s="9"/>
      <c r="U966" s="9"/>
      <c r="V966" s="9"/>
      <c r="W966" s="9"/>
    </row>
    <row r="967" spans="1:23" ht="14.4">
      <c r="A967" s="3">
        <f>LOOKUP(D967,'AMFI DATA_2023H1'!B:C,'AMFI DATA_2023H1'!C:C)</f>
        <v>417</v>
      </c>
      <c r="B967" s="4" t="s">
        <v>1482</v>
      </c>
      <c r="C967" s="4" t="s">
        <v>1483</v>
      </c>
      <c r="D967" s="5" t="s">
        <v>1484</v>
      </c>
      <c r="E967" s="5">
        <f>LOOKUP(D967,'AMFI DATA_2023H1'!B:D,'AMFI DATA_2023H1'!D:D)</f>
        <v>7052.45</v>
      </c>
      <c r="F967" s="7">
        <f t="shared" si="3"/>
        <v>0.13946217272011863</v>
      </c>
      <c r="G967" s="8">
        <v>8036</v>
      </c>
      <c r="H967" s="8">
        <v>7994</v>
      </c>
      <c r="I967" s="8">
        <v>8034</v>
      </c>
      <c r="J967" s="8">
        <v>8103</v>
      </c>
      <c r="K967" s="8">
        <v>7961</v>
      </c>
      <c r="L967" s="8">
        <v>7671</v>
      </c>
      <c r="M967" s="8"/>
      <c r="N967" s="8"/>
      <c r="O967" s="8"/>
      <c r="P967" s="8"/>
      <c r="Q967" s="9">
        <f ca="1">IFERROR(__xludf.DUMMYFUNCTION("GOOGLEFINANCE(C967,""changepct"")"),0.81)</f>
        <v>0.81</v>
      </c>
      <c r="R967" s="8"/>
      <c r="S967" s="8"/>
      <c r="T967" s="8"/>
      <c r="U967" s="8"/>
      <c r="V967" s="8"/>
      <c r="W967" s="8"/>
    </row>
    <row r="968" spans="1:23" ht="14.4">
      <c r="A968" s="3">
        <f>LOOKUP(D968,'AMFI DATA_2023H1'!B:C,'AMFI DATA_2023H1'!C:C)</f>
        <v>3209</v>
      </c>
      <c r="B968" s="4" t="s">
        <v>5665</v>
      </c>
      <c r="C968" s="4" t="s">
        <v>5666</v>
      </c>
      <c r="D968" s="5" t="s">
        <v>5667</v>
      </c>
      <c r="E968" s="5">
        <f>LOOKUP(D968,'AMFI DATA_2023H1'!B:D,'AMFI DATA_2023H1'!D:D)</f>
        <v>22.31</v>
      </c>
      <c r="F968" s="7">
        <f t="shared" si="3"/>
        <v>0.34020618556701043</v>
      </c>
      <c r="G968" s="9">
        <v>29.9</v>
      </c>
      <c r="H968" s="9">
        <v>28.5</v>
      </c>
      <c r="I968" s="9">
        <v>29.1</v>
      </c>
      <c r="J968" s="9">
        <v>30.4</v>
      </c>
      <c r="K968" s="9">
        <v>30.1</v>
      </c>
      <c r="L968" s="9">
        <v>30.4</v>
      </c>
      <c r="M968" s="9"/>
      <c r="N968" s="9"/>
      <c r="O968" s="9"/>
      <c r="P968" s="9"/>
      <c r="Q968" s="9">
        <f ca="1">IFERROR(__xludf.DUMMYFUNCTION("GOOGLEFINANCE(C968,""changepct"")"),3.33)</f>
        <v>3.33</v>
      </c>
      <c r="R968" s="9"/>
      <c r="S968" s="9"/>
      <c r="T968" s="9"/>
      <c r="U968" s="9"/>
      <c r="V968" s="9"/>
      <c r="W968" s="9"/>
    </row>
    <row r="969" spans="1:23" ht="14.4">
      <c r="A969" s="3">
        <f>LOOKUP(D969,'AMFI DATA_2023H1'!B:C,'AMFI DATA_2023H1'!C:C)</f>
        <v>436</v>
      </c>
      <c r="B969" s="4" t="s">
        <v>1350</v>
      </c>
      <c r="C969" s="4" t="s">
        <v>1351</v>
      </c>
      <c r="D969" s="5" t="s">
        <v>1352</v>
      </c>
      <c r="E969" s="5">
        <f>LOOKUP(D969,'AMFI DATA_2023H1'!B:D,'AMFI DATA_2023H1'!D:D)</f>
        <v>6604.7</v>
      </c>
      <c r="F969" s="7">
        <f t="shared" si="3"/>
        <v>0.423834542068527</v>
      </c>
      <c r="G969" s="8">
        <v>9404</v>
      </c>
      <c r="H969" s="8">
        <v>9491</v>
      </c>
      <c r="I969" s="8">
        <v>9475</v>
      </c>
      <c r="J969" s="8">
        <v>9388</v>
      </c>
      <c r="K969" s="8">
        <v>9550</v>
      </c>
      <c r="L969" s="8">
        <v>9622</v>
      </c>
      <c r="M969" s="8"/>
      <c r="N969" s="8"/>
      <c r="O969" s="8"/>
      <c r="P969" s="8"/>
      <c r="Q969" s="9">
        <f ca="1">IFERROR(__xludf.DUMMYFUNCTION("GOOGLEFINANCE(C969,""changepct"")"),-0.04)</f>
        <v>-0.04</v>
      </c>
      <c r="R969" s="8"/>
      <c r="S969" s="8"/>
      <c r="T969" s="8"/>
      <c r="U969" s="8"/>
      <c r="V969" s="8"/>
      <c r="W969" s="8"/>
    </row>
    <row r="970" spans="1:23" ht="14.4">
      <c r="A970" s="3">
        <f>LOOKUP(D970,'AMFI DATA_2023H1'!B:C,'AMFI DATA_2023H1'!C:C)</f>
        <v>2061</v>
      </c>
      <c r="B970" s="4" t="s">
        <v>5311</v>
      </c>
      <c r="C970" s="4" t="s">
        <v>5312</v>
      </c>
      <c r="D970" s="5" t="s">
        <v>5313</v>
      </c>
      <c r="E970" s="5">
        <f>LOOKUP(D970,'AMFI DATA_2023H1'!B:D,'AMFI DATA_2023H1'!D:D)</f>
        <v>129.02000000000001</v>
      </c>
      <c r="F970" s="7">
        <f t="shared" si="3"/>
        <v>-0.29933343667648427</v>
      </c>
      <c r="G970" s="9">
        <v>90.4</v>
      </c>
      <c r="H970" s="9">
        <v>89.9</v>
      </c>
      <c r="I970" s="9">
        <v>94.6</v>
      </c>
      <c r="J970" s="9">
        <v>99.3</v>
      </c>
      <c r="K970" s="9">
        <v>104</v>
      </c>
      <c r="L970" s="9">
        <v>104</v>
      </c>
      <c r="M970" s="9"/>
      <c r="N970" s="9"/>
      <c r="O970" s="9"/>
      <c r="P970" s="9"/>
      <c r="Q970" s="9" t="str">
        <f ca="1">IFERROR(__xludf.DUMMYFUNCTION("GOOGLEFINANCE(C970,""changepct"")"),"#N/A")</f>
        <v>#N/A</v>
      </c>
      <c r="R970" s="9"/>
      <c r="S970" s="9"/>
      <c r="T970" s="9"/>
      <c r="U970" s="9"/>
      <c r="V970" s="9"/>
      <c r="W970" s="9"/>
    </row>
    <row r="971" spans="1:23" ht="14.4">
      <c r="A971" s="3">
        <f>LOOKUP(D971,'AMFI DATA_2023H1'!B:C,'AMFI DATA_2023H1'!C:C)</f>
        <v>717</v>
      </c>
      <c r="B971" s="4" t="s">
        <v>2150</v>
      </c>
      <c r="C971" s="4" t="s">
        <v>2151</v>
      </c>
      <c r="D971" s="5" t="s">
        <v>2152</v>
      </c>
      <c r="E971" s="5">
        <f>LOOKUP(D971,'AMFI DATA_2023H1'!B:D,'AMFI DATA_2023H1'!D:D)</f>
        <v>2419.67</v>
      </c>
      <c r="F971" s="7">
        <f t="shared" si="3"/>
        <v>0.62170874540743148</v>
      </c>
      <c r="G971" s="8">
        <v>3924</v>
      </c>
      <c r="H971" s="8">
        <v>3944</v>
      </c>
      <c r="I971" s="8">
        <v>4013</v>
      </c>
      <c r="J971" s="8">
        <v>3990</v>
      </c>
      <c r="K971" s="8">
        <v>4011</v>
      </c>
      <c r="L971" s="8">
        <v>4119</v>
      </c>
      <c r="M971" s="8"/>
      <c r="N971" s="8"/>
      <c r="O971" s="8"/>
      <c r="P971" s="8"/>
      <c r="Q971" s="9">
        <f ca="1">IFERROR(__xludf.DUMMYFUNCTION("GOOGLEFINANCE(C971,""changepct"")"),-2.29)</f>
        <v>-2.29</v>
      </c>
      <c r="R971" s="8"/>
      <c r="S971" s="8"/>
      <c r="T971" s="8"/>
      <c r="U971" s="8"/>
      <c r="V971" s="8"/>
      <c r="W971" s="8"/>
    </row>
    <row r="972" spans="1:23" ht="14.4">
      <c r="A972" s="3">
        <f>LOOKUP(D972,'AMFI DATA_2023H1'!B:C,'AMFI DATA_2023H1'!C:C)</f>
        <v>1729</v>
      </c>
      <c r="B972" s="4" t="s">
        <v>4553</v>
      </c>
      <c r="C972" s="4" t="s">
        <v>4554</v>
      </c>
      <c r="D972" s="5" t="s">
        <v>4555</v>
      </c>
      <c r="E972" s="5">
        <f>LOOKUP(D972,'AMFI DATA_2023H1'!B:D,'AMFI DATA_2023H1'!D:D)</f>
        <v>225.65</v>
      </c>
      <c r="F972" s="7">
        <f t="shared" si="3"/>
        <v>0.3560824285397739</v>
      </c>
      <c r="G972" s="9">
        <v>306</v>
      </c>
      <c r="H972" s="9">
        <v>311</v>
      </c>
      <c r="I972" s="9">
        <v>310</v>
      </c>
      <c r="J972" s="9">
        <v>295</v>
      </c>
      <c r="K972" s="9">
        <v>298</v>
      </c>
      <c r="L972" s="9">
        <v>303</v>
      </c>
      <c r="M972" s="9"/>
      <c r="N972" s="9"/>
      <c r="O972" s="9"/>
      <c r="P972" s="9"/>
      <c r="Q972" s="9">
        <f ca="1">IFERROR(__xludf.DUMMYFUNCTION("GOOGLEFINANCE(C972,""changepct"")"),4.13)</f>
        <v>4.13</v>
      </c>
      <c r="R972" s="9"/>
      <c r="S972" s="9"/>
      <c r="T972" s="9"/>
      <c r="U972" s="9"/>
      <c r="V972" s="9"/>
      <c r="W972" s="9"/>
    </row>
    <row r="973" spans="1:23" ht="14.4">
      <c r="A973" s="3">
        <f>LOOKUP(D973,'AMFI DATA_2023H1'!B:C,'AMFI DATA_2023H1'!C:C)</f>
        <v>2861</v>
      </c>
      <c r="B973" s="4" t="s">
        <v>5548</v>
      </c>
      <c r="C973" s="4" t="s">
        <v>5549</v>
      </c>
      <c r="D973" s="5" t="s">
        <v>5550</v>
      </c>
      <c r="E973" s="5">
        <f>LOOKUP(D973,'AMFI DATA_2023H1'!B:D,'AMFI DATA_2023H1'!D:D)</f>
        <v>36.74</v>
      </c>
      <c r="F973" s="7">
        <f t="shared" si="3"/>
        <v>0.36363636363636354</v>
      </c>
      <c r="G973" s="9">
        <v>50.1</v>
      </c>
      <c r="H973" s="9">
        <v>47.4</v>
      </c>
      <c r="I973" s="9">
        <v>47</v>
      </c>
      <c r="J973" s="9">
        <v>47.8</v>
      </c>
      <c r="K973" s="9">
        <v>48.7</v>
      </c>
      <c r="L973" s="9">
        <v>46.9</v>
      </c>
      <c r="M973" s="9"/>
      <c r="N973" s="9"/>
      <c r="O973" s="9"/>
      <c r="P973" s="9"/>
      <c r="Q973" s="9">
        <f ca="1">IFERROR(__xludf.DUMMYFUNCTION("GOOGLEFINANCE(C973,""changepct"")"),-0.53)</f>
        <v>-0.53</v>
      </c>
      <c r="R973" s="9"/>
      <c r="S973" s="9"/>
      <c r="T973" s="9"/>
      <c r="U973" s="9"/>
      <c r="V973" s="9"/>
      <c r="W973" s="9"/>
    </row>
    <row r="974" spans="1:23" ht="14.4">
      <c r="A974" s="3">
        <f>LOOKUP(D974,'AMFI DATA_2023H1'!B:C,'AMFI DATA_2023H1'!C:C)</f>
        <v>1413</v>
      </c>
      <c r="B974" s="4" t="s">
        <v>4058</v>
      </c>
      <c r="C974" s="4" t="s">
        <v>4059</v>
      </c>
      <c r="D974" s="5" t="s">
        <v>4060</v>
      </c>
      <c r="E974" s="5">
        <f>LOOKUP(D974,'AMFI DATA_2023H1'!B:D,'AMFI DATA_2023H1'!D:D)</f>
        <v>400.84</v>
      </c>
      <c r="F974" s="7">
        <f t="shared" si="3"/>
        <v>0.19499051990819294</v>
      </c>
      <c r="G974" s="9">
        <v>479</v>
      </c>
      <c r="H974" s="9">
        <v>475</v>
      </c>
      <c r="I974" s="9">
        <v>480</v>
      </c>
      <c r="J974" s="9">
        <v>482</v>
      </c>
      <c r="K974" s="9">
        <v>488</v>
      </c>
      <c r="L974" s="9">
        <v>478</v>
      </c>
      <c r="M974" s="9"/>
      <c r="N974" s="9"/>
      <c r="O974" s="9"/>
      <c r="P974" s="9"/>
      <c r="Q974" s="9">
        <f ca="1">IFERROR(__xludf.DUMMYFUNCTION("GOOGLEFINANCE(C974,""changepct"")"),10.59)</f>
        <v>10.59</v>
      </c>
      <c r="R974" s="9"/>
      <c r="S974" s="9"/>
      <c r="T974" s="9"/>
      <c r="U974" s="9"/>
      <c r="V974" s="9"/>
      <c r="W974" s="9"/>
    </row>
    <row r="975" spans="1:23" ht="14.4">
      <c r="A975" s="3">
        <f>LOOKUP(D975,'AMFI DATA_2023H1'!B:C,'AMFI DATA_2023H1'!C:C)</f>
        <v>219</v>
      </c>
      <c r="B975" s="4" t="s">
        <v>693</v>
      </c>
      <c r="C975" s="4" t="s">
        <v>694</v>
      </c>
      <c r="D975" s="5" t="s">
        <v>695</v>
      </c>
      <c r="E975" s="5">
        <f>LOOKUP(D975,'AMFI DATA_2023H1'!B:D,'AMFI DATA_2023H1'!D:D)</f>
        <v>20270.96</v>
      </c>
      <c r="F975" s="7">
        <f t="shared" si="3"/>
        <v>0.52568008619226725</v>
      </c>
      <c r="G975" s="8">
        <v>30927</v>
      </c>
      <c r="H975" s="8">
        <v>29478</v>
      </c>
      <c r="I975" s="8">
        <v>29065</v>
      </c>
      <c r="J975" s="8">
        <v>28818</v>
      </c>
      <c r="K975" s="8">
        <v>28270</v>
      </c>
      <c r="L975" s="8">
        <v>28455</v>
      </c>
      <c r="M975" s="8"/>
      <c r="N975" s="8"/>
      <c r="O975" s="8"/>
      <c r="P975" s="8"/>
      <c r="Q975" s="9">
        <f ca="1">IFERROR(__xludf.DUMMYFUNCTION("GOOGLEFINANCE(C975,""changepct"")"),0.53)</f>
        <v>0.53</v>
      </c>
      <c r="R975" s="8"/>
      <c r="S975" s="8"/>
      <c r="T975" s="8"/>
      <c r="U975" s="8"/>
      <c r="V975" s="8"/>
      <c r="W975" s="8"/>
    </row>
    <row r="976" spans="1:23" ht="14.4">
      <c r="A976" s="3">
        <f>LOOKUP(D976,'AMFI DATA_2023H1'!B:C,'AMFI DATA_2023H1'!C:C)</f>
        <v>12</v>
      </c>
      <c r="B976" s="4" t="s">
        <v>37</v>
      </c>
      <c r="C976" s="4" t="s">
        <v>38</v>
      </c>
      <c r="D976" s="5" t="s">
        <v>39</v>
      </c>
      <c r="E976" s="5">
        <f>LOOKUP(D976,'AMFI DATA_2023H1'!B:D,'AMFI DATA_2023H1'!D:D)</f>
        <v>381651.79</v>
      </c>
      <c r="F976" s="7">
        <f t="shared" si="3"/>
        <v>0.42317949039358638</v>
      </c>
      <c r="G976" s="8">
        <v>543159</v>
      </c>
      <c r="H976" s="8">
        <v>527062</v>
      </c>
      <c r="I976" s="8">
        <v>522951</v>
      </c>
      <c r="J976" s="8">
        <v>518840</v>
      </c>
      <c r="K976" s="8">
        <v>493985</v>
      </c>
      <c r="L976" s="8">
        <v>501446</v>
      </c>
      <c r="M976" s="8"/>
      <c r="N976" s="8"/>
      <c r="O976" s="8"/>
      <c r="P976" s="8"/>
      <c r="Q976" s="9">
        <f ca="1">IFERROR(__xludf.DUMMYFUNCTION("GOOGLEFINANCE(C976,""changepct"")"),4.58)</f>
        <v>4.58</v>
      </c>
      <c r="R976" s="8"/>
      <c r="S976" s="8"/>
      <c r="T976" s="8"/>
      <c r="U976" s="8"/>
      <c r="V976" s="8"/>
      <c r="W976" s="8"/>
    </row>
    <row r="977" spans="1:23" ht="14.4">
      <c r="A977" s="3">
        <f>LOOKUP(D977,'AMFI DATA_2023H1'!B:C,'AMFI DATA_2023H1'!C:C)</f>
        <v>1060</v>
      </c>
      <c r="B977" s="4" t="s">
        <v>3233</v>
      </c>
      <c r="C977" s="4" t="s">
        <v>3234</v>
      </c>
      <c r="D977" s="5" t="s">
        <v>3235</v>
      </c>
      <c r="E977" s="5">
        <f>LOOKUP(D977,'AMFI DATA_2023H1'!B:D,'AMFI DATA_2023H1'!D:D)</f>
        <v>998.59</v>
      </c>
      <c r="F977" s="7">
        <f t="shared" si="3"/>
        <v>0.10956448592515433</v>
      </c>
      <c r="G977" s="8">
        <v>1108</v>
      </c>
      <c r="H977" s="8">
        <v>1105</v>
      </c>
      <c r="I977" s="8">
        <v>1109</v>
      </c>
      <c r="J977" s="8">
        <v>1102</v>
      </c>
      <c r="K977" s="8">
        <v>1107</v>
      </c>
      <c r="L977" s="8">
        <v>1112</v>
      </c>
      <c r="M977" s="8"/>
      <c r="N977" s="8"/>
      <c r="O977" s="8"/>
      <c r="P977" s="8"/>
      <c r="Q977" s="9">
        <f ca="1">IFERROR(__xludf.DUMMYFUNCTION("GOOGLEFINANCE(C977,""changepct"")"),0.44)</f>
        <v>0.44</v>
      </c>
      <c r="R977" s="8"/>
      <c r="S977" s="8"/>
      <c r="T977" s="8"/>
      <c r="U977" s="8"/>
      <c r="V977" s="8"/>
      <c r="W977" s="8"/>
    </row>
    <row r="978" spans="1:23" ht="14.4">
      <c r="A978" s="3">
        <f>LOOKUP(D978,'AMFI DATA_2023H1'!B:C,'AMFI DATA_2023H1'!C:C)</f>
        <v>1101</v>
      </c>
      <c r="B978" s="4" t="s">
        <v>3353</v>
      </c>
      <c r="C978" s="4" t="s">
        <v>3354</v>
      </c>
      <c r="D978" s="5" t="s">
        <v>3355</v>
      </c>
      <c r="E978" s="5">
        <f>LOOKUP(D978,'AMFI DATA_2023H1'!B:D,'AMFI DATA_2023H1'!D:D)</f>
        <v>868.35</v>
      </c>
      <c r="F978" s="7">
        <f t="shared" si="3"/>
        <v>0.14700293660390384</v>
      </c>
      <c r="G978" s="9">
        <v>996</v>
      </c>
      <c r="H978" s="9">
        <v>996</v>
      </c>
      <c r="I978" s="9">
        <v>965</v>
      </c>
      <c r="J978" s="9">
        <v>977</v>
      </c>
      <c r="K978" s="9">
        <v>985</v>
      </c>
      <c r="L978" s="9">
        <v>996</v>
      </c>
      <c r="M978" s="9"/>
      <c r="N978" s="9"/>
      <c r="O978" s="9"/>
      <c r="P978" s="9"/>
      <c r="Q978" s="9">
        <f ca="1">IFERROR(__xludf.DUMMYFUNCTION("GOOGLEFINANCE(C978,""changepct"")"),-0.68)</f>
        <v>-0.68</v>
      </c>
      <c r="R978" s="9"/>
      <c r="S978" s="9"/>
      <c r="T978" s="9"/>
      <c r="U978" s="9"/>
      <c r="V978" s="9"/>
      <c r="W978" s="9"/>
    </row>
    <row r="979" spans="1:23" ht="14.4">
      <c r="A979" s="3">
        <f>LOOKUP(D979,'AMFI DATA_2023H1'!B:C,'AMFI DATA_2023H1'!C:C)</f>
        <v>1178</v>
      </c>
      <c r="B979" s="4" t="s">
        <v>3362</v>
      </c>
      <c r="C979" s="4" t="s">
        <v>3363</v>
      </c>
      <c r="D979" s="5" t="s">
        <v>3364</v>
      </c>
      <c r="E979" s="5">
        <f>LOOKUP(D979,'AMFI DATA_2023H1'!B:D,'AMFI DATA_2023H1'!D:D)</f>
        <v>730.7</v>
      </c>
      <c r="F979" s="7">
        <f t="shared" si="3"/>
        <v>0.76269330778705346</v>
      </c>
      <c r="G979" s="8">
        <v>1288</v>
      </c>
      <c r="H979" s="8">
        <v>1225</v>
      </c>
      <c r="I979" s="8">
        <v>1234</v>
      </c>
      <c r="J979" s="8">
        <v>1241</v>
      </c>
      <c r="K979" s="8">
        <v>1248</v>
      </c>
      <c r="L979" s="8">
        <v>1242</v>
      </c>
      <c r="M979" s="8"/>
      <c r="N979" s="8"/>
      <c r="O979" s="8"/>
      <c r="P979" s="8"/>
      <c r="Q979" s="9">
        <f ca="1">IFERROR(__xludf.DUMMYFUNCTION("GOOGLEFINANCE(C979,""changepct"")"),-2.07)</f>
        <v>-2.0699999999999998</v>
      </c>
      <c r="R979" s="8"/>
      <c r="S979" s="8"/>
      <c r="T979" s="8"/>
      <c r="U979" s="8"/>
      <c r="V979" s="8"/>
      <c r="W979" s="8"/>
    </row>
    <row r="980" spans="1:23" ht="14.4">
      <c r="A980" s="3">
        <f>LOOKUP(D980,'AMFI DATA_2023H1'!B:C,'AMFI DATA_2023H1'!C:C)</f>
        <v>161</v>
      </c>
      <c r="B980" s="4" t="s">
        <v>420</v>
      </c>
      <c r="C980" s="4" t="s">
        <v>421</v>
      </c>
      <c r="D980" s="5" t="s">
        <v>422</v>
      </c>
      <c r="E980" s="5">
        <f>LOOKUP(D980,'AMFI DATA_2023H1'!B:D,'AMFI DATA_2023H1'!D:D)</f>
        <v>32821.410000000003</v>
      </c>
      <c r="F980" s="7">
        <f t="shared" si="3"/>
        <v>0.46593336483715952</v>
      </c>
      <c r="G980" s="8">
        <v>48114</v>
      </c>
      <c r="H980" s="8">
        <v>48158</v>
      </c>
      <c r="I980" s="8">
        <v>48784</v>
      </c>
      <c r="J980" s="8">
        <v>47534</v>
      </c>
      <c r="K980" s="8">
        <v>48503</v>
      </c>
      <c r="L980" s="8">
        <v>48784</v>
      </c>
      <c r="M980" s="8"/>
      <c r="N980" s="8"/>
      <c r="O980" s="8"/>
      <c r="P980" s="8"/>
      <c r="Q980" s="9">
        <f ca="1">IFERROR(__xludf.DUMMYFUNCTION("GOOGLEFINANCE(C980,""changepct"")"),7.02)</f>
        <v>7.02</v>
      </c>
      <c r="R980" s="8"/>
      <c r="S980" s="8"/>
      <c r="T980" s="8"/>
      <c r="U980" s="8"/>
      <c r="V980" s="8"/>
      <c r="W980" s="8"/>
    </row>
    <row r="981" spans="1:23" ht="14.4">
      <c r="A981" s="3">
        <f>LOOKUP(D981,'AMFI DATA_2023H1'!B:C,'AMFI DATA_2023H1'!C:C)</f>
        <v>161</v>
      </c>
      <c r="B981" s="4" t="s">
        <v>1878</v>
      </c>
      <c r="C981" s="4" t="s">
        <v>1879</v>
      </c>
      <c r="D981" s="5" t="s">
        <v>1880</v>
      </c>
      <c r="E981" s="5">
        <f>LOOKUP(D981,'AMFI DATA_2023H1'!B:D,'AMFI DATA_2023H1'!D:D)</f>
        <v>32821.410000000003</v>
      </c>
      <c r="F981" s="7">
        <f t="shared" si="3"/>
        <v>-0.84833070852227255</v>
      </c>
      <c r="G981" s="8">
        <v>4978</v>
      </c>
      <c r="H981" s="8">
        <v>4739</v>
      </c>
      <c r="I981" s="8">
        <v>4703</v>
      </c>
      <c r="J981" s="8">
        <v>4950</v>
      </c>
      <c r="K981" s="8">
        <v>5213</v>
      </c>
      <c r="L981" s="8">
        <v>5232</v>
      </c>
      <c r="M981" s="8"/>
      <c r="N981" s="8"/>
      <c r="O981" s="8"/>
      <c r="P981" s="8"/>
      <c r="Q981" s="9">
        <f ca="1">IFERROR(__xludf.DUMMYFUNCTION("GOOGLEFINANCE(C981,""changepct"")"),3.21)</f>
        <v>3.21</v>
      </c>
      <c r="R981" s="8"/>
      <c r="S981" s="8"/>
      <c r="T981" s="8"/>
      <c r="U981" s="8"/>
      <c r="V981" s="8"/>
      <c r="W981" s="8"/>
    </row>
    <row r="982" spans="1:23" ht="14.4">
      <c r="A982" s="3">
        <f>LOOKUP(D982,'AMFI DATA_2023H1'!B:C,'AMFI DATA_2023H1'!C:C)</f>
        <v>161</v>
      </c>
      <c r="B982" s="4" t="s">
        <v>642</v>
      </c>
      <c r="C982" s="4" t="s">
        <v>643</v>
      </c>
      <c r="D982" s="5" t="s">
        <v>644</v>
      </c>
      <c r="E982" s="5">
        <f>LOOKUP(D982,'AMFI DATA_2023H1'!B:D,'AMFI DATA_2023H1'!D:D)</f>
        <v>32821.410000000003</v>
      </c>
      <c r="F982" s="7">
        <f t="shared" si="3"/>
        <v>-7.0210572915667013E-2</v>
      </c>
      <c r="G982" s="8">
        <v>30517</v>
      </c>
      <c r="H982" s="8">
        <v>30229</v>
      </c>
      <c r="I982" s="8">
        <v>30492</v>
      </c>
      <c r="J982" s="8">
        <v>31149</v>
      </c>
      <c r="K982" s="8">
        <v>31614</v>
      </c>
      <c r="L982" s="8">
        <v>31136</v>
      </c>
      <c r="M982" s="8"/>
      <c r="N982" s="8"/>
      <c r="O982" s="8"/>
      <c r="P982" s="8"/>
      <c r="Q982" s="9">
        <f ca="1">IFERROR(__xludf.DUMMYFUNCTION("GOOGLEFINANCE(C982,""changepct"")"),2.88)</f>
        <v>2.88</v>
      </c>
      <c r="R982" s="8"/>
      <c r="S982" s="8"/>
      <c r="T982" s="8"/>
      <c r="U982" s="8"/>
      <c r="V982" s="8"/>
      <c r="W982" s="8"/>
    </row>
    <row r="983" spans="1:23" ht="14.4">
      <c r="A983" s="3">
        <f>LOOKUP(D983,'AMFI DATA_2023H1'!B:C,'AMFI DATA_2023H1'!C:C)</f>
        <v>1707</v>
      </c>
      <c r="B983" s="4" t="s">
        <v>4133</v>
      </c>
      <c r="C983" s="4" t="s">
        <v>4134</v>
      </c>
      <c r="D983" s="5" t="s">
        <v>4135</v>
      </c>
      <c r="E983" s="5">
        <f>LOOKUP(D983,'AMFI DATA_2023H1'!B:D,'AMFI DATA_2023H1'!D:D)</f>
        <v>238.62</v>
      </c>
      <c r="F983" s="7">
        <f t="shared" si="3"/>
        <v>1.6904702036711088</v>
      </c>
      <c r="G983" s="9">
        <v>642</v>
      </c>
      <c r="H983" s="9">
        <v>651</v>
      </c>
      <c r="I983" s="9">
        <v>662</v>
      </c>
      <c r="J983" s="9">
        <v>680</v>
      </c>
      <c r="K983" s="9">
        <v>688</v>
      </c>
      <c r="L983" s="9">
        <v>670</v>
      </c>
      <c r="M983" s="9"/>
      <c r="N983" s="9"/>
      <c r="O983" s="9"/>
      <c r="P983" s="9"/>
      <c r="Q983" s="9">
        <f ca="1">IFERROR(__xludf.DUMMYFUNCTION("GOOGLEFINANCE(C983,""changepct"")"),1.57)</f>
        <v>1.57</v>
      </c>
      <c r="R983" s="9"/>
      <c r="S983" s="9"/>
      <c r="T983" s="9"/>
      <c r="U983" s="9"/>
      <c r="V983" s="9"/>
      <c r="W983" s="9"/>
    </row>
    <row r="984" spans="1:23" ht="14.4">
      <c r="A984" s="3">
        <f>LOOKUP(D984,'AMFI DATA_2023H1'!B:C,'AMFI DATA_2023H1'!C:C)</f>
        <v>1707</v>
      </c>
      <c r="B984" s="4" t="s">
        <v>4172</v>
      </c>
      <c r="C984" s="4" t="s">
        <v>4173</v>
      </c>
      <c r="D984" s="5" t="s">
        <v>4174</v>
      </c>
      <c r="E984" s="5">
        <f>LOOKUP(D984,'AMFI DATA_2023H1'!B:D,'AMFI DATA_2023H1'!D:D)</f>
        <v>238.62</v>
      </c>
      <c r="F984" s="7">
        <f t="shared" si="3"/>
        <v>0.74754840331908468</v>
      </c>
      <c r="G984" s="9">
        <v>417</v>
      </c>
      <c r="H984" s="9">
        <v>428</v>
      </c>
      <c r="I984" s="9">
        <v>402</v>
      </c>
      <c r="J984" s="9">
        <v>418</v>
      </c>
      <c r="K984" s="9">
        <v>437</v>
      </c>
      <c r="L984" s="9">
        <v>428</v>
      </c>
      <c r="M984" s="9"/>
      <c r="N984" s="9"/>
      <c r="O984" s="9"/>
      <c r="P984" s="9"/>
      <c r="Q984" s="9">
        <f ca="1">IFERROR(__xludf.DUMMYFUNCTION("GOOGLEFINANCE(C984,""changepct"")"),2.95)</f>
        <v>2.95</v>
      </c>
      <c r="R984" s="9"/>
      <c r="S984" s="9"/>
      <c r="T984" s="9"/>
      <c r="U984" s="9"/>
      <c r="V984" s="9"/>
      <c r="W984" s="9"/>
    </row>
    <row r="985" spans="1:23" ht="14.4">
      <c r="A985" s="3">
        <f>LOOKUP(D985,'AMFI DATA_2023H1'!B:C,'AMFI DATA_2023H1'!C:C)</f>
        <v>1951</v>
      </c>
      <c r="B985" s="4" t="s">
        <v>4559</v>
      </c>
      <c r="C985" s="4" t="s">
        <v>4560</v>
      </c>
      <c r="D985" s="5" t="s">
        <v>4561</v>
      </c>
      <c r="E985" s="5">
        <f>LOOKUP(D985,'AMFI DATA_2023H1'!B:D,'AMFI DATA_2023H1'!D:D)</f>
        <v>154.47</v>
      </c>
      <c r="F985" s="7">
        <f t="shared" si="3"/>
        <v>0.63785848384799637</v>
      </c>
      <c r="G985" s="9">
        <v>253</v>
      </c>
      <c r="H985" s="9">
        <v>243</v>
      </c>
      <c r="I985" s="9">
        <v>255</v>
      </c>
      <c r="J985" s="9">
        <v>250</v>
      </c>
      <c r="K985" s="9">
        <v>254</v>
      </c>
      <c r="L985" s="9">
        <v>247</v>
      </c>
      <c r="M985" s="9"/>
      <c r="N985" s="9"/>
      <c r="O985" s="9"/>
      <c r="P985" s="9"/>
      <c r="Q985" s="9">
        <f ca="1">IFERROR(__xludf.DUMMYFUNCTION("GOOGLEFINANCE(C985,""changepct"")"),-0.42)</f>
        <v>-0.42</v>
      </c>
      <c r="R985" s="9"/>
      <c r="S985" s="9"/>
      <c r="T985" s="9"/>
      <c r="U985" s="9"/>
      <c r="V985" s="9"/>
      <c r="W985" s="9"/>
    </row>
    <row r="986" spans="1:23" ht="14.4">
      <c r="A986" s="3">
        <f>LOOKUP(D986,'AMFI DATA_2023H1'!B:C,'AMFI DATA_2023H1'!C:C)</f>
        <v>1983</v>
      </c>
      <c r="B986" s="4" t="s">
        <v>4778</v>
      </c>
      <c r="C986" s="4" t="s">
        <v>4779</v>
      </c>
      <c r="D986" s="5" t="s">
        <v>4780</v>
      </c>
      <c r="E986" s="5">
        <f>LOOKUP(D986,'AMFI DATA_2023H1'!B:D,'AMFI DATA_2023H1'!D:D)</f>
        <v>146.84</v>
      </c>
      <c r="F986" s="7">
        <f t="shared" si="3"/>
        <v>0.18496322527921549</v>
      </c>
      <c r="G986" s="9">
        <v>174</v>
      </c>
      <c r="H986" s="9">
        <v>174</v>
      </c>
      <c r="I986" s="9">
        <v>175</v>
      </c>
      <c r="J986" s="9">
        <v>175</v>
      </c>
      <c r="K986" s="9">
        <v>173</v>
      </c>
      <c r="L986" s="9">
        <v>173</v>
      </c>
      <c r="M986" s="9"/>
      <c r="N986" s="9"/>
      <c r="O986" s="9"/>
      <c r="P986" s="9"/>
      <c r="Q986" s="9">
        <f ca="1">IFERROR(__xludf.DUMMYFUNCTION("GOOGLEFINANCE(C986,""changepct"")"),-1.41)</f>
        <v>-1.41</v>
      </c>
      <c r="R986" s="9"/>
      <c r="S986" s="9"/>
      <c r="T986" s="9"/>
      <c r="U986" s="9"/>
      <c r="V986" s="9"/>
      <c r="W986" s="9"/>
    </row>
    <row r="987" spans="1:23" ht="14.4">
      <c r="A987" s="3">
        <f>LOOKUP(D987,'AMFI DATA_2023H1'!B:C,'AMFI DATA_2023H1'!C:C)</f>
        <v>1902</v>
      </c>
      <c r="B987" s="4" t="s">
        <v>4670</v>
      </c>
      <c r="C987" s="4" t="s">
        <v>4671</v>
      </c>
      <c r="D987" s="5" t="s">
        <v>4672</v>
      </c>
      <c r="E987" s="5">
        <f>LOOKUP(D987,'AMFI DATA_2023H1'!B:D,'AMFI DATA_2023H1'!D:D)</f>
        <v>165.46</v>
      </c>
      <c r="F987" s="7">
        <f t="shared" si="3"/>
        <v>0.32358273903058143</v>
      </c>
      <c r="G987" s="9">
        <v>219</v>
      </c>
      <c r="H987" s="9">
        <v>216</v>
      </c>
      <c r="I987" s="9">
        <v>219</v>
      </c>
      <c r="J987" s="9">
        <v>222</v>
      </c>
      <c r="K987" s="9">
        <v>224</v>
      </c>
      <c r="L987" s="9">
        <v>227</v>
      </c>
      <c r="M987" s="9"/>
      <c r="N987" s="9"/>
      <c r="O987" s="9"/>
      <c r="P987" s="9"/>
      <c r="Q987" s="9">
        <f ca="1">IFERROR(__xludf.DUMMYFUNCTION("GOOGLEFINANCE(C987,""changepct"")"),-2.25)</f>
        <v>-2.25</v>
      </c>
      <c r="R987" s="9"/>
      <c r="S987" s="9"/>
      <c r="T987" s="9"/>
      <c r="U987" s="9"/>
      <c r="V987" s="9"/>
      <c r="W987" s="9"/>
    </row>
    <row r="988" spans="1:23" ht="14.4">
      <c r="A988" s="3">
        <f>LOOKUP(D988,'AMFI DATA_2023H1'!B:C,'AMFI DATA_2023H1'!C:C)</f>
        <v>1542</v>
      </c>
      <c r="B988" s="4" t="s">
        <v>4382</v>
      </c>
      <c r="C988" s="4" t="s">
        <v>4383</v>
      </c>
      <c r="D988" s="5" t="s">
        <v>4384</v>
      </c>
      <c r="E988" s="5">
        <f>LOOKUP(D988,'AMFI DATA_2023H1'!B:D,'AMFI DATA_2023H1'!D:D)</f>
        <v>320.27999999999997</v>
      </c>
      <c r="F988" s="7">
        <f t="shared" si="3"/>
        <v>-1.9607843137254832E-2</v>
      </c>
      <c r="G988" s="9">
        <v>314</v>
      </c>
      <c r="H988" s="9">
        <v>326</v>
      </c>
      <c r="I988" s="9">
        <v>318</v>
      </c>
      <c r="J988" s="9">
        <v>327</v>
      </c>
      <c r="K988" s="9">
        <v>325</v>
      </c>
      <c r="L988" s="9">
        <v>325</v>
      </c>
      <c r="M988" s="9"/>
      <c r="N988" s="9"/>
      <c r="O988" s="9"/>
      <c r="P988" s="9"/>
      <c r="Q988" s="9">
        <f ca="1">IFERROR(__xludf.DUMMYFUNCTION("GOOGLEFINANCE(C988,""changepct"")"),-2.45)</f>
        <v>-2.4500000000000002</v>
      </c>
      <c r="R988" s="9"/>
      <c r="S988" s="9"/>
      <c r="T988" s="9"/>
      <c r="U988" s="9"/>
      <c r="V988" s="9"/>
      <c r="W988" s="9"/>
    </row>
    <row r="989" spans="1:23" ht="14.4">
      <c r="A989" s="3">
        <f>LOOKUP(D989,'AMFI DATA_2023H1'!B:C,'AMFI DATA_2023H1'!C:C)</f>
        <v>14</v>
      </c>
      <c r="B989" s="4" t="s">
        <v>1656</v>
      </c>
      <c r="C989" s="4" t="s">
        <v>1657</v>
      </c>
      <c r="D989" s="5" t="s">
        <v>1658</v>
      </c>
      <c r="E989" s="5">
        <f>LOOKUP(D989,'AMFI DATA_2023H1'!B:D,'AMFI DATA_2023H1'!D:D)</f>
        <v>312871.87</v>
      </c>
      <c r="F989" s="7">
        <f t="shared" si="3"/>
        <v>-0.97739649780595483</v>
      </c>
      <c r="G989" s="8">
        <v>7072</v>
      </c>
      <c r="H989" s="8">
        <v>7020</v>
      </c>
      <c r="I989" s="8">
        <v>6933</v>
      </c>
      <c r="J989" s="8">
        <v>6990</v>
      </c>
      <c r="K989" s="8">
        <v>7065</v>
      </c>
      <c r="L989" s="8">
        <v>6968</v>
      </c>
      <c r="M989" s="8"/>
      <c r="N989" s="8"/>
      <c r="O989" s="8"/>
      <c r="P989" s="8"/>
      <c r="Q989" s="9">
        <f ca="1">IFERROR(__xludf.DUMMYFUNCTION("GOOGLEFINANCE(C989,""changepct"")"),0.03)</f>
        <v>0.03</v>
      </c>
      <c r="R989" s="8"/>
      <c r="S989" s="8"/>
      <c r="T989" s="8"/>
      <c r="U989" s="8"/>
      <c r="V989" s="8"/>
      <c r="W989" s="8"/>
    </row>
    <row r="990" spans="1:23" ht="14.4">
      <c r="A990" s="3">
        <f>LOOKUP(D990,'AMFI DATA_2023H1'!B:C,'AMFI DATA_2023H1'!C:C)</f>
        <v>37</v>
      </c>
      <c r="B990" s="4" t="s">
        <v>111</v>
      </c>
      <c r="C990" s="4" t="s">
        <v>112</v>
      </c>
      <c r="D990" s="5" t="s">
        <v>113</v>
      </c>
      <c r="E990" s="5">
        <f>LOOKUP(D990,'AMFI DATA_2023H1'!B:D,'AMFI DATA_2023H1'!D:D)</f>
        <v>137613.41</v>
      </c>
      <c r="F990" s="7">
        <f t="shared" si="3"/>
        <v>0.34721608889715028</v>
      </c>
      <c r="G990" s="8">
        <v>185395</v>
      </c>
      <c r="H990" s="8">
        <v>186175</v>
      </c>
      <c r="I990" s="8">
        <v>184794</v>
      </c>
      <c r="J990" s="8">
        <v>186011</v>
      </c>
      <c r="K990" s="8">
        <v>185322</v>
      </c>
      <c r="L990" s="8">
        <v>184329</v>
      </c>
      <c r="M990" s="8"/>
      <c r="N990" s="8"/>
      <c r="O990" s="8"/>
      <c r="P990" s="8"/>
      <c r="Q990" s="9">
        <f ca="1">IFERROR(__xludf.DUMMYFUNCTION("GOOGLEFINANCE(C990,""changepct"")"),0.98)</f>
        <v>0.98</v>
      </c>
      <c r="R990" s="8"/>
      <c r="S990" s="8"/>
      <c r="T990" s="8"/>
      <c r="U990" s="8"/>
      <c r="V990" s="8"/>
      <c r="W990" s="8"/>
    </row>
    <row r="991" spans="1:23" ht="14.4">
      <c r="A991" s="3">
        <f>LOOKUP(D991,'AMFI DATA_2023H1'!B:C,'AMFI DATA_2023H1'!C:C)</f>
        <v>803</v>
      </c>
      <c r="B991" s="4" t="s">
        <v>2447</v>
      </c>
      <c r="C991" s="4" t="s">
        <v>2448</v>
      </c>
      <c r="D991" s="5" t="s">
        <v>2449</v>
      </c>
      <c r="E991" s="5">
        <f>LOOKUP(D991,'AMFI DATA_2023H1'!B:D,'AMFI DATA_2023H1'!D:D)</f>
        <v>1923.04</v>
      </c>
      <c r="F991" s="7">
        <f t="shared" si="3"/>
        <v>0.3697062983609285</v>
      </c>
      <c r="G991" s="8">
        <v>2634</v>
      </c>
      <c r="H991" s="8">
        <v>2625</v>
      </c>
      <c r="I991" s="8">
        <v>2632</v>
      </c>
      <c r="J991" s="8">
        <v>2625</v>
      </c>
      <c r="K991" s="8">
        <v>2654</v>
      </c>
      <c r="L991" s="8">
        <v>2619</v>
      </c>
      <c r="M991" s="8"/>
      <c r="N991" s="8"/>
      <c r="O991" s="8"/>
      <c r="P991" s="8"/>
      <c r="Q991" s="9">
        <f ca="1">IFERROR(__xludf.DUMMYFUNCTION("GOOGLEFINANCE(C991,""changepct"")"),-1.07)</f>
        <v>-1.07</v>
      </c>
      <c r="R991" s="8"/>
      <c r="S991" s="8"/>
      <c r="T991" s="8"/>
      <c r="U991" s="8"/>
      <c r="V991" s="8"/>
      <c r="W991" s="8"/>
    </row>
    <row r="992" spans="1:23" ht="14.4">
      <c r="A992" s="3">
        <f>LOOKUP(D992,'AMFI DATA_2023H1'!B:C,'AMFI DATA_2023H1'!C:C)</f>
        <v>845</v>
      </c>
      <c r="B992" s="4" t="s">
        <v>2606</v>
      </c>
      <c r="C992" s="4" t="s">
        <v>2607</v>
      </c>
      <c r="D992" s="5" t="s">
        <v>2608</v>
      </c>
      <c r="E992" s="5">
        <f>LOOKUP(D992,'AMFI DATA_2023H1'!B:D,'AMFI DATA_2023H1'!D:D)</f>
        <v>1732.8</v>
      </c>
      <c r="F992" s="7">
        <f t="shared" si="3"/>
        <v>0.33771929824561409</v>
      </c>
      <c r="G992" s="8">
        <v>2318</v>
      </c>
      <c r="H992" s="8">
        <v>2309</v>
      </c>
      <c r="I992" s="8">
        <v>2370</v>
      </c>
      <c r="J992" s="8">
        <v>2324</v>
      </c>
      <c r="K992" s="8">
        <v>2336</v>
      </c>
      <c r="L992" s="8">
        <v>2334</v>
      </c>
      <c r="M992" s="8"/>
      <c r="N992" s="8"/>
      <c r="O992" s="8"/>
      <c r="P992" s="8"/>
      <c r="Q992" s="9">
        <f ca="1">IFERROR(__xludf.DUMMYFUNCTION("GOOGLEFINANCE(C992,""changepct"")"),0.85)</f>
        <v>0.85</v>
      </c>
      <c r="R992" s="8"/>
      <c r="S992" s="8"/>
      <c r="T992" s="8"/>
      <c r="U992" s="8"/>
      <c r="V992" s="8"/>
      <c r="W992" s="8"/>
    </row>
    <row r="993" spans="1:23" ht="14.4">
      <c r="A993" s="3">
        <f>LOOKUP(D993,'AMFI DATA_2023H1'!B:C,'AMFI DATA_2023H1'!C:C)</f>
        <v>157</v>
      </c>
      <c r="B993" s="4" t="s">
        <v>390</v>
      </c>
      <c r="C993" s="4" t="s">
        <v>391</v>
      </c>
      <c r="D993" s="5" t="s">
        <v>392</v>
      </c>
      <c r="E993" s="5">
        <f>LOOKUP(D993,'AMFI DATA_2023H1'!B:D,'AMFI DATA_2023H1'!D:D)</f>
        <v>33373.42</v>
      </c>
      <c r="F993" s="7">
        <f t="shared" si="3"/>
        <v>0.79088628015948026</v>
      </c>
      <c r="G993" s="8">
        <v>59768</v>
      </c>
      <c r="H993" s="8">
        <v>60242</v>
      </c>
      <c r="I993" s="8">
        <v>60977</v>
      </c>
      <c r="J993" s="8">
        <v>58687</v>
      </c>
      <c r="K993" s="8">
        <v>58444</v>
      </c>
      <c r="L993" s="8">
        <v>57599</v>
      </c>
      <c r="M993" s="8"/>
      <c r="N993" s="8"/>
      <c r="O993" s="8"/>
      <c r="P993" s="8"/>
      <c r="Q993" s="9">
        <f ca="1">IFERROR(__xludf.DUMMYFUNCTION("GOOGLEFINANCE(C993,""changepct"")"),-1.1)</f>
        <v>-1.1000000000000001</v>
      </c>
      <c r="R993" s="8"/>
      <c r="S993" s="8"/>
      <c r="T993" s="8"/>
      <c r="U993" s="8"/>
      <c r="V993" s="8"/>
      <c r="W993" s="8"/>
    </row>
    <row r="994" spans="1:23" ht="14.4">
      <c r="A994" s="3">
        <f>LOOKUP(D994,'AMFI DATA_2023H1'!B:C,'AMFI DATA_2023H1'!C:C)</f>
        <v>557</v>
      </c>
      <c r="B994" s="4" t="s">
        <v>1941</v>
      </c>
      <c r="C994" s="4" t="s">
        <v>1942</v>
      </c>
      <c r="D994" s="5" t="s">
        <v>1943</v>
      </c>
      <c r="E994" s="5">
        <f>LOOKUP(D994,'AMFI DATA_2023H1'!B:D,'AMFI DATA_2023H1'!D:D)</f>
        <v>4247.07</v>
      </c>
      <c r="F994" s="7">
        <f t="shared" si="3"/>
        <v>-7.8894390721132357E-2</v>
      </c>
      <c r="G994" s="8">
        <v>3912</v>
      </c>
      <c r="H994" s="8">
        <v>3921</v>
      </c>
      <c r="I994" s="8">
        <v>3925</v>
      </c>
      <c r="J994" s="8">
        <v>3947</v>
      </c>
      <c r="K994" s="8">
        <v>4012</v>
      </c>
      <c r="L994" s="8">
        <v>3975</v>
      </c>
      <c r="M994" s="8"/>
      <c r="N994" s="8"/>
      <c r="O994" s="8"/>
      <c r="P994" s="8"/>
      <c r="Q994" s="9">
        <f ca="1">IFERROR(__xludf.DUMMYFUNCTION("GOOGLEFINANCE(C994,""changepct"")"),-0.05)</f>
        <v>-0.05</v>
      </c>
      <c r="R994" s="8"/>
      <c r="S994" s="8"/>
      <c r="T994" s="8"/>
      <c r="U994" s="8"/>
      <c r="V994" s="8"/>
      <c r="W994" s="8"/>
    </row>
    <row r="995" spans="1:23" ht="14.4">
      <c r="A995" s="3">
        <f>LOOKUP(D995,'AMFI DATA_2023H1'!B:C,'AMFI DATA_2023H1'!C:C)</f>
        <v>1529</v>
      </c>
      <c r="B995" s="4" t="s">
        <v>4226</v>
      </c>
      <c r="C995" s="4" t="s">
        <v>4227</v>
      </c>
      <c r="D995" s="5" t="s">
        <v>4228</v>
      </c>
      <c r="E995" s="5">
        <f>LOOKUP(D995,'AMFI DATA_2023H1'!B:D,'AMFI DATA_2023H1'!D:D)</f>
        <v>327.12</v>
      </c>
      <c r="F995" s="7">
        <f t="shared" si="3"/>
        <v>0.24113475177304955</v>
      </c>
      <c r="G995" s="9">
        <v>406</v>
      </c>
      <c r="H995" s="9">
        <v>412</v>
      </c>
      <c r="I995" s="9">
        <v>401</v>
      </c>
      <c r="J995" s="9">
        <v>406</v>
      </c>
      <c r="K995" s="9">
        <v>420</v>
      </c>
      <c r="L995" s="9">
        <v>404</v>
      </c>
      <c r="M995" s="9"/>
      <c r="N995" s="9"/>
      <c r="O995" s="9"/>
      <c r="P995" s="9"/>
      <c r="Q995" s="9">
        <f ca="1">IFERROR(__xludf.DUMMYFUNCTION("GOOGLEFINANCE(C995,""changepct"")"),-0.17)</f>
        <v>-0.17</v>
      </c>
      <c r="R995" s="9"/>
      <c r="S995" s="9"/>
      <c r="T995" s="9"/>
      <c r="U995" s="9"/>
      <c r="V995" s="9"/>
      <c r="W995" s="9"/>
    </row>
    <row r="996" spans="1:23" ht="14.4">
      <c r="A996" s="3">
        <f>LOOKUP(D996,'AMFI DATA_2023H1'!B:C,'AMFI DATA_2023H1'!C:C)</f>
        <v>3501</v>
      </c>
      <c r="B996" s="4" t="s">
        <v>5710</v>
      </c>
      <c r="C996" s="4" t="s">
        <v>5711</v>
      </c>
      <c r="D996" s="5" t="s">
        <v>5712</v>
      </c>
      <c r="E996" s="5">
        <f>LOOKUP(D996,'AMFI DATA_2023H1'!B:D,'AMFI DATA_2023H1'!D:D)</f>
        <v>14.1</v>
      </c>
      <c r="F996" s="7">
        <f t="shared" si="3"/>
        <v>0.44680851063829774</v>
      </c>
      <c r="G996" s="9">
        <v>20.399999999999999</v>
      </c>
      <c r="H996" s="9">
        <v>20.9</v>
      </c>
      <c r="I996" s="9">
        <v>21.5</v>
      </c>
      <c r="J996" s="9">
        <v>21.5</v>
      </c>
      <c r="K996" s="9">
        <v>20.5</v>
      </c>
      <c r="L996" s="9">
        <v>21.5</v>
      </c>
      <c r="M996" s="9"/>
      <c r="N996" s="9"/>
      <c r="O996" s="9"/>
      <c r="P996" s="9"/>
      <c r="Q996" s="9">
        <f ca="1">IFERROR(__xludf.DUMMYFUNCTION("GOOGLEFINANCE(C996,""changepct"")"),0)</f>
        <v>0</v>
      </c>
      <c r="R996" s="9"/>
      <c r="S996" s="9"/>
      <c r="T996" s="9"/>
      <c r="U996" s="9"/>
      <c r="V996" s="9"/>
      <c r="W996" s="9"/>
    </row>
    <row r="997" spans="1:23" ht="14.4">
      <c r="A997" s="3">
        <f>LOOKUP(D997,'AMFI DATA_2023H1'!B:C,'AMFI DATA_2023H1'!C:C)</f>
        <v>1159</v>
      </c>
      <c r="B997" s="4" t="s">
        <v>3380</v>
      </c>
      <c r="C997" s="4" t="s">
        <v>3381</v>
      </c>
      <c r="D997" s="5" t="s">
        <v>3382</v>
      </c>
      <c r="E997" s="5">
        <f>LOOKUP(D997,'AMFI DATA_2023H1'!B:D,'AMFI DATA_2023H1'!D:D)</f>
        <v>775.45</v>
      </c>
      <c r="F997" s="7">
        <f t="shared" si="3"/>
        <v>0.15803726868270029</v>
      </c>
      <c r="G997" s="8">
        <v>898</v>
      </c>
      <c r="H997" s="8">
        <v>1044</v>
      </c>
      <c r="I997" s="8">
        <v>1047</v>
      </c>
      <c r="J997" s="8">
        <v>983</v>
      </c>
      <c r="K997" s="8">
        <v>985</v>
      </c>
      <c r="L997" s="8">
        <v>1016</v>
      </c>
      <c r="M997" s="8"/>
      <c r="N997" s="8"/>
      <c r="O997" s="8"/>
      <c r="P997" s="8"/>
      <c r="Q997" s="9">
        <f ca="1">IFERROR(__xludf.DUMMYFUNCTION("GOOGLEFINANCE(C997,""changepct"")"),1.28)</f>
        <v>1.28</v>
      </c>
      <c r="R997" s="8"/>
      <c r="S997" s="8"/>
      <c r="T997" s="8"/>
      <c r="U997" s="8"/>
      <c r="V997" s="8"/>
      <c r="W997" s="8"/>
    </row>
    <row r="998" spans="1:23" ht="14.4">
      <c r="A998" s="3">
        <f>LOOKUP(D998,'AMFI DATA_2023H1'!B:C,'AMFI DATA_2023H1'!C:C)</f>
        <v>1589</v>
      </c>
      <c r="B998" s="4" t="s">
        <v>3890</v>
      </c>
      <c r="C998" s="4" t="s">
        <v>3891</v>
      </c>
      <c r="D998" s="5" t="s">
        <v>3892</v>
      </c>
      <c r="E998" s="5">
        <f>LOOKUP(D998,'AMFI DATA_2023H1'!B:D,'AMFI DATA_2023H1'!D:D)</f>
        <v>292.73</v>
      </c>
      <c r="F998" s="7">
        <f t="shared" si="3"/>
        <v>1.5484234618932122</v>
      </c>
      <c r="G998" s="9">
        <v>746</v>
      </c>
      <c r="H998" s="9">
        <v>765</v>
      </c>
      <c r="I998" s="9">
        <v>729</v>
      </c>
      <c r="J998" s="9">
        <v>705</v>
      </c>
      <c r="K998" s="9">
        <v>709</v>
      </c>
      <c r="L998" s="9">
        <v>706</v>
      </c>
      <c r="M998" s="9"/>
      <c r="N998" s="9"/>
      <c r="O998" s="9"/>
      <c r="P998" s="9"/>
      <c r="Q998" s="9">
        <f ca="1">IFERROR(__xludf.DUMMYFUNCTION("GOOGLEFINANCE(C998,""changepct"")"),-1.32)</f>
        <v>-1.32</v>
      </c>
      <c r="R998" s="9"/>
      <c r="S998" s="9"/>
      <c r="T998" s="9"/>
      <c r="U998" s="9"/>
      <c r="V998" s="9"/>
      <c r="W998" s="9"/>
    </row>
    <row r="999" spans="1:23" ht="14.4">
      <c r="A999" s="3">
        <f>LOOKUP(D999,'AMFI DATA_2023H1'!B:C,'AMFI DATA_2023H1'!C:C)</f>
        <v>1561</v>
      </c>
      <c r="B999" s="4" t="s">
        <v>4166</v>
      </c>
      <c r="C999" s="4" t="s">
        <v>4167</v>
      </c>
      <c r="D999" s="5" t="s">
        <v>4168</v>
      </c>
      <c r="E999" s="5">
        <f>LOOKUP(D999,'AMFI DATA_2023H1'!B:D,'AMFI DATA_2023H1'!D:D)</f>
        <v>309.01</v>
      </c>
      <c r="F999" s="7">
        <f t="shared" si="3"/>
        <v>1.0290605482023234</v>
      </c>
      <c r="G999" s="9">
        <v>627</v>
      </c>
      <c r="H999" s="9">
        <v>610</v>
      </c>
      <c r="I999" s="9">
        <v>623</v>
      </c>
      <c r="J999" s="9">
        <v>635</v>
      </c>
      <c r="K999" s="9">
        <v>635</v>
      </c>
      <c r="L999" s="9">
        <v>648</v>
      </c>
      <c r="M999" s="9"/>
      <c r="N999" s="9"/>
      <c r="O999" s="9"/>
      <c r="P999" s="9"/>
      <c r="Q999" s="9">
        <f ca="1">IFERROR(__xludf.DUMMYFUNCTION("GOOGLEFINANCE(C999,""changepct"")"),2.08)</f>
        <v>2.08</v>
      </c>
      <c r="R999" s="9"/>
      <c r="S999" s="9"/>
      <c r="T999" s="9"/>
      <c r="U999" s="9"/>
      <c r="V999" s="9"/>
      <c r="W999" s="9"/>
    </row>
    <row r="1000" spans="1:23" ht="14.4">
      <c r="A1000" s="3">
        <f>LOOKUP(D1000,'AMFI DATA_2023H1'!B:C,'AMFI DATA_2023H1'!C:C)</f>
        <v>105</v>
      </c>
      <c r="B1000" s="4" t="s">
        <v>255</v>
      </c>
      <c r="C1000" s="4" t="s">
        <v>256</v>
      </c>
      <c r="D1000" s="5" t="s">
        <v>257</v>
      </c>
      <c r="E1000" s="5">
        <f>LOOKUP(D1000,'AMFI DATA_2023H1'!B:D,'AMFI DATA_2023H1'!D:D)</f>
        <v>48506.9</v>
      </c>
      <c r="F1000" s="7">
        <f t="shared" si="3"/>
        <v>1.088218377179329</v>
      </c>
      <c r="G1000" s="8">
        <v>101293</v>
      </c>
      <c r="H1000" s="8">
        <v>98618</v>
      </c>
      <c r="I1000" s="8">
        <v>94901</v>
      </c>
      <c r="J1000" s="8">
        <v>93261</v>
      </c>
      <c r="K1000" s="8">
        <v>91838</v>
      </c>
      <c r="L1000" s="8">
        <v>90387</v>
      </c>
      <c r="M1000" s="8"/>
      <c r="N1000" s="8"/>
      <c r="O1000" s="8"/>
      <c r="P1000" s="8"/>
      <c r="Q1000" s="9">
        <f ca="1">IFERROR(__xludf.DUMMYFUNCTION("GOOGLEFINANCE(C1000,""changepct"")"),0.23)</f>
        <v>0.23</v>
      </c>
      <c r="R1000" s="8"/>
      <c r="S1000" s="8"/>
      <c r="T1000" s="8"/>
      <c r="U1000" s="8"/>
      <c r="V1000" s="8"/>
      <c r="W1000" s="8"/>
    </row>
    <row r="1001" spans="1:23" ht="14.4">
      <c r="A1001" s="3">
        <f>LOOKUP(D1001,'AMFI DATA_2023H1'!B:C,'AMFI DATA_2023H1'!C:C)</f>
        <v>2358</v>
      </c>
      <c r="B1001" s="4" t="s">
        <v>5287</v>
      </c>
      <c r="C1001" s="4" t="s">
        <v>5288</v>
      </c>
      <c r="D1001" s="5" t="s">
        <v>5289</v>
      </c>
      <c r="E1001" s="5">
        <f>LOOKUP(D1001,'AMFI DATA_2023H1'!B:D,'AMFI DATA_2023H1'!D:D)</f>
        <v>77.41</v>
      </c>
      <c r="F1001" s="7">
        <f t="shared" si="3"/>
        <v>0.33057744477457707</v>
      </c>
      <c r="G1001" s="9">
        <v>103</v>
      </c>
      <c r="H1001" s="9">
        <v>106</v>
      </c>
      <c r="I1001" s="9">
        <v>102</v>
      </c>
      <c r="J1001" s="9">
        <v>95.7</v>
      </c>
      <c r="K1001" s="9">
        <v>94.7</v>
      </c>
      <c r="L1001" s="9">
        <v>90.7</v>
      </c>
      <c r="M1001" s="9"/>
      <c r="N1001" s="9"/>
      <c r="O1001" s="9"/>
      <c r="P1001" s="9"/>
      <c r="Q1001" s="9">
        <f ca="1">IFERROR(__xludf.DUMMYFUNCTION("GOOGLEFINANCE(C1001,""changepct"")"),3.13)</f>
        <v>3.13</v>
      </c>
      <c r="R1001" s="9"/>
      <c r="S1001" s="9"/>
      <c r="T1001" s="9"/>
      <c r="U1001" s="9"/>
      <c r="V1001" s="9"/>
      <c r="W1001" s="9"/>
    </row>
    <row r="1002" spans="1:23" ht="14.4">
      <c r="A1002" s="3">
        <f>LOOKUP(D1002,'AMFI DATA_2023H1'!B:C,'AMFI DATA_2023H1'!C:C)</f>
        <v>2851</v>
      </c>
      <c r="B1002" s="4" t="s">
        <v>5506</v>
      </c>
      <c r="C1002" s="4" t="s">
        <v>5507</v>
      </c>
      <c r="D1002" s="5" t="s">
        <v>5508</v>
      </c>
      <c r="E1002" s="5">
        <f>LOOKUP(D1002,'AMFI DATA_2023H1'!B:D,'AMFI DATA_2023H1'!D:D)</f>
        <v>37.24</v>
      </c>
      <c r="F1002" s="7">
        <f t="shared" si="3"/>
        <v>0.44199785177228779</v>
      </c>
      <c r="G1002" s="9">
        <v>53.7</v>
      </c>
      <c r="H1002" s="9">
        <v>55.5</v>
      </c>
      <c r="I1002" s="9">
        <v>54.8</v>
      </c>
      <c r="J1002" s="9">
        <v>55.6</v>
      </c>
      <c r="K1002" s="9">
        <v>53</v>
      </c>
      <c r="L1002" s="9">
        <v>47.6</v>
      </c>
      <c r="M1002" s="9"/>
      <c r="N1002" s="9"/>
      <c r="O1002" s="9"/>
      <c r="P1002" s="9"/>
      <c r="Q1002" s="9">
        <f ca="1">IFERROR(__xludf.DUMMYFUNCTION("GOOGLEFINANCE(C1002,""changepct"")"),0.51)</f>
        <v>0.51</v>
      </c>
      <c r="R1002" s="9"/>
      <c r="S1002" s="9"/>
      <c r="T1002" s="9"/>
      <c r="U1002" s="9"/>
      <c r="V1002" s="9"/>
      <c r="W1002" s="9"/>
    </row>
    <row r="1003" spans="1:23" ht="14.4">
      <c r="A1003" s="3">
        <f>LOOKUP(D1003,'AMFI DATA_2023H1'!B:C,'AMFI DATA_2023H1'!C:C)</f>
        <v>2895</v>
      </c>
      <c r="B1003" s="4" t="s">
        <v>5491</v>
      </c>
      <c r="C1003" s="4" t="s">
        <v>5492</v>
      </c>
      <c r="D1003" s="5" t="s">
        <v>5493</v>
      </c>
      <c r="E1003" s="5">
        <f>LOOKUP(D1003,'AMFI DATA_2023H1'!B:D,'AMFI DATA_2023H1'!D:D)</f>
        <v>35.020000000000003</v>
      </c>
      <c r="F1003" s="7">
        <f t="shared" si="3"/>
        <v>0.47915476870359774</v>
      </c>
      <c r="G1003" s="9">
        <v>51.8</v>
      </c>
      <c r="H1003" s="9">
        <v>51.4</v>
      </c>
      <c r="I1003" s="9">
        <v>52.4</v>
      </c>
      <c r="J1003" s="9">
        <v>53.2</v>
      </c>
      <c r="K1003" s="9">
        <v>55.7</v>
      </c>
      <c r="L1003" s="9">
        <v>56.1</v>
      </c>
      <c r="M1003" s="9"/>
      <c r="N1003" s="9"/>
      <c r="O1003" s="9"/>
      <c r="P1003" s="9"/>
      <c r="Q1003" s="9">
        <f ca="1">IFERROR(__xludf.DUMMYFUNCTION("GOOGLEFINANCE(C1003,""changepct"")"),-2.67)</f>
        <v>-2.67</v>
      </c>
      <c r="R1003" s="9"/>
      <c r="S1003" s="9"/>
      <c r="T1003" s="9"/>
      <c r="U1003" s="9"/>
      <c r="V1003" s="9"/>
      <c r="W1003" s="9"/>
    </row>
    <row r="1004" spans="1:23" ht="14.4">
      <c r="A1004" s="3">
        <f>LOOKUP(D1004,'AMFI DATA_2023H1'!B:C,'AMFI DATA_2023H1'!C:C)</f>
        <v>685</v>
      </c>
      <c r="B1004" s="4" t="s">
        <v>2423</v>
      </c>
      <c r="C1004" s="4" t="s">
        <v>2424</v>
      </c>
      <c r="D1004" s="5" t="s">
        <v>2425</v>
      </c>
      <c r="E1004" s="5">
        <f>LOOKUP(D1004,'AMFI DATA_2023H1'!B:D,'AMFI DATA_2023H1'!D:D)</f>
        <v>2656.17</v>
      </c>
      <c r="F1004" s="7">
        <f t="shared" si="3"/>
        <v>-2.830014645146961E-2</v>
      </c>
      <c r="G1004" s="8">
        <v>2581</v>
      </c>
      <c r="H1004" s="8">
        <v>2591</v>
      </c>
      <c r="I1004" s="8">
        <v>2594</v>
      </c>
      <c r="J1004" s="8">
        <v>2588</v>
      </c>
      <c r="K1004" s="8">
        <v>2603</v>
      </c>
      <c r="L1004" s="8">
        <v>2595</v>
      </c>
      <c r="M1004" s="8"/>
      <c r="N1004" s="8"/>
      <c r="O1004" s="8"/>
      <c r="P1004" s="8"/>
      <c r="Q1004" s="9">
        <f ca="1">IFERROR(__xludf.DUMMYFUNCTION("GOOGLEFINANCE(C1004,""changepct"")"),-1.26)</f>
        <v>-1.26</v>
      </c>
      <c r="R1004" s="8"/>
      <c r="S1004" s="8"/>
      <c r="T1004" s="8"/>
      <c r="U1004" s="8"/>
      <c r="V1004" s="8"/>
      <c r="W1004" s="8"/>
    </row>
    <row r="1005" spans="1:23" ht="14.4">
      <c r="A1005" s="3">
        <f>LOOKUP(D1005,'AMFI DATA_2023H1'!B:C,'AMFI DATA_2023H1'!C:C)</f>
        <v>1033</v>
      </c>
      <c r="B1005" s="4" t="s">
        <v>3116</v>
      </c>
      <c r="C1005" s="4" t="s">
        <v>3117</v>
      </c>
      <c r="D1005" s="5" t="s">
        <v>3118</v>
      </c>
      <c r="E1005" s="5">
        <f>LOOKUP(D1005,'AMFI DATA_2023H1'!B:D,'AMFI DATA_2023H1'!D:D)</f>
        <v>1066.6199999999999</v>
      </c>
      <c r="F1005" s="7">
        <f t="shared" si="3"/>
        <v>0.74195121036545375</v>
      </c>
      <c r="G1005" s="8">
        <v>1858</v>
      </c>
      <c r="H1005" s="8">
        <v>1782</v>
      </c>
      <c r="I1005" s="8">
        <v>1767</v>
      </c>
      <c r="J1005" s="8">
        <v>1684</v>
      </c>
      <c r="K1005" s="8">
        <v>1732</v>
      </c>
      <c r="L1005" s="8">
        <v>1711</v>
      </c>
      <c r="M1005" s="8"/>
      <c r="N1005" s="8"/>
      <c r="O1005" s="8"/>
      <c r="P1005" s="8"/>
      <c r="Q1005" s="9">
        <f ca="1">IFERROR(__xludf.DUMMYFUNCTION("GOOGLEFINANCE(C1005,""changepct"")"),6.35)</f>
        <v>6.35</v>
      </c>
      <c r="R1005" s="8"/>
      <c r="S1005" s="8"/>
      <c r="T1005" s="8"/>
      <c r="U1005" s="8"/>
      <c r="V1005" s="8"/>
      <c r="W1005" s="8"/>
    </row>
    <row r="1006" spans="1:23" ht="14.4">
      <c r="A1006" s="3">
        <f>LOOKUP(D1006,'AMFI DATA_2023H1'!B:C,'AMFI DATA_2023H1'!C:C)</f>
        <v>1321</v>
      </c>
      <c r="B1006" s="4" t="s">
        <v>3497</v>
      </c>
      <c r="C1006" s="4" t="s">
        <v>3498</v>
      </c>
      <c r="D1006" s="5" t="s">
        <v>3499</v>
      </c>
      <c r="E1006" s="5">
        <f>LOOKUP(D1006,'AMFI DATA_2023H1'!B:D,'AMFI DATA_2023H1'!D:D)</f>
        <v>489.74</v>
      </c>
      <c r="F1006" s="7">
        <f t="shared" si="3"/>
        <v>0.98472658961898141</v>
      </c>
      <c r="G1006" s="9">
        <v>972</v>
      </c>
      <c r="H1006" s="9">
        <v>954</v>
      </c>
      <c r="I1006" s="9">
        <v>932</v>
      </c>
      <c r="J1006" s="9">
        <v>931</v>
      </c>
      <c r="K1006" s="9">
        <v>927</v>
      </c>
      <c r="L1006" s="9">
        <v>941</v>
      </c>
      <c r="M1006" s="9"/>
      <c r="N1006" s="9"/>
      <c r="O1006" s="9"/>
      <c r="P1006" s="9"/>
      <c r="Q1006" s="9">
        <f ca="1">IFERROR(__xludf.DUMMYFUNCTION("GOOGLEFINANCE(C1006,""changepct"")"),-1.53)</f>
        <v>-1.53</v>
      </c>
      <c r="R1006" s="9"/>
      <c r="S1006" s="9"/>
      <c r="T1006" s="9"/>
      <c r="U1006" s="9"/>
      <c r="V1006" s="9"/>
      <c r="W1006" s="9"/>
    </row>
    <row r="1007" spans="1:23" ht="14.4">
      <c r="A1007" s="3">
        <f>LOOKUP(D1007,'AMFI DATA_2023H1'!B:C,'AMFI DATA_2023H1'!C:C)</f>
        <v>2086</v>
      </c>
      <c r="B1007" s="4" t="s">
        <v>4673</v>
      </c>
      <c r="C1007" s="4" t="s">
        <v>4674</v>
      </c>
      <c r="D1007" s="5" t="s">
        <v>4675</v>
      </c>
      <c r="E1007" s="5">
        <f>LOOKUP(D1007,'AMFI DATA_2023H1'!B:D,'AMFI DATA_2023H1'!D:D)</f>
        <v>123.77</v>
      </c>
      <c r="F1007" s="7">
        <f t="shared" si="3"/>
        <v>0.91484204572998307</v>
      </c>
      <c r="G1007" s="9">
        <v>237</v>
      </c>
      <c r="H1007" s="9">
        <v>227</v>
      </c>
      <c r="I1007" s="9">
        <v>231</v>
      </c>
      <c r="J1007" s="9">
        <v>229</v>
      </c>
      <c r="K1007" s="9">
        <v>229</v>
      </c>
      <c r="L1007" s="9">
        <v>232</v>
      </c>
      <c r="M1007" s="9"/>
      <c r="N1007" s="9"/>
      <c r="O1007" s="9"/>
      <c r="P1007" s="9"/>
      <c r="Q1007" s="9">
        <f ca="1">IFERROR(__xludf.DUMMYFUNCTION("GOOGLEFINANCE(C1007,""changepct"")"),10.21)</f>
        <v>10.210000000000001</v>
      </c>
      <c r="R1007" s="9"/>
      <c r="S1007" s="9"/>
      <c r="T1007" s="9"/>
      <c r="U1007" s="9"/>
      <c r="V1007" s="9"/>
      <c r="W1007" s="9"/>
    </row>
    <row r="1008" spans="1:23" ht="14.4">
      <c r="A1008" s="3">
        <f>LOOKUP(D1008,'AMFI DATA_2023H1'!B:C,'AMFI DATA_2023H1'!C:C)</f>
        <v>1953</v>
      </c>
      <c r="B1008" s="4" t="s">
        <v>4655</v>
      </c>
      <c r="C1008" s="4" t="s">
        <v>4656</v>
      </c>
      <c r="D1008" s="5" t="s">
        <v>4657</v>
      </c>
      <c r="E1008" s="5">
        <f>LOOKUP(D1008,'AMFI DATA_2023H1'!B:D,'AMFI DATA_2023H1'!D:D)</f>
        <v>153.91999999999999</v>
      </c>
      <c r="F1008" s="7">
        <f t="shared" si="3"/>
        <v>0.39682952182952191</v>
      </c>
      <c r="G1008" s="9">
        <v>215</v>
      </c>
      <c r="H1008" s="9">
        <v>215</v>
      </c>
      <c r="I1008" s="9">
        <v>219</v>
      </c>
      <c r="J1008" s="9">
        <v>211</v>
      </c>
      <c r="K1008" s="9">
        <v>197</v>
      </c>
      <c r="L1008" s="9">
        <v>197</v>
      </c>
      <c r="M1008" s="9"/>
      <c r="N1008" s="9"/>
      <c r="O1008" s="9"/>
      <c r="P1008" s="9"/>
      <c r="Q1008" s="9">
        <f ca="1">IFERROR(__xludf.DUMMYFUNCTION("GOOGLEFINANCE(C1008,""changepct"")"),2.11)</f>
        <v>2.11</v>
      </c>
      <c r="R1008" s="9"/>
      <c r="S1008" s="9"/>
      <c r="T1008" s="9"/>
      <c r="U1008" s="9"/>
      <c r="V1008" s="9"/>
      <c r="W1008" s="9"/>
    </row>
    <row r="1009" spans="1:23" ht="14.4">
      <c r="A1009" s="3">
        <f>LOOKUP(D1009,'AMFI DATA_2023H1'!B:C,'AMFI DATA_2023H1'!C:C)</f>
        <v>1617</v>
      </c>
      <c r="B1009" s="4" t="s">
        <v>4637</v>
      </c>
      <c r="C1009" s="4" t="s">
        <v>4638</v>
      </c>
      <c r="D1009" s="5" t="s">
        <v>4639</v>
      </c>
      <c r="E1009" s="5">
        <f>LOOKUP(D1009,'AMFI DATA_2023H1'!B:D,'AMFI DATA_2023H1'!D:D)</f>
        <v>277.56</v>
      </c>
      <c r="F1009" s="7">
        <f t="shared" si="3"/>
        <v>0.21415189508574728</v>
      </c>
      <c r="G1009" s="9">
        <v>337</v>
      </c>
      <c r="H1009" s="9">
        <v>325</v>
      </c>
      <c r="I1009" s="9">
        <v>328</v>
      </c>
      <c r="J1009" s="9">
        <v>329</v>
      </c>
      <c r="K1009" s="9">
        <v>328</v>
      </c>
      <c r="L1009" s="9">
        <v>331</v>
      </c>
      <c r="M1009" s="9"/>
      <c r="N1009" s="9"/>
      <c r="O1009" s="9"/>
      <c r="P1009" s="9"/>
      <c r="Q1009" s="9">
        <f ca="1">IFERROR(__xludf.DUMMYFUNCTION("GOOGLEFINANCE(C1009,""changepct"")"),-1.58)</f>
        <v>-1.58</v>
      </c>
      <c r="R1009" s="9"/>
      <c r="S1009" s="9"/>
      <c r="T1009" s="9"/>
      <c r="U1009" s="9"/>
      <c r="V1009" s="9"/>
      <c r="W1009" s="9"/>
    </row>
    <row r="1010" spans="1:23" ht="14.4">
      <c r="A1010" s="3">
        <f>LOOKUP(D1010,'AMFI DATA_2023H1'!B:C,'AMFI DATA_2023H1'!C:C)</f>
        <v>2185</v>
      </c>
      <c r="B1010" s="4" t="s">
        <v>5063</v>
      </c>
      <c r="C1010" s="4" t="s">
        <v>5064</v>
      </c>
      <c r="D1010" s="5" t="s">
        <v>5065</v>
      </c>
      <c r="E1010" s="5">
        <f>LOOKUP(D1010,'AMFI DATA_2023H1'!B:D,'AMFI DATA_2023H1'!D:D)</f>
        <v>106.06</v>
      </c>
      <c r="F1010" s="7">
        <f t="shared" si="3"/>
        <v>0.30115029228738455</v>
      </c>
      <c r="G1010" s="9">
        <v>138</v>
      </c>
      <c r="H1010" s="9">
        <v>138</v>
      </c>
      <c r="I1010" s="9">
        <v>137</v>
      </c>
      <c r="J1010" s="9">
        <v>138</v>
      </c>
      <c r="K1010" s="9">
        <v>136</v>
      </c>
      <c r="L1010" s="9">
        <v>137</v>
      </c>
      <c r="M1010" s="9"/>
      <c r="N1010" s="9"/>
      <c r="O1010" s="9"/>
      <c r="P1010" s="9"/>
      <c r="Q1010" s="9">
        <f ca="1">IFERROR(__xludf.DUMMYFUNCTION("GOOGLEFINANCE(C1010,""changepct"")"),0.65)</f>
        <v>0.65</v>
      </c>
      <c r="R1010" s="9"/>
      <c r="S1010" s="9"/>
      <c r="T1010" s="9"/>
      <c r="U1010" s="9"/>
      <c r="V1010" s="9"/>
      <c r="W1010" s="9"/>
    </row>
    <row r="1011" spans="1:23" ht="14.4">
      <c r="A1011" s="3">
        <f>LOOKUP(D1011,'AMFI DATA_2023H1'!B:C,'AMFI DATA_2023H1'!C:C)</f>
        <v>355</v>
      </c>
      <c r="B1011" s="4" t="s">
        <v>1185</v>
      </c>
      <c r="C1011" s="4" t="s">
        <v>1186</v>
      </c>
      <c r="D1011" s="5" t="s">
        <v>1187</v>
      </c>
      <c r="E1011" s="5">
        <f>LOOKUP(D1011,'AMFI DATA_2023H1'!B:D,'AMFI DATA_2023H1'!D:D)</f>
        <v>9529.49</v>
      </c>
      <c r="F1011" s="7">
        <f t="shared" si="3"/>
        <v>0.24382312169906273</v>
      </c>
      <c r="G1011" s="8">
        <v>11853</v>
      </c>
      <c r="H1011" s="8">
        <v>11846</v>
      </c>
      <c r="I1011" s="8">
        <v>11797</v>
      </c>
      <c r="J1011" s="8">
        <v>11666</v>
      </c>
      <c r="K1011" s="8">
        <v>11755</v>
      </c>
      <c r="L1011" s="8">
        <v>11801</v>
      </c>
      <c r="M1011" s="8"/>
      <c r="N1011" s="8"/>
      <c r="O1011" s="8"/>
      <c r="P1011" s="8"/>
      <c r="Q1011" s="9">
        <f ca="1">IFERROR(__xludf.DUMMYFUNCTION("GOOGLEFINANCE(C1011,""changepct"")"),1.38)</f>
        <v>1.38</v>
      </c>
      <c r="R1011" s="8"/>
      <c r="S1011" s="8"/>
      <c r="T1011" s="8"/>
      <c r="U1011" s="8"/>
      <c r="V1011" s="8"/>
      <c r="W1011" s="8"/>
    </row>
    <row r="1012" spans="1:23" ht="14.4">
      <c r="A1012" s="3">
        <f>LOOKUP(D1012,'AMFI DATA_2023H1'!B:C,'AMFI DATA_2023H1'!C:C)</f>
        <v>949</v>
      </c>
      <c r="B1012" s="4" t="s">
        <v>2903</v>
      </c>
      <c r="C1012" s="4" t="s">
        <v>2904</v>
      </c>
      <c r="D1012" s="5" t="s">
        <v>2905</v>
      </c>
      <c r="E1012" s="5">
        <f>LOOKUP(D1012,'AMFI DATA_2023H1'!B:D,'AMFI DATA_2023H1'!D:D)</f>
        <v>1315.69</v>
      </c>
      <c r="F1012" s="7">
        <f t="shared" si="3"/>
        <v>0.59080026449999612</v>
      </c>
      <c r="G1012" s="8">
        <v>2093</v>
      </c>
      <c r="H1012" s="8">
        <v>2119</v>
      </c>
      <c r="I1012" s="8">
        <v>1991</v>
      </c>
      <c r="J1012" s="8">
        <v>2054</v>
      </c>
      <c r="K1012" s="8">
        <v>2090</v>
      </c>
      <c r="L1012" s="8">
        <v>2057</v>
      </c>
      <c r="M1012" s="8"/>
      <c r="N1012" s="8"/>
      <c r="O1012" s="8"/>
      <c r="P1012" s="8"/>
      <c r="Q1012" s="9">
        <f ca="1">IFERROR(__xludf.DUMMYFUNCTION("GOOGLEFINANCE(C1012,""changepct"")"),10.96)</f>
        <v>10.96</v>
      </c>
      <c r="R1012" s="8"/>
      <c r="S1012" s="8"/>
      <c r="T1012" s="8"/>
      <c r="U1012" s="8"/>
      <c r="V1012" s="8"/>
      <c r="W1012" s="8"/>
    </row>
    <row r="1013" spans="1:23" ht="14.4">
      <c r="A1013" s="3">
        <f>LOOKUP(D1013,'AMFI DATA_2023H1'!B:C,'AMFI DATA_2023H1'!C:C)</f>
        <v>490</v>
      </c>
      <c r="B1013" s="4" t="s">
        <v>1389</v>
      </c>
      <c r="C1013" s="4" t="s">
        <v>1390</v>
      </c>
      <c r="D1013" s="5" t="s">
        <v>1391</v>
      </c>
      <c r="E1013" s="5">
        <f>LOOKUP(D1013,'AMFI DATA_2023H1'!B:D,'AMFI DATA_2023H1'!D:D)</f>
        <v>5399</v>
      </c>
      <c r="F1013" s="7">
        <f t="shared" si="3"/>
        <v>0.54547138358955372</v>
      </c>
      <c r="G1013" s="8">
        <v>8344</v>
      </c>
      <c r="H1013" s="8">
        <v>8495</v>
      </c>
      <c r="I1013" s="8">
        <v>8509</v>
      </c>
      <c r="J1013" s="8">
        <v>8470</v>
      </c>
      <c r="K1013" s="8">
        <v>8594</v>
      </c>
      <c r="L1013" s="8">
        <v>8683</v>
      </c>
      <c r="M1013" s="8"/>
      <c r="N1013" s="8"/>
      <c r="O1013" s="8"/>
      <c r="P1013" s="8"/>
      <c r="Q1013" s="9">
        <f ca="1">IFERROR(__xludf.DUMMYFUNCTION("GOOGLEFINANCE(C1013,""changepct"")"),0.05)</f>
        <v>0.05</v>
      </c>
      <c r="R1013" s="8"/>
      <c r="S1013" s="8"/>
      <c r="T1013" s="8"/>
      <c r="U1013" s="8"/>
      <c r="V1013" s="8"/>
      <c r="W1013" s="8"/>
    </row>
    <row r="1014" spans="1:23" ht="14.4">
      <c r="A1014" s="3">
        <f>LOOKUP(D1014,'AMFI DATA_2023H1'!B:C,'AMFI DATA_2023H1'!C:C)</f>
        <v>505</v>
      </c>
      <c r="B1014" s="4" t="s">
        <v>1323</v>
      </c>
      <c r="C1014" s="4" t="s">
        <v>1324</v>
      </c>
      <c r="D1014" s="5" t="s">
        <v>1325</v>
      </c>
      <c r="E1014" s="5">
        <f>LOOKUP(D1014,'AMFI DATA_2023H1'!B:D,'AMFI DATA_2023H1'!D:D)</f>
        <v>5133.1899999999996</v>
      </c>
      <c r="F1014" s="7">
        <f t="shared" si="3"/>
        <v>1.3926642107539369</v>
      </c>
      <c r="G1014" s="8">
        <v>12282</v>
      </c>
      <c r="H1014" s="8">
        <v>12328</v>
      </c>
      <c r="I1014" s="8">
        <v>12328</v>
      </c>
      <c r="J1014" s="8">
        <v>12604</v>
      </c>
      <c r="K1014" s="8">
        <v>12424</v>
      </c>
      <c r="L1014" s="8">
        <v>12469</v>
      </c>
      <c r="M1014" s="8"/>
      <c r="N1014" s="8"/>
      <c r="O1014" s="8"/>
      <c r="P1014" s="8"/>
      <c r="Q1014" s="9">
        <f ca="1">IFERROR(__xludf.DUMMYFUNCTION("GOOGLEFINANCE(C1014,""changepct"")"),0.29)</f>
        <v>0.28999999999999998</v>
      </c>
      <c r="R1014" s="8"/>
      <c r="S1014" s="8"/>
      <c r="T1014" s="8"/>
      <c r="U1014" s="8"/>
      <c r="V1014" s="8"/>
      <c r="W1014" s="8"/>
    </row>
    <row r="1015" spans="1:23" ht="14.4">
      <c r="A1015" s="3">
        <f>LOOKUP(D1015,'AMFI DATA_2023H1'!B:C,'AMFI DATA_2023H1'!C:C)</f>
        <v>1746</v>
      </c>
      <c r="B1015" s="4" t="s">
        <v>4589</v>
      </c>
      <c r="C1015" s="4" t="s">
        <v>4590</v>
      </c>
      <c r="D1015" s="5" t="s">
        <v>4591</v>
      </c>
      <c r="E1015" s="5">
        <f>LOOKUP(D1015,'AMFI DATA_2023H1'!B:D,'AMFI DATA_2023H1'!D:D)</f>
        <v>216.56</v>
      </c>
      <c r="F1015" s="7">
        <f t="shared" si="3"/>
        <v>0.10823790173623937</v>
      </c>
      <c r="G1015" s="9">
        <v>240</v>
      </c>
      <c r="H1015" s="9">
        <v>236</v>
      </c>
      <c r="I1015" s="9">
        <v>233</v>
      </c>
      <c r="J1015" s="9">
        <v>231</v>
      </c>
      <c r="K1015" s="9">
        <v>234</v>
      </c>
      <c r="L1015" s="9">
        <v>253</v>
      </c>
      <c r="M1015" s="9"/>
      <c r="N1015" s="9"/>
      <c r="O1015" s="9"/>
      <c r="P1015" s="9"/>
      <c r="Q1015" s="9">
        <f ca="1">IFERROR(__xludf.DUMMYFUNCTION("GOOGLEFINANCE(C1015,""changepct"")"),-0.06)</f>
        <v>-0.06</v>
      </c>
      <c r="R1015" s="9"/>
      <c r="S1015" s="9"/>
      <c r="T1015" s="9"/>
      <c r="U1015" s="9"/>
      <c r="V1015" s="9"/>
      <c r="W1015" s="9"/>
    </row>
    <row r="1016" spans="1:23" ht="14.4">
      <c r="A1016" s="3">
        <f>LOOKUP(D1016,'AMFI DATA_2023H1'!B:C,'AMFI DATA_2023H1'!C:C)</f>
        <v>164</v>
      </c>
      <c r="B1016" s="4" t="s">
        <v>525</v>
      </c>
      <c r="C1016" s="4" t="s">
        <v>526</v>
      </c>
      <c r="D1016" s="5" t="s">
        <v>527</v>
      </c>
      <c r="E1016" s="5">
        <f>LOOKUP(D1016,'AMFI DATA_2023H1'!B:D,'AMFI DATA_2023H1'!D:D)</f>
        <v>32421.47</v>
      </c>
      <c r="F1016" s="7">
        <f t="shared" si="3"/>
        <v>4.859526727196517E-2</v>
      </c>
      <c r="G1016" s="8">
        <v>33997</v>
      </c>
      <c r="H1016" s="8">
        <v>34244</v>
      </c>
      <c r="I1016" s="8">
        <v>33849</v>
      </c>
      <c r="J1016" s="8">
        <v>34201</v>
      </c>
      <c r="K1016" s="8">
        <v>33429</v>
      </c>
      <c r="L1016" s="8">
        <v>33040</v>
      </c>
      <c r="M1016" s="8"/>
      <c r="N1016" s="8"/>
      <c r="O1016" s="8"/>
      <c r="P1016" s="8"/>
      <c r="Q1016" s="9">
        <f ca="1">IFERROR(__xludf.DUMMYFUNCTION("GOOGLEFINANCE(C1016,""changepct"")"),1.33)</f>
        <v>1.33</v>
      </c>
      <c r="R1016" s="8"/>
      <c r="S1016" s="8"/>
      <c r="T1016" s="8"/>
      <c r="U1016" s="8"/>
      <c r="V1016" s="8"/>
      <c r="W1016" s="8"/>
    </row>
    <row r="1017" spans="1:23" ht="14.4">
      <c r="A1017" s="3">
        <f>LOOKUP(D1017,'AMFI DATA_2023H1'!B:C,'AMFI DATA_2023H1'!C:C)</f>
        <v>32</v>
      </c>
      <c r="B1017" s="4" t="s">
        <v>93</v>
      </c>
      <c r="C1017" s="4" t="s">
        <v>94</v>
      </c>
      <c r="D1017" s="5" t="s">
        <v>95</v>
      </c>
      <c r="E1017" s="5">
        <f>LOOKUP(D1017,'AMFI DATA_2023H1'!B:D,'AMFI DATA_2023H1'!D:D)</f>
        <v>159795.85</v>
      </c>
      <c r="F1017" s="7">
        <f t="shared" si="3"/>
        <v>0.32410197135908092</v>
      </c>
      <c r="G1017" s="8">
        <v>211586</v>
      </c>
      <c r="H1017" s="8">
        <v>214652</v>
      </c>
      <c r="I1017" s="8">
        <v>215703</v>
      </c>
      <c r="J1017" s="8">
        <v>209162</v>
      </c>
      <c r="K1017" s="8">
        <v>206636</v>
      </c>
      <c r="L1017" s="8">
        <v>203224</v>
      </c>
      <c r="M1017" s="8"/>
      <c r="N1017" s="8"/>
      <c r="O1017" s="8"/>
      <c r="P1017" s="8"/>
      <c r="Q1017" s="9">
        <f ca="1">IFERROR(__xludf.DUMMYFUNCTION("GOOGLEFINANCE(C1017,""changepct"")"),0.42)</f>
        <v>0.42</v>
      </c>
      <c r="R1017" s="8"/>
      <c r="S1017" s="8"/>
      <c r="T1017" s="8"/>
      <c r="U1017" s="8"/>
      <c r="V1017" s="8"/>
      <c r="W1017" s="8"/>
    </row>
    <row r="1018" spans="1:23" ht="14.4">
      <c r="A1018" s="3">
        <f>LOOKUP(D1018,'AMFI DATA_2023H1'!B:C,'AMFI DATA_2023H1'!C:C)</f>
        <v>1620</v>
      </c>
      <c r="B1018" s="4" t="s">
        <v>4334</v>
      </c>
      <c r="C1018" s="4" t="s">
        <v>4335</v>
      </c>
      <c r="D1018" s="5" t="s">
        <v>4336</v>
      </c>
      <c r="E1018" s="5">
        <f>LOOKUP(D1018,'AMFI DATA_2023H1'!B:D,'AMFI DATA_2023H1'!D:D)</f>
        <v>274.86</v>
      </c>
      <c r="F1018" s="7">
        <f t="shared" si="3"/>
        <v>0.33158698974023126</v>
      </c>
      <c r="G1018" s="9">
        <v>366</v>
      </c>
      <c r="H1018" s="9">
        <v>365</v>
      </c>
      <c r="I1018" s="9">
        <v>367</v>
      </c>
      <c r="J1018" s="9">
        <v>334</v>
      </c>
      <c r="K1018" s="9">
        <v>332</v>
      </c>
      <c r="L1018" s="9">
        <v>335</v>
      </c>
      <c r="M1018" s="9"/>
      <c r="N1018" s="9"/>
      <c r="O1018" s="9"/>
      <c r="P1018" s="9"/>
      <c r="Q1018" s="9">
        <f ca="1">IFERROR(__xludf.DUMMYFUNCTION("GOOGLEFINANCE(C1018,""changepct"")"),1.97)</f>
        <v>1.97</v>
      </c>
      <c r="R1018" s="9"/>
      <c r="S1018" s="9"/>
      <c r="T1018" s="9"/>
      <c r="U1018" s="9"/>
      <c r="V1018" s="9"/>
      <c r="W1018" s="9"/>
    </row>
    <row r="1019" spans="1:23" ht="14.4">
      <c r="A1019" s="3">
        <f>LOOKUP(D1019,'AMFI DATA_2023H1'!B:C,'AMFI DATA_2023H1'!C:C)</f>
        <v>475</v>
      </c>
      <c r="B1019" s="4" t="s">
        <v>1434</v>
      </c>
      <c r="C1019" s="4" t="s">
        <v>1435</v>
      </c>
      <c r="D1019" s="5" t="s">
        <v>1436</v>
      </c>
      <c r="E1019" s="5">
        <f>LOOKUP(D1019,'AMFI DATA_2023H1'!B:D,'AMFI DATA_2023H1'!D:D)</f>
        <v>5646.99</v>
      </c>
      <c r="F1019" s="7">
        <f t="shared" si="3"/>
        <v>0.38392311656298306</v>
      </c>
      <c r="G1019" s="8">
        <v>7815</v>
      </c>
      <c r="H1019" s="8">
        <v>7684</v>
      </c>
      <c r="I1019" s="8">
        <v>7593</v>
      </c>
      <c r="J1019" s="8">
        <v>7583</v>
      </c>
      <c r="K1019" s="8">
        <v>7343</v>
      </c>
      <c r="L1019" s="8">
        <v>7395</v>
      </c>
      <c r="M1019" s="8"/>
      <c r="N1019" s="8"/>
      <c r="O1019" s="8"/>
      <c r="P1019" s="8"/>
      <c r="Q1019" s="9">
        <f ca="1">IFERROR(__xludf.DUMMYFUNCTION("GOOGLEFINANCE(C1019,""changepct"")"),3.02)</f>
        <v>3.02</v>
      </c>
      <c r="R1019" s="8"/>
      <c r="S1019" s="8"/>
      <c r="T1019" s="8"/>
      <c r="U1019" s="8"/>
      <c r="V1019" s="8"/>
      <c r="W1019" s="8"/>
    </row>
    <row r="1020" spans="1:23" ht="14.4">
      <c r="A1020" s="3">
        <f>LOOKUP(D1020,'AMFI DATA_2023H1'!B:C,'AMFI DATA_2023H1'!C:C)</f>
        <v>460</v>
      </c>
      <c r="B1020" s="4" t="s">
        <v>1395</v>
      </c>
      <c r="C1020" s="4" t="s">
        <v>1396</v>
      </c>
      <c r="D1020" s="5" t="s">
        <v>1397</v>
      </c>
      <c r="E1020" s="5">
        <f>LOOKUP(D1020,'AMFI DATA_2023H1'!B:D,'AMFI DATA_2023H1'!D:D)</f>
        <v>5961.89</v>
      </c>
      <c r="F1020" s="7">
        <f t="shared" si="3"/>
        <v>0.41515526116718005</v>
      </c>
      <c r="G1020" s="8">
        <v>8437</v>
      </c>
      <c r="H1020" s="8">
        <v>8388</v>
      </c>
      <c r="I1020" s="8">
        <v>8394</v>
      </c>
      <c r="J1020" s="8">
        <v>8321</v>
      </c>
      <c r="K1020" s="8">
        <v>8374</v>
      </c>
      <c r="L1020" s="8">
        <v>8250</v>
      </c>
      <c r="M1020" s="8"/>
      <c r="N1020" s="8"/>
      <c r="O1020" s="8"/>
      <c r="P1020" s="8"/>
      <c r="Q1020" s="9">
        <f ca="1">IFERROR(__xludf.DUMMYFUNCTION("GOOGLEFINANCE(C1020,""changepct"")"),-2.4)</f>
        <v>-2.4</v>
      </c>
      <c r="R1020" s="8"/>
      <c r="S1020" s="8"/>
      <c r="T1020" s="8"/>
      <c r="U1020" s="8"/>
      <c r="V1020" s="8"/>
      <c r="W1020" s="8"/>
    </row>
    <row r="1021" spans="1:23" ht="14.4">
      <c r="A1021" s="3">
        <f>LOOKUP(D1021,'AMFI DATA_2023H1'!B:C,'AMFI DATA_2023H1'!C:C)</f>
        <v>673</v>
      </c>
      <c r="B1021" s="4" t="s">
        <v>2384</v>
      </c>
      <c r="C1021" s="4" t="s">
        <v>2385</v>
      </c>
      <c r="D1021" s="5" t="s">
        <v>2386</v>
      </c>
      <c r="E1021" s="5">
        <f>LOOKUP(D1021,'AMFI DATA_2023H1'!B:D,'AMFI DATA_2023H1'!D:D)</f>
        <v>2830.14</v>
      </c>
      <c r="F1021" s="7">
        <f t="shared" si="3"/>
        <v>-4.2895404467623299E-3</v>
      </c>
      <c r="G1021" s="8">
        <v>2818</v>
      </c>
      <c r="H1021" s="8">
        <v>2770</v>
      </c>
      <c r="I1021" s="8">
        <v>2754</v>
      </c>
      <c r="J1021" s="8">
        <v>2764</v>
      </c>
      <c r="K1021" s="8">
        <v>2774</v>
      </c>
      <c r="L1021" s="8">
        <v>2803</v>
      </c>
      <c r="M1021" s="8"/>
      <c r="N1021" s="8"/>
      <c r="O1021" s="8"/>
      <c r="P1021" s="8"/>
      <c r="Q1021" s="9">
        <f ca="1">IFERROR(__xludf.DUMMYFUNCTION("GOOGLEFINANCE(C1021,""changepct"")"),-1.03)</f>
        <v>-1.03</v>
      </c>
      <c r="R1021" s="8"/>
      <c r="S1021" s="8"/>
      <c r="T1021" s="8"/>
      <c r="U1021" s="8"/>
      <c r="V1021" s="8"/>
      <c r="W1021" s="8"/>
    </row>
    <row r="1022" spans="1:23" ht="14.4">
      <c r="A1022" s="3">
        <f>LOOKUP(D1022,'AMFI DATA_2023H1'!B:C,'AMFI DATA_2023H1'!C:C)</f>
        <v>678</v>
      </c>
      <c r="B1022" s="4" t="s">
        <v>2249</v>
      </c>
      <c r="C1022" s="4" t="s">
        <v>2250</v>
      </c>
      <c r="D1022" s="5" t="s">
        <v>2251</v>
      </c>
      <c r="E1022" s="5">
        <f>LOOKUP(D1022,'AMFI DATA_2023H1'!B:D,'AMFI DATA_2023H1'!D:D)</f>
        <v>2780.16</v>
      </c>
      <c r="F1022" s="7">
        <f t="shared" ref="F1022:F1276" si="4">G1022/E1022-1</f>
        <v>0.25856065837937381</v>
      </c>
      <c r="G1022" s="8">
        <v>3499</v>
      </c>
      <c r="H1022" s="8">
        <v>3471</v>
      </c>
      <c r="I1022" s="8">
        <v>3503</v>
      </c>
      <c r="J1022" s="8">
        <v>3602</v>
      </c>
      <c r="K1022" s="8">
        <v>3364</v>
      </c>
      <c r="L1022" s="8">
        <v>3350</v>
      </c>
      <c r="M1022" s="8"/>
      <c r="N1022" s="8"/>
      <c r="O1022" s="8"/>
      <c r="P1022" s="8"/>
      <c r="Q1022" s="9">
        <f ca="1">IFERROR(__xludf.DUMMYFUNCTION("GOOGLEFINANCE(C1022,""changepct"")"),-1.22)</f>
        <v>-1.22</v>
      </c>
      <c r="R1022" s="8"/>
      <c r="S1022" s="8"/>
      <c r="T1022" s="8"/>
      <c r="U1022" s="8"/>
      <c r="V1022" s="8"/>
      <c r="W1022" s="8"/>
    </row>
    <row r="1023" spans="1:23" ht="14.4">
      <c r="A1023" s="3">
        <f>LOOKUP(D1023,'AMFI DATA_2023H1'!B:C,'AMFI DATA_2023H1'!C:C)</f>
        <v>1312</v>
      </c>
      <c r="B1023" s="4" t="s">
        <v>3734</v>
      </c>
      <c r="C1023" s="4" t="s">
        <v>3735</v>
      </c>
      <c r="D1023" s="5" t="s">
        <v>3736</v>
      </c>
      <c r="E1023" s="5">
        <f>LOOKUP(D1023,'AMFI DATA_2023H1'!B:D,'AMFI DATA_2023H1'!D:D)</f>
        <v>498.9</v>
      </c>
      <c r="F1023" s="7">
        <f t="shared" si="4"/>
        <v>0.37903387452395276</v>
      </c>
      <c r="G1023" s="9">
        <v>688</v>
      </c>
      <c r="H1023" s="9">
        <v>687</v>
      </c>
      <c r="I1023" s="9">
        <v>682</v>
      </c>
      <c r="J1023" s="9">
        <v>685</v>
      </c>
      <c r="K1023" s="9">
        <v>684</v>
      </c>
      <c r="L1023" s="9">
        <v>688</v>
      </c>
      <c r="M1023" s="9"/>
      <c r="N1023" s="9"/>
      <c r="O1023" s="9"/>
      <c r="P1023" s="9"/>
      <c r="Q1023" s="9">
        <f ca="1">IFERROR(__xludf.DUMMYFUNCTION("GOOGLEFINANCE(C1023,""changepct"")"),-0.2)</f>
        <v>-0.2</v>
      </c>
      <c r="R1023" s="9"/>
      <c r="S1023" s="9"/>
      <c r="T1023" s="9"/>
      <c r="U1023" s="9"/>
      <c r="V1023" s="9"/>
      <c r="W1023" s="9"/>
    </row>
    <row r="1024" spans="1:23" ht="14.4">
      <c r="A1024" s="3">
        <f>LOOKUP(D1024,'AMFI DATA_2023H1'!B:C,'AMFI DATA_2023H1'!C:C)</f>
        <v>2573</v>
      </c>
      <c r="B1024" s="4" t="s">
        <v>5407</v>
      </c>
      <c r="C1024" s="4" t="s">
        <v>5408</v>
      </c>
      <c r="D1024" s="5" t="s">
        <v>5409</v>
      </c>
      <c r="E1024" s="5">
        <f>LOOKUP(D1024,'AMFI DATA_2023H1'!B:D,'AMFI DATA_2023H1'!D:D)</f>
        <v>55.57</v>
      </c>
      <c r="F1024" s="7">
        <f t="shared" si="4"/>
        <v>0.3334533021414432</v>
      </c>
      <c r="G1024" s="9">
        <v>74.099999999999994</v>
      </c>
      <c r="H1024" s="9">
        <v>67.900000000000006</v>
      </c>
      <c r="I1024" s="9">
        <v>67.8</v>
      </c>
      <c r="J1024" s="9">
        <v>68.8</v>
      </c>
      <c r="K1024" s="9">
        <v>68.400000000000006</v>
      </c>
      <c r="L1024" s="9">
        <v>67</v>
      </c>
      <c r="M1024" s="9"/>
      <c r="N1024" s="9"/>
      <c r="O1024" s="9"/>
      <c r="P1024" s="9"/>
      <c r="Q1024" s="9">
        <f ca="1">IFERROR(__xludf.DUMMYFUNCTION("GOOGLEFINANCE(C1024,""changepct"")"),7.26)</f>
        <v>7.26</v>
      </c>
      <c r="R1024" s="9"/>
      <c r="S1024" s="9"/>
      <c r="T1024" s="9"/>
      <c r="U1024" s="9"/>
      <c r="V1024" s="9"/>
      <c r="W1024" s="9"/>
    </row>
    <row r="1025" spans="1:23" ht="14.4">
      <c r="A1025" s="3">
        <f>LOOKUP(D1025,'AMFI DATA_2023H1'!B:C,'AMFI DATA_2023H1'!C:C)</f>
        <v>1243</v>
      </c>
      <c r="B1025" s="4" t="s">
        <v>3224</v>
      </c>
      <c r="C1025" s="4" t="s">
        <v>3225</v>
      </c>
      <c r="D1025" s="5" t="s">
        <v>3226</v>
      </c>
      <c r="E1025" s="5">
        <f>LOOKUP(D1025,'AMFI DATA_2023H1'!B:D,'AMFI DATA_2023H1'!D:D)</f>
        <v>616.62</v>
      </c>
      <c r="F1025" s="7">
        <f t="shared" si="4"/>
        <v>1.721287016314748</v>
      </c>
      <c r="G1025" s="8">
        <v>1678</v>
      </c>
      <c r="H1025" s="8">
        <v>1714</v>
      </c>
      <c r="I1025" s="8">
        <v>1604</v>
      </c>
      <c r="J1025" s="8">
        <v>1523</v>
      </c>
      <c r="K1025" s="8">
        <v>1511</v>
      </c>
      <c r="L1025" s="8">
        <v>1509</v>
      </c>
      <c r="M1025" s="8"/>
      <c r="N1025" s="8"/>
      <c r="O1025" s="8"/>
      <c r="P1025" s="8"/>
      <c r="Q1025" s="9">
        <f ca="1">IFERROR(__xludf.DUMMYFUNCTION("GOOGLEFINANCE(C1025,""changepct"")"),-0.2)</f>
        <v>-0.2</v>
      </c>
      <c r="R1025" s="8"/>
      <c r="S1025" s="8"/>
      <c r="T1025" s="8"/>
      <c r="U1025" s="8"/>
      <c r="V1025" s="8"/>
      <c r="W1025" s="8"/>
    </row>
    <row r="1026" spans="1:23" ht="14.4">
      <c r="A1026" s="3">
        <f>LOOKUP(D1026,'AMFI DATA_2023H1'!B:C,'AMFI DATA_2023H1'!C:C)</f>
        <v>642</v>
      </c>
      <c r="B1026" s="4" t="s">
        <v>1728</v>
      </c>
      <c r="C1026" s="4" t="s">
        <v>1729</v>
      </c>
      <c r="D1026" s="5" t="s">
        <v>1730</v>
      </c>
      <c r="E1026" s="5">
        <f>LOOKUP(D1026,'AMFI DATA_2023H1'!B:D,'AMFI DATA_2023H1'!D:D)</f>
        <v>3146.46</v>
      </c>
      <c r="F1026" s="7">
        <f t="shared" si="4"/>
        <v>1.5720968961944535</v>
      </c>
      <c r="G1026" s="8">
        <v>8093</v>
      </c>
      <c r="H1026" s="8">
        <v>8058</v>
      </c>
      <c r="I1026" s="8">
        <v>7713</v>
      </c>
      <c r="J1026" s="8">
        <v>7800</v>
      </c>
      <c r="K1026" s="8">
        <v>7646</v>
      </c>
      <c r="L1026" s="8">
        <v>7520</v>
      </c>
      <c r="M1026" s="8"/>
      <c r="N1026" s="8"/>
      <c r="O1026" s="8"/>
      <c r="P1026" s="8"/>
      <c r="Q1026" s="9">
        <f ca="1">IFERROR(__xludf.DUMMYFUNCTION("GOOGLEFINANCE(C1026,""changepct"")"),-1.23)</f>
        <v>-1.23</v>
      </c>
      <c r="R1026" s="8"/>
      <c r="S1026" s="8"/>
      <c r="T1026" s="8"/>
      <c r="U1026" s="8"/>
      <c r="V1026" s="8"/>
      <c r="W1026" s="8"/>
    </row>
    <row r="1027" spans="1:23" ht="14.4">
      <c r="A1027" s="3">
        <f>LOOKUP(D1027,'AMFI DATA_2023H1'!B:C,'AMFI DATA_2023H1'!C:C)</f>
        <v>2009</v>
      </c>
      <c r="B1027" s="4" t="s">
        <v>4850</v>
      </c>
      <c r="C1027" s="4" t="s">
        <v>4851</v>
      </c>
      <c r="D1027" s="5" t="s">
        <v>4852</v>
      </c>
      <c r="E1027" s="5">
        <f>LOOKUP(D1027,'AMFI DATA_2023H1'!B:D,'AMFI DATA_2023H1'!D:D)</f>
        <v>142.47</v>
      </c>
      <c r="F1027" s="7">
        <f t="shared" si="4"/>
        <v>0.15813855548536537</v>
      </c>
      <c r="G1027" s="9">
        <v>165</v>
      </c>
      <c r="H1027" s="9">
        <v>159</v>
      </c>
      <c r="I1027" s="9">
        <v>161</v>
      </c>
      <c r="J1027" s="9">
        <v>160</v>
      </c>
      <c r="K1027" s="9">
        <v>161</v>
      </c>
      <c r="L1027" s="9">
        <v>157</v>
      </c>
      <c r="M1027" s="9"/>
      <c r="N1027" s="9"/>
      <c r="O1027" s="9"/>
      <c r="P1027" s="9"/>
      <c r="Q1027" s="9">
        <f ca="1">IFERROR(__xludf.DUMMYFUNCTION("GOOGLEFINANCE(C1027,""changepct"")"),11.98)</f>
        <v>11.98</v>
      </c>
      <c r="R1027" s="9"/>
      <c r="S1027" s="9"/>
      <c r="T1027" s="9"/>
      <c r="U1027" s="9"/>
      <c r="V1027" s="9"/>
      <c r="W1027" s="9"/>
    </row>
    <row r="1028" spans="1:23" ht="14.4">
      <c r="A1028" s="3">
        <f>LOOKUP(D1028,'AMFI DATA_2023H1'!B:C,'AMFI DATA_2023H1'!C:C)</f>
        <v>2157</v>
      </c>
      <c r="B1028" s="4" t="s">
        <v>4907</v>
      </c>
      <c r="C1028" s="4" t="s">
        <v>4908</v>
      </c>
      <c r="D1028" s="5" t="s">
        <v>4909</v>
      </c>
      <c r="E1028" s="5">
        <f>LOOKUP(D1028,'AMFI DATA_2023H1'!B:D,'AMFI DATA_2023H1'!D:D)</f>
        <v>111.71</v>
      </c>
      <c r="F1028" s="7">
        <f t="shared" si="4"/>
        <v>0.69188076268910592</v>
      </c>
      <c r="G1028" s="9">
        <v>189</v>
      </c>
      <c r="H1028" s="9">
        <v>185</v>
      </c>
      <c r="I1028" s="9">
        <v>189</v>
      </c>
      <c r="J1028" s="9">
        <v>193</v>
      </c>
      <c r="K1028" s="9">
        <v>187</v>
      </c>
      <c r="L1028" s="9">
        <v>196</v>
      </c>
      <c r="M1028" s="9"/>
      <c r="N1028" s="9"/>
      <c r="O1028" s="9"/>
      <c r="P1028" s="9"/>
      <c r="Q1028" s="9">
        <f ca="1">IFERROR(__xludf.DUMMYFUNCTION("GOOGLEFINANCE(C1028,""changepct"")"),6.92)</f>
        <v>6.92</v>
      </c>
      <c r="R1028" s="9"/>
      <c r="S1028" s="9"/>
      <c r="T1028" s="9"/>
      <c r="U1028" s="9"/>
      <c r="V1028" s="9"/>
      <c r="W1028" s="9"/>
    </row>
    <row r="1029" spans="1:23" ht="14.4">
      <c r="A1029" s="3">
        <f>LOOKUP(D1029,'AMFI DATA_2023H1'!B:C,'AMFI DATA_2023H1'!C:C)</f>
        <v>1122</v>
      </c>
      <c r="B1029" s="4" t="s">
        <v>3470</v>
      </c>
      <c r="C1029" s="4" t="s">
        <v>3471</v>
      </c>
      <c r="D1029" s="5" t="s">
        <v>3472</v>
      </c>
      <c r="E1029" s="5">
        <f>LOOKUP(D1029,'AMFI DATA_2023H1'!B:D,'AMFI DATA_2023H1'!D:D)</f>
        <v>838.56</v>
      </c>
      <c r="F1029" s="7">
        <f t="shared" si="4"/>
        <v>2.5567639763403927E-2</v>
      </c>
      <c r="G1029" s="9">
        <v>860</v>
      </c>
      <c r="H1029" s="9">
        <v>860</v>
      </c>
      <c r="I1029" s="9">
        <v>869</v>
      </c>
      <c r="J1029" s="9">
        <v>875</v>
      </c>
      <c r="K1029" s="9">
        <v>871</v>
      </c>
      <c r="L1029" s="9">
        <v>858</v>
      </c>
      <c r="M1029" s="9"/>
      <c r="N1029" s="9"/>
      <c r="O1029" s="9"/>
      <c r="P1029" s="9"/>
      <c r="Q1029" s="9">
        <f ca="1">IFERROR(__xludf.DUMMYFUNCTION("GOOGLEFINANCE(C1029,""changepct"")"),2.72)</f>
        <v>2.72</v>
      </c>
      <c r="R1029" s="9"/>
      <c r="S1029" s="9"/>
      <c r="T1029" s="9"/>
      <c r="U1029" s="9"/>
      <c r="V1029" s="9"/>
      <c r="W1029" s="9"/>
    </row>
    <row r="1030" spans="1:23" ht="14.4">
      <c r="A1030" s="3">
        <f>LOOKUP(D1030,'AMFI DATA_2023H1'!B:C,'AMFI DATA_2023H1'!C:C)</f>
        <v>1654</v>
      </c>
      <c r="B1030" s="4" t="s">
        <v>4406</v>
      </c>
      <c r="C1030" s="4" t="s">
        <v>4407</v>
      </c>
      <c r="D1030" s="5" t="s">
        <v>4408</v>
      </c>
      <c r="E1030" s="5">
        <f>LOOKUP(D1030,'AMFI DATA_2023H1'!B:D,'AMFI DATA_2023H1'!D:D)</f>
        <v>261.25</v>
      </c>
      <c r="F1030" s="7">
        <f t="shared" si="4"/>
        <v>0.21339712918660281</v>
      </c>
      <c r="G1030" s="9">
        <v>317</v>
      </c>
      <c r="H1030" s="9">
        <v>311</v>
      </c>
      <c r="I1030" s="9">
        <v>315</v>
      </c>
      <c r="J1030" s="9">
        <v>321</v>
      </c>
      <c r="K1030" s="9">
        <v>321</v>
      </c>
      <c r="L1030" s="9">
        <v>294</v>
      </c>
      <c r="M1030" s="9"/>
      <c r="N1030" s="9"/>
      <c r="O1030" s="9"/>
      <c r="P1030" s="9"/>
      <c r="Q1030" s="9">
        <f ca="1">IFERROR(__xludf.DUMMYFUNCTION("GOOGLEFINANCE(C1030,""changepct"")"),36.7)</f>
        <v>36.700000000000003</v>
      </c>
      <c r="R1030" s="9"/>
      <c r="S1030" s="9"/>
      <c r="T1030" s="9"/>
      <c r="U1030" s="9"/>
      <c r="V1030" s="9"/>
      <c r="W1030" s="9"/>
    </row>
    <row r="1031" spans="1:23" ht="14.4">
      <c r="A1031" s="3">
        <f>LOOKUP(D1031,'AMFI DATA_2023H1'!B:C,'AMFI DATA_2023H1'!C:C)</f>
        <v>988</v>
      </c>
      <c r="B1031" s="4" t="s">
        <v>3242</v>
      </c>
      <c r="C1031" s="4" t="s">
        <v>3243</v>
      </c>
      <c r="D1031" s="5" t="s">
        <v>3244</v>
      </c>
      <c r="E1031" s="5">
        <f>LOOKUP(D1031,'AMFI DATA_2023H1'!B:D,'AMFI DATA_2023H1'!D:D)</f>
        <v>1213.82</v>
      </c>
      <c r="F1031" s="7">
        <f t="shared" si="4"/>
        <v>9.7362047091001935E-2</v>
      </c>
      <c r="G1031" s="8">
        <v>1332</v>
      </c>
      <c r="H1031" s="8">
        <v>1363</v>
      </c>
      <c r="I1031" s="8">
        <v>1391</v>
      </c>
      <c r="J1031" s="8">
        <v>1365</v>
      </c>
      <c r="K1031" s="8">
        <v>1391</v>
      </c>
      <c r="L1031" s="8">
        <v>1386</v>
      </c>
      <c r="M1031" s="8"/>
      <c r="N1031" s="8"/>
      <c r="O1031" s="8"/>
      <c r="P1031" s="8"/>
      <c r="Q1031" s="9">
        <f ca="1">IFERROR(__xludf.DUMMYFUNCTION("GOOGLEFINANCE(C1031,""changepct"")"),4.36)</f>
        <v>4.3600000000000003</v>
      </c>
      <c r="R1031" s="8"/>
      <c r="S1031" s="8"/>
      <c r="T1031" s="8"/>
      <c r="U1031" s="8"/>
      <c r="V1031" s="8"/>
      <c r="W1031" s="8"/>
    </row>
    <row r="1032" spans="1:23" ht="14.4">
      <c r="A1032" s="3">
        <f>LOOKUP(D1032,'AMFI DATA_2023H1'!B:C,'AMFI DATA_2023H1'!C:C)</f>
        <v>349</v>
      </c>
      <c r="B1032" s="4" t="s">
        <v>1065</v>
      </c>
      <c r="C1032" s="4" t="s">
        <v>1066</v>
      </c>
      <c r="D1032" s="5" t="s">
        <v>1067</v>
      </c>
      <c r="E1032" s="5">
        <f>LOOKUP(D1032,'AMFI DATA_2023H1'!B:D,'AMFI DATA_2023H1'!D:D)</f>
        <v>9901.92</v>
      </c>
      <c r="F1032" s="7">
        <f t="shared" si="4"/>
        <v>0.46385751450223789</v>
      </c>
      <c r="G1032" s="8">
        <v>14495</v>
      </c>
      <c r="H1032" s="8">
        <v>14554</v>
      </c>
      <c r="I1032" s="8">
        <v>14631</v>
      </c>
      <c r="J1032" s="8">
        <v>14516</v>
      </c>
      <c r="K1032" s="8">
        <v>14550</v>
      </c>
      <c r="L1032" s="8">
        <v>14952</v>
      </c>
      <c r="M1032" s="8"/>
      <c r="N1032" s="8"/>
      <c r="O1032" s="8"/>
      <c r="P1032" s="8"/>
      <c r="Q1032" s="9">
        <f ca="1">IFERROR(__xludf.DUMMYFUNCTION("GOOGLEFINANCE(C1032,""changepct"")"),3.77)</f>
        <v>3.77</v>
      </c>
      <c r="R1032" s="8"/>
      <c r="S1032" s="8"/>
      <c r="T1032" s="8"/>
      <c r="U1032" s="8"/>
      <c r="V1032" s="8"/>
      <c r="W1032" s="8"/>
    </row>
    <row r="1033" spans="1:23" ht="14.4">
      <c r="A1033" s="3">
        <f>LOOKUP(D1033,'AMFI DATA_2023H1'!B:C,'AMFI DATA_2023H1'!C:C)</f>
        <v>1151</v>
      </c>
      <c r="B1033" s="4" t="s">
        <v>3281</v>
      </c>
      <c r="C1033" s="4" t="s">
        <v>3282</v>
      </c>
      <c r="D1033" s="5" t="s">
        <v>3283</v>
      </c>
      <c r="E1033" s="5">
        <f>LOOKUP(D1033,'AMFI DATA_2023H1'!B:D,'AMFI DATA_2023H1'!D:D)</f>
        <v>786.2</v>
      </c>
      <c r="F1033" s="7">
        <f t="shared" si="4"/>
        <v>1.620198422793182</v>
      </c>
      <c r="G1033" s="8">
        <v>2060</v>
      </c>
      <c r="H1033" s="8">
        <v>2041</v>
      </c>
      <c r="I1033" s="8">
        <v>2025</v>
      </c>
      <c r="J1033" s="8">
        <v>1913</v>
      </c>
      <c r="K1033" s="8">
        <v>1896</v>
      </c>
      <c r="L1033" s="8">
        <v>1919</v>
      </c>
      <c r="M1033" s="8"/>
      <c r="N1033" s="8"/>
      <c r="O1033" s="8"/>
      <c r="P1033" s="8"/>
      <c r="Q1033" s="9">
        <f ca="1">IFERROR(__xludf.DUMMYFUNCTION("GOOGLEFINANCE(C1033,""changepct"")"),9.89)</f>
        <v>9.89</v>
      </c>
      <c r="R1033" s="8"/>
      <c r="S1033" s="8"/>
      <c r="T1033" s="8"/>
      <c r="U1033" s="8"/>
      <c r="V1033" s="8"/>
      <c r="W1033" s="8"/>
    </row>
    <row r="1034" spans="1:23" ht="14.4">
      <c r="A1034" s="3">
        <f>LOOKUP(D1034,'AMFI DATA_2023H1'!B:C,'AMFI DATA_2023H1'!C:C)</f>
        <v>1852</v>
      </c>
      <c r="B1034" s="4" t="s">
        <v>4871</v>
      </c>
      <c r="C1034" s="4" t="s">
        <v>4872</v>
      </c>
      <c r="D1034" s="5" t="s">
        <v>4873</v>
      </c>
      <c r="E1034" s="5">
        <f>LOOKUP(D1034,'AMFI DATA_2023H1'!B:D,'AMFI DATA_2023H1'!D:D)</f>
        <v>178.54</v>
      </c>
      <c r="F1034" s="7">
        <f t="shared" si="4"/>
        <v>-0.11504424778761058</v>
      </c>
      <c r="G1034" s="9">
        <v>158</v>
      </c>
      <c r="H1034" s="9">
        <v>155</v>
      </c>
      <c r="I1034" s="9">
        <v>155</v>
      </c>
      <c r="J1034" s="9">
        <v>155</v>
      </c>
      <c r="K1034" s="9">
        <v>156</v>
      </c>
      <c r="L1034" s="9">
        <v>156</v>
      </c>
      <c r="M1034" s="9"/>
      <c r="N1034" s="9"/>
      <c r="O1034" s="9"/>
      <c r="P1034" s="9"/>
      <c r="Q1034" s="9">
        <f ca="1">IFERROR(__xludf.DUMMYFUNCTION("GOOGLEFINANCE(C1034,""changepct"")"),-0.1)</f>
        <v>-0.1</v>
      </c>
      <c r="R1034" s="9"/>
      <c r="S1034" s="9"/>
      <c r="T1034" s="9"/>
      <c r="U1034" s="9"/>
      <c r="V1034" s="9"/>
      <c r="W1034" s="9"/>
    </row>
    <row r="1035" spans="1:23" ht="14.4">
      <c r="A1035" s="3">
        <f>LOOKUP(D1035,'AMFI DATA_2023H1'!B:C,'AMFI DATA_2023H1'!C:C)</f>
        <v>1550</v>
      </c>
      <c r="B1035" s="4" t="s">
        <v>4547</v>
      </c>
      <c r="C1035" s="4" t="s">
        <v>4548</v>
      </c>
      <c r="D1035" s="5" t="s">
        <v>4549</v>
      </c>
      <c r="E1035" s="5">
        <f>LOOKUP(D1035,'AMFI DATA_2023H1'!B:D,'AMFI DATA_2023H1'!D:D)</f>
        <v>315.99</v>
      </c>
      <c r="F1035" s="7">
        <f t="shared" si="4"/>
        <v>-0.24048229374347296</v>
      </c>
      <c r="G1035" s="9">
        <v>240</v>
      </c>
      <c r="H1035" s="9">
        <v>239</v>
      </c>
      <c r="I1035" s="9">
        <v>242</v>
      </c>
      <c r="J1035" s="9">
        <v>247</v>
      </c>
      <c r="K1035" s="9">
        <v>244</v>
      </c>
      <c r="L1035" s="9">
        <v>243</v>
      </c>
      <c r="M1035" s="9"/>
      <c r="N1035" s="9"/>
      <c r="O1035" s="9"/>
      <c r="P1035" s="9"/>
      <c r="Q1035" s="9">
        <f ca="1">IFERROR(__xludf.DUMMYFUNCTION("GOOGLEFINANCE(C1035,""changepct"")"),-0.74)</f>
        <v>-0.74</v>
      </c>
      <c r="R1035" s="9"/>
      <c r="S1035" s="9"/>
      <c r="T1035" s="9"/>
      <c r="U1035" s="9"/>
      <c r="V1035" s="9"/>
      <c r="W1035" s="9"/>
    </row>
    <row r="1036" spans="1:23" ht="14.4">
      <c r="A1036" s="3">
        <f>LOOKUP(D1036,'AMFI DATA_2023H1'!B:C,'AMFI DATA_2023H1'!C:C)</f>
        <v>1462</v>
      </c>
      <c r="B1036" s="4" t="s">
        <v>4301</v>
      </c>
      <c r="C1036" s="4" t="s">
        <v>4302</v>
      </c>
      <c r="D1036" s="5" t="s">
        <v>4303</v>
      </c>
      <c r="E1036" s="5">
        <f>LOOKUP(D1036,'AMFI DATA_2023H1'!B:D,'AMFI DATA_2023H1'!D:D)</f>
        <v>373.25</v>
      </c>
      <c r="F1036" s="7">
        <f t="shared" si="4"/>
        <v>-0.12123241795043538</v>
      </c>
      <c r="G1036" s="9">
        <v>328</v>
      </c>
      <c r="H1036" s="9">
        <v>323</v>
      </c>
      <c r="I1036" s="9">
        <v>328</v>
      </c>
      <c r="J1036" s="9">
        <v>325</v>
      </c>
      <c r="K1036" s="9">
        <v>313</v>
      </c>
      <c r="L1036" s="9">
        <v>313</v>
      </c>
      <c r="M1036" s="9"/>
      <c r="N1036" s="9"/>
      <c r="O1036" s="9"/>
      <c r="P1036" s="9"/>
      <c r="Q1036" s="9">
        <f ca="1">IFERROR(__xludf.DUMMYFUNCTION("GOOGLEFINANCE(C1036,""changepct"")"),1.77)</f>
        <v>1.77</v>
      </c>
      <c r="R1036" s="9"/>
      <c r="S1036" s="9"/>
      <c r="T1036" s="9"/>
      <c r="U1036" s="9"/>
      <c r="V1036" s="9"/>
      <c r="W1036" s="9"/>
    </row>
    <row r="1037" spans="1:23" ht="14.4">
      <c r="A1037" s="3">
        <f>LOOKUP(D1037,'AMFI DATA_2023H1'!B:C,'AMFI DATA_2023H1'!C:C)</f>
        <v>1021</v>
      </c>
      <c r="B1037" s="4" t="s">
        <v>3128</v>
      </c>
      <c r="C1037" s="4" t="s">
        <v>3129</v>
      </c>
      <c r="D1037" s="5" t="s">
        <v>3130</v>
      </c>
      <c r="E1037" s="5">
        <f>LOOKUP(D1037,'AMFI DATA_2023H1'!B:D,'AMFI DATA_2023H1'!D:D)</f>
        <v>1088.6600000000001</v>
      </c>
      <c r="F1037" s="7">
        <f t="shared" si="4"/>
        <v>0.38610769202505812</v>
      </c>
      <c r="G1037" s="8">
        <v>1509</v>
      </c>
      <c r="H1037" s="8">
        <v>1445</v>
      </c>
      <c r="I1037" s="8">
        <v>1476</v>
      </c>
      <c r="J1037" s="8">
        <v>1454</v>
      </c>
      <c r="K1037" s="8">
        <v>1465</v>
      </c>
      <c r="L1037" s="8">
        <v>1448</v>
      </c>
      <c r="M1037" s="8"/>
      <c r="N1037" s="8"/>
      <c r="O1037" s="8"/>
      <c r="P1037" s="8"/>
      <c r="Q1037" s="9">
        <f ca="1">IFERROR(__xludf.DUMMYFUNCTION("GOOGLEFINANCE(C1037,""changepct"")"),8.79)</f>
        <v>8.7899999999999991</v>
      </c>
      <c r="R1037" s="8"/>
      <c r="S1037" s="8"/>
      <c r="T1037" s="8"/>
      <c r="U1037" s="8"/>
      <c r="V1037" s="8"/>
      <c r="W1037" s="8"/>
    </row>
    <row r="1038" spans="1:23" ht="14.4">
      <c r="A1038" s="3">
        <f>LOOKUP(D1038,'AMFI DATA_2023H1'!B:C,'AMFI DATA_2023H1'!C:C)</f>
        <v>340</v>
      </c>
      <c r="B1038" s="4" t="s">
        <v>876</v>
      </c>
      <c r="C1038" s="4" t="s">
        <v>877</v>
      </c>
      <c r="D1038" s="5" t="s">
        <v>878</v>
      </c>
      <c r="E1038" s="5">
        <f>LOOKUP(D1038,'AMFI DATA_2023H1'!B:D,'AMFI DATA_2023H1'!D:D)</f>
        <v>10407.950000000001</v>
      </c>
      <c r="F1038" s="7">
        <f t="shared" si="4"/>
        <v>1.2345418646323241</v>
      </c>
      <c r="G1038" s="8">
        <v>23257</v>
      </c>
      <c r="H1038" s="8">
        <v>23353</v>
      </c>
      <c r="I1038" s="8">
        <v>23336</v>
      </c>
      <c r="J1038" s="8">
        <v>22968</v>
      </c>
      <c r="K1038" s="8">
        <v>22731</v>
      </c>
      <c r="L1038" s="8">
        <v>22775</v>
      </c>
      <c r="M1038" s="8"/>
      <c r="N1038" s="8"/>
      <c r="O1038" s="8"/>
      <c r="P1038" s="8"/>
      <c r="Q1038" s="9">
        <f ca="1">IFERROR(__xludf.DUMMYFUNCTION("GOOGLEFINANCE(C1038,""changepct"")"),-2.03)</f>
        <v>-2.0299999999999998</v>
      </c>
      <c r="R1038" s="8"/>
      <c r="S1038" s="8"/>
      <c r="T1038" s="8"/>
      <c r="U1038" s="8"/>
      <c r="V1038" s="8"/>
      <c r="W1038" s="8"/>
    </row>
    <row r="1039" spans="1:23" ht="14.4">
      <c r="A1039" s="3">
        <f>LOOKUP(D1039,'AMFI DATA_2023H1'!B:C,'AMFI DATA_2023H1'!C:C)</f>
        <v>81</v>
      </c>
      <c r="B1039" s="4" t="s">
        <v>279</v>
      </c>
      <c r="C1039" s="4" t="s">
        <v>280</v>
      </c>
      <c r="D1039" s="5" t="s">
        <v>281</v>
      </c>
      <c r="E1039" s="5">
        <f>LOOKUP(D1039,'AMFI DATA_2023H1'!B:D,'AMFI DATA_2023H1'!D:D)</f>
        <v>59524.41</v>
      </c>
      <c r="F1039" s="7">
        <f t="shared" si="4"/>
        <v>0.32806020252867674</v>
      </c>
      <c r="G1039" s="8">
        <v>79052</v>
      </c>
      <c r="H1039" s="8">
        <v>79477</v>
      </c>
      <c r="I1039" s="8">
        <v>79317</v>
      </c>
      <c r="J1039" s="8">
        <v>80118</v>
      </c>
      <c r="K1039" s="8">
        <v>77205</v>
      </c>
      <c r="L1039" s="8">
        <v>77446</v>
      </c>
      <c r="M1039" s="8"/>
      <c r="N1039" s="8"/>
      <c r="O1039" s="8"/>
      <c r="P1039" s="8"/>
      <c r="Q1039" s="9">
        <f ca="1">IFERROR(__xludf.DUMMYFUNCTION("GOOGLEFINANCE(C1039,""changepct"")"),0.85)</f>
        <v>0.85</v>
      </c>
      <c r="R1039" s="8"/>
      <c r="S1039" s="8"/>
      <c r="T1039" s="8"/>
      <c r="U1039" s="8"/>
      <c r="V1039" s="8"/>
      <c r="W1039" s="8"/>
    </row>
    <row r="1040" spans="1:23" ht="14.4">
      <c r="A1040" s="3">
        <f>LOOKUP(D1040,'AMFI DATA_2023H1'!B:C,'AMFI DATA_2023H1'!C:C)</f>
        <v>122</v>
      </c>
      <c r="B1040" s="4" t="s">
        <v>2996</v>
      </c>
      <c r="C1040" s="4" t="s">
        <v>2997</v>
      </c>
      <c r="D1040" s="5" t="s">
        <v>2998</v>
      </c>
      <c r="E1040" s="5">
        <f>LOOKUP(D1040,'AMFI DATA_2023H1'!B:D,'AMFI DATA_2023H1'!D:D)</f>
        <v>42091.62</v>
      </c>
      <c r="F1040" s="7">
        <f t="shared" si="4"/>
        <v>-0.96303302177488059</v>
      </c>
      <c r="G1040" s="8">
        <v>1556</v>
      </c>
      <c r="H1040" s="8">
        <v>1556</v>
      </c>
      <c r="I1040" s="8">
        <v>1586</v>
      </c>
      <c r="J1040" s="8">
        <v>1634</v>
      </c>
      <c r="K1040" s="8">
        <v>1635</v>
      </c>
      <c r="L1040" s="8">
        <v>1606</v>
      </c>
      <c r="M1040" s="8"/>
      <c r="N1040" s="8"/>
      <c r="O1040" s="8"/>
      <c r="P1040" s="8"/>
      <c r="Q1040" s="9">
        <f ca="1">IFERROR(__xludf.DUMMYFUNCTION("GOOGLEFINANCE(C1040,""changepct"")"),1.31)</f>
        <v>1.31</v>
      </c>
      <c r="R1040" s="8"/>
      <c r="S1040" s="8"/>
      <c r="T1040" s="8"/>
      <c r="U1040" s="8"/>
      <c r="V1040" s="8"/>
      <c r="W1040" s="8"/>
    </row>
    <row r="1041" spans="1:23" ht="14.4">
      <c r="A1041" s="3">
        <f>LOOKUP(D1041,'AMFI DATA_2023H1'!B:C,'AMFI DATA_2023H1'!C:C)</f>
        <v>1766</v>
      </c>
      <c r="B1041" s="4" t="s">
        <v>4550</v>
      </c>
      <c r="C1041" s="4" t="s">
        <v>4551</v>
      </c>
      <c r="D1041" s="5" t="s">
        <v>4552</v>
      </c>
      <c r="E1041" s="5">
        <f>LOOKUP(D1041,'AMFI DATA_2023H1'!B:D,'AMFI DATA_2023H1'!D:D)</f>
        <v>206.8</v>
      </c>
      <c r="F1041" s="7">
        <f t="shared" si="4"/>
        <v>0.40232108317214688</v>
      </c>
      <c r="G1041" s="9">
        <v>290</v>
      </c>
      <c r="H1041" s="9">
        <v>274</v>
      </c>
      <c r="I1041" s="9">
        <v>280</v>
      </c>
      <c r="J1041" s="9">
        <v>290</v>
      </c>
      <c r="K1041" s="9">
        <v>295</v>
      </c>
      <c r="L1041" s="9">
        <v>314</v>
      </c>
      <c r="M1041" s="9"/>
      <c r="N1041" s="9"/>
      <c r="O1041" s="9"/>
      <c r="P1041" s="9"/>
      <c r="Q1041" s="9">
        <f ca="1">IFERROR(__xludf.DUMMYFUNCTION("GOOGLEFINANCE(C1041,""changepct"")"),-4.47)</f>
        <v>-4.47</v>
      </c>
      <c r="R1041" s="9"/>
      <c r="S1041" s="9"/>
      <c r="T1041" s="9"/>
      <c r="U1041" s="9"/>
      <c r="V1041" s="9"/>
      <c r="W1041" s="9"/>
    </row>
    <row r="1042" spans="1:23" ht="14.4">
      <c r="A1042" s="3">
        <f>LOOKUP(D1042,'AMFI DATA_2023H1'!B:C,'AMFI DATA_2023H1'!C:C)</f>
        <v>925</v>
      </c>
      <c r="B1042" s="4" t="s">
        <v>2540</v>
      </c>
      <c r="C1042" s="4" t="s">
        <v>2541</v>
      </c>
      <c r="D1042" s="5" t="s">
        <v>2542</v>
      </c>
      <c r="E1042" s="5">
        <f>LOOKUP(D1042,'AMFI DATA_2023H1'!B:D,'AMFI DATA_2023H1'!D:D)</f>
        <v>1387.94</v>
      </c>
      <c r="F1042" s="7">
        <f t="shared" si="4"/>
        <v>0.71765350087179547</v>
      </c>
      <c r="G1042" s="8">
        <v>2384</v>
      </c>
      <c r="H1042" s="8">
        <v>2259</v>
      </c>
      <c r="I1042" s="8">
        <v>2239</v>
      </c>
      <c r="J1042" s="8">
        <v>2241</v>
      </c>
      <c r="K1042" s="8">
        <v>2264</v>
      </c>
      <c r="L1042" s="8">
        <v>2205</v>
      </c>
      <c r="M1042" s="8"/>
      <c r="N1042" s="8"/>
      <c r="O1042" s="8"/>
      <c r="P1042" s="8"/>
      <c r="Q1042" s="9">
        <f ca="1">IFERROR(__xludf.DUMMYFUNCTION("GOOGLEFINANCE(C1042,""changepct"")"),0.91)</f>
        <v>0.91</v>
      </c>
      <c r="R1042" s="8"/>
      <c r="S1042" s="8"/>
      <c r="T1042" s="8"/>
      <c r="U1042" s="8"/>
      <c r="V1042" s="8"/>
      <c r="W1042" s="8"/>
    </row>
    <row r="1043" spans="1:23" ht="14.4">
      <c r="A1043" s="3">
        <f>LOOKUP(D1043,'AMFI DATA_2023H1'!B:C,'AMFI DATA_2023H1'!C:C)</f>
        <v>2614</v>
      </c>
      <c r="B1043" s="4" t="s">
        <v>5392</v>
      </c>
      <c r="C1043" s="4" t="s">
        <v>5393</v>
      </c>
      <c r="D1043" s="5" t="s">
        <v>5394</v>
      </c>
      <c r="E1043" s="5">
        <f>LOOKUP(D1043,'AMFI DATA_2023H1'!B:D,'AMFI DATA_2023H1'!D:D)</f>
        <v>52.09</v>
      </c>
      <c r="F1043" s="7">
        <f t="shared" si="4"/>
        <v>0.37262430408907643</v>
      </c>
      <c r="G1043" s="9">
        <v>71.5</v>
      </c>
      <c r="H1043" s="9">
        <v>72.2</v>
      </c>
      <c r="I1043" s="9">
        <v>72.2</v>
      </c>
      <c r="J1043" s="9">
        <v>70.8</v>
      </c>
      <c r="K1043" s="9">
        <v>70.900000000000006</v>
      </c>
      <c r="L1043" s="9">
        <v>72.400000000000006</v>
      </c>
      <c r="M1043" s="9"/>
      <c r="N1043" s="9"/>
      <c r="O1043" s="9"/>
      <c r="P1043" s="9"/>
      <c r="Q1043" s="9">
        <f ca="1">IFERROR(__xludf.DUMMYFUNCTION("GOOGLEFINANCE(C1043,""changepct"")"),8.1)</f>
        <v>8.1</v>
      </c>
      <c r="R1043" s="9"/>
      <c r="S1043" s="9"/>
      <c r="T1043" s="9"/>
      <c r="U1043" s="9"/>
      <c r="V1043" s="9"/>
      <c r="W1043" s="9"/>
    </row>
    <row r="1044" spans="1:23" ht="14.4">
      <c r="A1044" s="3">
        <f>LOOKUP(D1044,'AMFI DATA_2023H1'!B:C,'AMFI DATA_2023H1'!C:C)</f>
        <v>1723</v>
      </c>
      <c r="B1044" s="4" t="s">
        <v>4469</v>
      </c>
      <c r="C1044" s="4" t="s">
        <v>4470</v>
      </c>
      <c r="D1044" s="5" t="s">
        <v>4471</v>
      </c>
      <c r="E1044" s="5">
        <f>LOOKUP(D1044,'AMFI DATA_2023H1'!B:D,'AMFI DATA_2023H1'!D:D)</f>
        <v>230.56</v>
      </c>
      <c r="F1044" s="7">
        <f t="shared" si="4"/>
        <v>0.24913254684247055</v>
      </c>
      <c r="G1044" s="9">
        <v>288</v>
      </c>
      <c r="H1044" s="9">
        <v>288</v>
      </c>
      <c r="I1044" s="9">
        <v>297</v>
      </c>
      <c r="J1044" s="9">
        <v>288</v>
      </c>
      <c r="K1044" s="9">
        <v>288</v>
      </c>
      <c r="L1044" s="9">
        <v>292</v>
      </c>
      <c r="M1044" s="9"/>
      <c r="N1044" s="9"/>
      <c r="O1044" s="9"/>
      <c r="P1044" s="9"/>
      <c r="Q1044" s="9">
        <f ca="1">IFERROR(__xludf.DUMMYFUNCTION("GOOGLEFINANCE(C1044,""changepct"")"),0.53)</f>
        <v>0.53</v>
      </c>
      <c r="R1044" s="9"/>
      <c r="S1044" s="9"/>
      <c r="T1044" s="9"/>
      <c r="U1044" s="9"/>
      <c r="V1044" s="9"/>
      <c r="W1044" s="9"/>
    </row>
    <row r="1045" spans="1:23" ht="14.4">
      <c r="A1045" s="3">
        <f>LOOKUP(D1045,'AMFI DATA_2023H1'!B:C,'AMFI DATA_2023H1'!C:C)</f>
        <v>954</v>
      </c>
      <c r="B1045" s="4" t="s">
        <v>2759</v>
      </c>
      <c r="C1045" s="4" t="s">
        <v>2760</v>
      </c>
      <c r="D1045" s="5" t="s">
        <v>2761</v>
      </c>
      <c r="E1045" s="5">
        <f>LOOKUP(D1045,'AMFI DATA_2023H1'!B:D,'AMFI DATA_2023H1'!D:D)</f>
        <v>1301.75</v>
      </c>
      <c r="F1045" s="7">
        <f t="shared" si="4"/>
        <v>0.52871135010562709</v>
      </c>
      <c r="G1045" s="8">
        <v>1990</v>
      </c>
      <c r="H1045" s="8">
        <v>1953</v>
      </c>
      <c r="I1045" s="8">
        <v>1974</v>
      </c>
      <c r="J1045" s="8">
        <v>1984</v>
      </c>
      <c r="K1045" s="8">
        <v>1976</v>
      </c>
      <c r="L1045" s="8">
        <v>1962</v>
      </c>
      <c r="M1045" s="8"/>
      <c r="N1045" s="8"/>
      <c r="O1045" s="8"/>
      <c r="P1045" s="8"/>
      <c r="Q1045" s="9">
        <f ca="1">IFERROR(__xludf.DUMMYFUNCTION("GOOGLEFINANCE(C1045,""changepct"")"),0.8)</f>
        <v>0.8</v>
      </c>
      <c r="R1045" s="8"/>
      <c r="S1045" s="8"/>
      <c r="T1045" s="8"/>
      <c r="U1045" s="8"/>
      <c r="V1045" s="8"/>
      <c r="W1045" s="8"/>
    </row>
    <row r="1046" spans="1:23" ht="14.4">
      <c r="A1046" s="3">
        <f>LOOKUP(D1046,'AMFI DATA_2023H1'!B:C,'AMFI DATA_2023H1'!C:C)</f>
        <v>78</v>
      </c>
      <c r="B1046" s="4" t="s">
        <v>288</v>
      </c>
      <c r="C1046" s="4" t="s">
        <v>289</v>
      </c>
      <c r="D1046" s="5" t="s">
        <v>290</v>
      </c>
      <c r="E1046" s="5">
        <f>LOOKUP(D1046,'AMFI DATA_2023H1'!B:D,'AMFI DATA_2023H1'!D:D)</f>
        <v>65586.350000000006</v>
      </c>
      <c r="F1046" s="7">
        <f t="shared" si="4"/>
        <v>7.090880953125156E-2</v>
      </c>
      <c r="G1046" s="8">
        <v>70237</v>
      </c>
      <c r="H1046" s="8">
        <v>70754</v>
      </c>
      <c r="I1046" s="8">
        <v>70321</v>
      </c>
      <c r="J1046" s="8">
        <v>68942</v>
      </c>
      <c r="K1046" s="8">
        <v>68489</v>
      </c>
      <c r="L1046" s="8">
        <v>67648</v>
      </c>
      <c r="M1046" s="8"/>
      <c r="N1046" s="8"/>
      <c r="O1046" s="8"/>
      <c r="P1046" s="8"/>
      <c r="Q1046" s="9">
        <f ca="1">IFERROR(__xludf.DUMMYFUNCTION("GOOGLEFINANCE(C1046,""changepct"")"),0.19)</f>
        <v>0.19</v>
      </c>
      <c r="R1046" s="8"/>
      <c r="S1046" s="8"/>
      <c r="T1046" s="8"/>
      <c r="U1046" s="8"/>
      <c r="V1046" s="8"/>
      <c r="W1046" s="8"/>
    </row>
    <row r="1047" spans="1:23" ht="14.4">
      <c r="A1047" s="3">
        <f>LOOKUP(D1047,'AMFI DATA_2023H1'!B:C,'AMFI DATA_2023H1'!C:C)</f>
        <v>1299</v>
      </c>
      <c r="B1047" s="4" t="s">
        <v>3452</v>
      </c>
      <c r="C1047" s="4" t="s">
        <v>3453</v>
      </c>
      <c r="D1047" s="5" t="s">
        <v>3454</v>
      </c>
      <c r="E1047" s="5">
        <f>LOOKUP(D1047,'AMFI DATA_2023H1'!B:D,'AMFI DATA_2023H1'!D:D)</f>
        <v>529.14</v>
      </c>
      <c r="F1047" s="7">
        <f t="shared" si="4"/>
        <v>1.5248516460672032</v>
      </c>
      <c r="G1047" s="8">
        <v>1336</v>
      </c>
      <c r="H1047" s="8">
        <v>1316</v>
      </c>
      <c r="I1047" s="8">
        <v>1254</v>
      </c>
      <c r="J1047" s="8">
        <v>1278</v>
      </c>
      <c r="K1047" s="8">
        <v>1289</v>
      </c>
      <c r="L1047" s="8">
        <v>1266</v>
      </c>
      <c r="M1047" s="8"/>
      <c r="N1047" s="8"/>
      <c r="O1047" s="8"/>
      <c r="P1047" s="8"/>
      <c r="Q1047" s="9">
        <f ca="1">IFERROR(__xludf.DUMMYFUNCTION("GOOGLEFINANCE(C1047,""changepct"")"),3.62)</f>
        <v>3.62</v>
      </c>
      <c r="R1047" s="8"/>
      <c r="S1047" s="8"/>
      <c r="T1047" s="8"/>
      <c r="U1047" s="8"/>
      <c r="V1047" s="8"/>
      <c r="W1047" s="8"/>
    </row>
    <row r="1048" spans="1:23" ht="14.4">
      <c r="A1048" s="3">
        <f>LOOKUP(D1048,'AMFI DATA_2023H1'!B:C,'AMFI DATA_2023H1'!C:C)</f>
        <v>634</v>
      </c>
      <c r="B1048" s="4" t="s">
        <v>1755</v>
      </c>
      <c r="C1048" s="4" t="s">
        <v>1756</v>
      </c>
      <c r="D1048" s="5" t="s">
        <v>1757</v>
      </c>
      <c r="E1048" s="5">
        <f>LOOKUP(D1048,'AMFI DATA_2023H1'!B:D,'AMFI DATA_2023H1'!D:D)</f>
        <v>3242.88</v>
      </c>
      <c r="F1048" s="7">
        <f t="shared" si="4"/>
        <v>1.2483101440694688</v>
      </c>
      <c r="G1048" s="8">
        <v>7291</v>
      </c>
      <c r="H1048" s="8">
        <v>7319</v>
      </c>
      <c r="I1048" s="8">
        <v>7411</v>
      </c>
      <c r="J1048" s="8">
        <v>7239</v>
      </c>
      <c r="K1048" s="8">
        <v>7201</v>
      </c>
      <c r="L1048" s="8">
        <v>7253</v>
      </c>
      <c r="M1048" s="8"/>
      <c r="N1048" s="8"/>
      <c r="O1048" s="8"/>
      <c r="P1048" s="8"/>
      <c r="Q1048" s="9">
        <f ca="1">IFERROR(__xludf.DUMMYFUNCTION("GOOGLEFINANCE(C1048,""changepct"")"),-0.89)</f>
        <v>-0.89</v>
      </c>
      <c r="R1048" s="8"/>
      <c r="S1048" s="8"/>
      <c r="T1048" s="8"/>
      <c r="U1048" s="8"/>
      <c r="V1048" s="8"/>
      <c r="W1048" s="8"/>
    </row>
    <row r="1049" spans="1:23" ht="14.4">
      <c r="A1049" s="3">
        <f>LOOKUP(D1049,'AMFI DATA_2023H1'!B:C,'AMFI DATA_2023H1'!C:C)</f>
        <v>2418</v>
      </c>
      <c r="B1049" s="4" t="s">
        <v>5153</v>
      </c>
      <c r="C1049" s="4" t="s">
        <v>5154</v>
      </c>
      <c r="D1049" s="5" t="s">
        <v>5155</v>
      </c>
      <c r="E1049" s="5">
        <f>LOOKUP(D1049,'AMFI DATA_2023H1'!B:D,'AMFI DATA_2023H1'!D:D)</f>
        <v>71.430000000000007</v>
      </c>
      <c r="F1049" s="7">
        <f t="shared" si="4"/>
        <v>0.66596668066638642</v>
      </c>
      <c r="G1049" s="9">
        <v>119</v>
      </c>
      <c r="H1049" s="9">
        <v>109</v>
      </c>
      <c r="I1049" s="9">
        <v>114</v>
      </c>
      <c r="J1049" s="9">
        <v>116</v>
      </c>
      <c r="K1049" s="9">
        <v>117</v>
      </c>
      <c r="L1049" s="9">
        <v>118</v>
      </c>
      <c r="M1049" s="9"/>
      <c r="N1049" s="9"/>
      <c r="O1049" s="9"/>
      <c r="P1049" s="9"/>
      <c r="Q1049" s="9">
        <f ca="1">IFERROR(__xludf.DUMMYFUNCTION("GOOGLEFINANCE(C1049,""changepct"")"),4.53)</f>
        <v>4.53</v>
      </c>
      <c r="R1049" s="9"/>
      <c r="S1049" s="9"/>
      <c r="T1049" s="9"/>
      <c r="U1049" s="9"/>
      <c r="V1049" s="9"/>
      <c r="W1049" s="9"/>
    </row>
    <row r="1050" spans="1:23" ht="14.4">
      <c r="A1050" s="3">
        <f>LOOKUP(D1050,'AMFI DATA_2023H1'!B:C,'AMFI DATA_2023H1'!C:C)</f>
        <v>18</v>
      </c>
      <c r="B1050" s="4" t="s">
        <v>55</v>
      </c>
      <c r="C1050" s="4" t="s">
        <v>56</v>
      </c>
      <c r="D1050" s="5" t="s">
        <v>57</v>
      </c>
      <c r="E1050" s="5">
        <f>LOOKUP(D1050,'AMFI DATA_2023H1'!B:D,'AMFI DATA_2023H1'!D:D)</f>
        <v>266990.65999999997</v>
      </c>
      <c r="F1050" s="7">
        <f t="shared" si="4"/>
        <v>0.20960785669431292</v>
      </c>
      <c r="G1050" s="8">
        <v>322954</v>
      </c>
      <c r="H1050" s="8">
        <v>323816</v>
      </c>
      <c r="I1050" s="8">
        <v>323927</v>
      </c>
      <c r="J1050" s="8">
        <v>323376</v>
      </c>
      <c r="K1050" s="8">
        <v>310324</v>
      </c>
      <c r="L1050" s="8">
        <v>308640</v>
      </c>
      <c r="M1050" s="8"/>
      <c r="N1050" s="8"/>
      <c r="O1050" s="8"/>
      <c r="P1050" s="8"/>
      <c r="Q1050" s="9">
        <f ca="1">IFERROR(__xludf.DUMMYFUNCTION("GOOGLEFINANCE(C1050,""changepct"")"),0.47)</f>
        <v>0.47</v>
      </c>
      <c r="R1050" s="8"/>
      <c r="S1050" s="8"/>
      <c r="T1050" s="8"/>
      <c r="U1050" s="8"/>
      <c r="V1050" s="8"/>
      <c r="W1050" s="8"/>
    </row>
    <row r="1051" spans="1:23" ht="14.4">
      <c r="A1051" s="3">
        <f>LOOKUP(D1051,'AMFI DATA_2023H1'!B:C,'AMFI DATA_2023H1'!C:C)</f>
        <v>560</v>
      </c>
      <c r="B1051" s="4" t="s">
        <v>1881</v>
      </c>
      <c r="C1051" s="4" t="s">
        <v>1882</v>
      </c>
      <c r="D1051" s="5" t="s">
        <v>1883</v>
      </c>
      <c r="E1051" s="5">
        <f>LOOKUP(D1051,'AMFI DATA_2023H1'!B:D,'AMFI DATA_2023H1'!D:D)</f>
        <v>4233.5</v>
      </c>
      <c r="F1051" s="7">
        <f t="shared" si="4"/>
        <v>0.12483760481870787</v>
      </c>
      <c r="G1051" s="8">
        <v>4762</v>
      </c>
      <c r="H1051" s="8">
        <v>4761</v>
      </c>
      <c r="I1051" s="8">
        <v>4575</v>
      </c>
      <c r="J1051" s="8">
        <v>4695</v>
      </c>
      <c r="K1051" s="8">
        <v>4694</v>
      </c>
      <c r="L1051" s="8">
        <v>4789</v>
      </c>
      <c r="M1051" s="8"/>
      <c r="N1051" s="8"/>
      <c r="O1051" s="8"/>
      <c r="P1051" s="8"/>
      <c r="Q1051" s="9">
        <f ca="1">IFERROR(__xludf.DUMMYFUNCTION("GOOGLEFINANCE(C1051,""changepct"")"),7.37)</f>
        <v>7.37</v>
      </c>
      <c r="R1051" s="8"/>
      <c r="S1051" s="8"/>
      <c r="T1051" s="8"/>
      <c r="U1051" s="8"/>
      <c r="V1051" s="8"/>
      <c r="W1051" s="8"/>
    </row>
    <row r="1052" spans="1:23" ht="14.4">
      <c r="A1052" s="3">
        <f>LOOKUP(D1052,'AMFI DATA_2023H1'!B:C,'AMFI DATA_2023H1'!C:C)</f>
        <v>3332</v>
      </c>
      <c r="B1052" s="4" t="s">
        <v>5695</v>
      </c>
      <c r="C1052" s="4" t="s">
        <v>5696</v>
      </c>
      <c r="D1052" s="5" t="s">
        <v>5697</v>
      </c>
      <c r="E1052" s="5">
        <f>LOOKUP(D1052,'AMFI DATA_2023H1'!B:D,'AMFI DATA_2023H1'!D:D)</f>
        <v>18.73</v>
      </c>
      <c r="F1052" s="7">
        <f t="shared" si="4"/>
        <v>0.23331553657234383</v>
      </c>
      <c r="G1052" s="9">
        <v>23.1</v>
      </c>
      <c r="H1052" s="9">
        <v>23.2</v>
      </c>
      <c r="I1052" s="9">
        <v>22.7</v>
      </c>
      <c r="J1052" s="9">
        <v>22.3</v>
      </c>
      <c r="K1052" s="9">
        <v>22.3</v>
      </c>
      <c r="L1052" s="9">
        <v>22.3</v>
      </c>
      <c r="M1052" s="9"/>
      <c r="N1052" s="9"/>
      <c r="O1052" s="9"/>
      <c r="P1052" s="9"/>
      <c r="Q1052" s="9">
        <f ca="1">IFERROR(__xludf.DUMMYFUNCTION("GOOGLEFINANCE(C1052,""changepct"")"),-0.06)</f>
        <v>-0.06</v>
      </c>
      <c r="R1052" s="9"/>
      <c r="S1052" s="9"/>
      <c r="T1052" s="9"/>
      <c r="U1052" s="9"/>
      <c r="V1052" s="9"/>
      <c r="W1052" s="9"/>
    </row>
    <row r="1053" spans="1:23" ht="14.4">
      <c r="A1053" s="3">
        <f>LOOKUP(D1053,'AMFI DATA_2023H1'!B:C,'AMFI DATA_2023H1'!C:C)</f>
        <v>499</v>
      </c>
      <c r="B1053" s="4" t="s">
        <v>1548</v>
      </c>
      <c r="C1053" s="4" t="s">
        <v>1549</v>
      </c>
      <c r="D1053" s="5" t="s">
        <v>1550</v>
      </c>
      <c r="E1053" s="5">
        <f>LOOKUP(D1053,'AMFI DATA_2023H1'!B:D,'AMFI DATA_2023H1'!D:D)</f>
        <v>5271.41</v>
      </c>
      <c r="F1053" s="7">
        <f t="shared" si="4"/>
        <v>0.61531734393644211</v>
      </c>
      <c r="G1053" s="8">
        <v>8515</v>
      </c>
      <c r="H1053" s="8">
        <v>8554</v>
      </c>
      <c r="I1053" s="8">
        <v>8524</v>
      </c>
      <c r="J1053" s="8">
        <v>8605</v>
      </c>
      <c r="K1053" s="8">
        <v>8488</v>
      </c>
      <c r="L1053" s="8">
        <v>8596</v>
      </c>
      <c r="M1053" s="8"/>
      <c r="N1053" s="8"/>
      <c r="O1053" s="8"/>
      <c r="P1053" s="8"/>
      <c r="Q1053" s="9">
        <f ca="1">IFERROR(__xludf.DUMMYFUNCTION("GOOGLEFINANCE(C1053,""changepct"")"),-3.43)</f>
        <v>-3.43</v>
      </c>
      <c r="R1053" s="8"/>
      <c r="S1053" s="8"/>
      <c r="T1053" s="8"/>
      <c r="U1053" s="8"/>
      <c r="V1053" s="8"/>
      <c r="W1053" s="8"/>
    </row>
    <row r="1054" spans="1:23" ht="14.4">
      <c r="A1054" s="3">
        <f>LOOKUP(D1054,'AMFI DATA_2023H1'!B:C,'AMFI DATA_2023H1'!C:C)</f>
        <v>977</v>
      </c>
      <c r="B1054" s="4" t="s">
        <v>3107</v>
      </c>
      <c r="C1054" s="4" t="s">
        <v>3108</v>
      </c>
      <c r="D1054" s="5" t="s">
        <v>3109</v>
      </c>
      <c r="E1054" s="5">
        <f>LOOKUP(D1054,'AMFI DATA_2023H1'!B:D,'AMFI DATA_2023H1'!D:D)</f>
        <v>1248.75</v>
      </c>
      <c r="F1054" s="7">
        <f t="shared" si="4"/>
        <v>2.4224224224224322E-2</v>
      </c>
      <c r="G1054" s="8">
        <v>1279</v>
      </c>
      <c r="H1054" s="8">
        <v>1287</v>
      </c>
      <c r="I1054" s="8">
        <v>1243</v>
      </c>
      <c r="J1054" s="8">
        <v>1265</v>
      </c>
      <c r="K1054" s="8">
        <v>1200</v>
      </c>
      <c r="L1054" s="8">
        <v>1203</v>
      </c>
      <c r="M1054" s="8"/>
      <c r="N1054" s="8"/>
      <c r="O1054" s="8"/>
      <c r="P1054" s="8"/>
      <c r="Q1054" s="9">
        <f ca="1">IFERROR(__xludf.DUMMYFUNCTION("GOOGLEFINANCE(C1054,""changepct"")"),1.82)</f>
        <v>1.82</v>
      </c>
      <c r="R1054" s="8"/>
      <c r="S1054" s="8"/>
      <c r="T1054" s="8"/>
      <c r="U1054" s="8"/>
      <c r="V1054" s="8"/>
      <c r="W1054" s="8"/>
    </row>
    <row r="1055" spans="1:23" ht="14.4">
      <c r="A1055" s="3">
        <f>LOOKUP(D1055,'AMFI DATA_2023H1'!B:C,'AMFI DATA_2023H1'!C:C)</f>
        <v>1482</v>
      </c>
      <c r="B1055" s="4" t="s">
        <v>4181</v>
      </c>
      <c r="C1055" s="4" t="s">
        <v>4182</v>
      </c>
      <c r="D1055" s="5" t="s">
        <v>4183</v>
      </c>
      <c r="E1055" s="5">
        <f>LOOKUP(D1055,'AMFI DATA_2023H1'!B:D,'AMFI DATA_2023H1'!D:D)</f>
        <v>357.21</v>
      </c>
      <c r="F1055" s="7">
        <f t="shared" si="4"/>
        <v>7.2198426695781359E-2</v>
      </c>
      <c r="G1055" s="9">
        <v>383</v>
      </c>
      <c r="H1055" s="9">
        <v>378</v>
      </c>
      <c r="I1055" s="9">
        <v>376</v>
      </c>
      <c r="J1055" s="9">
        <v>377</v>
      </c>
      <c r="K1055" s="9">
        <v>373</v>
      </c>
      <c r="L1055" s="9">
        <v>376</v>
      </c>
      <c r="M1055" s="9"/>
      <c r="N1055" s="9"/>
      <c r="O1055" s="9"/>
      <c r="P1055" s="9"/>
      <c r="Q1055" s="9">
        <f ca="1">IFERROR(__xludf.DUMMYFUNCTION("GOOGLEFINANCE(C1055,""changepct"")"),0.31)</f>
        <v>0.31</v>
      </c>
      <c r="R1055" s="9"/>
      <c r="S1055" s="9"/>
      <c r="T1055" s="9"/>
      <c r="U1055" s="9"/>
      <c r="V1055" s="9"/>
      <c r="W1055" s="9"/>
    </row>
    <row r="1056" spans="1:23" ht="14.4">
      <c r="A1056" s="3">
        <f>LOOKUP(D1056,'AMFI DATA_2023H1'!B:C,'AMFI DATA_2023H1'!C:C)</f>
        <v>1482</v>
      </c>
      <c r="B1056" s="4" t="s">
        <v>1920</v>
      </c>
      <c r="C1056" s="4" t="s">
        <v>1921</v>
      </c>
      <c r="D1056" s="5" t="s">
        <v>1922</v>
      </c>
      <c r="E1056" s="5">
        <f>LOOKUP(D1056,'AMFI DATA_2023H1'!B:D,'AMFI DATA_2023H1'!D:D)</f>
        <v>357.21</v>
      </c>
      <c r="F1056" s="7">
        <f t="shared" si="4"/>
        <v>11.891576383639876</v>
      </c>
      <c r="G1056" s="8">
        <v>4605</v>
      </c>
      <c r="H1056" s="8">
        <v>4555</v>
      </c>
      <c r="I1056" s="8">
        <v>4782</v>
      </c>
      <c r="J1056" s="8">
        <v>4697</v>
      </c>
      <c r="K1056" s="8">
        <v>4772</v>
      </c>
      <c r="L1056" s="8">
        <v>4774</v>
      </c>
      <c r="M1056" s="8"/>
      <c r="N1056" s="8"/>
      <c r="O1056" s="8"/>
      <c r="P1056" s="8"/>
      <c r="Q1056" s="9">
        <f ca="1">IFERROR(__xludf.DUMMYFUNCTION("GOOGLEFINANCE(C1056,""changepct"")"),0.82)</f>
        <v>0.82</v>
      </c>
      <c r="R1056" s="8"/>
      <c r="S1056" s="8"/>
      <c r="T1056" s="8"/>
      <c r="U1056" s="8"/>
      <c r="V1056" s="8"/>
      <c r="W1056" s="8"/>
    </row>
    <row r="1057" spans="1:23" ht="14.4">
      <c r="A1057" s="3">
        <f>LOOKUP(D1057,'AMFI DATA_2023H1'!B:C,'AMFI DATA_2023H1'!C:C)</f>
        <v>197</v>
      </c>
      <c r="B1057" s="4" t="s">
        <v>606</v>
      </c>
      <c r="C1057" s="4" t="s">
        <v>607</v>
      </c>
      <c r="D1057" s="5" t="s">
        <v>608</v>
      </c>
      <c r="E1057" s="5">
        <f>LOOKUP(D1057,'AMFI DATA_2023H1'!B:D,'AMFI DATA_2023H1'!D:D)</f>
        <v>24125.99</v>
      </c>
      <c r="F1057" s="7">
        <f t="shared" si="4"/>
        <v>0.3642963459737818</v>
      </c>
      <c r="G1057" s="8">
        <v>32915</v>
      </c>
      <c r="H1057" s="8">
        <v>32941</v>
      </c>
      <c r="I1057" s="8">
        <v>32903</v>
      </c>
      <c r="J1057" s="8">
        <v>32957</v>
      </c>
      <c r="K1057" s="8">
        <v>32111</v>
      </c>
      <c r="L1057" s="8">
        <v>32418</v>
      </c>
      <c r="M1057" s="8"/>
      <c r="N1057" s="8"/>
      <c r="O1057" s="8"/>
      <c r="P1057" s="8"/>
      <c r="Q1057" s="9">
        <f ca="1">IFERROR(__xludf.DUMMYFUNCTION("GOOGLEFINANCE(C1057,""changepct"")"),-0.58)</f>
        <v>-0.57999999999999996</v>
      </c>
      <c r="R1057" s="8"/>
      <c r="S1057" s="8"/>
      <c r="T1057" s="8"/>
      <c r="U1057" s="8"/>
      <c r="V1057" s="8"/>
      <c r="W1057" s="8"/>
    </row>
    <row r="1058" spans="1:23" ht="14.4">
      <c r="A1058" s="3">
        <f>LOOKUP(D1058,'AMFI DATA_2023H1'!B:C,'AMFI DATA_2023H1'!C:C)</f>
        <v>110</v>
      </c>
      <c r="B1058" s="4" t="s">
        <v>339</v>
      </c>
      <c r="C1058" s="4" t="s">
        <v>340</v>
      </c>
      <c r="D1058" s="5" t="s">
        <v>341</v>
      </c>
      <c r="E1058" s="5">
        <f>LOOKUP(D1058,'AMFI DATA_2023H1'!B:D,'AMFI DATA_2023H1'!D:D)</f>
        <v>46649.13</v>
      </c>
      <c r="F1058" s="7">
        <f t="shared" si="4"/>
        <v>0.43381023397435281</v>
      </c>
      <c r="G1058" s="8">
        <v>66886</v>
      </c>
      <c r="H1058" s="8">
        <v>66823</v>
      </c>
      <c r="I1058" s="8">
        <v>65987</v>
      </c>
      <c r="J1058" s="8">
        <v>66055</v>
      </c>
      <c r="K1058" s="8">
        <v>65589</v>
      </c>
      <c r="L1058" s="8">
        <v>63062</v>
      </c>
      <c r="M1058" s="8"/>
      <c r="N1058" s="8"/>
      <c r="O1058" s="8"/>
      <c r="P1058" s="8"/>
      <c r="Q1058" s="9">
        <f ca="1">IFERROR(__xludf.DUMMYFUNCTION("GOOGLEFINANCE(C1058,""changepct"")"),6.33)</f>
        <v>6.33</v>
      </c>
      <c r="R1058" s="8"/>
      <c r="S1058" s="8"/>
      <c r="T1058" s="8"/>
      <c r="U1058" s="8"/>
      <c r="V1058" s="8"/>
      <c r="W1058" s="8"/>
    </row>
    <row r="1059" spans="1:23" ht="14.4">
      <c r="A1059" s="3">
        <f>LOOKUP(D1059,'AMFI DATA_2023H1'!B:C,'AMFI DATA_2023H1'!C:C)</f>
        <v>1408</v>
      </c>
      <c r="B1059" s="4" t="s">
        <v>3776</v>
      </c>
      <c r="C1059" s="4" t="s">
        <v>3777</v>
      </c>
      <c r="D1059" s="5" t="s">
        <v>3778</v>
      </c>
      <c r="E1059" s="5">
        <f>LOOKUP(D1059,'AMFI DATA_2023H1'!B:D,'AMFI DATA_2023H1'!D:D)</f>
        <v>403.56</v>
      </c>
      <c r="F1059" s="7">
        <f t="shared" si="4"/>
        <v>1.0195262166716224</v>
      </c>
      <c r="G1059" s="9">
        <v>815</v>
      </c>
      <c r="H1059" s="9">
        <v>706</v>
      </c>
      <c r="I1059" s="9">
        <v>717</v>
      </c>
      <c r="J1059" s="9">
        <v>687</v>
      </c>
      <c r="K1059" s="9">
        <v>692</v>
      </c>
      <c r="L1059" s="9">
        <v>626</v>
      </c>
      <c r="M1059" s="9"/>
      <c r="N1059" s="9"/>
      <c r="O1059" s="9"/>
      <c r="P1059" s="9"/>
      <c r="Q1059" s="9">
        <f ca="1">IFERROR(__xludf.DUMMYFUNCTION("GOOGLEFINANCE(C1059,""changepct"")"),-0.84)</f>
        <v>-0.84</v>
      </c>
      <c r="R1059" s="9"/>
      <c r="S1059" s="9"/>
      <c r="T1059" s="9"/>
      <c r="U1059" s="9"/>
      <c r="V1059" s="9"/>
      <c r="W1059" s="9"/>
    </row>
    <row r="1060" spans="1:23" ht="14.4">
      <c r="A1060" s="3">
        <f>LOOKUP(D1060,'AMFI DATA_2023H1'!B:C,'AMFI DATA_2023H1'!C:C)</f>
        <v>781</v>
      </c>
      <c r="B1060" s="4" t="s">
        <v>2534</v>
      </c>
      <c r="C1060" s="4" t="s">
        <v>2535</v>
      </c>
      <c r="D1060" s="5" t="s">
        <v>2536</v>
      </c>
      <c r="E1060" s="5">
        <f>LOOKUP(D1060,'AMFI DATA_2023H1'!B:D,'AMFI DATA_2023H1'!D:D)</f>
        <v>2047.12</v>
      </c>
      <c r="F1060" s="7">
        <f t="shared" si="4"/>
        <v>0.19289538473562873</v>
      </c>
      <c r="G1060" s="8">
        <v>2442</v>
      </c>
      <c r="H1060" s="8">
        <v>2466</v>
      </c>
      <c r="I1060" s="8">
        <v>2438</v>
      </c>
      <c r="J1060" s="8">
        <v>2476</v>
      </c>
      <c r="K1060" s="8">
        <v>2401</v>
      </c>
      <c r="L1060" s="8">
        <v>2370</v>
      </c>
      <c r="M1060" s="8"/>
      <c r="N1060" s="8"/>
      <c r="O1060" s="8"/>
      <c r="P1060" s="8"/>
      <c r="Q1060" s="9">
        <f ca="1">IFERROR(__xludf.DUMMYFUNCTION("GOOGLEFINANCE(C1060,""changepct"")"),-1.51)</f>
        <v>-1.51</v>
      </c>
      <c r="R1060" s="8"/>
      <c r="S1060" s="8"/>
      <c r="T1060" s="8"/>
      <c r="U1060" s="8"/>
      <c r="V1060" s="8"/>
      <c r="W1060" s="8"/>
    </row>
    <row r="1061" spans="1:23" ht="14.4">
      <c r="A1061" s="3">
        <f>LOOKUP(D1061,'AMFI DATA_2023H1'!B:C,'AMFI DATA_2023H1'!C:C)</f>
        <v>260</v>
      </c>
      <c r="B1061" s="4" t="s">
        <v>501</v>
      </c>
      <c r="C1061" s="4" t="s">
        <v>502</v>
      </c>
      <c r="D1061" s="5" t="s">
        <v>503</v>
      </c>
      <c r="E1061" s="5">
        <f>LOOKUP(D1061,'AMFI DATA_2023H1'!B:D,'AMFI DATA_2023H1'!D:D)</f>
        <v>16168.62</v>
      </c>
      <c r="F1061" s="7">
        <f t="shared" si="4"/>
        <v>1.8528717973457227</v>
      </c>
      <c r="G1061" s="8">
        <v>46127</v>
      </c>
      <c r="H1061" s="8">
        <v>45991</v>
      </c>
      <c r="I1061" s="8">
        <v>46078</v>
      </c>
      <c r="J1061" s="8">
        <v>47227</v>
      </c>
      <c r="K1061" s="8">
        <v>46177</v>
      </c>
      <c r="L1061" s="8">
        <v>42787</v>
      </c>
      <c r="M1061" s="8"/>
      <c r="N1061" s="8"/>
      <c r="O1061" s="8"/>
      <c r="P1061" s="8"/>
      <c r="Q1061" s="9">
        <f ca="1">IFERROR(__xludf.DUMMYFUNCTION("GOOGLEFINANCE(C1061,""changepct"")"),1.96)</f>
        <v>1.96</v>
      </c>
      <c r="R1061" s="8"/>
      <c r="S1061" s="8"/>
      <c r="T1061" s="8"/>
      <c r="U1061" s="8"/>
      <c r="V1061" s="8"/>
      <c r="W1061" s="8"/>
    </row>
    <row r="1062" spans="1:23" ht="14.4">
      <c r="A1062" s="3">
        <f>LOOKUP(D1062,'AMFI DATA_2023H1'!B:C,'AMFI DATA_2023H1'!C:C)</f>
        <v>1610</v>
      </c>
      <c r="B1062" s="4" t="s">
        <v>4082</v>
      </c>
      <c r="C1062" s="4" t="s">
        <v>4083</v>
      </c>
      <c r="D1062" s="5" t="s">
        <v>4084</v>
      </c>
      <c r="E1062" s="5">
        <f>LOOKUP(D1062,'AMFI DATA_2023H1'!B:D,'AMFI DATA_2023H1'!D:D)</f>
        <v>282.33999999999997</v>
      </c>
      <c r="F1062" s="7">
        <f t="shared" si="4"/>
        <v>0.85946022526032451</v>
      </c>
      <c r="G1062" s="9">
        <v>525</v>
      </c>
      <c r="H1062" s="9">
        <v>525</v>
      </c>
      <c r="I1062" s="9">
        <v>528</v>
      </c>
      <c r="J1062" s="9">
        <v>545</v>
      </c>
      <c r="K1062" s="9">
        <v>500</v>
      </c>
      <c r="L1062" s="9">
        <v>503</v>
      </c>
      <c r="M1062" s="9"/>
      <c r="N1062" s="9"/>
      <c r="O1062" s="9"/>
      <c r="P1062" s="9"/>
      <c r="Q1062" s="9">
        <f ca="1">IFERROR(__xludf.DUMMYFUNCTION("GOOGLEFINANCE(C1062,""changepct"")"),-0.51)</f>
        <v>-0.51</v>
      </c>
      <c r="R1062" s="9"/>
      <c r="S1062" s="9"/>
      <c r="T1062" s="9"/>
      <c r="U1062" s="9"/>
      <c r="V1062" s="9"/>
      <c r="W1062" s="9"/>
    </row>
    <row r="1063" spans="1:23" ht="14.4">
      <c r="A1063" s="3">
        <f>LOOKUP(D1063,'AMFI DATA_2023H1'!B:C,'AMFI DATA_2023H1'!C:C)</f>
        <v>1772</v>
      </c>
      <c r="B1063" s="4" t="s">
        <v>4328</v>
      </c>
      <c r="C1063" s="4" t="s">
        <v>4329</v>
      </c>
      <c r="D1063" s="5" t="s">
        <v>4330</v>
      </c>
      <c r="E1063" s="5">
        <f>LOOKUP(D1063,'AMFI DATA_2023H1'!B:D,'AMFI DATA_2023H1'!D:D)</f>
        <v>204.69</v>
      </c>
      <c r="F1063" s="7">
        <f t="shared" si="4"/>
        <v>1.2863842884361718</v>
      </c>
      <c r="G1063" s="9">
        <v>468</v>
      </c>
      <c r="H1063" s="9">
        <v>477</v>
      </c>
      <c r="I1063" s="9">
        <v>487</v>
      </c>
      <c r="J1063" s="9">
        <v>487</v>
      </c>
      <c r="K1063" s="9">
        <v>474</v>
      </c>
      <c r="L1063" s="9">
        <v>474</v>
      </c>
      <c r="M1063" s="9"/>
      <c r="N1063" s="9"/>
      <c r="O1063" s="9"/>
      <c r="P1063" s="9"/>
      <c r="Q1063" s="9">
        <f ca="1">IFERROR(__xludf.DUMMYFUNCTION("GOOGLEFINANCE(C1063,""changepct"")"),2.42)</f>
        <v>2.42</v>
      </c>
      <c r="R1063" s="9"/>
      <c r="S1063" s="9"/>
      <c r="T1063" s="9"/>
      <c r="U1063" s="9"/>
      <c r="V1063" s="9"/>
      <c r="W1063" s="9"/>
    </row>
    <row r="1064" spans="1:23" ht="14.4">
      <c r="A1064" s="3">
        <f>LOOKUP(D1064,'AMFI DATA_2023H1'!B:C,'AMFI DATA_2023H1'!C:C)</f>
        <v>1736</v>
      </c>
      <c r="B1064" s="4" t="s">
        <v>4604</v>
      </c>
      <c r="C1064" s="4" t="s">
        <v>4605</v>
      </c>
      <c r="D1064" s="5" t="s">
        <v>4606</v>
      </c>
      <c r="E1064" s="5">
        <f>LOOKUP(D1064,'AMFI DATA_2023H1'!B:D,'AMFI DATA_2023H1'!D:D)</f>
        <v>221</v>
      </c>
      <c r="F1064" s="7">
        <f t="shared" si="4"/>
        <v>0.35746606334841635</v>
      </c>
      <c r="G1064" s="9">
        <v>300</v>
      </c>
      <c r="H1064" s="9">
        <v>286</v>
      </c>
      <c r="I1064" s="9">
        <v>290</v>
      </c>
      <c r="J1064" s="9">
        <v>306</v>
      </c>
      <c r="K1064" s="9">
        <v>315</v>
      </c>
      <c r="L1064" s="9">
        <v>315</v>
      </c>
      <c r="M1064" s="9"/>
      <c r="N1064" s="9"/>
      <c r="O1064" s="9"/>
      <c r="P1064" s="9"/>
      <c r="Q1064" s="9">
        <f ca="1">IFERROR(__xludf.DUMMYFUNCTION("GOOGLEFINANCE(C1064,""changepct"")"),-0.59)</f>
        <v>-0.59</v>
      </c>
      <c r="R1064" s="9"/>
      <c r="S1064" s="9"/>
      <c r="T1064" s="9"/>
      <c r="U1064" s="9"/>
      <c r="V1064" s="9"/>
      <c r="W1064" s="9"/>
    </row>
    <row r="1065" spans="1:23" ht="14.4">
      <c r="A1065" s="3">
        <f>LOOKUP(D1065,'AMFI DATA_2023H1'!B:C,'AMFI DATA_2023H1'!C:C)</f>
        <v>1093</v>
      </c>
      <c r="B1065" s="4" t="s">
        <v>3506</v>
      </c>
      <c r="C1065" s="4" t="s">
        <v>3507</v>
      </c>
      <c r="D1065" s="5" t="s">
        <v>3508</v>
      </c>
      <c r="E1065" s="5">
        <f>LOOKUP(D1065,'AMFI DATA_2023H1'!B:D,'AMFI DATA_2023H1'!D:D)</f>
        <v>893.43</v>
      </c>
      <c r="F1065" s="7">
        <f t="shared" si="4"/>
        <v>-0.16277716217274996</v>
      </c>
      <c r="G1065" s="9">
        <v>748</v>
      </c>
      <c r="H1065" s="9">
        <v>769</v>
      </c>
      <c r="I1065" s="9">
        <v>735</v>
      </c>
      <c r="J1065" s="9">
        <v>737</v>
      </c>
      <c r="K1065" s="9">
        <v>736</v>
      </c>
      <c r="L1065" s="9">
        <v>703</v>
      </c>
      <c r="M1065" s="9"/>
      <c r="N1065" s="9"/>
      <c r="O1065" s="9"/>
      <c r="P1065" s="9"/>
      <c r="Q1065" s="9">
        <f ca="1">IFERROR(__xludf.DUMMYFUNCTION("GOOGLEFINANCE(C1065,""changepct"")"),-0.65)</f>
        <v>-0.65</v>
      </c>
      <c r="R1065" s="9"/>
      <c r="S1065" s="9"/>
      <c r="T1065" s="9"/>
      <c r="U1065" s="9"/>
      <c r="V1065" s="9"/>
      <c r="W1065" s="9"/>
    </row>
    <row r="1066" spans="1:23" ht="14.4">
      <c r="A1066" s="3">
        <f>LOOKUP(D1066,'AMFI DATA_2023H1'!B:C,'AMFI DATA_2023H1'!C:C)</f>
        <v>1238</v>
      </c>
      <c r="B1066" s="4" t="s">
        <v>3785</v>
      </c>
      <c r="C1066" s="4" t="s">
        <v>3786</v>
      </c>
      <c r="D1066" s="5" t="s">
        <v>3787</v>
      </c>
      <c r="E1066" s="5">
        <f>LOOKUP(D1066,'AMFI DATA_2023H1'!B:D,'AMFI DATA_2023H1'!D:D)</f>
        <v>624.39</v>
      </c>
      <c r="F1066" s="7">
        <f t="shared" si="4"/>
        <v>0.12269575105302777</v>
      </c>
      <c r="G1066" s="9">
        <v>701</v>
      </c>
      <c r="H1066" s="9">
        <v>696</v>
      </c>
      <c r="I1066" s="9">
        <v>697</v>
      </c>
      <c r="J1066" s="9">
        <v>705</v>
      </c>
      <c r="K1066" s="9">
        <v>713</v>
      </c>
      <c r="L1066" s="9">
        <v>732</v>
      </c>
      <c r="M1066" s="9"/>
      <c r="N1066" s="9"/>
      <c r="O1066" s="9"/>
      <c r="P1066" s="9"/>
      <c r="Q1066" s="9">
        <f ca="1">IFERROR(__xludf.DUMMYFUNCTION("GOOGLEFINANCE(C1066,""changepct"")"),3.59)</f>
        <v>3.59</v>
      </c>
      <c r="R1066" s="9"/>
      <c r="S1066" s="9"/>
      <c r="T1066" s="9"/>
      <c r="U1066" s="9"/>
      <c r="V1066" s="9"/>
      <c r="W1066" s="9"/>
    </row>
    <row r="1067" spans="1:23" ht="14.4">
      <c r="A1067" s="3">
        <f>LOOKUP(D1067,'AMFI DATA_2023H1'!B:C,'AMFI DATA_2023H1'!C:C)</f>
        <v>382</v>
      </c>
      <c r="B1067" s="4" t="s">
        <v>1248</v>
      </c>
      <c r="C1067" s="4" t="s">
        <v>1249</v>
      </c>
      <c r="D1067" s="5" t="s">
        <v>1250</v>
      </c>
      <c r="E1067" s="5">
        <f>LOOKUP(D1067,'AMFI DATA_2023H1'!B:D,'AMFI DATA_2023H1'!D:D)</f>
        <v>8354.81</v>
      </c>
      <c r="F1067" s="7">
        <f t="shared" si="4"/>
        <v>5.8671591574195103E-2</v>
      </c>
      <c r="G1067" s="8">
        <v>8845</v>
      </c>
      <c r="H1067" s="8">
        <v>8949</v>
      </c>
      <c r="I1067" s="8">
        <v>8908</v>
      </c>
      <c r="J1067" s="8">
        <v>8635</v>
      </c>
      <c r="K1067" s="8">
        <v>8679</v>
      </c>
      <c r="L1067" s="8">
        <v>8672</v>
      </c>
      <c r="M1067" s="8"/>
      <c r="N1067" s="8"/>
      <c r="O1067" s="8"/>
      <c r="P1067" s="8"/>
      <c r="Q1067" s="9">
        <f ca="1">IFERROR(__xludf.DUMMYFUNCTION("GOOGLEFINANCE(C1067,""changepct"")"),-1.76)</f>
        <v>-1.76</v>
      </c>
      <c r="R1067" s="8"/>
      <c r="S1067" s="8"/>
      <c r="T1067" s="8"/>
      <c r="U1067" s="8"/>
      <c r="V1067" s="8"/>
      <c r="W1067" s="8"/>
    </row>
    <row r="1068" spans="1:23" ht="14.4">
      <c r="A1068" s="3">
        <f>LOOKUP(D1068,'AMFI DATA_2023H1'!B:C,'AMFI DATA_2023H1'!C:C)</f>
        <v>1735</v>
      </c>
      <c r="B1068" s="4" t="s">
        <v>4298</v>
      </c>
      <c r="C1068" s="4" t="s">
        <v>4299</v>
      </c>
      <c r="D1068" s="5" t="s">
        <v>4300</v>
      </c>
      <c r="E1068" s="5">
        <f>LOOKUP(D1068,'AMFI DATA_2023H1'!B:D,'AMFI DATA_2023H1'!D:D)</f>
        <v>221.25</v>
      </c>
      <c r="F1068" s="7">
        <f t="shared" si="4"/>
        <v>1.2011299435028246</v>
      </c>
      <c r="G1068" s="9">
        <v>487</v>
      </c>
      <c r="H1068" s="9">
        <v>497</v>
      </c>
      <c r="I1068" s="9">
        <v>487</v>
      </c>
      <c r="J1068" s="9">
        <v>477</v>
      </c>
      <c r="K1068" s="9">
        <v>454</v>
      </c>
      <c r="L1068" s="9">
        <v>433</v>
      </c>
      <c r="M1068" s="9"/>
      <c r="N1068" s="9"/>
      <c r="O1068" s="9"/>
      <c r="P1068" s="9"/>
      <c r="Q1068" s="9">
        <f ca="1">IFERROR(__xludf.DUMMYFUNCTION("GOOGLEFINANCE(C1068,""changepct"")"),-3.92)</f>
        <v>-3.92</v>
      </c>
      <c r="R1068" s="9"/>
      <c r="S1068" s="9"/>
      <c r="T1068" s="9"/>
      <c r="U1068" s="9"/>
      <c r="V1068" s="9"/>
      <c r="W1068" s="9"/>
    </row>
    <row r="1069" spans="1:23" ht="14.4">
      <c r="A1069" s="3">
        <f>LOOKUP(D1069,'AMFI DATA_2023H1'!B:C,'AMFI DATA_2023H1'!C:C)</f>
        <v>1672</v>
      </c>
      <c r="B1069" s="4" t="s">
        <v>4379</v>
      </c>
      <c r="C1069" s="4" t="s">
        <v>4380</v>
      </c>
      <c r="D1069" s="5" t="s">
        <v>4381</v>
      </c>
      <c r="E1069" s="5">
        <f>LOOKUP(D1069,'AMFI DATA_2023H1'!B:D,'AMFI DATA_2023H1'!D:D)</f>
        <v>251.15</v>
      </c>
      <c r="F1069" s="7">
        <f t="shared" si="4"/>
        <v>0.46127812064503271</v>
      </c>
      <c r="G1069" s="9">
        <v>367</v>
      </c>
      <c r="H1069" s="9">
        <v>369</v>
      </c>
      <c r="I1069" s="9">
        <v>375</v>
      </c>
      <c r="J1069" s="9">
        <v>361</v>
      </c>
      <c r="K1069" s="9">
        <v>365</v>
      </c>
      <c r="L1069" s="9">
        <v>363</v>
      </c>
      <c r="M1069" s="9"/>
      <c r="N1069" s="9"/>
      <c r="O1069" s="9"/>
      <c r="P1069" s="9"/>
      <c r="Q1069" s="9">
        <f ca="1">IFERROR(__xludf.DUMMYFUNCTION("GOOGLEFINANCE(C1069,""changepct"")"),2.58)</f>
        <v>2.58</v>
      </c>
      <c r="R1069" s="9"/>
      <c r="S1069" s="9"/>
      <c r="T1069" s="9"/>
      <c r="U1069" s="9"/>
      <c r="V1069" s="9"/>
      <c r="W1069" s="9"/>
    </row>
    <row r="1070" spans="1:23" ht="14.4">
      <c r="A1070" s="3">
        <f>LOOKUP(D1070,'AMFI DATA_2023H1'!B:C,'AMFI DATA_2023H1'!C:C)</f>
        <v>733</v>
      </c>
      <c r="B1070" s="4" t="s">
        <v>2696</v>
      </c>
      <c r="C1070" s="4" t="s">
        <v>2697</v>
      </c>
      <c r="D1070" s="5" t="s">
        <v>2698</v>
      </c>
      <c r="E1070" s="5">
        <f>LOOKUP(D1070,'AMFI DATA_2023H1'!B:D,'AMFI DATA_2023H1'!D:D)</f>
        <v>2328.67</v>
      </c>
      <c r="F1070" s="7">
        <f t="shared" si="4"/>
        <v>-0.14371722914796858</v>
      </c>
      <c r="G1070" s="8">
        <v>1994</v>
      </c>
      <c r="H1070" s="8">
        <v>1973</v>
      </c>
      <c r="I1070" s="8">
        <v>1955</v>
      </c>
      <c r="J1070" s="8">
        <v>1995</v>
      </c>
      <c r="K1070" s="8">
        <v>2035</v>
      </c>
      <c r="L1070" s="8">
        <v>2045</v>
      </c>
      <c r="M1070" s="8"/>
      <c r="N1070" s="8"/>
      <c r="O1070" s="8"/>
      <c r="P1070" s="8"/>
      <c r="Q1070" s="9">
        <f ca="1">IFERROR(__xludf.DUMMYFUNCTION("GOOGLEFINANCE(C1070,""changepct"")"),3.19)</f>
        <v>3.19</v>
      </c>
      <c r="R1070" s="8"/>
      <c r="S1070" s="8"/>
      <c r="T1070" s="8"/>
      <c r="U1070" s="8"/>
      <c r="V1070" s="8"/>
      <c r="W1070" s="8"/>
    </row>
    <row r="1071" spans="1:23" ht="14.4">
      <c r="A1071" s="3">
        <f>LOOKUP(D1071,'AMFI DATA_2023H1'!B:C,'AMFI DATA_2023H1'!C:C)</f>
        <v>4427</v>
      </c>
      <c r="B1071" s="4" t="s">
        <v>5782</v>
      </c>
      <c r="C1071" s="4" t="s">
        <v>5783</v>
      </c>
      <c r="D1071" s="5" t="s">
        <v>5784</v>
      </c>
      <c r="E1071" s="5">
        <f>LOOKUP(D1071,'AMFI DATA_2023H1'!B:D,'AMFI DATA_2023H1'!D:D)</f>
        <v>3.65</v>
      </c>
      <c r="F1071" s="7">
        <f t="shared" si="4"/>
        <v>0.59726027397260273</v>
      </c>
      <c r="G1071" s="9">
        <v>5.83</v>
      </c>
      <c r="H1071" s="9">
        <v>5.94</v>
      </c>
      <c r="I1071" s="9">
        <v>6.05</v>
      </c>
      <c r="J1071" s="9">
        <v>6.17</v>
      </c>
      <c r="K1071" s="9">
        <v>6.15</v>
      </c>
      <c r="L1071" s="9">
        <v>6.28</v>
      </c>
      <c r="M1071" s="9"/>
      <c r="N1071" s="9"/>
      <c r="O1071" s="9"/>
      <c r="P1071" s="9"/>
      <c r="Q1071" s="9">
        <f ca="1">IFERROR(__xludf.DUMMYFUNCTION("GOOGLEFINANCE(C1071,""changepct"")"),3.42)</f>
        <v>3.42</v>
      </c>
      <c r="R1071" s="9"/>
      <c r="S1071" s="9"/>
      <c r="T1071" s="9"/>
      <c r="U1071" s="9"/>
      <c r="V1071" s="9"/>
      <c r="W1071" s="9"/>
    </row>
    <row r="1072" spans="1:23" ht="14.4">
      <c r="A1072" s="3">
        <f>LOOKUP(D1072,'AMFI DATA_2023H1'!B:C,'AMFI DATA_2023H1'!C:C)</f>
        <v>1232</v>
      </c>
      <c r="B1072" s="4" t="s">
        <v>3602</v>
      </c>
      <c r="C1072" s="4" t="s">
        <v>3603</v>
      </c>
      <c r="D1072" s="5" t="s">
        <v>3604</v>
      </c>
      <c r="E1072" s="5">
        <f>LOOKUP(D1072,'AMFI DATA_2023H1'!B:D,'AMFI DATA_2023H1'!D:D)</f>
        <v>630.66999999999996</v>
      </c>
      <c r="F1072" s="7">
        <f t="shared" si="4"/>
        <v>0.25263608543295235</v>
      </c>
      <c r="G1072" s="9">
        <v>790</v>
      </c>
      <c r="H1072" s="9">
        <v>769</v>
      </c>
      <c r="I1072" s="9">
        <v>751</v>
      </c>
      <c r="J1072" s="9">
        <v>748</v>
      </c>
      <c r="K1072" s="9">
        <v>746</v>
      </c>
      <c r="L1072" s="9">
        <v>740</v>
      </c>
      <c r="M1072" s="9"/>
      <c r="N1072" s="9"/>
      <c r="O1072" s="9"/>
      <c r="P1072" s="9"/>
      <c r="Q1072" s="9">
        <f ca="1">IFERROR(__xludf.DUMMYFUNCTION("GOOGLEFINANCE(C1072,""changepct"")"),0.99)</f>
        <v>0.99</v>
      </c>
      <c r="R1072" s="9"/>
      <c r="S1072" s="9"/>
      <c r="T1072" s="9"/>
      <c r="U1072" s="9"/>
      <c r="V1072" s="9"/>
      <c r="W1072" s="9"/>
    </row>
    <row r="1073" spans="1:23" ht="14.4">
      <c r="A1073" s="3">
        <f>LOOKUP(D1073,'AMFI DATA_2023H1'!B:C,'AMFI DATA_2023H1'!C:C)</f>
        <v>1634</v>
      </c>
      <c r="B1073" s="4" t="s">
        <v>4580</v>
      </c>
      <c r="C1073" s="4" t="s">
        <v>4581</v>
      </c>
      <c r="D1073" s="5" t="s">
        <v>4582</v>
      </c>
      <c r="E1073" s="5">
        <f>LOOKUP(D1073,'AMFI DATA_2023H1'!B:D,'AMFI DATA_2023H1'!D:D)</f>
        <v>269.93</v>
      </c>
      <c r="F1073" s="7">
        <f t="shared" si="4"/>
        <v>4.1010632386174084E-2</v>
      </c>
      <c r="G1073" s="9">
        <v>281</v>
      </c>
      <c r="H1073" s="9">
        <v>284</v>
      </c>
      <c r="I1073" s="9">
        <v>289</v>
      </c>
      <c r="J1073" s="9">
        <v>282</v>
      </c>
      <c r="K1073" s="9">
        <v>295</v>
      </c>
      <c r="L1073" s="9">
        <v>295</v>
      </c>
      <c r="M1073" s="9"/>
      <c r="N1073" s="9"/>
      <c r="O1073" s="9"/>
      <c r="P1073" s="9"/>
      <c r="Q1073" s="9">
        <f ca="1">IFERROR(__xludf.DUMMYFUNCTION("GOOGLEFINANCE(C1073,""changepct"")"),0.33)</f>
        <v>0.33</v>
      </c>
      <c r="R1073" s="9"/>
      <c r="S1073" s="9"/>
      <c r="T1073" s="9"/>
      <c r="U1073" s="9"/>
      <c r="V1073" s="9"/>
      <c r="W1073" s="9"/>
    </row>
    <row r="1074" spans="1:23" ht="14.4">
      <c r="A1074" s="3">
        <f>LOOKUP(D1074,'AMFI DATA_2023H1'!B:C,'AMFI DATA_2023H1'!C:C)</f>
        <v>202</v>
      </c>
      <c r="B1074" s="4" t="s">
        <v>600</v>
      </c>
      <c r="C1074" s="4" t="s">
        <v>601</v>
      </c>
      <c r="D1074" s="5" t="s">
        <v>602</v>
      </c>
      <c r="E1074" s="5">
        <f>LOOKUP(D1074,'AMFI DATA_2023H1'!B:D,'AMFI DATA_2023H1'!D:D)</f>
        <v>23416.06</v>
      </c>
      <c r="F1074" s="7">
        <f t="shared" si="4"/>
        <v>0.4420017714337936</v>
      </c>
      <c r="G1074" s="8">
        <v>33766</v>
      </c>
      <c r="H1074" s="8">
        <v>34123</v>
      </c>
      <c r="I1074" s="8">
        <v>34092</v>
      </c>
      <c r="J1074" s="8">
        <v>34751</v>
      </c>
      <c r="K1074" s="8">
        <v>35300</v>
      </c>
      <c r="L1074" s="8">
        <v>35332</v>
      </c>
      <c r="M1074" s="8"/>
      <c r="N1074" s="8"/>
      <c r="O1074" s="8"/>
      <c r="P1074" s="8"/>
      <c r="Q1074" s="9">
        <f ca="1">IFERROR(__xludf.DUMMYFUNCTION("GOOGLEFINANCE(C1074,""changepct"")"),-6.44)</f>
        <v>-6.44</v>
      </c>
      <c r="R1074" s="8"/>
      <c r="S1074" s="8"/>
      <c r="T1074" s="8"/>
      <c r="U1074" s="8"/>
      <c r="V1074" s="8"/>
      <c r="W1074" s="8"/>
    </row>
    <row r="1075" spans="1:23" ht="14.4">
      <c r="A1075" s="3">
        <f>LOOKUP(D1075,'AMFI DATA_2023H1'!B:C,'AMFI DATA_2023H1'!C:C)</f>
        <v>430</v>
      </c>
      <c r="B1075" s="4" t="s">
        <v>1446</v>
      </c>
      <c r="C1075" s="4" t="s">
        <v>1447</v>
      </c>
      <c r="D1075" s="5" t="s">
        <v>1448</v>
      </c>
      <c r="E1075" s="5">
        <f>LOOKUP(D1075,'AMFI DATA_2023H1'!B:D,'AMFI DATA_2023H1'!D:D)</f>
        <v>6686.11</v>
      </c>
      <c r="F1075" s="7">
        <f t="shared" si="4"/>
        <v>0.28250956086573509</v>
      </c>
      <c r="G1075" s="8">
        <v>8575</v>
      </c>
      <c r="H1075" s="8">
        <v>8577</v>
      </c>
      <c r="I1075" s="8">
        <v>8534</v>
      </c>
      <c r="J1075" s="8">
        <v>8515</v>
      </c>
      <c r="K1075" s="8">
        <v>8687</v>
      </c>
      <c r="L1075" s="8">
        <v>8783</v>
      </c>
      <c r="M1075" s="8"/>
      <c r="N1075" s="8"/>
      <c r="O1075" s="8"/>
      <c r="P1075" s="8"/>
      <c r="Q1075" s="9">
        <f ca="1">IFERROR(__xludf.DUMMYFUNCTION("GOOGLEFINANCE(C1075,""changepct"")"),0.96)</f>
        <v>0.96</v>
      </c>
      <c r="R1075" s="8"/>
      <c r="S1075" s="8"/>
      <c r="T1075" s="8"/>
      <c r="U1075" s="8"/>
      <c r="V1075" s="8"/>
      <c r="W1075" s="8"/>
    </row>
    <row r="1076" spans="1:23" ht="14.4">
      <c r="A1076" s="3">
        <f>LOOKUP(D1076,'AMFI DATA_2023H1'!B:C,'AMFI DATA_2023H1'!C:C)</f>
        <v>1522</v>
      </c>
      <c r="B1076" s="4" t="s">
        <v>3689</v>
      </c>
      <c r="C1076" s="4" t="s">
        <v>3690</v>
      </c>
      <c r="D1076" s="5" t="s">
        <v>3691</v>
      </c>
      <c r="E1076" s="5">
        <f>LOOKUP(D1076,'AMFI DATA_2023H1'!B:D,'AMFI DATA_2023H1'!D:D)</f>
        <v>331.91</v>
      </c>
      <c r="F1076" s="7">
        <f t="shared" si="4"/>
        <v>1.250610105148986</v>
      </c>
      <c r="G1076" s="9">
        <v>747</v>
      </c>
      <c r="H1076" s="9">
        <v>755</v>
      </c>
      <c r="I1076" s="9">
        <v>742</v>
      </c>
      <c r="J1076" s="9">
        <v>746</v>
      </c>
      <c r="K1076" s="9">
        <v>751</v>
      </c>
      <c r="L1076" s="9">
        <v>755</v>
      </c>
      <c r="M1076" s="9"/>
      <c r="N1076" s="9"/>
      <c r="O1076" s="9"/>
      <c r="P1076" s="9"/>
      <c r="Q1076" s="9">
        <f ca="1">IFERROR(__xludf.DUMMYFUNCTION("GOOGLEFINANCE(C1076,""changepct"")"),-0.14)</f>
        <v>-0.14000000000000001</v>
      </c>
      <c r="R1076" s="9"/>
      <c r="S1076" s="9"/>
      <c r="T1076" s="9"/>
      <c r="U1076" s="9"/>
      <c r="V1076" s="9"/>
      <c r="W1076" s="9"/>
    </row>
    <row r="1077" spans="1:23" ht="14.4">
      <c r="A1077" s="3">
        <f>LOOKUP(D1077,'AMFI DATA_2023H1'!B:C,'AMFI DATA_2023H1'!C:C)</f>
        <v>467</v>
      </c>
      <c r="B1077" s="4" t="s">
        <v>1404</v>
      </c>
      <c r="C1077" s="4" t="s">
        <v>1405</v>
      </c>
      <c r="D1077" s="5" t="s">
        <v>1406</v>
      </c>
      <c r="E1077" s="5">
        <f>LOOKUP(D1077,'AMFI DATA_2023H1'!B:D,'AMFI DATA_2023H1'!D:D)</f>
        <v>5772.14</v>
      </c>
      <c r="F1077" s="7">
        <f t="shared" si="4"/>
        <v>0.59420942665978305</v>
      </c>
      <c r="G1077" s="8">
        <v>9202</v>
      </c>
      <c r="H1077" s="8">
        <v>9206</v>
      </c>
      <c r="I1077" s="8">
        <v>9037</v>
      </c>
      <c r="J1077" s="8">
        <v>9169</v>
      </c>
      <c r="K1077" s="8">
        <v>9234</v>
      </c>
      <c r="L1077" s="8">
        <v>9181</v>
      </c>
      <c r="M1077" s="8"/>
      <c r="N1077" s="8"/>
      <c r="O1077" s="8"/>
      <c r="P1077" s="8"/>
      <c r="Q1077" s="9">
        <f ca="1">IFERROR(__xludf.DUMMYFUNCTION("GOOGLEFINANCE(C1077,""changepct"")"),0.8)</f>
        <v>0.8</v>
      </c>
      <c r="R1077" s="8"/>
      <c r="S1077" s="8"/>
      <c r="T1077" s="8"/>
      <c r="U1077" s="8"/>
      <c r="V1077" s="8"/>
      <c r="W1077" s="8"/>
    </row>
    <row r="1078" spans="1:23" ht="14.4">
      <c r="A1078" s="3">
        <f>LOOKUP(D1078,'AMFI DATA_2023H1'!B:C,'AMFI DATA_2023H1'!C:C)</f>
        <v>1538</v>
      </c>
      <c r="B1078" s="4" t="s">
        <v>4094</v>
      </c>
      <c r="C1078" s="4" t="s">
        <v>4095</v>
      </c>
      <c r="D1078" s="5" t="s">
        <v>4096</v>
      </c>
      <c r="E1078" s="5">
        <f>LOOKUP(D1078,'AMFI DATA_2023H1'!B:D,'AMFI DATA_2023H1'!D:D)</f>
        <v>322.88</v>
      </c>
      <c r="F1078" s="7">
        <f t="shared" si="4"/>
        <v>0.87995540138751238</v>
      </c>
      <c r="G1078" s="9">
        <v>607</v>
      </c>
      <c r="H1078" s="9">
        <v>593</v>
      </c>
      <c r="I1078" s="9">
        <v>597</v>
      </c>
      <c r="J1078" s="9">
        <v>606</v>
      </c>
      <c r="K1078" s="9">
        <v>603</v>
      </c>
      <c r="L1078" s="9">
        <v>623</v>
      </c>
      <c r="M1078" s="9"/>
      <c r="N1078" s="9"/>
      <c r="O1078" s="9"/>
      <c r="P1078" s="9"/>
      <c r="Q1078" s="9">
        <f ca="1">IFERROR(__xludf.DUMMYFUNCTION("GOOGLEFINANCE(C1078,""changepct"")"),0.1)</f>
        <v>0.1</v>
      </c>
      <c r="R1078" s="9"/>
      <c r="S1078" s="9"/>
      <c r="T1078" s="9"/>
      <c r="U1078" s="9"/>
      <c r="V1078" s="9"/>
      <c r="W1078" s="9"/>
    </row>
    <row r="1079" spans="1:23" ht="14.4">
      <c r="A1079" s="3">
        <f>LOOKUP(D1079,'AMFI DATA_2023H1'!B:C,'AMFI DATA_2023H1'!C:C)</f>
        <v>1515</v>
      </c>
      <c r="B1079" s="4" t="s">
        <v>4067</v>
      </c>
      <c r="C1079" s="4" t="s">
        <v>4068</v>
      </c>
      <c r="D1079" s="5" t="s">
        <v>4069</v>
      </c>
      <c r="E1079" s="5">
        <f>LOOKUP(D1079,'AMFI DATA_2023H1'!B:D,'AMFI DATA_2023H1'!D:D)</f>
        <v>336.81</v>
      </c>
      <c r="F1079" s="7">
        <f t="shared" si="4"/>
        <v>9.8542204803895306E-2</v>
      </c>
      <c r="G1079" s="9">
        <v>370</v>
      </c>
      <c r="H1079" s="9">
        <v>367</v>
      </c>
      <c r="I1079" s="9">
        <v>374</v>
      </c>
      <c r="J1079" s="9">
        <v>377</v>
      </c>
      <c r="K1079" s="9">
        <v>385</v>
      </c>
      <c r="L1079" s="9">
        <v>378</v>
      </c>
      <c r="M1079" s="9"/>
      <c r="N1079" s="9"/>
      <c r="O1079" s="9"/>
      <c r="P1079" s="9"/>
      <c r="Q1079" s="9">
        <f ca="1">IFERROR(__xludf.DUMMYFUNCTION("GOOGLEFINANCE(C1079,""changepct"")"),1.2)</f>
        <v>1.2</v>
      </c>
      <c r="R1079" s="9"/>
      <c r="S1079" s="9"/>
      <c r="T1079" s="9"/>
      <c r="U1079" s="9"/>
      <c r="V1079" s="9"/>
      <c r="W1079" s="9"/>
    </row>
    <row r="1080" spans="1:23" ht="14.4">
      <c r="A1080" s="3">
        <f>LOOKUP(D1080,'AMFI DATA_2023H1'!B:C,'AMFI DATA_2023H1'!C:C)</f>
        <v>1179</v>
      </c>
      <c r="B1080" s="4" t="s">
        <v>3773</v>
      </c>
      <c r="C1080" s="4" t="s">
        <v>3774</v>
      </c>
      <c r="D1080" s="5" t="s">
        <v>3775</v>
      </c>
      <c r="E1080" s="5">
        <f>LOOKUP(D1080,'AMFI DATA_2023H1'!B:D,'AMFI DATA_2023H1'!D:D)</f>
        <v>728.06</v>
      </c>
      <c r="F1080" s="7">
        <f t="shared" si="4"/>
        <v>-0.10721643820564231</v>
      </c>
      <c r="G1080" s="9">
        <v>650</v>
      </c>
      <c r="H1080" s="9">
        <v>642</v>
      </c>
      <c r="I1080" s="9">
        <v>648</v>
      </c>
      <c r="J1080" s="9">
        <v>645</v>
      </c>
      <c r="K1080" s="9">
        <v>650</v>
      </c>
      <c r="L1080" s="9">
        <v>654</v>
      </c>
      <c r="M1080" s="9"/>
      <c r="N1080" s="9"/>
      <c r="O1080" s="9"/>
      <c r="P1080" s="9"/>
      <c r="Q1080" s="9">
        <f ca="1">IFERROR(__xludf.DUMMYFUNCTION("GOOGLEFINANCE(C1080,""changepct"")"),4.88)</f>
        <v>4.88</v>
      </c>
      <c r="R1080" s="9"/>
      <c r="S1080" s="9"/>
      <c r="T1080" s="9"/>
      <c r="U1080" s="9"/>
      <c r="V1080" s="9"/>
      <c r="W1080" s="9"/>
    </row>
    <row r="1081" spans="1:23" ht="14.4">
      <c r="A1081" s="3">
        <f>LOOKUP(D1081,'AMFI DATA_2023H1'!B:C,'AMFI DATA_2023H1'!C:C)</f>
        <v>575</v>
      </c>
      <c r="B1081" s="4" t="s">
        <v>1518</v>
      </c>
      <c r="C1081" s="4" t="s">
        <v>1519</v>
      </c>
      <c r="D1081" s="5" t="s">
        <v>1520</v>
      </c>
      <c r="E1081" s="5">
        <f>LOOKUP(D1081,'AMFI DATA_2023H1'!B:D,'AMFI DATA_2023H1'!D:D)</f>
        <v>4017.15</v>
      </c>
      <c r="F1081" s="7">
        <f t="shared" si="4"/>
        <v>0.94167506814532698</v>
      </c>
      <c r="G1081" s="8">
        <v>7800</v>
      </c>
      <c r="H1081" s="8">
        <v>7835</v>
      </c>
      <c r="I1081" s="8">
        <v>7938</v>
      </c>
      <c r="J1081" s="8">
        <v>7717</v>
      </c>
      <c r="K1081" s="8">
        <v>7702</v>
      </c>
      <c r="L1081" s="8">
        <v>7521</v>
      </c>
      <c r="M1081" s="8"/>
      <c r="N1081" s="8"/>
      <c r="O1081" s="8"/>
      <c r="P1081" s="8"/>
      <c r="Q1081" s="9">
        <f ca="1">IFERROR(__xludf.DUMMYFUNCTION("GOOGLEFINANCE(C1081,""changepct"")"),7.83)</f>
        <v>7.83</v>
      </c>
      <c r="R1081" s="8"/>
      <c r="S1081" s="8"/>
      <c r="T1081" s="8"/>
      <c r="U1081" s="8"/>
      <c r="V1081" s="8"/>
      <c r="W1081" s="8"/>
    </row>
    <row r="1082" spans="1:23" ht="14.4">
      <c r="A1082" s="3">
        <f>LOOKUP(D1082,'AMFI DATA_2023H1'!B:C,'AMFI DATA_2023H1'!C:C)</f>
        <v>2260</v>
      </c>
      <c r="B1082" s="4" t="s">
        <v>5135</v>
      </c>
      <c r="C1082" s="4" t="s">
        <v>5136</v>
      </c>
      <c r="D1082" s="5" t="s">
        <v>5137</v>
      </c>
      <c r="E1082" s="5">
        <f>LOOKUP(D1082,'AMFI DATA_2023H1'!B:D,'AMFI DATA_2023H1'!D:D)</f>
        <v>93.26</v>
      </c>
      <c r="F1082" s="7">
        <f t="shared" si="4"/>
        <v>0.31889341625562939</v>
      </c>
      <c r="G1082" s="9">
        <v>123</v>
      </c>
      <c r="H1082" s="9">
        <v>124</v>
      </c>
      <c r="I1082" s="9">
        <v>122</v>
      </c>
      <c r="J1082" s="9">
        <v>122</v>
      </c>
      <c r="K1082" s="9">
        <v>123</v>
      </c>
      <c r="L1082" s="9">
        <v>124</v>
      </c>
      <c r="M1082" s="9"/>
      <c r="N1082" s="9"/>
      <c r="O1082" s="9"/>
      <c r="P1082" s="9"/>
      <c r="Q1082" s="9">
        <f ca="1">IFERROR(__xludf.DUMMYFUNCTION("GOOGLEFINANCE(C1082,""changepct"")"),43.94)</f>
        <v>43.94</v>
      </c>
      <c r="R1082" s="9"/>
      <c r="S1082" s="9"/>
      <c r="T1082" s="9"/>
      <c r="U1082" s="9"/>
      <c r="V1082" s="9"/>
      <c r="W1082" s="9"/>
    </row>
    <row r="1083" spans="1:23" ht="14.4">
      <c r="A1083" s="3">
        <f>LOOKUP(D1083,'AMFI DATA_2023H1'!B:C,'AMFI DATA_2023H1'!C:C)</f>
        <v>3351</v>
      </c>
      <c r="B1083" s="4" t="s">
        <v>5638</v>
      </c>
      <c r="C1083" s="4" t="s">
        <v>5639</v>
      </c>
      <c r="D1083" s="5" t="s">
        <v>5640</v>
      </c>
      <c r="E1083" s="5">
        <f>LOOKUP(D1083,'AMFI DATA_2023H1'!B:D,'AMFI DATA_2023H1'!D:D)</f>
        <v>18.149999999999999</v>
      </c>
      <c r="F1083" s="7">
        <f t="shared" si="4"/>
        <v>2.4269972451790638</v>
      </c>
      <c r="G1083" s="9">
        <v>62.2</v>
      </c>
      <c r="H1083" s="9">
        <v>60.7</v>
      </c>
      <c r="I1083" s="9">
        <v>59.2</v>
      </c>
      <c r="J1083" s="9">
        <v>60.7</v>
      </c>
      <c r="K1083" s="9">
        <v>60.7</v>
      </c>
      <c r="L1083" s="9">
        <v>59.2</v>
      </c>
      <c r="M1083" s="9"/>
      <c r="N1083" s="9"/>
      <c r="O1083" s="9"/>
      <c r="P1083" s="9"/>
      <c r="Q1083" s="9">
        <f ca="1">IFERROR(__xludf.DUMMYFUNCTION("GOOGLEFINANCE(C1083,""changepct"")"),0)</f>
        <v>0</v>
      </c>
      <c r="R1083" s="9"/>
      <c r="S1083" s="9"/>
      <c r="T1083" s="9"/>
      <c r="U1083" s="9"/>
      <c r="V1083" s="9"/>
      <c r="W1083" s="9"/>
    </row>
    <row r="1084" spans="1:23" ht="14.4">
      <c r="A1084" s="3">
        <f>LOOKUP(D1084,'AMFI DATA_2023H1'!B:C,'AMFI DATA_2023H1'!C:C)</f>
        <v>776</v>
      </c>
      <c r="B1084" s="4" t="s">
        <v>2570</v>
      </c>
      <c r="C1084" s="4" t="s">
        <v>2571</v>
      </c>
      <c r="D1084" s="5" t="s">
        <v>2572</v>
      </c>
      <c r="E1084" s="5">
        <f>LOOKUP(D1084,'AMFI DATA_2023H1'!B:D,'AMFI DATA_2023H1'!D:D)</f>
        <v>2064.87</v>
      </c>
      <c r="F1084" s="7">
        <f t="shared" si="4"/>
        <v>0.14050763486321172</v>
      </c>
      <c r="G1084" s="8">
        <v>2355</v>
      </c>
      <c r="H1084" s="8">
        <v>2331</v>
      </c>
      <c r="I1084" s="8">
        <v>2376</v>
      </c>
      <c r="J1084" s="8">
        <v>2431</v>
      </c>
      <c r="K1084" s="8">
        <v>2497</v>
      </c>
      <c r="L1084" s="8">
        <v>2471</v>
      </c>
      <c r="M1084" s="8"/>
      <c r="N1084" s="8"/>
      <c r="O1084" s="8"/>
      <c r="P1084" s="8"/>
      <c r="Q1084" s="9">
        <f ca="1">IFERROR(__xludf.DUMMYFUNCTION("GOOGLEFINANCE(C1084,""changepct"")"),0.7)</f>
        <v>0.7</v>
      </c>
      <c r="R1084" s="8"/>
      <c r="S1084" s="8"/>
      <c r="T1084" s="8"/>
      <c r="U1084" s="8"/>
      <c r="V1084" s="8"/>
      <c r="W1084" s="8"/>
    </row>
    <row r="1085" spans="1:23" ht="14.4">
      <c r="A1085" s="3">
        <f>LOOKUP(D1085,'AMFI DATA_2023H1'!B:C,'AMFI DATA_2023H1'!C:C)</f>
        <v>1448</v>
      </c>
      <c r="B1085" s="4" t="s">
        <v>3908</v>
      </c>
      <c r="C1085" s="4" t="s">
        <v>3909</v>
      </c>
      <c r="D1085" s="5" t="s">
        <v>3910</v>
      </c>
      <c r="E1085" s="5">
        <f>LOOKUP(D1085,'AMFI DATA_2023H1'!B:D,'AMFI DATA_2023H1'!D:D)</f>
        <v>381.5</v>
      </c>
      <c r="F1085" s="7">
        <f t="shared" si="4"/>
        <v>0.37352555701179546</v>
      </c>
      <c r="G1085" s="9">
        <v>524</v>
      </c>
      <c r="H1085" s="9">
        <v>529</v>
      </c>
      <c r="I1085" s="9">
        <v>527</v>
      </c>
      <c r="J1085" s="9">
        <v>526</v>
      </c>
      <c r="K1085" s="9">
        <v>525</v>
      </c>
      <c r="L1085" s="9">
        <v>508</v>
      </c>
      <c r="M1085" s="9"/>
      <c r="N1085" s="9"/>
      <c r="O1085" s="9"/>
      <c r="P1085" s="9"/>
      <c r="Q1085" s="9">
        <f ca="1">IFERROR(__xludf.DUMMYFUNCTION("GOOGLEFINANCE(C1085,""changepct"")"),-0.42)</f>
        <v>-0.42</v>
      </c>
      <c r="R1085" s="9"/>
      <c r="S1085" s="9"/>
      <c r="T1085" s="9"/>
      <c r="U1085" s="9"/>
      <c r="V1085" s="9"/>
      <c r="W1085" s="9"/>
    </row>
    <row r="1086" spans="1:23" ht="14.4">
      <c r="A1086" s="3">
        <f>LOOKUP(D1086,'AMFI DATA_2023H1'!B:C,'AMFI DATA_2023H1'!C:C)</f>
        <v>523</v>
      </c>
      <c r="B1086" s="4" t="s">
        <v>1449</v>
      </c>
      <c r="C1086" s="4" t="s">
        <v>1450</v>
      </c>
      <c r="D1086" s="5" t="s">
        <v>1451</v>
      </c>
      <c r="E1086" s="5">
        <f>LOOKUP(D1086,'AMFI DATA_2023H1'!B:D,'AMFI DATA_2023H1'!D:D)</f>
        <v>4754.8</v>
      </c>
      <c r="F1086" s="7">
        <f t="shared" si="4"/>
        <v>0.89745099688735586</v>
      </c>
      <c r="G1086" s="8">
        <v>9022</v>
      </c>
      <c r="H1086" s="8">
        <v>8976</v>
      </c>
      <c r="I1086" s="8">
        <v>8908</v>
      </c>
      <c r="J1086" s="8">
        <v>9050</v>
      </c>
      <c r="K1086" s="8">
        <v>8958</v>
      </c>
      <c r="L1086" s="8">
        <v>8805</v>
      </c>
      <c r="M1086" s="8"/>
      <c r="N1086" s="8"/>
      <c r="O1086" s="8"/>
      <c r="P1086" s="8"/>
      <c r="Q1086" s="9">
        <f ca="1">IFERROR(__xludf.DUMMYFUNCTION("GOOGLEFINANCE(C1086,""changepct"")"),10.64)</f>
        <v>10.64</v>
      </c>
      <c r="R1086" s="8"/>
      <c r="S1086" s="8"/>
      <c r="T1086" s="8"/>
      <c r="U1086" s="8"/>
      <c r="V1086" s="8"/>
      <c r="W1086" s="8"/>
    </row>
    <row r="1087" spans="1:23" ht="14.4">
      <c r="A1087" s="3">
        <f>LOOKUP(D1087,'AMFI DATA_2023H1'!B:C,'AMFI DATA_2023H1'!C:C)</f>
        <v>1919</v>
      </c>
      <c r="B1087" s="4" t="s">
        <v>4682</v>
      </c>
      <c r="C1087" s="4" t="s">
        <v>4683</v>
      </c>
      <c r="D1087" s="5" t="s">
        <v>4684</v>
      </c>
      <c r="E1087" s="5">
        <f>LOOKUP(D1087,'AMFI DATA_2023H1'!B:D,'AMFI DATA_2023H1'!D:D)</f>
        <v>162</v>
      </c>
      <c r="F1087" s="7">
        <f t="shared" si="4"/>
        <v>0.30864197530864201</v>
      </c>
      <c r="G1087" s="9">
        <v>212</v>
      </c>
      <c r="H1087" s="9">
        <v>210</v>
      </c>
      <c r="I1087" s="9">
        <v>214</v>
      </c>
      <c r="J1087" s="9">
        <v>208</v>
      </c>
      <c r="K1087" s="9">
        <v>211</v>
      </c>
      <c r="L1087" s="9">
        <v>210</v>
      </c>
      <c r="M1087" s="9"/>
      <c r="N1087" s="9"/>
      <c r="O1087" s="9"/>
      <c r="P1087" s="9"/>
      <c r="Q1087" s="9">
        <f ca="1">IFERROR(__xludf.DUMMYFUNCTION("GOOGLEFINANCE(C1087,""changepct"")"),-1.06)</f>
        <v>-1.06</v>
      </c>
      <c r="R1087" s="9"/>
      <c r="S1087" s="9"/>
      <c r="T1087" s="9"/>
      <c r="U1087" s="9"/>
      <c r="V1087" s="9"/>
      <c r="W1087" s="9"/>
    </row>
    <row r="1088" spans="1:23" ht="14.4">
      <c r="A1088" s="3">
        <f>LOOKUP(D1088,'AMFI DATA_2023H1'!B:C,'AMFI DATA_2023H1'!C:C)</f>
        <v>1760</v>
      </c>
      <c r="B1088" s="4" t="s">
        <v>4409</v>
      </c>
      <c r="C1088" s="4" t="s">
        <v>4410</v>
      </c>
      <c r="D1088" s="5" t="s">
        <v>4411</v>
      </c>
      <c r="E1088" s="5">
        <f>LOOKUP(D1088,'AMFI DATA_2023H1'!B:D,'AMFI DATA_2023H1'!D:D)</f>
        <v>210.18</v>
      </c>
      <c r="F1088" s="7">
        <f t="shared" si="4"/>
        <v>1.1124750214102197</v>
      </c>
      <c r="G1088" s="9">
        <v>444</v>
      </c>
      <c r="H1088" s="9">
        <v>454</v>
      </c>
      <c r="I1088" s="9">
        <v>445</v>
      </c>
      <c r="J1088" s="9">
        <v>440</v>
      </c>
      <c r="K1088" s="9">
        <v>423</v>
      </c>
      <c r="L1088" s="9">
        <v>429</v>
      </c>
      <c r="M1088" s="9"/>
      <c r="N1088" s="9"/>
      <c r="O1088" s="9"/>
      <c r="P1088" s="9"/>
      <c r="Q1088" s="9">
        <f ca="1">IFERROR(__xludf.DUMMYFUNCTION("GOOGLEFINANCE(C1088,""changepct"")"),-0.43)</f>
        <v>-0.43</v>
      </c>
      <c r="R1088" s="9"/>
      <c r="S1088" s="9"/>
      <c r="T1088" s="9"/>
      <c r="U1088" s="9"/>
      <c r="V1088" s="9"/>
      <c r="W1088" s="9"/>
    </row>
    <row r="1089" spans="1:23" ht="14.4">
      <c r="A1089" s="3">
        <f>LOOKUP(D1089,'AMFI DATA_2023H1'!B:C,'AMFI DATA_2023H1'!C:C)</f>
        <v>3249</v>
      </c>
      <c r="B1089" s="4" t="s">
        <v>5644</v>
      </c>
      <c r="C1089" s="4" t="s">
        <v>5645</v>
      </c>
      <c r="D1089" s="5" t="s">
        <v>5646</v>
      </c>
      <c r="E1089" s="5">
        <f>LOOKUP(D1089,'AMFI DATA_2023H1'!B:D,'AMFI DATA_2023H1'!D:D)</f>
        <v>20.97</v>
      </c>
      <c r="F1089" s="7">
        <f t="shared" si="4"/>
        <v>0.18264186933714832</v>
      </c>
      <c r="G1089" s="9">
        <v>24.8</v>
      </c>
      <c r="H1089" s="9">
        <v>24.6</v>
      </c>
      <c r="I1089" s="9">
        <v>24.6</v>
      </c>
      <c r="J1089" s="9">
        <v>24.7</v>
      </c>
      <c r="K1089" s="9">
        <v>23.3</v>
      </c>
      <c r="L1089" s="9">
        <v>23.7</v>
      </c>
      <c r="M1089" s="9"/>
      <c r="N1089" s="9"/>
      <c r="O1089" s="9"/>
      <c r="P1089" s="9"/>
      <c r="Q1089" s="9">
        <f ca="1">IFERROR(__xludf.DUMMYFUNCTION("GOOGLEFINANCE(C1089,""changepct"")"),7.73)</f>
        <v>7.73</v>
      </c>
      <c r="R1089" s="9"/>
      <c r="S1089" s="9"/>
      <c r="T1089" s="9"/>
      <c r="U1089" s="9"/>
      <c r="V1089" s="9"/>
      <c r="W1089" s="9"/>
    </row>
    <row r="1090" spans="1:23" ht="14.4">
      <c r="A1090" s="3">
        <f>LOOKUP(D1090,'AMFI DATA_2023H1'!B:C,'AMFI DATA_2023H1'!C:C)</f>
        <v>636</v>
      </c>
      <c r="B1090" s="4" t="s">
        <v>1845</v>
      </c>
      <c r="C1090" s="4" t="s">
        <v>1846</v>
      </c>
      <c r="D1090" s="5" t="s">
        <v>1847</v>
      </c>
      <c r="E1090" s="5">
        <f>LOOKUP(D1090,'AMFI DATA_2023H1'!B:D,'AMFI DATA_2023H1'!D:D)</f>
        <v>3211.2</v>
      </c>
      <c r="F1090" s="7">
        <f t="shared" si="4"/>
        <v>0.98648480318883913</v>
      </c>
      <c r="G1090" s="8">
        <v>6379</v>
      </c>
      <c r="H1090" s="8">
        <v>6288</v>
      </c>
      <c r="I1090" s="8">
        <v>6360</v>
      </c>
      <c r="J1090" s="8">
        <v>6270</v>
      </c>
      <c r="K1090" s="8">
        <v>6234</v>
      </c>
      <c r="L1090" s="8">
        <v>6233</v>
      </c>
      <c r="M1090" s="8"/>
      <c r="N1090" s="8"/>
      <c r="O1090" s="8"/>
      <c r="P1090" s="8"/>
      <c r="Q1090" s="9">
        <f ca="1">IFERROR(__xludf.DUMMYFUNCTION("GOOGLEFINANCE(C1090,""changepct"")"),4.61)</f>
        <v>4.6100000000000003</v>
      </c>
      <c r="R1090" s="8"/>
      <c r="S1090" s="8"/>
      <c r="T1090" s="8"/>
      <c r="U1090" s="8"/>
      <c r="V1090" s="8"/>
      <c r="W1090" s="8"/>
    </row>
    <row r="1091" spans="1:23" ht="14.4">
      <c r="A1091" s="3">
        <f>LOOKUP(D1091,'AMFI DATA_2023H1'!B:C,'AMFI DATA_2023H1'!C:C)</f>
        <v>2560</v>
      </c>
      <c r="B1091" s="4" t="s">
        <v>5326</v>
      </c>
      <c r="C1091" s="4" t="s">
        <v>5327</v>
      </c>
      <c r="D1091" s="5" t="s">
        <v>5328</v>
      </c>
      <c r="E1091" s="5">
        <f>LOOKUP(D1091,'AMFI DATA_2023H1'!B:D,'AMFI DATA_2023H1'!D:D)</f>
        <v>56.46</v>
      </c>
      <c r="F1091" s="7">
        <f t="shared" si="4"/>
        <v>0.33014523556500164</v>
      </c>
      <c r="G1091" s="9">
        <v>75.099999999999994</v>
      </c>
      <c r="H1091" s="9">
        <v>75.099999999999994</v>
      </c>
      <c r="I1091" s="9">
        <v>75.900000000000006</v>
      </c>
      <c r="J1091" s="9">
        <v>77</v>
      </c>
      <c r="K1091" s="9">
        <v>77</v>
      </c>
      <c r="L1091" s="9">
        <v>77</v>
      </c>
      <c r="M1091" s="9"/>
      <c r="N1091" s="9"/>
      <c r="O1091" s="9"/>
      <c r="P1091" s="9"/>
      <c r="Q1091" s="9">
        <f ca="1">IFERROR(__xludf.DUMMYFUNCTION("GOOGLEFINANCE(C1091,""changepct"")"),1.67)</f>
        <v>1.67</v>
      </c>
      <c r="R1091" s="9"/>
      <c r="S1091" s="9"/>
      <c r="T1091" s="9"/>
      <c r="U1091" s="9"/>
      <c r="V1091" s="9"/>
      <c r="W1091" s="9"/>
    </row>
    <row r="1092" spans="1:23" ht="14.4">
      <c r="A1092" s="3">
        <f>LOOKUP(D1092,'AMFI DATA_2023H1'!B:C,'AMFI DATA_2023H1'!C:C)</f>
        <v>635</v>
      </c>
      <c r="B1092" s="4" t="s">
        <v>2261</v>
      </c>
      <c r="C1092" s="4" t="s">
        <v>2262</v>
      </c>
      <c r="D1092" s="5" t="s">
        <v>2263</v>
      </c>
      <c r="E1092" s="5">
        <f>LOOKUP(D1092,'AMFI DATA_2023H1'!B:D,'AMFI DATA_2023H1'!D:D)</f>
        <v>3212.33</v>
      </c>
      <c r="F1092" s="7">
        <f t="shared" si="4"/>
        <v>-4.9288211360601131E-2</v>
      </c>
      <c r="G1092" s="8">
        <v>3054</v>
      </c>
      <c r="H1092" s="8">
        <v>3039</v>
      </c>
      <c r="I1092" s="8">
        <v>2968</v>
      </c>
      <c r="J1092" s="8">
        <v>2915</v>
      </c>
      <c r="K1092" s="8">
        <v>2886</v>
      </c>
      <c r="L1092" s="8">
        <v>2897</v>
      </c>
      <c r="M1092" s="8"/>
      <c r="N1092" s="8"/>
      <c r="O1092" s="8"/>
      <c r="P1092" s="8"/>
      <c r="Q1092" s="9">
        <f ca="1">IFERROR(__xludf.DUMMYFUNCTION("GOOGLEFINANCE(C1092,""changepct"")"),-0.6)</f>
        <v>-0.6</v>
      </c>
      <c r="R1092" s="8"/>
      <c r="S1092" s="8"/>
      <c r="T1092" s="8"/>
      <c r="U1092" s="8"/>
      <c r="V1092" s="8"/>
      <c r="W1092" s="8"/>
    </row>
    <row r="1093" spans="1:23" ht="14.4">
      <c r="A1093" s="3">
        <f>LOOKUP(D1093,'AMFI DATA_2023H1'!B:C,'AMFI DATA_2023H1'!C:C)</f>
        <v>1183</v>
      </c>
      <c r="B1093" s="4" t="s">
        <v>3509</v>
      </c>
      <c r="C1093" s="4" t="s">
        <v>3510</v>
      </c>
      <c r="D1093" s="5" t="s">
        <v>3511</v>
      </c>
      <c r="E1093" s="5">
        <f>LOOKUP(D1093,'AMFI DATA_2023H1'!B:D,'AMFI DATA_2023H1'!D:D)</f>
        <v>722.34</v>
      </c>
      <c r="F1093" s="7">
        <f t="shared" si="4"/>
        <v>8.9514632998310972E-2</v>
      </c>
      <c r="G1093" s="9">
        <v>787</v>
      </c>
      <c r="H1093" s="9">
        <v>792</v>
      </c>
      <c r="I1093" s="9">
        <v>784</v>
      </c>
      <c r="J1093" s="9">
        <v>769</v>
      </c>
      <c r="K1093" s="9">
        <v>770</v>
      </c>
      <c r="L1093" s="9">
        <v>765</v>
      </c>
      <c r="M1093" s="9"/>
      <c r="N1093" s="9"/>
      <c r="O1093" s="9"/>
      <c r="P1093" s="9"/>
      <c r="Q1093" s="9">
        <f ca="1">IFERROR(__xludf.DUMMYFUNCTION("GOOGLEFINANCE(C1093,""changepct"")"),0.45)</f>
        <v>0.45</v>
      </c>
      <c r="R1093" s="9"/>
      <c r="S1093" s="9"/>
      <c r="T1093" s="9"/>
      <c r="U1093" s="9"/>
      <c r="V1093" s="9"/>
      <c r="W1093" s="9"/>
    </row>
    <row r="1094" spans="1:23" ht="14.4">
      <c r="A1094" s="3">
        <f>LOOKUP(D1094,'AMFI DATA_2023H1'!B:C,'AMFI DATA_2023H1'!C:C)</f>
        <v>1165</v>
      </c>
      <c r="B1094" s="4" t="s">
        <v>3164</v>
      </c>
      <c r="C1094" s="4" t="s">
        <v>3165</v>
      </c>
      <c r="D1094" s="5" t="s">
        <v>3166</v>
      </c>
      <c r="E1094" s="5">
        <f>LOOKUP(D1094,'AMFI DATA_2023H1'!B:D,'AMFI DATA_2023H1'!D:D)</f>
        <v>766.4</v>
      </c>
      <c r="F1094" s="7">
        <f t="shared" si="4"/>
        <v>0.92197286012526103</v>
      </c>
      <c r="G1094" s="8">
        <v>1473</v>
      </c>
      <c r="H1094" s="8">
        <v>1480</v>
      </c>
      <c r="I1094" s="8">
        <v>1469</v>
      </c>
      <c r="J1094" s="8">
        <v>1486</v>
      </c>
      <c r="K1094" s="8">
        <v>1519</v>
      </c>
      <c r="L1094" s="8">
        <v>1504</v>
      </c>
      <c r="M1094" s="8"/>
      <c r="N1094" s="8"/>
      <c r="O1094" s="8"/>
      <c r="P1094" s="8"/>
      <c r="Q1094" s="9">
        <f ca="1">IFERROR(__xludf.DUMMYFUNCTION("GOOGLEFINANCE(C1094,""changepct"")"),5.05)</f>
        <v>5.05</v>
      </c>
      <c r="R1094" s="8"/>
      <c r="S1094" s="8"/>
      <c r="T1094" s="8"/>
      <c r="U1094" s="8"/>
      <c r="V1094" s="8"/>
      <c r="W1094" s="8"/>
    </row>
    <row r="1095" spans="1:23" ht="14.4">
      <c r="A1095" s="3">
        <f>LOOKUP(D1095,'AMFI DATA_2023H1'!B:C,'AMFI DATA_2023H1'!C:C)</f>
        <v>917</v>
      </c>
      <c r="B1095" s="4" t="s">
        <v>2936</v>
      </c>
      <c r="C1095" s="4" t="s">
        <v>2937</v>
      </c>
      <c r="D1095" s="5" t="s">
        <v>2938</v>
      </c>
      <c r="E1095" s="5">
        <f>LOOKUP(D1095,'AMFI DATA_2023H1'!B:D,'AMFI DATA_2023H1'!D:D)</f>
        <v>1411.89</v>
      </c>
      <c r="F1095" s="7">
        <f t="shared" si="4"/>
        <v>3.3366622045626793E-2</v>
      </c>
      <c r="G1095" s="8">
        <v>1459</v>
      </c>
      <c r="H1095" s="8">
        <v>1463</v>
      </c>
      <c r="I1095" s="8">
        <v>1482</v>
      </c>
      <c r="J1095" s="8">
        <v>1476</v>
      </c>
      <c r="K1095" s="8">
        <v>1434</v>
      </c>
      <c r="L1095" s="8">
        <v>1429</v>
      </c>
      <c r="M1095" s="8"/>
      <c r="N1095" s="8"/>
      <c r="O1095" s="8"/>
      <c r="P1095" s="8"/>
      <c r="Q1095" s="9">
        <f ca="1">IFERROR(__xludf.DUMMYFUNCTION("GOOGLEFINANCE(C1095,""changepct"")"),0.03)</f>
        <v>0.03</v>
      </c>
      <c r="R1095" s="8"/>
      <c r="S1095" s="8"/>
      <c r="T1095" s="8"/>
      <c r="U1095" s="8"/>
      <c r="V1095" s="8"/>
      <c r="W1095" s="8"/>
    </row>
    <row r="1096" spans="1:23" ht="14.4">
      <c r="A1096" s="3">
        <f>LOOKUP(D1096,'AMFI DATA_2023H1'!B:C,'AMFI DATA_2023H1'!C:C)</f>
        <v>2420</v>
      </c>
      <c r="B1096" s="4" t="s">
        <v>5308</v>
      </c>
      <c r="C1096" s="4" t="s">
        <v>5309</v>
      </c>
      <c r="D1096" s="5" t="s">
        <v>5310</v>
      </c>
      <c r="E1096" s="5">
        <f>LOOKUP(D1096,'AMFI DATA_2023H1'!B:D,'AMFI DATA_2023H1'!D:D)</f>
        <v>71.34</v>
      </c>
      <c r="F1096" s="7">
        <f t="shared" si="4"/>
        <v>0.19287917017101197</v>
      </c>
      <c r="G1096" s="9">
        <v>85.1</v>
      </c>
      <c r="H1096" s="9">
        <v>83.8</v>
      </c>
      <c r="I1096" s="9">
        <v>83.5</v>
      </c>
      <c r="J1096" s="9">
        <v>84.7</v>
      </c>
      <c r="K1096" s="9">
        <v>83</v>
      </c>
      <c r="L1096" s="9">
        <v>82.5</v>
      </c>
      <c r="M1096" s="9"/>
      <c r="N1096" s="9"/>
      <c r="O1096" s="9"/>
      <c r="P1096" s="9"/>
      <c r="Q1096" s="9">
        <f ca="1">IFERROR(__xludf.DUMMYFUNCTION("GOOGLEFINANCE(C1096,""changepct"")"),13.44)</f>
        <v>13.44</v>
      </c>
      <c r="R1096" s="9"/>
      <c r="S1096" s="9"/>
      <c r="T1096" s="9"/>
      <c r="U1096" s="9"/>
      <c r="V1096" s="9"/>
      <c r="W1096" s="9"/>
    </row>
    <row r="1097" spans="1:23" ht="14.4">
      <c r="A1097" s="3">
        <f>LOOKUP(D1097,'AMFI DATA_2023H1'!B:C,'AMFI DATA_2023H1'!C:C)</f>
        <v>915</v>
      </c>
      <c r="B1097" s="4" t="s">
        <v>2753</v>
      </c>
      <c r="C1097" s="4" t="s">
        <v>2754</v>
      </c>
      <c r="D1097" s="5" t="s">
        <v>2755</v>
      </c>
      <c r="E1097" s="5">
        <f>LOOKUP(D1097,'AMFI DATA_2023H1'!B:D,'AMFI DATA_2023H1'!D:D)</f>
        <v>1423.7</v>
      </c>
      <c r="F1097" s="7">
        <f t="shared" si="4"/>
        <v>0.76301187047833108</v>
      </c>
      <c r="G1097" s="8">
        <v>2510</v>
      </c>
      <c r="H1097" s="8">
        <v>2481</v>
      </c>
      <c r="I1097" s="8">
        <v>2512</v>
      </c>
      <c r="J1097" s="8">
        <v>2553</v>
      </c>
      <c r="K1097" s="8">
        <v>2653</v>
      </c>
      <c r="L1097" s="8">
        <v>2518</v>
      </c>
      <c r="M1097" s="8"/>
      <c r="N1097" s="8"/>
      <c r="O1097" s="8"/>
      <c r="P1097" s="8"/>
      <c r="Q1097" s="9">
        <f ca="1">IFERROR(__xludf.DUMMYFUNCTION("GOOGLEFINANCE(C1097,""changepct"")"),-2.55)</f>
        <v>-2.5499999999999998</v>
      </c>
      <c r="R1097" s="8"/>
      <c r="S1097" s="8"/>
      <c r="T1097" s="8"/>
      <c r="U1097" s="8"/>
      <c r="V1097" s="8"/>
      <c r="W1097" s="8"/>
    </row>
    <row r="1098" spans="1:23" ht="14.4">
      <c r="A1098" s="3">
        <f>LOOKUP(D1098,'AMFI DATA_2023H1'!B:C,'AMFI DATA_2023H1'!C:C)</f>
        <v>203</v>
      </c>
      <c r="B1098" s="4" t="s">
        <v>654</v>
      </c>
      <c r="C1098" s="4" t="s">
        <v>655</v>
      </c>
      <c r="D1098" s="5" t="s">
        <v>656</v>
      </c>
      <c r="E1098" s="5">
        <f>LOOKUP(D1098,'AMFI DATA_2023H1'!B:D,'AMFI DATA_2023H1'!D:D)</f>
        <v>23358.9</v>
      </c>
      <c r="F1098" s="7">
        <f t="shared" si="4"/>
        <v>0.17685336210181113</v>
      </c>
      <c r="G1098" s="8">
        <v>27490</v>
      </c>
      <c r="H1098" s="8">
        <v>27323</v>
      </c>
      <c r="I1098" s="8">
        <v>27022</v>
      </c>
      <c r="J1098" s="8">
        <v>27004</v>
      </c>
      <c r="K1098" s="8">
        <v>26867</v>
      </c>
      <c r="L1098" s="8">
        <v>27168</v>
      </c>
      <c r="M1098" s="8"/>
      <c r="N1098" s="8"/>
      <c r="O1098" s="8"/>
      <c r="P1098" s="8"/>
      <c r="Q1098" s="9">
        <f ca="1">IFERROR(__xludf.DUMMYFUNCTION("GOOGLEFINANCE(C1098,""changepct"")"),1.71)</f>
        <v>1.71</v>
      </c>
      <c r="R1098" s="8"/>
      <c r="S1098" s="8"/>
      <c r="T1098" s="8"/>
      <c r="U1098" s="8"/>
      <c r="V1098" s="8"/>
      <c r="W1098" s="8"/>
    </row>
    <row r="1099" spans="1:23" ht="14.4">
      <c r="A1099" s="3">
        <f>LOOKUP(D1099,'AMFI DATA_2023H1'!B:C,'AMFI DATA_2023H1'!C:C)</f>
        <v>351</v>
      </c>
      <c r="B1099" s="4" t="s">
        <v>981</v>
      </c>
      <c r="C1099" s="4" t="s">
        <v>982</v>
      </c>
      <c r="D1099" s="5" t="s">
        <v>983</v>
      </c>
      <c r="E1099" s="5">
        <f>LOOKUP(D1099,'AMFI DATA_2023H1'!B:D,'AMFI DATA_2023H1'!D:D)</f>
        <v>9582.75</v>
      </c>
      <c r="F1099" s="7">
        <f t="shared" si="4"/>
        <v>0.95298844277477768</v>
      </c>
      <c r="G1099" s="8">
        <v>18715</v>
      </c>
      <c r="H1099" s="8">
        <v>18416</v>
      </c>
      <c r="I1099" s="8">
        <v>18121</v>
      </c>
      <c r="J1099" s="8">
        <v>17980</v>
      </c>
      <c r="K1099" s="8">
        <v>18613</v>
      </c>
      <c r="L1099" s="8">
        <v>18811</v>
      </c>
      <c r="M1099" s="8"/>
      <c r="N1099" s="8"/>
      <c r="O1099" s="8"/>
      <c r="P1099" s="8"/>
      <c r="Q1099" s="9">
        <f ca="1">IFERROR(__xludf.DUMMYFUNCTION("GOOGLEFINANCE(C1099,""changepct"")"),3.28)</f>
        <v>3.28</v>
      </c>
      <c r="R1099" s="8"/>
      <c r="S1099" s="8"/>
      <c r="T1099" s="8"/>
      <c r="U1099" s="8"/>
      <c r="V1099" s="8"/>
      <c r="W1099" s="8"/>
    </row>
    <row r="1100" spans="1:23" ht="14.4">
      <c r="A1100" s="3">
        <f>LOOKUP(D1100,'AMFI DATA_2023H1'!B:C,'AMFI DATA_2023H1'!C:C)</f>
        <v>144</v>
      </c>
      <c r="B1100" s="4" t="s">
        <v>462</v>
      </c>
      <c r="C1100" s="4" t="s">
        <v>463</v>
      </c>
      <c r="D1100" s="5" t="s">
        <v>464</v>
      </c>
      <c r="E1100" s="5">
        <f>LOOKUP(D1100,'AMFI DATA_2023H1'!B:D,'AMFI DATA_2023H1'!D:D)</f>
        <v>36649.31</v>
      </c>
      <c r="F1100" s="7">
        <f t="shared" si="4"/>
        <v>0.40736619598022461</v>
      </c>
      <c r="G1100" s="8">
        <v>51579</v>
      </c>
      <c r="H1100" s="8">
        <v>51593</v>
      </c>
      <c r="I1100" s="8">
        <v>51469</v>
      </c>
      <c r="J1100" s="8">
        <v>51609</v>
      </c>
      <c r="K1100" s="8">
        <v>51203</v>
      </c>
      <c r="L1100" s="8">
        <v>51691</v>
      </c>
      <c r="M1100" s="8"/>
      <c r="N1100" s="8"/>
      <c r="O1100" s="8"/>
      <c r="P1100" s="8"/>
      <c r="Q1100" s="9">
        <f ca="1">IFERROR(__xludf.DUMMYFUNCTION("GOOGLEFINANCE(C1100,""changepct"")"),3.14)</f>
        <v>3.14</v>
      </c>
      <c r="R1100" s="8"/>
      <c r="S1100" s="8"/>
      <c r="T1100" s="8"/>
      <c r="U1100" s="8"/>
      <c r="V1100" s="8"/>
      <c r="W1100" s="8"/>
    </row>
    <row r="1101" spans="1:23" ht="14.4">
      <c r="A1101" s="3">
        <f>LOOKUP(D1101,'AMFI DATA_2023H1'!B:C,'AMFI DATA_2023H1'!C:C)</f>
        <v>841</v>
      </c>
      <c r="B1101" s="4" t="s">
        <v>2426</v>
      </c>
      <c r="C1101" s="4" t="s">
        <v>2427</v>
      </c>
      <c r="D1101" s="5" t="s">
        <v>2428</v>
      </c>
      <c r="E1101" s="5">
        <f>LOOKUP(D1101,'AMFI DATA_2023H1'!B:D,'AMFI DATA_2023H1'!D:D)</f>
        <v>1738.28</v>
      </c>
      <c r="F1101" s="7">
        <f t="shared" si="4"/>
        <v>0.67924615136801902</v>
      </c>
      <c r="G1101" s="8">
        <v>2919</v>
      </c>
      <c r="H1101" s="8">
        <v>2911</v>
      </c>
      <c r="I1101" s="8">
        <v>2908</v>
      </c>
      <c r="J1101" s="8">
        <v>2901</v>
      </c>
      <c r="K1101" s="8">
        <v>2906</v>
      </c>
      <c r="L1101" s="8">
        <v>2948</v>
      </c>
      <c r="M1101" s="8"/>
      <c r="N1101" s="8"/>
      <c r="O1101" s="8"/>
      <c r="P1101" s="8"/>
      <c r="Q1101" s="9">
        <f ca="1">IFERROR(__xludf.DUMMYFUNCTION("GOOGLEFINANCE(C1101,""changepct"")"),4.06)</f>
        <v>4.0599999999999996</v>
      </c>
      <c r="R1101" s="8"/>
      <c r="S1101" s="8"/>
      <c r="T1101" s="8"/>
      <c r="U1101" s="8"/>
      <c r="V1101" s="8"/>
      <c r="W1101" s="8"/>
    </row>
    <row r="1102" spans="1:23" ht="14.4">
      <c r="A1102" s="3">
        <f>LOOKUP(D1102,'AMFI DATA_2023H1'!B:C,'AMFI DATA_2023H1'!C:C)</f>
        <v>136</v>
      </c>
      <c r="B1102" s="4" t="s">
        <v>444</v>
      </c>
      <c r="C1102" s="4" t="s">
        <v>445</v>
      </c>
      <c r="D1102" s="5" t="s">
        <v>446</v>
      </c>
      <c r="E1102" s="5">
        <f>LOOKUP(D1102,'AMFI DATA_2023H1'!B:D,'AMFI DATA_2023H1'!D:D)</f>
        <v>38623.360000000001</v>
      </c>
      <c r="F1102" s="7">
        <f t="shared" si="4"/>
        <v>0.41616368953918048</v>
      </c>
      <c r="G1102" s="8">
        <v>54697</v>
      </c>
      <c r="H1102" s="8">
        <v>54806</v>
      </c>
      <c r="I1102" s="8">
        <v>53594</v>
      </c>
      <c r="J1102" s="8">
        <v>50995</v>
      </c>
      <c r="K1102" s="8">
        <v>50983</v>
      </c>
      <c r="L1102" s="8">
        <v>50687</v>
      </c>
      <c r="M1102" s="8"/>
      <c r="N1102" s="8"/>
      <c r="O1102" s="8"/>
      <c r="P1102" s="8"/>
      <c r="Q1102" s="9">
        <f ca="1">IFERROR(__xludf.DUMMYFUNCTION("GOOGLEFINANCE(C1102,""changepct"")"),5.93)</f>
        <v>5.93</v>
      </c>
      <c r="R1102" s="8"/>
      <c r="S1102" s="8"/>
      <c r="T1102" s="8"/>
      <c r="U1102" s="8"/>
      <c r="V1102" s="8"/>
      <c r="W1102" s="8"/>
    </row>
    <row r="1103" spans="1:23" ht="14.4">
      <c r="A1103" s="3">
        <f>LOOKUP(D1103,'AMFI DATA_2023H1'!B:C,'AMFI DATA_2023H1'!C:C)</f>
        <v>2173</v>
      </c>
      <c r="B1103" s="4" t="s">
        <v>5141</v>
      </c>
      <c r="C1103" s="4" t="s">
        <v>5142</v>
      </c>
      <c r="D1103" s="5" t="s">
        <v>5143</v>
      </c>
      <c r="E1103" s="5">
        <f>LOOKUP(D1103,'AMFI DATA_2023H1'!B:D,'AMFI DATA_2023H1'!D:D)</f>
        <v>107.89</v>
      </c>
      <c r="F1103" s="7">
        <f t="shared" si="4"/>
        <v>1.0288256557605013E-2</v>
      </c>
      <c r="G1103" s="9">
        <v>109</v>
      </c>
      <c r="H1103" s="9">
        <v>106</v>
      </c>
      <c r="I1103" s="9">
        <v>108</v>
      </c>
      <c r="J1103" s="9">
        <v>108</v>
      </c>
      <c r="K1103" s="9">
        <v>109</v>
      </c>
      <c r="L1103" s="9">
        <v>109</v>
      </c>
      <c r="M1103" s="9"/>
      <c r="N1103" s="9"/>
      <c r="O1103" s="9"/>
      <c r="P1103" s="9"/>
      <c r="Q1103" s="9">
        <f ca="1">IFERROR(__xludf.DUMMYFUNCTION("GOOGLEFINANCE(C1103,""changepct"")"),2.29)</f>
        <v>2.29</v>
      </c>
      <c r="R1103" s="9"/>
      <c r="S1103" s="9"/>
      <c r="T1103" s="9"/>
      <c r="U1103" s="9"/>
      <c r="V1103" s="9"/>
      <c r="W1103" s="9"/>
    </row>
    <row r="1104" spans="1:23" ht="14.4">
      <c r="A1104" s="3">
        <f>LOOKUP(D1104,'AMFI DATA_2023H1'!B:C,'AMFI DATA_2023H1'!C:C)</f>
        <v>617</v>
      </c>
      <c r="B1104" s="4" t="s">
        <v>1647</v>
      </c>
      <c r="C1104" s="4" t="s">
        <v>1648</v>
      </c>
      <c r="D1104" s="5" t="s">
        <v>1649</v>
      </c>
      <c r="E1104" s="5">
        <f>LOOKUP(D1104,'AMFI DATA_2023H1'!B:D,'AMFI DATA_2023H1'!D:D)</f>
        <v>3483.6</v>
      </c>
      <c r="F1104" s="7">
        <f t="shared" si="4"/>
        <v>0.90607417613962582</v>
      </c>
      <c r="G1104" s="8">
        <v>6640</v>
      </c>
      <c r="H1104" s="8">
        <v>6567</v>
      </c>
      <c r="I1104" s="8">
        <v>6685</v>
      </c>
      <c r="J1104" s="8">
        <v>6803</v>
      </c>
      <c r="K1104" s="8">
        <v>6818</v>
      </c>
      <c r="L1104" s="8">
        <v>6751</v>
      </c>
      <c r="M1104" s="8"/>
      <c r="N1104" s="8"/>
      <c r="O1104" s="8"/>
      <c r="P1104" s="8"/>
      <c r="Q1104" s="9">
        <f ca="1">IFERROR(__xludf.DUMMYFUNCTION("GOOGLEFINANCE(C1104,""changepct"")"),-1.45)</f>
        <v>-1.45</v>
      </c>
      <c r="R1104" s="8"/>
      <c r="S1104" s="8"/>
      <c r="T1104" s="8"/>
      <c r="U1104" s="8"/>
      <c r="V1104" s="8"/>
      <c r="W1104" s="8"/>
    </row>
    <row r="1105" spans="1:23" ht="14.4">
      <c r="A1105" s="3">
        <f>LOOKUP(D1105,'AMFI DATA_2023H1'!B:C,'AMFI DATA_2023H1'!C:C)</f>
        <v>1507</v>
      </c>
      <c r="B1105" s="4" t="s">
        <v>3815</v>
      </c>
      <c r="C1105" s="4" t="s">
        <v>3816</v>
      </c>
      <c r="D1105" s="5" t="s">
        <v>3817</v>
      </c>
      <c r="E1105" s="5">
        <f>LOOKUP(D1105,'AMFI DATA_2023H1'!B:D,'AMFI DATA_2023H1'!D:D)</f>
        <v>340.01</v>
      </c>
      <c r="F1105" s="7">
        <f t="shared" si="4"/>
        <v>1.8146230993206083</v>
      </c>
      <c r="G1105" s="9">
        <v>957</v>
      </c>
      <c r="H1105" s="9">
        <v>952</v>
      </c>
      <c r="I1105" s="9">
        <v>972</v>
      </c>
      <c r="J1105" s="9">
        <v>991</v>
      </c>
      <c r="K1105" s="9">
        <v>949</v>
      </c>
      <c r="L1105" s="9">
        <v>942</v>
      </c>
      <c r="M1105" s="9"/>
      <c r="N1105" s="9"/>
      <c r="O1105" s="9"/>
      <c r="P1105" s="9"/>
      <c r="Q1105" s="9">
        <f ca="1">IFERROR(__xludf.DUMMYFUNCTION("GOOGLEFINANCE(C1105,""changepct"")"),6.84)</f>
        <v>6.84</v>
      </c>
      <c r="R1105" s="9"/>
      <c r="S1105" s="9"/>
      <c r="T1105" s="9"/>
      <c r="U1105" s="9"/>
      <c r="V1105" s="9"/>
      <c r="W1105" s="9"/>
    </row>
    <row r="1106" spans="1:23" ht="14.4">
      <c r="A1106" s="3">
        <f>LOOKUP(D1106,'AMFI DATA_2023H1'!B:C,'AMFI DATA_2023H1'!C:C)</f>
        <v>777</v>
      </c>
      <c r="B1106" s="4" t="s">
        <v>2270</v>
      </c>
      <c r="C1106" s="4" t="s">
        <v>2271</v>
      </c>
      <c r="D1106" s="5" t="s">
        <v>2272</v>
      </c>
      <c r="E1106" s="5">
        <f>LOOKUP(D1106,'AMFI DATA_2023H1'!B:D,'AMFI DATA_2023H1'!D:D)</f>
        <v>2063.67</v>
      </c>
      <c r="F1106" s="7">
        <f t="shared" si="4"/>
        <v>1.2469677807013717</v>
      </c>
      <c r="G1106" s="8">
        <v>4637</v>
      </c>
      <c r="H1106" s="8">
        <v>4715</v>
      </c>
      <c r="I1106" s="8">
        <v>4530</v>
      </c>
      <c r="J1106" s="8">
        <v>4368</v>
      </c>
      <c r="K1106" s="8">
        <v>4533</v>
      </c>
      <c r="L1106" s="8">
        <v>3999</v>
      </c>
      <c r="M1106" s="8"/>
      <c r="N1106" s="8"/>
      <c r="O1106" s="8"/>
      <c r="P1106" s="8"/>
      <c r="Q1106" s="9">
        <f ca="1">IFERROR(__xludf.DUMMYFUNCTION("GOOGLEFINANCE(C1106,""changepct"")"),4.84)</f>
        <v>4.84</v>
      </c>
      <c r="R1106" s="8"/>
      <c r="S1106" s="8"/>
      <c r="T1106" s="8"/>
      <c r="U1106" s="8"/>
      <c r="V1106" s="8"/>
      <c r="W1106" s="8"/>
    </row>
    <row r="1107" spans="1:23" ht="14.4">
      <c r="A1107" s="3">
        <f>LOOKUP(D1107,'AMFI DATA_2023H1'!B:C,'AMFI DATA_2023H1'!C:C)</f>
        <v>2882</v>
      </c>
      <c r="B1107" s="4" t="s">
        <v>5596</v>
      </c>
      <c r="C1107" s="4" t="s">
        <v>5597</v>
      </c>
      <c r="D1107" s="5" t="s">
        <v>5598</v>
      </c>
      <c r="E1107" s="5">
        <f>LOOKUP(D1107,'AMFI DATA_2023H1'!B:D,'AMFI DATA_2023H1'!D:D)</f>
        <v>35.71</v>
      </c>
      <c r="F1107" s="7">
        <f t="shared" si="4"/>
        <v>-0.20190422850742096</v>
      </c>
      <c r="G1107" s="9">
        <v>28.5</v>
      </c>
      <c r="H1107" s="9">
        <v>28.9</v>
      </c>
      <c r="I1107" s="9">
        <v>28.2</v>
      </c>
      <c r="J1107" s="9">
        <v>27.8</v>
      </c>
      <c r="K1107" s="9">
        <v>28.5</v>
      </c>
      <c r="L1107" s="9">
        <v>28.2</v>
      </c>
      <c r="M1107" s="9"/>
      <c r="N1107" s="9"/>
      <c r="O1107" s="9"/>
      <c r="P1107" s="9"/>
      <c r="Q1107" s="9">
        <f ca="1">IFERROR(__xludf.DUMMYFUNCTION("GOOGLEFINANCE(C1107,""changepct"")"),2.3)</f>
        <v>2.2999999999999998</v>
      </c>
      <c r="R1107" s="9"/>
      <c r="S1107" s="9"/>
      <c r="T1107" s="9"/>
      <c r="U1107" s="9"/>
      <c r="V1107" s="9"/>
      <c r="W1107" s="9"/>
    </row>
    <row r="1108" spans="1:23" ht="14.4">
      <c r="A1108" s="3">
        <f>LOOKUP(D1108,'AMFI DATA_2023H1'!B:C,'AMFI DATA_2023H1'!C:C)</f>
        <v>489</v>
      </c>
      <c r="B1108" s="4" t="s">
        <v>1512</v>
      </c>
      <c r="C1108" s="4" t="s">
        <v>1513</v>
      </c>
      <c r="D1108" s="5" t="s">
        <v>1514</v>
      </c>
      <c r="E1108" s="5">
        <f>LOOKUP(D1108,'AMFI DATA_2023H1'!B:D,'AMFI DATA_2023H1'!D:D)</f>
        <v>5415.27</v>
      </c>
      <c r="F1108" s="7">
        <f t="shared" si="4"/>
        <v>0.25718569895868515</v>
      </c>
      <c r="G1108" s="8">
        <v>6808</v>
      </c>
      <c r="H1108" s="8">
        <v>6790</v>
      </c>
      <c r="I1108" s="8">
        <v>6782</v>
      </c>
      <c r="J1108" s="8">
        <v>6569</v>
      </c>
      <c r="K1108" s="8">
        <v>6692</v>
      </c>
      <c r="L1108" s="8">
        <v>6880</v>
      </c>
      <c r="M1108" s="8"/>
      <c r="N1108" s="8"/>
      <c r="O1108" s="8"/>
      <c r="P1108" s="8"/>
      <c r="Q1108" s="9">
        <f ca="1">IFERROR(__xludf.DUMMYFUNCTION("GOOGLEFINANCE(C1108,""changepct"")"),-0.92)</f>
        <v>-0.92</v>
      </c>
      <c r="R1108" s="8"/>
      <c r="S1108" s="8"/>
      <c r="T1108" s="8"/>
      <c r="U1108" s="8"/>
      <c r="V1108" s="8"/>
      <c r="W1108" s="8"/>
    </row>
    <row r="1109" spans="1:23" ht="14.4">
      <c r="A1109" s="3">
        <f>LOOKUP(D1109,'AMFI DATA_2023H1'!B:C,'AMFI DATA_2023H1'!C:C)</f>
        <v>949</v>
      </c>
      <c r="B1109" s="4" t="s">
        <v>2918</v>
      </c>
      <c r="C1109" s="4" t="s">
        <v>2919</v>
      </c>
      <c r="D1109" s="5" t="s">
        <v>2920</v>
      </c>
      <c r="E1109" s="5">
        <f>LOOKUP(D1109,'AMFI DATA_2023H1'!B:D,'AMFI DATA_2023H1'!D:D)</f>
        <v>1315.69</v>
      </c>
      <c r="F1109" s="7">
        <f t="shared" si="4"/>
        <v>0.91990514482894903</v>
      </c>
      <c r="G1109" s="8">
        <v>2526</v>
      </c>
      <c r="H1109" s="8">
        <v>2481</v>
      </c>
      <c r="I1109" s="8">
        <v>2571</v>
      </c>
      <c r="J1109" s="8">
        <v>2602</v>
      </c>
      <c r="K1109" s="8">
        <v>2726</v>
      </c>
      <c r="L1109" s="8">
        <v>2594</v>
      </c>
      <c r="M1109" s="8"/>
      <c r="N1109" s="8"/>
      <c r="O1109" s="8"/>
      <c r="P1109" s="8"/>
      <c r="Q1109" s="9">
        <f ca="1">IFERROR(__xludf.DUMMYFUNCTION("GOOGLEFINANCE(C1109,""changepct"")"),10.23)</f>
        <v>10.23</v>
      </c>
      <c r="R1109" s="8"/>
      <c r="S1109" s="8"/>
      <c r="T1109" s="8"/>
      <c r="U1109" s="8"/>
      <c r="V1109" s="8"/>
      <c r="W1109" s="8"/>
    </row>
    <row r="1110" spans="1:23" ht="14.4">
      <c r="A1110" s="3">
        <f>LOOKUP(D1110,'AMFI DATA_2023H1'!B:C,'AMFI DATA_2023H1'!C:C)</f>
        <v>813</v>
      </c>
      <c r="B1110" s="4" t="s">
        <v>2525</v>
      </c>
      <c r="C1110" s="4" t="s">
        <v>2526</v>
      </c>
      <c r="D1110" s="5" t="s">
        <v>2527</v>
      </c>
      <c r="E1110" s="5">
        <f>LOOKUP(D1110,'AMFI DATA_2023H1'!B:D,'AMFI DATA_2023H1'!D:D)</f>
        <v>1882.15</v>
      </c>
      <c r="F1110" s="7">
        <f t="shared" si="4"/>
        <v>0.49722391945381594</v>
      </c>
      <c r="G1110" s="8">
        <v>2818</v>
      </c>
      <c r="H1110" s="8">
        <v>2871</v>
      </c>
      <c r="I1110" s="8">
        <v>2813</v>
      </c>
      <c r="J1110" s="8">
        <v>2896</v>
      </c>
      <c r="K1110" s="8">
        <v>2860</v>
      </c>
      <c r="L1110" s="8">
        <v>2828</v>
      </c>
      <c r="M1110" s="8"/>
      <c r="N1110" s="8"/>
      <c r="O1110" s="8"/>
      <c r="P1110" s="8"/>
      <c r="Q1110" s="9">
        <f ca="1">IFERROR(__xludf.DUMMYFUNCTION("GOOGLEFINANCE(C1110,""changepct"")"),-1.69)</f>
        <v>-1.69</v>
      </c>
      <c r="R1110" s="8"/>
      <c r="S1110" s="8"/>
      <c r="T1110" s="8"/>
      <c r="U1110" s="8"/>
      <c r="V1110" s="8"/>
      <c r="W1110" s="8"/>
    </row>
    <row r="1111" spans="1:23" ht="14.4">
      <c r="A1111" s="3">
        <f>LOOKUP(D1111,'AMFI DATA_2023H1'!B:C,'AMFI DATA_2023H1'!C:C)</f>
        <v>2128</v>
      </c>
      <c r="B1111" s="4" t="s">
        <v>4937</v>
      </c>
      <c r="C1111" s="4" t="s">
        <v>4938</v>
      </c>
      <c r="D1111" s="5" t="s">
        <v>4939</v>
      </c>
      <c r="E1111" s="5">
        <f>LOOKUP(D1111,'AMFI DATA_2023H1'!B:D,'AMFI DATA_2023H1'!D:D)</f>
        <v>116.95</v>
      </c>
      <c r="F1111" s="7">
        <f t="shared" si="4"/>
        <v>0.5134672937152629</v>
      </c>
      <c r="G1111" s="9">
        <v>177</v>
      </c>
      <c r="H1111" s="9">
        <v>173</v>
      </c>
      <c r="I1111" s="9">
        <v>172</v>
      </c>
      <c r="J1111" s="9">
        <v>174</v>
      </c>
      <c r="K1111" s="9">
        <v>170</v>
      </c>
      <c r="L1111" s="9">
        <v>171</v>
      </c>
      <c r="M1111" s="9"/>
      <c r="N1111" s="9"/>
      <c r="O1111" s="9"/>
      <c r="P1111" s="9"/>
      <c r="Q1111" s="9">
        <f ca="1">IFERROR(__xludf.DUMMYFUNCTION("GOOGLEFINANCE(C1111,""changepct"")"),-3.92)</f>
        <v>-3.92</v>
      </c>
      <c r="R1111" s="9"/>
      <c r="S1111" s="9"/>
      <c r="T1111" s="9"/>
      <c r="U1111" s="9"/>
      <c r="V1111" s="9"/>
      <c r="W1111" s="9"/>
    </row>
    <row r="1112" spans="1:23" ht="14.4">
      <c r="A1112" s="3">
        <f>LOOKUP(D1112,'AMFI DATA_2023H1'!B:C,'AMFI DATA_2023H1'!C:C)</f>
        <v>1736</v>
      </c>
      <c r="B1112" s="4" t="s">
        <v>4607</v>
      </c>
      <c r="C1112" s="4" t="s">
        <v>4608</v>
      </c>
      <c r="D1112" s="5" t="s">
        <v>4609</v>
      </c>
      <c r="E1112" s="5">
        <f>LOOKUP(D1112,'AMFI DATA_2023H1'!B:D,'AMFI DATA_2023H1'!D:D)</f>
        <v>221</v>
      </c>
      <c r="F1112" s="7">
        <f t="shared" si="4"/>
        <v>72.067873303167417</v>
      </c>
      <c r="G1112" s="8">
        <v>16148</v>
      </c>
      <c r="H1112" s="8">
        <v>16311</v>
      </c>
      <c r="I1112" s="8">
        <v>16239</v>
      </c>
      <c r="J1112" s="8">
        <v>16260</v>
      </c>
      <c r="K1112" s="8">
        <v>16038</v>
      </c>
      <c r="L1112" s="8">
        <v>16136</v>
      </c>
      <c r="M1112" s="8"/>
      <c r="N1112" s="8"/>
      <c r="O1112" s="8"/>
      <c r="P1112" s="8"/>
      <c r="Q1112" s="9">
        <f ca="1">IFERROR(__xludf.DUMMYFUNCTION("GOOGLEFINANCE(C1112,""changepct"")"),-0.25)</f>
        <v>-0.25</v>
      </c>
      <c r="R1112" s="8"/>
      <c r="S1112" s="8"/>
      <c r="T1112" s="8"/>
      <c r="U1112" s="8"/>
      <c r="V1112" s="8"/>
      <c r="W1112" s="8"/>
    </row>
    <row r="1113" spans="1:23" ht="14.4">
      <c r="A1113" s="3">
        <f>LOOKUP(D1113,'AMFI DATA_2023H1'!B:C,'AMFI DATA_2023H1'!C:C)</f>
        <v>1351</v>
      </c>
      <c r="B1113" s="4" t="s">
        <v>3800</v>
      </c>
      <c r="C1113" s="4" t="s">
        <v>3801</v>
      </c>
      <c r="D1113" s="5" t="s">
        <v>3802</v>
      </c>
      <c r="E1113" s="5">
        <f>LOOKUP(D1113,'AMFI DATA_2023H1'!B:D,'AMFI DATA_2023H1'!D:D)</f>
        <v>454.19</v>
      </c>
      <c r="F1113" s="7">
        <f t="shared" si="4"/>
        <v>0.96833924128668625</v>
      </c>
      <c r="G1113" s="9">
        <v>894</v>
      </c>
      <c r="H1113" s="9">
        <v>870</v>
      </c>
      <c r="I1113" s="9">
        <v>870</v>
      </c>
      <c r="J1113" s="9">
        <v>872</v>
      </c>
      <c r="K1113" s="9">
        <v>793</v>
      </c>
      <c r="L1113" s="9">
        <v>807</v>
      </c>
      <c r="M1113" s="9"/>
      <c r="N1113" s="9"/>
      <c r="O1113" s="9"/>
      <c r="P1113" s="9"/>
      <c r="Q1113" s="9">
        <f ca="1">IFERROR(__xludf.DUMMYFUNCTION("GOOGLEFINANCE(C1113,""changepct"")"),-0.18)</f>
        <v>-0.18</v>
      </c>
      <c r="R1113" s="9"/>
      <c r="S1113" s="9"/>
      <c r="T1113" s="9"/>
      <c r="U1113" s="9"/>
      <c r="V1113" s="9"/>
      <c r="W1113" s="9"/>
    </row>
    <row r="1114" spans="1:23" ht="14.4">
      <c r="A1114" s="3">
        <f>LOOKUP(D1114,'AMFI DATA_2023H1'!B:C,'AMFI DATA_2023H1'!C:C)</f>
        <v>1412</v>
      </c>
      <c r="B1114" s="4" t="s">
        <v>3872</v>
      </c>
      <c r="C1114" s="4" t="s">
        <v>3873</v>
      </c>
      <c r="D1114" s="5" t="s">
        <v>3874</v>
      </c>
      <c r="E1114" s="5">
        <f>LOOKUP(D1114,'AMFI DATA_2023H1'!B:D,'AMFI DATA_2023H1'!D:D)</f>
        <v>402.46</v>
      </c>
      <c r="F1114" s="7">
        <f t="shared" si="4"/>
        <v>0.43865228842617898</v>
      </c>
      <c r="G1114" s="9">
        <v>579</v>
      </c>
      <c r="H1114" s="9">
        <v>578</v>
      </c>
      <c r="I1114" s="9">
        <v>582</v>
      </c>
      <c r="J1114" s="9">
        <v>595</v>
      </c>
      <c r="K1114" s="9">
        <v>542</v>
      </c>
      <c r="L1114" s="9">
        <v>546</v>
      </c>
      <c r="M1114" s="9"/>
      <c r="N1114" s="9"/>
      <c r="O1114" s="9"/>
      <c r="P1114" s="9"/>
      <c r="Q1114" s="9">
        <f ca="1">IFERROR(__xludf.DUMMYFUNCTION("GOOGLEFINANCE(C1114,""changepct"")"),7.16)</f>
        <v>7.16</v>
      </c>
      <c r="R1114" s="9"/>
      <c r="S1114" s="9"/>
      <c r="T1114" s="9"/>
      <c r="U1114" s="9"/>
      <c r="V1114" s="9"/>
      <c r="W1114" s="9"/>
    </row>
    <row r="1115" spans="1:23" ht="14.4">
      <c r="A1115" s="3">
        <f>LOOKUP(D1115,'AMFI DATA_2023H1'!B:C,'AMFI DATA_2023H1'!C:C)</f>
        <v>1742</v>
      </c>
      <c r="B1115" s="4" t="s">
        <v>4439</v>
      </c>
      <c r="C1115" s="4" t="s">
        <v>4440</v>
      </c>
      <c r="D1115" s="5" t="s">
        <v>4441</v>
      </c>
      <c r="E1115" s="5">
        <f>LOOKUP(D1115,'AMFI DATA_2023H1'!B:D,'AMFI DATA_2023H1'!D:D)</f>
        <v>218.54</v>
      </c>
      <c r="F1115" s="7">
        <f t="shared" si="4"/>
        <v>0.43223208565937599</v>
      </c>
      <c r="G1115" s="9">
        <v>313</v>
      </c>
      <c r="H1115" s="9">
        <v>308</v>
      </c>
      <c r="I1115" s="9">
        <v>302</v>
      </c>
      <c r="J1115" s="9">
        <v>306</v>
      </c>
      <c r="K1115" s="9">
        <v>307</v>
      </c>
      <c r="L1115" s="9">
        <v>311</v>
      </c>
      <c r="M1115" s="9"/>
      <c r="N1115" s="9"/>
      <c r="O1115" s="9"/>
      <c r="P1115" s="9"/>
      <c r="Q1115" s="9">
        <f ca="1">IFERROR(__xludf.DUMMYFUNCTION("GOOGLEFINANCE(C1115,""changepct"")"),-1.67)</f>
        <v>-1.67</v>
      </c>
      <c r="R1115" s="9"/>
      <c r="S1115" s="9"/>
      <c r="T1115" s="9"/>
      <c r="U1115" s="9"/>
      <c r="V1115" s="9"/>
      <c r="W1115" s="9"/>
    </row>
    <row r="1116" spans="1:23" ht="14.4">
      <c r="A1116" s="3">
        <f>LOOKUP(D1116,'AMFI DATA_2023H1'!B:C,'AMFI DATA_2023H1'!C:C)</f>
        <v>1352</v>
      </c>
      <c r="B1116" s="4" t="s">
        <v>3974</v>
      </c>
      <c r="C1116" s="4" t="s">
        <v>3975</v>
      </c>
      <c r="D1116" s="5" t="s">
        <v>3976</v>
      </c>
      <c r="E1116" s="5">
        <f>LOOKUP(D1116,'AMFI DATA_2023H1'!B:D,'AMFI DATA_2023H1'!D:D)</f>
        <v>452.75</v>
      </c>
      <c r="F1116" s="7">
        <f t="shared" si="4"/>
        <v>0.31419105466593034</v>
      </c>
      <c r="G1116" s="9">
        <v>595</v>
      </c>
      <c r="H1116" s="9">
        <v>590</v>
      </c>
      <c r="I1116" s="9">
        <v>581</v>
      </c>
      <c r="J1116" s="9">
        <v>583</v>
      </c>
      <c r="K1116" s="9">
        <v>576</v>
      </c>
      <c r="L1116" s="9">
        <v>589</v>
      </c>
      <c r="M1116" s="9"/>
      <c r="N1116" s="9"/>
      <c r="O1116" s="9"/>
      <c r="P1116" s="9"/>
      <c r="Q1116" s="9">
        <f ca="1">IFERROR(__xludf.DUMMYFUNCTION("GOOGLEFINANCE(C1116,""changepct"")"),-4.06)</f>
        <v>-4.0599999999999996</v>
      </c>
      <c r="R1116" s="9"/>
      <c r="S1116" s="9"/>
      <c r="T1116" s="9"/>
      <c r="U1116" s="9"/>
      <c r="V1116" s="9"/>
      <c r="W1116" s="9"/>
    </row>
    <row r="1117" spans="1:23" ht="14.4">
      <c r="A1117" s="3">
        <f>LOOKUP(D1117,'AMFI DATA_2023H1'!B:C,'AMFI DATA_2023H1'!C:C)</f>
        <v>1326</v>
      </c>
      <c r="B1117" s="4" t="s">
        <v>3752</v>
      </c>
      <c r="C1117" s="4" t="s">
        <v>3753</v>
      </c>
      <c r="D1117" s="5" t="s">
        <v>3754</v>
      </c>
      <c r="E1117" s="5">
        <f>LOOKUP(D1117,'AMFI DATA_2023H1'!B:D,'AMFI DATA_2023H1'!D:D)</f>
        <v>486.61</v>
      </c>
      <c r="F1117" s="7">
        <f t="shared" si="4"/>
        <v>0.28234109451100475</v>
      </c>
      <c r="G1117" s="9">
        <v>624</v>
      </c>
      <c r="H1117" s="9">
        <v>616</v>
      </c>
      <c r="I1117" s="9">
        <v>612</v>
      </c>
      <c r="J1117" s="9">
        <v>605</v>
      </c>
      <c r="K1117" s="9">
        <v>646</v>
      </c>
      <c r="L1117" s="9">
        <v>637</v>
      </c>
      <c r="M1117" s="9"/>
      <c r="N1117" s="9"/>
      <c r="O1117" s="9"/>
      <c r="P1117" s="9"/>
      <c r="Q1117" s="9">
        <f ca="1">IFERROR(__xludf.DUMMYFUNCTION("GOOGLEFINANCE(C1117,""changepct"")"),1.56)</f>
        <v>1.56</v>
      </c>
      <c r="R1117" s="9"/>
      <c r="S1117" s="9"/>
      <c r="T1117" s="9"/>
      <c r="U1117" s="9"/>
      <c r="V1117" s="9"/>
      <c r="W1117" s="9"/>
    </row>
    <row r="1118" spans="1:23" ht="14.4">
      <c r="A1118" s="3">
        <f>LOOKUP(D1118,'AMFI DATA_2023H1'!B:C,'AMFI DATA_2023H1'!C:C)</f>
        <v>122</v>
      </c>
      <c r="B1118" s="4" t="s">
        <v>372</v>
      </c>
      <c r="C1118" s="4" t="s">
        <v>373</v>
      </c>
      <c r="D1118" s="5" t="s">
        <v>374</v>
      </c>
      <c r="E1118" s="5">
        <f>LOOKUP(D1118,'AMFI DATA_2023H1'!B:D,'AMFI DATA_2023H1'!D:D)</f>
        <v>42091.62</v>
      </c>
      <c r="F1118" s="7">
        <f t="shared" si="4"/>
        <v>0.40004114833308857</v>
      </c>
      <c r="G1118" s="8">
        <v>58930</v>
      </c>
      <c r="H1118" s="8">
        <v>59468</v>
      </c>
      <c r="I1118" s="8">
        <v>60179</v>
      </c>
      <c r="J1118" s="8">
        <v>59165</v>
      </c>
      <c r="K1118" s="8">
        <v>58265</v>
      </c>
      <c r="L1118" s="8">
        <v>59219</v>
      </c>
      <c r="M1118" s="8"/>
      <c r="N1118" s="8"/>
      <c r="O1118" s="8"/>
      <c r="P1118" s="8"/>
      <c r="Q1118" s="9">
        <f ca="1">IFERROR(__xludf.DUMMYFUNCTION("GOOGLEFINANCE(C1118,""changepct"")"),2.03)</f>
        <v>2.0299999999999998</v>
      </c>
      <c r="R1118" s="8"/>
      <c r="S1118" s="8"/>
      <c r="T1118" s="8"/>
      <c r="U1118" s="8"/>
      <c r="V1118" s="8"/>
      <c r="W1118" s="8"/>
    </row>
    <row r="1119" spans="1:23" ht="14.4">
      <c r="A1119" s="3">
        <f>LOOKUP(D1119,'AMFI DATA_2023H1'!B:C,'AMFI DATA_2023H1'!C:C)</f>
        <v>1368</v>
      </c>
      <c r="B1119" s="4" t="s">
        <v>3842</v>
      </c>
      <c r="C1119" s="4" t="s">
        <v>3843</v>
      </c>
      <c r="D1119" s="5" t="s">
        <v>3844</v>
      </c>
      <c r="E1119" s="5">
        <f>LOOKUP(D1119,'AMFI DATA_2023H1'!B:D,'AMFI DATA_2023H1'!D:D)</f>
        <v>439.51</v>
      </c>
      <c r="F1119" s="7">
        <f t="shared" si="4"/>
        <v>0.58130645491570165</v>
      </c>
      <c r="G1119" s="9">
        <v>695</v>
      </c>
      <c r="H1119" s="9">
        <v>670</v>
      </c>
      <c r="I1119" s="9">
        <v>694</v>
      </c>
      <c r="J1119" s="9">
        <v>687</v>
      </c>
      <c r="K1119" s="9">
        <v>690</v>
      </c>
      <c r="L1119" s="9">
        <v>696</v>
      </c>
      <c r="M1119" s="9"/>
      <c r="N1119" s="9"/>
      <c r="O1119" s="9"/>
      <c r="P1119" s="9"/>
      <c r="Q1119" s="9">
        <f ca="1">IFERROR(__xludf.DUMMYFUNCTION("GOOGLEFINANCE(C1119,""changepct"")"),1.58)</f>
        <v>1.58</v>
      </c>
      <c r="R1119" s="9"/>
      <c r="S1119" s="9"/>
      <c r="T1119" s="9"/>
      <c r="U1119" s="9"/>
      <c r="V1119" s="9"/>
      <c r="W1119" s="9"/>
    </row>
    <row r="1120" spans="1:23" ht="14.4">
      <c r="A1120" s="3">
        <f>LOOKUP(D1120,'AMFI DATA_2023H1'!B:C,'AMFI DATA_2023H1'!C:C)</f>
        <v>1454</v>
      </c>
      <c r="B1120" s="4" t="s">
        <v>4118</v>
      </c>
      <c r="C1120" s="4" t="s">
        <v>4119</v>
      </c>
      <c r="D1120" s="5" t="s">
        <v>4120</v>
      </c>
      <c r="E1120" s="5">
        <f>LOOKUP(D1120,'AMFI DATA_2023H1'!B:D,'AMFI DATA_2023H1'!D:D)</f>
        <v>377.71</v>
      </c>
      <c r="F1120" s="7">
        <f t="shared" si="4"/>
        <v>0.22845569352148476</v>
      </c>
      <c r="G1120" s="9">
        <v>464</v>
      </c>
      <c r="H1120" s="9">
        <v>455</v>
      </c>
      <c r="I1120" s="9">
        <v>465</v>
      </c>
      <c r="J1120" s="9">
        <v>469</v>
      </c>
      <c r="K1120" s="9">
        <v>460</v>
      </c>
      <c r="L1120" s="9">
        <v>457</v>
      </c>
      <c r="M1120" s="9"/>
      <c r="N1120" s="9"/>
      <c r="O1120" s="9"/>
      <c r="P1120" s="9"/>
      <c r="Q1120" s="9">
        <f ca="1">IFERROR(__xludf.DUMMYFUNCTION("GOOGLEFINANCE(C1120,""changepct"")"),0.78)</f>
        <v>0.78</v>
      </c>
      <c r="R1120" s="9"/>
      <c r="S1120" s="9"/>
      <c r="T1120" s="9"/>
      <c r="U1120" s="9"/>
      <c r="V1120" s="9"/>
      <c r="W1120" s="9"/>
    </row>
    <row r="1121" spans="1:23" ht="14.4">
      <c r="A1121" s="3">
        <f>LOOKUP(D1121,'AMFI DATA_2023H1'!B:C,'AMFI DATA_2023H1'!C:C)</f>
        <v>822</v>
      </c>
      <c r="B1121" s="4" t="s">
        <v>2942</v>
      </c>
      <c r="C1121" s="4" t="s">
        <v>2943</v>
      </c>
      <c r="D1121" s="5" t="s">
        <v>2944</v>
      </c>
      <c r="E1121" s="5">
        <f>LOOKUP(D1121,'AMFI DATA_2023H1'!B:D,'AMFI DATA_2023H1'!D:D)</f>
        <v>1822.58</v>
      </c>
      <c r="F1121" s="7">
        <f t="shared" si="4"/>
        <v>-0.166017403899966</v>
      </c>
      <c r="G1121" s="8">
        <v>1520</v>
      </c>
      <c r="H1121" s="8">
        <v>1472</v>
      </c>
      <c r="I1121" s="8">
        <v>1475</v>
      </c>
      <c r="J1121" s="8">
        <v>1486</v>
      </c>
      <c r="K1121" s="8">
        <v>1487</v>
      </c>
      <c r="L1121" s="8">
        <v>1473</v>
      </c>
      <c r="M1121" s="8"/>
      <c r="N1121" s="8"/>
      <c r="O1121" s="8"/>
      <c r="P1121" s="8"/>
      <c r="Q1121" s="9">
        <f ca="1">IFERROR(__xludf.DUMMYFUNCTION("GOOGLEFINANCE(C1121,""changepct"")"),3.63)</f>
        <v>3.63</v>
      </c>
      <c r="R1121" s="8"/>
      <c r="S1121" s="8"/>
      <c r="T1121" s="8"/>
      <c r="U1121" s="8"/>
      <c r="V1121" s="8"/>
      <c r="W1121" s="8"/>
    </row>
    <row r="1122" spans="1:23" ht="14.4">
      <c r="A1122" s="3">
        <f>LOOKUP(D1122,'AMFI DATA_2023H1'!B:C,'AMFI DATA_2023H1'!C:C)</f>
        <v>1978</v>
      </c>
      <c r="B1122" s="4" t="s">
        <v>4715</v>
      </c>
      <c r="C1122" s="4" t="s">
        <v>4716</v>
      </c>
      <c r="D1122" s="5" t="s">
        <v>4717</v>
      </c>
      <c r="E1122" s="5">
        <f>LOOKUP(D1122,'AMFI DATA_2023H1'!B:D,'AMFI DATA_2023H1'!D:D)</f>
        <v>148.65</v>
      </c>
      <c r="F1122" s="7">
        <f t="shared" si="4"/>
        <v>0.61453077699293646</v>
      </c>
      <c r="G1122" s="9">
        <v>240</v>
      </c>
      <c r="H1122" s="9">
        <v>238</v>
      </c>
      <c r="I1122" s="9">
        <v>239</v>
      </c>
      <c r="J1122" s="9">
        <v>243</v>
      </c>
      <c r="K1122" s="9">
        <v>246</v>
      </c>
      <c r="L1122" s="9">
        <v>234</v>
      </c>
      <c r="M1122" s="9"/>
      <c r="N1122" s="9"/>
      <c r="O1122" s="9"/>
      <c r="P1122" s="9"/>
      <c r="Q1122" s="9">
        <f ca="1">IFERROR(__xludf.DUMMYFUNCTION("GOOGLEFINANCE(C1122,""changepct"")"),1.62)</f>
        <v>1.62</v>
      </c>
      <c r="R1122" s="9"/>
      <c r="S1122" s="9"/>
      <c r="T1122" s="9"/>
      <c r="U1122" s="9"/>
      <c r="V1122" s="9"/>
      <c r="W1122" s="9"/>
    </row>
    <row r="1123" spans="1:23" ht="14.4">
      <c r="A1123" s="3">
        <f>LOOKUP(D1123,'AMFI DATA_2023H1'!B:C,'AMFI DATA_2023H1'!C:C)</f>
        <v>1241</v>
      </c>
      <c r="B1123" s="4" t="s">
        <v>3902</v>
      </c>
      <c r="C1123" s="4" t="s">
        <v>3903</v>
      </c>
      <c r="D1123" s="5" t="s">
        <v>3904</v>
      </c>
      <c r="E1123" s="5">
        <f>LOOKUP(D1123,'AMFI DATA_2023H1'!B:D,'AMFI DATA_2023H1'!D:D)</f>
        <v>619.48</v>
      </c>
      <c r="F1123" s="7">
        <f t="shared" si="4"/>
        <v>0.37211855104281</v>
      </c>
      <c r="G1123" s="9">
        <v>850</v>
      </c>
      <c r="H1123" s="9">
        <v>773</v>
      </c>
      <c r="I1123" s="9">
        <v>753</v>
      </c>
      <c r="J1123" s="9">
        <v>748</v>
      </c>
      <c r="K1123" s="9">
        <v>733</v>
      </c>
      <c r="L1123" s="9">
        <v>670</v>
      </c>
      <c r="M1123" s="9"/>
      <c r="N1123" s="9"/>
      <c r="O1123" s="9"/>
      <c r="P1123" s="9"/>
      <c r="Q1123" s="9">
        <f ca="1">IFERROR(__xludf.DUMMYFUNCTION("GOOGLEFINANCE(C1123,""changepct"")"),6.5)</f>
        <v>6.5</v>
      </c>
      <c r="R1123" s="9"/>
      <c r="S1123" s="9"/>
      <c r="T1123" s="9"/>
      <c r="U1123" s="9"/>
      <c r="V1123" s="9"/>
      <c r="W1123" s="9"/>
    </row>
    <row r="1124" spans="1:23" ht="14.4">
      <c r="A1124" s="3">
        <f>LOOKUP(D1124,'AMFI DATA_2023H1'!B:C,'AMFI DATA_2023H1'!C:C)</f>
        <v>3141</v>
      </c>
      <c r="B1124" s="4" t="s">
        <v>5659</v>
      </c>
      <c r="C1124" s="4" t="s">
        <v>5660</v>
      </c>
      <c r="D1124" s="5" t="s">
        <v>5661</v>
      </c>
      <c r="E1124" s="5">
        <f>LOOKUP(D1124,'AMFI DATA_2023H1'!B:D,'AMFI DATA_2023H1'!D:D)</f>
        <v>24.63</v>
      </c>
      <c r="F1124" s="7">
        <f t="shared" si="4"/>
        <v>-0.21640276086073884</v>
      </c>
      <c r="G1124" s="9">
        <v>19.3</v>
      </c>
      <c r="H1124" s="9">
        <v>20.2</v>
      </c>
      <c r="I1124" s="9">
        <v>20.2</v>
      </c>
      <c r="J1124" s="9">
        <v>19.899999999999999</v>
      </c>
      <c r="K1124" s="9">
        <v>19.899999999999999</v>
      </c>
      <c r="L1124" s="9">
        <v>19.100000000000001</v>
      </c>
      <c r="M1124" s="9"/>
      <c r="N1124" s="9"/>
      <c r="O1124" s="9"/>
      <c r="P1124" s="9"/>
      <c r="Q1124" s="9">
        <f ca="1">IFERROR(__xludf.DUMMYFUNCTION("GOOGLEFINANCE(C1124,""changepct"")"),-1.07)</f>
        <v>-1.07</v>
      </c>
      <c r="R1124" s="9"/>
      <c r="S1124" s="9"/>
      <c r="T1124" s="9"/>
      <c r="U1124" s="9"/>
      <c r="V1124" s="9"/>
      <c r="W1124" s="9"/>
    </row>
    <row r="1125" spans="1:23" ht="14.4">
      <c r="A1125" s="3">
        <f>LOOKUP(D1125,'AMFI DATA_2023H1'!B:C,'AMFI DATA_2023H1'!C:C)</f>
        <v>2677</v>
      </c>
      <c r="B1125" s="4" t="s">
        <v>5398</v>
      </c>
      <c r="C1125" s="4" t="s">
        <v>5399</v>
      </c>
      <c r="D1125" s="5" t="s">
        <v>5400</v>
      </c>
      <c r="E1125" s="5">
        <f>LOOKUP(D1125,'AMFI DATA_2023H1'!B:D,'AMFI DATA_2023H1'!D:D)</f>
        <v>47.59</v>
      </c>
      <c r="F1125" s="7">
        <f t="shared" si="4"/>
        <v>0.72305106114729978</v>
      </c>
      <c r="G1125" s="9">
        <v>82</v>
      </c>
      <c r="H1125" s="9">
        <v>79.7</v>
      </c>
      <c r="I1125" s="9">
        <v>80.8</v>
      </c>
      <c r="J1125" s="9">
        <v>82.4</v>
      </c>
      <c r="K1125" s="9">
        <v>85.9</v>
      </c>
      <c r="L1125" s="9">
        <v>82.4</v>
      </c>
      <c r="M1125" s="9"/>
      <c r="N1125" s="9"/>
      <c r="O1125" s="9"/>
      <c r="P1125" s="9"/>
      <c r="Q1125" s="9">
        <f ca="1">IFERROR(__xludf.DUMMYFUNCTION("GOOGLEFINANCE(C1125,""changepct"")"),10.18)</f>
        <v>10.18</v>
      </c>
      <c r="R1125" s="9"/>
      <c r="S1125" s="9"/>
      <c r="T1125" s="9"/>
      <c r="U1125" s="9"/>
      <c r="V1125" s="9"/>
      <c r="W1125" s="9"/>
    </row>
    <row r="1126" spans="1:23" ht="14.4">
      <c r="A1126" s="3">
        <f>LOOKUP(D1126,'AMFI DATA_2023H1'!B:C,'AMFI DATA_2023H1'!C:C)</f>
        <v>1340</v>
      </c>
      <c r="B1126" s="4" t="s">
        <v>3986</v>
      </c>
      <c r="C1126" s="4" t="s">
        <v>3987</v>
      </c>
      <c r="D1126" s="5" t="s">
        <v>3988</v>
      </c>
      <c r="E1126" s="5">
        <f>LOOKUP(D1126,'AMFI DATA_2023H1'!B:D,'AMFI DATA_2023H1'!D:D)</f>
        <v>466.79</v>
      </c>
      <c r="F1126" s="7">
        <f t="shared" si="4"/>
        <v>0.14398337582210408</v>
      </c>
      <c r="G1126" s="9">
        <v>534</v>
      </c>
      <c r="H1126" s="9">
        <v>513</v>
      </c>
      <c r="I1126" s="9">
        <v>499</v>
      </c>
      <c r="J1126" s="9">
        <v>505</v>
      </c>
      <c r="K1126" s="9">
        <v>499</v>
      </c>
      <c r="L1126" s="9">
        <v>496</v>
      </c>
      <c r="M1126" s="9"/>
      <c r="N1126" s="9"/>
      <c r="O1126" s="9"/>
      <c r="P1126" s="9"/>
      <c r="Q1126" s="9">
        <f ca="1">IFERROR(__xludf.DUMMYFUNCTION("GOOGLEFINANCE(C1126,""changepct"")"),6.18)</f>
        <v>6.18</v>
      </c>
      <c r="R1126" s="9"/>
      <c r="S1126" s="9"/>
      <c r="T1126" s="9"/>
      <c r="U1126" s="9"/>
      <c r="V1126" s="9"/>
      <c r="W1126" s="9"/>
    </row>
    <row r="1127" spans="1:23" ht="14.4">
      <c r="A1127" s="3">
        <f>LOOKUP(D1127,'AMFI DATA_2023H1'!B:C,'AMFI DATA_2023H1'!C:C)</f>
        <v>1393</v>
      </c>
      <c r="B1127" s="4" t="s">
        <v>3878</v>
      </c>
      <c r="C1127" s="4" t="s">
        <v>3879</v>
      </c>
      <c r="D1127" s="5" t="s">
        <v>3880</v>
      </c>
      <c r="E1127" s="5">
        <f>LOOKUP(D1127,'AMFI DATA_2023H1'!B:D,'AMFI DATA_2023H1'!D:D)</f>
        <v>416.97</v>
      </c>
      <c r="F1127" s="7">
        <f t="shared" si="4"/>
        <v>0.31664148499892075</v>
      </c>
      <c r="G1127" s="9">
        <v>549</v>
      </c>
      <c r="H1127" s="9">
        <v>547</v>
      </c>
      <c r="I1127" s="9">
        <v>546</v>
      </c>
      <c r="J1127" s="9">
        <v>550</v>
      </c>
      <c r="K1127" s="9">
        <v>550</v>
      </c>
      <c r="L1127" s="9">
        <v>562</v>
      </c>
      <c r="M1127" s="9"/>
      <c r="N1127" s="9"/>
      <c r="O1127" s="9"/>
      <c r="P1127" s="9"/>
      <c r="Q1127" s="9">
        <f ca="1">IFERROR(__xludf.DUMMYFUNCTION("GOOGLEFINANCE(C1127,""changepct"")"),3.18)</f>
        <v>3.18</v>
      </c>
      <c r="R1127" s="9"/>
      <c r="S1127" s="9"/>
      <c r="T1127" s="9"/>
      <c r="U1127" s="9"/>
      <c r="V1127" s="9"/>
      <c r="W1127" s="9"/>
    </row>
    <row r="1128" spans="1:23" ht="14.4">
      <c r="A1128" s="3">
        <f>LOOKUP(D1128,'AMFI DATA_2023H1'!B:C,'AMFI DATA_2023H1'!C:C)</f>
        <v>1249</v>
      </c>
      <c r="B1128" s="4" t="s">
        <v>3851</v>
      </c>
      <c r="C1128" s="4" t="s">
        <v>3852</v>
      </c>
      <c r="D1128" s="5" t="s">
        <v>3853</v>
      </c>
      <c r="E1128" s="5">
        <f>LOOKUP(D1128,'AMFI DATA_2023H1'!B:D,'AMFI DATA_2023H1'!D:D)</f>
        <v>605.99</v>
      </c>
      <c r="F1128" s="7">
        <f t="shared" si="4"/>
        <v>-7.5892341457779899E-2</v>
      </c>
      <c r="G1128" s="9">
        <v>560</v>
      </c>
      <c r="H1128" s="9">
        <v>555</v>
      </c>
      <c r="I1128" s="9">
        <v>558</v>
      </c>
      <c r="J1128" s="9">
        <v>558</v>
      </c>
      <c r="K1128" s="9">
        <v>543</v>
      </c>
      <c r="L1128" s="9">
        <v>554</v>
      </c>
      <c r="M1128" s="9"/>
      <c r="N1128" s="9"/>
      <c r="O1128" s="9"/>
      <c r="P1128" s="9"/>
      <c r="Q1128" s="9">
        <f ca="1">IFERROR(__xludf.DUMMYFUNCTION("GOOGLEFINANCE(C1128,""changepct"")"),7.92)</f>
        <v>7.92</v>
      </c>
      <c r="R1128" s="9"/>
      <c r="S1128" s="9"/>
      <c r="T1128" s="9"/>
      <c r="U1128" s="9"/>
      <c r="V1128" s="9"/>
      <c r="W1128" s="9"/>
    </row>
    <row r="1129" spans="1:23" ht="14.4">
      <c r="A1129" s="3">
        <f>LOOKUP(D1129,'AMFI DATA_2023H1'!B:C,'AMFI DATA_2023H1'!C:C)</f>
        <v>1078</v>
      </c>
      <c r="B1129" s="4" t="s">
        <v>3413</v>
      </c>
      <c r="C1129" s="4" t="s">
        <v>3414</v>
      </c>
      <c r="D1129" s="5" t="s">
        <v>3415</v>
      </c>
      <c r="E1129" s="5">
        <f>LOOKUP(D1129,'AMFI DATA_2023H1'!B:D,'AMFI DATA_2023H1'!D:D)</f>
        <v>940.32</v>
      </c>
      <c r="F1129" s="7">
        <f t="shared" si="4"/>
        <v>0.10600646588395435</v>
      </c>
      <c r="G1129" s="8">
        <v>1040</v>
      </c>
      <c r="H1129" s="8">
        <v>1017</v>
      </c>
      <c r="I1129" s="8">
        <v>1006</v>
      </c>
      <c r="J1129" s="8">
        <v>1027</v>
      </c>
      <c r="K1129" s="8">
        <v>1021</v>
      </c>
      <c r="L1129" s="8">
        <v>1008</v>
      </c>
      <c r="M1129" s="8"/>
      <c r="N1129" s="8"/>
      <c r="O1129" s="8"/>
      <c r="P1129" s="8"/>
      <c r="Q1129" s="9">
        <f ca="1">IFERROR(__xludf.DUMMYFUNCTION("GOOGLEFINANCE(C1129,""changepct"")"),9.09)</f>
        <v>9.09</v>
      </c>
      <c r="R1129" s="8"/>
      <c r="S1129" s="8"/>
      <c r="T1129" s="8"/>
      <c r="U1129" s="8"/>
      <c r="V1129" s="8"/>
      <c r="W1129" s="8"/>
    </row>
    <row r="1130" spans="1:23" ht="14.4">
      <c r="A1130" s="3">
        <f>LOOKUP(D1130,'AMFI DATA_2023H1'!B:C,'AMFI DATA_2023H1'!C:C)</f>
        <v>2315</v>
      </c>
      <c r="B1130" s="4" t="s">
        <v>5416</v>
      </c>
      <c r="C1130" s="4" t="s">
        <v>5417</v>
      </c>
      <c r="D1130" s="5" t="s">
        <v>5418</v>
      </c>
      <c r="E1130" s="5">
        <f>LOOKUP(D1130,'AMFI DATA_2023H1'!B:D,'AMFI DATA_2023H1'!D:D)</f>
        <v>84.81</v>
      </c>
      <c r="F1130" s="7">
        <f t="shared" si="4"/>
        <v>-0.28664072632944226</v>
      </c>
      <c r="G1130" s="9">
        <v>60.5</v>
      </c>
      <c r="H1130" s="9">
        <v>62.3</v>
      </c>
      <c r="I1130" s="9">
        <v>66.099999999999994</v>
      </c>
      <c r="J1130" s="9">
        <v>57.5</v>
      </c>
      <c r="K1130" s="9">
        <v>58.6</v>
      </c>
      <c r="L1130" s="9">
        <v>55</v>
      </c>
      <c r="M1130" s="9"/>
      <c r="N1130" s="9"/>
      <c r="O1130" s="9"/>
      <c r="P1130" s="9"/>
      <c r="Q1130" s="9">
        <f ca="1">IFERROR(__xludf.DUMMYFUNCTION("GOOGLEFINANCE(C1130,""changepct"")"),0.81)</f>
        <v>0.81</v>
      </c>
      <c r="R1130" s="9"/>
      <c r="S1130" s="9"/>
      <c r="T1130" s="9"/>
      <c r="U1130" s="9"/>
      <c r="V1130" s="9"/>
      <c r="W1130" s="9"/>
    </row>
    <row r="1131" spans="1:23" ht="14.4">
      <c r="A1131" s="3">
        <f>LOOKUP(D1131,'AMFI DATA_2023H1'!B:C,'AMFI DATA_2023H1'!C:C)</f>
        <v>1010</v>
      </c>
      <c r="B1131" s="4" t="s">
        <v>3062</v>
      </c>
      <c r="C1131" s="4" t="s">
        <v>3063</v>
      </c>
      <c r="D1131" s="5" t="s">
        <v>3064</v>
      </c>
      <c r="E1131" s="5">
        <f>LOOKUP(D1131,'AMFI DATA_2023H1'!B:D,'AMFI DATA_2023H1'!D:D)</f>
        <v>1115.9000000000001</v>
      </c>
      <c r="F1131" s="7">
        <f t="shared" si="4"/>
        <v>0.47593870418496276</v>
      </c>
      <c r="G1131" s="8">
        <v>1647</v>
      </c>
      <c r="H1131" s="8">
        <v>1683</v>
      </c>
      <c r="I1131" s="8">
        <v>1691</v>
      </c>
      <c r="J1131" s="8">
        <v>1713</v>
      </c>
      <c r="K1131" s="8">
        <v>1699</v>
      </c>
      <c r="L1131" s="8">
        <v>1683</v>
      </c>
      <c r="M1131" s="8"/>
      <c r="N1131" s="8"/>
      <c r="O1131" s="8"/>
      <c r="P1131" s="8"/>
      <c r="Q1131" s="9">
        <f ca="1">IFERROR(__xludf.DUMMYFUNCTION("GOOGLEFINANCE(C1131,""changepct"")"),3.64)</f>
        <v>3.64</v>
      </c>
      <c r="R1131" s="8"/>
      <c r="S1131" s="8"/>
      <c r="T1131" s="8"/>
      <c r="U1131" s="8"/>
      <c r="V1131" s="8"/>
      <c r="W1131" s="8"/>
    </row>
    <row r="1132" spans="1:23" ht="14.4">
      <c r="A1132" s="3">
        <f>LOOKUP(D1132,'AMFI DATA_2023H1'!B:C,'AMFI DATA_2023H1'!C:C)</f>
        <v>1571</v>
      </c>
      <c r="B1132" s="4" t="s">
        <v>4322</v>
      </c>
      <c r="C1132" s="4" t="s">
        <v>4323</v>
      </c>
      <c r="D1132" s="5" t="s">
        <v>4324</v>
      </c>
      <c r="E1132" s="5">
        <f>LOOKUP(D1132,'AMFI DATA_2023H1'!B:D,'AMFI DATA_2023H1'!D:D)</f>
        <v>305.57</v>
      </c>
      <c r="F1132" s="7">
        <f t="shared" si="4"/>
        <v>0.32866446313446995</v>
      </c>
      <c r="G1132" s="9">
        <v>406</v>
      </c>
      <c r="H1132" s="9">
        <v>389</v>
      </c>
      <c r="I1132" s="9">
        <v>379</v>
      </c>
      <c r="J1132" s="9">
        <v>382</v>
      </c>
      <c r="K1132" s="9">
        <v>398</v>
      </c>
      <c r="L1132" s="9">
        <v>398</v>
      </c>
      <c r="M1132" s="9"/>
      <c r="N1132" s="9"/>
      <c r="O1132" s="9"/>
      <c r="P1132" s="9"/>
      <c r="Q1132" s="9">
        <f ca="1">IFERROR(__xludf.DUMMYFUNCTION("GOOGLEFINANCE(C1132,""changepct"")"),0.74)</f>
        <v>0.74</v>
      </c>
      <c r="R1132" s="9"/>
      <c r="S1132" s="9"/>
      <c r="T1132" s="9"/>
      <c r="U1132" s="9"/>
      <c r="V1132" s="9"/>
      <c r="W1132" s="9"/>
    </row>
    <row r="1133" spans="1:23" ht="14.4">
      <c r="A1133" s="3">
        <f>LOOKUP(D1133,'AMFI DATA_2023H1'!B:C,'AMFI DATA_2023H1'!C:C)</f>
        <v>2214</v>
      </c>
      <c r="B1133" s="4" t="s">
        <v>5227</v>
      </c>
      <c r="C1133" s="4" t="s">
        <v>5228</v>
      </c>
      <c r="D1133" s="5" t="s">
        <v>5229</v>
      </c>
      <c r="E1133" s="5">
        <f>LOOKUP(D1133,'AMFI DATA_2023H1'!B:D,'AMFI DATA_2023H1'!D:D)</f>
        <v>101.36</v>
      </c>
      <c r="F1133" s="7">
        <f t="shared" si="4"/>
        <v>-0.19100236779794788</v>
      </c>
      <c r="G1133" s="9">
        <v>82</v>
      </c>
      <c r="H1133" s="9">
        <v>77</v>
      </c>
      <c r="I1133" s="9">
        <v>76.599999999999994</v>
      </c>
      <c r="J1133" s="9">
        <v>75.599999999999994</v>
      </c>
      <c r="K1133" s="9">
        <v>76</v>
      </c>
      <c r="L1133" s="9">
        <v>75.5</v>
      </c>
      <c r="M1133" s="9"/>
      <c r="N1133" s="9"/>
      <c r="O1133" s="9"/>
      <c r="P1133" s="9"/>
      <c r="Q1133" s="9">
        <f ca="1">IFERROR(__xludf.DUMMYFUNCTION("GOOGLEFINANCE(C1133,""changepct"")"),-8.75)</f>
        <v>-8.75</v>
      </c>
      <c r="R1133" s="9"/>
      <c r="S1133" s="9"/>
      <c r="T1133" s="9"/>
      <c r="U1133" s="9"/>
      <c r="V1133" s="9"/>
      <c r="W1133" s="9"/>
    </row>
    <row r="1134" spans="1:23" ht="14.4">
      <c r="A1134" s="3">
        <f>LOOKUP(D1134,'AMFI DATA_2023H1'!B:C,'AMFI DATA_2023H1'!C:C)</f>
        <v>255</v>
      </c>
      <c r="B1134" s="4" t="s">
        <v>753</v>
      </c>
      <c r="C1134" s="4" t="s">
        <v>754</v>
      </c>
      <c r="D1134" s="5" t="s">
        <v>755</v>
      </c>
      <c r="E1134" s="5">
        <f>LOOKUP(D1134,'AMFI DATA_2023H1'!B:D,'AMFI DATA_2023H1'!D:D)</f>
        <v>16292.51</v>
      </c>
      <c r="F1134" s="7">
        <f t="shared" si="4"/>
        <v>0.51492925276706902</v>
      </c>
      <c r="G1134" s="8">
        <v>24682</v>
      </c>
      <c r="H1134" s="8">
        <v>24544</v>
      </c>
      <c r="I1134" s="8">
        <v>24498</v>
      </c>
      <c r="J1134" s="8">
        <v>24258</v>
      </c>
      <c r="K1134" s="8">
        <v>24204</v>
      </c>
      <c r="L1134" s="8">
        <v>24023</v>
      </c>
      <c r="M1134" s="8"/>
      <c r="N1134" s="8"/>
      <c r="O1134" s="8"/>
      <c r="P1134" s="8"/>
      <c r="Q1134" s="9">
        <f ca="1">IFERROR(__xludf.DUMMYFUNCTION("GOOGLEFINANCE(C1134,""changepct"")"),-0.82)</f>
        <v>-0.82</v>
      </c>
      <c r="R1134" s="8"/>
      <c r="S1134" s="8"/>
      <c r="T1134" s="8"/>
      <c r="U1134" s="8"/>
      <c r="V1134" s="8"/>
      <c r="W1134" s="8"/>
    </row>
    <row r="1135" spans="1:23" ht="14.4">
      <c r="A1135" s="3">
        <f>LOOKUP(D1135,'AMFI DATA_2023H1'!B:C,'AMFI DATA_2023H1'!C:C)</f>
        <v>3025</v>
      </c>
      <c r="B1135" s="4" t="s">
        <v>5626</v>
      </c>
      <c r="C1135" s="4" t="s">
        <v>5627</v>
      </c>
      <c r="D1135" s="5" t="s">
        <v>5628</v>
      </c>
      <c r="E1135" s="5">
        <f>LOOKUP(D1135,'AMFI DATA_2023H1'!B:D,'AMFI DATA_2023H1'!D:D)</f>
        <v>29.36</v>
      </c>
      <c r="F1135" s="7">
        <f t="shared" si="4"/>
        <v>8.1743869209809361E-3</v>
      </c>
      <c r="G1135" s="9">
        <v>29.6</v>
      </c>
      <c r="H1135" s="9">
        <v>30.3</v>
      </c>
      <c r="I1135" s="9">
        <v>27.8</v>
      </c>
      <c r="J1135" s="9">
        <v>29.2</v>
      </c>
      <c r="K1135" s="9">
        <v>28.5</v>
      </c>
      <c r="L1135" s="9">
        <v>29.6</v>
      </c>
      <c r="M1135" s="9"/>
      <c r="N1135" s="9"/>
      <c r="O1135" s="9"/>
      <c r="P1135" s="9"/>
      <c r="Q1135" s="9">
        <f ca="1">IFERROR(__xludf.DUMMYFUNCTION("GOOGLEFINANCE(C1135,""changepct"")"),-0.22)</f>
        <v>-0.22</v>
      </c>
      <c r="R1135" s="9"/>
      <c r="S1135" s="9"/>
      <c r="T1135" s="9"/>
      <c r="U1135" s="9"/>
      <c r="V1135" s="9"/>
      <c r="W1135" s="9"/>
    </row>
    <row r="1136" spans="1:23" ht="14.4">
      <c r="A1136" s="3">
        <f>LOOKUP(D1136,'AMFI DATA_2023H1'!B:C,'AMFI DATA_2023H1'!C:C)</f>
        <v>336</v>
      </c>
      <c r="B1136" s="4" t="s">
        <v>969</v>
      </c>
      <c r="C1136" s="4" t="s">
        <v>970</v>
      </c>
      <c r="D1136" s="5" t="s">
        <v>971</v>
      </c>
      <c r="E1136" s="5">
        <f>LOOKUP(D1136,'AMFI DATA_2023H1'!B:D,'AMFI DATA_2023H1'!D:D)</f>
        <v>10544.66</v>
      </c>
      <c r="F1136" s="7">
        <f t="shared" si="4"/>
        <v>0.38961332086572731</v>
      </c>
      <c r="G1136" s="8">
        <v>14653</v>
      </c>
      <c r="H1136" s="8">
        <v>14539</v>
      </c>
      <c r="I1136" s="8">
        <v>14422</v>
      </c>
      <c r="J1136" s="8">
        <v>14400</v>
      </c>
      <c r="K1136" s="8">
        <v>14409</v>
      </c>
      <c r="L1136" s="8">
        <v>14189</v>
      </c>
      <c r="M1136" s="8"/>
      <c r="N1136" s="8"/>
      <c r="O1136" s="8"/>
      <c r="P1136" s="8"/>
      <c r="Q1136" s="9">
        <f ca="1">IFERROR(__xludf.DUMMYFUNCTION("GOOGLEFINANCE(C1136,""changepct"")"),-0.19)</f>
        <v>-0.19</v>
      </c>
      <c r="R1136" s="8"/>
      <c r="S1136" s="8"/>
      <c r="T1136" s="8"/>
      <c r="U1136" s="8"/>
      <c r="V1136" s="8"/>
      <c r="W1136" s="8"/>
    </row>
    <row r="1137" spans="1:23" ht="14.4">
      <c r="A1137" s="3">
        <f>LOOKUP(D1137,'AMFI DATA_2023H1'!B:C,'AMFI DATA_2023H1'!C:C)</f>
        <v>1570</v>
      </c>
      <c r="B1137" s="4" t="s">
        <v>4184</v>
      </c>
      <c r="C1137" s="4" t="s">
        <v>4185</v>
      </c>
      <c r="D1137" s="5" t="s">
        <v>4186</v>
      </c>
      <c r="E1137" s="5">
        <f>LOOKUP(D1137,'AMFI DATA_2023H1'!B:D,'AMFI DATA_2023H1'!D:D)</f>
        <v>305.57</v>
      </c>
      <c r="F1137" s="7">
        <f t="shared" si="4"/>
        <v>0.32211931799587656</v>
      </c>
      <c r="G1137" s="9">
        <v>404</v>
      </c>
      <c r="H1137" s="9">
        <v>394</v>
      </c>
      <c r="I1137" s="9">
        <v>392</v>
      </c>
      <c r="J1137" s="9">
        <v>389</v>
      </c>
      <c r="K1137" s="9">
        <v>394</v>
      </c>
      <c r="L1137" s="9">
        <v>399</v>
      </c>
      <c r="M1137" s="9"/>
      <c r="N1137" s="9"/>
      <c r="O1137" s="9"/>
      <c r="P1137" s="9"/>
      <c r="Q1137" s="9">
        <f ca="1">IFERROR(__xludf.DUMMYFUNCTION("GOOGLEFINANCE(C1137,""changepct"")"),11.14)</f>
        <v>11.14</v>
      </c>
      <c r="R1137" s="9"/>
      <c r="S1137" s="9"/>
      <c r="T1137" s="9"/>
      <c r="U1137" s="9"/>
      <c r="V1137" s="9"/>
      <c r="W1137" s="9"/>
    </row>
    <row r="1138" spans="1:23" ht="14.4">
      <c r="A1138" s="3">
        <f>LOOKUP(D1138,'AMFI DATA_2023H1'!B:C,'AMFI DATA_2023H1'!C:C)</f>
        <v>273</v>
      </c>
      <c r="B1138" s="4" t="s">
        <v>879</v>
      </c>
      <c r="C1138" s="4" t="s">
        <v>880</v>
      </c>
      <c r="D1138" s="5" t="s">
        <v>881</v>
      </c>
      <c r="E1138" s="5">
        <f>LOOKUP(D1138,'AMFI DATA_2023H1'!B:D,'AMFI DATA_2023H1'!D:D)</f>
        <v>15027.96</v>
      </c>
      <c r="F1138" s="7">
        <f t="shared" si="4"/>
        <v>0.66336615215904238</v>
      </c>
      <c r="G1138" s="8">
        <v>24997</v>
      </c>
      <c r="H1138" s="8">
        <v>24247</v>
      </c>
      <c r="I1138" s="8">
        <v>23685</v>
      </c>
      <c r="J1138" s="8">
        <v>21645</v>
      </c>
      <c r="K1138" s="8">
        <v>21173</v>
      </c>
      <c r="L1138" s="8">
        <v>21140</v>
      </c>
      <c r="M1138" s="8"/>
      <c r="N1138" s="8"/>
      <c r="O1138" s="8"/>
      <c r="P1138" s="8"/>
      <c r="Q1138" s="9">
        <f ca="1">IFERROR(__xludf.DUMMYFUNCTION("GOOGLEFINANCE(C1138,""changepct"")"),3.16)</f>
        <v>3.16</v>
      </c>
      <c r="R1138" s="8"/>
      <c r="S1138" s="8"/>
      <c r="T1138" s="8"/>
      <c r="U1138" s="8"/>
      <c r="V1138" s="8"/>
      <c r="W1138" s="8"/>
    </row>
    <row r="1139" spans="1:23" ht="14.4">
      <c r="A1139" s="3">
        <f>LOOKUP(D1139,'AMFI DATA_2023H1'!B:C,'AMFI DATA_2023H1'!C:C)</f>
        <v>619</v>
      </c>
      <c r="B1139" s="4" t="s">
        <v>2120</v>
      </c>
      <c r="C1139" s="4" t="s">
        <v>2121</v>
      </c>
      <c r="D1139" s="5" t="s">
        <v>2122</v>
      </c>
      <c r="E1139" s="5">
        <f>LOOKUP(D1139,'AMFI DATA_2023H1'!B:D,'AMFI DATA_2023H1'!D:D)</f>
        <v>3472.85</v>
      </c>
      <c r="F1139" s="7">
        <f t="shared" si="4"/>
        <v>0.40777747383273111</v>
      </c>
      <c r="G1139" s="8">
        <v>4889</v>
      </c>
      <c r="H1139" s="8">
        <v>4469</v>
      </c>
      <c r="I1139" s="8">
        <v>4489</v>
      </c>
      <c r="J1139" s="8">
        <v>4202</v>
      </c>
      <c r="K1139" s="8">
        <v>4214</v>
      </c>
      <c r="L1139" s="8">
        <v>4133</v>
      </c>
      <c r="M1139" s="8"/>
      <c r="N1139" s="8"/>
      <c r="O1139" s="8"/>
      <c r="P1139" s="8"/>
      <c r="Q1139" s="9">
        <f ca="1">IFERROR(__xludf.DUMMYFUNCTION("GOOGLEFINANCE(C1139,""changepct"")"),9.78)</f>
        <v>9.7799999999999994</v>
      </c>
      <c r="R1139" s="8"/>
      <c r="S1139" s="8"/>
      <c r="T1139" s="8"/>
      <c r="U1139" s="8"/>
      <c r="V1139" s="8"/>
      <c r="W1139" s="8"/>
    </row>
    <row r="1140" spans="1:23" ht="14.4">
      <c r="A1140" s="3">
        <f>LOOKUP(D1140,'AMFI DATA_2023H1'!B:C,'AMFI DATA_2023H1'!C:C)</f>
        <v>595</v>
      </c>
      <c r="B1140" s="4" t="s">
        <v>1695</v>
      </c>
      <c r="C1140" s="4" t="s">
        <v>1696</v>
      </c>
      <c r="D1140" s="5" t="s">
        <v>1697</v>
      </c>
      <c r="E1140" s="5">
        <f>LOOKUP(D1140,'AMFI DATA_2023H1'!B:D,'AMFI DATA_2023H1'!D:D)</f>
        <v>3772.59</v>
      </c>
      <c r="F1140" s="7">
        <f t="shared" si="4"/>
        <v>0.72189397734712757</v>
      </c>
      <c r="G1140" s="8">
        <v>6496</v>
      </c>
      <c r="H1140" s="8">
        <v>6319</v>
      </c>
      <c r="I1140" s="8">
        <v>6312</v>
      </c>
      <c r="J1140" s="8">
        <v>6468</v>
      </c>
      <c r="K1140" s="8">
        <v>6556</v>
      </c>
      <c r="L1140" s="8">
        <v>6618</v>
      </c>
      <c r="M1140" s="8"/>
      <c r="N1140" s="8"/>
      <c r="O1140" s="8"/>
      <c r="P1140" s="8"/>
      <c r="Q1140" s="9">
        <f ca="1">IFERROR(__xludf.DUMMYFUNCTION("GOOGLEFINANCE(C1140,""changepct"")"),2.77)</f>
        <v>2.77</v>
      </c>
      <c r="R1140" s="8"/>
      <c r="S1140" s="8"/>
      <c r="T1140" s="8"/>
      <c r="U1140" s="8"/>
      <c r="V1140" s="8"/>
      <c r="W1140" s="8"/>
    </row>
    <row r="1141" spans="1:23" ht="14.4">
      <c r="A1141" s="3">
        <f>LOOKUP(D1141,'AMFI DATA_2023H1'!B:C,'AMFI DATA_2023H1'!C:C)</f>
        <v>214</v>
      </c>
      <c r="B1141" s="4" t="s">
        <v>801</v>
      </c>
      <c r="C1141" s="4" t="s">
        <v>802</v>
      </c>
      <c r="D1141" s="5" t="s">
        <v>803</v>
      </c>
      <c r="E1141" s="5">
        <f>LOOKUP(D1141,'AMFI DATA_2023H1'!B:D,'AMFI DATA_2023H1'!D:D)</f>
        <v>21601.33</v>
      </c>
      <c r="F1141" s="7">
        <f t="shared" si="4"/>
        <v>-0.11454526179638025</v>
      </c>
      <c r="G1141" s="8">
        <v>19127</v>
      </c>
      <c r="H1141" s="8">
        <v>19097</v>
      </c>
      <c r="I1141" s="8">
        <v>19033</v>
      </c>
      <c r="J1141" s="8">
        <v>19069</v>
      </c>
      <c r="K1141" s="8">
        <v>18817</v>
      </c>
      <c r="L1141" s="8">
        <v>18659</v>
      </c>
      <c r="M1141" s="8"/>
      <c r="N1141" s="8"/>
      <c r="O1141" s="8"/>
      <c r="P1141" s="8"/>
      <c r="Q1141" s="9">
        <f ca="1">IFERROR(__xludf.DUMMYFUNCTION("GOOGLEFINANCE(C1141,""changepct"")"),1.4)</f>
        <v>1.4</v>
      </c>
      <c r="R1141" s="8"/>
      <c r="S1141" s="8"/>
      <c r="T1141" s="8"/>
      <c r="U1141" s="8"/>
      <c r="V1141" s="8"/>
      <c r="W1141" s="8"/>
    </row>
    <row r="1142" spans="1:23" ht="14.4">
      <c r="A1142" s="3">
        <f>LOOKUP(D1142,'AMFI DATA_2023H1'!B:C,'AMFI DATA_2023H1'!C:C)</f>
        <v>1115</v>
      </c>
      <c r="B1142" s="4" t="s">
        <v>3392</v>
      </c>
      <c r="C1142" s="4" t="s">
        <v>3393</v>
      </c>
      <c r="D1142" s="5" t="s">
        <v>3394</v>
      </c>
      <c r="E1142" s="5">
        <f>LOOKUP(D1142,'AMFI DATA_2023H1'!B:D,'AMFI DATA_2023H1'!D:D)</f>
        <v>846.16</v>
      </c>
      <c r="F1142" s="7">
        <f t="shared" si="4"/>
        <v>0.81644133497210936</v>
      </c>
      <c r="G1142" s="8">
        <v>1537</v>
      </c>
      <c r="H1142" s="8">
        <v>1534</v>
      </c>
      <c r="I1142" s="8">
        <v>1596</v>
      </c>
      <c r="J1142" s="8">
        <v>1501</v>
      </c>
      <c r="K1142" s="8">
        <v>1561</v>
      </c>
      <c r="L1142" s="8">
        <v>1569</v>
      </c>
      <c r="M1142" s="8"/>
      <c r="N1142" s="8"/>
      <c r="O1142" s="8"/>
      <c r="P1142" s="8"/>
      <c r="Q1142" s="9">
        <f ca="1">IFERROR(__xludf.DUMMYFUNCTION("GOOGLEFINANCE(C1142,""changepct"")"),-4.86)</f>
        <v>-4.8600000000000003</v>
      </c>
      <c r="R1142" s="8"/>
      <c r="S1142" s="8"/>
      <c r="T1142" s="8"/>
      <c r="U1142" s="8"/>
      <c r="V1142" s="8"/>
      <c r="W1142" s="8"/>
    </row>
    <row r="1143" spans="1:23" ht="14.4">
      <c r="A1143" s="3">
        <f>LOOKUP(D1143,'AMFI DATA_2023H1'!B:C,'AMFI DATA_2023H1'!C:C)</f>
        <v>708</v>
      </c>
      <c r="B1143" s="4" t="s">
        <v>2189</v>
      </c>
      <c r="C1143" s="4" t="s">
        <v>2190</v>
      </c>
      <c r="D1143" s="5" t="s">
        <v>2191</v>
      </c>
      <c r="E1143" s="5">
        <f>LOOKUP(D1143,'AMFI DATA_2023H1'!B:D,'AMFI DATA_2023H1'!D:D)</f>
        <v>2504.42</v>
      </c>
      <c r="F1143" s="7">
        <f t="shared" si="4"/>
        <v>0.37556799578345479</v>
      </c>
      <c r="G1143" s="8">
        <v>3445</v>
      </c>
      <c r="H1143" s="8">
        <v>3429</v>
      </c>
      <c r="I1143" s="8">
        <v>3350</v>
      </c>
      <c r="J1143" s="8">
        <v>3347</v>
      </c>
      <c r="K1143" s="8">
        <v>3302</v>
      </c>
      <c r="L1143" s="8">
        <v>3225</v>
      </c>
      <c r="M1143" s="8"/>
      <c r="N1143" s="8"/>
      <c r="O1143" s="8"/>
      <c r="P1143" s="8"/>
      <c r="Q1143" s="9">
        <f ca="1">IFERROR(__xludf.DUMMYFUNCTION("GOOGLEFINANCE(C1143,""changepct"")"),-1.79)</f>
        <v>-1.79</v>
      </c>
      <c r="R1143" s="8"/>
      <c r="S1143" s="8"/>
      <c r="T1143" s="8"/>
      <c r="U1143" s="8"/>
      <c r="V1143" s="8"/>
      <c r="W1143" s="8"/>
    </row>
    <row r="1144" spans="1:23" ht="14.4">
      <c r="A1144" s="3">
        <f>LOOKUP(D1144,'AMFI DATA_2023H1'!B:C,'AMFI DATA_2023H1'!C:C)</f>
        <v>592</v>
      </c>
      <c r="B1144" s="4" t="s">
        <v>1782</v>
      </c>
      <c r="C1144" s="4" t="s">
        <v>1783</v>
      </c>
      <c r="D1144" s="5" t="s">
        <v>1784</v>
      </c>
      <c r="E1144" s="5">
        <f>LOOKUP(D1144,'AMFI DATA_2023H1'!B:D,'AMFI DATA_2023H1'!D:D)</f>
        <v>3813.17</v>
      </c>
      <c r="F1144" s="7">
        <f t="shared" si="4"/>
        <v>0.4853783072876372</v>
      </c>
      <c r="G1144" s="8">
        <v>5664</v>
      </c>
      <c r="H1144" s="8">
        <v>5666</v>
      </c>
      <c r="I1144" s="8">
        <v>5638</v>
      </c>
      <c r="J1144" s="8">
        <v>5671</v>
      </c>
      <c r="K1144" s="8">
        <v>5680</v>
      </c>
      <c r="L1144" s="8">
        <v>5795</v>
      </c>
      <c r="M1144" s="8"/>
      <c r="N1144" s="8"/>
      <c r="O1144" s="8"/>
      <c r="P1144" s="8"/>
      <c r="Q1144" s="9">
        <f ca="1">IFERROR(__xludf.DUMMYFUNCTION("GOOGLEFINANCE(C1144,""changepct"")"),1.31)</f>
        <v>1.31</v>
      </c>
      <c r="R1144" s="8"/>
      <c r="S1144" s="8"/>
      <c r="T1144" s="8"/>
      <c r="U1144" s="8"/>
      <c r="V1144" s="8"/>
      <c r="W1144" s="8"/>
    </row>
    <row r="1145" spans="1:23" ht="14.4">
      <c r="A1145" s="3">
        <f>LOOKUP(D1145,'AMFI DATA_2023H1'!B:C,'AMFI DATA_2023H1'!C:C)</f>
        <v>425</v>
      </c>
      <c r="B1145" s="4" t="s">
        <v>1170</v>
      </c>
      <c r="C1145" s="4" t="s">
        <v>1171</v>
      </c>
      <c r="D1145" s="5" t="s">
        <v>1172</v>
      </c>
      <c r="E1145" s="5">
        <f>LOOKUP(D1145,'AMFI DATA_2023H1'!B:D,'AMFI DATA_2023H1'!D:D)</f>
        <v>6859.91</v>
      </c>
      <c r="F1145" s="7">
        <f t="shared" si="4"/>
        <v>1.1460922956715174</v>
      </c>
      <c r="G1145" s="8">
        <v>14722</v>
      </c>
      <c r="H1145" s="8">
        <v>14679</v>
      </c>
      <c r="I1145" s="8">
        <v>14913</v>
      </c>
      <c r="J1145" s="8">
        <v>14384</v>
      </c>
      <c r="K1145" s="8">
        <v>14090</v>
      </c>
      <c r="L1145" s="8">
        <v>14112</v>
      </c>
      <c r="M1145" s="8"/>
      <c r="N1145" s="8"/>
      <c r="O1145" s="8"/>
      <c r="P1145" s="8"/>
      <c r="Q1145" s="9">
        <f ca="1">IFERROR(__xludf.DUMMYFUNCTION("GOOGLEFINANCE(C1145,""changepct"")"),16.97)</f>
        <v>16.97</v>
      </c>
      <c r="R1145" s="8"/>
      <c r="S1145" s="8"/>
      <c r="T1145" s="8"/>
      <c r="U1145" s="8"/>
      <c r="V1145" s="8"/>
      <c r="W1145" s="8"/>
    </row>
    <row r="1146" spans="1:23" ht="14.4">
      <c r="A1146" s="3">
        <f>LOOKUP(D1146,'AMFI DATA_2023H1'!B:C,'AMFI DATA_2023H1'!C:C)</f>
        <v>433</v>
      </c>
      <c r="B1146" s="4" t="s">
        <v>1257</v>
      </c>
      <c r="C1146" s="4" t="s">
        <v>1258</v>
      </c>
      <c r="D1146" s="5" t="s">
        <v>1259</v>
      </c>
      <c r="E1146" s="5">
        <f>LOOKUP(D1146,'AMFI DATA_2023H1'!B:D,'AMFI DATA_2023H1'!D:D)</f>
        <v>6626.1</v>
      </c>
      <c r="F1146" s="7">
        <f t="shared" si="4"/>
        <v>0.57860581639274988</v>
      </c>
      <c r="G1146" s="8">
        <v>10460</v>
      </c>
      <c r="H1146" s="8">
        <v>10466</v>
      </c>
      <c r="I1146" s="8">
        <v>10485</v>
      </c>
      <c r="J1146" s="8">
        <v>10576</v>
      </c>
      <c r="K1146" s="8">
        <v>10516</v>
      </c>
      <c r="L1146" s="8">
        <v>10297</v>
      </c>
      <c r="M1146" s="8"/>
      <c r="N1146" s="8"/>
      <c r="O1146" s="8"/>
      <c r="P1146" s="8"/>
      <c r="Q1146" s="9">
        <f ca="1">IFERROR(__xludf.DUMMYFUNCTION("GOOGLEFINANCE(C1146,""changepct"")"),3.61)</f>
        <v>3.61</v>
      </c>
      <c r="R1146" s="8"/>
      <c r="S1146" s="8"/>
      <c r="T1146" s="8"/>
      <c r="U1146" s="8"/>
      <c r="V1146" s="8"/>
      <c r="W1146" s="8"/>
    </row>
    <row r="1147" spans="1:23" ht="14.4">
      <c r="A1147" s="3">
        <f>LOOKUP(D1147,'AMFI DATA_2023H1'!B:C,'AMFI DATA_2023H1'!C:C)</f>
        <v>1133</v>
      </c>
      <c r="B1147" s="4" t="s">
        <v>3416</v>
      </c>
      <c r="C1147" s="4" t="s">
        <v>3417</v>
      </c>
      <c r="D1147" s="5" t="s">
        <v>3418</v>
      </c>
      <c r="E1147" s="5">
        <f>LOOKUP(D1147,'AMFI DATA_2023H1'!B:D,'AMFI DATA_2023H1'!D:D)</f>
        <v>819.24</v>
      </c>
      <c r="F1147" s="7">
        <f t="shared" si="4"/>
        <v>0.24749768077730572</v>
      </c>
      <c r="G1147" s="8">
        <v>1022</v>
      </c>
      <c r="H1147" s="8">
        <v>1005</v>
      </c>
      <c r="I1147" s="8">
        <v>1011</v>
      </c>
      <c r="J1147" s="8">
        <v>1031</v>
      </c>
      <c r="K1147" s="8">
        <v>1030</v>
      </c>
      <c r="L1147" s="8">
        <v>1027</v>
      </c>
      <c r="M1147" s="8"/>
      <c r="N1147" s="8"/>
      <c r="O1147" s="8"/>
      <c r="P1147" s="8"/>
      <c r="Q1147" s="9">
        <f ca="1">IFERROR(__xludf.DUMMYFUNCTION("GOOGLEFINANCE(C1147,""changepct"")"),3.65)</f>
        <v>3.65</v>
      </c>
      <c r="R1147" s="8"/>
      <c r="S1147" s="8"/>
      <c r="T1147" s="8"/>
      <c r="U1147" s="8"/>
      <c r="V1147" s="8"/>
      <c r="W1147" s="8"/>
    </row>
    <row r="1148" spans="1:23" ht="14.4">
      <c r="A1148" s="3">
        <f>LOOKUP(D1148,'AMFI DATA_2023H1'!B:C,'AMFI DATA_2023H1'!C:C)</f>
        <v>1411</v>
      </c>
      <c r="B1148" s="4" t="s">
        <v>4037</v>
      </c>
      <c r="C1148" s="4" t="s">
        <v>4038</v>
      </c>
      <c r="D1148" s="5" t="s">
        <v>4039</v>
      </c>
      <c r="E1148" s="5">
        <f>LOOKUP(D1148,'AMFI DATA_2023H1'!B:D,'AMFI DATA_2023H1'!D:D)</f>
        <v>402.5</v>
      </c>
      <c r="F1148" s="7">
        <f t="shared" si="4"/>
        <v>0.18757763975155273</v>
      </c>
      <c r="G1148" s="9">
        <v>478</v>
      </c>
      <c r="H1148" s="9">
        <v>480</v>
      </c>
      <c r="I1148" s="9">
        <v>482</v>
      </c>
      <c r="J1148" s="9">
        <v>492</v>
      </c>
      <c r="K1148" s="9">
        <v>491</v>
      </c>
      <c r="L1148" s="9">
        <v>499</v>
      </c>
      <c r="M1148" s="9"/>
      <c r="N1148" s="9"/>
      <c r="O1148" s="9"/>
      <c r="P1148" s="9"/>
      <c r="Q1148" s="9">
        <f ca="1">IFERROR(__xludf.DUMMYFUNCTION("GOOGLEFINANCE(C1148,""changepct"")"),1.71)</f>
        <v>1.71</v>
      </c>
      <c r="R1148" s="9"/>
      <c r="S1148" s="9"/>
      <c r="T1148" s="9"/>
      <c r="U1148" s="9"/>
      <c r="V1148" s="9"/>
      <c r="W1148" s="9"/>
    </row>
    <row r="1149" spans="1:23" ht="14.4">
      <c r="A1149" s="3">
        <f>LOOKUP(D1149,'AMFI DATA_2023H1'!B:C,'AMFI DATA_2023H1'!C:C)</f>
        <v>1449</v>
      </c>
      <c r="B1149" s="4" t="s">
        <v>3686</v>
      </c>
      <c r="C1149" s="4" t="s">
        <v>3687</v>
      </c>
      <c r="D1149" s="5" t="s">
        <v>3688</v>
      </c>
      <c r="E1149" s="5">
        <f>LOOKUP(D1149,'AMFI DATA_2023H1'!B:D,'AMFI DATA_2023H1'!D:D)</f>
        <v>379.9</v>
      </c>
      <c r="F1149" s="7">
        <f t="shared" si="4"/>
        <v>1.6138457488812845</v>
      </c>
      <c r="G1149" s="9">
        <v>993</v>
      </c>
      <c r="H1149" s="9">
        <v>1010</v>
      </c>
      <c r="I1149" s="9">
        <v>1018</v>
      </c>
      <c r="J1149" s="9">
        <v>974</v>
      </c>
      <c r="K1149" s="9">
        <v>922</v>
      </c>
      <c r="L1149" s="9">
        <v>888</v>
      </c>
      <c r="M1149" s="9"/>
      <c r="N1149" s="9"/>
      <c r="O1149" s="9"/>
      <c r="P1149" s="9"/>
      <c r="Q1149" s="9">
        <f ca="1">IFERROR(__xludf.DUMMYFUNCTION("GOOGLEFINANCE(C1149,""changepct"")"),-3.96)</f>
        <v>-3.96</v>
      </c>
      <c r="R1149" s="9"/>
      <c r="S1149" s="9"/>
      <c r="T1149" s="9"/>
      <c r="U1149" s="9"/>
      <c r="V1149" s="9"/>
      <c r="W1149" s="9"/>
    </row>
    <row r="1150" spans="1:23" ht="14.4">
      <c r="A1150" s="3">
        <f>LOOKUP(D1150,'AMFI DATA_2023H1'!B:C,'AMFI DATA_2023H1'!C:C)</f>
        <v>1395</v>
      </c>
      <c r="B1150" s="4" t="s">
        <v>3857</v>
      </c>
      <c r="C1150" s="4" t="s">
        <v>3858</v>
      </c>
      <c r="D1150" s="5" t="s">
        <v>3859</v>
      </c>
      <c r="E1150" s="5">
        <f>LOOKUP(D1150,'AMFI DATA_2023H1'!B:D,'AMFI DATA_2023H1'!D:D)</f>
        <v>413.65</v>
      </c>
      <c r="F1150" s="7">
        <f t="shared" si="4"/>
        <v>0.762359482654418</v>
      </c>
      <c r="G1150" s="9">
        <v>729</v>
      </c>
      <c r="H1150" s="9">
        <v>722</v>
      </c>
      <c r="I1150" s="9">
        <v>734</v>
      </c>
      <c r="J1150" s="9">
        <v>743</v>
      </c>
      <c r="K1150" s="9">
        <v>762</v>
      </c>
      <c r="L1150" s="9">
        <v>755</v>
      </c>
      <c r="M1150" s="9"/>
      <c r="N1150" s="9"/>
      <c r="O1150" s="9"/>
      <c r="P1150" s="9"/>
      <c r="Q1150" s="9">
        <f ca="1">IFERROR(__xludf.DUMMYFUNCTION("GOOGLEFINANCE(C1150,""changepct"")"),-1.73)</f>
        <v>-1.73</v>
      </c>
      <c r="R1150" s="9"/>
      <c r="S1150" s="9"/>
      <c r="T1150" s="9"/>
      <c r="U1150" s="9"/>
      <c r="V1150" s="9"/>
      <c r="W1150" s="9"/>
    </row>
    <row r="1151" spans="1:23" ht="14.4">
      <c r="A1151" s="3">
        <f>LOOKUP(D1151,'AMFI DATA_2023H1'!B:C,'AMFI DATA_2023H1'!C:C)</f>
        <v>1098</v>
      </c>
      <c r="B1151" s="4" t="s">
        <v>3182</v>
      </c>
      <c r="C1151" s="4" t="s">
        <v>3183</v>
      </c>
      <c r="D1151" s="5" t="s">
        <v>3184</v>
      </c>
      <c r="E1151" s="5">
        <f>LOOKUP(D1151,'AMFI DATA_2023H1'!B:D,'AMFI DATA_2023H1'!D:D)</f>
        <v>875.82</v>
      </c>
      <c r="F1151" s="7">
        <f t="shared" si="4"/>
        <v>0.60421091091776846</v>
      </c>
      <c r="G1151" s="8">
        <v>1405</v>
      </c>
      <c r="H1151" s="8">
        <v>1369</v>
      </c>
      <c r="I1151" s="8">
        <v>1412</v>
      </c>
      <c r="J1151" s="8">
        <v>1422</v>
      </c>
      <c r="K1151" s="8">
        <v>1427</v>
      </c>
      <c r="L1151" s="8">
        <v>1439</v>
      </c>
      <c r="M1151" s="8"/>
      <c r="N1151" s="8"/>
      <c r="O1151" s="8"/>
      <c r="P1151" s="8"/>
      <c r="Q1151" s="9">
        <f ca="1">IFERROR(__xludf.DUMMYFUNCTION("GOOGLEFINANCE(C1151,""changepct"")"),-0.22)</f>
        <v>-0.22</v>
      </c>
      <c r="R1151" s="8"/>
      <c r="S1151" s="8"/>
      <c r="T1151" s="8"/>
      <c r="U1151" s="8"/>
      <c r="V1151" s="8"/>
      <c r="W1151" s="8"/>
    </row>
    <row r="1152" spans="1:23" ht="14.4">
      <c r="A1152" s="3">
        <f>LOOKUP(D1152,'AMFI DATA_2023H1'!B:C,'AMFI DATA_2023H1'!C:C)</f>
        <v>918</v>
      </c>
      <c r="B1152" s="4" t="s">
        <v>2819</v>
      </c>
      <c r="C1152" s="4" t="s">
        <v>2820</v>
      </c>
      <c r="D1152" s="5" t="s">
        <v>2821</v>
      </c>
      <c r="E1152" s="5">
        <f>LOOKUP(D1152,'AMFI DATA_2023H1'!B:D,'AMFI DATA_2023H1'!D:D)</f>
        <v>1406.97</v>
      </c>
      <c r="F1152" s="7">
        <f t="shared" si="4"/>
        <v>0.30351038046298062</v>
      </c>
      <c r="G1152" s="8">
        <v>1834</v>
      </c>
      <c r="H1152" s="8">
        <v>1813</v>
      </c>
      <c r="I1152" s="8">
        <v>1807</v>
      </c>
      <c r="J1152" s="8">
        <v>1836</v>
      </c>
      <c r="K1152" s="8">
        <v>1840</v>
      </c>
      <c r="L1152" s="8">
        <v>1832</v>
      </c>
      <c r="M1152" s="8"/>
      <c r="N1152" s="8"/>
      <c r="O1152" s="8"/>
      <c r="P1152" s="8"/>
      <c r="Q1152" s="9">
        <f ca="1">IFERROR(__xludf.DUMMYFUNCTION("GOOGLEFINANCE(C1152,""changepct"")"),0.15)</f>
        <v>0.15</v>
      </c>
      <c r="R1152" s="8"/>
      <c r="S1152" s="8"/>
      <c r="T1152" s="8"/>
      <c r="U1152" s="8"/>
      <c r="V1152" s="8"/>
      <c r="W1152" s="8"/>
    </row>
    <row r="1153" spans="1:23" ht="14.4">
      <c r="A1153" s="3">
        <f>LOOKUP(D1153,'AMFI DATA_2023H1'!B:C,'AMFI DATA_2023H1'!C:C)</f>
        <v>612</v>
      </c>
      <c r="B1153" s="4" t="s">
        <v>1995</v>
      </c>
      <c r="C1153" s="4" t="s">
        <v>1996</v>
      </c>
      <c r="D1153" s="5" t="s">
        <v>1997</v>
      </c>
      <c r="E1153" s="5">
        <f>LOOKUP(D1153,'AMFI DATA_2023H1'!B:D,'AMFI DATA_2023H1'!D:D)</f>
        <v>3527.76</v>
      </c>
      <c r="F1153" s="7">
        <f t="shared" si="4"/>
        <v>0.1029661881760664</v>
      </c>
      <c r="G1153" s="8">
        <v>3891</v>
      </c>
      <c r="H1153" s="8">
        <v>3891</v>
      </c>
      <c r="I1153" s="8">
        <v>3927</v>
      </c>
      <c r="J1153" s="8">
        <v>3947</v>
      </c>
      <c r="K1153" s="8">
        <v>3924</v>
      </c>
      <c r="L1153" s="8">
        <v>3890</v>
      </c>
      <c r="M1153" s="8"/>
      <c r="N1153" s="8"/>
      <c r="O1153" s="8"/>
      <c r="P1153" s="8"/>
      <c r="Q1153" s="9">
        <f ca="1">IFERROR(__xludf.DUMMYFUNCTION("GOOGLEFINANCE(C1153,""changepct"")"),3.37)</f>
        <v>3.37</v>
      </c>
      <c r="R1153" s="8"/>
      <c r="S1153" s="8"/>
      <c r="T1153" s="8"/>
      <c r="U1153" s="8"/>
      <c r="V1153" s="8"/>
      <c r="W1153" s="8"/>
    </row>
    <row r="1154" spans="1:23" ht="14.4">
      <c r="A1154" s="3">
        <f>LOOKUP(D1154,'AMFI DATA_2023H1'!B:C,'AMFI DATA_2023H1'!C:C)</f>
        <v>570</v>
      </c>
      <c r="B1154" s="4" t="s">
        <v>1803</v>
      </c>
      <c r="C1154" s="4" t="s">
        <v>1804</v>
      </c>
      <c r="D1154" s="5" t="s">
        <v>1805</v>
      </c>
      <c r="E1154" s="5">
        <f>LOOKUP(D1154,'AMFI DATA_2023H1'!B:D,'AMFI DATA_2023H1'!D:D)</f>
        <v>4060.08</v>
      </c>
      <c r="F1154" s="7">
        <f t="shared" si="4"/>
        <v>0.5462749502472859</v>
      </c>
      <c r="G1154" s="8">
        <v>6278</v>
      </c>
      <c r="H1154" s="8">
        <v>6222</v>
      </c>
      <c r="I1154" s="8">
        <v>6291</v>
      </c>
      <c r="J1154" s="8">
        <v>6364</v>
      </c>
      <c r="K1154" s="8">
        <v>6375</v>
      </c>
      <c r="L1154" s="8">
        <v>6082</v>
      </c>
      <c r="M1154" s="8"/>
      <c r="N1154" s="8"/>
      <c r="O1154" s="8"/>
      <c r="P1154" s="8"/>
      <c r="Q1154" s="9">
        <f ca="1">IFERROR(__xludf.DUMMYFUNCTION("GOOGLEFINANCE(C1154,""changepct"")"),-1.23)</f>
        <v>-1.23</v>
      </c>
      <c r="R1154" s="8"/>
      <c r="S1154" s="8"/>
      <c r="T1154" s="8"/>
      <c r="U1154" s="8"/>
      <c r="V1154" s="8"/>
      <c r="W1154" s="8"/>
    </row>
    <row r="1155" spans="1:23" ht="14.4">
      <c r="A1155" s="3">
        <f>LOOKUP(D1155,'AMFI DATA_2023H1'!B:C,'AMFI DATA_2023H1'!C:C)</f>
        <v>570</v>
      </c>
      <c r="B1155" s="4" t="s">
        <v>87</v>
      </c>
      <c r="C1155" s="4" t="s">
        <v>88</v>
      </c>
      <c r="D1155" s="5" t="s">
        <v>89</v>
      </c>
      <c r="E1155" s="5">
        <f>LOOKUP(D1155,'AMFI DATA_2023H1'!B:D,'AMFI DATA_2023H1'!D:D)</f>
        <v>4060.08</v>
      </c>
      <c r="F1155" s="7">
        <f t="shared" si="4"/>
        <v>63.985172705956529</v>
      </c>
      <c r="G1155" s="8">
        <v>263845</v>
      </c>
      <c r="H1155" s="8">
        <v>256422</v>
      </c>
      <c r="I1155" s="8">
        <v>253001</v>
      </c>
      <c r="J1155" s="8">
        <v>248174</v>
      </c>
      <c r="K1155" s="8">
        <v>246504</v>
      </c>
      <c r="L1155" s="8">
        <v>244592</v>
      </c>
      <c r="M1155" s="8"/>
      <c r="N1155" s="8"/>
      <c r="O1155" s="8"/>
      <c r="P1155" s="8"/>
      <c r="Q1155" s="9">
        <f ca="1">IFERROR(__xludf.DUMMYFUNCTION("GOOGLEFINANCE(C1155,""changepct"")"),-0.88)</f>
        <v>-0.88</v>
      </c>
      <c r="R1155" s="8"/>
      <c r="S1155" s="8"/>
      <c r="T1155" s="8"/>
      <c r="U1155" s="8"/>
      <c r="V1155" s="8"/>
      <c r="W1155" s="8"/>
    </row>
    <row r="1156" spans="1:23" ht="14.4">
      <c r="A1156" s="3">
        <f>LOOKUP(D1156,'AMFI DATA_2023H1'!B:C,'AMFI DATA_2023H1'!C:C)</f>
        <v>570</v>
      </c>
      <c r="B1156" s="4" t="s">
        <v>1815</v>
      </c>
      <c r="C1156" s="4" t="s">
        <v>1816</v>
      </c>
      <c r="D1156" s="5" t="s">
        <v>1817</v>
      </c>
      <c r="E1156" s="5">
        <f>LOOKUP(D1156,'AMFI DATA_2023H1'!B:D,'AMFI DATA_2023H1'!D:D)</f>
        <v>4060.08</v>
      </c>
      <c r="F1156" s="7">
        <f t="shared" si="4"/>
        <v>0.63321904987093847</v>
      </c>
      <c r="G1156" s="8">
        <v>6631</v>
      </c>
      <c r="H1156" s="8">
        <v>6649</v>
      </c>
      <c r="I1156" s="8">
        <v>6747</v>
      </c>
      <c r="J1156" s="8">
        <v>6852</v>
      </c>
      <c r="K1156" s="8">
        <v>6887</v>
      </c>
      <c r="L1156" s="8">
        <v>6844</v>
      </c>
      <c r="M1156" s="8"/>
      <c r="N1156" s="8"/>
      <c r="O1156" s="8"/>
      <c r="P1156" s="8"/>
      <c r="Q1156" s="9">
        <f ca="1">IFERROR(__xludf.DUMMYFUNCTION("GOOGLEFINANCE(C1156,""changepct"")"),1.96)</f>
        <v>1.96</v>
      </c>
      <c r="R1156" s="8"/>
      <c r="S1156" s="8"/>
      <c r="T1156" s="8"/>
      <c r="U1156" s="8"/>
      <c r="V1156" s="8"/>
      <c r="W1156" s="8"/>
    </row>
    <row r="1157" spans="1:23" ht="14.4">
      <c r="A1157" s="3">
        <f>LOOKUP(D1157,'AMFI DATA_2023H1'!B:C,'AMFI DATA_2023H1'!C:C)</f>
        <v>451</v>
      </c>
      <c r="B1157" s="4" t="s">
        <v>1458</v>
      </c>
      <c r="C1157" s="4" t="s">
        <v>1459</v>
      </c>
      <c r="D1157" s="5" t="s">
        <v>1460</v>
      </c>
      <c r="E1157" s="5">
        <f>LOOKUP(D1157,'AMFI DATA_2023H1'!B:D,'AMFI DATA_2023H1'!D:D)</f>
        <v>6272.74</v>
      </c>
      <c r="F1157" s="7">
        <f t="shared" si="4"/>
        <v>0.47654772874373874</v>
      </c>
      <c r="G1157" s="8">
        <v>9262</v>
      </c>
      <c r="H1157" s="8">
        <v>9140</v>
      </c>
      <c r="I1157" s="8">
        <v>9227</v>
      </c>
      <c r="J1157" s="8">
        <v>9299</v>
      </c>
      <c r="K1157" s="8">
        <v>9296</v>
      </c>
      <c r="L1157" s="8">
        <v>9014</v>
      </c>
      <c r="M1157" s="8"/>
      <c r="N1157" s="8"/>
      <c r="O1157" s="8"/>
      <c r="P1157" s="8"/>
      <c r="Q1157" s="9">
        <f ca="1">IFERROR(__xludf.DUMMYFUNCTION("GOOGLEFINANCE(C1157,""changepct"")"),1.74)</f>
        <v>1.74</v>
      </c>
      <c r="R1157" s="8"/>
      <c r="S1157" s="8"/>
      <c r="T1157" s="8"/>
      <c r="U1157" s="8"/>
      <c r="V1157" s="8"/>
      <c r="W1157" s="8"/>
    </row>
    <row r="1158" spans="1:23" ht="14.4">
      <c r="A1158" s="3">
        <f>LOOKUP(D1158,'AMFI DATA_2023H1'!B:C,'AMFI DATA_2023H1'!C:C)</f>
        <v>688</v>
      </c>
      <c r="B1158" s="4" t="s">
        <v>1779</v>
      </c>
      <c r="C1158" s="4" t="s">
        <v>1780</v>
      </c>
      <c r="D1158" s="5" t="s">
        <v>1781</v>
      </c>
      <c r="E1158" s="5">
        <f>LOOKUP(D1158,'AMFI DATA_2023H1'!B:D,'AMFI DATA_2023H1'!D:D)</f>
        <v>2646.13</v>
      </c>
      <c r="F1158" s="7">
        <f t="shared" si="4"/>
        <v>1.5452264250055743</v>
      </c>
      <c r="G1158" s="8">
        <v>6735</v>
      </c>
      <c r="H1158" s="8">
        <v>6769</v>
      </c>
      <c r="I1158" s="8">
        <v>6808</v>
      </c>
      <c r="J1158" s="8">
        <v>6783</v>
      </c>
      <c r="K1158" s="8">
        <v>6838</v>
      </c>
      <c r="L1158" s="8">
        <v>6563</v>
      </c>
      <c r="M1158" s="8"/>
      <c r="N1158" s="8"/>
      <c r="O1158" s="8"/>
      <c r="P1158" s="8"/>
      <c r="Q1158" s="9">
        <f ca="1">IFERROR(__xludf.DUMMYFUNCTION("GOOGLEFINANCE(C1158,""changepct"")"),3.3)</f>
        <v>3.3</v>
      </c>
      <c r="R1158" s="8"/>
      <c r="S1158" s="8"/>
      <c r="T1158" s="8"/>
      <c r="U1158" s="8"/>
      <c r="V1158" s="8"/>
      <c r="W1158" s="8"/>
    </row>
    <row r="1159" spans="1:23" ht="14.4">
      <c r="A1159" s="3">
        <f>LOOKUP(D1159,'AMFI DATA_2023H1'!B:C,'AMFI DATA_2023H1'!C:C)</f>
        <v>911</v>
      </c>
      <c r="B1159" s="4" t="s">
        <v>3023</v>
      </c>
      <c r="C1159" s="4" t="s">
        <v>3024</v>
      </c>
      <c r="D1159" s="5" t="s">
        <v>3025</v>
      </c>
      <c r="E1159" s="5">
        <f>LOOKUP(D1159,'AMFI DATA_2023H1'!B:D,'AMFI DATA_2023H1'!D:D)</f>
        <v>1430.13</v>
      </c>
      <c r="F1159" s="7">
        <f t="shared" si="4"/>
        <v>0.24324362120926057</v>
      </c>
      <c r="G1159" s="8">
        <v>1778</v>
      </c>
      <c r="H1159" s="8">
        <v>1693</v>
      </c>
      <c r="I1159" s="8">
        <v>1702</v>
      </c>
      <c r="J1159" s="8">
        <v>1731</v>
      </c>
      <c r="K1159" s="8">
        <v>1727</v>
      </c>
      <c r="L1159" s="8">
        <v>1722</v>
      </c>
      <c r="M1159" s="8"/>
      <c r="N1159" s="8"/>
      <c r="O1159" s="8"/>
      <c r="P1159" s="8"/>
      <c r="Q1159" s="9">
        <f ca="1">IFERROR(__xludf.DUMMYFUNCTION("GOOGLEFINANCE(C1159,""changepct"")"),2.25)</f>
        <v>2.25</v>
      </c>
      <c r="R1159" s="8"/>
      <c r="S1159" s="8"/>
      <c r="T1159" s="8"/>
      <c r="U1159" s="8"/>
      <c r="V1159" s="8"/>
      <c r="W1159" s="8"/>
    </row>
    <row r="1160" spans="1:23" ht="14.4">
      <c r="A1160" s="3">
        <f>LOOKUP(D1160,'AMFI DATA_2023H1'!B:C,'AMFI DATA_2023H1'!C:C)</f>
        <v>614</v>
      </c>
      <c r="B1160" s="4" t="s">
        <v>1515</v>
      </c>
      <c r="C1160" s="4" t="s">
        <v>1516</v>
      </c>
      <c r="D1160" s="5" t="s">
        <v>1517</v>
      </c>
      <c r="E1160" s="5">
        <f>LOOKUP(D1160,'AMFI DATA_2023H1'!B:D,'AMFI DATA_2023H1'!D:D)</f>
        <v>3508.28</v>
      </c>
      <c r="F1160" s="7">
        <f t="shared" si="4"/>
        <v>2.1915924612630691</v>
      </c>
      <c r="G1160" s="8">
        <v>11197</v>
      </c>
      <c r="H1160" s="8">
        <v>10994</v>
      </c>
      <c r="I1160" s="8">
        <v>10735</v>
      </c>
      <c r="J1160" s="8">
        <v>10756</v>
      </c>
      <c r="K1160" s="8">
        <v>10586</v>
      </c>
      <c r="L1160" s="8">
        <v>10080</v>
      </c>
      <c r="M1160" s="8"/>
      <c r="N1160" s="8"/>
      <c r="O1160" s="8"/>
      <c r="P1160" s="8"/>
      <c r="Q1160" s="9">
        <f ca="1">IFERROR(__xludf.DUMMYFUNCTION("GOOGLEFINANCE(C1160,""changepct"")"),-0.13)</f>
        <v>-0.13</v>
      </c>
      <c r="R1160" s="8"/>
      <c r="S1160" s="8"/>
      <c r="T1160" s="8"/>
      <c r="U1160" s="8"/>
      <c r="V1160" s="8"/>
      <c r="W1160" s="8"/>
    </row>
    <row r="1161" spans="1:23" ht="14.4">
      <c r="A1161" s="3">
        <f>LOOKUP(D1161,'AMFI DATA_2023H1'!B:C,'AMFI DATA_2023H1'!C:C)</f>
        <v>2876</v>
      </c>
      <c r="B1161" s="4" t="s">
        <v>5536</v>
      </c>
      <c r="C1161" s="4" t="s">
        <v>5537</v>
      </c>
      <c r="D1161" s="5" t="s">
        <v>5538</v>
      </c>
      <c r="E1161" s="5">
        <f>LOOKUP(D1161,'AMFI DATA_2023H1'!B:D,'AMFI DATA_2023H1'!D:D)</f>
        <v>35.950000000000003</v>
      </c>
      <c r="F1161" s="7">
        <f t="shared" si="4"/>
        <v>0.20723226703755193</v>
      </c>
      <c r="G1161" s="9">
        <v>43.4</v>
      </c>
      <c r="H1161" s="9">
        <v>42.3</v>
      </c>
      <c r="I1161" s="9">
        <v>43.8</v>
      </c>
      <c r="J1161" s="9">
        <v>42.3</v>
      </c>
      <c r="K1161" s="9">
        <v>43.8</v>
      </c>
      <c r="L1161" s="9">
        <v>43.8</v>
      </c>
      <c r="M1161" s="9"/>
      <c r="N1161" s="9"/>
      <c r="O1161" s="9"/>
      <c r="P1161" s="9"/>
      <c r="Q1161" s="9">
        <f ca="1">IFERROR(__xludf.DUMMYFUNCTION("GOOGLEFINANCE(C1161,""changepct"")"),-3.97)</f>
        <v>-3.97</v>
      </c>
      <c r="R1161" s="9"/>
      <c r="S1161" s="9"/>
      <c r="T1161" s="9"/>
      <c r="U1161" s="9"/>
      <c r="V1161" s="9"/>
      <c r="W1161" s="9"/>
    </row>
    <row r="1162" spans="1:23" ht="14.4">
      <c r="A1162" s="3">
        <f>LOOKUP(D1162,'AMFI DATA_2023H1'!B:C,'AMFI DATA_2023H1'!C:C)</f>
        <v>1088</v>
      </c>
      <c r="B1162" s="4" t="s">
        <v>3209</v>
      </c>
      <c r="C1162" s="4" t="s">
        <v>3210</v>
      </c>
      <c r="D1162" s="5" t="s">
        <v>3211</v>
      </c>
      <c r="E1162" s="5">
        <f>LOOKUP(D1162,'AMFI DATA_2023H1'!B:D,'AMFI DATA_2023H1'!D:D)</f>
        <v>910.59</v>
      </c>
      <c r="F1162" s="7">
        <f t="shared" si="4"/>
        <v>0.4616896737280225</v>
      </c>
      <c r="G1162" s="8">
        <v>1331</v>
      </c>
      <c r="H1162" s="8">
        <v>1385</v>
      </c>
      <c r="I1162" s="8">
        <v>1332</v>
      </c>
      <c r="J1162" s="8">
        <v>1260</v>
      </c>
      <c r="K1162" s="8">
        <v>1265</v>
      </c>
      <c r="L1162" s="8">
        <v>1212</v>
      </c>
      <c r="M1162" s="8"/>
      <c r="N1162" s="8"/>
      <c r="O1162" s="8"/>
      <c r="P1162" s="8"/>
      <c r="Q1162" s="9">
        <f ca="1">IFERROR(__xludf.DUMMYFUNCTION("GOOGLEFINANCE(C1162,""changepct"")"),-0.97)</f>
        <v>-0.97</v>
      </c>
      <c r="R1162" s="8"/>
      <c r="S1162" s="8"/>
      <c r="T1162" s="8"/>
      <c r="U1162" s="8"/>
      <c r="V1162" s="8"/>
      <c r="W1162" s="8"/>
    </row>
    <row r="1163" spans="1:23" ht="14.4">
      <c r="A1163" s="3">
        <f>LOOKUP(D1163,'AMFI DATA_2023H1'!B:C,'AMFI DATA_2023H1'!C:C)</f>
        <v>121</v>
      </c>
      <c r="B1163" s="4" t="s">
        <v>363</v>
      </c>
      <c r="C1163" s="4" t="s">
        <v>364</v>
      </c>
      <c r="D1163" s="5" t="s">
        <v>365</v>
      </c>
      <c r="E1163" s="5">
        <f>LOOKUP(D1163,'AMFI DATA_2023H1'!B:D,'AMFI DATA_2023H1'!D:D)</f>
        <v>42350.98</v>
      </c>
      <c r="F1163" s="7">
        <f t="shared" si="4"/>
        <v>0.56898376377595028</v>
      </c>
      <c r="G1163" s="8">
        <v>66448</v>
      </c>
      <c r="H1163" s="8">
        <v>64911</v>
      </c>
      <c r="I1163" s="8">
        <v>65283</v>
      </c>
      <c r="J1163" s="8">
        <v>64459</v>
      </c>
      <c r="K1163" s="8">
        <v>64831</v>
      </c>
      <c r="L1163" s="8">
        <v>64991</v>
      </c>
      <c r="M1163" s="8"/>
      <c r="N1163" s="8"/>
      <c r="O1163" s="8"/>
      <c r="P1163" s="8"/>
      <c r="Q1163" s="9">
        <f ca="1">IFERROR(__xludf.DUMMYFUNCTION("GOOGLEFINANCE(C1163,""changepct"")"),14.49)</f>
        <v>14.49</v>
      </c>
      <c r="R1163" s="8"/>
      <c r="S1163" s="8"/>
      <c r="T1163" s="8"/>
      <c r="U1163" s="8"/>
      <c r="V1163" s="8"/>
      <c r="W1163" s="8"/>
    </row>
    <row r="1164" spans="1:23" ht="14.4">
      <c r="A1164" s="3">
        <f>LOOKUP(D1164,'AMFI DATA_2023H1'!B:C,'AMFI DATA_2023H1'!C:C)</f>
        <v>992</v>
      </c>
      <c r="B1164" s="4" t="s">
        <v>1770</v>
      </c>
      <c r="C1164" s="4" t="s">
        <v>1771</v>
      </c>
      <c r="D1164" s="5" t="s">
        <v>1772</v>
      </c>
      <c r="E1164" s="5">
        <f>LOOKUP(D1164,'AMFI DATA_2023H1'!B:D,'AMFI DATA_2023H1'!D:D)</f>
        <v>1192.04</v>
      </c>
      <c r="F1164" s="7">
        <f t="shared" si="4"/>
        <v>3.9377537666521256</v>
      </c>
      <c r="G1164" s="8">
        <v>5886</v>
      </c>
      <c r="H1164" s="8">
        <v>5884</v>
      </c>
      <c r="I1164" s="8">
        <v>5830</v>
      </c>
      <c r="J1164" s="8">
        <v>5874</v>
      </c>
      <c r="K1164" s="8">
        <v>5902</v>
      </c>
      <c r="L1164" s="8">
        <v>5880</v>
      </c>
      <c r="M1164" s="8"/>
      <c r="N1164" s="8"/>
      <c r="O1164" s="8"/>
      <c r="P1164" s="8"/>
      <c r="Q1164" s="9">
        <f ca="1">IFERROR(__xludf.DUMMYFUNCTION("GOOGLEFINANCE(C1164,""changepct"")"),1.64)</f>
        <v>1.64</v>
      </c>
      <c r="R1164" s="8"/>
      <c r="S1164" s="8"/>
      <c r="T1164" s="8"/>
      <c r="U1164" s="8"/>
      <c r="V1164" s="8"/>
      <c r="W1164" s="8"/>
    </row>
    <row r="1165" spans="1:23" ht="14.4">
      <c r="A1165" s="3">
        <f>LOOKUP(D1165,'AMFI DATA_2023H1'!B:C,'AMFI DATA_2023H1'!C:C)</f>
        <v>992</v>
      </c>
      <c r="B1165" s="4" t="s">
        <v>3047</v>
      </c>
      <c r="C1165" s="4" t="s">
        <v>3048</v>
      </c>
      <c r="D1165" s="5" t="s">
        <v>3049</v>
      </c>
      <c r="E1165" s="5">
        <f>LOOKUP(D1165,'AMFI DATA_2023H1'!B:D,'AMFI DATA_2023H1'!D:D)</f>
        <v>1192.04</v>
      </c>
      <c r="F1165" s="7">
        <f t="shared" si="4"/>
        <v>0.30532532465353523</v>
      </c>
      <c r="G1165" s="8">
        <v>1556</v>
      </c>
      <c r="H1165" s="8">
        <v>1549</v>
      </c>
      <c r="I1165" s="8">
        <v>1544</v>
      </c>
      <c r="J1165" s="8">
        <v>1553</v>
      </c>
      <c r="K1165" s="8">
        <v>1555</v>
      </c>
      <c r="L1165" s="8">
        <v>1572</v>
      </c>
      <c r="M1165" s="8"/>
      <c r="N1165" s="8"/>
      <c r="O1165" s="8"/>
      <c r="P1165" s="8"/>
      <c r="Q1165" s="9">
        <f ca="1">IFERROR(__xludf.DUMMYFUNCTION("GOOGLEFINANCE(C1165,""changepct"")"),5.73)</f>
        <v>5.73</v>
      </c>
      <c r="R1165" s="8"/>
      <c r="S1165" s="8"/>
      <c r="T1165" s="8"/>
      <c r="U1165" s="8"/>
      <c r="V1165" s="8"/>
      <c r="W1165" s="8"/>
    </row>
    <row r="1166" spans="1:23" ht="14.4">
      <c r="A1166" s="3">
        <f>LOOKUP(D1166,'AMFI DATA_2023H1'!B:C,'AMFI DATA_2023H1'!C:C)</f>
        <v>1737</v>
      </c>
      <c r="B1166" s="4" t="s">
        <v>4523</v>
      </c>
      <c r="C1166" s="4" t="s">
        <v>4524</v>
      </c>
      <c r="D1166" s="5" t="s">
        <v>4525</v>
      </c>
      <c r="E1166" s="5">
        <f>LOOKUP(D1166,'AMFI DATA_2023H1'!B:D,'AMFI DATA_2023H1'!D:D)</f>
        <v>220.4</v>
      </c>
      <c r="F1166" s="7">
        <f t="shared" si="4"/>
        <v>0.59255898366606163</v>
      </c>
      <c r="G1166" s="9">
        <v>351</v>
      </c>
      <c r="H1166" s="9">
        <v>357</v>
      </c>
      <c r="I1166" s="9">
        <v>375</v>
      </c>
      <c r="J1166" s="9">
        <v>354</v>
      </c>
      <c r="K1166" s="9">
        <v>323</v>
      </c>
      <c r="L1166" s="9">
        <v>309</v>
      </c>
      <c r="M1166" s="9"/>
      <c r="N1166" s="9"/>
      <c r="O1166" s="9"/>
      <c r="P1166" s="9"/>
      <c r="Q1166" s="9">
        <f ca="1">IFERROR(__xludf.DUMMYFUNCTION("GOOGLEFINANCE(C1166,""changepct"")"),9.14)</f>
        <v>9.14</v>
      </c>
      <c r="R1166" s="9"/>
      <c r="S1166" s="9"/>
      <c r="T1166" s="9"/>
      <c r="U1166" s="9"/>
      <c r="V1166" s="9"/>
      <c r="W1166" s="9"/>
    </row>
    <row r="1167" spans="1:23" ht="14.4">
      <c r="A1167" s="3">
        <f>LOOKUP(D1167,'AMFI DATA_2023H1'!B:C,'AMFI DATA_2023H1'!C:C)</f>
        <v>2129</v>
      </c>
      <c r="B1167" s="4" t="s">
        <v>4985</v>
      </c>
      <c r="C1167" s="4" t="s">
        <v>4986</v>
      </c>
      <c r="D1167" s="5" t="s">
        <v>4987</v>
      </c>
      <c r="E1167" s="5">
        <f>LOOKUP(D1167,'AMFI DATA_2023H1'!B:D,'AMFI DATA_2023H1'!D:D)</f>
        <v>116.36</v>
      </c>
      <c r="F1167" s="7">
        <f t="shared" si="4"/>
        <v>0.57270539704365753</v>
      </c>
      <c r="G1167" s="9">
        <v>183</v>
      </c>
      <c r="H1167" s="9">
        <v>189</v>
      </c>
      <c r="I1167" s="9">
        <v>189</v>
      </c>
      <c r="J1167" s="9">
        <v>195</v>
      </c>
      <c r="K1167" s="9">
        <v>185</v>
      </c>
      <c r="L1167" s="9">
        <v>179</v>
      </c>
      <c r="M1167" s="9"/>
      <c r="N1167" s="9"/>
      <c r="O1167" s="9"/>
      <c r="P1167" s="9"/>
      <c r="Q1167" s="9">
        <f ca="1">IFERROR(__xludf.DUMMYFUNCTION("GOOGLEFINANCE(C1167,""changepct"")"),2.13)</f>
        <v>2.13</v>
      </c>
      <c r="R1167" s="9"/>
      <c r="S1167" s="9"/>
      <c r="T1167" s="9"/>
      <c r="U1167" s="9"/>
      <c r="V1167" s="9"/>
      <c r="W1167" s="9"/>
    </row>
    <row r="1168" spans="1:23" ht="14.4">
      <c r="A1168" s="3">
        <f>LOOKUP(D1168,'AMFI DATA_2023H1'!B:C,'AMFI DATA_2023H1'!C:C)</f>
        <v>654</v>
      </c>
      <c r="B1168" s="4" t="s">
        <v>2135</v>
      </c>
      <c r="C1168" s="4" t="s">
        <v>2136</v>
      </c>
      <c r="D1168" s="5" t="s">
        <v>2137</v>
      </c>
      <c r="E1168" s="5">
        <f>LOOKUP(D1168,'AMFI DATA_2023H1'!B:D,'AMFI DATA_2023H1'!D:D)</f>
        <v>2993.26</v>
      </c>
      <c r="F1168" s="7">
        <f t="shared" si="4"/>
        <v>0.11550617052979018</v>
      </c>
      <c r="G1168" s="8">
        <v>3339</v>
      </c>
      <c r="H1168" s="8">
        <v>3342</v>
      </c>
      <c r="I1168" s="8">
        <v>3328</v>
      </c>
      <c r="J1168" s="8">
        <v>3308</v>
      </c>
      <c r="K1168" s="8">
        <v>3294</v>
      </c>
      <c r="L1168" s="8">
        <v>3320</v>
      </c>
      <c r="M1168" s="8"/>
      <c r="N1168" s="8"/>
      <c r="O1168" s="8"/>
      <c r="P1168" s="8"/>
      <c r="Q1168" s="9">
        <f ca="1">IFERROR(__xludf.DUMMYFUNCTION("GOOGLEFINANCE(C1168,""changepct"")"),0.82)</f>
        <v>0.82</v>
      </c>
      <c r="R1168" s="8"/>
      <c r="S1168" s="8"/>
      <c r="T1168" s="8"/>
      <c r="U1168" s="8"/>
      <c r="V1168" s="8"/>
      <c r="W1168" s="8"/>
    </row>
    <row r="1169" spans="1:23" ht="14.4">
      <c r="A1169" s="3">
        <f>LOOKUP(D1169,'AMFI DATA_2023H1'!B:C,'AMFI DATA_2023H1'!C:C)</f>
        <v>1427</v>
      </c>
      <c r="B1169" s="4" t="s">
        <v>3665</v>
      </c>
      <c r="C1169" s="4" t="s">
        <v>3666</v>
      </c>
      <c r="D1169" s="5" t="s">
        <v>3667</v>
      </c>
      <c r="E1169" s="5">
        <f>LOOKUP(D1169,'AMFI DATA_2023H1'!B:D,'AMFI DATA_2023H1'!D:D)</f>
        <v>393.98</v>
      </c>
      <c r="F1169" s="7">
        <f t="shared" si="4"/>
        <v>1.7311031016802882</v>
      </c>
      <c r="G1169" s="8">
        <v>1076</v>
      </c>
      <c r="H1169" s="8">
        <v>1056</v>
      </c>
      <c r="I1169" s="8">
        <v>1067</v>
      </c>
      <c r="J1169" s="8">
        <v>1112</v>
      </c>
      <c r="K1169" s="8">
        <v>1143</v>
      </c>
      <c r="L1169" s="8">
        <v>1095</v>
      </c>
      <c r="M1169" s="8"/>
      <c r="N1169" s="8"/>
      <c r="O1169" s="8"/>
      <c r="P1169" s="8"/>
      <c r="Q1169" s="9">
        <f ca="1">IFERROR(__xludf.DUMMYFUNCTION("GOOGLEFINANCE(C1169,""changepct"")"),-3.39)</f>
        <v>-3.39</v>
      </c>
      <c r="R1169" s="8"/>
      <c r="S1169" s="8"/>
      <c r="T1169" s="8"/>
      <c r="U1169" s="8"/>
      <c r="V1169" s="8"/>
      <c r="W1169" s="8"/>
    </row>
    <row r="1170" spans="1:23" ht="14.4">
      <c r="A1170" s="3">
        <f>LOOKUP(D1170,'AMFI DATA_2023H1'!B:C,'AMFI DATA_2023H1'!C:C)</f>
        <v>277</v>
      </c>
      <c r="B1170" s="4" t="s">
        <v>744</v>
      </c>
      <c r="C1170" s="4" t="s">
        <v>745</v>
      </c>
      <c r="D1170" s="5" t="s">
        <v>746</v>
      </c>
      <c r="E1170" s="5">
        <f>LOOKUP(D1170,'AMFI DATA_2023H1'!B:D,'AMFI DATA_2023H1'!D:D)</f>
        <v>14648.54</v>
      </c>
      <c r="F1170" s="7">
        <f t="shared" si="4"/>
        <v>0.94114908379947759</v>
      </c>
      <c r="G1170" s="8">
        <v>28435</v>
      </c>
      <c r="H1170" s="8">
        <v>28008</v>
      </c>
      <c r="I1170" s="8">
        <v>27228</v>
      </c>
      <c r="J1170" s="8">
        <v>27520</v>
      </c>
      <c r="K1170" s="8">
        <v>27789</v>
      </c>
      <c r="L1170" s="8">
        <v>28532</v>
      </c>
      <c r="M1170" s="8"/>
      <c r="N1170" s="8"/>
      <c r="O1170" s="8"/>
      <c r="P1170" s="8"/>
      <c r="Q1170" s="9">
        <f ca="1">IFERROR(__xludf.DUMMYFUNCTION("GOOGLEFINANCE(C1170,""changepct"")"),0.05)</f>
        <v>0.05</v>
      </c>
      <c r="R1170" s="8"/>
      <c r="S1170" s="8"/>
      <c r="T1170" s="8"/>
      <c r="U1170" s="8"/>
      <c r="V1170" s="8"/>
      <c r="W1170" s="8"/>
    </row>
    <row r="1171" spans="1:23" ht="14.4">
      <c r="A1171" s="3">
        <f>LOOKUP(D1171,'AMFI DATA_2023H1'!B:C,'AMFI DATA_2023H1'!C:C)</f>
        <v>2120</v>
      </c>
      <c r="B1171" s="4" t="s">
        <v>4925</v>
      </c>
      <c r="C1171" s="4" t="s">
        <v>4926</v>
      </c>
      <c r="D1171" s="5" t="s">
        <v>4927</v>
      </c>
      <c r="E1171" s="5">
        <f>LOOKUP(D1171,'AMFI DATA_2023H1'!B:D,'AMFI DATA_2023H1'!D:D)</f>
        <v>117.66</v>
      </c>
      <c r="F1171" s="7">
        <f t="shared" si="4"/>
        <v>0.53833078361380249</v>
      </c>
      <c r="G1171" s="9">
        <v>181</v>
      </c>
      <c r="H1171" s="9">
        <v>175</v>
      </c>
      <c r="I1171" s="9">
        <v>176</v>
      </c>
      <c r="J1171" s="9">
        <v>178</v>
      </c>
      <c r="K1171" s="9">
        <v>180</v>
      </c>
      <c r="L1171" s="9">
        <v>173</v>
      </c>
      <c r="M1171" s="9"/>
      <c r="N1171" s="9"/>
      <c r="O1171" s="9"/>
      <c r="P1171" s="9"/>
      <c r="Q1171" s="9">
        <f ca="1">IFERROR(__xludf.DUMMYFUNCTION("GOOGLEFINANCE(C1171,""changepct"")"),7.03)</f>
        <v>7.03</v>
      </c>
      <c r="R1171" s="9"/>
      <c r="S1171" s="9"/>
      <c r="T1171" s="9"/>
      <c r="U1171" s="9"/>
      <c r="V1171" s="9"/>
      <c r="W1171" s="9"/>
    </row>
    <row r="1172" spans="1:23" ht="14.4">
      <c r="A1172" s="3">
        <f>LOOKUP(D1172,'AMFI DATA_2023H1'!B:C,'AMFI DATA_2023H1'!C:C)</f>
        <v>4044</v>
      </c>
      <c r="B1172" s="4" t="s">
        <v>5767</v>
      </c>
      <c r="C1172" s="4" t="s">
        <v>5768</v>
      </c>
      <c r="D1172" s="5" t="s">
        <v>5769</v>
      </c>
      <c r="E1172" s="5">
        <f>LOOKUP(D1172,'AMFI DATA_2023H1'!B:D,'AMFI DATA_2023H1'!D:D)</f>
        <v>6.72</v>
      </c>
      <c r="F1172" s="7">
        <f t="shared" si="4"/>
        <v>-1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/>
      <c r="N1172" s="9"/>
      <c r="O1172" s="9"/>
      <c r="P1172" s="9"/>
      <c r="Q1172" s="9">
        <f ca="1">IFERROR(__xludf.DUMMYFUNCTION("GOOGLEFINANCE(C1172,""changepct"")"),-1.64)</f>
        <v>-1.64</v>
      </c>
      <c r="R1172" s="9"/>
      <c r="S1172" s="9"/>
      <c r="T1172" s="9"/>
      <c r="U1172" s="9"/>
      <c r="V1172" s="9"/>
      <c r="W1172" s="9"/>
    </row>
    <row r="1173" spans="1:23" ht="14.4">
      <c r="A1173" s="3">
        <f>LOOKUP(D1173,'AMFI DATA_2023H1'!B:C,'AMFI DATA_2023H1'!C:C)</f>
        <v>1958</v>
      </c>
      <c r="B1173" s="4" t="s">
        <v>4877</v>
      </c>
      <c r="C1173" s="4" t="s">
        <v>4878</v>
      </c>
      <c r="D1173" s="5" t="s">
        <v>4879</v>
      </c>
      <c r="E1173" s="5">
        <f>LOOKUP(D1173,'AMFI DATA_2023H1'!B:D,'AMFI DATA_2023H1'!D:D)</f>
        <v>152.13999999999999</v>
      </c>
      <c r="F1173" s="7">
        <f t="shared" si="4"/>
        <v>0.4789010122255819</v>
      </c>
      <c r="G1173" s="9">
        <v>225</v>
      </c>
      <c r="H1173" s="9">
        <v>229</v>
      </c>
      <c r="I1173" s="9">
        <v>233</v>
      </c>
      <c r="J1173" s="9">
        <v>238</v>
      </c>
      <c r="K1173" s="9">
        <v>239</v>
      </c>
      <c r="L1173" s="9">
        <v>228</v>
      </c>
      <c r="M1173" s="9"/>
      <c r="N1173" s="9"/>
      <c r="O1173" s="9"/>
      <c r="P1173" s="9"/>
      <c r="Q1173" s="9">
        <f ca="1">IFERROR(__xludf.DUMMYFUNCTION("GOOGLEFINANCE(C1173,""changepct"")"),3.84)</f>
        <v>3.84</v>
      </c>
      <c r="R1173" s="9"/>
      <c r="S1173" s="9"/>
      <c r="T1173" s="9"/>
      <c r="U1173" s="9"/>
      <c r="V1173" s="9"/>
      <c r="W1173" s="9"/>
    </row>
    <row r="1174" spans="1:23" ht="14.4">
      <c r="A1174" s="3">
        <f>LOOKUP(D1174,'AMFI DATA_2023H1'!B:C,'AMFI DATA_2023H1'!C:C)</f>
        <v>947</v>
      </c>
      <c r="B1174" s="4" t="s">
        <v>2906</v>
      </c>
      <c r="C1174" s="4" t="s">
        <v>2907</v>
      </c>
      <c r="D1174" s="5" t="s">
        <v>2908</v>
      </c>
      <c r="E1174" s="5">
        <f>LOOKUP(D1174,'AMFI DATA_2023H1'!B:D,'AMFI DATA_2023H1'!D:D)</f>
        <v>1325.33</v>
      </c>
      <c r="F1174" s="7">
        <f t="shared" si="4"/>
        <v>0.39361517508846866</v>
      </c>
      <c r="G1174" s="8">
        <v>1847</v>
      </c>
      <c r="H1174" s="8">
        <v>1822</v>
      </c>
      <c r="I1174" s="8">
        <v>1882</v>
      </c>
      <c r="J1174" s="8">
        <v>1868</v>
      </c>
      <c r="K1174" s="8">
        <v>1934</v>
      </c>
      <c r="L1174" s="8">
        <v>1899</v>
      </c>
      <c r="M1174" s="8"/>
      <c r="N1174" s="8"/>
      <c r="O1174" s="8"/>
      <c r="P1174" s="8"/>
      <c r="Q1174" s="9">
        <f ca="1">IFERROR(__xludf.DUMMYFUNCTION("GOOGLEFINANCE(C1174,""changepct"")"),-1.48)</f>
        <v>-1.48</v>
      </c>
      <c r="R1174" s="8"/>
      <c r="S1174" s="8"/>
      <c r="T1174" s="8"/>
      <c r="U1174" s="8"/>
      <c r="V1174" s="8"/>
      <c r="W1174" s="8"/>
    </row>
    <row r="1175" spans="1:23" ht="14.4">
      <c r="A1175" s="3">
        <f>LOOKUP(D1175,'AMFI DATA_2023H1'!B:C,'AMFI DATA_2023H1'!C:C)</f>
        <v>2368</v>
      </c>
      <c r="B1175" s="4" t="s">
        <v>5132</v>
      </c>
      <c r="C1175" s="4" t="s">
        <v>5133</v>
      </c>
      <c r="D1175" s="5" t="s">
        <v>5134</v>
      </c>
      <c r="E1175" s="5">
        <f>LOOKUP(D1175,'AMFI DATA_2023H1'!B:D,'AMFI DATA_2023H1'!D:D)</f>
        <v>76.900000000000006</v>
      </c>
      <c r="F1175" s="7">
        <f t="shared" si="4"/>
        <v>0.57347204161248366</v>
      </c>
      <c r="G1175" s="9">
        <v>121</v>
      </c>
      <c r="H1175" s="9">
        <v>122</v>
      </c>
      <c r="I1175" s="9">
        <v>118</v>
      </c>
      <c r="J1175" s="9">
        <v>117</v>
      </c>
      <c r="K1175" s="9">
        <v>112</v>
      </c>
      <c r="L1175" s="9">
        <v>115</v>
      </c>
      <c r="M1175" s="9"/>
      <c r="N1175" s="9"/>
      <c r="O1175" s="9"/>
      <c r="P1175" s="9"/>
      <c r="Q1175" s="9">
        <f ca="1">IFERROR(__xludf.DUMMYFUNCTION("GOOGLEFINANCE(C1175,""changepct"")"),6.15)</f>
        <v>6.15</v>
      </c>
      <c r="R1175" s="9"/>
      <c r="S1175" s="9"/>
      <c r="T1175" s="9"/>
      <c r="U1175" s="9"/>
      <c r="V1175" s="9"/>
      <c r="W1175" s="9"/>
    </row>
    <row r="1176" spans="1:23" ht="14.4">
      <c r="A1176" s="3">
        <f>LOOKUP(D1176,'AMFI DATA_2023H1'!B:C,'AMFI DATA_2023H1'!C:C)</f>
        <v>3161</v>
      </c>
      <c r="B1176" s="4" t="s">
        <v>5590</v>
      </c>
      <c r="C1176" s="4" t="s">
        <v>5591</v>
      </c>
      <c r="D1176" s="5" t="s">
        <v>5592</v>
      </c>
      <c r="E1176" s="5">
        <f>LOOKUP(D1176,'AMFI DATA_2023H1'!B:D,'AMFI DATA_2023H1'!D:D)</f>
        <v>23.94</v>
      </c>
      <c r="F1176" s="7">
        <f t="shared" si="4"/>
        <v>0.49958228905597313</v>
      </c>
      <c r="G1176" s="9">
        <v>35.9</v>
      </c>
      <c r="H1176" s="9">
        <v>33.799999999999997</v>
      </c>
      <c r="I1176" s="9">
        <v>36.6</v>
      </c>
      <c r="J1176" s="9">
        <v>37.299999999999997</v>
      </c>
      <c r="K1176" s="9">
        <v>32.799999999999997</v>
      </c>
      <c r="L1176" s="9">
        <v>35.5</v>
      </c>
      <c r="M1176" s="9"/>
      <c r="N1176" s="9"/>
      <c r="O1176" s="9"/>
      <c r="P1176" s="9"/>
      <c r="Q1176" s="9">
        <f ca="1">IFERROR(__xludf.DUMMYFUNCTION("GOOGLEFINANCE(C1176,""changepct"")"),5.62)</f>
        <v>5.62</v>
      </c>
      <c r="R1176" s="9"/>
      <c r="S1176" s="9"/>
      <c r="T1176" s="9"/>
      <c r="U1176" s="9"/>
      <c r="V1176" s="9"/>
      <c r="W1176" s="9"/>
    </row>
    <row r="1177" spans="1:23" ht="14.4">
      <c r="A1177" s="3">
        <f>LOOKUP(D1177,'AMFI DATA_2023H1'!B:C,'AMFI DATA_2023H1'!C:C)</f>
        <v>313</v>
      </c>
      <c r="B1177" s="4" t="s">
        <v>810</v>
      </c>
      <c r="C1177" s="4" t="s">
        <v>811</v>
      </c>
      <c r="D1177" s="5" t="s">
        <v>812</v>
      </c>
      <c r="E1177" s="5">
        <f>LOOKUP(D1177,'AMFI DATA_2023H1'!B:D,'AMFI DATA_2023H1'!D:D)</f>
        <v>11673.34</v>
      </c>
      <c r="F1177" s="7">
        <f t="shared" si="4"/>
        <v>1.9737847094319192</v>
      </c>
      <c r="G1177" s="8">
        <v>34714</v>
      </c>
      <c r="H1177" s="8">
        <v>35130</v>
      </c>
      <c r="I1177" s="8">
        <v>34853</v>
      </c>
      <c r="J1177" s="8">
        <v>34923</v>
      </c>
      <c r="K1177" s="8">
        <v>34686</v>
      </c>
      <c r="L1177" s="8">
        <v>31047</v>
      </c>
      <c r="M1177" s="8"/>
      <c r="N1177" s="8"/>
      <c r="O1177" s="8"/>
      <c r="P1177" s="8"/>
      <c r="Q1177" s="9">
        <f ca="1">IFERROR(__xludf.DUMMYFUNCTION("GOOGLEFINANCE(C1177,""changepct"")"),7.05)</f>
        <v>7.05</v>
      </c>
      <c r="R1177" s="8"/>
      <c r="S1177" s="8"/>
      <c r="T1177" s="8"/>
      <c r="U1177" s="8"/>
      <c r="V1177" s="8"/>
      <c r="W1177" s="8"/>
    </row>
    <row r="1178" spans="1:23" ht="14.4">
      <c r="A1178" s="3">
        <f>LOOKUP(D1178,'AMFI DATA_2023H1'!B:C,'AMFI DATA_2023H1'!C:C)</f>
        <v>159</v>
      </c>
      <c r="B1178" s="4" t="s">
        <v>471</v>
      </c>
      <c r="C1178" s="4" t="s">
        <v>472</v>
      </c>
      <c r="D1178" s="5" t="s">
        <v>473</v>
      </c>
      <c r="E1178" s="5">
        <f>LOOKUP(D1178,'AMFI DATA_2023H1'!B:D,'AMFI DATA_2023H1'!D:D)</f>
        <v>33266.28</v>
      </c>
      <c r="F1178" s="7">
        <f t="shared" si="4"/>
        <v>0.86365893631629387</v>
      </c>
      <c r="G1178" s="8">
        <v>61997</v>
      </c>
      <c r="H1178" s="8">
        <v>61352</v>
      </c>
      <c r="I1178" s="8">
        <v>60722</v>
      </c>
      <c r="J1178" s="8">
        <v>59022</v>
      </c>
      <c r="K1178" s="8">
        <v>59185</v>
      </c>
      <c r="L1178" s="8">
        <v>57264</v>
      </c>
      <c r="M1178" s="8"/>
      <c r="N1178" s="8"/>
      <c r="O1178" s="8"/>
      <c r="P1178" s="8"/>
      <c r="Q1178" s="9">
        <f ca="1">IFERROR(__xludf.DUMMYFUNCTION("GOOGLEFINANCE(C1178,""changepct"")"),4.86)</f>
        <v>4.8600000000000003</v>
      </c>
      <c r="R1178" s="8"/>
      <c r="S1178" s="8"/>
      <c r="T1178" s="8"/>
      <c r="U1178" s="8"/>
      <c r="V1178" s="8"/>
      <c r="W1178" s="8"/>
    </row>
    <row r="1179" spans="1:23" ht="14.4">
      <c r="A1179" s="3">
        <f>LOOKUP(D1179,'AMFI DATA_2023H1'!B:C,'AMFI DATA_2023H1'!C:C)</f>
        <v>323</v>
      </c>
      <c r="B1179" s="4" t="s">
        <v>1002</v>
      </c>
      <c r="C1179" s="4" t="s">
        <v>1003</v>
      </c>
      <c r="D1179" s="5" t="s">
        <v>1004</v>
      </c>
      <c r="E1179" s="5">
        <f>LOOKUP(D1179,'AMFI DATA_2023H1'!B:D,'AMFI DATA_2023H1'!D:D)</f>
        <v>10987.37</v>
      </c>
      <c r="F1179" s="7">
        <f t="shared" si="4"/>
        <v>0.36829832798931861</v>
      </c>
      <c r="G1179" s="8">
        <v>15034</v>
      </c>
      <c r="H1179" s="8">
        <v>15043</v>
      </c>
      <c r="I1179" s="8">
        <v>14835</v>
      </c>
      <c r="J1179" s="8">
        <v>14536</v>
      </c>
      <c r="K1179" s="8">
        <v>14641</v>
      </c>
      <c r="L1179" s="8">
        <v>14917</v>
      </c>
      <c r="M1179" s="8"/>
      <c r="N1179" s="8"/>
      <c r="O1179" s="8"/>
      <c r="P1179" s="8"/>
      <c r="Q1179" s="9">
        <f ca="1">IFERROR(__xludf.DUMMYFUNCTION("GOOGLEFINANCE(C1179,""changepct"")"),9.17)</f>
        <v>9.17</v>
      </c>
      <c r="R1179" s="8"/>
      <c r="S1179" s="8"/>
      <c r="T1179" s="8"/>
      <c r="U1179" s="8"/>
      <c r="V1179" s="8"/>
      <c r="W1179" s="8"/>
    </row>
    <row r="1180" spans="1:23" ht="14.4">
      <c r="A1180" s="3">
        <f>LOOKUP(D1180,'AMFI DATA_2023H1'!B:C,'AMFI DATA_2023H1'!C:C)</f>
        <v>605</v>
      </c>
      <c r="B1180" s="4" t="s">
        <v>2061</v>
      </c>
      <c r="C1180" s="4" t="s">
        <v>2062</v>
      </c>
      <c r="D1180" s="5" t="s">
        <v>2063</v>
      </c>
      <c r="E1180" s="5">
        <f>LOOKUP(D1180,'AMFI DATA_2023H1'!B:D,'AMFI DATA_2023H1'!D:D)</f>
        <v>3660.94</v>
      </c>
      <c r="F1180" s="7">
        <f t="shared" si="4"/>
        <v>0.24667435139608962</v>
      </c>
      <c r="G1180" s="8">
        <v>4564</v>
      </c>
      <c r="H1180" s="8">
        <v>4558</v>
      </c>
      <c r="I1180" s="8">
        <v>4527</v>
      </c>
      <c r="J1180" s="8">
        <v>4604</v>
      </c>
      <c r="K1180" s="8">
        <v>4638</v>
      </c>
      <c r="L1180" s="8">
        <v>4392</v>
      </c>
      <c r="M1180" s="8"/>
      <c r="N1180" s="8"/>
      <c r="O1180" s="8"/>
      <c r="P1180" s="8"/>
      <c r="Q1180" s="9">
        <f ca="1">IFERROR(__xludf.DUMMYFUNCTION("GOOGLEFINANCE(C1180,""changepct"")"),0.15)</f>
        <v>0.15</v>
      </c>
      <c r="R1180" s="8"/>
      <c r="S1180" s="8"/>
      <c r="T1180" s="8"/>
      <c r="U1180" s="8"/>
      <c r="V1180" s="8"/>
      <c r="W1180" s="8"/>
    </row>
    <row r="1181" spans="1:23" ht="14.4">
      <c r="A1181" s="3">
        <f>LOOKUP(D1181,'AMFI DATA_2023H1'!B:C,'AMFI DATA_2023H1'!C:C)</f>
        <v>2038</v>
      </c>
      <c r="B1181" s="4" t="s">
        <v>4868</v>
      </c>
      <c r="C1181" s="4" t="s">
        <v>4869</v>
      </c>
      <c r="D1181" s="5" t="s">
        <v>4870</v>
      </c>
      <c r="E1181" s="5">
        <f>LOOKUP(D1181,'AMFI DATA_2023H1'!B:D,'AMFI DATA_2023H1'!D:D)</f>
        <v>132.77000000000001</v>
      </c>
      <c r="F1181" s="7">
        <f t="shared" si="4"/>
        <v>0.55908714317993513</v>
      </c>
      <c r="G1181" s="9">
        <v>207</v>
      </c>
      <c r="H1181" s="9">
        <v>197</v>
      </c>
      <c r="I1181" s="9">
        <v>187</v>
      </c>
      <c r="J1181" s="9">
        <v>198</v>
      </c>
      <c r="K1181" s="9">
        <v>203</v>
      </c>
      <c r="L1181" s="9">
        <v>194</v>
      </c>
      <c r="M1181" s="9"/>
      <c r="N1181" s="9"/>
      <c r="O1181" s="9"/>
      <c r="P1181" s="9"/>
      <c r="Q1181" s="9">
        <f ca="1">IFERROR(__xludf.DUMMYFUNCTION("GOOGLEFINANCE(C1181,""changepct"")"),3.36)</f>
        <v>3.36</v>
      </c>
      <c r="R1181" s="9"/>
      <c r="S1181" s="9"/>
      <c r="T1181" s="9"/>
      <c r="U1181" s="9"/>
      <c r="V1181" s="9"/>
      <c r="W1181" s="9"/>
    </row>
    <row r="1182" spans="1:23" ht="14.4">
      <c r="A1182" s="3">
        <f>LOOKUP(D1182,'AMFI DATA_2023H1'!B:C,'AMFI DATA_2023H1'!C:C)</f>
        <v>3725</v>
      </c>
      <c r="B1182" s="4" t="s">
        <v>5725</v>
      </c>
      <c r="C1182" s="4" t="s">
        <v>5726</v>
      </c>
      <c r="D1182" s="5" t="s">
        <v>5727</v>
      </c>
      <c r="E1182" s="5">
        <f>LOOKUP(D1182,'AMFI DATA_2023H1'!B:D,'AMFI DATA_2023H1'!D:D)</f>
        <v>10.09</v>
      </c>
      <c r="F1182" s="7">
        <f t="shared" si="4"/>
        <v>0.26858275520317165</v>
      </c>
      <c r="G1182" s="9">
        <v>12.8</v>
      </c>
      <c r="H1182" s="9">
        <v>12.6</v>
      </c>
      <c r="I1182" s="9">
        <v>12.5</v>
      </c>
      <c r="J1182" s="9">
        <v>12.8</v>
      </c>
      <c r="K1182" s="9">
        <v>12.8</v>
      </c>
      <c r="L1182" s="9">
        <v>13</v>
      </c>
      <c r="M1182" s="9"/>
      <c r="N1182" s="9"/>
      <c r="O1182" s="9"/>
      <c r="P1182" s="9"/>
      <c r="Q1182" s="9">
        <f ca="1">IFERROR(__xludf.DUMMYFUNCTION("GOOGLEFINANCE(C1182,""changepct"")"),-3.77)</f>
        <v>-3.77</v>
      </c>
      <c r="R1182" s="9"/>
      <c r="S1182" s="9"/>
      <c r="T1182" s="9"/>
      <c r="U1182" s="9"/>
      <c r="V1182" s="9"/>
      <c r="W1182" s="9"/>
    </row>
    <row r="1183" spans="1:23" ht="14.4">
      <c r="A1183" s="3">
        <f>LOOKUP(D1183,'AMFI DATA_2023H1'!B:C,'AMFI DATA_2023H1'!C:C)</f>
        <v>2153</v>
      </c>
      <c r="B1183" s="4" t="s">
        <v>4643</v>
      </c>
      <c r="C1183" s="4" t="s">
        <v>4644</v>
      </c>
      <c r="D1183" s="5" t="s">
        <v>4645</v>
      </c>
      <c r="E1183" s="5">
        <f>LOOKUP(D1183,'AMFI DATA_2023H1'!B:D,'AMFI DATA_2023H1'!D:D)</f>
        <v>112.54</v>
      </c>
      <c r="F1183" s="7">
        <f t="shared" si="4"/>
        <v>1.381375510929447</v>
      </c>
      <c r="G1183" s="9">
        <v>268</v>
      </c>
      <c r="H1183" s="9">
        <v>273</v>
      </c>
      <c r="I1183" s="9">
        <v>279</v>
      </c>
      <c r="J1183" s="9">
        <v>282</v>
      </c>
      <c r="K1183" s="9">
        <v>285</v>
      </c>
      <c r="L1183" s="9">
        <v>293</v>
      </c>
      <c r="M1183" s="9"/>
      <c r="N1183" s="9"/>
      <c r="O1183" s="9"/>
      <c r="P1183" s="9"/>
      <c r="Q1183" s="9">
        <f ca="1">IFERROR(__xludf.DUMMYFUNCTION("GOOGLEFINANCE(C1183,""changepct"")"),4.75)</f>
        <v>4.75</v>
      </c>
      <c r="R1183" s="9"/>
      <c r="S1183" s="9"/>
      <c r="T1183" s="9"/>
      <c r="U1183" s="9"/>
      <c r="V1183" s="9"/>
      <c r="W1183" s="9"/>
    </row>
    <row r="1184" spans="1:23" ht="14.4">
      <c r="A1184" s="3">
        <f>LOOKUP(D1184,'AMFI DATA_2023H1'!B:C,'AMFI DATA_2023H1'!C:C)</f>
        <v>903</v>
      </c>
      <c r="B1184" s="4" t="s">
        <v>2456</v>
      </c>
      <c r="C1184" s="4" t="s">
        <v>2457</v>
      </c>
      <c r="D1184" s="5" t="s">
        <v>2458</v>
      </c>
      <c r="E1184" s="5">
        <f>LOOKUP(D1184,'AMFI DATA_2023H1'!B:D,'AMFI DATA_2023H1'!D:D)</f>
        <v>1462.6</v>
      </c>
      <c r="F1184" s="7">
        <f t="shared" si="4"/>
        <v>1.3677013537535898</v>
      </c>
      <c r="G1184" s="8">
        <v>3463</v>
      </c>
      <c r="H1184" s="8">
        <v>3253</v>
      </c>
      <c r="I1184" s="8">
        <v>2761</v>
      </c>
      <c r="J1184" s="8">
        <v>2796</v>
      </c>
      <c r="K1184" s="8">
        <v>2772</v>
      </c>
      <c r="L1184" s="8">
        <v>2796</v>
      </c>
      <c r="M1184" s="8"/>
      <c r="N1184" s="8"/>
      <c r="O1184" s="8"/>
      <c r="P1184" s="8"/>
      <c r="Q1184" s="9">
        <f ca="1">IFERROR(__xludf.DUMMYFUNCTION("GOOGLEFINANCE(C1184,""changepct"")"),1.29)</f>
        <v>1.29</v>
      </c>
      <c r="R1184" s="8"/>
      <c r="S1184" s="8"/>
      <c r="T1184" s="8"/>
      <c r="U1184" s="8"/>
      <c r="V1184" s="8"/>
      <c r="W1184" s="8"/>
    </row>
    <row r="1185" spans="1:23" ht="14.4">
      <c r="A1185" s="3">
        <f>LOOKUP(D1185,'AMFI DATA_2023H1'!B:C,'AMFI DATA_2023H1'!C:C)</f>
        <v>2694</v>
      </c>
      <c r="B1185" s="4" t="s">
        <v>5350</v>
      </c>
      <c r="C1185" s="4" t="s">
        <v>5351</v>
      </c>
      <c r="D1185" s="5" t="s">
        <v>5352</v>
      </c>
      <c r="E1185" s="5">
        <f>LOOKUP(D1185,'AMFI DATA_2023H1'!B:D,'AMFI DATA_2023H1'!D:D)</f>
        <v>46.6</v>
      </c>
      <c r="F1185" s="7">
        <f t="shared" si="4"/>
        <v>1.4034334763948495</v>
      </c>
      <c r="G1185" s="9">
        <v>112</v>
      </c>
      <c r="H1185" s="9">
        <v>109</v>
      </c>
      <c r="I1185" s="9">
        <v>104</v>
      </c>
      <c r="J1185" s="9">
        <v>105</v>
      </c>
      <c r="K1185" s="9">
        <v>109</v>
      </c>
      <c r="L1185" s="9">
        <v>113</v>
      </c>
      <c r="M1185" s="9"/>
      <c r="N1185" s="9"/>
      <c r="O1185" s="9"/>
      <c r="P1185" s="9"/>
      <c r="Q1185" s="9">
        <f ca="1">IFERROR(__xludf.DUMMYFUNCTION("GOOGLEFINANCE(C1185,""changepct"")"),-1.5)</f>
        <v>-1.5</v>
      </c>
      <c r="R1185" s="9"/>
      <c r="S1185" s="9"/>
      <c r="T1185" s="9"/>
      <c r="U1185" s="9"/>
      <c r="V1185" s="9"/>
      <c r="W1185" s="9"/>
    </row>
    <row r="1186" spans="1:23" ht="14.4">
      <c r="A1186" s="3">
        <f>LOOKUP(D1186,'AMFI DATA_2023H1'!B:C,'AMFI DATA_2023H1'!C:C)</f>
        <v>29</v>
      </c>
      <c r="B1186" s="4" t="s">
        <v>84</v>
      </c>
      <c r="C1186" s="4" t="s">
        <v>85</v>
      </c>
      <c r="D1186" s="5" t="s">
        <v>86</v>
      </c>
      <c r="E1186" s="5">
        <f>LOOKUP(D1186,'AMFI DATA_2023H1'!B:D,'AMFI DATA_2023H1'!D:D)</f>
        <v>168716.62</v>
      </c>
      <c r="F1186" s="7">
        <f t="shared" si="4"/>
        <v>0.77879333998037659</v>
      </c>
      <c r="G1186" s="8">
        <v>300112</v>
      </c>
      <c r="H1186" s="8">
        <v>301712</v>
      </c>
      <c r="I1186" s="8">
        <v>304621</v>
      </c>
      <c r="J1186" s="8">
        <v>296669</v>
      </c>
      <c r="K1186" s="8">
        <v>300258</v>
      </c>
      <c r="L1186" s="8">
        <v>293615</v>
      </c>
      <c r="M1186" s="8"/>
      <c r="N1186" s="8"/>
      <c r="O1186" s="8"/>
      <c r="P1186" s="8"/>
      <c r="Q1186" s="9">
        <f ca="1">IFERROR(__xludf.DUMMYFUNCTION("GOOGLEFINANCE(C1186,""changepct"")"),3.26)</f>
        <v>3.26</v>
      </c>
      <c r="R1186" s="8"/>
      <c r="S1186" s="8"/>
      <c r="T1186" s="8"/>
      <c r="U1186" s="8"/>
      <c r="V1186" s="8"/>
      <c r="W1186" s="8"/>
    </row>
    <row r="1187" spans="1:23" ht="14.4">
      <c r="A1187" s="3">
        <f>LOOKUP(D1187,'AMFI DATA_2023H1'!B:C,'AMFI DATA_2023H1'!C:C)</f>
        <v>835</v>
      </c>
      <c r="B1187" s="4" t="s">
        <v>2210</v>
      </c>
      <c r="C1187" s="4" t="s">
        <v>2211</v>
      </c>
      <c r="D1187" s="5" t="s">
        <v>2212</v>
      </c>
      <c r="E1187" s="5">
        <f>LOOKUP(D1187,'AMFI DATA_2023H1'!B:D,'AMFI DATA_2023H1'!D:D)</f>
        <v>1748.41</v>
      </c>
      <c r="F1187" s="7">
        <f t="shared" si="4"/>
        <v>1.1974250890809364</v>
      </c>
      <c r="G1187" s="8">
        <v>3842</v>
      </c>
      <c r="H1187" s="8">
        <v>3930</v>
      </c>
      <c r="I1187" s="8">
        <v>3976</v>
      </c>
      <c r="J1187" s="8">
        <v>3962</v>
      </c>
      <c r="K1187" s="8">
        <v>3874</v>
      </c>
      <c r="L1187" s="8">
        <v>3913</v>
      </c>
      <c r="M1187" s="8"/>
      <c r="N1187" s="8"/>
      <c r="O1187" s="8"/>
      <c r="P1187" s="8"/>
      <c r="Q1187" s="9">
        <f ca="1">IFERROR(__xludf.DUMMYFUNCTION("GOOGLEFINANCE(C1187,""changepct"")"),3.78)</f>
        <v>3.78</v>
      </c>
      <c r="R1187" s="8"/>
      <c r="S1187" s="8"/>
      <c r="T1187" s="8"/>
      <c r="U1187" s="8"/>
      <c r="V1187" s="8"/>
      <c r="W1187" s="8"/>
    </row>
    <row r="1188" spans="1:23" ht="14.4">
      <c r="A1188" s="3">
        <f>LOOKUP(D1188,'AMFI DATA_2023H1'!B:C,'AMFI DATA_2023H1'!C:C)</f>
        <v>1301</v>
      </c>
      <c r="B1188" s="4" t="s">
        <v>4085</v>
      </c>
      <c r="C1188" s="4" t="s">
        <v>4086</v>
      </c>
      <c r="D1188" s="5" t="s">
        <v>4087</v>
      </c>
      <c r="E1188" s="5">
        <f>LOOKUP(D1188,'AMFI DATA_2023H1'!B:D,'AMFI DATA_2023H1'!D:D)</f>
        <v>528.70000000000005</v>
      </c>
      <c r="F1188" s="7">
        <f t="shared" si="4"/>
        <v>-0.22262152449404204</v>
      </c>
      <c r="G1188" s="9">
        <v>411</v>
      </c>
      <c r="H1188" s="9">
        <v>411</v>
      </c>
      <c r="I1188" s="9">
        <v>407</v>
      </c>
      <c r="J1188" s="9">
        <v>409</v>
      </c>
      <c r="K1188" s="9">
        <v>413</v>
      </c>
      <c r="L1188" s="9">
        <v>416</v>
      </c>
      <c r="M1188" s="9"/>
      <c r="N1188" s="9"/>
      <c r="O1188" s="9"/>
      <c r="P1188" s="9"/>
      <c r="Q1188" s="9">
        <f ca="1">IFERROR(__xludf.DUMMYFUNCTION("GOOGLEFINANCE(C1188,""changepct"")"),6.23)</f>
        <v>6.23</v>
      </c>
      <c r="R1188" s="9"/>
      <c r="S1188" s="9"/>
      <c r="T1188" s="9"/>
      <c r="U1188" s="9"/>
      <c r="V1188" s="9"/>
      <c r="W1188" s="9"/>
    </row>
    <row r="1189" spans="1:23" ht="14.4">
      <c r="A1189" s="3">
        <f>LOOKUP(D1189,'AMFI DATA_2023H1'!B:C,'AMFI DATA_2023H1'!C:C)</f>
        <v>1475</v>
      </c>
      <c r="B1189" s="4" t="s">
        <v>4268</v>
      </c>
      <c r="C1189" s="4" t="s">
        <v>4269</v>
      </c>
      <c r="D1189" s="5" t="s">
        <v>4270</v>
      </c>
      <c r="E1189" s="5">
        <f>LOOKUP(D1189,'AMFI DATA_2023H1'!B:D,'AMFI DATA_2023H1'!D:D)</f>
        <v>362.24</v>
      </c>
      <c r="F1189" s="7">
        <f t="shared" si="4"/>
        <v>0.16773409893992941</v>
      </c>
      <c r="G1189" s="9">
        <v>423</v>
      </c>
      <c r="H1189" s="9">
        <v>428</v>
      </c>
      <c r="I1189" s="9">
        <v>428</v>
      </c>
      <c r="J1189" s="9">
        <v>441</v>
      </c>
      <c r="K1189" s="9">
        <v>457</v>
      </c>
      <c r="L1189" s="9">
        <v>415</v>
      </c>
      <c r="M1189" s="9"/>
      <c r="N1189" s="9"/>
      <c r="O1189" s="9"/>
      <c r="P1189" s="9"/>
      <c r="Q1189" s="9">
        <f ca="1">IFERROR(__xludf.DUMMYFUNCTION("GOOGLEFINANCE(C1189,""changepct"")"),0.9)</f>
        <v>0.9</v>
      </c>
      <c r="R1189" s="9"/>
      <c r="S1189" s="9"/>
      <c r="T1189" s="9"/>
      <c r="U1189" s="9"/>
      <c r="V1189" s="9"/>
      <c r="W1189" s="9"/>
    </row>
    <row r="1190" spans="1:23" ht="14.4">
      <c r="A1190" s="3">
        <f>LOOKUP(D1190,'AMFI DATA_2023H1'!B:C,'AMFI DATA_2023H1'!C:C)</f>
        <v>1475</v>
      </c>
      <c r="B1190" s="4" t="s">
        <v>1200</v>
      </c>
      <c r="C1190" s="4" t="s">
        <v>1201</v>
      </c>
      <c r="D1190" s="5" t="s">
        <v>1202</v>
      </c>
      <c r="E1190" s="5">
        <f>LOOKUP(D1190,'AMFI DATA_2023H1'!B:D,'AMFI DATA_2023H1'!D:D)</f>
        <v>362.24</v>
      </c>
      <c r="F1190" s="7">
        <f t="shared" si="4"/>
        <v>34.004416961130744</v>
      </c>
      <c r="G1190" s="8">
        <v>12680</v>
      </c>
      <c r="H1190" s="8">
        <v>12689</v>
      </c>
      <c r="I1190" s="8">
        <v>12759</v>
      </c>
      <c r="J1190" s="8">
        <v>12741</v>
      </c>
      <c r="K1190" s="8">
        <v>12824</v>
      </c>
      <c r="L1190" s="8">
        <v>12757</v>
      </c>
      <c r="M1190" s="8"/>
      <c r="N1190" s="8"/>
      <c r="O1190" s="8"/>
      <c r="P1190" s="8"/>
      <c r="Q1190" s="9">
        <f ca="1">IFERROR(__xludf.DUMMYFUNCTION("GOOGLEFINANCE(C1190,""changepct"")"),-3.22)</f>
        <v>-3.22</v>
      </c>
      <c r="R1190" s="8"/>
      <c r="S1190" s="8"/>
      <c r="T1190" s="8"/>
      <c r="U1190" s="8"/>
      <c r="V1190" s="8"/>
      <c r="W1190" s="8"/>
    </row>
    <row r="1191" spans="1:23" ht="14.4">
      <c r="A1191" s="3">
        <f>LOOKUP(D1191,'AMFI DATA_2023H1'!B:C,'AMFI DATA_2023H1'!C:C)</f>
        <v>302</v>
      </c>
      <c r="B1191" s="4" t="s">
        <v>1035</v>
      </c>
      <c r="C1191" s="4" t="s">
        <v>1036</v>
      </c>
      <c r="D1191" s="5" t="s">
        <v>1037</v>
      </c>
      <c r="E1191" s="5">
        <f>LOOKUP(D1191,'AMFI DATA_2023H1'!B:D,'AMFI DATA_2023H1'!D:D)</f>
        <v>12465.48</v>
      </c>
      <c r="F1191" s="7">
        <f t="shared" si="4"/>
        <v>8.0744584243847894E-2</v>
      </c>
      <c r="G1191" s="8">
        <v>13472</v>
      </c>
      <c r="H1191" s="8">
        <v>13668</v>
      </c>
      <c r="I1191" s="8">
        <v>13711</v>
      </c>
      <c r="J1191" s="8">
        <v>13876</v>
      </c>
      <c r="K1191" s="8">
        <v>13297</v>
      </c>
      <c r="L1191" s="8">
        <v>13390</v>
      </c>
      <c r="M1191" s="8"/>
      <c r="N1191" s="8"/>
      <c r="O1191" s="8"/>
      <c r="P1191" s="8"/>
      <c r="Q1191" s="9">
        <f ca="1">IFERROR(__xludf.DUMMYFUNCTION("GOOGLEFINANCE(C1191,""changepct"")"),1.18)</f>
        <v>1.18</v>
      </c>
      <c r="R1191" s="8"/>
      <c r="S1191" s="8"/>
      <c r="T1191" s="8"/>
      <c r="U1191" s="8"/>
      <c r="V1191" s="8"/>
      <c r="W1191" s="8"/>
    </row>
    <row r="1192" spans="1:23" ht="14.4">
      <c r="A1192" s="3">
        <f>LOOKUP(D1192,'AMFI DATA_2023H1'!B:C,'AMFI DATA_2023H1'!C:C)</f>
        <v>163</v>
      </c>
      <c r="B1192" s="4" t="s">
        <v>468</v>
      </c>
      <c r="C1192" s="4" t="s">
        <v>469</v>
      </c>
      <c r="D1192" s="5" t="s">
        <v>470</v>
      </c>
      <c r="E1192" s="5">
        <f>LOOKUP(D1192,'AMFI DATA_2023H1'!B:D,'AMFI DATA_2023H1'!D:D)</f>
        <v>32548.76</v>
      </c>
      <c r="F1192" s="7">
        <f t="shared" si="4"/>
        <v>0.60869415609073907</v>
      </c>
      <c r="G1192" s="8">
        <v>52361</v>
      </c>
      <c r="H1192" s="8">
        <v>51850</v>
      </c>
      <c r="I1192" s="8">
        <v>52391</v>
      </c>
      <c r="J1192" s="8">
        <v>51519</v>
      </c>
      <c r="K1192" s="8">
        <v>51002</v>
      </c>
      <c r="L1192" s="8">
        <v>51161</v>
      </c>
      <c r="M1192" s="8"/>
      <c r="N1192" s="8"/>
      <c r="O1192" s="8"/>
      <c r="P1192" s="8"/>
      <c r="Q1192" s="9">
        <f ca="1">IFERROR(__xludf.DUMMYFUNCTION("GOOGLEFINANCE(C1192,""changepct"")"),-0.86)</f>
        <v>-0.86</v>
      </c>
      <c r="R1192" s="8"/>
      <c r="S1192" s="8"/>
      <c r="T1192" s="8"/>
      <c r="U1192" s="8"/>
      <c r="V1192" s="8"/>
      <c r="W1192" s="8"/>
    </row>
    <row r="1193" spans="1:23" ht="14.4">
      <c r="A1193" s="3">
        <f>LOOKUP(D1193,'AMFI DATA_2023H1'!B:C,'AMFI DATA_2023H1'!C:C)</f>
        <v>27</v>
      </c>
      <c r="B1193" s="4" t="s">
        <v>81</v>
      </c>
      <c r="C1193" s="4" t="s">
        <v>82</v>
      </c>
      <c r="D1193" s="5" t="s">
        <v>83</v>
      </c>
      <c r="E1193" s="5">
        <f>LOOKUP(D1193,'AMFI DATA_2023H1'!B:D,'AMFI DATA_2023H1'!D:D)</f>
        <v>195025.78</v>
      </c>
      <c r="F1193" s="7">
        <f t="shared" si="4"/>
        <v>0.32397880936561307</v>
      </c>
      <c r="G1193" s="8">
        <v>258210</v>
      </c>
      <c r="H1193" s="8">
        <v>257959</v>
      </c>
      <c r="I1193" s="8">
        <v>262047</v>
      </c>
      <c r="J1193" s="8">
        <v>258336</v>
      </c>
      <c r="K1193" s="8">
        <v>260916</v>
      </c>
      <c r="L1193" s="8">
        <v>256575</v>
      </c>
      <c r="M1193" s="8"/>
      <c r="N1193" s="8"/>
      <c r="O1193" s="8"/>
      <c r="P1193" s="8"/>
      <c r="Q1193" s="9">
        <f ca="1">IFERROR(__xludf.DUMMYFUNCTION("GOOGLEFINANCE(C1193,""changepct"")"),3.58)</f>
        <v>3.58</v>
      </c>
      <c r="R1193" s="8"/>
      <c r="S1193" s="8"/>
      <c r="T1193" s="8"/>
      <c r="U1193" s="8"/>
      <c r="V1193" s="8"/>
      <c r="W1193" s="8"/>
    </row>
    <row r="1194" spans="1:23" ht="14.4">
      <c r="A1194" s="3">
        <f>LOOKUP(D1194,'AMFI DATA_2023H1'!B:C,'AMFI DATA_2023H1'!C:C)</f>
        <v>2392</v>
      </c>
      <c r="B1194" s="4" t="s">
        <v>5192</v>
      </c>
      <c r="C1194" s="4" t="s">
        <v>5193</v>
      </c>
      <c r="D1194" s="5" t="s">
        <v>5194</v>
      </c>
      <c r="E1194" s="5">
        <f>LOOKUP(D1194,'AMFI DATA_2023H1'!B:D,'AMFI DATA_2023H1'!D:D)</f>
        <v>74.099999999999994</v>
      </c>
      <c r="F1194" s="7">
        <f t="shared" si="4"/>
        <v>0.88933873144399467</v>
      </c>
      <c r="G1194" s="9">
        <v>140</v>
      </c>
      <c r="H1194" s="9">
        <v>133</v>
      </c>
      <c r="I1194" s="9">
        <v>127</v>
      </c>
      <c r="J1194" s="9">
        <v>125</v>
      </c>
      <c r="K1194" s="9">
        <v>124</v>
      </c>
      <c r="L1194" s="9">
        <v>119</v>
      </c>
      <c r="M1194" s="9"/>
      <c r="N1194" s="9"/>
      <c r="O1194" s="9"/>
      <c r="P1194" s="9"/>
      <c r="Q1194" s="9">
        <f ca="1">IFERROR(__xludf.DUMMYFUNCTION("GOOGLEFINANCE(C1194,""changepct"")"),-0.09)</f>
        <v>-0.09</v>
      </c>
      <c r="R1194" s="9"/>
      <c r="S1194" s="9"/>
      <c r="T1194" s="9"/>
      <c r="U1194" s="9"/>
      <c r="V1194" s="9"/>
      <c r="W1194" s="9"/>
    </row>
    <row r="1195" spans="1:23" ht="14.4">
      <c r="A1195" s="3">
        <f>LOOKUP(D1195,'AMFI DATA_2023H1'!B:C,'AMFI DATA_2023H1'!C:C)</f>
        <v>181</v>
      </c>
      <c r="B1195" s="4" t="s">
        <v>594</v>
      </c>
      <c r="C1195" s="4" t="s">
        <v>595</v>
      </c>
      <c r="D1195" s="5" t="s">
        <v>596</v>
      </c>
      <c r="E1195" s="5">
        <f>LOOKUP(D1195,'AMFI DATA_2023H1'!B:D,'AMFI DATA_2023H1'!D:D)</f>
        <v>26932.76</v>
      </c>
      <c r="F1195" s="7">
        <f t="shared" si="4"/>
        <v>0.52316361189866911</v>
      </c>
      <c r="G1195" s="8">
        <v>41023</v>
      </c>
      <c r="H1195" s="8">
        <v>40378</v>
      </c>
      <c r="I1195" s="8">
        <v>41500</v>
      </c>
      <c r="J1195" s="8">
        <v>41457</v>
      </c>
      <c r="K1195" s="8">
        <v>41403</v>
      </c>
      <c r="L1195" s="8">
        <v>40475</v>
      </c>
      <c r="M1195" s="8"/>
      <c r="N1195" s="8"/>
      <c r="O1195" s="8"/>
      <c r="P1195" s="8"/>
      <c r="Q1195" s="9">
        <f ca="1">IFERROR(__xludf.DUMMYFUNCTION("GOOGLEFINANCE(C1195,""changepct"")"),6.21)</f>
        <v>6.21</v>
      </c>
      <c r="R1195" s="8"/>
      <c r="S1195" s="8"/>
      <c r="T1195" s="8"/>
      <c r="U1195" s="8"/>
      <c r="V1195" s="8"/>
      <c r="W1195" s="8"/>
    </row>
    <row r="1196" spans="1:23" ht="14.4">
      <c r="A1196" s="3">
        <f>LOOKUP(D1196,'AMFI DATA_2023H1'!B:C,'AMFI DATA_2023H1'!C:C)</f>
        <v>504</v>
      </c>
      <c r="B1196" s="4" t="s">
        <v>1236</v>
      </c>
      <c r="C1196" s="4" t="s">
        <v>1237</v>
      </c>
      <c r="D1196" s="5" t="s">
        <v>1238</v>
      </c>
      <c r="E1196" s="5">
        <f>LOOKUP(D1196,'AMFI DATA_2023H1'!B:D,'AMFI DATA_2023H1'!D:D)</f>
        <v>5174.1099999999997</v>
      </c>
      <c r="F1196" s="7">
        <f t="shared" si="4"/>
        <v>1.1769927581748361</v>
      </c>
      <c r="G1196" s="8">
        <v>11264</v>
      </c>
      <c r="H1196" s="8">
        <v>11061</v>
      </c>
      <c r="I1196" s="8">
        <v>10225</v>
      </c>
      <c r="J1196" s="8">
        <v>10282</v>
      </c>
      <c r="K1196" s="8">
        <v>10298</v>
      </c>
      <c r="L1196" s="8">
        <v>10089</v>
      </c>
      <c r="M1196" s="8"/>
      <c r="N1196" s="8"/>
      <c r="O1196" s="8"/>
      <c r="P1196" s="8"/>
      <c r="Q1196" s="9">
        <f ca="1">IFERROR(__xludf.DUMMYFUNCTION("GOOGLEFINANCE(C1196,""changepct"")"),0.14)</f>
        <v>0.14000000000000001</v>
      </c>
      <c r="R1196" s="8"/>
      <c r="S1196" s="8"/>
      <c r="T1196" s="8"/>
      <c r="U1196" s="8"/>
      <c r="V1196" s="8"/>
      <c r="W1196" s="8"/>
    </row>
    <row r="1197" spans="1:23" ht="14.4">
      <c r="A1197" s="3">
        <f>LOOKUP(D1197,'AMFI DATA_2023H1'!B:C,'AMFI DATA_2023H1'!C:C)</f>
        <v>1426</v>
      </c>
      <c r="B1197" s="4" t="s">
        <v>3560</v>
      </c>
      <c r="C1197" s="4" t="s">
        <v>3561</v>
      </c>
      <c r="D1197" s="5" t="s">
        <v>3562</v>
      </c>
      <c r="E1197" s="5">
        <f>LOOKUP(D1197,'AMFI DATA_2023H1'!B:D,'AMFI DATA_2023H1'!D:D)</f>
        <v>394.28</v>
      </c>
      <c r="F1197" s="7">
        <f t="shared" si="4"/>
        <v>2.6370092320178555</v>
      </c>
      <c r="G1197" s="8">
        <v>1434</v>
      </c>
      <c r="H1197" s="8">
        <v>1463</v>
      </c>
      <c r="I1197" s="8">
        <v>1493</v>
      </c>
      <c r="J1197" s="8">
        <v>1523</v>
      </c>
      <c r="K1197" s="8">
        <v>1458</v>
      </c>
      <c r="L1197" s="8">
        <v>1385</v>
      </c>
      <c r="M1197" s="8"/>
      <c r="N1197" s="8"/>
      <c r="O1197" s="8"/>
      <c r="P1197" s="8"/>
      <c r="Q1197" s="9">
        <f ca="1">IFERROR(__xludf.DUMMYFUNCTION("GOOGLEFINANCE(C1197,""changepct"")"),-0.36)</f>
        <v>-0.36</v>
      </c>
      <c r="R1197" s="8"/>
      <c r="S1197" s="8"/>
      <c r="T1197" s="8"/>
      <c r="U1197" s="8"/>
      <c r="V1197" s="8"/>
      <c r="W1197" s="8"/>
    </row>
    <row r="1198" spans="1:23" ht="14.4">
      <c r="A1198" s="3">
        <f>LOOKUP(D1198,'AMFI DATA_2023H1'!B:C,'AMFI DATA_2023H1'!C:C)</f>
        <v>2162</v>
      </c>
      <c r="B1198" s="4" t="s">
        <v>5060</v>
      </c>
      <c r="C1198" s="4" t="s">
        <v>5061</v>
      </c>
      <c r="D1198" s="5" t="s">
        <v>5062</v>
      </c>
      <c r="E1198" s="5">
        <f>LOOKUP(D1198,'AMFI DATA_2023H1'!B:D,'AMFI DATA_2023H1'!D:D)</f>
        <v>110.55</v>
      </c>
      <c r="F1198" s="7">
        <f t="shared" si="4"/>
        <v>0.29353233830845782</v>
      </c>
      <c r="G1198" s="9">
        <v>143</v>
      </c>
      <c r="H1198" s="9">
        <v>139</v>
      </c>
      <c r="I1198" s="9">
        <v>140</v>
      </c>
      <c r="J1198" s="9">
        <v>142</v>
      </c>
      <c r="K1198" s="9">
        <v>138</v>
      </c>
      <c r="L1198" s="9">
        <v>138</v>
      </c>
      <c r="M1198" s="9"/>
      <c r="N1198" s="9"/>
      <c r="O1198" s="9"/>
      <c r="P1198" s="9"/>
      <c r="Q1198" s="9">
        <f ca="1">IFERROR(__xludf.DUMMYFUNCTION("GOOGLEFINANCE(C1198,""changepct"")"),7.55)</f>
        <v>7.55</v>
      </c>
      <c r="R1198" s="9"/>
      <c r="S1198" s="9"/>
      <c r="T1198" s="9"/>
      <c r="U1198" s="9"/>
      <c r="V1198" s="9"/>
      <c r="W1198" s="9"/>
    </row>
    <row r="1199" spans="1:23" ht="14.4">
      <c r="A1199" s="3">
        <f>LOOKUP(D1199,'AMFI DATA_2023H1'!B:C,'AMFI DATA_2023H1'!C:C)</f>
        <v>1049</v>
      </c>
      <c r="B1199" s="4" t="s">
        <v>3236</v>
      </c>
      <c r="C1199" s="4" t="s">
        <v>3237</v>
      </c>
      <c r="D1199" s="5" t="s">
        <v>3238</v>
      </c>
      <c r="E1199" s="5">
        <f>LOOKUP(D1199,'AMFI DATA_2023H1'!B:D,'AMFI DATA_2023H1'!D:D)</f>
        <v>1041.1600000000001</v>
      </c>
      <c r="F1199" s="7">
        <f t="shared" si="4"/>
        <v>0.33216796649890501</v>
      </c>
      <c r="G1199" s="8">
        <v>1387</v>
      </c>
      <c r="H1199" s="8">
        <v>1373</v>
      </c>
      <c r="I1199" s="8">
        <v>1399</v>
      </c>
      <c r="J1199" s="8">
        <v>1413</v>
      </c>
      <c r="K1199" s="8">
        <v>1445</v>
      </c>
      <c r="L1199" s="8">
        <v>1418</v>
      </c>
      <c r="M1199" s="8"/>
      <c r="N1199" s="8"/>
      <c r="O1199" s="8"/>
      <c r="P1199" s="8"/>
      <c r="Q1199" s="9">
        <f ca="1">IFERROR(__xludf.DUMMYFUNCTION("GOOGLEFINANCE(C1199,""changepct"")"),4.88)</f>
        <v>4.88</v>
      </c>
      <c r="R1199" s="8"/>
      <c r="S1199" s="8"/>
      <c r="T1199" s="8"/>
      <c r="U1199" s="8"/>
      <c r="V1199" s="8"/>
      <c r="W1199" s="8"/>
    </row>
    <row r="1200" spans="1:23" ht="14.4">
      <c r="A1200" s="3">
        <f>LOOKUP(D1200,'AMFI DATA_2023H1'!B:C,'AMFI DATA_2023H1'!C:C)</f>
        <v>3278</v>
      </c>
      <c r="B1200" s="4" t="s">
        <v>5683</v>
      </c>
      <c r="C1200" s="4" t="s">
        <v>5684</v>
      </c>
      <c r="D1200" s="5" t="s">
        <v>5685</v>
      </c>
      <c r="E1200" s="5">
        <f>LOOKUP(D1200,'AMFI DATA_2023H1'!B:D,'AMFI DATA_2023H1'!D:D)</f>
        <v>20.25</v>
      </c>
      <c r="F1200" s="7">
        <f t="shared" si="4"/>
        <v>-0.10617283950617273</v>
      </c>
      <c r="G1200" s="9">
        <v>18.100000000000001</v>
      </c>
      <c r="H1200" s="9">
        <v>18.100000000000001</v>
      </c>
      <c r="I1200" s="9">
        <v>17.5</v>
      </c>
      <c r="J1200" s="9">
        <v>17.3</v>
      </c>
      <c r="K1200" s="9">
        <v>17.5</v>
      </c>
      <c r="L1200" s="9">
        <v>17.3</v>
      </c>
      <c r="M1200" s="9"/>
      <c r="N1200" s="9"/>
      <c r="O1200" s="9"/>
      <c r="P1200" s="9"/>
      <c r="Q1200" s="9">
        <f ca="1">IFERROR(__xludf.DUMMYFUNCTION("GOOGLEFINANCE(C1200,""changepct"")"),-1.67)</f>
        <v>-1.67</v>
      </c>
      <c r="R1200" s="9"/>
      <c r="S1200" s="9"/>
      <c r="T1200" s="9"/>
      <c r="U1200" s="9"/>
      <c r="V1200" s="9"/>
      <c r="W1200" s="9"/>
    </row>
    <row r="1201" spans="1:23" ht="14.4">
      <c r="A1201" s="3">
        <f>LOOKUP(D1201,'AMFI DATA_2023H1'!B:C,'AMFI DATA_2023H1'!C:C)</f>
        <v>123</v>
      </c>
      <c r="B1201" s="4" t="s">
        <v>366</v>
      </c>
      <c r="C1201" s="4" t="s">
        <v>367</v>
      </c>
      <c r="D1201" s="5" t="s">
        <v>368</v>
      </c>
      <c r="E1201" s="5">
        <f>LOOKUP(D1201,'AMFI DATA_2023H1'!B:D,'AMFI DATA_2023H1'!D:D)</f>
        <v>42054.27</v>
      </c>
      <c r="F1201" s="7">
        <f t="shared" si="4"/>
        <v>-2.4688812812587058E-2</v>
      </c>
      <c r="G1201" s="8">
        <v>41016</v>
      </c>
      <c r="H1201" s="8">
        <v>40330</v>
      </c>
      <c r="I1201" s="8">
        <v>40245</v>
      </c>
      <c r="J1201" s="8">
        <v>40280</v>
      </c>
      <c r="K1201" s="8">
        <v>40127</v>
      </c>
      <c r="L1201" s="8">
        <v>40768</v>
      </c>
      <c r="M1201" s="8"/>
      <c r="N1201" s="8"/>
      <c r="O1201" s="8"/>
      <c r="P1201" s="8"/>
      <c r="Q1201" s="9">
        <f ca="1">IFERROR(__xludf.DUMMYFUNCTION("GOOGLEFINANCE(C1201,""changepct"")"),3.74)</f>
        <v>3.74</v>
      </c>
      <c r="R1201" s="8"/>
      <c r="S1201" s="8"/>
      <c r="T1201" s="8"/>
      <c r="U1201" s="8"/>
      <c r="V1201" s="8"/>
      <c r="W1201" s="8"/>
    </row>
    <row r="1202" spans="1:23" ht="14.4">
      <c r="A1202" s="3">
        <f>LOOKUP(D1202,'AMFI DATA_2023H1'!B:C,'AMFI DATA_2023H1'!C:C)</f>
        <v>1489</v>
      </c>
      <c r="B1202" s="4" t="s">
        <v>3707</v>
      </c>
      <c r="C1202" s="4" t="s">
        <v>3708</v>
      </c>
      <c r="D1202" s="5" t="s">
        <v>3709</v>
      </c>
      <c r="E1202" s="5">
        <f>LOOKUP(D1202,'AMFI DATA_2023H1'!B:D,'AMFI DATA_2023H1'!D:D)</f>
        <v>352.47</v>
      </c>
      <c r="F1202" s="7">
        <f t="shared" si="4"/>
        <v>2.0839504071268475</v>
      </c>
      <c r="G1202" s="9">
        <v>1087</v>
      </c>
      <c r="H1202" s="9">
        <v>992</v>
      </c>
      <c r="I1202" s="9">
        <v>982</v>
      </c>
      <c r="J1202" s="9">
        <v>1005</v>
      </c>
      <c r="K1202" s="9">
        <v>996</v>
      </c>
      <c r="L1202" s="9">
        <v>963</v>
      </c>
      <c r="M1202" s="9"/>
      <c r="N1202" s="9"/>
      <c r="O1202" s="9"/>
      <c r="P1202" s="9"/>
      <c r="Q1202" s="9">
        <f ca="1">IFERROR(__xludf.DUMMYFUNCTION("GOOGLEFINANCE(C1202,""changepct"")"),7.61)</f>
        <v>7.61</v>
      </c>
      <c r="R1202" s="9"/>
      <c r="S1202" s="9"/>
      <c r="T1202" s="9"/>
      <c r="U1202" s="9"/>
      <c r="V1202" s="9"/>
      <c r="W1202" s="9"/>
    </row>
    <row r="1203" spans="1:23" ht="14.4">
      <c r="A1203" s="3">
        <f>LOOKUP(D1203,'AMFI DATA_2023H1'!B:C,'AMFI DATA_2023H1'!C:C)</f>
        <v>3371</v>
      </c>
      <c r="B1203" s="4" t="s">
        <v>5677</v>
      </c>
      <c r="C1203" s="4" t="s">
        <v>5678</v>
      </c>
      <c r="D1203" s="5" t="s">
        <v>5679</v>
      </c>
      <c r="E1203" s="5">
        <f>LOOKUP(D1203,'AMFI DATA_2023H1'!B:D,'AMFI DATA_2023H1'!D:D)</f>
        <v>17.59</v>
      </c>
      <c r="F1203" s="7">
        <f t="shared" si="4"/>
        <v>0.33030130756111431</v>
      </c>
      <c r="G1203" s="9">
        <v>23.4</v>
      </c>
      <c r="H1203" s="9">
        <v>22.7</v>
      </c>
      <c r="I1203" s="9">
        <v>22.7</v>
      </c>
      <c r="J1203" s="9">
        <v>23.4</v>
      </c>
      <c r="K1203" s="9">
        <v>23.5</v>
      </c>
      <c r="L1203" s="9">
        <v>23</v>
      </c>
      <c r="M1203" s="9"/>
      <c r="N1203" s="9"/>
      <c r="O1203" s="9"/>
      <c r="P1203" s="9"/>
      <c r="Q1203" s="9">
        <f ca="1">IFERROR(__xludf.DUMMYFUNCTION("GOOGLEFINANCE(C1203,""changepct"")"),3.7)</f>
        <v>3.7</v>
      </c>
      <c r="R1203" s="9"/>
      <c r="S1203" s="9"/>
      <c r="T1203" s="9"/>
      <c r="U1203" s="9"/>
      <c r="V1203" s="9"/>
      <c r="W1203" s="9"/>
    </row>
    <row r="1204" spans="1:23" ht="14.4">
      <c r="A1204" s="3">
        <f>LOOKUP(D1204,'AMFI DATA_2023H1'!B:C,'AMFI DATA_2023H1'!C:C)</f>
        <v>1141</v>
      </c>
      <c r="B1204" s="4" t="s">
        <v>3284</v>
      </c>
      <c r="C1204" s="4" t="s">
        <v>3285</v>
      </c>
      <c r="D1204" s="5" t="s">
        <v>3286</v>
      </c>
      <c r="E1204" s="5">
        <f>LOOKUP(D1204,'AMFI DATA_2023H1'!B:D,'AMFI DATA_2023H1'!D:D)</f>
        <v>805.96</v>
      </c>
      <c r="F1204" s="7">
        <f t="shared" si="4"/>
        <v>0.41942528165169479</v>
      </c>
      <c r="G1204" s="8">
        <v>1144</v>
      </c>
      <c r="H1204" s="8">
        <v>1142</v>
      </c>
      <c r="I1204" s="8">
        <v>1144</v>
      </c>
      <c r="J1204" s="8">
        <v>1167</v>
      </c>
      <c r="K1204" s="8">
        <v>1191</v>
      </c>
      <c r="L1204" s="8">
        <v>1126</v>
      </c>
      <c r="M1204" s="8"/>
      <c r="N1204" s="8"/>
      <c r="O1204" s="8"/>
      <c r="P1204" s="8"/>
      <c r="Q1204" s="9">
        <f ca="1">IFERROR(__xludf.DUMMYFUNCTION("GOOGLEFINANCE(C1204,""changepct"")"),0.3)</f>
        <v>0.3</v>
      </c>
      <c r="R1204" s="8"/>
      <c r="S1204" s="8"/>
      <c r="T1204" s="8"/>
      <c r="U1204" s="8"/>
      <c r="V1204" s="8"/>
      <c r="W1204" s="8"/>
    </row>
    <row r="1205" spans="1:23" ht="14.4">
      <c r="A1205" s="3">
        <f>LOOKUP(D1205,'AMFI DATA_2023H1'!B:C,'AMFI DATA_2023H1'!C:C)</f>
        <v>1153</v>
      </c>
      <c r="B1205" s="4" t="s">
        <v>3167</v>
      </c>
      <c r="C1205" s="4" t="s">
        <v>3168</v>
      </c>
      <c r="D1205" s="5" t="s">
        <v>3169</v>
      </c>
      <c r="E1205" s="5">
        <f>LOOKUP(D1205,'AMFI DATA_2023H1'!B:D,'AMFI DATA_2023H1'!D:D)</f>
        <v>785.21</v>
      </c>
      <c r="F1205" s="7">
        <f t="shared" si="4"/>
        <v>0.74093554590491717</v>
      </c>
      <c r="G1205" s="8">
        <v>1367</v>
      </c>
      <c r="H1205" s="8">
        <v>1404</v>
      </c>
      <c r="I1205" s="8">
        <v>1404</v>
      </c>
      <c r="J1205" s="8">
        <v>1411</v>
      </c>
      <c r="K1205" s="8">
        <v>1410</v>
      </c>
      <c r="L1205" s="8">
        <v>1428</v>
      </c>
      <c r="M1205" s="8"/>
      <c r="N1205" s="8"/>
      <c r="O1205" s="8"/>
      <c r="P1205" s="8"/>
      <c r="Q1205" s="9">
        <f ca="1">IFERROR(__xludf.DUMMYFUNCTION("GOOGLEFINANCE(C1205,""changepct"")"),-3.92)</f>
        <v>-3.92</v>
      </c>
      <c r="R1205" s="8"/>
      <c r="S1205" s="8"/>
      <c r="T1205" s="8"/>
      <c r="U1205" s="8"/>
      <c r="V1205" s="8"/>
      <c r="W1205" s="8"/>
    </row>
    <row r="1206" spans="1:23" ht="14.4">
      <c r="A1206" s="3">
        <f>LOOKUP(D1206,'AMFI DATA_2023H1'!B:C,'AMFI DATA_2023H1'!C:C)</f>
        <v>788</v>
      </c>
      <c r="B1206" s="4" t="s">
        <v>2480</v>
      </c>
      <c r="C1206" s="4" t="s">
        <v>2481</v>
      </c>
      <c r="D1206" s="5" t="s">
        <v>2482</v>
      </c>
      <c r="E1206" s="5">
        <f>LOOKUP(D1206,'AMFI DATA_2023H1'!B:D,'AMFI DATA_2023H1'!D:D)</f>
        <v>1999.65</v>
      </c>
      <c r="F1206" s="7">
        <f t="shared" si="4"/>
        <v>0.35323681644287741</v>
      </c>
      <c r="G1206" s="8">
        <v>2706</v>
      </c>
      <c r="H1206" s="8">
        <v>2669</v>
      </c>
      <c r="I1206" s="8">
        <v>2701</v>
      </c>
      <c r="J1206" s="8">
        <v>2708</v>
      </c>
      <c r="K1206" s="8">
        <v>2723</v>
      </c>
      <c r="L1206" s="8">
        <v>2774</v>
      </c>
      <c r="M1206" s="8"/>
      <c r="N1206" s="8"/>
      <c r="O1206" s="8"/>
      <c r="P1206" s="8"/>
      <c r="Q1206" s="9">
        <f ca="1">IFERROR(__xludf.DUMMYFUNCTION("GOOGLEFINANCE(C1206,""changepct"")"),5.92)</f>
        <v>5.92</v>
      </c>
      <c r="R1206" s="8"/>
      <c r="S1206" s="8"/>
      <c r="T1206" s="8"/>
      <c r="U1206" s="8"/>
      <c r="V1206" s="8"/>
      <c r="W1206" s="8"/>
    </row>
    <row r="1207" spans="1:23" ht="14.4">
      <c r="A1207" s="3">
        <f>LOOKUP(D1207,'AMFI DATA_2023H1'!B:C,'AMFI DATA_2023H1'!C:C)</f>
        <v>173</v>
      </c>
      <c r="B1207" s="4" t="s">
        <v>534</v>
      </c>
      <c r="C1207" s="4" t="s">
        <v>535</v>
      </c>
      <c r="D1207" s="5" t="s">
        <v>536</v>
      </c>
      <c r="E1207" s="5">
        <f>LOOKUP(D1207,'AMFI DATA_2023H1'!B:D,'AMFI DATA_2023H1'!D:D)</f>
        <v>28973.54</v>
      </c>
      <c r="F1207" s="7">
        <f t="shared" si="4"/>
        <v>0.29652779743172553</v>
      </c>
      <c r="G1207" s="8">
        <v>37565</v>
      </c>
      <c r="H1207" s="8">
        <v>36569</v>
      </c>
      <c r="I1207" s="8">
        <v>36335</v>
      </c>
      <c r="J1207" s="8">
        <v>36332</v>
      </c>
      <c r="K1207" s="8">
        <v>36006</v>
      </c>
      <c r="L1207" s="8">
        <v>36485</v>
      </c>
      <c r="M1207" s="8"/>
      <c r="N1207" s="8"/>
      <c r="O1207" s="8"/>
      <c r="P1207" s="8"/>
      <c r="Q1207" s="9">
        <f ca="1">IFERROR(__xludf.DUMMYFUNCTION("GOOGLEFINANCE(C1207,""changepct"")"),2.33)</f>
        <v>2.33</v>
      </c>
      <c r="R1207" s="8"/>
      <c r="S1207" s="8"/>
      <c r="T1207" s="8"/>
      <c r="U1207" s="8"/>
      <c r="V1207" s="8"/>
      <c r="W1207" s="8"/>
    </row>
    <row r="1208" spans="1:23" ht="14.4">
      <c r="A1208" s="3">
        <f>LOOKUP(D1208,'AMFI DATA_2023H1'!B:C,'AMFI DATA_2023H1'!C:C)</f>
        <v>1416</v>
      </c>
      <c r="B1208" s="4" t="s">
        <v>4001</v>
      </c>
      <c r="C1208" s="4" t="s">
        <v>4002</v>
      </c>
      <c r="D1208" s="5" t="s">
        <v>4003</v>
      </c>
      <c r="E1208" s="5">
        <f>LOOKUP(D1208,'AMFI DATA_2023H1'!B:D,'AMFI DATA_2023H1'!D:D)</f>
        <v>399.07</v>
      </c>
      <c r="F1208" s="7">
        <f t="shared" si="4"/>
        <v>0.21281980604906403</v>
      </c>
      <c r="G1208" s="9">
        <v>484</v>
      </c>
      <c r="H1208" s="9">
        <v>477</v>
      </c>
      <c r="I1208" s="9">
        <v>484</v>
      </c>
      <c r="J1208" s="9">
        <v>476</v>
      </c>
      <c r="K1208" s="9">
        <v>488</v>
      </c>
      <c r="L1208" s="9">
        <v>485</v>
      </c>
      <c r="M1208" s="9"/>
      <c r="N1208" s="9"/>
      <c r="O1208" s="9"/>
      <c r="P1208" s="9"/>
      <c r="Q1208" s="9">
        <f ca="1">IFERROR(__xludf.DUMMYFUNCTION("GOOGLEFINANCE(C1208,""changepct"")"),1.28)</f>
        <v>1.28</v>
      </c>
      <c r="R1208" s="9"/>
      <c r="S1208" s="9"/>
      <c r="T1208" s="9"/>
      <c r="U1208" s="9"/>
      <c r="V1208" s="9"/>
      <c r="W1208" s="9"/>
    </row>
    <row r="1209" spans="1:23" ht="14.4">
      <c r="A1209" s="3">
        <f>LOOKUP(D1209,'AMFI DATA_2023H1'!B:C,'AMFI DATA_2023H1'!C:C)</f>
        <v>865</v>
      </c>
      <c r="B1209" s="4" t="s">
        <v>2348</v>
      </c>
      <c r="C1209" s="4" t="s">
        <v>2349</v>
      </c>
      <c r="D1209" s="5" t="s">
        <v>2350</v>
      </c>
      <c r="E1209" s="5">
        <f>LOOKUP(D1209,'AMFI DATA_2023H1'!B:D,'AMFI DATA_2023H1'!D:D)</f>
        <v>1630.42</v>
      </c>
      <c r="F1209" s="7">
        <f t="shared" si="4"/>
        <v>1.2534070975576843</v>
      </c>
      <c r="G1209" s="8">
        <v>3674</v>
      </c>
      <c r="H1209" s="8">
        <v>3620</v>
      </c>
      <c r="I1209" s="8">
        <v>3682</v>
      </c>
      <c r="J1209" s="8">
        <v>3602</v>
      </c>
      <c r="K1209" s="8">
        <v>3632</v>
      </c>
      <c r="L1209" s="8">
        <v>3524</v>
      </c>
      <c r="M1209" s="8"/>
      <c r="N1209" s="8"/>
      <c r="O1209" s="8"/>
      <c r="P1209" s="8"/>
      <c r="Q1209" s="9">
        <f ca="1">IFERROR(__xludf.DUMMYFUNCTION("GOOGLEFINANCE(C1209,""changepct"")"),1.4)</f>
        <v>1.4</v>
      </c>
      <c r="R1209" s="8"/>
      <c r="S1209" s="8"/>
      <c r="T1209" s="8"/>
      <c r="U1209" s="8"/>
      <c r="V1209" s="8"/>
      <c r="W1209" s="8"/>
    </row>
    <row r="1210" spans="1:23" ht="14.4">
      <c r="A1210" s="3">
        <f>LOOKUP(D1210,'AMFI DATA_2023H1'!B:C,'AMFI DATA_2023H1'!C:C)</f>
        <v>1491</v>
      </c>
      <c r="B1210" s="4" t="s">
        <v>4103</v>
      </c>
      <c r="C1210" s="4" t="s">
        <v>4104</v>
      </c>
      <c r="D1210" s="5" t="s">
        <v>4105</v>
      </c>
      <c r="E1210" s="5">
        <f>LOOKUP(D1210,'AMFI DATA_2023H1'!B:D,'AMFI DATA_2023H1'!D:D)</f>
        <v>351.47</v>
      </c>
      <c r="F1210" s="7">
        <f t="shared" si="4"/>
        <v>0.78678123310666614</v>
      </c>
      <c r="G1210" s="9">
        <v>628</v>
      </c>
      <c r="H1210" s="9">
        <v>525</v>
      </c>
      <c r="I1210" s="9">
        <v>525</v>
      </c>
      <c r="J1210" s="9">
        <v>542</v>
      </c>
      <c r="K1210" s="9">
        <v>513</v>
      </c>
      <c r="L1210" s="9">
        <v>487</v>
      </c>
      <c r="M1210" s="9"/>
      <c r="N1210" s="9"/>
      <c r="O1210" s="9"/>
      <c r="P1210" s="9"/>
      <c r="Q1210" s="9">
        <f ca="1">IFERROR(__xludf.DUMMYFUNCTION("GOOGLEFINANCE(C1210,""changepct"")"),0.55)</f>
        <v>0.55000000000000004</v>
      </c>
      <c r="R1210" s="9"/>
      <c r="S1210" s="9"/>
      <c r="T1210" s="9"/>
      <c r="U1210" s="9"/>
      <c r="V1210" s="9"/>
      <c r="W1210" s="9"/>
    </row>
    <row r="1211" spans="1:23" ht="14.4">
      <c r="A1211" s="3">
        <f>LOOKUP(D1211,'AMFI DATA_2023H1'!B:C,'AMFI DATA_2023H1'!C:C)</f>
        <v>1162</v>
      </c>
      <c r="B1211" s="4" t="s">
        <v>3737</v>
      </c>
      <c r="C1211" s="4" t="s">
        <v>3738</v>
      </c>
      <c r="D1211" s="5" t="s">
        <v>3739</v>
      </c>
      <c r="E1211" s="5">
        <f>LOOKUP(D1211,'AMFI DATA_2023H1'!B:D,'AMFI DATA_2023H1'!D:D)</f>
        <v>768.62</v>
      </c>
      <c r="F1211" s="7">
        <f t="shared" si="4"/>
        <v>-0.24540084827352915</v>
      </c>
      <c r="G1211" s="9">
        <v>580</v>
      </c>
      <c r="H1211" s="9">
        <v>591</v>
      </c>
      <c r="I1211" s="9">
        <v>580</v>
      </c>
      <c r="J1211" s="9">
        <v>580</v>
      </c>
      <c r="K1211" s="9">
        <v>581</v>
      </c>
      <c r="L1211" s="9">
        <v>581</v>
      </c>
      <c r="M1211" s="9"/>
      <c r="N1211" s="9"/>
      <c r="O1211" s="9"/>
      <c r="P1211" s="9"/>
      <c r="Q1211" s="9">
        <f ca="1">IFERROR(__xludf.DUMMYFUNCTION("GOOGLEFINANCE(C1211,""changepct"")"),0.09)</f>
        <v>0.09</v>
      </c>
      <c r="R1211" s="9"/>
      <c r="S1211" s="9"/>
      <c r="T1211" s="9"/>
      <c r="U1211" s="9"/>
      <c r="V1211" s="9"/>
      <c r="W1211" s="9"/>
    </row>
    <row r="1212" spans="1:23" ht="14.4">
      <c r="A1212" s="3">
        <f>LOOKUP(D1212,'AMFI DATA_2023H1'!B:C,'AMFI DATA_2023H1'!C:C)</f>
        <v>704</v>
      </c>
      <c r="B1212" s="4" t="s">
        <v>2031</v>
      </c>
      <c r="C1212" s="4" t="s">
        <v>2032</v>
      </c>
      <c r="D1212" s="5" t="s">
        <v>2033</v>
      </c>
      <c r="E1212" s="5">
        <f>LOOKUP(D1212,'AMFI DATA_2023H1'!B:D,'AMFI DATA_2023H1'!D:D)</f>
        <v>2554.08</v>
      </c>
      <c r="F1212" s="7">
        <f t="shared" si="4"/>
        <v>1.1068251581782875</v>
      </c>
      <c r="G1212" s="8">
        <v>5381</v>
      </c>
      <c r="H1212" s="8">
        <v>5145</v>
      </c>
      <c r="I1212" s="8">
        <v>5074</v>
      </c>
      <c r="J1212" s="8">
        <v>5106</v>
      </c>
      <c r="K1212" s="8">
        <v>5138</v>
      </c>
      <c r="L1212" s="8">
        <v>4954</v>
      </c>
      <c r="M1212" s="8"/>
      <c r="N1212" s="8"/>
      <c r="O1212" s="8"/>
      <c r="P1212" s="8"/>
      <c r="Q1212" s="9">
        <f ca="1">IFERROR(__xludf.DUMMYFUNCTION("GOOGLEFINANCE(C1212,""changepct"")"),-1.1)</f>
        <v>-1.1000000000000001</v>
      </c>
      <c r="R1212" s="8"/>
      <c r="S1212" s="8"/>
      <c r="T1212" s="8"/>
      <c r="U1212" s="8"/>
      <c r="V1212" s="8"/>
      <c r="W1212" s="8"/>
    </row>
    <row r="1213" spans="1:23" ht="14.4">
      <c r="A1213" s="3">
        <f>LOOKUP(D1213,'AMFI DATA_2023H1'!B:C,'AMFI DATA_2023H1'!C:C)</f>
        <v>704</v>
      </c>
      <c r="B1213" s="4" t="s">
        <v>3971</v>
      </c>
      <c r="C1213" s="4" t="s">
        <v>3972</v>
      </c>
      <c r="D1213" s="5" t="s">
        <v>3973</v>
      </c>
      <c r="E1213" s="5">
        <f>LOOKUP(D1213,'AMFI DATA_2023H1'!B:D,'AMFI DATA_2023H1'!D:D)</f>
        <v>2554.08</v>
      </c>
      <c r="F1213" s="7">
        <f t="shared" si="4"/>
        <v>-0.75881726492513935</v>
      </c>
      <c r="G1213" s="9">
        <v>616</v>
      </c>
      <c r="H1213" s="9">
        <v>607</v>
      </c>
      <c r="I1213" s="9">
        <v>620</v>
      </c>
      <c r="J1213" s="9">
        <v>631</v>
      </c>
      <c r="K1213" s="9">
        <v>634</v>
      </c>
      <c r="L1213" s="9">
        <v>638</v>
      </c>
      <c r="M1213" s="9"/>
      <c r="N1213" s="9"/>
      <c r="O1213" s="9"/>
      <c r="P1213" s="9"/>
      <c r="Q1213" s="9">
        <f ca="1">IFERROR(__xludf.DUMMYFUNCTION("GOOGLEFINANCE(C1213,""changepct"")"),0.46)</f>
        <v>0.46</v>
      </c>
      <c r="R1213" s="9"/>
      <c r="S1213" s="9"/>
      <c r="T1213" s="9"/>
      <c r="U1213" s="9"/>
      <c r="V1213" s="9"/>
      <c r="W1213" s="9"/>
    </row>
    <row r="1214" spans="1:23" ht="14.4">
      <c r="A1214" s="3">
        <f>LOOKUP(D1214,'AMFI DATA_2023H1'!B:C,'AMFI DATA_2023H1'!C:C)</f>
        <v>493</v>
      </c>
      <c r="B1214" s="4" t="s">
        <v>1839</v>
      </c>
      <c r="C1214" s="4" t="s">
        <v>1840</v>
      </c>
      <c r="D1214" s="5" t="s">
        <v>1841</v>
      </c>
      <c r="E1214" s="5">
        <f>LOOKUP(D1214,'AMFI DATA_2023H1'!B:D,'AMFI DATA_2023H1'!D:D)</f>
        <v>5335.74</v>
      </c>
      <c r="F1214" s="7">
        <f t="shared" si="4"/>
        <v>-8.0352490938463972E-2</v>
      </c>
      <c r="G1214" s="8">
        <v>4907</v>
      </c>
      <c r="H1214" s="8">
        <v>4838</v>
      </c>
      <c r="I1214" s="8">
        <v>4805</v>
      </c>
      <c r="J1214" s="8">
        <v>4890</v>
      </c>
      <c r="K1214" s="8">
        <v>4907</v>
      </c>
      <c r="L1214" s="8">
        <v>4928</v>
      </c>
      <c r="M1214" s="8"/>
      <c r="N1214" s="8"/>
      <c r="O1214" s="8"/>
      <c r="P1214" s="8"/>
      <c r="Q1214" s="9">
        <f ca="1">IFERROR(__xludf.DUMMYFUNCTION("GOOGLEFINANCE(C1214,""changepct"")"),2.36)</f>
        <v>2.36</v>
      </c>
      <c r="R1214" s="8"/>
      <c r="S1214" s="8"/>
      <c r="T1214" s="8"/>
      <c r="U1214" s="8"/>
      <c r="V1214" s="8"/>
      <c r="W1214" s="8"/>
    </row>
    <row r="1215" spans="1:23" ht="14.4">
      <c r="A1215" s="3">
        <f>LOOKUP(D1215,'AMFI DATA_2023H1'!B:C,'AMFI DATA_2023H1'!C:C)</f>
        <v>1190</v>
      </c>
      <c r="B1215" s="4" t="s">
        <v>2999</v>
      </c>
      <c r="C1215" s="4" t="s">
        <v>3000</v>
      </c>
      <c r="D1215" s="5" t="s">
        <v>3001</v>
      </c>
      <c r="E1215" s="5">
        <f>LOOKUP(D1215,'AMFI DATA_2023H1'!B:D,'AMFI DATA_2023H1'!D:D)</f>
        <v>709.52</v>
      </c>
      <c r="F1215" s="7">
        <f t="shared" si="4"/>
        <v>2.1598827376254368</v>
      </c>
      <c r="G1215" s="8">
        <v>2242</v>
      </c>
      <c r="H1215" s="8">
        <v>2139</v>
      </c>
      <c r="I1215" s="8">
        <v>2103</v>
      </c>
      <c r="J1215" s="8">
        <v>2132</v>
      </c>
      <c r="K1215" s="8">
        <v>2153</v>
      </c>
      <c r="L1215" s="8">
        <v>2192</v>
      </c>
      <c r="M1215" s="8"/>
      <c r="N1215" s="8"/>
      <c r="O1215" s="8"/>
      <c r="P1215" s="8"/>
      <c r="Q1215" s="9">
        <f ca="1">IFERROR(__xludf.DUMMYFUNCTION("GOOGLEFINANCE(C1215,""changepct"")"),-0.22)</f>
        <v>-0.22</v>
      </c>
      <c r="R1215" s="8"/>
      <c r="S1215" s="8"/>
      <c r="T1215" s="8"/>
      <c r="U1215" s="8"/>
      <c r="V1215" s="8"/>
      <c r="W1215" s="8"/>
    </row>
    <row r="1216" spans="1:23" ht="14.4">
      <c r="A1216" s="3">
        <f>LOOKUP(D1216,'AMFI DATA_2023H1'!B:C,'AMFI DATA_2023H1'!C:C)</f>
        <v>1097</v>
      </c>
      <c r="B1216" s="4" t="s">
        <v>3422</v>
      </c>
      <c r="C1216" s="4" t="s">
        <v>3423</v>
      </c>
      <c r="D1216" s="5" t="s">
        <v>3424</v>
      </c>
      <c r="E1216" s="5">
        <f>LOOKUP(D1216,'AMFI DATA_2023H1'!B:D,'AMFI DATA_2023H1'!D:D)</f>
        <v>878.09</v>
      </c>
      <c r="F1216" s="7">
        <f t="shared" si="4"/>
        <v>4.2034415606600595E-2</v>
      </c>
      <c r="G1216" s="9">
        <v>915</v>
      </c>
      <c r="H1216" s="9">
        <v>918</v>
      </c>
      <c r="I1216" s="9">
        <v>920</v>
      </c>
      <c r="J1216" s="9">
        <v>929</v>
      </c>
      <c r="K1216" s="9">
        <v>916</v>
      </c>
      <c r="L1216" s="9">
        <v>910</v>
      </c>
      <c r="M1216" s="9"/>
      <c r="N1216" s="9"/>
      <c r="O1216" s="9"/>
      <c r="P1216" s="9"/>
      <c r="Q1216" s="9">
        <f ca="1">IFERROR(__xludf.DUMMYFUNCTION("GOOGLEFINANCE(C1216,""changepct"")"),14.26)</f>
        <v>14.26</v>
      </c>
      <c r="R1216" s="9"/>
      <c r="S1216" s="9"/>
      <c r="T1216" s="9"/>
      <c r="U1216" s="9"/>
      <c r="V1216" s="9"/>
      <c r="W1216" s="9"/>
    </row>
    <row r="1217" spans="1:23" ht="14.4">
      <c r="A1217" s="3">
        <f>LOOKUP(D1217,'AMFI DATA_2023H1'!B:C,'AMFI DATA_2023H1'!C:C)</f>
        <v>2524</v>
      </c>
      <c r="B1217" s="4" t="s">
        <v>5344</v>
      </c>
      <c r="C1217" s="4" t="s">
        <v>5345</v>
      </c>
      <c r="D1217" s="5" t="s">
        <v>5346</v>
      </c>
      <c r="E1217" s="5">
        <f>LOOKUP(D1217,'AMFI DATA_2023H1'!B:D,'AMFI DATA_2023H1'!D:D)</f>
        <v>60.82</v>
      </c>
      <c r="F1217" s="7">
        <f t="shared" si="4"/>
        <v>0.36468267017428468</v>
      </c>
      <c r="G1217" s="9">
        <v>83</v>
      </c>
      <c r="H1217" s="9">
        <v>83.9</v>
      </c>
      <c r="I1217" s="9">
        <v>82.1</v>
      </c>
      <c r="J1217" s="9">
        <v>86.2</v>
      </c>
      <c r="K1217" s="9">
        <v>84.5</v>
      </c>
      <c r="L1217" s="9">
        <v>78.599999999999994</v>
      </c>
      <c r="M1217" s="9"/>
      <c r="N1217" s="9"/>
      <c r="O1217" s="9"/>
      <c r="P1217" s="9"/>
      <c r="Q1217" s="9">
        <f ca="1">IFERROR(__xludf.DUMMYFUNCTION("GOOGLEFINANCE(C1217,""changepct"")"),5.98)</f>
        <v>5.98</v>
      </c>
      <c r="R1217" s="9"/>
      <c r="S1217" s="9"/>
      <c r="T1217" s="9"/>
      <c r="U1217" s="9"/>
      <c r="V1217" s="9"/>
      <c r="W1217" s="9"/>
    </row>
    <row r="1218" spans="1:23" ht="14.4">
      <c r="A1218" s="3">
        <f>LOOKUP(D1218,'AMFI DATA_2023H1'!B:C,'AMFI DATA_2023H1'!C:C)</f>
        <v>971</v>
      </c>
      <c r="B1218" s="4" t="s">
        <v>3197</v>
      </c>
      <c r="C1218" s="4" t="s">
        <v>3198</v>
      </c>
      <c r="D1218" s="5" t="s">
        <v>3199</v>
      </c>
      <c r="E1218" s="5">
        <f>LOOKUP(D1218,'AMFI DATA_2023H1'!B:D,'AMFI DATA_2023H1'!D:D)</f>
        <v>1259.77</v>
      </c>
      <c r="F1218" s="7">
        <f t="shared" si="4"/>
        <v>8.7500099224461669E-2</v>
      </c>
      <c r="G1218" s="8">
        <v>1370</v>
      </c>
      <c r="H1218" s="8">
        <v>1336</v>
      </c>
      <c r="I1218" s="8">
        <v>1318</v>
      </c>
      <c r="J1218" s="8">
        <v>1306</v>
      </c>
      <c r="K1218" s="8">
        <v>1185</v>
      </c>
      <c r="L1218" s="8">
        <v>1164</v>
      </c>
      <c r="M1218" s="8"/>
      <c r="N1218" s="8"/>
      <c r="O1218" s="8"/>
      <c r="P1218" s="8"/>
      <c r="Q1218" s="9">
        <f ca="1">IFERROR(__xludf.DUMMYFUNCTION("GOOGLEFINANCE(C1218,""changepct"")"),2.08)</f>
        <v>2.08</v>
      </c>
      <c r="R1218" s="8"/>
      <c r="S1218" s="8"/>
      <c r="T1218" s="8"/>
      <c r="U1218" s="8"/>
      <c r="V1218" s="8"/>
      <c r="W1218" s="8"/>
    </row>
    <row r="1219" spans="1:23" ht="14.4">
      <c r="A1219" s="3">
        <f>LOOKUP(D1219,'AMFI DATA_2023H1'!B:C,'AMFI DATA_2023H1'!C:C)</f>
        <v>1174</v>
      </c>
      <c r="B1219" s="4" t="s">
        <v>3575</v>
      </c>
      <c r="C1219" s="4" t="s">
        <v>3576</v>
      </c>
      <c r="D1219" s="5" t="s">
        <v>3577</v>
      </c>
      <c r="E1219" s="5">
        <f>LOOKUP(D1219,'AMFI DATA_2023H1'!B:D,'AMFI DATA_2023H1'!D:D)</f>
        <v>734.8</v>
      </c>
      <c r="F1219" s="7">
        <f t="shared" si="4"/>
        <v>0.13636363636363646</v>
      </c>
      <c r="G1219" s="9">
        <v>835</v>
      </c>
      <c r="H1219" s="9">
        <v>834</v>
      </c>
      <c r="I1219" s="9">
        <v>824</v>
      </c>
      <c r="J1219" s="9">
        <v>789</v>
      </c>
      <c r="K1219" s="9">
        <v>791</v>
      </c>
      <c r="L1219" s="9">
        <v>787</v>
      </c>
      <c r="M1219" s="9"/>
      <c r="N1219" s="9"/>
      <c r="O1219" s="9"/>
      <c r="P1219" s="9"/>
      <c r="Q1219" s="9">
        <f ca="1">IFERROR(__xludf.DUMMYFUNCTION("GOOGLEFINANCE(C1219,""changepct"")"),2.81)</f>
        <v>2.81</v>
      </c>
      <c r="R1219" s="9"/>
      <c r="S1219" s="9"/>
      <c r="T1219" s="9"/>
      <c r="U1219" s="9"/>
      <c r="V1219" s="9"/>
      <c r="W1219" s="9"/>
    </row>
    <row r="1220" spans="1:23" ht="14.4">
      <c r="A1220" s="3">
        <f>LOOKUP(D1220,'AMFI DATA_2023H1'!B:C,'AMFI DATA_2023H1'!C:C)</f>
        <v>906</v>
      </c>
      <c r="B1220" s="4" t="s">
        <v>2846</v>
      </c>
      <c r="C1220" s="4" t="s">
        <v>2847</v>
      </c>
      <c r="D1220" s="5" t="s">
        <v>2848</v>
      </c>
      <c r="E1220" s="5">
        <f>LOOKUP(D1220,'AMFI DATA_2023H1'!B:D,'AMFI DATA_2023H1'!D:D)</f>
        <v>1453.9</v>
      </c>
      <c r="F1220" s="7">
        <f t="shared" si="4"/>
        <v>0.48497145608363712</v>
      </c>
      <c r="G1220" s="8">
        <v>2159</v>
      </c>
      <c r="H1220" s="8">
        <v>2176</v>
      </c>
      <c r="I1220" s="8">
        <v>2174</v>
      </c>
      <c r="J1220" s="8">
        <v>2157</v>
      </c>
      <c r="K1220" s="8">
        <v>2213</v>
      </c>
      <c r="L1220" s="8">
        <v>2181</v>
      </c>
      <c r="M1220" s="8"/>
      <c r="N1220" s="8"/>
      <c r="O1220" s="8"/>
      <c r="P1220" s="8"/>
      <c r="Q1220" s="9">
        <f ca="1">IFERROR(__xludf.DUMMYFUNCTION("GOOGLEFINANCE(C1220,""changepct"")"),2.4)</f>
        <v>2.4</v>
      </c>
      <c r="R1220" s="8"/>
      <c r="S1220" s="8"/>
      <c r="T1220" s="8"/>
      <c r="U1220" s="8"/>
      <c r="V1220" s="8"/>
      <c r="W1220" s="8"/>
    </row>
    <row r="1221" spans="1:23" ht="14.4">
      <c r="A1221" s="3">
        <f>LOOKUP(D1221,'AMFI DATA_2023H1'!B:C,'AMFI DATA_2023H1'!C:C)</f>
        <v>3270</v>
      </c>
      <c r="B1221" s="4" t="s">
        <v>5671</v>
      </c>
      <c r="C1221" s="4" t="s">
        <v>5672</v>
      </c>
      <c r="D1221" s="5" t="s">
        <v>5673</v>
      </c>
      <c r="E1221" s="5">
        <f>LOOKUP(D1221,'AMFI DATA_2023H1'!B:D,'AMFI DATA_2023H1'!D:D)</f>
        <v>20.53</v>
      </c>
      <c r="F1221" s="7">
        <f t="shared" si="4"/>
        <v>0.37847053093034577</v>
      </c>
      <c r="G1221" s="9">
        <v>28.3</v>
      </c>
      <c r="H1221" s="9">
        <v>27.9</v>
      </c>
      <c r="I1221" s="9">
        <v>27.4</v>
      </c>
      <c r="J1221" s="9">
        <v>28.3</v>
      </c>
      <c r="K1221" s="9">
        <v>28.2</v>
      </c>
      <c r="L1221" s="9">
        <v>29.3</v>
      </c>
      <c r="M1221" s="9"/>
      <c r="N1221" s="9"/>
      <c r="O1221" s="9"/>
      <c r="P1221" s="9"/>
      <c r="Q1221" s="9">
        <f ca="1">IFERROR(__xludf.DUMMYFUNCTION("GOOGLEFINANCE(C1221,""changepct"")"),3.14)</f>
        <v>3.14</v>
      </c>
      <c r="R1221" s="9"/>
      <c r="S1221" s="9"/>
      <c r="T1221" s="9"/>
      <c r="U1221" s="9"/>
      <c r="V1221" s="9"/>
      <c r="W1221" s="9"/>
    </row>
    <row r="1222" spans="1:23" ht="14.4">
      <c r="A1222" s="3">
        <f>LOOKUP(D1222,'AMFI DATA_2023H1'!B:C,'AMFI DATA_2023H1'!C:C)</f>
        <v>2034</v>
      </c>
      <c r="B1222" s="4" t="s">
        <v>5105</v>
      </c>
      <c r="C1222" s="4" t="s">
        <v>5106</v>
      </c>
      <c r="D1222" s="5" t="s">
        <v>5107</v>
      </c>
      <c r="E1222" s="5">
        <f>LOOKUP(D1222,'AMFI DATA_2023H1'!B:D,'AMFI DATA_2023H1'!D:D)</f>
        <v>133.41999999999999</v>
      </c>
      <c r="F1222" s="7">
        <f t="shared" si="4"/>
        <v>-2.5633338330085298E-2</v>
      </c>
      <c r="G1222" s="9">
        <v>130</v>
      </c>
      <c r="H1222" s="9">
        <v>123</v>
      </c>
      <c r="I1222" s="9">
        <v>125</v>
      </c>
      <c r="J1222" s="9">
        <v>127</v>
      </c>
      <c r="K1222" s="9">
        <v>128</v>
      </c>
      <c r="L1222" s="9">
        <v>129</v>
      </c>
      <c r="M1222" s="9"/>
      <c r="N1222" s="9"/>
      <c r="O1222" s="9"/>
      <c r="P1222" s="9"/>
      <c r="Q1222" s="9">
        <f ca="1">IFERROR(__xludf.DUMMYFUNCTION("GOOGLEFINANCE(C1222,""changepct"")"),0.23)</f>
        <v>0.23</v>
      </c>
      <c r="R1222" s="9"/>
      <c r="S1222" s="9"/>
      <c r="T1222" s="9"/>
      <c r="U1222" s="9"/>
      <c r="V1222" s="9"/>
      <c r="W1222" s="9"/>
    </row>
    <row r="1223" spans="1:23" ht="14.4">
      <c r="A1223" s="3">
        <f>LOOKUP(D1223,'AMFI DATA_2023H1'!B:C,'AMFI DATA_2023H1'!C:C)</f>
        <v>3376</v>
      </c>
      <c r="B1223" s="4" t="s">
        <v>5707</v>
      </c>
      <c r="C1223" s="4" t="s">
        <v>5708</v>
      </c>
      <c r="D1223" s="5" t="s">
        <v>5709</v>
      </c>
      <c r="E1223" s="5">
        <f>LOOKUP(D1223,'AMFI DATA_2023H1'!B:D,'AMFI DATA_2023H1'!D:D)</f>
        <v>17.5</v>
      </c>
      <c r="F1223" s="7">
        <f t="shared" si="4"/>
        <v>4.5714285714285818E-2</v>
      </c>
      <c r="G1223" s="9">
        <v>18.3</v>
      </c>
      <c r="H1223" s="9">
        <v>18.8</v>
      </c>
      <c r="I1223" s="9">
        <v>18.399999999999999</v>
      </c>
      <c r="J1223" s="9">
        <v>18.600000000000001</v>
      </c>
      <c r="K1223" s="9">
        <v>19.399999999999999</v>
      </c>
      <c r="L1223" s="9">
        <v>20.100000000000001</v>
      </c>
      <c r="M1223" s="9"/>
      <c r="N1223" s="9"/>
      <c r="O1223" s="9"/>
      <c r="P1223" s="9"/>
      <c r="Q1223" s="9">
        <f ca="1">IFERROR(__xludf.DUMMYFUNCTION("GOOGLEFINANCE(C1223,""changepct"")"),0.72)</f>
        <v>0.72</v>
      </c>
      <c r="R1223" s="9"/>
      <c r="S1223" s="9"/>
      <c r="T1223" s="9"/>
      <c r="U1223" s="9"/>
      <c r="V1223" s="9"/>
      <c r="W1223" s="9"/>
    </row>
    <row r="1224" spans="1:23" ht="14.4">
      <c r="A1224" s="3">
        <f>LOOKUP(D1224,'AMFI DATA_2023H1'!B:C,'AMFI DATA_2023H1'!C:C)</f>
        <v>1564</v>
      </c>
      <c r="B1224" s="4" t="s">
        <v>3959</v>
      </c>
      <c r="C1224" s="4" t="s">
        <v>3960</v>
      </c>
      <c r="D1224" s="5" t="s">
        <v>3961</v>
      </c>
      <c r="E1224" s="5">
        <f>LOOKUP(D1224,'AMFI DATA_2023H1'!B:D,'AMFI DATA_2023H1'!D:D)</f>
        <v>307.44</v>
      </c>
      <c r="F1224" s="7">
        <f t="shared" si="4"/>
        <v>0.90281030444964872</v>
      </c>
      <c r="G1224" s="9">
        <v>585</v>
      </c>
      <c r="H1224" s="9">
        <v>589</v>
      </c>
      <c r="I1224" s="9">
        <v>589</v>
      </c>
      <c r="J1224" s="9">
        <v>568</v>
      </c>
      <c r="K1224" s="9">
        <v>578</v>
      </c>
      <c r="L1224" s="9">
        <v>558</v>
      </c>
      <c r="M1224" s="9"/>
      <c r="N1224" s="9"/>
      <c r="O1224" s="9"/>
      <c r="P1224" s="9"/>
      <c r="Q1224" s="9" t="str">
        <f ca="1">IFERROR(__xludf.DUMMYFUNCTION("GOOGLEFINANCE(C1224,""changepct"")"),"#N/A")</f>
        <v>#N/A</v>
      </c>
      <c r="R1224" s="9"/>
      <c r="S1224" s="9"/>
      <c r="T1224" s="9"/>
      <c r="U1224" s="9"/>
      <c r="V1224" s="9"/>
      <c r="W1224" s="9"/>
    </row>
    <row r="1225" spans="1:23" ht="14.4">
      <c r="A1225" s="3">
        <f>LOOKUP(D1225,'AMFI DATA_2023H1'!B:C,'AMFI DATA_2023H1'!C:C)</f>
        <v>1377</v>
      </c>
      <c r="B1225" s="4" t="s">
        <v>4115</v>
      </c>
      <c r="C1225" s="4" t="s">
        <v>4116</v>
      </c>
      <c r="D1225" s="5" t="s">
        <v>4117</v>
      </c>
      <c r="E1225" s="5">
        <f>LOOKUP(D1225,'AMFI DATA_2023H1'!B:D,'AMFI DATA_2023H1'!D:D)</f>
        <v>432.22</v>
      </c>
      <c r="F1225" s="7">
        <f t="shared" si="4"/>
        <v>5.5018277728934306E-2</v>
      </c>
      <c r="G1225" s="9">
        <v>456</v>
      </c>
      <c r="H1225" s="9">
        <v>457</v>
      </c>
      <c r="I1225" s="9">
        <v>445</v>
      </c>
      <c r="J1225" s="9">
        <v>447</v>
      </c>
      <c r="K1225" s="9">
        <v>450</v>
      </c>
      <c r="L1225" s="9">
        <v>450</v>
      </c>
      <c r="M1225" s="9"/>
      <c r="N1225" s="9"/>
      <c r="O1225" s="9"/>
      <c r="P1225" s="9"/>
      <c r="Q1225" s="9">
        <f ca="1">IFERROR(__xludf.DUMMYFUNCTION("GOOGLEFINANCE(C1225,""changepct"")"),6.93)</f>
        <v>6.93</v>
      </c>
      <c r="R1225" s="9"/>
      <c r="S1225" s="9"/>
      <c r="T1225" s="9"/>
      <c r="U1225" s="9"/>
      <c r="V1225" s="9"/>
      <c r="W1225" s="9"/>
    </row>
    <row r="1226" spans="1:23" ht="14.4">
      <c r="A1226" s="3">
        <f>LOOKUP(D1226,'AMFI DATA_2023H1'!B:C,'AMFI DATA_2023H1'!C:C)</f>
        <v>1267</v>
      </c>
      <c r="B1226" s="4" t="s">
        <v>3767</v>
      </c>
      <c r="C1226" s="4" t="s">
        <v>3768</v>
      </c>
      <c r="D1226" s="5" t="s">
        <v>3769</v>
      </c>
      <c r="E1226" s="5">
        <f>LOOKUP(D1226,'AMFI DATA_2023H1'!B:D,'AMFI DATA_2023H1'!D:D)</f>
        <v>570.66</v>
      </c>
      <c r="F1226" s="7">
        <f t="shared" si="4"/>
        <v>0.20562156099954443</v>
      </c>
      <c r="G1226" s="9">
        <v>688</v>
      </c>
      <c r="H1226" s="9">
        <v>670</v>
      </c>
      <c r="I1226" s="9">
        <v>682</v>
      </c>
      <c r="J1226" s="9">
        <v>673</v>
      </c>
      <c r="K1226" s="9">
        <v>665</v>
      </c>
      <c r="L1226" s="9">
        <v>648</v>
      </c>
      <c r="M1226" s="9"/>
      <c r="N1226" s="9"/>
      <c r="O1226" s="9"/>
      <c r="P1226" s="9"/>
      <c r="Q1226" s="9">
        <f ca="1">IFERROR(__xludf.DUMMYFUNCTION("GOOGLEFINANCE(C1226,""changepct"")"),5.48)</f>
        <v>5.48</v>
      </c>
      <c r="R1226" s="9"/>
      <c r="S1226" s="9"/>
      <c r="T1226" s="9"/>
      <c r="U1226" s="9"/>
      <c r="V1226" s="9"/>
      <c r="W1226" s="9"/>
    </row>
    <row r="1227" spans="1:23" ht="14.4">
      <c r="A1227" s="3">
        <f>LOOKUP(D1227,'AMFI DATA_2023H1'!B:C,'AMFI DATA_2023H1'!C:C)</f>
        <v>117</v>
      </c>
      <c r="B1227" s="4" t="s">
        <v>477</v>
      </c>
      <c r="C1227" s="4" t="s">
        <v>478</v>
      </c>
      <c r="D1227" s="5" t="s">
        <v>479</v>
      </c>
      <c r="E1227" s="5">
        <f>LOOKUP(D1227,'AMFI DATA_2023H1'!B:D,'AMFI DATA_2023H1'!D:D)</f>
        <v>43732.07</v>
      </c>
      <c r="F1227" s="7">
        <f t="shared" si="4"/>
        <v>-1.5848095002134577E-2</v>
      </c>
      <c r="G1227" s="8">
        <v>43039</v>
      </c>
      <c r="H1227" s="8">
        <v>42944</v>
      </c>
      <c r="I1227" s="8">
        <v>42682</v>
      </c>
      <c r="J1227" s="8">
        <v>42344</v>
      </c>
      <c r="K1227" s="8">
        <v>41927</v>
      </c>
      <c r="L1227" s="8">
        <v>41938</v>
      </c>
      <c r="M1227" s="8"/>
      <c r="N1227" s="8"/>
      <c r="O1227" s="8"/>
      <c r="P1227" s="8"/>
      <c r="Q1227" s="9">
        <f ca="1">IFERROR(__xludf.DUMMYFUNCTION("GOOGLEFINANCE(C1227,""changepct"")"),-0.87)</f>
        <v>-0.87</v>
      </c>
      <c r="R1227" s="8"/>
      <c r="S1227" s="8"/>
      <c r="T1227" s="8"/>
      <c r="U1227" s="8"/>
      <c r="V1227" s="8"/>
      <c r="W1227" s="8"/>
    </row>
    <row r="1228" spans="1:23" ht="14.4">
      <c r="A1228" s="3">
        <f>LOOKUP(D1228,'AMFI DATA_2023H1'!B:C,'AMFI DATA_2023H1'!C:C)</f>
        <v>689</v>
      </c>
      <c r="B1228" s="4" t="s">
        <v>2243</v>
      </c>
      <c r="C1228" s="4" t="s">
        <v>2244</v>
      </c>
      <c r="D1228" s="5" t="s">
        <v>2245</v>
      </c>
      <c r="E1228" s="5">
        <f>LOOKUP(D1228,'AMFI DATA_2023H1'!B:D,'AMFI DATA_2023H1'!D:D)</f>
        <v>2642.57</v>
      </c>
      <c r="F1228" s="7">
        <f t="shared" si="4"/>
        <v>0.58027980337323126</v>
      </c>
      <c r="G1228" s="8">
        <v>4176</v>
      </c>
      <c r="H1228" s="8">
        <v>4139</v>
      </c>
      <c r="I1228" s="8">
        <v>4206</v>
      </c>
      <c r="J1228" s="8">
        <v>4174</v>
      </c>
      <c r="K1228" s="8">
        <v>4216</v>
      </c>
      <c r="L1228" s="8">
        <v>4302</v>
      </c>
      <c r="M1228" s="8"/>
      <c r="N1228" s="8"/>
      <c r="O1228" s="8"/>
      <c r="P1228" s="8"/>
      <c r="Q1228" s="9">
        <f ca="1">IFERROR(__xludf.DUMMYFUNCTION("GOOGLEFINANCE(C1228,""changepct"")"),2.76)</f>
        <v>2.76</v>
      </c>
      <c r="R1228" s="8"/>
      <c r="S1228" s="8"/>
      <c r="T1228" s="8"/>
      <c r="U1228" s="8"/>
      <c r="V1228" s="8"/>
      <c r="W1228" s="8"/>
    </row>
    <row r="1229" spans="1:23" ht="14.4">
      <c r="A1229" s="3">
        <f>LOOKUP(D1229,'AMFI DATA_2023H1'!B:C,'AMFI DATA_2023H1'!C:C)</f>
        <v>689</v>
      </c>
      <c r="B1229" s="4" t="s">
        <v>3590</v>
      </c>
      <c r="C1229" s="4" t="s">
        <v>3591</v>
      </c>
      <c r="D1229" s="5" t="s">
        <v>3592</v>
      </c>
      <c r="E1229" s="5">
        <f>LOOKUP(D1229,'AMFI DATA_2023H1'!B:D,'AMFI DATA_2023H1'!D:D)</f>
        <v>2642.57</v>
      </c>
      <c r="F1229" s="7">
        <f t="shared" si="4"/>
        <v>-0.64504251543005486</v>
      </c>
      <c r="G1229" s="9">
        <v>938</v>
      </c>
      <c r="H1229" s="9">
        <v>858</v>
      </c>
      <c r="I1229" s="9">
        <v>868</v>
      </c>
      <c r="J1229" s="9">
        <v>881</v>
      </c>
      <c r="K1229" s="9">
        <v>899</v>
      </c>
      <c r="L1229" s="9">
        <v>911</v>
      </c>
      <c r="M1229" s="9"/>
      <c r="N1229" s="9"/>
      <c r="O1229" s="9"/>
      <c r="P1229" s="9"/>
      <c r="Q1229" s="9">
        <f ca="1">IFERROR(__xludf.DUMMYFUNCTION("GOOGLEFINANCE(C1229,""changepct"")"),18.29)</f>
        <v>18.29</v>
      </c>
      <c r="R1229" s="9"/>
      <c r="S1229" s="9"/>
      <c r="T1229" s="9"/>
      <c r="U1229" s="9"/>
      <c r="V1229" s="9"/>
      <c r="W1229" s="9"/>
    </row>
    <row r="1230" spans="1:23" ht="14.4">
      <c r="A1230" s="3">
        <f>LOOKUP(D1230,'AMFI DATA_2023H1'!B:C,'AMFI DATA_2023H1'!C:C)</f>
        <v>2160</v>
      </c>
      <c r="B1230" s="4" t="s">
        <v>5123</v>
      </c>
      <c r="C1230" s="4" t="s">
        <v>5124</v>
      </c>
      <c r="D1230" s="5" t="s">
        <v>5125</v>
      </c>
      <c r="E1230" s="5">
        <f>LOOKUP(D1230,'AMFI DATA_2023H1'!B:D,'AMFI DATA_2023H1'!D:D)</f>
        <v>111.04</v>
      </c>
      <c r="F1230" s="7">
        <f t="shared" si="4"/>
        <v>7.1685878962535865E-2</v>
      </c>
      <c r="G1230" s="9">
        <v>119</v>
      </c>
      <c r="H1230" s="9">
        <v>118</v>
      </c>
      <c r="I1230" s="9">
        <v>119</v>
      </c>
      <c r="J1230" s="9">
        <v>118</v>
      </c>
      <c r="K1230" s="9">
        <v>118</v>
      </c>
      <c r="L1230" s="9">
        <v>119</v>
      </c>
      <c r="M1230" s="9"/>
      <c r="N1230" s="9"/>
      <c r="O1230" s="9"/>
      <c r="P1230" s="9"/>
      <c r="Q1230" s="9">
        <f ca="1">IFERROR(__xludf.DUMMYFUNCTION("GOOGLEFINANCE(C1230,""changepct"")"),-0.38)</f>
        <v>-0.38</v>
      </c>
      <c r="R1230" s="9"/>
      <c r="S1230" s="9"/>
      <c r="T1230" s="9"/>
      <c r="U1230" s="9"/>
      <c r="V1230" s="9"/>
      <c r="W1230" s="9"/>
    </row>
    <row r="1231" spans="1:23" ht="14.4">
      <c r="A1231" s="3">
        <f>LOOKUP(D1231,'AMFI DATA_2023H1'!B:C,'AMFI DATA_2023H1'!C:C)</f>
        <v>1857</v>
      </c>
      <c r="B1231" s="4" t="s">
        <v>4709</v>
      </c>
      <c r="C1231" s="4" t="s">
        <v>4710</v>
      </c>
      <c r="D1231" s="5" t="s">
        <v>4711</v>
      </c>
      <c r="E1231" s="5">
        <f>LOOKUP(D1231,'AMFI DATA_2023H1'!B:D,'AMFI DATA_2023H1'!D:D)</f>
        <v>178.05</v>
      </c>
      <c r="F1231" s="7">
        <f t="shared" si="4"/>
        <v>0.28053917438921649</v>
      </c>
      <c r="G1231" s="9">
        <v>228</v>
      </c>
      <c r="H1231" s="9">
        <v>230</v>
      </c>
      <c r="I1231" s="9">
        <v>222</v>
      </c>
      <c r="J1231" s="9">
        <v>224</v>
      </c>
      <c r="K1231" s="9">
        <v>208</v>
      </c>
      <c r="L1231" s="9">
        <v>217</v>
      </c>
      <c r="M1231" s="9"/>
      <c r="N1231" s="9"/>
      <c r="O1231" s="9"/>
      <c r="P1231" s="9"/>
      <c r="Q1231" s="9">
        <f ca="1">IFERROR(__xludf.DUMMYFUNCTION("GOOGLEFINANCE(C1231,""changepct"")"),1.05)</f>
        <v>1.05</v>
      </c>
      <c r="R1231" s="9"/>
      <c r="S1231" s="9"/>
      <c r="T1231" s="9"/>
      <c r="U1231" s="9"/>
      <c r="V1231" s="9"/>
      <c r="W1231" s="9"/>
    </row>
    <row r="1232" spans="1:23" ht="14.4">
      <c r="A1232" s="3">
        <f>LOOKUP(D1232,'AMFI DATA_2023H1'!B:C,'AMFI DATA_2023H1'!C:C)</f>
        <v>1169</v>
      </c>
      <c r="B1232" s="4" t="s">
        <v>3464</v>
      </c>
      <c r="C1232" s="4" t="s">
        <v>3465</v>
      </c>
      <c r="D1232" s="5" t="s">
        <v>3466</v>
      </c>
      <c r="E1232" s="5">
        <f>LOOKUP(D1232,'AMFI DATA_2023H1'!B:D,'AMFI DATA_2023H1'!D:D)</f>
        <v>756.06</v>
      </c>
      <c r="F1232" s="7">
        <f t="shared" si="4"/>
        <v>0.39803719281538519</v>
      </c>
      <c r="G1232" s="9">
        <v>1057</v>
      </c>
      <c r="H1232" s="9">
        <v>1029</v>
      </c>
      <c r="I1232" s="9">
        <v>1033</v>
      </c>
      <c r="J1232" s="9">
        <v>1035</v>
      </c>
      <c r="K1232" s="9">
        <v>1056</v>
      </c>
      <c r="L1232" s="9">
        <v>973</v>
      </c>
      <c r="M1232" s="9"/>
      <c r="N1232" s="9"/>
      <c r="O1232" s="9"/>
      <c r="P1232" s="9"/>
      <c r="Q1232" s="9">
        <f ca="1">IFERROR(__xludf.DUMMYFUNCTION("GOOGLEFINANCE(C1232,""changepct"")"),-2.96)</f>
        <v>-2.96</v>
      </c>
      <c r="R1232" s="9"/>
      <c r="S1232" s="9"/>
      <c r="T1232" s="9"/>
      <c r="U1232" s="9"/>
      <c r="V1232" s="9"/>
      <c r="W1232" s="9"/>
    </row>
    <row r="1233" spans="1:23" ht="14.4">
      <c r="A1233" s="3">
        <f>LOOKUP(D1233,'AMFI DATA_2023H1'!B:C,'AMFI DATA_2023H1'!C:C)</f>
        <v>2350</v>
      </c>
      <c r="B1233" s="4" t="s">
        <v>5230</v>
      </c>
      <c r="C1233" s="4" t="s">
        <v>5231</v>
      </c>
      <c r="D1233" s="5" t="s">
        <v>5232</v>
      </c>
      <c r="E1233" s="5">
        <f>LOOKUP(D1233,'AMFI DATA_2023H1'!B:D,'AMFI DATA_2023H1'!D:D)</f>
        <v>78.459999999999994</v>
      </c>
      <c r="F1233" s="7">
        <f t="shared" si="4"/>
        <v>0.24394595972470046</v>
      </c>
      <c r="G1233" s="9">
        <v>97.6</v>
      </c>
      <c r="H1233" s="9">
        <v>96.8</v>
      </c>
      <c r="I1233" s="9">
        <v>93.8</v>
      </c>
      <c r="J1233" s="9">
        <v>97</v>
      </c>
      <c r="K1233" s="9">
        <v>93.6</v>
      </c>
      <c r="L1233" s="9">
        <v>94.3</v>
      </c>
      <c r="M1233" s="9"/>
      <c r="N1233" s="9"/>
      <c r="O1233" s="9"/>
      <c r="P1233" s="9"/>
      <c r="Q1233" s="9">
        <f ca="1">IFERROR(__xludf.DUMMYFUNCTION("GOOGLEFINANCE(C1233,""changepct"")"),6.1)</f>
        <v>6.1</v>
      </c>
      <c r="R1233" s="9"/>
      <c r="S1233" s="9"/>
      <c r="T1233" s="9"/>
      <c r="U1233" s="9"/>
      <c r="V1233" s="9"/>
      <c r="W1233" s="9"/>
    </row>
    <row r="1234" spans="1:23" ht="14.4">
      <c r="A1234" s="3">
        <f>LOOKUP(D1234,'AMFI DATA_2023H1'!B:C,'AMFI DATA_2023H1'!C:C)</f>
        <v>816</v>
      </c>
      <c r="B1234" s="4" t="s">
        <v>2768</v>
      </c>
      <c r="C1234" s="4" t="s">
        <v>2769</v>
      </c>
      <c r="D1234" s="5" t="s">
        <v>2770</v>
      </c>
      <c r="E1234" s="5">
        <f>LOOKUP(D1234,'AMFI DATA_2023H1'!B:D,'AMFI DATA_2023H1'!D:D)</f>
        <v>1859.58</v>
      </c>
      <c r="F1234" s="7">
        <f t="shared" si="4"/>
        <v>0.1007861990341905</v>
      </c>
      <c r="G1234" s="8">
        <v>2047</v>
      </c>
      <c r="H1234" s="8">
        <v>2003</v>
      </c>
      <c r="I1234" s="8">
        <v>1999</v>
      </c>
      <c r="J1234" s="8">
        <v>2010</v>
      </c>
      <c r="K1234" s="8">
        <v>2002</v>
      </c>
      <c r="L1234" s="8">
        <v>2001</v>
      </c>
      <c r="M1234" s="8"/>
      <c r="N1234" s="8"/>
      <c r="O1234" s="8"/>
      <c r="P1234" s="8"/>
      <c r="Q1234" s="9">
        <f ca="1">IFERROR(__xludf.DUMMYFUNCTION("GOOGLEFINANCE(C1234,""changepct"")"),0.03)</f>
        <v>0.03</v>
      </c>
      <c r="R1234" s="8"/>
      <c r="S1234" s="8"/>
      <c r="T1234" s="8"/>
      <c r="U1234" s="8"/>
      <c r="V1234" s="8"/>
      <c r="W1234" s="8"/>
    </row>
    <row r="1235" spans="1:23" ht="14.4">
      <c r="A1235" s="3">
        <f>LOOKUP(D1235,'AMFI DATA_2023H1'!B:C,'AMFI DATA_2023H1'!C:C)</f>
        <v>1986</v>
      </c>
      <c r="B1235" s="4" t="s">
        <v>4880</v>
      </c>
      <c r="C1235" s="4" t="s">
        <v>4881</v>
      </c>
      <c r="D1235" s="5" t="s">
        <v>4882</v>
      </c>
      <c r="E1235" s="5">
        <f>LOOKUP(D1235,'AMFI DATA_2023H1'!B:D,'AMFI DATA_2023H1'!D:D)</f>
        <v>146.66999999999999</v>
      </c>
      <c r="F1235" s="7">
        <f t="shared" si="4"/>
        <v>7.0430217495057068E-2</v>
      </c>
      <c r="G1235" s="9">
        <v>157</v>
      </c>
      <c r="H1235" s="9">
        <v>157</v>
      </c>
      <c r="I1235" s="9">
        <v>152</v>
      </c>
      <c r="J1235" s="9">
        <v>155</v>
      </c>
      <c r="K1235" s="9">
        <v>154</v>
      </c>
      <c r="L1235" s="9">
        <v>147</v>
      </c>
      <c r="M1235" s="9"/>
      <c r="N1235" s="9"/>
      <c r="O1235" s="9"/>
      <c r="P1235" s="9"/>
      <c r="Q1235" s="9">
        <f ca="1">IFERROR(__xludf.DUMMYFUNCTION("GOOGLEFINANCE(C1235,""changepct"")"),1.52)</f>
        <v>1.52</v>
      </c>
      <c r="R1235" s="9"/>
      <c r="S1235" s="9"/>
      <c r="T1235" s="9"/>
      <c r="U1235" s="9"/>
      <c r="V1235" s="9"/>
      <c r="W1235" s="9"/>
    </row>
    <row r="1236" spans="1:23" ht="14.4">
      <c r="A1236" s="3">
        <f>LOOKUP(D1236,'AMFI DATA_2023H1'!B:C,'AMFI DATA_2023H1'!C:C)</f>
        <v>1765</v>
      </c>
      <c r="B1236" s="4" t="s">
        <v>4532</v>
      </c>
      <c r="C1236" s="4" t="s">
        <v>4533</v>
      </c>
      <c r="D1236" s="5" t="s">
        <v>4534</v>
      </c>
      <c r="E1236" s="5">
        <f>LOOKUP(D1236,'AMFI DATA_2023H1'!B:D,'AMFI DATA_2023H1'!D:D)</f>
        <v>207.68</v>
      </c>
      <c r="F1236" s="7">
        <f t="shared" si="4"/>
        <v>0.28563174114021561</v>
      </c>
      <c r="G1236" s="9">
        <v>267</v>
      </c>
      <c r="H1236" s="9">
        <v>265</v>
      </c>
      <c r="I1236" s="9">
        <v>262</v>
      </c>
      <c r="J1236" s="9">
        <v>264</v>
      </c>
      <c r="K1236" s="9">
        <v>263</v>
      </c>
      <c r="L1236" s="9">
        <v>269</v>
      </c>
      <c r="M1236" s="9"/>
      <c r="N1236" s="9"/>
      <c r="O1236" s="9"/>
      <c r="P1236" s="9"/>
      <c r="Q1236" s="9">
        <f ca="1">IFERROR(__xludf.DUMMYFUNCTION("GOOGLEFINANCE(C1236,""changepct"")"),-0.02)</f>
        <v>-0.02</v>
      </c>
      <c r="R1236" s="9"/>
      <c r="S1236" s="9"/>
      <c r="T1236" s="9"/>
      <c r="U1236" s="9"/>
      <c r="V1236" s="9"/>
      <c r="W1236" s="9"/>
    </row>
    <row r="1237" spans="1:23" ht="14.4">
      <c r="A1237" s="3">
        <f>LOOKUP(D1237,'AMFI DATA_2023H1'!B:C,'AMFI DATA_2023H1'!C:C)</f>
        <v>536</v>
      </c>
      <c r="B1237" s="4" t="s">
        <v>1761</v>
      </c>
      <c r="C1237" s="4" t="s">
        <v>1762</v>
      </c>
      <c r="D1237" s="5" t="s">
        <v>1763</v>
      </c>
      <c r="E1237" s="5">
        <f>LOOKUP(D1237,'AMFI DATA_2023H1'!B:D,'AMFI DATA_2023H1'!D:D)</f>
        <v>4540.78</v>
      </c>
      <c r="F1237" s="7">
        <f t="shared" si="4"/>
        <v>0.27158770079149397</v>
      </c>
      <c r="G1237" s="8">
        <v>5774</v>
      </c>
      <c r="H1237" s="8">
        <v>5529</v>
      </c>
      <c r="I1237" s="8">
        <v>5622</v>
      </c>
      <c r="J1237" s="8">
        <v>5606</v>
      </c>
      <c r="K1237" s="8">
        <v>5630</v>
      </c>
      <c r="L1237" s="8">
        <v>5622</v>
      </c>
      <c r="M1237" s="8"/>
      <c r="N1237" s="8"/>
      <c r="O1237" s="8"/>
      <c r="P1237" s="8"/>
      <c r="Q1237" s="9">
        <f ca="1">IFERROR(__xludf.DUMMYFUNCTION("GOOGLEFINANCE(C1237,""changepct"")"),5.79)</f>
        <v>5.79</v>
      </c>
      <c r="R1237" s="8"/>
      <c r="S1237" s="8"/>
      <c r="T1237" s="8"/>
      <c r="U1237" s="8"/>
      <c r="V1237" s="8"/>
      <c r="W1237" s="8"/>
    </row>
    <row r="1238" spans="1:23" ht="14.4">
      <c r="A1238" s="3">
        <f>LOOKUP(D1238,'AMFI DATA_2023H1'!B:C,'AMFI DATA_2023H1'!C:C)</f>
        <v>1016</v>
      </c>
      <c r="B1238" s="4" t="s">
        <v>2537</v>
      </c>
      <c r="C1238" s="4" t="s">
        <v>2538</v>
      </c>
      <c r="D1238" s="5" t="s">
        <v>2539</v>
      </c>
      <c r="E1238" s="5">
        <f>LOOKUP(D1238,'AMFI DATA_2023H1'!B:D,'AMFI DATA_2023H1'!D:D)</f>
        <v>1094.23</v>
      </c>
      <c r="F1238" s="7">
        <f t="shared" si="4"/>
        <v>1.5076994781718649</v>
      </c>
      <c r="G1238" s="8">
        <v>2744</v>
      </c>
      <c r="H1238" s="8">
        <v>2752</v>
      </c>
      <c r="I1238" s="8">
        <v>2714</v>
      </c>
      <c r="J1238" s="8">
        <v>2764</v>
      </c>
      <c r="K1238" s="8">
        <v>2777</v>
      </c>
      <c r="L1238" s="8">
        <v>2786</v>
      </c>
      <c r="M1238" s="8"/>
      <c r="N1238" s="8"/>
      <c r="O1238" s="8"/>
      <c r="P1238" s="8"/>
      <c r="Q1238" s="9">
        <f ca="1">IFERROR(__xludf.DUMMYFUNCTION("GOOGLEFINANCE(C1238,""changepct"")"),0.1)</f>
        <v>0.1</v>
      </c>
      <c r="R1238" s="8"/>
      <c r="S1238" s="8"/>
      <c r="T1238" s="8"/>
      <c r="U1238" s="8"/>
      <c r="V1238" s="8"/>
      <c r="W1238" s="8"/>
    </row>
    <row r="1239" spans="1:23" ht="14.4">
      <c r="A1239" s="3">
        <f>LOOKUP(D1239,'AMFI DATA_2023H1'!B:C,'AMFI DATA_2023H1'!C:C)</f>
        <v>1192</v>
      </c>
      <c r="B1239" s="4" t="s">
        <v>3086</v>
      </c>
      <c r="C1239" s="4" t="s">
        <v>3087</v>
      </c>
      <c r="D1239" s="5" t="s">
        <v>3088</v>
      </c>
      <c r="E1239" s="5">
        <f>LOOKUP(D1239,'AMFI DATA_2023H1'!B:D,'AMFI DATA_2023H1'!D:D)</f>
        <v>708.91</v>
      </c>
      <c r="F1239" s="7">
        <f t="shared" si="4"/>
        <v>2.0271825760674842</v>
      </c>
      <c r="G1239" s="8">
        <v>2146</v>
      </c>
      <c r="H1239" s="8">
        <v>2159</v>
      </c>
      <c r="I1239" s="8">
        <v>2159</v>
      </c>
      <c r="J1239" s="8">
        <v>2215</v>
      </c>
      <c r="K1239" s="8">
        <v>2267</v>
      </c>
      <c r="L1239" s="8">
        <v>2256</v>
      </c>
      <c r="M1239" s="8"/>
      <c r="N1239" s="8"/>
      <c r="O1239" s="8"/>
      <c r="P1239" s="8"/>
      <c r="Q1239" s="9">
        <f ca="1">IFERROR(__xludf.DUMMYFUNCTION("GOOGLEFINANCE(C1239,""changepct"")"),10.22)</f>
        <v>10.220000000000001</v>
      </c>
      <c r="R1239" s="8"/>
      <c r="S1239" s="8"/>
      <c r="T1239" s="8"/>
      <c r="U1239" s="8"/>
      <c r="V1239" s="8"/>
      <c r="W1239" s="8"/>
    </row>
    <row r="1240" spans="1:23" ht="14.4">
      <c r="A1240" s="3">
        <f>LOOKUP(D1240,'AMFI DATA_2023H1'!B:C,'AMFI DATA_2023H1'!C:C)</f>
        <v>778</v>
      </c>
      <c r="B1240" s="4" t="s">
        <v>2363</v>
      </c>
      <c r="C1240" s="4" t="s">
        <v>2364</v>
      </c>
      <c r="D1240" s="5" t="s">
        <v>2365</v>
      </c>
      <c r="E1240" s="5">
        <f>LOOKUP(D1240,'AMFI DATA_2023H1'!B:D,'AMFI DATA_2023H1'!D:D)</f>
        <v>2061.36</v>
      </c>
      <c r="F1240" s="7">
        <f t="shared" si="4"/>
        <v>0.43012380176194354</v>
      </c>
      <c r="G1240" s="8">
        <v>2948</v>
      </c>
      <c r="H1240" s="8">
        <v>2801</v>
      </c>
      <c r="I1240" s="8">
        <v>2817</v>
      </c>
      <c r="J1240" s="8">
        <v>2871</v>
      </c>
      <c r="K1240" s="8">
        <v>2890</v>
      </c>
      <c r="L1240" s="8">
        <v>2792</v>
      </c>
      <c r="M1240" s="8"/>
      <c r="N1240" s="8"/>
      <c r="O1240" s="8"/>
      <c r="P1240" s="8"/>
      <c r="Q1240" s="9">
        <f ca="1">IFERROR(__xludf.DUMMYFUNCTION("GOOGLEFINANCE(C1240,""changepct"")"),2.52)</f>
        <v>2.52</v>
      </c>
      <c r="R1240" s="8"/>
      <c r="S1240" s="8"/>
      <c r="T1240" s="8"/>
      <c r="U1240" s="8"/>
      <c r="V1240" s="8"/>
      <c r="W1240" s="8"/>
    </row>
    <row r="1241" spans="1:23" ht="14.4">
      <c r="A1241" s="3">
        <f>LOOKUP(D1241,'AMFI DATA_2023H1'!B:C,'AMFI DATA_2023H1'!C:C)</f>
        <v>2984</v>
      </c>
      <c r="B1241" s="4" t="s">
        <v>5449</v>
      </c>
      <c r="C1241" s="4" t="s">
        <v>5450</v>
      </c>
      <c r="D1241" s="5" t="s">
        <v>5451</v>
      </c>
      <c r="E1241" s="5">
        <f>LOOKUP(D1241,'AMFI DATA_2023H1'!B:D,'AMFI DATA_2023H1'!D:D)</f>
        <v>30.62</v>
      </c>
      <c r="F1241" s="7">
        <f t="shared" si="4"/>
        <v>1.3579359895493144</v>
      </c>
      <c r="G1241" s="9">
        <v>72.2</v>
      </c>
      <c r="H1241" s="9">
        <v>72.900000000000006</v>
      </c>
      <c r="I1241" s="9">
        <v>74.2</v>
      </c>
      <c r="J1241" s="9">
        <v>75.2</v>
      </c>
      <c r="K1241" s="9">
        <v>73.2</v>
      </c>
      <c r="L1241" s="9">
        <v>75.2</v>
      </c>
      <c r="M1241" s="9"/>
      <c r="N1241" s="9"/>
      <c r="O1241" s="9"/>
      <c r="P1241" s="9"/>
      <c r="Q1241" s="9">
        <f ca="1">IFERROR(__xludf.DUMMYFUNCTION("GOOGLEFINANCE(C1241,""changepct"")"),-3.51)</f>
        <v>-3.51</v>
      </c>
      <c r="R1241" s="9"/>
      <c r="S1241" s="9"/>
      <c r="T1241" s="9"/>
      <c r="U1241" s="9"/>
      <c r="V1241" s="9"/>
      <c r="W1241" s="9"/>
    </row>
    <row r="1242" spans="1:23" ht="14.4">
      <c r="A1242" s="3">
        <f>LOOKUP(D1242,'AMFI DATA_2023H1'!B:C,'AMFI DATA_2023H1'!C:C)</f>
        <v>1516</v>
      </c>
      <c r="B1242" s="4" t="s">
        <v>4121</v>
      </c>
      <c r="C1242" s="4" t="s">
        <v>4122</v>
      </c>
      <c r="D1242" s="5" t="s">
        <v>4123</v>
      </c>
      <c r="E1242" s="5">
        <f>LOOKUP(D1242,'AMFI DATA_2023H1'!B:D,'AMFI DATA_2023H1'!D:D)</f>
        <v>335.78</v>
      </c>
      <c r="F1242" s="7">
        <f t="shared" si="4"/>
        <v>0.37590088748585404</v>
      </c>
      <c r="G1242" s="9">
        <v>462</v>
      </c>
      <c r="H1242" s="9">
        <v>471</v>
      </c>
      <c r="I1242" s="9">
        <v>481</v>
      </c>
      <c r="J1242" s="9">
        <v>490</v>
      </c>
      <c r="K1242" s="9">
        <v>484</v>
      </c>
      <c r="L1242" s="9">
        <v>500</v>
      </c>
      <c r="M1242" s="9"/>
      <c r="N1242" s="9"/>
      <c r="O1242" s="9"/>
      <c r="P1242" s="9"/>
      <c r="Q1242" s="9">
        <f ca="1">IFERROR(__xludf.DUMMYFUNCTION("GOOGLEFINANCE(C1242,""changepct"")"),6.53)</f>
        <v>6.53</v>
      </c>
      <c r="R1242" s="9"/>
      <c r="S1242" s="9"/>
      <c r="T1242" s="9"/>
      <c r="U1242" s="9"/>
      <c r="V1242" s="9"/>
      <c r="W1242" s="9"/>
    </row>
    <row r="1243" spans="1:23" ht="14.4">
      <c r="A1243" s="3">
        <f>LOOKUP(D1243,'AMFI DATA_2023H1'!B:C,'AMFI DATA_2023H1'!C:C)</f>
        <v>1628</v>
      </c>
      <c r="B1243" s="4" t="s">
        <v>4370</v>
      </c>
      <c r="C1243" s="4" t="s">
        <v>4371</v>
      </c>
      <c r="D1243" s="5" t="s">
        <v>4372</v>
      </c>
      <c r="E1243" s="5">
        <f>LOOKUP(D1243,'AMFI DATA_2023H1'!B:D,'AMFI DATA_2023H1'!D:D)</f>
        <v>270.97000000000003</v>
      </c>
      <c r="F1243" s="7">
        <f t="shared" si="4"/>
        <v>0.22522788500572011</v>
      </c>
      <c r="G1243" s="9">
        <v>332</v>
      </c>
      <c r="H1243" s="9">
        <v>334</v>
      </c>
      <c r="I1243" s="9">
        <v>319</v>
      </c>
      <c r="J1243" s="9">
        <v>323</v>
      </c>
      <c r="K1243" s="9">
        <v>324</v>
      </c>
      <c r="L1243" s="9">
        <v>318</v>
      </c>
      <c r="M1243" s="9"/>
      <c r="N1243" s="9"/>
      <c r="O1243" s="9"/>
      <c r="P1243" s="9"/>
      <c r="Q1243" s="9">
        <f ca="1">IFERROR(__xludf.DUMMYFUNCTION("GOOGLEFINANCE(C1243,""changepct"")"),6.69)</f>
        <v>6.69</v>
      </c>
      <c r="R1243" s="9"/>
      <c r="S1243" s="9"/>
      <c r="T1243" s="9"/>
      <c r="U1243" s="9"/>
      <c r="V1243" s="9"/>
      <c r="W1243" s="9"/>
    </row>
    <row r="1244" spans="1:23" ht="14.4">
      <c r="A1244" s="3">
        <f>LOOKUP(D1244,'AMFI DATA_2023H1'!B:C,'AMFI DATA_2023H1'!C:C)</f>
        <v>143</v>
      </c>
      <c r="B1244" s="4" t="s">
        <v>408</v>
      </c>
      <c r="C1244" s="4" t="s">
        <v>409</v>
      </c>
      <c r="D1244" s="5" t="s">
        <v>410</v>
      </c>
      <c r="E1244" s="5">
        <f>LOOKUP(D1244,'AMFI DATA_2023H1'!B:D,'AMFI DATA_2023H1'!D:D)</f>
        <v>36715.5</v>
      </c>
      <c r="F1244" s="7">
        <f t="shared" si="4"/>
        <v>0.54585937819177177</v>
      </c>
      <c r="G1244" s="8">
        <v>56757</v>
      </c>
      <c r="H1244" s="8">
        <v>56996</v>
      </c>
      <c r="I1244" s="8">
        <v>56314</v>
      </c>
      <c r="J1244" s="8">
        <v>57597</v>
      </c>
      <c r="K1244" s="8">
        <v>58513</v>
      </c>
      <c r="L1244" s="8">
        <v>58703</v>
      </c>
      <c r="M1244" s="8"/>
      <c r="N1244" s="8"/>
      <c r="O1244" s="8"/>
      <c r="P1244" s="8"/>
      <c r="Q1244" s="9">
        <f ca="1">IFERROR(__xludf.DUMMYFUNCTION("GOOGLEFINANCE(C1244,""changepct"")"),0)</f>
        <v>0</v>
      </c>
      <c r="R1244" s="8"/>
      <c r="S1244" s="8"/>
      <c r="T1244" s="8"/>
      <c r="U1244" s="8"/>
      <c r="V1244" s="8"/>
      <c r="W1244" s="8"/>
    </row>
    <row r="1245" spans="1:23" ht="14.4">
      <c r="A1245" s="3">
        <f>LOOKUP(D1245,'AMFI DATA_2023H1'!B:C,'AMFI DATA_2023H1'!C:C)</f>
        <v>902</v>
      </c>
      <c r="B1245" s="4" t="s">
        <v>2034</v>
      </c>
      <c r="C1245" s="4" t="s">
        <v>2035</v>
      </c>
      <c r="D1245" s="5" t="s">
        <v>2036</v>
      </c>
      <c r="E1245" s="5">
        <f>LOOKUP(D1245,'AMFI DATA_2023H1'!B:D,'AMFI DATA_2023H1'!D:D)</f>
        <v>1463.67</v>
      </c>
      <c r="F1245" s="7">
        <f t="shared" si="4"/>
        <v>2.4311012728278913</v>
      </c>
      <c r="G1245" s="8">
        <v>5022</v>
      </c>
      <c r="H1245" s="8">
        <v>4653</v>
      </c>
      <c r="I1245" s="8">
        <v>4615</v>
      </c>
      <c r="J1245" s="8">
        <v>4702</v>
      </c>
      <c r="K1245" s="8">
        <v>4742</v>
      </c>
      <c r="L1245" s="8">
        <v>4793</v>
      </c>
      <c r="M1245" s="8"/>
      <c r="N1245" s="8"/>
      <c r="O1245" s="8"/>
      <c r="P1245" s="8"/>
      <c r="Q1245" s="9">
        <f ca="1">IFERROR(__xludf.DUMMYFUNCTION("GOOGLEFINANCE(C1245,""changepct"")"),0.24)</f>
        <v>0.24</v>
      </c>
      <c r="R1245" s="8"/>
      <c r="S1245" s="8"/>
      <c r="T1245" s="8"/>
      <c r="U1245" s="8"/>
      <c r="V1245" s="8"/>
      <c r="W1245" s="8"/>
    </row>
    <row r="1246" spans="1:23" ht="14.4">
      <c r="A1246" s="3">
        <f>LOOKUP(D1246,'AMFI DATA_2023H1'!B:C,'AMFI DATA_2023H1'!C:C)</f>
        <v>2320</v>
      </c>
      <c r="B1246" s="4" t="s">
        <v>5168</v>
      </c>
      <c r="C1246" s="4" t="s">
        <v>5169</v>
      </c>
      <c r="D1246" s="5" t="s">
        <v>5170</v>
      </c>
      <c r="E1246" s="5">
        <f>LOOKUP(D1246,'AMFI DATA_2023H1'!B:D,'AMFI DATA_2023H1'!D:D)</f>
        <v>84.32</v>
      </c>
      <c r="F1246" s="7">
        <f t="shared" si="4"/>
        <v>0.60104364326375714</v>
      </c>
      <c r="G1246" s="9">
        <v>135</v>
      </c>
      <c r="H1246" s="9">
        <v>125</v>
      </c>
      <c r="I1246" s="9">
        <v>124</v>
      </c>
      <c r="J1246" s="9">
        <v>127</v>
      </c>
      <c r="K1246" s="9">
        <v>129</v>
      </c>
      <c r="L1246" s="9">
        <v>129</v>
      </c>
      <c r="M1246" s="9"/>
      <c r="N1246" s="9"/>
      <c r="O1246" s="9"/>
      <c r="P1246" s="9"/>
      <c r="Q1246" s="9">
        <f ca="1">IFERROR(__xludf.DUMMYFUNCTION("GOOGLEFINANCE(C1246,""changepct"")"),-1.94)</f>
        <v>-1.94</v>
      </c>
      <c r="R1246" s="9"/>
      <c r="S1246" s="9"/>
      <c r="T1246" s="9"/>
      <c r="U1246" s="9"/>
      <c r="V1246" s="9"/>
      <c r="W1246" s="9"/>
    </row>
    <row r="1247" spans="1:23" ht="14.4">
      <c r="A1247" s="3">
        <f>LOOKUP(D1247,'AMFI DATA_2023H1'!B:C,'AMFI DATA_2023H1'!C:C)</f>
        <v>1400</v>
      </c>
      <c r="B1247" s="4" t="s">
        <v>4046</v>
      </c>
      <c r="C1247" s="4" t="s">
        <v>4047</v>
      </c>
      <c r="D1247" s="5" t="s">
        <v>4048</v>
      </c>
      <c r="E1247" s="5">
        <f>LOOKUP(D1247,'AMFI DATA_2023H1'!B:D,'AMFI DATA_2023H1'!D:D)</f>
        <v>408.8</v>
      </c>
      <c r="F1247" s="7">
        <f t="shared" si="4"/>
        <v>0.21819960861056753</v>
      </c>
      <c r="G1247" s="9">
        <v>498</v>
      </c>
      <c r="H1247" s="9">
        <v>506</v>
      </c>
      <c r="I1247" s="9">
        <v>504</v>
      </c>
      <c r="J1247" s="9">
        <v>493</v>
      </c>
      <c r="K1247" s="9">
        <v>477</v>
      </c>
      <c r="L1247" s="9">
        <v>482</v>
      </c>
      <c r="M1247" s="9"/>
      <c r="N1247" s="9"/>
      <c r="O1247" s="9"/>
      <c r="P1247" s="9"/>
      <c r="Q1247" s="9">
        <f ca="1">IFERROR(__xludf.DUMMYFUNCTION("GOOGLEFINANCE(C1247,""changepct"")"),9.78)</f>
        <v>9.7799999999999994</v>
      </c>
      <c r="R1247" s="9"/>
      <c r="S1247" s="9"/>
      <c r="T1247" s="9"/>
      <c r="U1247" s="9"/>
      <c r="V1247" s="9"/>
      <c r="W1247" s="9"/>
    </row>
    <row r="1248" spans="1:23" ht="14.4">
      <c r="A1248" s="3">
        <f>LOOKUP(D1248,'AMFI DATA_2023H1'!B:C,'AMFI DATA_2023H1'!C:C)</f>
        <v>191</v>
      </c>
      <c r="B1248" s="4" t="s">
        <v>558</v>
      </c>
      <c r="C1248" s="4" t="s">
        <v>559</v>
      </c>
      <c r="D1248" s="5" t="s">
        <v>560</v>
      </c>
      <c r="E1248" s="5">
        <f>LOOKUP(D1248,'AMFI DATA_2023H1'!B:D,'AMFI DATA_2023H1'!D:D)</f>
        <v>25303.68</v>
      </c>
      <c r="F1248" s="7">
        <f t="shared" si="4"/>
        <v>0.42821123251637694</v>
      </c>
      <c r="G1248" s="8">
        <v>36139</v>
      </c>
      <c r="H1248" s="8">
        <v>35812</v>
      </c>
      <c r="I1248" s="8">
        <v>35235</v>
      </c>
      <c r="J1248" s="8">
        <v>35250</v>
      </c>
      <c r="K1248" s="8">
        <v>35592</v>
      </c>
      <c r="L1248" s="8">
        <v>34876</v>
      </c>
      <c r="M1248" s="8"/>
      <c r="N1248" s="8"/>
      <c r="O1248" s="8"/>
      <c r="P1248" s="8"/>
      <c r="Q1248" s="9">
        <f ca="1">IFERROR(__xludf.DUMMYFUNCTION("GOOGLEFINANCE(C1248,""changepct"")"),0.24)</f>
        <v>0.24</v>
      </c>
      <c r="R1248" s="8"/>
      <c r="S1248" s="8"/>
      <c r="T1248" s="8"/>
      <c r="U1248" s="8"/>
      <c r="V1248" s="8"/>
      <c r="W1248" s="8"/>
    </row>
    <row r="1249" spans="1:23" ht="14.4">
      <c r="A1249" s="3">
        <f>LOOKUP(D1249,'AMFI DATA_2023H1'!B:C,'AMFI DATA_2023H1'!C:C)</f>
        <v>863</v>
      </c>
      <c r="B1249" s="4" t="s">
        <v>3044</v>
      </c>
      <c r="C1249" s="4" t="s">
        <v>3045</v>
      </c>
      <c r="D1249" s="5" t="s">
        <v>3046</v>
      </c>
      <c r="E1249" s="5">
        <f>LOOKUP(D1249,'AMFI DATA_2023H1'!B:D,'AMFI DATA_2023H1'!D:D)</f>
        <v>1653.27</v>
      </c>
      <c r="F1249" s="7">
        <f t="shared" si="4"/>
        <v>0.41719138434738423</v>
      </c>
      <c r="G1249" s="8">
        <v>2343</v>
      </c>
      <c r="H1249" s="8">
        <v>2168</v>
      </c>
      <c r="I1249" s="8">
        <v>2157</v>
      </c>
      <c r="J1249" s="8">
        <v>2182</v>
      </c>
      <c r="K1249" s="8">
        <v>2158</v>
      </c>
      <c r="L1249" s="8">
        <v>2404</v>
      </c>
      <c r="M1249" s="8"/>
      <c r="N1249" s="8"/>
      <c r="O1249" s="8"/>
      <c r="P1249" s="8"/>
      <c r="Q1249" s="9">
        <f ca="1">IFERROR(__xludf.DUMMYFUNCTION("GOOGLEFINANCE(C1249,""changepct"")"),3.3)</f>
        <v>3.3</v>
      </c>
      <c r="R1249" s="8"/>
      <c r="S1249" s="8"/>
      <c r="T1249" s="8"/>
      <c r="U1249" s="8"/>
      <c r="V1249" s="8"/>
      <c r="W1249" s="8"/>
    </row>
    <row r="1250" spans="1:23" ht="14.4">
      <c r="A1250" s="3">
        <f>LOOKUP(D1250,'AMFI DATA_2023H1'!B:C,'AMFI DATA_2023H1'!C:C)</f>
        <v>521</v>
      </c>
      <c r="B1250" s="4" t="s">
        <v>1485</v>
      </c>
      <c r="C1250" s="4" t="s">
        <v>1486</v>
      </c>
      <c r="D1250" s="5" t="s">
        <v>1487</v>
      </c>
      <c r="E1250" s="5">
        <f>LOOKUP(D1250,'AMFI DATA_2023H1'!B:D,'AMFI DATA_2023H1'!D:D)</f>
        <v>4783.72</v>
      </c>
      <c r="F1250" s="7">
        <f t="shared" si="4"/>
        <v>1.0212303395683691</v>
      </c>
      <c r="G1250" s="8">
        <v>9669</v>
      </c>
      <c r="H1250" s="8">
        <v>9489</v>
      </c>
      <c r="I1250" s="8">
        <v>9548</v>
      </c>
      <c r="J1250" s="8">
        <v>9590</v>
      </c>
      <c r="K1250" s="8">
        <v>9654</v>
      </c>
      <c r="L1250" s="8">
        <v>9429</v>
      </c>
      <c r="M1250" s="8"/>
      <c r="N1250" s="8"/>
      <c r="O1250" s="8"/>
      <c r="P1250" s="8"/>
      <c r="Q1250" s="9">
        <f ca="1">IFERROR(__xludf.DUMMYFUNCTION("GOOGLEFINANCE(C1250,""changepct"")"),4.98)</f>
        <v>4.9800000000000004</v>
      </c>
      <c r="R1250" s="8"/>
      <c r="S1250" s="8"/>
      <c r="T1250" s="8"/>
      <c r="U1250" s="8"/>
      <c r="V1250" s="8"/>
      <c r="W1250" s="8"/>
    </row>
    <row r="1251" spans="1:23" ht="14.4">
      <c r="A1251" s="3">
        <f>LOOKUP(D1251,'AMFI DATA_2023H1'!B:C,'AMFI DATA_2023H1'!C:C)</f>
        <v>544</v>
      </c>
      <c r="B1251" s="4" t="s">
        <v>1674</v>
      </c>
      <c r="C1251" s="4" t="s">
        <v>1675</v>
      </c>
      <c r="D1251" s="5" t="s">
        <v>1676</v>
      </c>
      <c r="E1251" s="5">
        <f>LOOKUP(D1251,'AMFI DATA_2023H1'!B:D,'AMFI DATA_2023H1'!D:D)</f>
        <v>4435.76</v>
      </c>
      <c r="F1251" s="7">
        <f t="shared" si="4"/>
        <v>0.56951683589734325</v>
      </c>
      <c r="G1251" s="8">
        <v>6962</v>
      </c>
      <c r="H1251" s="8">
        <v>7307</v>
      </c>
      <c r="I1251" s="8">
        <v>6993</v>
      </c>
      <c r="J1251" s="8">
        <v>7030</v>
      </c>
      <c r="K1251" s="8">
        <v>7117</v>
      </c>
      <c r="L1251" s="8">
        <v>7382</v>
      </c>
      <c r="M1251" s="8"/>
      <c r="N1251" s="8"/>
      <c r="O1251" s="8"/>
      <c r="P1251" s="8"/>
      <c r="Q1251" s="9">
        <f ca="1">IFERROR(__xludf.DUMMYFUNCTION("GOOGLEFINANCE(C1251,""changepct"")"),0.55)</f>
        <v>0.55000000000000004</v>
      </c>
      <c r="R1251" s="8"/>
      <c r="S1251" s="8"/>
      <c r="T1251" s="8"/>
      <c r="U1251" s="8"/>
      <c r="V1251" s="8"/>
      <c r="W1251" s="8"/>
    </row>
    <row r="1252" spans="1:23" ht="14.4">
      <c r="A1252" s="3">
        <f>LOOKUP(D1252,'AMFI DATA_2023H1'!B:C,'AMFI DATA_2023H1'!C:C)</f>
        <v>1072</v>
      </c>
      <c r="B1252" s="4" t="s">
        <v>2603</v>
      </c>
      <c r="C1252" s="4" t="s">
        <v>2604</v>
      </c>
      <c r="D1252" s="5" t="s">
        <v>2605</v>
      </c>
      <c r="E1252" s="5">
        <f>LOOKUP(D1252,'AMFI DATA_2023H1'!B:D,'AMFI DATA_2023H1'!D:D)</f>
        <v>961.77</v>
      </c>
      <c r="F1252" s="7">
        <f t="shared" si="4"/>
        <v>2.029830416835626</v>
      </c>
      <c r="G1252" s="8">
        <v>2914</v>
      </c>
      <c r="H1252" s="8">
        <v>2789</v>
      </c>
      <c r="I1252" s="8">
        <v>2788</v>
      </c>
      <c r="J1252" s="8">
        <v>2817</v>
      </c>
      <c r="K1252" s="8">
        <v>2878</v>
      </c>
      <c r="L1252" s="8">
        <v>2849</v>
      </c>
      <c r="M1252" s="8"/>
      <c r="N1252" s="8"/>
      <c r="O1252" s="8"/>
      <c r="P1252" s="8"/>
      <c r="Q1252" s="9">
        <f ca="1">IFERROR(__xludf.DUMMYFUNCTION("GOOGLEFINANCE(C1252,""changepct"")"),-0.45)</f>
        <v>-0.45</v>
      </c>
      <c r="R1252" s="8"/>
      <c r="S1252" s="8"/>
      <c r="T1252" s="8"/>
      <c r="U1252" s="8"/>
      <c r="V1252" s="8"/>
      <c r="W1252" s="8"/>
    </row>
    <row r="1253" spans="1:23" ht="14.4">
      <c r="A1253" s="3">
        <f>LOOKUP(D1253,'AMFI DATA_2023H1'!B:C,'AMFI DATA_2023H1'!C:C)</f>
        <v>2834</v>
      </c>
      <c r="B1253" s="4" t="s">
        <v>5503</v>
      </c>
      <c r="C1253" s="4" t="s">
        <v>5504</v>
      </c>
      <c r="D1253" s="5" t="s">
        <v>5505</v>
      </c>
      <c r="E1253" s="5">
        <f>LOOKUP(D1253,'AMFI DATA_2023H1'!B:D,'AMFI DATA_2023H1'!D:D)</f>
        <v>38.39</v>
      </c>
      <c r="F1253" s="7">
        <f t="shared" si="4"/>
        <v>0.38577754623599891</v>
      </c>
      <c r="G1253" s="9">
        <v>53.2</v>
      </c>
      <c r="H1253" s="9">
        <v>53.1</v>
      </c>
      <c r="I1253" s="9">
        <v>53.3</v>
      </c>
      <c r="J1253" s="9">
        <v>55.5</v>
      </c>
      <c r="K1253" s="9">
        <v>51.6</v>
      </c>
      <c r="L1253" s="9">
        <v>51</v>
      </c>
      <c r="M1253" s="9"/>
      <c r="N1253" s="9"/>
      <c r="O1253" s="9"/>
      <c r="P1253" s="9"/>
      <c r="Q1253" s="9">
        <f ca="1">IFERROR(__xludf.DUMMYFUNCTION("GOOGLEFINANCE(C1253,""changepct"")"),-1.54)</f>
        <v>-1.54</v>
      </c>
      <c r="R1253" s="9"/>
      <c r="S1253" s="9"/>
      <c r="T1253" s="9"/>
      <c r="U1253" s="9"/>
      <c r="V1253" s="9"/>
      <c r="W1253" s="9"/>
    </row>
    <row r="1254" spans="1:23" ht="14.4">
      <c r="A1254" s="3">
        <f>LOOKUP(D1254,'AMFI DATA_2023H1'!B:C,'AMFI DATA_2023H1'!C:C)</f>
        <v>1361</v>
      </c>
      <c r="B1254" s="4" t="s">
        <v>3299</v>
      </c>
      <c r="C1254" s="4" t="s">
        <v>3300</v>
      </c>
      <c r="D1254" s="5" t="s">
        <v>3301</v>
      </c>
      <c r="E1254" s="5">
        <f>LOOKUP(D1254,'AMFI DATA_2023H1'!B:D,'AMFI DATA_2023H1'!D:D)</f>
        <v>444.31</v>
      </c>
      <c r="F1254" s="7">
        <f t="shared" si="4"/>
        <v>2.2747406090342328</v>
      </c>
      <c r="G1254" s="8">
        <v>1455</v>
      </c>
      <c r="H1254" s="8">
        <v>1463</v>
      </c>
      <c r="I1254" s="8">
        <v>1455</v>
      </c>
      <c r="J1254" s="8">
        <v>1467</v>
      </c>
      <c r="K1254" s="8">
        <v>1517</v>
      </c>
      <c r="L1254" s="8">
        <v>1477</v>
      </c>
      <c r="M1254" s="8"/>
      <c r="N1254" s="8"/>
      <c r="O1254" s="8"/>
      <c r="P1254" s="8"/>
      <c r="Q1254" s="9">
        <f ca="1">IFERROR(__xludf.DUMMYFUNCTION("GOOGLEFINANCE(C1254,""changepct"")"),-0.76)</f>
        <v>-0.76</v>
      </c>
      <c r="R1254" s="8"/>
      <c r="S1254" s="8"/>
      <c r="T1254" s="8"/>
      <c r="U1254" s="8"/>
      <c r="V1254" s="8"/>
      <c r="W1254" s="8"/>
    </row>
    <row r="1255" spans="1:23" ht="14.4">
      <c r="A1255" s="3">
        <f>LOOKUP(D1255,'AMFI DATA_2023H1'!B:C,'AMFI DATA_2023H1'!C:C)</f>
        <v>1069</v>
      </c>
      <c r="B1255" s="4" t="s">
        <v>3014</v>
      </c>
      <c r="C1255" s="4" t="s">
        <v>3015</v>
      </c>
      <c r="D1255" s="5" t="s">
        <v>3016</v>
      </c>
      <c r="E1255" s="5">
        <f>LOOKUP(D1255,'AMFI DATA_2023H1'!B:D,'AMFI DATA_2023H1'!D:D)</f>
        <v>972.87</v>
      </c>
      <c r="F1255" s="7">
        <f t="shared" si="4"/>
        <v>0.76282545458283213</v>
      </c>
      <c r="G1255" s="8">
        <v>1715</v>
      </c>
      <c r="H1255" s="8">
        <v>1681</v>
      </c>
      <c r="I1255" s="8">
        <v>1688</v>
      </c>
      <c r="J1255" s="8">
        <v>1735</v>
      </c>
      <c r="K1255" s="8">
        <v>1597</v>
      </c>
      <c r="L1255" s="8">
        <v>1585</v>
      </c>
      <c r="M1255" s="8"/>
      <c r="N1255" s="8"/>
      <c r="O1255" s="8"/>
      <c r="P1255" s="8"/>
      <c r="Q1255" s="9">
        <f ca="1">IFERROR(__xludf.DUMMYFUNCTION("GOOGLEFINANCE(C1255,""changepct"")"),2)</f>
        <v>2</v>
      </c>
      <c r="R1255" s="8"/>
      <c r="S1255" s="8"/>
      <c r="T1255" s="8"/>
      <c r="U1255" s="8"/>
      <c r="V1255" s="8"/>
      <c r="W1255" s="8"/>
    </row>
    <row r="1256" spans="1:23" ht="14.4">
      <c r="A1256" s="3">
        <f>LOOKUP(D1256,'AMFI DATA_2023H1'!B:C,'AMFI DATA_2023H1'!C:C)</f>
        <v>146</v>
      </c>
      <c r="B1256" s="4" t="s">
        <v>456</v>
      </c>
      <c r="C1256" s="4" t="s">
        <v>457</v>
      </c>
      <c r="D1256" s="5" t="s">
        <v>458</v>
      </c>
      <c r="E1256" s="5">
        <f>LOOKUP(D1256,'AMFI DATA_2023H1'!B:D,'AMFI DATA_2023H1'!D:D)</f>
        <v>35676.620000000003</v>
      </c>
      <c r="F1256" s="7">
        <f t="shared" si="4"/>
        <v>0.57873699918882449</v>
      </c>
      <c r="G1256" s="8">
        <v>56324</v>
      </c>
      <c r="H1256" s="8">
        <v>56827</v>
      </c>
      <c r="I1256" s="8">
        <v>58078</v>
      </c>
      <c r="J1256" s="8">
        <v>56805</v>
      </c>
      <c r="K1256" s="8">
        <v>56604</v>
      </c>
      <c r="L1256" s="8">
        <v>57166</v>
      </c>
      <c r="M1256" s="8"/>
      <c r="N1256" s="8"/>
      <c r="O1256" s="8"/>
      <c r="P1256" s="8"/>
      <c r="Q1256" s="9">
        <f ca="1">IFERROR(__xludf.DUMMYFUNCTION("GOOGLEFINANCE(C1256,""changepct"")"),2.15)</f>
        <v>2.15</v>
      </c>
      <c r="R1256" s="8"/>
      <c r="S1256" s="8"/>
      <c r="T1256" s="8"/>
      <c r="U1256" s="8"/>
      <c r="V1256" s="8"/>
      <c r="W1256" s="8"/>
    </row>
    <row r="1257" spans="1:23" ht="14.4">
      <c r="A1257" s="3">
        <f>LOOKUP(D1257,'AMFI DATA_2023H1'!B:C,'AMFI DATA_2023H1'!C:C)</f>
        <v>154</v>
      </c>
      <c r="B1257" s="4" t="s">
        <v>579</v>
      </c>
      <c r="C1257" s="4" t="s">
        <v>580</v>
      </c>
      <c r="D1257" s="5" t="s">
        <v>581</v>
      </c>
      <c r="E1257" s="5">
        <f>LOOKUP(D1257,'AMFI DATA_2023H1'!B:D,'AMFI DATA_2023H1'!D:D)</f>
        <v>33790.910000000003</v>
      </c>
      <c r="F1257" s="7">
        <f t="shared" si="4"/>
        <v>1.8966639252981921E-3</v>
      </c>
      <c r="G1257" s="8">
        <v>33855</v>
      </c>
      <c r="H1257" s="8">
        <v>33412</v>
      </c>
      <c r="I1257" s="8">
        <v>33352</v>
      </c>
      <c r="J1257" s="8">
        <v>32445</v>
      </c>
      <c r="K1257" s="8">
        <v>32355</v>
      </c>
      <c r="L1257" s="8">
        <v>32130</v>
      </c>
      <c r="M1257" s="8"/>
      <c r="N1257" s="8"/>
      <c r="O1257" s="8"/>
      <c r="P1257" s="8"/>
      <c r="Q1257" s="9">
        <f ca="1">IFERROR(__xludf.DUMMYFUNCTION("GOOGLEFINANCE(C1257,""changepct"")"),3.39)</f>
        <v>3.39</v>
      </c>
      <c r="R1257" s="8"/>
      <c r="S1257" s="8"/>
      <c r="T1257" s="8"/>
      <c r="U1257" s="8"/>
      <c r="V1257" s="8"/>
      <c r="W1257" s="8"/>
    </row>
    <row r="1258" spans="1:23" ht="14.4">
      <c r="A1258" s="3">
        <f>LOOKUP(D1258,'AMFI DATA_2023H1'!B:C,'AMFI DATA_2023H1'!C:C)</f>
        <v>248</v>
      </c>
      <c r="B1258" s="4" t="s">
        <v>873</v>
      </c>
      <c r="C1258" s="4" t="s">
        <v>874</v>
      </c>
      <c r="D1258" s="5" t="s">
        <v>875</v>
      </c>
      <c r="E1258" s="5">
        <f>LOOKUP(D1258,'AMFI DATA_2023H1'!B:D,'AMFI DATA_2023H1'!D:D)</f>
        <v>17573.41</v>
      </c>
      <c r="F1258" s="7">
        <f t="shared" si="4"/>
        <v>0.10672885911157826</v>
      </c>
      <c r="G1258" s="8">
        <v>19449</v>
      </c>
      <c r="H1258" s="8">
        <v>19528</v>
      </c>
      <c r="I1258" s="8">
        <v>19478</v>
      </c>
      <c r="J1258" s="8">
        <v>19321</v>
      </c>
      <c r="K1258" s="8">
        <v>19384</v>
      </c>
      <c r="L1258" s="8">
        <v>19307</v>
      </c>
      <c r="M1258" s="8"/>
      <c r="N1258" s="8"/>
      <c r="O1258" s="8"/>
      <c r="P1258" s="8"/>
      <c r="Q1258" s="9">
        <f ca="1">IFERROR(__xludf.DUMMYFUNCTION("GOOGLEFINANCE(C1258,""changepct"")"),-0.44)</f>
        <v>-0.44</v>
      </c>
      <c r="R1258" s="8"/>
      <c r="S1258" s="8"/>
      <c r="T1258" s="8"/>
      <c r="U1258" s="8"/>
      <c r="V1258" s="8"/>
      <c r="W1258" s="8"/>
    </row>
    <row r="1259" spans="1:23" ht="14.4">
      <c r="A1259" s="3">
        <f>LOOKUP(D1259,'AMFI DATA_2023H1'!B:C,'AMFI DATA_2023H1'!C:C)</f>
        <v>645</v>
      </c>
      <c r="B1259" s="4" t="s">
        <v>1866</v>
      </c>
      <c r="C1259" s="4" t="s">
        <v>1867</v>
      </c>
      <c r="D1259" s="5" t="s">
        <v>1868</v>
      </c>
      <c r="E1259" s="5">
        <f>LOOKUP(D1259,'AMFI DATA_2023H1'!B:D,'AMFI DATA_2023H1'!D:D)</f>
        <v>3086.2</v>
      </c>
      <c r="F1259" s="7">
        <f t="shared" si="4"/>
        <v>0.9959821139265117</v>
      </c>
      <c r="G1259" s="8">
        <v>6160</v>
      </c>
      <c r="H1259" s="8">
        <v>6158</v>
      </c>
      <c r="I1259" s="8">
        <v>6260</v>
      </c>
      <c r="J1259" s="8">
        <v>6349</v>
      </c>
      <c r="K1259" s="8">
        <v>6393</v>
      </c>
      <c r="L1259" s="8">
        <v>6385</v>
      </c>
      <c r="M1259" s="8"/>
      <c r="N1259" s="8"/>
      <c r="O1259" s="8"/>
      <c r="P1259" s="8"/>
      <c r="Q1259" s="9">
        <f ca="1">IFERROR(__xludf.DUMMYFUNCTION("GOOGLEFINANCE(C1259,""changepct"")"),-0.35)</f>
        <v>-0.35</v>
      </c>
      <c r="R1259" s="8"/>
      <c r="S1259" s="8"/>
      <c r="T1259" s="8"/>
      <c r="U1259" s="8"/>
      <c r="V1259" s="8"/>
      <c r="W1259" s="8"/>
    </row>
    <row r="1260" spans="1:23" ht="14.4">
      <c r="A1260" s="3">
        <f>LOOKUP(D1260,'AMFI DATA_2023H1'!B:C,'AMFI DATA_2023H1'!C:C)</f>
        <v>99</v>
      </c>
      <c r="B1260" s="4" t="s">
        <v>357</v>
      </c>
      <c r="C1260" s="4" t="s">
        <v>358</v>
      </c>
      <c r="D1260" s="5" t="s">
        <v>359</v>
      </c>
      <c r="E1260" s="5">
        <f>LOOKUP(D1260,'AMFI DATA_2023H1'!B:D,'AMFI DATA_2023H1'!D:D)</f>
        <v>49772.53</v>
      </c>
      <c r="F1260" s="7">
        <f t="shared" si="4"/>
        <v>5.9299175669792259E-2</v>
      </c>
      <c r="G1260" s="8">
        <v>52724</v>
      </c>
      <c r="H1260" s="8">
        <v>53290</v>
      </c>
      <c r="I1260" s="8">
        <v>52904</v>
      </c>
      <c r="J1260" s="8">
        <v>52525</v>
      </c>
      <c r="K1260" s="8">
        <v>52307</v>
      </c>
      <c r="L1260" s="8">
        <v>52008</v>
      </c>
      <c r="M1260" s="8"/>
      <c r="N1260" s="8"/>
      <c r="O1260" s="8"/>
      <c r="P1260" s="8"/>
      <c r="Q1260" s="9">
        <f ca="1">IFERROR(__xludf.DUMMYFUNCTION("GOOGLEFINANCE(C1260,""changepct"")"),0.86)</f>
        <v>0.86</v>
      </c>
      <c r="R1260" s="8"/>
      <c r="S1260" s="8"/>
      <c r="T1260" s="8"/>
      <c r="U1260" s="8"/>
      <c r="V1260" s="8"/>
      <c r="W1260" s="8"/>
    </row>
    <row r="1261" spans="1:23" ht="14.4">
      <c r="A1261" s="3">
        <f>LOOKUP(D1261,'AMFI DATA_2023H1'!B:C,'AMFI DATA_2023H1'!C:C)</f>
        <v>41</v>
      </c>
      <c r="B1261" s="4" t="s">
        <v>150</v>
      </c>
      <c r="C1261" s="4" t="s">
        <v>151</v>
      </c>
      <c r="D1261" s="5" t="s">
        <v>152</v>
      </c>
      <c r="E1261" s="5">
        <f>LOOKUP(D1261,'AMFI DATA_2023H1'!B:D,'AMFI DATA_2023H1'!D:D)</f>
        <v>124318.25</v>
      </c>
      <c r="F1261" s="7">
        <f t="shared" si="4"/>
        <v>0.10353870007018284</v>
      </c>
      <c r="G1261" s="8">
        <v>137190</v>
      </c>
      <c r="H1261" s="8">
        <v>138197</v>
      </c>
      <c r="I1261" s="8">
        <v>137759</v>
      </c>
      <c r="J1261" s="8">
        <v>137365</v>
      </c>
      <c r="K1261" s="8">
        <v>135774</v>
      </c>
      <c r="L1261" s="8">
        <v>134448</v>
      </c>
      <c r="M1261" s="8"/>
      <c r="N1261" s="8"/>
      <c r="O1261" s="8"/>
      <c r="P1261" s="8"/>
      <c r="Q1261" s="9">
        <f ca="1">IFERROR(__xludf.DUMMYFUNCTION("GOOGLEFINANCE(C1261,""changepct"")"),-0.83)</f>
        <v>-0.83</v>
      </c>
      <c r="R1261" s="8"/>
      <c r="S1261" s="8"/>
      <c r="T1261" s="8"/>
      <c r="U1261" s="8"/>
      <c r="V1261" s="8"/>
      <c r="W1261" s="8"/>
    </row>
    <row r="1262" spans="1:23" ht="14.4">
      <c r="A1262" s="3">
        <f>LOOKUP(D1262,'AMFI DATA_2023H1'!B:C,'AMFI DATA_2023H1'!C:C)</f>
        <v>1836</v>
      </c>
      <c r="B1262" s="4" t="s">
        <v>4565</v>
      </c>
      <c r="C1262" s="4" t="s">
        <v>4566</v>
      </c>
      <c r="D1262" s="5" t="s">
        <v>4567</v>
      </c>
      <c r="E1262" s="5">
        <f>LOOKUP(D1262,'AMFI DATA_2023H1'!B:D,'AMFI DATA_2023H1'!D:D)</f>
        <v>184.77</v>
      </c>
      <c r="F1262" s="7">
        <f t="shared" si="4"/>
        <v>0.7318828814201439</v>
      </c>
      <c r="G1262" s="9">
        <v>320</v>
      </c>
      <c r="H1262" s="9">
        <v>307</v>
      </c>
      <c r="I1262" s="9">
        <v>299</v>
      </c>
      <c r="J1262" s="9">
        <v>289</v>
      </c>
      <c r="K1262" s="9">
        <v>284</v>
      </c>
      <c r="L1262" s="9">
        <v>278</v>
      </c>
      <c r="M1262" s="9"/>
      <c r="N1262" s="9"/>
      <c r="O1262" s="9"/>
      <c r="P1262" s="9"/>
      <c r="Q1262" s="9">
        <f ca="1">IFERROR(__xludf.DUMMYFUNCTION("GOOGLEFINANCE(C1262,""changepct"")"),8.11)</f>
        <v>8.11</v>
      </c>
      <c r="R1262" s="9"/>
      <c r="S1262" s="9"/>
      <c r="T1262" s="9"/>
      <c r="U1262" s="9"/>
      <c r="V1262" s="9"/>
      <c r="W1262" s="9"/>
    </row>
    <row r="1263" spans="1:23" ht="14.4">
      <c r="A1263" s="3">
        <f>LOOKUP(D1263,'AMFI DATA_2023H1'!B:C,'AMFI DATA_2023H1'!C:C)</f>
        <v>789</v>
      </c>
      <c r="B1263" s="4" t="s">
        <v>2429</v>
      </c>
      <c r="C1263" s="4" t="s">
        <v>2430</v>
      </c>
      <c r="D1263" s="5" t="s">
        <v>2431</v>
      </c>
      <c r="E1263" s="5">
        <f>LOOKUP(D1263,'AMFI DATA_2023H1'!B:D,'AMFI DATA_2023H1'!D:D)</f>
        <v>1993.67</v>
      </c>
      <c r="F1263" s="7">
        <f t="shared" si="4"/>
        <v>0.75003887303314976</v>
      </c>
      <c r="G1263" s="8">
        <v>3489</v>
      </c>
      <c r="H1263" s="8">
        <v>3508</v>
      </c>
      <c r="I1263" s="8">
        <v>3522</v>
      </c>
      <c r="J1263" s="8">
        <v>3541</v>
      </c>
      <c r="K1263" s="8">
        <v>3507</v>
      </c>
      <c r="L1263" s="8">
        <v>3482</v>
      </c>
      <c r="M1263" s="8"/>
      <c r="N1263" s="8"/>
      <c r="O1263" s="8"/>
      <c r="P1263" s="8"/>
      <c r="Q1263" s="9">
        <f ca="1">IFERROR(__xludf.DUMMYFUNCTION("GOOGLEFINANCE(C1263,""changepct"")"),2.31)</f>
        <v>2.31</v>
      </c>
      <c r="R1263" s="8"/>
      <c r="S1263" s="8"/>
      <c r="T1263" s="8"/>
      <c r="U1263" s="8"/>
      <c r="V1263" s="8"/>
      <c r="W1263" s="8"/>
    </row>
    <row r="1264" spans="1:23" ht="14.4">
      <c r="A1264" s="3">
        <f>LOOKUP(D1264,'AMFI DATA_2023H1'!B:C,'AMFI DATA_2023H1'!C:C)</f>
        <v>2238</v>
      </c>
      <c r="B1264" s="4" t="s">
        <v>5015</v>
      </c>
      <c r="C1264" s="4" t="s">
        <v>5016</v>
      </c>
      <c r="D1264" s="5" t="s">
        <v>5017</v>
      </c>
      <c r="E1264" s="5">
        <f>LOOKUP(D1264,'AMFI DATA_2023H1'!B:D,'AMFI DATA_2023H1'!D:D)</f>
        <v>96.72</v>
      </c>
      <c r="F1264" s="7">
        <f t="shared" si="4"/>
        <v>0.41645988420181967</v>
      </c>
      <c r="G1264" s="9">
        <v>137</v>
      </c>
      <c r="H1264" s="9">
        <v>132</v>
      </c>
      <c r="I1264" s="9">
        <v>134</v>
      </c>
      <c r="J1264" s="9">
        <v>135</v>
      </c>
      <c r="K1264" s="9">
        <v>135</v>
      </c>
      <c r="L1264" s="9">
        <v>132</v>
      </c>
      <c r="M1264" s="9"/>
      <c r="N1264" s="9"/>
      <c r="O1264" s="9"/>
      <c r="P1264" s="9"/>
      <c r="Q1264" s="9">
        <f ca="1">IFERROR(__xludf.DUMMYFUNCTION("GOOGLEFINANCE(C1264,""changepct"")"),4.59)</f>
        <v>4.59</v>
      </c>
      <c r="R1264" s="9"/>
      <c r="S1264" s="9"/>
      <c r="T1264" s="9"/>
      <c r="U1264" s="9"/>
      <c r="V1264" s="9"/>
      <c r="W1264" s="9"/>
    </row>
    <row r="1265" spans="1:23" ht="14.4">
      <c r="A1265" s="3">
        <f>LOOKUP(D1265,'AMFI DATA_2023H1'!B:C,'AMFI DATA_2023H1'!C:C)</f>
        <v>239</v>
      </c>
      <c r="B1265" s="4" t="s">
        <v>723</v>
      </c>
      <c r="C1265" s="4" t="s">
        <v>724</v>
      </c>
      <c r="D1265" s="5" t="s">
        <v>725</v>
      </c>
      <c r="E1265" s="5">
        <f>LOOKUP(D1265,'AMFI DATA_2023H1'!B:D,'AMFI DATA_2023H1'!D:D)</f>
        <v>18621.86</v>
      </c>
      <c r="F1265" s="7">
        <f t="shared" si="4"/>
        <v>0.19606741754046042</v>
      </c>
      <c r="G1265" s="8">
        <v>22273</v>
      </c>
      <c r="H1265" s="8">
        <v>22196</v>
      </c>
      <c r="I1265" s="8">
        <v>21850</v>
      </c>
      <c r="J1265" s="8">
        <v>21749</v>
      </c>
      <c r="K1265" s="8">
        <v>21557</v>
      </c>
      <c r="L1265" s="8">
        <v>21840</v>
      </c>
      <c r="M1265" s="8"/>
      <c r="N1265" s="8"/>
      <c r="O1265" s="8"/>
      <c r="P1265" s="8"/>
      <c r="Q1265" s="9">
        <f ca="1">IFERROR(__xludf.DUMMYFUNCTION("GOOGLEFINANCE(C1265,""changepct"")"),0.09)</f>
        <v>0.09</v>
      </c>
      <c r="R1265" s="8"/>
      <c r="S1265" s="8"/>
      <c r="T1265" s="8"/>
      <c r="U1265" s="8"/>
      <c r="V1265" s="8"/>
      <c r="W1265" s="8"/>
    </row>
    <row r="1266" spans="1:23" ht="14.4">
      <c r="A1266" s="3">
        <f>LOOKUP(D1266,'AMFI DATA_2023H1'!B:C,'AMFI DATA_2023H1'!C:C)</f>
        <v>342</v>
      </c>
      <c r="B1266" s="4" t="s">
        <v>1008</v>
      </c>
      <c r="C1266" s="4" t="s">
        <v>1009</v>
      </c>
      <c r="D1266" s="5" t="s">
        <v>1010</v>
      </c>
      <c r="E1266" s="5">
        <f>LOOKUP(D1266,'AMFI DATA_2023H1'!B:D,'AMFI DATA_2023H1'!D:D)</f>
        <v>10232.11</v>
      </c>
      <c r="F1266" s="7">
        <f t="shared" si="4"/>
        <v>0.79132163356336083</v>
      </c>
      <c r="G1266" s="8">
        <v>18329</v>
      </c>
      <c r="H1266" s="8">
        <v>18363</v>
      </c>
      <c r="I1266" s="8">
        <v>18283</v>
      </c>
      <c r="J1266" s="8">
        <v>18250</v>
      </c>
      <c r="K1266" s="8">
        <v>18336</v>
      </c>
      <c r="L1266" s="8">
        <v>18587</v>
      </c>
      <c r="M1266" s="8"/>
      <c r="N1266" s="8"/>
      <c r="O1266" s="8"/>
      <c r="P1266" s="8"/>
      <c r="Q1266" s="9" t="str">
        <f ca="1">IFERROR(__xludf.DUMMYFUNCTION("GOOGLEFINANCE(C1266,""changepct"")"),"#N/A")</f>
        <v>#N/A</v>
      </c>
      <c r="R1266" s="8"/>
      <c r="S1266" s="8"/>
      <c r="T1266" s="8"/>
      <c r="U1266" s="8"/>
      <c r="V1266" s="8"/>
      <c r="W1266" s="8"/>
    </row>
    <row r="1267" spans="1:23" ht="14.4">
      <c r="A1267" s="3">
        <f>LOOKUP(D1267,'AMFI DATA_2023H1'!B:C,'AMFI DATA_2023H1'!C:C)</f>
        <v>1051</v>
      </c>
      <c r="B1267" s="4" t="s">
        <v>2747</v>
      </c>
      <c r="C1267" s="4" t="s">
        <v>2748</v>
      </c>
      <c r="D1267" s="5" t="s">
        <v>2749</v>
      </c>
      <c r="E1267" s="5">
        <f>LOOKUP(D1267,'AMFI DATA_2023H1'!B:D,'AMFI DATA_2023H1'!D:D)</f>
        <v>1030.3499999999999</v>
      </c>
      <c r="F1267" s="7">
        <f t="shared" si="4"/>
        <v>1.2167224729460866</v>
      </c>
      <c r="G1267" s="8">
        <v>2284</v>
      </c>
      <c r="H1267" s="8">
        <v>2256</v>
      </c>
      <c r="I1267" s="8">
        <v>2265</v>
      </c>
      <c r="J1267" s="8">
        <v>2208</v>
      </c>
      <c r="K1267" s="8">
        <v>2203</v>
      </c>
      <c r="L1267" s="8">
        <v>2223</v>
      </c>
      <c r="M1267" s="8"/>
      <c r="N1267" s="8"/>
      <c r="O1267" s="8"/>
      <c r="P1267" s="8"/>
      <c r="Q1267" s="9">
        <f ca="1">IFERROR(__xludf.DUMMYFUNCTION("GOOGLEFINANCE(C1267,""changepct"")"),0.84)</f>
        <v>0.84</v>
      </c>
      <c r="R1267" s="8"/>
      <c r="S1267" s="8"/>
      <c r="T1267" s="8"/>
      <c r="U1267" s="8"/>
      <c r="V1267" s="8"/>
      <c r="W1267" s="8"/>
    </row>
    <row r="1268" spans="1:23" ht="14.4">
      <c r="A1268" s="3">
        <f>LOOKUP(D1268,'AMFI DATA_2023H1'!B:C,'AMFI DATA_2023H1'!C:C)</f>
        <v>1009</v>
      </c>
      <c r="B1268" s="4" t="s">
        <v>2885</v>
      </c>
      <c r="C1268" s="4" t="s">
        <v>2886</v>
      </c>
      <c r="D1268" s="5" t="s">
        <v>2887</v>
      </c>
      <c r="E1268" s="5">
        <f>LOOKUP(D1268,'AMFI DATA_2023H1'!B:D,'AMFI DATA_2023H1'!D:D)</f>
        <v>1121.76</v>
      </c>
      <c r="F1268" s="7">
        <f t="shared" si="4"/>
        <v>0.59570674654114963</v>
      </c>
      <c r="G1268" s="8">
        <v>1790</v>
      </c>
      <c r="H1268" s="8">
        <v>1770</v>
      </c>
      <c r="I1268" s="8">
        <v>1818</v>
      </c>
      <c r="J1268" s="8">
        <v>1824</v>
      </c>
      <c r="K1268" s="8">
        <v>1850</v>
      </c>
      <c r="L1268" s="8">
        <v>1863</v>
      </c>
      <c r="M1268" s="8"/>
      <c r="N1268" s="8"/>
      <c r="O1268" s="8"/>
      <c r="P1268" s="8"/>
      <c r="Q1268" s="9">
        <f ca="1">IFERROR(__xludf.DUMMYFUNCTION("GOOGLEFINANCE(C1268,""changepct"")"),1.94)</f>
        <v>1.94</v>
      </c>
      <c r="R1268" s="8"/>
      <c r="S1268" s="8"/>
      <c r="T1268" s="8"/>
      <c r="U1268" s="8"/>
      <c r="V1268" s="8"/>
      <c r="W1268" s="8"/>
    </row>
    <row r="1269" spans="1:23" ht="14.4">
      <c r="A1269" s="3">
        <f>LOOKUP(D1269,'AMFI DATA_2023H1'!B:C,'AMFI DATA_2023H1'!C:C)</f>
        <v>1372</v>
      </c>
      <c r="B1269" s="4" t="s">
        <v>3746</v>
      </c>
      <c r="C1269" s="4" t="s">
        <v>3747</v>
      </c>
      <c r="D1269" s="5" t="s">
        <v>3748</v>
      </c>
      <c r="E1269" s="5">
        <f>LOOKUP(D1269,'AMFI DATA_2023H1'!B:D,'AMFI DATA_2023H1'!D:D)</f>
        <v>437.74</v>
      </c>
      <c r="F1269" s="7">
        <f t="shared" si="4"/>
        <v>0.80243980445013019</v>
      </c>
      <c r="G1269" s="9">
        <v>789</v>
      </c>
      <c r="H1269" s="9">
        <v>773</v>
      </c>
      <c r="I1269" s="9">
        <v>774</v>
      </c>
      <c r="J1269" s="9">
        <v>762</v>
      </c>
      <c r="K1269" s="9">
        <v>772</v>
      </c>
      <c r="L1269" s="9">
        <v>754</v>
      </c>
      <c r="M1269" s="9"/>
      <c r="N1269" s="9"/>
      <c r="O1269" s="9"/>
      <c r="P1269" s="9"/>
      <c r="Q1269" s="9">
        <f ca="1">IFERROR(__xludf.DUMMYFUNCTION("GOOGLEFINANCE(C1269,""changepct"")"),-0.22)</f>
        <v>-0.22</v>
      </c>
      <c r="R1269" s="9"/>
      <c r="S1269" s="9"/>
      <c r="T1269" s="9"/>
      <c r="U1269" s="9"/>
      <c r="V1269" s="9"/>
      <c r="W1269" s="9"/>
    </row>
    <row r="1270" spans="1:23" ht="14.4">
      <c r="A1270" s="3">
        <f>LOOKUP(D1270,'AMFI DATA_2023H1'!B:C,'AMFI DATA_2023H1'!C:C)</f>
        <v>1372</v>
      </c>
      <c r="B1270" s="4" t="s">
        <v>3998</v>
      </c>
      <c r="C1270" s="4" t="s">
        <v>3999</v>
      </c>
      <c r="D1270" s="5" t="s">
        <v>4000</v>
      </c>
      <c r="E1270" s="5">
        <f>LOOKUP(D1270,'AMFI DATA_2023H1'!B:D,'AMFI DATA_2023H1'!D:D)</f>
        <v>437.74</v>
      </c>
      <c r="F1270" s="7">
        <f t="shared" si="4"/>
        <v>-1.6905012107644168E-3</v>
      </c>
      <c r="G1270" s="9">
        <v>437</v>
      </c>
      <c r="H1270" s="9">
        <v>440</v>
      </c>
      <c r="I1270" s="9">
        <v>434</v>
      </c>
      <c r="J1270" s="9">
        <v>437</v>
      </c>
      <c r="K1270" s="9">
        <v>442</v>
      </c>
      <c r="L1270" s="9">
        <v>438</v>
      </c>
      <c r="M1270" s="9"/>
      <c r="N1270" s="9"/>
      <c r="O1270" s="9"/>
      <c r="P1270" s="9"/>
      <c r="Q1270" s="9">
        <f ca="1">IFERROR(__xludf.DUMMYFUNCTION("GOOGLEFINANCE(C1270,""changepct"")"),-3.94)</f>
        <v>-3.94</v>
      </c>
      <c r="R1270" s="9"/>
      <c r="S1270" s="9"/>
      <c r="T1270" s="9"/>
      <c r="U1270" s="9"/>
      <c r="V1270" s="9"/>
      <c r="W1270" s="9"/>
    </row>
    <row r="1271" spans="1:23" ht="14.4">
      <c r="A1271" s="3">
        <f>LOOKUP(D1271,'AMFI DATA_2023H1'!B:C,'AMFI DATA_2023H1'!C:C)</f>
        <v>1018</v>
      </c>
      <c r="B1271" s="4" t="s">
        <v>3035</v>
      </c>
      <c r="C1271" s="4" t="s">
        <v>3036</v>
      </c>
      <c r="D1271" s="5" t="s">
        <v>3037</v>
      </c>
      <c r="E1271" s="5">
        <f>LOOKUP(D1271,'AMFI DATA_2023H1'!B:D,'AMFI DATA_2023H1'!D:D)</f>
        <v>1091.6099999999999</v>
      </c>
      <c r="F1271" s="7">
        <f t="shared" si="4"/>
        <v>0.6205421350115885</v>
      </c>
      <c r="G1271" s="8">
        <v>1769</v>
      </c>
      <c r="H1271" s="8">
        <v>1751</v>
      </c>
      <c r="I1271" s="8">
        <v>1760</v>
      </c>
      <c r="J1271" s="8">
        <v>1716</v>
      </c>
      <c r="K1271" s="8">
        <v>1700</v>
      </c>
      <c r="L1271" s="8">
        <v>1679</v>
      </c>
      <c r="M1271" s="8"/>
      <c r="N1271" s="8"/>
      <c r="O1271" s="8"/>
      <c r="P1271" s="8"/>
      <c r="Q1271" s="9">
        <f ca="1">IFERROR(__xludf.DUMMYFUNCTION("GOOGLEFINANCE(C1271,""changepct"")"),4.96)</f>
        <v>4.96</v>
      </c>
      <c r="R1271" s="8"/>
      <c r="S1271" s="8"/>
      <c r="T1271" s="8"/>
      <c r="U1271" s="8"/>
      <c r="V1271" s="8"/>
      <c r="W1271" s="8"/>
    </row>
    <row r="1272" spans="1:23" ht="14.4">
      <c r="A1272" s="3">
        <f>LOOKUP(D1272,'AMFI DATA_2023H1'!B:C,'AMFI DATA_2023H1'!C:C)</f>
        <v>321</v>
      </c>
      <c r="B1272" s="4" t="s">
        <v>864</v>
      </c>
      <c r="C1272" s="4" t="s">
        <v>865</v>
      </c>
      <c r="D1272" s="5" t="s">
        <v>866</v>
      </c>
      <c r="E1272" s="5">
        <f>LOOKUP(D1272,'AMFI DATA_2023H1'!B:D,'AMFI DATA_2023H1'!D:D)</f>
        <v>11081.5</v>
      </c>
      <c r="F1272" s="7">
        <f t="shared" si="4"/>
        <v>0.84162793845598527</v>
      </c>
      <c r="G1272" s="8">
        <v>20408</v>
      </c>
      <c r="H1272" s="8">
        <v>20305</v>
      </c>
      <c r="I1272" s="8">
        <v>20102</v>
      </c>
      <c r="J1272" s="8">
        <v>20407</v>
      </c>
      <c r="K1272" s="8">
        <v>20469</v>
      </c>
      <c r="L1272" s="8">
        <v>20134</v>
      </c>
      <c r="M1272" s="8"/>
      <c r="N1272" s="8"/>
      <c r="O1272" s="8"/>
      <c r="P1272" s="8"/>
      <c r="Q1272" s="9">
        <f ca="1">IFERROR(__xludf.DUMMYFUNCTION("GOOGLEFINANCE(C1272,""changepct"")"),1.48)</f>
        <v>1.48</v>
      </c>
      <c r="R1272" s="8"/>
      <c r="S1272" s="8"/>
      <c r="T1272" s="8"/>
      <c r="U1272" s="8"/>
      <c r="V1272" s="8"/>
      <c r="W1272" s="8"/>
    </row>
    <row r="1273" spans="1:23" ht="14.4">
      <c r="A1273" s="3">
        <f>LOOKUP(D1273,'AMFI DATA_2023H1'!B:C,'AMFI DATA_2023H1'!C:C)</f>
        <v>396</v>
      </c>
      <c r="B1273" s="4" t="s">
        <v>1338</v>
      </c>
      <c r="C1273" s="4" t="s">
        <v>1339</v>
      </c>
      <c r="D1273" s="5" t="s">
        <v>1340</v>
      </c>
      <c r="E1273" s="5">
        <f>LOOKUP(D1273,'AMFI DATA_2023H1'!B:D,'AMFI DATA_2023H1'!D:D)</f>
        <v>7884.49</v>
      </c>
      <c r="F1273" s="7">
        <f t="shared" si="4"/>
        <v>0.13716930327770083</v>
      </c>
      <c r="G1273" s="8">
        <v>8966</v>
      </c>
      <c r="H1273" s="8">
        <v>9030</v>
      </c>
      <c r="I1273" s="8">
        <v>8921</v>
      </c>
      <c r="J1273" s="8">
        <v>9002</v>
      </c>
      <c r="K1273" s="8">
        <v>9026</v>
      </c>
      <c r="L1273" s="8">
        <v>8858</v>
      </c>
      <c r="M1273" s="8"/>
      <c r="N1273" s="8"/>
      <c r="O1273" s="8"/>
      <c r="P1273" s="8"/>
      <c r="Q1273" s="9">
        <f ca="1">IFERROR(__xludf.DUMMYFUNCTION("GOOGLEFINANCE(C1273,""changepct"")"),-2.48)</f>
        <v>-2.48</v>
      </c>
      <c r="R1273" s="8"/>
      <c r="S1273" s="8"/>
      <c r="T1273" s="8"/>
      <c r="U1273" s="8"/>
      <c r="V1273" s="8"/>
      <c r="W1273" s="8"/>
    </row>
    <row r="1274" spans="1:23" ht="14.4">
      <c r="A1274" s="3">
        <f>LOOKUP(D1274,'AMFI DATA_2023H1'!B:C,'AMFI DATA_2023H1'!C:C)</f>
        <v>2340</v>
      </c>
      <c r="B1274" s="4" t="s">
        <v>5356</v>
      </c>
      <c r="C1274" s="4" t="s">
        <v>5357</v>
      </c>
      <c r="D1274" s="5" t="s">
        <v>5358</v>
      </c>
      <c r="E1274" s="5">
        <f>LOOKUP(D1274,'AMFI DATA_2023H1'!B:D,'AMFI DATA_2023H1'!D:D)</f>
        <v>80.349999999999994</v>
      </c>
      <c r="F1274" s="7">
        <f t="shared" si="4"/>
        <v>5.289359054138143E-2</v>
      </c>
      <c r="G1274" s="9">
        <v>84.6</v>
      </c>
      <c r="H1274" s="9">
        <v>83.3</v>
      </c>
      <c r="I1274" s="9">
        <v>86.2</v>
      </c>
      <c r="J1274" s="9">
        <v>83.8</v>
      </c>
      <c r="K1274" s="9">
        <v>77.099999999999994</v>
      </c>
      <c r="L1274" s="9">
        <v>76</v>
      </c>
      <c r="M1274" s="9"/>
      <c r="N1274" s="9"/>
      <c r="O1274" s="9"/>
      <c r="P1274" s="9"/>
      <c r="Q1274" s="9">
        <f ca="1">IFERROR(__xludf.DUMMYFUNCTION("GOOGLEFINANCE(C1274,""changepct"")"),2.4)</f>
        <v>2.4</v>
      </c>
      <c r="R1274" s="9"/>
      <c r="S1274" s="9"/>
      <c r="T1274" s="9"/>
      <c r="U1274" s="9"/>
      <c r="V1274" s="9"/>
      <c r="W1274" s="9"/>
    </row>
    <row r="1275" spans="1:23" ht="14.4">
      <c r="A1275" s="3">
        <f>LOOKUP(D1275,'AMFI DATA_2023H1'!B:C,'AMFI DATA_2023H1'!C:C)</f>
        <v>1578</v>
      </c>
      <c r="B1275" s="4" t="s">
        <v>4238</v>
      </c>
      <c r="C1275" s="4" t="s">
        <v>4239</v>
      </c>
      <c r="D1275" s="5" t="s">
        <v>4240</v>
      </c>
      <c r="E1275" s="5">
        <f>LOOKUP(D1275,'AMFI DATA_2023H1'!B:D,'AMFI DATA_2023H1'!D:D)</f>
        <v>298.89999999999998</v>
      </c>
      <c r="F1275" s="7">
        <f t="shared" si="4"/>
        <v>0.38842422214787575</v>
      </c>
      <c r="G1275" s="9">
        <v>415</v>
      </c>
      <c r="H1275" s="9">
        <v>402</v>
      </c>
      <c r="I1275" s="9">
        <v>400</v>
      </c>
      <c r="J1275" s="9">
        <v>386</v>
      </c>
      <c r="K1275" s="9">
        <v>394</v>
      </c>
      <c r="L1275" s="9">
        <v>378</v>
      </c>
      <c r="M1275" s="9"/>
      <c r="N1275" s="9"/>
      <c r="O1275" s="9"/>
      <c r="P1275" s="9"/>
      <c r="Q1275" s="9">
        <f ca="1">IFERROR(__xludf.DUMMYFUNCTION("GOOGLEFINANCE(C1275,""changepct"")"),4.1)</f>
        <v>4.0999999999999996</v>
      </c>
      <c r="R1275" s="9"/>
      <c r="S1275" s="9"/>
      <c r="T1275" s="9"/>
      <c r="U1275" s="9"/>
      <c r="V1275" s="9"/>
      <c r="W1275" s="9"/>
    </row>
    <row r="1276" spans="1:23" ht="14.4">
      <c r="A1276" s="3">
        <f>LOOKUP(D1276,'AMFI DATA_2023H1'!B:C,'AMFI DATA_2023H1'!C:C)</f>
        <v>1020</v>
      </c>
      <c r="B1276" s="4" t="s">
        <v>2990</v>
      </c>
      <c r="C1276" s="4" t="s">
        <v>2991</v>
      </c>
      <c r="D1276" s="5" t="s">
        <v>2992</v>
      </c>
      <c r="E1276" s="5">
        <f>LOOKUP(D1276,'AMFI DATA_2023H1'!B:D,'AMFI DATA_2023H1'!D:D)</f>
        <v>1089.22</v>
      </c>
      <c r="F1276" s="7">
        <f t="shared" si="4"/>
        <v>0.36703328987715977</v>
      </c>
      <c r="G1276" s="8">
        <v>1489</v>
      </c>
      <c r="H1276" s="8">
        <v>1496</v>
      </c>
      <c r="I1276" s="8">
        <v>1501</v>
      </c>
      <c r="J1276" s="8">
        <v>1516</v>
      </c>
      <c r="K1276" s="8">
        <v>1520</v>
      </c>
      <c r="L1276" s="8">
        <v>1494</v>
      </c>
      <c r="M1276" s="8"/>
      <c r="N1276" s="8"/>
      <c r="O1276" s="8"/>
      <c r="P1276" s="8"/>
      <c r="Q1276" s="9">
        <f ca="1">IFERROR(__xludf.DUMMYFUNCTION("GOOGLEFINANCE(C1276,""changepct"")"),1.29)</f>
        <v>1.29</v>
      </c>
      <c r="R1276" s="8"/>
      <c r="S1276" s="8"/>
      <c r="T1276" s="8"/>
      <c r="U1276" s="8"/>
      <c r="V1276" s="8"/>
      <c r="W1276" s="8"/>
    </row>
    <row r="1277" spans="1:23" ht="14.4">
      <c r="A1277" s="3">
        <f>LOOKUP(D1277,'AMFI DATA_2023H1'!B:C,'AMFI DATA_2023H1'!C:C)</f>
        <v>363</v>
      </c>
      <c r="B1277" s="4" t="s">
        <v>1026</v>
      </c>
      <c r="C1277" s="4" t="s">
        <v>1027</v>
      </c>
      <c r="D1277" s="5" t="s">
        <v>1028</v>
      </c>
      <c r="E1277" s="5">
        <f>LOOKUP(D1277,'AMFI DATA_2023H1'!B:D,'AMFI DATA_2023H1'!D:D)</f>
        <v>9198.5</v>
      </c>
      <c r="F1277" s="7">
        <f t="shared" ref="F1277:F1531" si="5">G1277/E1277-1</f>
        <v>0.53427189215632986</v>
      </c>
      <c r="G1277" s="8">
        <v>14113</v>
      </c>
      <c r="H1277" s="8">
        <v>14313</v>
      </c>
      <c r="I1277" s="8">
        <v>14493</v>
      </c>
      <c r="J1277" s="8">
        <v>14600</v>
      </c>
      <c r="K1277" s="8">
        <v>13837</v>
      </c>
      <c r="L1277" s="8">
        <v>14004</v>
      </c>
      <c r="M1277" s="8"/>
      <c r="N1277" s="8"/>
      <c r="O1277" s="8"/>
      <c r="P1277" s="8"/>
      <c r="Q1277" s="9">
        <f ca="1">IFERROR(__xludf.DUMMYFUNCTION("GOOGLEFINANCE(C1277,""changepct"")"),-0.43)</f>
        <v>-0.43</v>
      </c>
      <c r="R1277" s="8"/>
      <c r="S1277" s="8"/>
      <c r="T1277" s="8"/>
      <c r="U1277" s="8"/>
      <c r="V1277" s="8"/>
      <c r="W1277" s="8"/>
    </row>
    <row r="1278" spans="1:23" ht="14.4">
      <c r="A1278" s="3">
        <f>LOOKUP(D1278,'AMFI DATA_2023H1'!B:C,'AMFI DATA_2023H1'!C:C)</f>
        <v>111</v>
      </c>
      <c r="B1278" s="4" t="s">
        <v>261</v>
      </c>
      <c r="C1278" s="4" t="s">
        <v>262</v>
      </c>
      <c r="D1278" s="5" t="s">
        <v>263</v>
      </c>
      <c r="E1278" s="5">
        <f>LOOKUP(D1278,'AMFI DATA_2023H1'!B:D,'AMFI DATA_2023H1'!D:D)</f>
        <v>46542.82</v>
      </c>
      <c r="F1278" s="7">
        <f t="shared" si="5"/>
        <v>0.76319354950989227</v>
      </c>
      <c r="G1278" s="8">
        <v>82064</v>
      </c>
      <c r="H1278" s="8">
        <v>82462</v>
      </c>
      <c r="I1278" s="8">
        <v>81944</v>
      </c>
      <c r="J1278" s="8">
        <v>81691</v>
      </c>
      <c r="K1278" s="8">
        <v>80994</v>
      </c>
      <c r="L1278" s="8">
        <v>80479</v>
      </c>
      <c r="M1278" s="8"/>
      <c r="N1278" s="8"/>
      <c r="O1278" s="8"/>
      <c r="P1278" s="8"/>
      <c r="Q1278" s="9">
        <f ca="1">IFERROR(__xludf.DUMMYFUNCTION("GOOGLEFINANCE(C1278,""changepct"")"),-2.32)</f>
        <v>-2.3199999999999998</v>
      </c>
      <c r="R1278" s="8"/>
      <c r="S1278" s="8"/>
      <c r="T1278" s="8"/>
      <c r="U1278" s="8"/>
      <c r="V1278" s="8"/>
      <c r="W1278" s="8"/>
    </row>
    <row r="1279" spans="1:23" ht="14.4">
      <c r="A1279" s="3">
        <f>LOOKUP(D1279,'AMFI DATA_2023H1'!B:C,'AMFI DATA_2023H1'!C:C)</f>
        <v>548</v>
      </c>
      <c r="B1279" s="4" t="s">
        <v>2105</v>
      </c>
      <c r="C1279" s="4" t="s">
        <v>2106</v>
      </c>
      <c r="D1279" s="5" t="s">
        <v>2107</v>
      </c>
      <c r="E1279" s="5">
        <f>LOOKUP(D1279,'AMFI DATA_2023H1'!B:D,'AMFI DATA_2023H1'!D:D)</f>
        <v>4377.3500000000004</v>
      </c>
      <c r="F1279" s="7">
        <f t="shared" si="5"/>
        <v>-0.22921402218237064</v>
      </c>
      <c r="G1279" s="8">
        <v>3374</v>
      </c>
      <c r="H1279" s="8">
        <v>3301</v>
      </c>
      <c r="I1279" s="8">
        <v>3289</v>
      </c>
      <c r="J1279" s="8">
        <v>3347</v>
      </c>
      <c r="K1279" s="8">
        <v>3186</v>
      </c>
      <c r="L1279" s="8">
        <v>3194</v>
      </c>
      <c r="M1279" s="8"/>
      <c r="N1279" s="8"/>
      <c r="O1279" s="8"/>
      <c r="P1279" s="8"/>
      <c r="Q1279" s="9">
        <f ca="1">IFERROR(__xludf.DUMMYFUNCTION("GOOGLEFINANCE(C1279,""changepct"")"),-0.69)</f>
        <v>-0.69</v>
      </c>
      <c r="R1279" s="8"/>
      <c r="S1279" s="8"/>
      <c r="T1279" s="8"/>
      <c r="U1279" s="8"/>
      <c r="V1279" s="8"/>
      <c r="W1279" s="8"/>
    </row>
    <row r="1280" spans="1:23" ht="14.4">
      <c r="A1280" s="3">
        <f>LOOKUP(D1280,'AMFI DATA_2023H1'!B:C,'AMFI DATA_2023H1'!C:C)</f>
        <v>1396</v>
      </c>
      <c r="B1280" s="4" t="s">
        <v>3953</v>
      </c>
      <c r="C1280" s="4" t="s">
        <v>3954</v>
      </c>
      <c r="D1280" s="5" t="s">
        <v>3955</v>
      </c>
      <c r="E1280" s="5">
        <f>LOOKUP(D1280,'AMFI DATA_2023H1'!B:D,'AMFI DATA_2023H1'!D:D)</f>
        <v>412.5</v>
      </c>
      <c r="F1280" s="7">
        <f t="shared" si="5"/>
        <v>0.39151515151515159</v>
      </c>
      <c r="G1280" s="9">
        <v>574</v>
      </c>
      <c r="H1280" s="9">
        <v>583</v>
      </c>
      <c r="I1280" s="9">
        <v>588</v>
      </c>
      <c r="J1280" s="9">
        <v>602</v>
      </c>
      <c r="K1280" s="9">
        <v>557</v>
      </c>
      <c r="L1280" s="9">
        <v>547</v>
      </c>
      <c r="M1280" s="9"/>
      <c r="N1280" s="9"/>
      <c r="O1280" s="9"/>
      <c r="P1280" s="9"/>
      <c r="Q1280" s="9">
        <f ca="1">IFERROR(__xludf.DUMMYFUNCTION("GOOGLEFINANCE(C1280,""changepct"")"),-1.65)</f>
        <v>-1.65</v>
      </c>
      <c r="R1280" s="9"/>
      <c r="S1280" s="9"/>
      <c r="T1280" s="9"/>
      <c r="U1280" s="9"/>
      <c r="V1280" s="9"/>
      <c r="W1280" s="9"/>
    </row>
    <row r="1281" spans="1:23" ht="14.4">
      <c r="A1281" s="3">
        <f>LOOKUP(D1281,'AMFI DATA_2023H1'!B:C,'AMFI DATA_2023H1'!C:C)</f>
        <v>1453</v>
      </c>
      <c r="B1281" s="4" t="s">
        <v>4274</v>
      </c>
      <c r="C1281" s="4" t="s">
        <v>4275</v>
      </c>
      <c r="D1281" s="5" t="s">
        <v>4276</v>
      </c>
      <c r="E1281" s="5">
        <f>LOOKUP(D1281,'AMFI DATA_2023H1'!B:D,'AMFI DATA_2023H1'!D:D)</f>
        <v>377.89</v>
      </c>
      <c r="F1281" s="7">
        <f t="shared" si="5"/>
        <v>-6.8512000846807197E-2</v>
      </c>
      <c r="G1281" s="9">
        <v>352</v>
      </c>
      <c r="H1281" s="9">
        <v>350</v>
      </c>
      <c r="I1281" s="9">
        <v>352</v>
      </c>
      <c r="J1281" s="9">
        <v>347</v>
      </c>
      <c r="K1281" s="9">
        <v>349</v>
      </c>
      <c r="L1281" s="9">
        <v>348</v>
      </c>
      <c r="M1281" s="9"/>
      <c r="N1281" s="9"/>
      <c r="O1281" s="9"/>
      <c r="P1281" s="9"/>
      <c r="Q1281" s="9">
        <f ca="1">IFERROR(__xludf.DUMMYFUNCTION("GOOGLEFINANCE(C1281,""changepct"")"),4.6)</f>
        <v>4.5999999999999996</v>
      </c>
      <c r="R1281" s="9"/>
      <c r="S1281" s="9"/>
      <c r="T1281" s="9"/>
      <c r="U1281" s="9"/>
      <c r="V1281" s="9"/>
      <c r="W1281" s="9"/>
    </row>
    <row r="1282" spans="1:23" ht="14.4">
      <c r="A1282" s="3">
        <f>LOOKUP(D1282,'AMFI DATA_2023H1'!B:C,'AMFI DATA_2023H1'!C:C)</f>
        <v>199</v>
      </c>
      <c r="B1282" s="4" t="s">
        <v>624</v>
      </c>
      <c r="C1282" s="4" t="s">
        <v>625</v>
      </c>
      <c r="D1282" s="5" t="s">
        <v>626</v>
      </c>
      <c r="E1282" s="5">
        <f>LOOKUP(D1282,'AMFI DATA_2023H1'!B:D,'AMFI DATA_2023H1'!D:D)</f>
        <v>23858.2</v>
      </c>
      <c r="F1282" s="7">
        <f t="shared" si="5"/>
        <v>0.41033271579582697</v>
      </c>
      <c r="G1282" s="8">
        <v>33648</v>
      </c>
      <c r="H1282" s="8">
        <v>33532</v>
      </c>
      <c r="I1282" s="8">
        <v>33094</v>
      </c>
      <c r="J1282" s="8">
        <v>33423</v>
      </c>
      <c r="K1282" s="8">
        <v>33868</v>
      </c>
      <c r="L1282" s="8">
        <v>34003</v>
      </c>
      <c r="M1282" s="8"/>
      <c r="N1282" s="8"/>
      <c r="O1282" s="8"/>
      <c r="P1282" s="8"/>
      <c r="Q1282" s="9">
        <f ca="1">IFERROR(__xludf.DUMMYFUNCTION("GOOGLEFINANCE(C1282,""changepct"")"),-0.3)</f>
        <v>-0.3</v>
      </c>
      <c r="R1282" s="8"/>
      <c r="S1282" s="8"/>
      <c r="T1282" s="8"/>
      <c r="U1282" s="8"/>
      <c r="V1282" s="8"/>
      <c r="W1282" s="8"/>
    </row>
    <row r="1283" spans="1:23" ht="14.4">
      <c r="A1283" s="3">
        <f>LOOKUP(D1283,'AMFI DATA_2023H1'!B:C,'AMFI DATA_2023H1'!C:C)</f>
        <v>2331</v>
      </c>
      <c r="B1283" s="4" t="s">
        <v>5461</v>
      </c>
      <c r="C1283" s="4" t="s">
        <v>5462</v>
      </c>
      <c r="D1283" s="5" t="s">
        <v>5463</v>
      </c>
      <c r="E1283" s="5">
        <f>LOOKUP(D1283,'AMFI DATA_2023H1'!B:D,'AMFI DATA_2023H1'!D:D)</f>
        <v>82.19</v>
      </c>
      <c r="F1283" s="7">
        <f t="shared" si="5"/>
        <v>-0.1580484243825282</v>
      </c>
      <c r="G1283" s="9">
        <v>69.2</v>
      </c>
      <c r="H1283" s="9">
        <v>65.900000000000006</v>
      </c>
      <c r="I1283" s="9">
        <v>63.1</v>
      </c>
      <c r="J1283" s="9">
        <v>61.5</v>
      </c>
      <c r="K1283" s="9">
        <v>60.9</v>
      </c>
      <c r="L1283" s="9">
        <v>61.2</v>
      </c>
      <c r="M1283" s="9"/>
      <c r="N1283" s="9"/>
      <c r="O1283" s="9"/>
      <c r="P1283" s="9"/>
      <c r="Q1283" s="9">
        <f ca="1">IFERROR(__xludf.DUMMYFUNCTION("GOOGLEFINANCE(C1283,""changepct"")"),9.89)</f>
        <v>9.89</v>
      </c>
      <c r="R1283" s="9"/>
      <c r="S1283" s="9"/>
      <c r="T1283" s="9"/>
      <c r="U1283" s="9"/>
      <c r="V1283" s="9"/>
      <c r="W1283" s="9"/>
    </row>
    <row r="1284" spans="1:23" ht="14.4">
      <c r="A1284" s="3">
        <f>LOOKUP(D1284,'AMFI DATA_2023H1'!B:C,'AMFI DATA_2023H1'!C:C)</f>
        <v>118</v>
      </c>
      <c r="B1284" s="4" t="s">
        <v>222</v>
      </c>
      <c r="C1284" s="4" t="s">
        <v>223</v>
      </c>
      <c r="D1284" s="5" t="s">
        <v>224</v>
      </c>
      <c r="E1284" s="5">
        <f>LOOKUP(D1284,'AMFI DATA_2023H1'!B:D,'AMFI DATA_2023H1'!D:D)</f>
        <v>43343.54</v>
      </c>
      <c r="F1284" s="7">
        <f t="shared" si="5"/>
        <v>2.0078530733761015</v>
      </c>
      <c r="G1284" s="8">
        <v>130371</v>
      </c>
      <c r="H1284" s="8">
        <v>126212</v>
      </c>
      <c r="I1284" s="8">
        <v>127087</v>
      </c>
      <c r="J1284" s="8">
        <v>127021</v>
      </c>
      <c r="K1284" s="8">
        <v>129446</v>
      </c>
      <c r="L1284" s="8">
        <v>127681</v>
      </c>
      <c r="M1284" s="8"/>
      <c r="N1284" s="8"/>
      <c r="O1284" s="8"/>
      <c r="P1284" s="8"/>
      <c r="Q1284" s="9">
        <f ca="1">IFERROR(__xludf.DUMMYFUNCTION("GOOGLEFINANCE(C1284,""changepct"")"),6.32)</f>
        <v>6.32</v>
      </c>
      <c r="R1284" s="8"/>
      <c r="S1284" s="8"/>
      <c r="T1284" s="8"/>
      <c r="U1284" s="8"/>
      <c r="V1284" s="8"/>
      <c r="W1284" s="8"/>
    </row>
    <row r="1285" spans="1:23" ht="14.4">
      <c r="A1285" s="3">
        <f>LOOKUP(D1285,'AMFI DATA_2023H1'!B:C,'AMFI DATA_2023H1'!C:C)</f>
        <v>33</v>
      </c>
      <c r="B1285" s="4" t="s">
        <v>99</v>
      </c>
      <c r="C1285" s="4" t="s">
        <v>100</v>
      </c>
      <c r="D1285" s="5" t="s">
        <v>101</v>
      </c>
      <c r="E1285" s="5">
        <f>LOOKUP(D1285,'AMFI DATA_2023H1'!B:D,'AMFI DATA_2023H1'!D:D)</f>
        <v>159466.71</v>
      </c>
      <c r="F1285" s="7">
        <f t="shared" si="5"/>
        <v>0.38663423858183332</v>
      </c>
      <c r="G1285" s="8">
        <v>221122</v>
      </c>
      <c r="H1285" s="8">
        <v>220145</v>
      </c>
      <c r="I1285" s="8">
        <v>222005</v>
      </c>
      <c r="J1285" s="8">
        <v>217681</v>
      </c>
      <c r="K1285" s="8">
        <v>217076</v>
      </c>
      <c r="L1285" s="8">
        <v>215541</v>
      </c>
      <c r="M1285" s="8"/>
      <c r="N1285" s="8"/>
      <c r="O1285" s="8"/>
      <c r="P1285" s="8"/>
      <c r="Q1285" s="9">
        <f ca="1">IFERROR(__xludf.DUMMYFUNCTION("GOOGLEFINANCE(C1285,""changepct"")"),1.56)</f>
        <v>1.56</v>
      </c>
      <c r="R1285" s="8"/>
      <c r="S1285" s="8"/>
      <c r="T1285" s="8"/>
      <c r="U1285" s="8"/>
      <c r="V1285" s="8"/>
      <c r="W1285" s="8"/>
    </row>
    <row r="1286" spans="1:23" ht="14.4">
      <c r="A1286" s="3">
        <f>LOOKUP(D1286,'AMFI DATA_2023H1'!B:C,'AMFI DATA_2023H1'!C:C)</f>
        <v>594</v>
      </c>
      <c r="B1286" s="4" t="s">
        <v>1668</v>
      </c>
      <c r="C1286" s="4" t="s">
        <v>1669</v>
      </c>
      <c r="D1286" s="5" t="s">
        <v>1670</v>
      </c>
      <c r="E1286" s="5">
        <f>LOOKUP(D1286,'AMFI DATA_2023H1'!B:D,'AMFI DATA_2023H1'!D:D)</f>
        <v>3773.21</v>
      </c>
      <c r="F1286" s="7">
        <f t="shared" si="5"/>
        <v>0.87691647165145858</v>
      </c>
      <c r="G1286" s="8">
        <v>7082</v>
      </c>
      <c r="H1286" s="8">
        <v>6780</v>
      </c>
      <c r="I1286" s="8">
        <v>6569</v>
      </c>
      <c r="J1286" s="8">
        <v>6512</v>
      </c>
      <c r="K1286" s="8">
        <v>6466</v>
      </c>
      <c r="L1286" s="8">
        <v>6466</v>
      </c>
      <c r="M1286" s="8"/>
      <c r="N1286" s="8"/>
      <c r="O1286" s="8"/>
      <c r="P1286" s="8"/>
      <c r="Q1286" s="9">
        <f ca="1">IFERROR(__xludf.DUMMYFUNCTION("GOOGLEFINANCE(C1286,""changepct"")"),0.88)</f>
        <v>0.88</v>
      </c>
      <c r="R1286" s="8"/>
      <c r="S1286" s="8"/>
      <c r="T1286" s="8"/>
      <c r="U1286" s="8"/>
      <c r="V1286" s="8"/>
      <c r="W1286" s="8"/>
    </row>
    <row r="1287" spans="1:23" ht="14.4">
      <c r="A1287" s="3">
        <f>LOOKUP(D1287,'AMFI DATA_2023H1'!B:C,'AMFI DATA_2023H1'!C:C)</f>
        <v>1619</v>
      </c>
      <c r="B1287" s="4" t="s">
        <v>4352</v>
      </c>
      <c r="C1287" s="4" t="s">
        <v>4353</v>
      </c>
      <c r="D1287" s="5" t="s">
        <v>4354</v>
      </c>
      <c r="E1287" s="5">
        <f>LOOKUP(D1287,'AMFI DATA_2023H1'!B:D,'AMFI DATA_2023H1'!D:D)</f>
        <v>275.07</v>
      </c>
      <c r="F1287" s="7">
        <f t="shared" si="5"/>
        <v>0.21787181444723158</v>
      </c>
      <c r="G1287" s="9">
        <v>335</v>
      </c>
      <c r="H1287" s="9">
        <v>334</v>
      </c>
      <c r="I1287" s="9">
        <v>317</v>
      </c>
      <c r="J1287" s="9">
        <v>319</v>
      </c>
      <c r="K1287" s="9">
        <v>326</v>
      </c>
      <c r="L1287" s="9">
        <v>304</v>
      </c>
      <c r="M1287" s="9"/>
      <c r="N1287" s="9"/>
      <c r="O1287" s="9"/>
      <c r="P1287" s="9"/>
      <c r="Q1287" s="9">
        <f ca="1">IFERROR(__xludf.DUMMYFUNCTION("GOOGLEFINANCE(C1287,""changepct"")"),0.17)</f>
        <v>0.17</v>
      </c>
      <c r="R1287" s="9"/>
      <c r="S1287" s="9"/>
      <c r="T1287" s="9"/>
      <c r="U1287" s="9"/>
      <c r="V1287" s="9"/>
      <c r="W1287" s="9"/>
    </row>
    <row r="1288" spans="1:23" ht="14.4">
      <c r="A1288" s="3">
        <f>LOOKUP(D1288,'AMFI DATA_2023H1'!B:C,'AMFI DATA_2023H1'!C:C)</f>
        <v>438</v>
      </c>
      <c r="B1288" s="4" t="s">
        <v>1266</v>
      </c>
      <c r="C1288" s="4" t="s">
        <v>1267</v>
      </c>
      <c r="D1288" s="5" t="s">
        <v>1268</v>
      </c>
      <c r="E1288" s="5">
        <f>LOOKUP(D1288,'AMFI DATA_2023H1'!B:D,'AMFI DATA_2023H1'!D:D)</f>
        <v>6558.4</v>
      </c>
      <c r="F1288" s="7">
        <f t="shared" si="5"/>
        <v>0.55830690412295692</v>
      </c>
      <c r="G1288" s="8">
        <v>10220</v>
      </c>
      <c r="H1288" s="8">
        <v>10214</v>
      </c>
      <c r="I1288" s="8">
        <v>10151</v>
      </c>
      <c r="J1288" s="8">
        <v>10083</v>
      </c>
      <c r="K1288" s="8">
        <v>10257</v>
      </c>
      <c r="L1288" s="8">
        <v>10326</v>
      </c>
      <c r="M1288" s="8"/>
      <c r="N1288" s="8"/>
      <c r="O1288" s="8"/>
      <c r="P1288" s="8"/>
      <c r="Q1288" s="9">
        <f ca="1">IFERROR(__xludf.DUMMYFUNCTION("GOOGLEFINANCE(C1288,""changepct"")"),-0.4)</f>
        <v>-0.4</v>
      </c>
      <c r="R1288" s="8"/>
      <c r="S1288" s="8"/>
      <c r="T1288" s="8"/>
      <c r="U1288" s="8"/>
      <c r="V1288" s="8"/>
      <c r="W1288" s="8"/>
    </row>
    <row r="1289" spans="1:23" ht="14.4">
      <c r="A1289" s="3">
        <f>LOOKUP(D1289,'AMFI DATA_2023H1'!B:C,'AMFI DATA_2023H1'!C:C)</f>
        <v>2285</v>
      </c>
      <c r="B1289" s="4" t="s">
        <v>5156</v>
      </c>
      <c r="C1289" s="4" t="s">
        <v>5157</v>
      </c>
      <c r="D1289" s="5" t="s">
        <v>5158</v>
      </c>
      <c r="E1289" s="5">
        <f>LOOKUP(D1289,'AMFI DATA_2023H1'!B:D,'AMFI DATA_2023H1'!D:D)</f>
        <v>89.42</v>
      </c>
      <c r="F1289" s="7">
        <f t="shared" si="5"/>
        <v>0.72220979646611494</v>
      </c>
      <c r="G1289" s="9">
        <v>154</v>
      </c>
      <c r="H1289" s="9">
        <v>146</v>
      </c>
      <c r="I1289" s="9">
        <v>140</v>
      </c>
      <c r="J1289" s="9">
        <v>141</v>
      </c>
      <c r="K1289" s="9">
        <v>137</v>
      </c>
      <c r="L1289" s="9">
        <v>131</v>
      </c>
      <c r="M1289" s="9"/>
      <c r="N1289" s="9"/>
      <c r="O1289" s="9"/>
      <c r="P1289" s="9"/>
      <c r="Q1289" s="9">
        <f ca="1">IFERROR(__xludf.DUMMYFUNCTION("GOOGLEFINANCE(C1289,""changepct"")"),-3.59)</f>
        <v>-3.59</v>
      </c>
      <c r="R1289" s="9"/>
      <c r="S1289" s="9"/>
      <c r="T1289" s="9"/>
      <c r="U1289" s="9"/>
      <c r="V1289" s="9"/>
      <c r="W1289" s="9"/>
    </row>
    <row r="1290" spans="1:23" ht="14.4">
      <c r="A1290" s="3">
        <f>LOOKUP(D1290,'AMFI DATA_2023H1'!B:C,'AMFI DATA_2023H1'!C:C)</f>
        <v>1037</v>
      </c>
      <c r="B1290" s="4" t="s">
        <v>2519</v>
      </c>
      <c r="C1290" s="4" t="s">
        <v>2520</v>
      </c>
      <c r="D1290" s="5" t="s">
        <v>2521</v>
      </c>
      <c r="E1290" s="5">
        <f>LOOKUP(D1290,'AMFI DATA_2023H1'!B:D,'AMFI DATA_2023H1'!D:D)</f>
        <v>1055.96</v>
      </c>
      <c r="F1290" s="7">
        <f t="shared" si="5"/>
        <v>1.9754914958899956</v>
      </c>
      <c r="G1290" s="8">
        <v>3142</v>
      </c>
      <c r="H1290" s="8">
        <v>3001</v>
      </c>
      <c r="I1290" s="8">
        <v>3014</v>
      </c>
      <c r="J1290" s="8">
        <v>3104</v>
      </c>
      <c r="K1290" s="8">
        <v>3149</v>
      </c>
      <c r="L1290" s="8">
        <v>3093</v>
      </c>
      <c r="M1290" s="8"/>
      <c r="N1290" s="8"/>
      <c r="O1290" s="8"/>
      <c r="P1290" s="8"/>
      <c r="Q1290" s="9">
        <f ca="1">IFERROR(__xludf.DUMMYFUNCTION("GOOGLEFINANCE(C1290,""changepct"")"),5.34)</f>
        <v>5.34</v>
      </c>
      <c r="R1290" s="8"/>
      <c r="S1290" s="8"/>
      <c r="T1290" s="8"/>
      <c r="U1290" s="8"/>
      <c r="V1290" s="8"/>
      <c r="W1290" s="8"/>
    </row>
    <row r="1291" spans="1:23" ht="14.4">
      <c r="A1291" s="3">
        <f>LOOKUP(D1291,'AMFI DATA_2023H1'!B:C,'AMFI DATA_2023H1'!C:C)</f>
        <v>1451</v>
      </c>
      <c r="B1291" s="4" t="s">
        <v>3653</v>
      </c>
      <c r="C1291" s="4" t="s">
        <v>3654</v>
      </c>
      <c r="D1291" s="5" t="s">
        <v>3655</v>
      </c>
      <c r="E1291" s="5">
        <f>LOOKUP(D1291,'AMFI DATA_2023H1'!B:D,'AMFI DATA_2023H1'!D:D)</f>
        <v>378.78</v>
      </c>
      <c r="F1291" s="7">
        <f t="shared" si="5"/>
        <v>1.5872538148793498</v>
      </c>
      <c r="G1291" s="9">
        <v>980</v>
      </c>
      <c r="H1291" s="9">
        <v>953</v>
      </c>
      <c r="I1291" s="9">
        <v>954</v>
      </c>
      <c r="J1291" s="9">
        <v>961</v>
      </c>
      <c r="K1291" s="9">
        <v>971</v>
      </c>
      <c r="L1291" s="9">
        <v>986</v>
      </c>
      <c r="M1291" s="9"/>
      <c r="N1291" s="9"/>
      <c r="O1291" s="9"/>
      <c r="P1291" s="9"/>
      <c r="Q1291" s="9">
        <f ca="1">IFERROR(__xludf.DUMMYFUNCTION("GOOGLEFINANCE(C1291,""changepct"")"),2.15)</f>
        <v>2.15</v>
      </c>
      <c r="R1291" s="9"/>
      <c r="S1291" s="9"/>
      <c r="T1291" s="9"/>
      <c r="U1291" s="9"/>
      <c r="V1291" s="9"/>
      <c r="W1291" s="9"/>
    </row>
    <row r="1292" spans="1:23" ht="14.4">
      <c r="A1292" s="3">
        <f>LOOKUP(D1292,'AMFI DATA_2023H1'!B:C,'AMFI DATA_2023H1'!C:C)</f>
        <v>2349</v>
      </c>
      <c r="B1292" s="4" t="s">
        <v>5189</v>
      </c>
      <c r="C1292" s="4" t="s">
        <v>5190</v>
      </c>
      <c r="D1292" s="5" t="s">
        <v>5191</v>
      </c>
      <c r="E1292" s="5">
        <f>LOOKUP(D1292,'AMFI DATA_2023H1'!B:D,'AMFI DATA_2023H1'!D:D)</f>
        <v>78.489999999999995</v>
      </c>
      <c r="F1292" s="7">
        <f t="shared" si="5"/>
        <v>1.2805452923939358</v>
      </c>
      <c r="G1292" s="9">
        <v>179</v>
      </c>
      <c r="H1292" s="9">
        <v>172</v>
      </c>
      <c r="I1292" s="9">
        <v>180</v>
      </c>
      <c r="J1292" s="9">
        <v>172</v>
      </c>
      <c r="K1292" s="9">
        <v>161</v>
      </c>
      <c r="L1292" s="9">
        <v>155</v>
      </c>
      <c r="M1292" s="9"/>
      <c r="N1292" s="9"/>
      <c r="O1292" s="9"/>
      <c r="P1292" s="9"/>
      <c r="Q1292" s="9">
        <f ca="1">IFERROR(__xludf.DUMMYFUNCTION("GOOGLEFINANCE(C1292,""changepct"")"),-3.7)</f>
        <v>-3.7</v>
      </c>
      <c r="R1292" s="9"/>
      <c r="S1292" s="9"/>
      <c r="T1292" s="9"/>
      <c r="U1292" s="9"/>
      <c r="V1292" s="9"/>
      <c r="W1292" s="9"/>
    </row>
    <row r="1293" spans="1:23" ht="14.4">
      <c r="A1293" s="3">
        <f>LOOKUP(D1293,'AMFI DATA_2023H1'!B:C,'AMFI DATA_2023H1'!C:C)</f>
        <v>818</v>
      </c>
      <c r="B1293" s="4" t="s">
        <v>2630</v>
      </c>
      <c r="C1293" s="4" t="s">
        <v>2631</v>
      </c>
      <c r="D1293" s="5" t="s">
        <v>2632</v>
      </c>
      <c r="E1293" s="5">
        <f>LOOKUP(D1293,'AMFI DATA_2023H1'!B:D,'AMFI DATA_2023H1'!D:D)</f>
        <v>1845.2</v>
      </c>
      <c r="F1293" s="7">
        <f t="shared" si="5"/>
        <v>0.44320398872750921</v>
      </c>
      <c r="G1293" s="8">
        <v>2663</v>
      </c>
      <c r="H1293" s="8">
        <v>2560</v>
      </c>
      <c r="I1293" s="8">
        <v>2501</v>
      </c>
      <c r="J1293" s="8">
        <v>2529</v>
      </c>
      <c r="K1293" s="8">
        <v>2446</v>
      </c>
      <c r="L1293" s="8">
        <v>2304</v>
      </c>
      <c r="M1293" s="8"/>
      <c r="N1293" s="8"/>
      <c r="O1293" s="8"/>
      <c r="P1293" s="8"/>
      <c r="Q1293" s="9">
        <f ca="1">IFERROR(__xludf.DUMMYFUNCTION("GOOGLEFINANCE(C1293,""changepct"")"),-3.11)</f>
        <v>-3.11</v>
      </c>
      <c r="R1293" s="8"/>
      <c r="S1293" s="8"/>
      <c r="T1293" s="8"/>
      <c r="U1293" s="8"/>
      <c r="V1293" s="8"/>
      <c r="W1293" s="8"/>
    </row>
    <row r="1294" spans="1:23" ht="14.4">
      <c r="A1294" s="3">
        <f>LOOKUP(D1294,'AMFI DATA_2023H1'!B:C,'AMFI DATA_2023H1'!C:C)</f>
        <v>1894</v>
      </c>
      <c r="B1294" s="4" t="s">
        <v>4331</v>
      </c>
      <c r="C1294" s="4" t="s">
        <v>4332</v>
      </c>
      <c r="D1294" s="5" t="s">
        <v>4333</v>
      </c>
      <c r="E1294" s="5">
        <f>LOOKUP(D1294,'AMFI DATA_2023H1'!B:D,'AMFI DATA_2023H1'!D:D)</f>
        <v>166.91</v>
      </c>
      <c r="F1294" s="7">
        <f t="shared" si="5"/>
        <v>1.1748247558564495</v>
      </c>
      <c r="G1294" s="9">
        <v>363</v>
      </c>
      <c r="H1294" s="9">
        <v>356</v>
      </c>
      <c r="I1294" s="9">
        <v>358</v>
      </c>
      <c r="J1294" s="9">
        <v>362</v>
      </c>
      <c r="K1294" s="9">
        <v>350</v>
      </c>
      <c r="L1294" s="9">
        <v>359</v>
      </c>
      <c r="M1294" s="9"/>
      <c r="N1294" s="9"/>
      <c r="O1294" s="9"/>
      <c r="P1294" s="9"/>
      <c r="Q1294" s="9">
        <f ca="1">IFERROR(__xludf.DUMMYFUNCTION("GOOGLEFINANCE(C1294,""changepct"")"),22.72)</f>
        <v>22.72</v>
      </c>
      <c r="R1294" s="9"/>
      <c r="S1294" s="9"/>
      <c r="T1294" s="9"/>
      <c r="U1294" s="9"/>
      <c r="V1294" s="9"/>
      <c r="W1294" s="9"/>
    </row>
    <row r="1295" spans="1:23" ht="14.4">
      <c r="A1295" s="3">
        <f>LOOKUP(D1295,'AMFI DATA_2023H1'!B:C,'AMFI DATA_2023H1'!C:C)</f>
        <v>987</v>
      </c>
      <c r="B1295" s="4" t="s">
        <v>2528</v>
      </c>
      <c r="C1295" s="4" t="s">
        <v>2529</v>
      </c>
      <c r="D1295" s="5" t="s">
        <v>2530</v>
      </c>
      <c r="E1295" s="5">
        <f>LOOKUP(D1295,'AMFI DATA_2023H1'!B:D,'AMFI DATA_2023H1'!D:D)</f>
        <v>1216.98</v>
      </c>
      <c r="F1295" s="7">
        <f t="shared" si="5"/>
        <v>1.0361879406399446</v>
      </c>
      <c r="G1295" s="8">
        <v>2478</v>
      </c>
      <c r="H1295" s="8">
        <v>2375</v>
      </c>
      <c r="I1295" s="8">
        <v>2278</v>
      </c>
      <c r="J1295" s="8">
        <v>2328</v>
      </c>
      <c r="K1295" s="8">
        <v>2335</v>
      </c>
      <c r="L1295" s="8">
        <v>2295</v>
      </c>
      <c r="M1295" s="8"/>
      <c r="N1295" s="8"/>
      <c r="O1295" s="8"/>
      <c r="P1295" s="8"/>
      <c r="Q1295" s="9">
        <f ca="1">IFERROR(__xludf.DUMMYFUNCTION("GOOGLEFINANCE(C1295,""changepct"")"),-0.43)</f>
        <v>-0.43</v>
      </c>
      <c r="R1295" s="8"/>
      <c r="S1295" s="8"/>
      <c r="T1295" s="8"/>
      <c r="U1295" s="8"/>
      <c r="V1295" s="8"/>
      <c r="W1295" s="8"/>
    </row>
    <row r="1296" spans="1:23" ht="14.4">
      <c r="A1296" s="3">
        <f>LOOKUP(D1296,'AMFI DATA_2023H1'!B:C,'AMFI DATA_2023H1'!C:C)</f>
        <v>959</v>
      </c>
      <c r="B1296" s="4" t="s">
        <v>2732</v>
      </c>
      <c r="C1296" s="4" t="s">
        <v>2733</v>
      </c>
      <c r="D1296" s="5" t="s">
        <v>2734</v>
      </c>
      <c r="E1296" s="5">
        <f>LOOKUP(D1296,'AMFI DATA_2023H1'!B:D,'AMFI DATA_2023H1'!D:D)</f>
        <v>1296.78</v>
      </c>
      <c r="F1296" s="7">
        <f t="shared" si="5"/>
        <v>0.67568901432779649</v>
      </c>
      <c r="G1296" s="8">
        <v>2173</v>
      </c>
      <c r="H1296" s="8">
        <v>2158</v>
      </c>
      <c r="I1296" s="8">
        <v>2147</v>
      </c>
      <c r="J1296" s="8">
        <v>2143</v>
      </c>
      <c r="K1296" s="8">
        <v>2117</v>
      </c>
      <c r="L1296" s="8">
        <v>2189</v>
      </c>
      <c r="M1296" s="8"/>
      <c r="N1296" s="8"/>
      <c r="O1296" s="8"/>
      <c r="P1296" s="8"/>
      <c r="Q1296" s="9">
        <f ca="1">IFERROR(__xludf.DUMMYFUNCTION("GOOGLEFINANCE(C1296,""changepct"")"),1.63)</f>
        <v>1.63</v>
      </c>
      <c r="R1296" s="8"/>
      <c r="S1296" s="8"/>
      <c r="T1296" s="8"/>
      <c r="U1296" s="8"/>
      <c r="V1296" s="8"/>
      <c r="W1296" s="8"/>
    </row>
    <row r="1297" spans="1:23" ht="14.4">
      <c r="A1297" s="3">
        <f>LOOKUP(D1297,'AMFI DATA_2023H1'!B:C,'AMFI DATA_2023H1'!C:C)</f>
        <v>1762</v>
      </c>
      <c r="B1297" s="4" t="s">
        <v>4511</v>
      </c>
      <c r="C1297" s="4" t="s">
        <v>4512</v>
      </c>
      <c r="D1297" s="5" t="s">
        <v>4513</v>
      </c>
      <c r="E1297" s="5">
        <f>LOOKUP(D1297,'AMFI DATA_2023H1'!B:D,'AMFI DATA_2023H1'!D:D)</f>
        <v>209.29</v>
      </c>
      <c r="F1297" s="7">
        <f t="shared" si="5"/>
        <v>0.60542787519709496</v>
      </c>
      <c r="G1297" s="9">
        <v>336</v>
      </c>
      <c r="H1297" s="9">
        <v>328</v>
      </c>
      <c r="I1297" s="9">
        <v>339</v>
      </c>
      <c r="J1297" s="9">
        <v>330</v>
      </c>
      <c r="K1297" s="9">
        <v>324</v>
      </c>
      <c r="L1297" s="9">
        <v>326</v>
      </c>
      <c r="M1297" s="9"/>
      <c r="N1297" s="9"/>
      <c r="O1297" s="9"/>
      <c r="P1297" s="9"/>
      <c r="Q1297" s="9">
        <f ca="1">IFERROR(__xludf.DUMMYFUNCTION("GOOGLEFINANCE(C1297,""changepct"")"),1.89)</f>
        <v>1.89</v>
      </c>
      <c r="R1297" s="9"/>
      <c r="S1297" s="9"/>
      <c r="T1297" s="9"/>
      <c r="U1297" s="9"/>
      <c r="V1297" s="9"/>
      <c r="W1297" s="9"/>
    </row>
    <row r="1298" spans="1:23" ht="14.4">
      <c r="A1298" s="3">
        <f>LOOKUP(D1298,'AMFI DATA_2023H1'!B:C,'AMFI DATA_2023H1'!C:C)</f>
        <v>1370</v>
      </c>
      <c r="B1298" s="4" t="s">
        <v>3200</v>
      </c>
      <c r="C1298" s="4" t="s">
        <v>3201</v>
      </c>
      <c r="D1298" s="5" t="s">
        <v>3202</v>
      </c>
      <c r="E1298" s="5">
        <f>LOOKUP(D1298,'AMFI DATA_2023H1'!B:D,'AMFI DATA_2023H1'!D:D)</f>
        <v>438.98</v>
      </c>
      <c r="F1298" s="7">
        <f t="shared" si="5"/>
        <v>2.8224976080914845</v>
      </c>
      <c r="G1298" s="8">
        <v>1678</v>
      </c>
      <c r="H1298" s="8">
        <v>1705</v>
      </c>
      <c r="I1298" s="8">
        <v>1742</v>
      </c>
      <c r="J1298" s="8">
        <v>1733</v>
      </c>
      <c r="K1298" s="8">
        <v>1740</v>
      </c>
      <c r="L1298" s="8">
        <v>1724</v>
      </c>
      <c r="M1298" s="8"/>
      <c r="N1298" s="8"/>
      <c r="O1298" s="8"/>
      <c r="P1298" s="8"/>
      <c r="Q1298" s="9">
        <f ca="1">IFERROR(__xludf.DUMMYFUNCTION("GOOGLEFINANCE(C1298,""changepct"")"),-0.02)</f>
        <v>-0.02</v>
      </c>
      <c r="R1298" s="8"/>
      <c r="S1298" s="8"/>
      <c r="T1298" s="8"/>
      <c r="U1298" s="8"/>
      <c r="V1298" s="8"/>
      <c r="W1298" s="8"/>
    </row>
    <row r="1299" spans="1:23" ht="14.4">
      <c r="A1299" s="3">
        <f>LOOKUP(D1299,'AMFI DATA_2023H1'!B:C,'AMFI DATA_2023H1'!C:C)</f>
        <v>3906</v>
      </c>
      <c r="B1299" s="4" t="s">
        <v>5743</v>
      </c>
      <c r="C1299" s="4" t="s">
        <v>5744</v>
      </c>
      <c r="D1299" s="5" t="s">
        <v>5745</v>
      </c>
      <c r="E1299" s="5">
        <f>LOOKUP(D1299,'AMFI DATA_2023H1'!B:D,'AMFI DATA_2023H1'!D:D)</f>
        <v>7.92</v>
      </c>
      <c r="F1299" s="7">
        <f t="shared" si="5"/>
        <v>0.24116161616161613</v>
      </c>
      <c r="G1299" s="9">
        <v>9.83</v>
      </c>
      <c r="H1299" s="9">
        <v>9.93</v>
      </c>
      <c r="I1299" s="9">
        <v>9.73</v>
      </c>
      <c r="J1299" s="9">
        <v>10</v>
      </c>
      <c r="K1299" s="9">
        <v>9.6300000000000008</v>
      </c>
      <c r="L1299" s="9">
        <v>9.57</v>
      </c>
      <c r="M1299" s="9"/>
      <c r="N1299" s="9"/>
      <c r="O1299" s="9"/>
      <c r="P1299" s="9"/>
      <c r="Q1299" s="9">
        <f ca="1">IFERROR(__xludf.DUMMYFUNCTION("GOOGLEFINANCE(C1299,""changepct"")"),-4.65)</f>
        <v>-4.6500000000000004</v>
      </c>
      <c r="R1299" s="9"/>
      <c r="S1299" s="9"/>
      <c r="T1299" s="9"/>
      <c r="U1299" s="9"/>
      <c r="V1299" s="9"/>
      <c r="W1299" s="9"/>
    </row>
    <row r="1300" spans="1:23" ht="14.4">
      <c r="A1300" s="3">
        <f>LOOKUP(D1300,'AMFI DATA_2023H1'!B:C,'AMFI DATA_2023H1'!C:C)</f>
        <v>1830</v>
      </c>
      <c r="B1300" s="4" t="s">
        <v>4472</v>
      </c>
      <c r="C1300" s="4" t="s">
        <v>4473</v>
      </c>
      <c r="D1300" s="5" t="s">
        <v>4474</v>
      </c>
      <c r="E1300" s="5">
        <f>LOOKUP(D1300,'AMFI DATA_2023H1'!B:D,'AMFI DATA_2023H1'!D:D)</f>
        <v>186.56</v>
      </c>
      <c r="F1300" s="7">
        <f t="shared" si="5"/>
        <v>0.79566895368782165</v>
      </c>
      <c r="G1300" s="9">
        <v>335</v>
      </c>
      <c r="H1300" s="9">
        <v>342</v>
      </c>
      <c r="I1300" s="9">
        <v>349</v>
      </c>
      <c r="J1300" s="9">
        <v>357</v>
      </c>
      <c r="K1300" s="9">
        <v>346</v>
      </c>
      <c r="L1300" s="9">
        <v>327</v>
      </c>
      <c r="M1300" s="9"/>
      <c r="N1300" s="9"/>
      <c r="O1300" s="9"/>
      <c r="P1300" s="9"/>
      <c r="Q1300" s="9">
        <f ca="1">IFERROR(__xludf.DUMMYFUNCTION("GOOGLEFINANCE(C1300,""changepct"")"),-0.49)</f>
        <v>-0.49</v>
      </c>
      <c r="R1300" s="9"/>
      <c r="S1300" s="9"/>
      <c r="T1300" s="9"/>
      <c r="U1300" s="9"/>
      <c r="V1300" s="9"/>
      <c r="W1300" s="9"/>
    </row>
    <row r="1301" spans="1:23" ht="14.4">
      <c r="A1301" s="3">
        <f>LOOKUP(D1301,'AMFI DATA_2023H1'!B:C,'AMFI DATA_2023H1'!C:C)</f>
        <v>241</v>
      </c>
      <c r="B1301" s="4" t="s">
        <v>630</v>
      </c>
      <c r="C1301" s="4" t="s">
        <v>631</v>
      </c>
      <c r="D1301" s="5" t="s">
        <v>632</v>
      </c>
      <c r="E1301" s="5">
        <f>LOOKUP(D1301,'AMFI DATA_2023H1'!B:D,'AMFI DATA_2023H1'!D:D)</f>
        <v>18447.97</v>
      </c>
      <c r="F1301" s="7">
        <f t="shared" si="5"/>
        <v>1.5754595221045999</v>
      </c>
      <c r="G1301" s="8">
        <v>47512</v>
      </c>
      <c r="H1301" s="8">
        <v>46388</v>
      </c>
      <c r="I1301" s="8">
        <v>46121</v>
      </c>
      <c r="J1301" s="8">
        <v>45716</v>
      </c>
      <c r="K1301" s="8">
        <v>44914</v>
      </c>
      <c r="L1301" s="8">
        <v>44692</v>
      </c>
      <c r="M1301" s="8"/>
      <c r="N1301" s="8"/>
      <c r="O1301" s="8"/>
      <c r="P1301" s="8"/>
      <c r="Q1301" s="9">
        <f ca="1">IFERROR(__xludf.DUMMYFUNCTION("GOOGLEFINANCE(C1301,""changepct"")"),-0.93)</f>
        <v>-0.93</v>
      </c>
      <c r="R1301" s="8"/>
      <c r="S1301" s="8"/>
      <c r="T1301" s="8"/>
      <c r="U1301" s="8"/>
      <c r="V1301" s="8"/>
      <c r="W1301" s="8"/>
    </row>
    <row r="1302" spans="1:23" ht="14.4">
      <c r="A1302" s="3">
        <f>LOOKUP(D1302,'AMFI DATA_2023H1'!B:C,'AMFI DATA_2023H1'!C:C)</f>
        <v>696</v>
      </c>
      <c r="B1302" s="4" t="s">
        <v>2055</v>
      </c>
      <c r="C1302" s="4" t="s">
        <v>2056</v>
      </c>
      <c r="D1302" s="5" t="s">
        <v>2057</v>
      </c>
      <c r="E1302" s="5">
        <f>LOOKUP(D1302,'AMFI DATA_2023H1'!B:D,'AMFI DATA_2023H1'!D:D)</f>
        <v>2602.58</v>
      </c>
      <c r="F1302" s="7">
        <f t="shared" si="5"/>
        <v>0.78130931614013788</v>
      </c>
      <c r="G1302" s="8">
        <v>4636</v>
      </c>
      <c r="H1302" s="8">
        <v>4622</v>
      </c>
      <c r="I1302" s="8">
        <v>4664</v>
      </c>
      <c r="J1302" s="8">
        <v>4737</v>
      </c>
      <c r="K1302" s="8">
        <v>4715</v>
      </c>
      <c r="L1302" s="8">
        <v>4612</v>
      </c>
      <c r="M1302" s="8"/>
      <c r="N1302" s="8"/>
      <c r="O1302" s="8"/>
      <c r="P1302" s="8"/>
      <c r="Q1302" s="9">
        <f ca="1">IFERROR(__xludf.DUMMYFUNCTION("GOOGLEFINANCE(C1302,""changepct"")"),-1.64)</f>
        <v>-1.64</v>
      </c>
      <c r="R1302" s="8"/>
      <c r="S1302" s="8"/>
      <c r="T1302" s="8"/>
      <c r="U1302" s="8"/>
      <c r="V1302" s="8"/>
      <c r="W1302" s="8"/>
    </row>
    <row r="1303" spans="1:23" ht="14.4">
      <c r="A1303" s="3">
        <f>LOOKUP(D1303,'AMFI DATA_2023H1'!B:C,'AMFI DATA_2023H1'!C:C)</f>
        <v>711</v>
      </c>
      <c r="B1303" s="4" t="s">
        <v>2279</v>
      </c>
      <c r="C1303" s="4" t="s">
        <v>2280</v>
      </c>
      <c r="D1303" s="5" t="s">
        <v>2281</v>
      </c>
      <c r="E1303" s="5">
        <f>LOOKUP(D1303,'AMFI DATA_2023H1'!B:D,'AMFI DATA_2023H1'!D:D)</f>
        <v>2492.08</v>
      </c>
      <c r="F1303" s="7">
        <f t="shared" si="5"/>
        <v>0.28607428332958817</v>
      </c>
      <c r="G1303" s="8">
        <v>3205</v>
      </c>
      <c r="H1303" s="8">
        <v>3177</v>
      </c>
      <c r="I1303" s="8">
        <v>3289</v>
      </c>
      <c r="J1303" s="8">
        <v>3256</v>
      </c>
      <c r="K1303" s="8">
        <v>3358</v>
      </c>
      <c r="L1303" s="8">
        <v>3274</v>
      </c>
      <c r="M1303" s="8"/>
      <c r="N1303" s="8"/>
      <c r="O1303" s="8"/>
      <c r="P1303" s="8"/>
      <c r="Q1303" s="9">
        <f ca="1">IFERROR(__xludf.DUMMYFUNCTION("GOOGLEFINANCE(C1303,""changepct"")"),1.37)</f>
        <v>1.37</v>
      </c>
      <c r="R1303" s="8"/>
      <c r="S1303" s="8"/>
      <c r="T1303" s="8"/>
      <c r="U1303" s="8"/>
      <c r="V1303" s="8"/>
      <c r="W1303" s="8"/>
    </row>
    <row r="1304" spans="1:23" ht="14.4">
      <c r="A1304" s="3">
        <f>LOOKUP(D1304,'AMFI DATA_2023H1'!B:C,'AMFI DATA_2023H1'!C:C)</f>
        <v>1490</v>
      </c>
      <c r="B1304" s="4" t="s">
        <v>3980</v>
      </c>
      <c r="C1304" s="4" t="s">
        <v>3981</v>
      </c>
      <c r="D1304" s="5" t="s">
        <v>3982</v>
      </c>
      <c r="E1304" s="5">
        <f>LOOKUP(D1304,'AMFI DATA_2023H1'!B:D,'AMFI DATA_2023H1'!D:D)</f>
        <v>352.14</v>
      </c>
      <c r="F1304" s="7">
        <f t="shared" si="5"/>
        <v>0.59027659453626402</v>
      </c>
      <c r="G1304" s="9">
        <v>560</v>
      </c>
      <c r="H1304" s="9">
        <v>565</v>
      </c>
      <c r="I1304" s="9">
        <v>567</v>
      </c>
      <c r="J1304" s="9">
        <v>566</v>
      </c>
      <c r="K1304" s="9">
        <v>577</v>
      </c>
      <c r="L1304" s="9">
        <v>586</v>
      </c>
      <c r="M1304" s="9"/>
      <c r="N1304" s="9"/>
      <c r="O1304" s="9"/>
      <c r="P1304" s="9"/>
      <c r="Q1304" s="9">
        <f ca="1">IFERROR(__xludf.DUMMYFUNCTION("GOOGLEFINANCE(C1304,""changepct"")"),6.45)</f>
        <v>6.45</v>
      </c>
      <c r="R1304" s="9"/>
      <c r="S1304" s="9"/>
      <c r="T1304" s="9"/>
      <c r="U1304" s="9"/>
      <c r="V1304" s="9"/>
      <c r="W1304" s="9"/>
    </row>
    <row r="1305" spans="1:23" ht="14.4">
      <c r="A1305" s="3">
        <f>LOOKUP(D1305,'AMFI DATA_2023H1'!B:C,'AMFI DATA_2023H1'!C:C)</f>
        <v>434</v>
      </c>
      <c r="B1305" s="4" t="s">
        <v>1452</v>
      </c>
      <c r="C1305" s="4" t="s">
        <v>1453</v>
      </c>
      <c r="D1305" s="5" t="s">
        <v>1454</v>
      </c>
      <c r="E1305" s="5">
        <f>LOOKUP(D1305,'AMFI DATA_2023H1'!B:D,'AMFI DATA_2023H1'!D:D)</f>
        <v>6620.06</v>
      </c>
      <c r="F1305" s="7">
        <f t="shared" si="5"/>
        <v>0.25452035177928889</v>
      </c>
      <c r="G1305" s="8">
        <v>8305</v>
      </c>
      <c r="H1305" s="8">
        <v>8225</v>
      </c>
      <c r="I1305" s="8">
        <v>8188</v>
      </c>
      <c r="J1305" s="8">
        <v>8093</v>
      </c>
      <c r="K1305" s="8">
        <v>8168</v>
      </c>
      <c r="L1305" s="8">
        <v>8122</v>
      </c>
      <c r="M1305" s="8"/>
      <c r="N1305" s="8"/>
      <c r="O1305" s="8"/>
      <c r="P1305" s="8"/>
      <c r="Q1305" s="9">
        <f ca="1">IFERROR(__xludf.DUMMYFUNCTION("GOOGLEFINANCE(C1305,""changepct"")"),-0.2)</f>
        <v>-0.2</v>
      </c>
      <c r="R1305" s="8"/>
      <c r="S1305" s="8"/>
      <c r="T1305" s="8"/>
      <c r="U1305" s="8"/>
      <c r="V1305" s="8"/>
      <c r="W1305" s="8"/>
    </row>
    <row r="1306" spans="1:23" ht="14.4">
      <c r="A1306" s="3">
        <f>LOOKUP(D1306,'AMFI DATA_2023H1'!B:C,'AMFI DATA_2023H1'!C:C)</f>
        <v>472</v>
      </c>
      <c r="B1306" s="4" t="s">
        <v>1503</v>
      </c>
      <c r="C1306" s="4" t="s">
        <v>1504</v>
      </c>
      <c r="D1306" s="5" t="s">
        <v>1505</v>
      </c>
      <c r="E1306" s="5">
        <f>LOOKUP(D1306,'AMFI DATA_2023H1'!B:D,'AMFI DATA_2023H1'!D:D)</f>
        <v>5688</v>
      </c>
      <c r="F1306" s="7">
        <f t="shared" si="5"/>
        <v>0.62746132208157523</v>
      </c>
      <c r="G1306" s="8">
        <v>9257</v>
      </c>
      <c r="H1306" s="8">
        <v>9234</v>
      </c>
      <c r="I1306" s="8">
        <v>9121</v>
      </c>
      <c r="J1306" s="8">
        <v>9176</v>
      </c>
      <c r="K1306" s="8">
        <v>9181</v>
      </c>
      <c r="L1306" s="8">
        <v>9111</v>
      </c>
      <c r="M1306" s="8"/>
      <c r="N1306" s="8"/>
      <c r="O1306" s="8"/>
      <c r="P1306" s="8"/>
      <c r="Q1306" s="9">
        <f ca="1">IFERROR(__xludf.DUMMYFUNCTION("GOOGLEFINANCE(C1306,""changepct"")"),-3.8)</f>
        <v>-3.8</v>
      </c>
      <c r="R1306" s="8"/>
      <c r="S1306" s="8"/>
      <c r="T1306" s="8"/>
      <c r="U1306" s="8"/>
      <c r="V1306" s="8"/>
      <c r="W1306" s="8"/>
    </row>
    <row r="1307" spans="1:23" ht="14.4">
      <c r="A1307" s="3">
        <f>LOOKUP(D1307,'AMFI DATA_2023H1'!B:C,'AMFI DATA_2023H1'!C:C)</f>
        <v>1840</v>
      </c>
      <c r="B1307" s="4" t="s">
        <v>4574</v>
      </c>
      <c r="C1307" s="4" t="s">
        <v>4575</v>
      </c>
      <c r="D1307" s="5" t="s">
        <v>4576</v>
      </c>
      <c r="E1307" s="5">
        <f>LOOKUP(D1307,'AMFI DATA_2023H1'!B:D,'AMFI DATA_2023H1'!D:D)</f>
        <v>183.78</v>
      </c>
      <c r="F1307" s="7">
        <f t="shared" si="5"/>
        <v>0.55620851017520945</v>
      </c>
      <c r="G1307" s="9">
        <v>286</v>
      </c>
      <c r="H1307" s="9">
        <v>281</v>
      </c>
      <c r="I1307" s="9">
        <v>281</v>
      </c>
      <c r="J1307" s="9">
        <v>284</v>
      </c>
      <c r="K1307" s="9">
        <v>292</v>
      </c>
      <c r="L1307" s="9">
        <v>278</v>
      </c>
      <c r="M1307" s="9"/>
      <c r="N1307" s="9"/>
      <c r="O1307" s="9"/>
      <c r="P1307" s="9"/>
      <c r="Q1307" s="9">
        <f ca="1">IFERROR(__xludf.DUMMYFUNCTION("GOOGLEFINANCE(C1307,""changepct"")"),-1.54)</f>
        <v>-1.54</v>
      </c>
      <c r="R1307" s="9"/>
      <c r="S1307" s="9"/>
      <c r="T1307" s="9"/>
      <c r="U1307" s="9"/>
      <c r="V1307" s="9"/>
      <c r="W1307" s="9"/>
    </row>
    <row r="1308" spans="1:23" ht="14.4">
      <c r="A1308" s="3">
        <f>LOOKUP(D1308,'AMFI DATA_2023H1'!B:C,'AMFI DATA_2023H1'!C:C)</f>
        <v>1994</v>
      </c>
      <c r="B1308" s="4" t="s">
        <v>4664</v>
      </c>
      <c r="C1308" s="4" t="s">
        <v>4665</v>
      </c>
      <c r="D1308" s="5" t="s">
        <v>4666</v>
      </c>
      <c r="E1308" s="5">
        <f>LOOKUP(D1308,'AMFI DATA_2023H1'!B:D,'AMFI DATA_2023H1'!D:D)</f>
        <v>145.35</v>
      </c>
      <c r="F1308" s="7">
        <f t="shared" si="5"/>
        <v>1.1190230478156176</v>
      </c>
      <c r="G1308" s="9">
        <v>308</v>
      </c>
      <c r="H1308" s="9">
        <v>297</v>
      </c>
      <c r="I1308" s="9">
        <v>301</v>
      </c>
      <c r="J1308" s="9">
        <v>300</v>
      </c>
      <c r="K1308" s="9">
        <v>297</v>
      </c>
      <c r="L1308" s="9">
        <v>302</v>
      </c>
      <c r="M1308" s="9"/>
      <c r="N1308" s="9"/>
      <c r="O1308" s="9"/>
      <c r="P1308" s="9"/>
      <c r="Q1308" s="9">
        <f ca="1">IFERROR(__xludf.DUMMYFUNCTION("GOOGLEFINANCE(C1308,""changepct"")"),20.82)</f>
        <v>20.82</v>
      </c>
      <c r="R1308" s="9"/>
      <c r="S1308" s="9"/>
      <c r="T1308" s="9"/>
      <c r="U1308" s="9"/>
      <c r="V1308" s="9"/>
      <c r="W1308" s="9"/>
    </row>
    <row r="1309" spans="1:23" ht="14.4">
      <c r="A1309" s="3">
        <f>LOOKUP(D1309,'AMFI DATA_2023H1'!B:C,'AMFI DATA_2023H1'!C:C)</f>
        <v>2598</v>
      </c>
      <c r="B1309" s="4" t="s">
        <v>5431</v>
      </c>
      <c r="C1309" s="4" t="s">
        <v>5432</v>
      </c>
      <c r="D1309" s="5" t="s">
        <v>5433</v>
      </c>
      <c r="E1309" s="5">
        <f>LOOKUP(D1309,'AMFI DATA_2023H1'!B:D,'AMFI DATA_2023H1'!D:D)</f>
        <v>53.13</v>
      </c>
      <c r="F1309" s="7">
        <f t="shared" si="5"/>
        <v>0.36081309994353461</v>
      </c>
      <c r="G1309" s="9">
        <v>72.3</v>
      </c>
      <c r="H1309" s="9">
        <v>71</v>
      </c>
      <c r="I1309" s="9">
        <v>71.8</v>
      </c>
      <c r="J1309" s="9">
        <v>71.7</v>
      </c>
      <c r="K1309" s="9">
        <v>76.8</v>
      </c>
      <c r="L1309" s="9">
        <v>75.2</v>
      </c>
      <c r="M1309" s="9"/>
      <c r="N1309" s="9"/>
      <c r="O1309" s="9"/>
      <c r="P1309" s="9"/>
      <c r="Q1309" s="9">
        <f ca="1">IFERROR(__xludf.DUMMYFUNCTION("GOOGLEFINANCE(C1309,""changepct"")"),-0.19)</f>
        <v>-0.19</v>
      </c>
      <c r="R1309" s="9"/>
      <c r="S1309" s="9"/>
      <c r="T1309" s="9"/>
      <c r="U1309" s="9"/>
      <c r="V1309" s="9"/>
      <c r="W1309" s="9"/>
    </row>
    <row r="1310" spans="1:23" ht="14.4">
      <c r="A1310" s="3">
        <f>LOOKUP(D1310,'AMFI DATA_2023H1'!B:C,'AMFI DATA_2023H1'!C:C)</f>
        <v>564</v>
      </c>
      <c r="B1310" s="4" t="s">
        <v>1884</v>
      </c>
      <c r="C1310" s="4" t="s">
        <v>1885</v>
      </c>
      <c r="D1310" s="5" t="s">
        <v>1886</v>
      </c>
      <c r="E1310" s="5">
        <f>LOOKUP(D1310,'AMFI DATA_2023H1'!B:D,'AMFI DATA_2023H1'!D:D)</f>
        <v>4164.3599999999997</v>
      </c>
      <c r="F1310" s="7">
        <f t="shared" si="5"/>
        <v>0.10076938593205198</v>
      </c>
      <c r="G1310" s="8">
        <v>4584</v>
      </c>
      <c r="H1310" s="8">
        <v>4604</v>
      </c>
      <c r="I1310" s="8">
        <v>4768</v>
      </c>
      <c r="J1310" s="8">
        <v>4850</v>
      </c>
      <c r="K1310" s="8">
        <v>4807</v>
      </c>
      <c r="L1310" s="8">
        <v>4894</v>
      </c>
      <c r="M1310" s="8"/>
      <c r="N1310" s="8"/>
      <c r="O1310" s="8"/>
      <c r="P1310" s="8"/>
      <c r="Q1310" s="9">
        <f ca="1">IFERROR(__xludf.DUMMYFUNCTION("GOOGLEFINANCE(C1310,""changepct"")"),-0.31)</f>
        <v>-0.31</v>
      </c>
      <c r="R1310" s="8"/>
      <c r="S1310" s="8"/>
      <c r="T1310" s="8"/>
      <c r="U1310" s="8"/>
      <c r="V1310" s="8"/>
      <c r="W1310" s="8"/>
    </row>
    <row r="1311" spans="1:23" ht="14.4">
      <c r="A1311" s="3">
        <f>LOOKUP(D1311,'AMFI DATA_2023H1'!B:C,'AMFI DATA_2023H1'!C:C)</f>
        <v>397</v>
      </c>
      <c r="B1311" s="4" t="s">
        <v>1365</v>
      </c>
      <c r="C1311" s="4" t="s">
        <v>1366</v>
      </c>
      <c r="D1311" s="5" t="s">
        <v>1367</v>
      </c>
      <c r="E1311" s="5">
        <f>LOOKUP(D1311,'AMFI DATA_2023H1'!B:D,'AMFI DATA_2023H1'!D:D)</f>
        <v>7844.93</v>
      </c>
      <c r="F1311" s="7">
        <f t="shared" si="5"/>
        <v>4.74280841256709E-2</v>
      </c>
      <c r="G1311" s="8">
        <v>8217</v>
      </c>
      <c r="H1311" s="8">
        <v>8200</v>
      </c>
      <c r="I1311" s="8">
        <v>8192</v>
      </c>
      <c r="J1311" s="8">
        <v>8270</v>
      </c>
      <c r="K1311" s="8">
        <v>8222</v>
      </c>
      <c r="L1311" s="8">
        <v>8221</v>
      </c>
      <c r="M1311" s="8"/>
      <c r="N1311" s="8"/>
      <c r="O1311" s="8"/>
      <c r="P1311" s="8"/>
      <c r="Q1311" s="9">
        <f ca="1">IFERROR(__xludf.DUMMYFUNCTION("GOOGLEFINANCE(C1311,""changepct"")"),0.26)</f>
        <v>0.26</v>
      </c>
      <c r="R1311" s="8"/>
      <c r="S1311" s="8"/>
      <c r="T1311" s="8"/>
      <c r="U1311" s="8"/>
      <c r="V1311" s="8"/>
      <c r="W1311" s="8"/>
    </row>
    <row r="1312" spans="1:23" ht="14.4">
      <c r="A1312" s="3">
        <f>LOOKUP(D1312,'AMFI DATA_2023H1'!B:C,'AMFI DATA_2023H1'!C:C)</f>
        <v>113</v>
      </c>
      <c r="B1312" s="4" t="s">
        <v>360</v>
      </c>
      <c r="C1312" s="4" t="s">
        <v>361</v>
      </c>
      <c r="D1312" s="5" t="s">
        <v>362</v>
      </c>
      <c r="E1312" s="5">
        <f>LOOKUP(D1312,'AMFI DATA_2023H1'!B:D,'AMFI DATA_2023H1'!D:D)</f>
        <v>44906.92</v>
      </c>
      <c r="F1312" s="7">
        <f t="shared" si="5"/>
        <v>0.25918232646549799</v>
      </c>
      <c r="G1312" s="8">
        <v>56546</v>
      </c>
      <c r="H1312" s="8">
        <v>56298</v>
      </c>
      <c r="I1312" s="8">
        <v>55670</v>
      </c>
      <c r="J1312" s="8">
        <v>56677</v>
      </c>
      <c r="K1312" s="8">
        <v>55676</v>
      </c>
      <c r="L1312" s="8">
        <v>55187</v>
      </c>
      <c r="M1312" s="8"/>
      <c r="N1312" s="8"/>
      <c r="O1312" s="8"/>
      <c r="P1312" s="8"/>
      <c r="Q1312" s="9">
        <f ca="1">IFERROR(__xludf.DUMMYFUNCTION("GOOGLEFINANCE(C1312,""changepct"")"),-0.07)</f>
        <v>-7.0000000000000007E-2</v>
      </c>
      <c r="R1312" s="8"/>
      <c r="S1312" s="8"/>
      <c r="T1312" s="8"/>
      <c r="U1312" s="8"/>
      <c r="V1312" s="8"/>
      <c r="W1312" s="8"/>
    </row>
    <row r="1313" spans="1:23" ht="14.4">
      <c r="A1313" s="3">
        <f>LOOKUP(D1313,'AMFI DATA_2023H1'!B:C,'AMFI DATA_2023H1'!C:C)</f>
        <v>564</v>
      </c>
      <c r="B1313" s="4" t="s">
        <v>4031</v>
      </c>
      <c r="C1313" s="4" t="s">
        <v>4032</v>
      </c>
      <c r="D1313" s="5" t="s">
        <v>4033</v>
      </c>
      <c r="E1313" s="5">
        <f>LOOKUP(D1313,'AMFI DATA_2023H1'!B:D,'AMFI DATA_2023H1'!D:D)</f>
        <v>4164.3599999999997</v>
      </c>
      <c r="F1313" s="7">
        <f t="shared" si="5"/>
        <v>-0.87609140420136589</v>
      </c>
      <c r="G1313" s="9">
        <v>516</v>
      </c>
      <c r="H1313" s="9">
        <v>518</v>
      </c>
      <c r="I1313" s="9">
        <v>504</v>
      </c>
      <c r="J1313" s="9">
        <v>507</v>
      </c>
      <c r="K1313" s="9">
        <v>506</v>
      </c>
      <c r="L1313" s="9">
        <v>510</v>
      </c>
      <c r="M1313" s="9"/>
      <c r="N1313" s="9"/>
      <c r="O1313" s="9"/>
      <c r="P1313" s="9"/>
      <c r="Q1313" s="9">
        <f ca="1">IFERROR(__xludf.DUMMYFUNCTION("GOOGLEFINANCE(C1313,""changepct"")"),-3.87)</f>
        <v>-3.87</v>
      </c>
      <c r="R1313" s="9"/>
      <c r="S1313" s="9"/>
      <c r="T1313" s="9"/>
      <c r="U1313" s="9"/>
      <c r="V1313" s="9"/>
      <c r="W1313" s="9"/>
    </row>
    <row r="1314" spans="1:23" ht="14.4">
      <c r="A1314" s="3">
        <f>LOOKUP(D1314,'AMFI DATA_2023H1'!B:C,'AMFI DATA_2023H1'!C:C)</f>
        <v>601</v>
      </c>
      <c r="B1314" s="4" t="s">
        <v>1827</v>
      </c>
      <c r="C1314" s="4" t="s">
        <v>1828</v>
      </c>
      <c r="D1314" s="5" t="s">
        <v>1829</v>
      </c>
      <c r="E1314" s="5">
        <f>LOOKUP(D1314,'AMFI DATA_2023H1'!B:D,'AMFI DATA_2023H1'!D:D)</f>
        <v>3718.47</v>
      </c>
      <c r="F1314" s="7">
        <f t="shared" si="5"/>
        <v>0.32984802889360409</v>
      </c>
      <c r="G1314" s="8">
        <v>4945</v>
      </c>
      <c r="H1314" s="8">
        <v>4974</v>
      </c>
      <c r="I1314" s="8">
        <v>5109</v>
      </c>
      <c r="J1314" s="8">
        <v>4990</v>
      </c>
      <c r="K1314" s="8">
        <v>5008</v>
      </c>
      <c r="L1314" s="8">
        <v>5036</v>
      </c>
      <c r="M1314" s="8"/>
      <c r="N1314" s="8"/>
      <c r="O1314" s="8"/>
      <c r="P1314" s="8"/>
      <c r="Q1314" s="9">
        <f ca="1">IFERROR(__xludf.DUMMYFUNCTION("GOOGLEFINANCE(C1314,""changepct"")"),-1.91)</f>
        <v>-1.91</v>
      </c>
      <c r="R1314" s="8"/>
      <c r="S1314" s="8"/>
      <c r="T1314" s="8"/>
      <c r="U1314" s="8"/>
      <c r="V1314" s="8"/>
      <c r="W1314" s="8"/>
    </row>
    <row r="1315" spans="1:23" ht="14.4">
      <c r="A1315" s="3">
        <f>LOOKUP(D1315,'AMFI DATA_2023H1'!B:C,'AMFI DATA_2023H1'!C:C)</f>
        <v>707</v>
      </c>
      <c r="B1315" s="4" t="s">
        <v>2360</v>
      </c>
      <c r="C1315" s="4" t="s">
        <v>2361</v>
      </c>
      <c r="D1315" s="5" t="s">
        <v>2362</v>
      </c>
      <c r="E1315" s="5">
        <f>LOOKUP(D1315,'AMFI DATA_2023H1'!B:D,'AMFI DATA_2023H1'!D:D)</f>
        <v>2537.15</v>
      </c>
      <c r="F1315" s="7">
        <f t="shared" si="5"/>
        <v>8.6652346136412817E-2</v>
      </c>
      <c r="G1315" s="8">
        <v>2757</v>
      </c>
      <c r="H1315" s="8">
        <v>2765</v>
      </c>
      <c r="I1315" s="8">
        <v>2778</v>
      </c>
      <c r="J1315" s="8">
        <v>2775</v>
      </c>
      <c r="K1315" s="8">
        <v>2765</v>
      </c>
      <c r="L1315" s="8">
        <v>2751</v>
      </c>
      <c r="M1315" s="8"/>
      <c r="N1315" s="8"/>
      <c r="O1315" s="8"/>
      <c r="P1315" s="8"/>
      <c r="Q1315" s="9">
        <f ca="1">IFERROR(__xludf.DUMMYFUNCTION("GOOGLEFINANCE(C1315,""changepct"")"),0.04)</f>
        <v>0.04</v>
      </c>
      <c r="R1315" s="8"/>
      <c r="S1315" s="8"/>
      <c r="T1315" s="8"/>
      <c r="U1315" s="8"/>
      <c r="V1315" s="8"/>
      <c r="W1315" s="8"/>
    </row>
    <row r="1316" spans="1:23" ht="14.4">
      <c r="A1316" s="3">
        <f>LOOKUP(D1316,'AMFI DATA_2023H1'!B:C,'AMFI DATA_2023H1'!C:C)</f>
        <v>1050</v>
      </c>
      <c r="B1316" s="4" t="s">
        <v>2780</v>
      </c>
      <c r="C1316" s="4" t="s">
        <v>2781</v>
      </c>
      <c r="D1316" s="5" t="s">
        <v>2782</v>
      </c>
      <c r="E1316" s="5">
        <f>LOOKUP(D1316,'AMFI DATA_2023H1'!B:D,'AMFI DATA_2023H1'!D:D)</f>
        <v>1032</v>
      </c>
      <c r="F1316" s="7">
        <f t="shared" si="5"/>
        <v>1.7218992248062017</v>
      </c>
      <c r="G1316" s="8">
        <v>2809</v>
      </c>
      <c r="H1316" s="8">
        <v>2698</v>
      </c>
      <c r="I1316" s="8">
        <v>2720</v>
      </c>
      <c r="J1316" s="8">
        <v>2692</v>
      </c>
      <c r="K1316" s="8">
        <v>2685</v>
      </c>
      <c r="L1316" s="8">
        <v>2730</v>
      </c>
      <c r="M1316" s="8"/>
      <c r="N1316" s="8"/>
      <c r="O1316" s="8"/>
      <c r="P1316" s="8"/>
      <c r="Q1316" s="9">
        <f ca="1">IFERROR(__xludf.DUMMYFUNCTION("GOOGLEFINANCE(C1316,""changepct"")"),17.11)</f>
        <v>17.11</v>
      </c>
      <c r="R1316" s="8"/>
      <c r="S1316" s="8"/>
      <c r="T1316" s="8"/>
      <c r="U1316" s="8"/>
      <c r="V1316" s="8"/>
      <c r="W1316" s="8"/>
    </row>
    <row r="1317" spans="1:23" ht="14.4">
      <c r="A1317" s="3">
        <f>LOOKUP(D1317,'AMFI DATA_2023H1'!B:C,'AMFI DATA_2023H1'!C:C)</f>
        <v>672</v>
      </c>
      <c r="B1317" s="4" t="s">
        <v>1968</v>
      </c>
      <c r="C1317" s="4" t="s">
        <v>1969</v>
      </c>
      <c r="D1317" s="5" t="s">
        <v>1970</v>
      </c>
      <c r="E1317" s="5">
        <f>LOOKUP(D1317,'AMFI DATA_2023H1'!B:D,'AMFI DATA_2023H1'!D:D)</f>
        <v>2832.21</v>
      </c>
      <c r="F1317" s="7">
        <f t="shared" si="5"/>
        <v>1.0228019814914853</v>
      </c>
      <c r="G1317" s="8">
        <v>5729</v>
      </c>
      <c r="H1317" s="8">
        <v>5620</v>
      </c>
      <c r="I1317" s="8">
        <v>5698</v>
      </c>
      <c r="J1317" s="8">
        <v>5648</v>
      </c>
      <c r="K1317" s="8">
        <v>5523</v>
      </c>
      <c r="L1317" s="8">
        <v>5381</v>
      </c>
      <c r="M1317" s="8"/>
      <c r="N1317" s="8"/>
      <c r="O1317" s="8"/>
      <c r="P1317" s="8"/>
      <c r="Q1317" s="9">
        <f ca="1">IFERROR(__xludf.DUMMYFUNCTION("GOOGLEFINANCE(C1317,""changepct"")"),6.94)</f>
        <v>6.94</v>
      </c>
      <c r="R1317" s="8"/>
      <c r="S1317" s="8"/>
      <c r="T1317" s="8"/>
      <c r="U1317" s="8"/>
      <c r="V1317" s="8"/>
      <c r="W1317" s="8"/>
    </row>
    <row r="1318" spans="1:23" ht="14.4">
      <c r="A1318" s="3">
        <f>LOOKUP(D1318,'AMFI DATA_2023H1'!B:C,'AMFI DATA_2023H1'!C:C)</f>
        <v>539</v>
      </c>
      <c r="B1318" s="4" t="s">
        <v>1539</v>
      </c>
      <c r="C1318" s="4" t="s">
        <v>1540</v>
      </c>
      <c r="D1318" s="5" t="s">
        <v>1541</v>
      </c>
      <c r="E1318" s="5">
        <f>LOOKUP(D1318,'AMFI DATA_2023H1'!B:D,'AMFI DATA_2023H1'!D:D)</f>
        <v>4518.3500000000004</v>
      </c>
      <c r="F1318" s="7">
        <f t="shared" si="5"/>
        <v>0.98634457268693199</v>
      </c>
      <c r="G1318" s="8">
        <v>8975</v>
      </c>
      <c r="H1318" s="8">
        <v>8145</v>
      </c>
      <c r="I1318" s="8">
        <v>8196</v>
      </c>
      <c r="J1318" s="8">
        <v>8013</v>
      </c>
      <c r="K1318" s="8">
        <v>8141</v>
      </c>
      <c r="L1318" s="8">
        <v>8001</v>
      </c>
      <c r="M1318" s="8"/>
      <c r="N1318" s="8"/>
      <c r="O1318" s="8"/>
      <c r="P1318" s="8"/>
      <c r="Q1318" s="9">
        <f ca="1">IFERROR(__xludf.DUMMYFUNCTION("GOOGLEFINANCE(C1318,""changepct"")"),-1.01)</f>
        <v>-1.01</v>
      </c>
      <c r="R1318" s="8"/>
      <c r="S1318" s="8"/>
      <c r="T1318" s="8"/>
      <c r="U1318" s="8"/>
      <c r="V1318" s="8"/>
      <c r="W1318" s="8"/>
    </row>
    <row r="1319" spans="1:23" ht="14.4">
      <c r="A1319" s="3">
        <f>LOOKUP(D1319,'AMFI DATA_2023H1'!B:C,'AMFI DATA_2023H1'!C:C)</f>
        <v>1383</v>
      </c>
      <c r="B1319" s="4" t="s">
        <v>3956</v>
      </c>
      <c r="C1319" s="4" t="s">
        <v>3957</v>
      </c>
      <c r="D1319" s="5" t="s">
        <v>3958</v>
      </c>
      <c r="E1319" s="5">
        <f>LOOKUP(D1319,'AMFI DATA_2023H1'!B:D,'AMFI DATA_2023H1'!D:D)</f>
        <v>426.97</v>
      </c>
      <c r="F1319" s="7">
        <f t="shared" si="5"/>
        <v>0.3490409162236221</v>
      </c>
      <c r="G1319" s="9">
        <v>576</v>
      </c>
      <c r="H1319" s="9">
        <v>547</v>
      </c>
      <c r="I1319" s="9">
        <v>553</v>
      </c>
      <c r="J1319" s="9">
        <v>555</v>
      </c>
      <c r="K1319" s="9">
        <v>554</v>
      </c>
      <c r="L1319" s="9">
        <v>559</v>
      </c>
      <c r="M1319" s="9"/>
      <c r="N1319" s="9"/>
      <c r="O1319" s="9"/>
      <c r="P1319" s="9"/>
      <c r="Q1319" s="9">
        <f ca="1">IFERROR(__xludf.DUMMYFUNCTION("GOOGLEFINANCE(C1319,""changepct"")"),5.72)</f>
        <v>5.72</v>
      </c>
      <c r="R1319" s="9"/>
      <c r="S1319" s="9"/>
      <c r="T1319" s="9"/>
      <c r="U1319" s="9"/>
      <c r="V1319" s="9"/>
      <c r="W1319" s="9"/>
    </row>
    <row r="1320" spans="1:23" ht="14.4">
      <c r="A1320" s="3">
        <f>LOOKUP(D1320,'AMFI DATA_2023H1'!B:C,'AMFI DATA_2023H1'!C:C)</f>
        <v>1420</v>
      </c>
      <c r="B1320" s="4" t="s">
        <v>4070</v>
      </c>
      <c r="C1320" s="4" t="s">
        <v>4071</v>
      </c>
      <c r="D1320" s="5" t="s">
        <v>4072</v>
      </c>
      <c r="E1320" s="5">
        <f>LOOKUP(D1320,'AMFI DATA_2023H1'!B:D,'AMFI DATA_2023H1'!D:D)</f>
        <v>398.03</v>
      </c>
      <c r="F1320" s="7">
        <f t="shared" si="5"/>
        <v>0.22352586488455661</v>
      </c>
      <c r="G1320" s="9">
        <v>487</v>
      </c>
      <c r="H1320" s="9">
        <v>492</v>
      </c>
      <c r="I1320" s="9">
        <v>482</v>
      </c>
      <c r="J1320" s="9">
        <v>486</v>
      </c>
      <c r="K1320" s="9">
        <v>479</v>
      </c>
      <c r="L1320" s="9">
        <v>476</v>
      </c>
      <c r="M1320" s="9"/>
      <c r="N1320" s="9"/>
      <c r="O1320" s="9"/>
      <c r="P1320" s="9"/>
      <c r="Q1320" s="9">
        <f ca="1">IFERROR(__xludf.DUMMYFUNCTION("GOOGLEFINANCE(C1320,""changepct"")"),7.54)</f>
        <v>7.54</v>
      </c>
      <c r="R1320" s="9"/>
      <c r="S1320" s="9"/>
      <c r="T1320" s="9"/>
      <c r="U1320" s="9"/>
      <c r="V1320" s="9"/>
      <c r="W1320" s="9"/>
    </row>
    <row r="1321" spans="1:23" ht="14.4">
      <c r="A1321" s="3">
        <f>LOOKUP(D1321,'AMFI DATA_2023H1'!B:C,'AMFI DATA_2023H1'!C:C)</f>
        <v>220</v>
      </c>
      <c r="B1321" s="4" t="s">
        <v>657</v>
      </c>
      <c r="C1321" s="4" t="s">
        <v>658</v>
      </c>
      <c r="D1321" s="5" t="s">
        <v>659</v>
      </c>
      <c r="E1321" s="5">
        <f>LOOKUP(D1321,'AMFI DATA_2023H1'!B:D,'AMFI DATA_2023H1'!D:D)</f>
        <v>20205.36</v>
      </c>
      <c r="F1321" s="7">
        <f t="shared" si="5"/>
        <v>0.46990699497559052</v>
      </c>
      <c r="G1321" s="8">
        <v>29700</v>
      </c>
      <c r="H1321" s="8">
        <v>29110</v>
      </c>
      <c r="I1321" s="8">
        <v>29314</v>
      </c>
      <c r="J1321" s="8">
        <v>29551</v>
      </c>
      <c r="K1321" s="8">
        <v>29592</v>
      </c>
      <c r="L1321" s="8">
        <v>29212</v>
      </c>
      <c r="M1321" s="8"/>
      <c r="N1321" s="8"/>
      <c r="O1321" s="8"/>
      <c r="P1321" s="8"/>
      <c r="Q1321" s="9">
        <f ca="1">IFERROR(__xludf.DUMMYFUNCTION("GOOGLEFINANCE(C1321,""changepct"")"),5.87)</f>
        <v>5.87</v>
      </c>
      <c r="R1321" s="8"/>
      <c r="S1321" s="8"/>
      <c r="T1321" s="8"/>
      <c r="U1321" s="8"/>
      <c r="V1321" s="8"/>
      <c r="W1321" s="8"/>
    </row>
    <row r="1322" spans="1:23" ht="14.4">
      <c r="A1322" s="3">
        <f>LOOKUP(D1322,'AMFI DATA_2023H1'!B:C,'AMFI DATA_2023H1'!C:C)</f>
        <v>1019</v>
      </c>
      <c r="B1322" s="4" t="s">
        <v>3095</v>
      </c>
      <c r="C1322" s="4" t="s">
        <v>3096</v>
      </c>
      <c r="D1322" s="5" t="s">
        <v>3097</v>
      </c>
      <c r="E1322" s="5">
        <f>LOOKUP(D1322,'AMFI DATA_2023H1'!B:D,'AMFI DATA_2023H1'!D:D)</f>
        <v>1089.3800000000001</v>
      </c>
      <c r="F1322" s="7">
        <f t="shared" si="5"/>
        <v>0.49534597661054902</v>
      </c>
      <c r="G1322" s="8">
        <v>1629</v>
      </c>
      <c r="H1322" s="8">
        <v>1622</v>
      </c>
      <c r="I1322" s="8">
        <v>1561</v>
      </c>
      <c r="J1322" s="8">
        <v>1534</v>
      </c>
      <c r="K1322" s="8">
        <v>1525</v>
      </c>
      <c r="L1322" s="8">
        <v>1487</v>
      </c>
      <c r="M1322" s="8"/>
      <c r="N1322" s="8"/>
      <c r="O1322" s="8"/>
      <c r="P1322" s="8"/>
      <c r="Q1322" s="9">
        <f ca="1">IFERROR(__xludf.DUMMYFUNCTION("GOOGLEFINANCE(C1322,""changepct"")"),-0.73)</f>
        <v>-0.73</v>
      </c>
      <c r="R1322" s="8"/>
      <c r="S1322" s="8"/>
      <c r="T1322" s="8"/>
      <c r="U1322" s="8"/>
      <c r="V1322" s="8"/>
      <c r="W1322" s="8"/>
    </row>
    <row r="1323" spans="1:23" ht="14.4">
      <c r="A1323" s="3">
        <f>LOOKUP(D1323,'AMFI DATA_2023H1'!B:C,'AMFI DATA_2023H1'!C:C)</f>
        <v>87</v>
      </c>
      <c r="B1323" s="4" t="s">
        <v>246</v>
      </c>
      <c r="C1323" s="4" t="s">
        <v>247</v>
      </c>
      <c r="D1323" s="5" t="s">
        <v>248</v>
      </c>
      <c r="E1323" s="5">
        <f>LOOKUP(D1323,'AMFI DATA_2023H1'!B:D,'AMFI DATA_2023H1'!D:D)</f>
        <v>56007.62</v>
      </c>
      <c r="F1323" s="7">
        <f t="shared" si="5"/>
        <v>0.92293477208994057</v>
      </c>
      <c r="G1323" s="8">
        <v>107699</v>
      </c>
      <c r="H1323" s="8">
        <v>105475</v>
      </c>
      <c r="I1323" s="8">
        <v>105298</v>
      </c>
      <c r="J1323" s="8">
        <v>101048</v>
      </c>
      <c r="K1323" s="8">
        <v>97480</v>
      </c>
      <c r="L1323" s="8">
        <v>98273</v>
      </c>
      <c r="M1323" s="8"/>
      <c r="N1323" s="8"/>
      <c r="O1323" s="8"/>
      <c r="P1323" s="8"/>
      <c r="Q1323" s="9">
        <f ca="1">IFERROR(__xludf.DUMMYFUNCTION("GOOGLEFINANCE(C1323,""changepct"")"),6.7)</f>
        <v>6.7</v>
      </c>
      <c r="R1323" s="8"/>
      <c r="S1323" s="8"/>
      <c r="T1323" s="8"/>
      <c r="U1323" s="8"/>
      <c r="V1323" s="8"/>
      <c r="W1323" s="8"/>
    </row>
    <row r="1324" spans="1:23" ht="14.4">
      <c r="A1324" s="3">
        <f>LOOKUP(D1324,'AMFI DATA_2023H1'!B:C,'AMFI DATA_2023H1'!C:C)</f>
        <v>792</v>
      </c>
      <c r="B1324" s="4" t="s">
        <v>2267</v>
      </c>
      <c r="C1324" s="4" t="s">
        <v>2268</v>
      </c>
      <c r="D1324" s="5" t="s">
        <v>2269</v>
      </c>
      <c r="E1324" s="5">
        <f>LOOKUP(D1324,'AMFI DATA_2023H1'!B:D,'AMFI DATA_2023H1'!D:D)</f>
        <v>1972.05</v>
      </c>
      <c r="F1324" s="7">
        <f t="shared" si="5"/>
        <v>1.252985471970792</v>
      </c>
      <c r="G1324" s="8">
        <v>4443</v>
      </c>
      <c r="H1324" s="8">
        <v>4435</v>
      </c>
      <c r="I1324" s="8">
        <v>4456</v>
      </c>
      <c r="J1324" s="8">
        <v>4534</v>
      </c>
      <c r="K1324" s="8">
        <v>4490</v>
      </c>
      <c r="L1324" s="8">
        <v>4411</v>
      </c>
      <c r="M1324" s="8"/>
      <c r="N1324" s="8"/>
      <c r="O1324" s="8"/>
      <c r="P1324" s="8"/>
      <c r="Q1324" s="9">
        <f ca="1">IFERROR(__xludf.DUMMYFUNCTION("GOOGLEFINANCE(C1324,""changepct"")"),2.77)</f>
        <v>2.77</v>
      </c>
      <c r="R1324" s="8"/>
      <c r="S1324" s="8"/>
      <c r="T1324" s="8"/>
      <c r="U1324" s="8"/>
      <c r="V1324" s="8"/>
      <c r="W1324" s="8"/>
    </row>
    <row r="1325" spans="1:23" ht="14.4">
      <c r="A1325" s="3">
        <f>LOOKUP(D1325,'AMFI DATA_2023H1'!B:C,'AMFI DATA_2023H1'!C:C)</f>
        <v>1702</v>
      </c>
      <c r="B1325" s="4" t="s">
        <v>4391</v>
      </c>
      <c r="C1325" s="4" t="s">
        <v>4392</v>
      </c>
      <c r="D1325" s="5" t="s">
        <v>4393</v>
      </c>
      <c r="E1325" s="5">
        <f>LOOKUP(D1325,'AMFI DATA_2023H1'!B:D,'AMFI DATA_2023H1'!D:D)</f>
        <v>240.06</v>
      </c>
      <c r="F1325" s="7">
        <f t="shared" si="5"/>
        <v>0.57460634841289671</v>
      </c>
      <c r="G1325" s="9">
        <v>378</v>
      </c>
      <c r="H1325" s="9">
        <v>379</v>
      </c>
      <c r="I1325" s="9">
        <v>380</v>
      </c>
      <c r="J1325" s="9">
        <v>391</v>
      </c>
      <c r="K1325" s="9">
        <v>390</v>
      </c>
      <c r="L1325" s="9">
        <v>385</v>
      </c>
      <c r="M1325" s="9"/>
      <c r="N1325" s="9"/>
      <c r="O1325" s="9"/>
      <c r="P1325" s="9"/>
      <c r="Q1325" s="9">
        <f ca="1">IFERROR(__xludf.DUMMYFUNCTION("GOOGLEFINANCE(C1325,""changepct"")"),10)</f>
        <v>10</v>
      </c>
      <c r="R1325" s="9"/>
      <c r="S1325" s="9"/>
      <c r="T1325" s="9"/>
      <c r="U1325" s="9"/>
      <c r="V1325" s="9"/>
      <c r="W1325" s="9"/>
    </row>
    <row r="1326" spans="1:23" ht="14.4">
      <c r="A1326" s="3">
        <f>LOOKUP(D1326,'AMFI DATA_2023H1'!B:C,'AMFI DATA_2023H1'!C:C)</f>
        <v>294</v>
      </c>
      <c r="B1326" s="4" t="s">
        <v>912</v>
      </c>
      <c r="C1326" s="4" t="s">
        <v>913</v>
      </c>
      <c r="D1326" s="5" t="s">
        <v>914</v>
      </c>
      <c r="E1326" s="5">
        <f>LOOKUP(D1326,'AMFI DATA_2023H1'!B:D,'AMFI DATA_2023H1'!D:D)</f>
        <v>13020.26</v>
      </c>
      <c r="F1326" s="7">
        <f t="shared" si="5"/>
        <v>0.25020544904633235</v>
      </c>
      <c r="G1326" s="8">
        <v>16278</v>
      </c>
      <c r="H1326" s="8">
        <v>16289</v>
      </c>
      <c r="I1326" s="8">
        <v>16259</v>
      </c>
      <c r="J1326" s="8">
        <v>16420</v>
      </c>
      <c r="K1326" s="8">
        <v>16264</v>
      </c>
      <c r="L1326" s="8">
        <v>16690</v>
      </c>
      <c r="M1326" s="8"/>
      <c r="N1326" s="8"/>
      <c r="O1326" s="8"/>
      <c r="P1326" s="8"/>
      <c r="Q1326" s="9">
        <f ca="1">IFERROR(__xludf.DUMMYFUNCTION("GOOGLEFINANCE(C1326,""changepct"")"),3.23)</f>
        <v>3.23</v>
      </c>
      <c r="R1326" s="8"/>
      <c r="S1326" s="8"/>
      <c r="T1326" s="8"/>
      <c r="U1326" s="8"/>
      <c r="V1326" s="8"/>
      <c r="W1326" s="8"/>
    </row>
    <row r="1327" spans="1:23" ht="14.4">
      <c r="A1327" s="3">
        <f>LOOKUP(D1327,'AMFI DATA_2023H1'!B:C,'AMFI DATA_2023H1'!C:C)</f>
        <v>294</v>
      </c>
      <c r="B1327" s="4" t="s">
        <v>3680</v>
      </c>
      <c r="C1327" s="4" t="s">
        <v>3681</v>
      </c>
      <c r="D1327" s="5" t="s">
        <v>3682</v>
      </c>
      <c r="E1327" s="5">
        <f>LOOKUP(D1327,'AMFI DATA_2023H1'!B:D,'AMFI DATA_2023H1'!D:D)</f>
        <v>13020.26</v>
      </c>
      <c r="F1327" s="7">
        <f t="shared" si="5"/>
        <v>-0.94554640229918607</v>
      </c>
      <c r="G1327" s="9">
        <v>709</v>
      </c>
      <c r="H1327" s="9">
        <v>711</v>
      </c>
      <c r="I1327" s="9">
        <v>725</v>
      </c>
      <c r="J1327" s="9">
        <v>721</v>
      </c>
      <c r="K1327" s="9">
        <v>722</v>
      </c>
      <c r="L1327" s="9">
        <v>710</v>
      </c>
      <c r="M1327" s="9"/>
      <c r="N1327" s="9"/>
      <c r="O1327" s="9"/>
      <c r="P1327" s="9"/>
      <c r="Q1327" s="9">
        <f ca="1">IFERROR(__xludf.DUMMYFUNCTION("GOOGLEFINANCE(C1327,""changepct"")"),0.3)</f>
        <v>0.3</v>
      </c>
      <c r="R1327" s="9"/>
      <c r="S1327" s="9"/>
      <c r="T1327" s="9"/>
      <c r="U1327" s="9"/>
      <c r="V1327" s="9"/>
      <c r="W1327" s="9"/>
    </row>
    <row r="1328" spans="1:23" ht="14.4">
      <c r="A1328" s="3">
        <f>LOOKUP(D1328,'AMFI DATA_2023H1'!B:C,'AMFI DATA_2023H1'!C:C)</f>
        <v>471</v>
      </c>
      <c r="B1328" s="4" t="s">
        <v>1590</v>
      </c>
      <c r="C1328" s="4" t="s">
        <v>1591</v>
      </c>
      <c r="D1328" s="5" t="s">
        <v>1592</v>
      </c>
      <c r="E1328" s="5">
        <f>LOOKUP(D1328,'AMFI DATA_2023H1'!B:D,'AMFI DATA_2023H1'!D:D)</f>
        <v>5691.48</v>
      </c>
      <c r="F1328" s="7">
        <f t="shared" si="5"/>
        <v>0.35377792770948857</v>
      </c>
      <c r="G1328" s="8">
        <v>7705</v>
      </c>
      <c r="H1328" s="8">
        <v>7760</v>
      </c>
      <c r="I1328" s="8">
        <v>7768</v>
      </c>
      <c r="J1328" s="8">
        <v>7508</v>
      </c>
      <c r="K1328" s="8">
        <v>7591</v>
      </c>
      <c r="L1328" s="8">
        <v>7643</v>
      </c>
      <c r="M1328" s="8"/>
      <c r="N1328" s="8"/>
      <c r="O1328" s="8"/>
      <c r="P1328" s="8"/>
      <c r="Q1328" s="9">
        <f ca="1">IFERROR(__xludf.DUMMYFUNCTION("GOOGLEFINANCE(C1328,""changepct"")"),-1.78)</f>
        <v>-1.78</v>
      </c>
      <c r="R1328" s="8"/>
      <c r="S1328" s="8"/>
      <c r="T1328" s="8"/>
      <c r="U1328" s="8"/>
      <c r="V1328" s="8"/>
      <c r="W1328" s="8"/>
    </row>
    <row r="1329" spans="1:23" ht="14.4">
      <c r="A1329" s="3">
        <f>LOOKUP(D1329,'AMFI DATA_2023H1'!B:C,'AMFI DATA_2023H1'!C:C)</f>
        <v>1140</v>
      </c>
      <c r="B1329" s="4" t="s">
        <v>3038</v>
      </c>
      <c r="C1329" s="4" t="s">
        <v>3039</v>
      </c>
      <c r="D1329" s="5" t="s">
        <v>3040</v>
      </c>
      <c r="E1329" s="5">
        <f>LOOKUP(D1329,'AMFI DATA_2023H1'!B:D,'AMFI DATA_2023H1'!D:D)</f>
        <v>807.81</v>
      </c>
      <c r="F1329" s="7">
        <f t="shared" si="5"/>
        <v>1.3384211633923822</v>
      </c>
      <c r="G1329" s="8">
        <v>1889</v>
      </c>
      <c r="H1329" s="8">
        <v>1924</v>
      </c>
      <c r="I1329" s="8">
        <v>1953</v>
      </c>
      <c r="J1329" s="8">
        <v>1953</v>
      </c>
      <c r="K1329" s="8">
        <v>1997</v>
      </c>
      <c r="L1329" s="8">
        <v>1961</v>
      </c>
      <c r="M1329" s="8"/>
      <c r="N1329" s="8"/>
      <c r="O1329" s="8"/>
      <c r="P1329" s="8"/>
      <c r="Q1329" s="9">
        <f ca="1">IFERROR(__xludf.DUMMYFUNCTION("GOOGLEFINANCE(C1329,""changepct"")"),-2.03)</f>
        <v>-2.0299999999999998</v>
      </c>
      <c r="R1329" s="8"/>
      <c r="S1329" s="8"/>
      <c r="T1329" s="8"/>
      <c r="U1329" s="8"/>
      <c r="V1329" s="8"/>
      <c r="W1329" s="8"/>
    </row>
    <row r="1330" spans="1:23" ht="14.4">
      <c r="A1330" s="3">
        <f>LOOKUP(D1330,'AMFI DATA_2023H1'!B:C,'AMFI DATA_2023H1'!C:C)</f>
        <v>969</v>
      </c>
      <c r="B1330" s="4" t="s">
        <v>894</v>
      </c>
      <c r="C1330" s="4" t="s">
        <v>895</v>
      </c>
      <c r="D1330" s="5" t="s">
        <v>896</v>
      </c>
      <c r="E1330" s="5">
        <f>LOOKUP(D1330,'AMFI DATA_2023H1'!B:D,'AMFI DATA_2023H1'!D:D)</f>
        <v>1262.47</v>
      </c>
      <c r="F1330" s="7">
        <f t="shared" si="5"/>
        <v>13.084295072358154</v>
      </c>
      <c r="G1330" s="8">
        <v>17781</v>
      </c>
      <c r="H1330" s="8">
        <v>17820</v>
      </c>
      <c r="I1330" s="8">
        <v>17871</v>
      </c>
      <c r="J1330" s="8">
        <v>17926</v>
      </c>
      <c r="K1330" s="8">
        <v>17823</v>
      </c>
      <c r="L1330" s="8">
        <v>18264</v>
      </c>
      <c r="M1330" s="8"/>
      <c r="N1330" s="8"/>
      <c r="O1330" s="8"/>
      <c r="P1330" s="8"/>
      <c r="Q1330" s="9">
        <f ca="1">IFERROR(__xludf.DUMMYFUNCTION("GOOGLEFINANCE(C1330,""changepct"")"),-0.54)</f>
        <v>-0.54</v>
      </c>
      <c r="R1330" s="8"/>
      <c r="S1330" s="8"/>
      <c r="T1330" s="8"/>
      <c r="U1330" s="8"/>
      <c r="V1330" s="8"/>
      <c r="W1330" s="8"/>
    </row>
    <row r="1331" spans="1:23" ht="14.4">
      <c r="A1331" s="3">
        <f>LOOKUP(D1331,'AMFI DATA_2023H1'!B:C,'AMFI DATA_2023H1'!C:C)</f>
        <v>633</v>
      </c>
      <c r="B1331" s="4" t="s">
        <v>1719</v>
      </c>
      <c r="C1331" s="4" t="s">
        <v>1720</v>
      </c>
      <c r="D1331" s="5" t="s">
        <v>1721</v>
      </c>
      <c r="E1331" s="5">
        <f>LOOKUP(D1331,'AMFI DATA_2023H1'!B:D,'AMFI DATA_2023H1'!D:D)</f>
        <v>3248.79</v>
      </c>
      <c r="F1331" s="7">
        <f t="shared" si="5"/>
        <v>1.0195211140147564</v>
      </c>
      <c r="G1331" s="8">
        <v>6561</v>
      </c>
      <c r="H1331" s="8">
        <v>6459</v>
      </c>
      <c r="I1331" s="8">
        <v>6596</v>
      </c>
      <c r="J1331" s="8">
        <v>6679</v>
      </c>
      <c r="K1331" s="8">
        <v>6648</v>
      </c>
      <c r="L1331" s="8">
        <v>6760</v>
      </c>
      <c r="M1331" s="8"/>
      <c r="N1331" s="8"/>
      <c r="O1331" s="8"/>
      <c r="P1331" s="8"/>
      <c r="Q1331" s="9">
        <f ca="1">IFERROR(__xludf.DUMMYFUNCTION("GOOGLEFINANCE(C1331,""changepct"")"),4.56)</f>
        <v>4.5599999999999996</v>
      </c>
      <c r="R1331" s="8"/>
      <c r="S1331" s="8"/>
      <c r="T1331" s="8"/>
      <c r="U1331" s="8"/>
      <c r="V1331" s="8"/>
      <c r="W1331" s="8"/>
    </row>
    <row r="1332" spans="1:23" ht="14.4">
      <c r="A1332" s="3">
        <f>LOOKUP(D1332,'AMFI DATA_2023H1'!B:C,'AMFI DATA_2023H1'!C:C)</f>
        <v>2393</v>
      </c>
      <c r="B1332" s="4" t="s">
        <v>5006</v>
      </c>
      <c r="C1332" s="4" t="s">
        <v>5007</v>
      </c>
      <c r="D1332" s="5" t="s">
        <v>5008</v>
      </c>
      <c r="E1332" s="5">
        <f>LOOKUP(D1332,'AMFI DATA_2023H1'!B:D,'AMFI DATA_2023H1'!D:D)</f>
        <v>73.989999999999995</v>
      </c>
      <c r="F1332" s="7">
        <f t="shared" si="5"/>
        <v>1.0813623462630089</v>
      </c>
      <c r="G1332" s="9">
        <v>154</v>
      </c>
      <c r="H1332" s="9">
        <v>152</v>
      </c>
      <c r="I1332" s="9">
        <v>153</v>
      </c>
      <c r="J1332" s="9">
        <v>161</v>
      </c>
      <c r="K1332" s="9">
        <v>160</v>
      </c>
      <c r="L1332" s="9">
        <v>158</v>
      </c>
      <c r="M1332" s="9"/>
      <c r="N1332" s="9"/>
      <c r="O1332" s="9"/>
      <c r="P1332" s="9"/>
      <c r="Q1332" s="9">
        <f ca="1">IFERROR(__xludf.DUMMYFUNCTION("GOOGLEFINANCE(C1332,""changepct"")"),1.03)</f>
        <v>1.03</v>
      </c>
      <c r="R1332" s="9"/>
      <c r="S1332" s="9"/>
      <c r="T1332" s="9"/>
      <c r="U1332" s="9"/>
      <c r="V1332" s="9"/>
      <c r="W1332" s="9"/>
    </row>
    <row r="1333" spans="1:23" ht="14.4">
      <c r="A1333" s="3">
        <f>LOOKUP(D1333,'AMFI DATA_2023H1'!B:C,'AMFI DATA_2023H1'!C:C)</f>
        <v>1898</v>
      </c>
      <c r="B1333" s="4" t="s">
        <v>4436</v>
      </c>
      <c r="C1333" s="4" t="s">
        <v>4437</v>
      </c>
      <c r="D1333" s="5" t="s">
        <v>4438</v>
      </c>
      <c r="E1333" s="5">
        <f>LOOKUP(D1333,'AMFI DATA_2023H1'!B:D,'AMFI DATA_2023H1'!D:D)</f>
        <v>166.02</v>
      </c>
      <c r="F1333" s="7">
        <f t="shared" si="5"/>
        <v>1.7888206240212021</v>
      </c>
      <c r="G1333" s="9">
        <v>463</v>
      </c>
      <c r="H1333" s="9">
        <v>441</v>
      </c>
      <c r="I1333" s="9">
        <v>420</v>
      </c>
      <c r="J1333" s="9">
        <v>400</v>
      </c>
      <c r="K1333" s="9">
        <v>381</v>
      </c>
      <c r="L1333" s="9">
        <v>363</v>
      </c>
      <c r="M1333" s="9"/>
      <c r="N1333" s="9"/>
      <c r="O1333" s="9"/>
      <c r="P1333" s="9"/>
      <c r="Q1333" s="9">
        <f ca="1">IFERROR(__xludf.DUMMYFUNCTION("GOOGLEFINANCE(C1333,""changepct"")"),3.99)</f>
        <v>3.99</v>
      </c>
      <c r="R1333" s="9"/>
      <c r="S1333" s="9"/>
      <c r="T1333" s="9"/>
      <c r="U1333" s="9"/>
      <c r="V1333" s="9"/>
      <c r="W1333" s="9"/>
    </row>
    <row r="1334" spans="1:23" ht="14.4">
      <c r="A1334" s="3">
        <f>LOOKUP(D1334,'AMFI DATA_2023H1'!B:C,'AMFI DATA_2023H1'!C:C)</f>
        <v>1432</v>
      </c>
      <c r="B1334" s="4" t="s">
        <v>4025</v>
      </c>
      <c r="C1334" s="4" t="s">
        <v>4026</v>
      </c>
      <c r="D1334" s="5" t="s">
        <v>4027</v>
      </c>
      <c r="E1334" s="5">
        <f>LOOKUP(D1334,'AMFI DATA_2023H1'!B:D,'AMFI DATA_2023H1'!D:D)</f>
        <v>391.68</v>
      </c>
      <c r="F1334" s="7">
        <f t="shared" si="5"/>
        <v>0.58803104575163401</v>
      </c>
      <c r="G1334" s="9">
        <v>622</v>
      </c>
      <c r="H1334" s="9">
        <v>616</v>
      </c>
      <c r="I1334" s="9">
        <v>618</v>
      </c>
      <c r="J1334" s="9">
        <v>631</v>
      </c>
      <c r="K1334" s="9">
        <v>631</v>
      </c>
      <c r="L1334" s="9">
        <v>633</v>
      </c>
      <c r="M1334" s="9"/>
      <c r="N1334" s="9"/>
      <c r="O1334" s="9"/>
      <c r="P1334" s="9"/>
      <c r="Q1334" s="9">
        <f ca="1">IFERROR(__xludf.DUMMYFUNCTION("GOOGLEFINANCE(C1334,""changepct"")"),3.91)</f>
        <v>3.91</v>
      </c>
      <c r="R1334" s="9"/>
      <c r="S1334" s="9"/>
      <c r="T1334" s="9"/>
      <c r="U1334" s="9"/>
      <c r="V1334" s="9"/>
      <c r="W1334" s="9"/>
    </row>
    <row r="1335" spans="1:23" ht="14.4">
      <c r="A1335" s="3">
        <f>LOOKUP(D1335,'AMFI DATA_2023H1'!B:C,'AMFI DATA_2023H1'!C:C)</f>
        <v>3798</v>
      </c>
      <c r="B1335" s="4" t="s">
        <v>5755</v>
      </c>
      <c r="C1335" s="4" t="s">
        <v>5756</v>
      </c>
      <c r="D1335" s="5" t="s">
        <v>5757</v>
      </c>
      <c r="E1335" s="5">
        <f>LOOKUP(D1335,'AMFI DATA_2023H1'!B:D,'AMFI DATA_2023H1'!D:D)</f>
        <v>9.18</v>
      </c>
      <c r="F1335" s="7">
        <f t="shared" si="5"/>
        <v>0.15468409586056642</v>
      </c>
      <c r="G1335" s="9">
        <v>10.6</v>
      </c>
      <c r="H1335" s="9">
        <v>10.4</v>
      </c>
      <c r="I1335" s="9">
        <v>9.91</v>
      </c>
      <c r="J1335" s="9">
        <v>9.75</v>
      </c>
      <c r="K1335" s="9">
        <v>8.9</v>
      </c>
      <c r="L1335" s="9">
        <v>9.2100000000000009</v>
      </c>
      <c r="M1335" s="9"/>
      <c r="N1335" s="9"/>
      <c r="O1335" s="9"/>
      <c r="P1335" s="9"/>
      <c r="Q1335" s="9">
        <f ca="1">IFERROR(__xludf.DUMMYFUNCTION("GOOGLEFINANCE(C1335,""changepct"")"),-2.86)</f>
        <v>-2.86</v>
      </c>
      <c r="R1335" s="9"/>
      <c r="S1335" s="9"/>
      <c r="T1335" s="9"/>
      <c r="U1335" s="9"/>
      <c r="V1335" s="9"/>
      <c r="W1335" s="9"/>
    </row>
    <row r="1336" spans="1:23" ht="14.4">
      <c r="A1336" s="3">
        <f>LOOKUP(D1336,'AMFI DATA_2023H1'!B:C,'AMFI DATA_2023H1'!C:C)</f>
        <v>3407</v>
      </c>
      <c r="B1336" s="4" t="s">
        <v>1176</v>
      </c>
      <c r="C1336" s="4" t="s">
        <v>1177</v>
      </c>
      <c r="D1336" s="5" t="s">
        <v>1178</v>
      </c>
      <c r="E1336" s="5">
        <f>LOOKUP(D1336,'AMFI DATA_2023H1'!B:D,'AMFI DATA_2023H1'!D:D)</f>
        <v>16.760000000000002</v>
      </c>
      <c r="F1336" s="7">
        <f t="shared" si="5"/>
        <v>9.1885441527446154E-2</v>
      </c>
      <c r="G1336" s="9">
        <v>18.3</v>
      </c>
      <c r="H1336" s="9">
        <v>18.3</v>
      </c>
      <c r="I1336" s="9">
        <v>18.3</v>
      </c>
      <c r="J1336" s="9">
        <v>18.3</v>
      </c>
      <c r="K1336" s="9">
        <v>18.3</v>
      </c>
      <c r="L1336" s="9">
        <v>18.3</v>
      </c>
      <c r="M1336" s="9"/>
      <c r="N1336" s="9"/>
      <c r="O1336" s="9"/>
      <c r="P1336" s="9"/>
      <c r="Q1336" s="9" t="str">
        <f ca="1">IFERROR(__xludf.DUMMYFUNCTION("GOOGLEFINANCE(C1336,""changepct"")"),"#N/A")</f>
        <v>#N/A</v>
      </c>
      <c r="R1336" s="9"/>
      <c r="S1336" s="9"/>
      <c r="T1336" s="9"/>
      <c r="U1336" s="9"/>
      <c r="V1336" s="9"/>
      <c r="W1336" s="9"/>
    </row>
    <row r="1337" spans="1:23" ht="14.4">
      <c r="A1337" s="3">
        <f>LOOKUP(D1337,'AMFI DATA_2023H1'!B:C,'AMFI DATA_2023H1'!C:C)</f>
        <v>1394</v>
      </c>
      <c r="B1337" s="4" t="s">
        <v>4034</v>
      </c>
      <c r="C1337" s="4" t="s">
        <v>4035</v>
      </c>
      <c r="D1337" s="5" t="s">
        <v>4036</v>
      </c>
      <c r="E1337" s="5">
        <f>LOOKUP(D1337,'AMFI DATA_2023H1'!B:D,'AMFI DATA_2023H1'!D:D)</f>
        <v>416.54</v>
      </c>
      <c r="F1337" s="7">
        <f t="shared" si="5"/>
        <v>0.27238680558889894</v>
      </c>
      <c r="G1337" s="9">
        <v>530</v>
      </c>
      <c r="H1337" s="9">
        <v>527</v>
      </c>
      <c r="I1337" s="9">
        <v>525</v>
      </c>
      <c r="J1337" s="9">
        <v>535</v>
      </c>
      <c r="K1337" s="9">
        <v>534</v>
      </c>
      <c r="L1337" s="9">
        <v>523</v>
      </c>
      <c r="M1337" s="9"/>
      <c r="N1337" s="9"/>
      <c r="O1337" s="9"/>
      <c r="P1337" s="9"/>
      <c r="Q1337" s="9">
        <f ca="1">IFERROR(__xludf.DUMMYFUNCTION("GOOGLEFINANCE(C1337,""changepct"")"),-0.92)</f>
        <v>-0.92</v>
      </c>
      <c r="R1337" s="9"/>
      <c r="S1337" s="9"/>
      <c r="T1337" s="9"/>
      <c r="U1337" s="9"/>
      <c r="V1337" s="9"/>
      <c r="W1337" s="9"/>
    </row>
    <row r="1338" spans="1:23" ht="14.4">
      <c r="A1338" s="3">
        <f>LOOKUP(D1338,'AMFI DATA_2023H1'!B:C,'AMFI DATA_2023H1'!C:C)</f>
        <v>1052</v>
      </c>
      <c r="B1338" s="4" t="s">
        <v>3386</v>
      </c>
      <c r="C1338" s="4" t="s">
        <v>3387</v>
      </c>
      <c r="D1338" s="5" t="s">
        <v>3388</v>
      </c>
      <c r="E1338" s="5">
        <f>LOOKUP(D1338,'AMFI DATA_2023H1'!B:D,'AMFI DATA_2023H1'!D:D)</f>
        <v>1025.45</v>
      </c>
      <c r="F1338" s="7">
        <f t="shared" si="5"/>
        <v>-7.0651908918036077E-2</v>
      </c>
      <c r="G1338" s="9">
        <v>953</v>
      </c>
      <c r="H1338" s="9">
        <v>950</v>
      </c>
      <c r="I1338" s="9">
        <v>952</v>
      </c>
      <c r="J1338" s="9">
        <v>954</v>
      </c>
      <c r="K1338" s="9">
        <v>956</v>
      </c>
      <c r="L1338" s="9">
        <v>952</v>
      </c>
      <c r="M1338" s="9"/>
      <c r="N1338" s="9"/>
      <c r="O1338" s="9"/>
      <c r="P1338" s="9"/>
      <c r="Q1338" s="9">
        <f ca="1">IFERROR(__xludf.DUMMYFUNCTION("GOOGLEFINANCE(C1338,""changepct"")"),0.33)</f>
        <v>0.33</v>
      </c>
      <c r="R1338" s="9"/>
      <c r="S1338" s="9"/>
      <c r="T1338" s="9"/>
      <c r="U1338" s="9"/>
      <c r="V1338" s="9"/>
      <c r="W1338" s="9"/>
    </row>
    <row r="1339" spans="1:23" ht="14.4">
      <c r="A1339" s="3">
        <f>LOOKUP(D1339,'AMFI DATA_2023H1'!B:C,'AMFI DATA_2023H1'!C:C)</f>
        <v>268</v>
      </c>
      <c r="B1339" s="4" t="s">
        <v>870</v>
      </c>
      <c r="C1339" s="4" t="s">
        <v>871</v>
      </c>
      <c r="D1339" s="5" t="s">
        <v>872</v>
      </c>
      <c r="E1339" s="5">
        <f>LOOKUP(D1339,'AMFI DATA_2023H1'!B:D,'AMFI DATA_2023H1'!D:D)</f>
        <v>15244.02</v>
      </c>
      <c r="F1339" s="7">
        <f t="shared" si="5"/>
        <v>0.47966218884519951</v>
      </c>
      <c r="G1339" s="8">
        <v>22556</v>
      </c>
      <c r="H1339" s="8">
        <v>22222</v>
      </c>
      <c r="I1339" s="8">
        <v>22062</v>
      </c>
      <c r="J1339" s="8">
        <v>22055</v>
      </c>
      <c r="K1339" s="8">
        <v>21592</v>
      </c>
      <c r="L1339" s="8">
        <v>21427</v>
      </c>
      <c r="M1339" s="8"/>
      <c r="N1339" s="8"/>
      <c r="O1339" s="8"/>
      <c r="P1339" s="8"/>
      <c r="Q1339" s="9">
        <f ca="1">IFERROR(__xludf.DUMMYFUNCTION("GOOGLEFINANCE(C1339,""changepct"")"),-0.25)</f>
        <v>-0.25</v>
      </c>
      <c r="R1339" s="8"/>
      <c r="S1339" s="8"/>
      <c r="T1339" s="8"/>
      <c r="U1339" s="8"/>
      <c r="V1339" s="8"/>
      <c r="W1339" s="8"/>
    </row>
    <row r="1340" spans="1:23" ht="14.4">
      <c r="A1340" s="3">
        <f>LOOKUP(D1340,'AMFI DATA_2023H1'!B:C,'AMFI DATA_2023H1'!C:C)</f>
        <v>238</v>
      </c>
      <c r="B1340" s="4" t="s">
        <v>597</v>
      </c>
      <c r="C1340" s="4" t="s">
        <v>598</v>
      </c>
      <c r="D1340" s="5" t="s">
        <v>599</v>
      </c>
      <c r="E1340" s="5">
        <f>LOOKUP(D1340,'AMFI DATA_2023H1'!B:D,'AMFI DATA_2023H1'!D:D)</f>
        <v>18709.25</v>
      </c>
      <c r="F1340" s="7">
        <f t="shared" si="5"/>
        <v>1.0282480591151435</v>
      </c>
      <c r="G1340" s="8">
        <v>37947</v>
      </c>
      <c r="H1340" s="8">
        <v>37843</v>
      </c>
      <c r="I1340" s="8">
        <v>36999</v>
      </c>
      <c r="J1340" s="8">
        <v>37061</v>
      </c>
      <c r="K1340" s="8">
        <v>37259</v>
      </c>
      <c r="L1340" s="8">
        <v>36884</v>
      </c>
      <c r="M1340" s="8"/>
      <c r="N1340" s="8"/>
      <c r="O1340" s="8"/>
      <c r="P1340" s="8"/>
      <c r="Q1340" s="9">
        <f ca="1">IFERROR(__xludf.DUMMYFUNCTION("GOOGLEFINANCE(C1340,""changepct"")"),31.51)</f>
        <v>31.51</v>
      </c>
      <c r="R1340" s="8"/>
      <c r="S1340" s="8"/>
      <c r="T1340" s="8"/>
      <c r="U1340" s="8"/>
      <c r="V1340" s="8"/>
      <c r="W1340" s="8"/>
    </row>
    <row r="1341" spans="1:23" ht="14.4">
      <c r="A1341" s="3">
        <f>LOOKUP(D1341,'AMFI DATA_2023H1'!B:C,'AMFI DATA_2023H1'!C:C)</f>
        <v>596</v>
      </c>
      <c r="B1341" s="4" t="s">
        <v>1545</v>
      </c>
      <c r="C1341" s="4" t="s">
        <v>1546</v>
      </c>
      <c r="D1341" s="5" t="s">
        <v>1547</v>
      </c>
      <c r="E1341" s="5">
        <f>LOOKUP(D1341,'AMFI DATA_2023H1'!B:D,'AMFI DATA_2023H1'!D:D)</f>
        <v>3751.71</v>
      </c>
      <c r="F1341" s="7">
        <f t="shared" si="5"/>
        <v>2.0188900528025888</v>
      </c>
      <c r="G1341" s="8">
        <v>11326</v>
      </c>
      <c r="H1341" s="8">
        <v>10848</v>
      </c>
      <c r="I1341" s="8">
        <v>9500</v>
      </c>
      <c r="J1341" s="8">
        <v>9511</v>
      </c>
      <c r="K1341" s="8">
        <v>9553</v>
      </c>
      <c r="L1341" s="8">
        <v>9511</v>
      </c>
      <c r="M1341" s="8"/>
      <c r="N1341" s="8"/>
      <c r="O1341" s="8"/>
      <c r="P1341" s="8"/>
      <c r="Q1341" s="9">
        <f ca="1">IFERROR(__xludf.DUMMYFUNCTION("GOOGLEFINANCE(C1341,""changepct"")"),21.21)</f>
        <v>21.21</v>
      </c>
      <c r="R1341" s="8"/>
      <c r="S1341" s="8"/>
      <c r="T1341" s="8"/>
      <c r="U1341" s="8"/>
      <c r="V1341" s="8"/>
      <c r="W1341" s="8"/>
    </row>
    <row r="1342" spans="1:23" ht="14.4">
      <c r="A1342" s="3">
        <f>LOOKUP(D1342,'AMFI DATA_2023H1'!B:C,'AMFI DATA_2023H1'!C:C)</f>
        <v>485</v>
      </c>
      <c r="B1342" s="4" t="s">
        <v>1773</v>
      </c>
      <c r="C1342" s="4" t="s">
        <v>1774</v>
      </c>
      <c r="D1342" s="5" t="s">
        <v>1775</v>
      </c>
      <c r="E1342" s="5">
        <f>LOOKUP(D1342,'AMFI DATA_2023H1'!B:D,'AMFI DATA_2023H1'!D:D)</f>
        <v>5438.65</v>
      </c>
      <c r="F1342" s="7">
        <f t="shared" si="5"/>
        <v>-4.5167458836292029E-2</v>
      </c>
      <c r="G1342" s="8">
        <v>5193</v>
      </c>
      <c r="H1342" s="8">
        <v>5185</v>
      </c>
      <c r="I1342" s="8">
        <v>5091</v>
      </c>
      <c r="J1342" s="8">
        <v>5143</v>
      </c>
      <c r="K1342" s="8">
        <v>4917</v>
      </c>
      <c r="L1342" s="8">
        <v>4879</v>
      </c>
      <c r="M1342" s="8"/>
      <c r="N1342" s="8"/>
      <c r="O1342" s="8"/>
      <c r="P1342" s="8"/>
      <c r="Q1342" s="9">
        <f ca="1">IFERROR(__xludf.DUMMYFUNCTION("GOOGLEFINANCE(C1342,""changepct"")"),9.59)</f>
        <v>9.59</v>
      </c>
      <c r="R1342" s="8"/>
      <c r="S1342" s="8"/>
      <c r="T1342" s="8"/>
      <c r="U1342" s="8"/>
      <c r="V1342" s="8"/>
      <c r="W1342" s="8"/>
    </row>
    <row r="1343" spans="1:23" ht="14.4">
      <c r="A1343" s="3">
        <f>LOOKUP(D1343,'AMFI DATA_2023H1'!B:C,'AMFI DATA_2023H1'!C:C)</f>
        <v>388</v>
      </c>
      <c r="B1343" s="4" t="s">
        <v>1161</v>
      </c>
      <c r="C1343" s="4" t="s">
        <v>1162</v>
      </c>
      <c r="D1343" s="5" t="s">
        <v>1163</v>
      </c>
      <c r="E1343" s="5">
        <f>LOOKUP(D1343,'AMFI DATA_2023H1'!B:D,'AMFI DATA_2023H1'!D:D)</f>
        <v>8180.8</v>
      </c>
      <c r="F1343" s="7">
        <f t="shared" si="5"/>
        <v>0.51354390768628977</v>
      </c>
      <c r="G1343" s="8">
        <v>12382</v>
      </c>
      <c r="H1343" s="8">
        <v>12060</v>
      </c>
      <c r="I1343" s="8">
        <v>12121</v>
      </c>
      <c r="J1343" s="8">
        <v>11501</v>
      </c>
      <c r="K1343" s="8">
        <v>11433</v>
      </c>
      <c r="L1343" s="8">
        <v>11345</v>
      </c>
      <c r="M1343" s="8"/>
      <c r="N1343" s="8"/>
      <c r="O1343" s="8"/>
      <c r="P1343" s="8"/>
      <c r="Q1343" s="9">
        <f ca="1">IFERROR(__xludf.DUMMYFUNCTION("GOOGLEFINANCE(C1343,""changepct"")"),-1.98)</f>
        <v>-1.98</v>
      </c>
      <c r="R1343" s="8"/>
      <c r="S1343" s="8"/>
      <c r="T1343" s="8"/>
      <c r="U1343" s="8"/>
      <c r="V1343" s="8"/>
      <c r="W1343" s="8"/>
    </row>
    <row r="1344" spans="1:23" ht="14.4">
      <c r="A1344" s="3">
        <f>LOOKUP(D1344,'AMFI DATA_2023H1'!B:C,'AMFI DATA_2023H1'!C:C)</f>
        <v>2142</v>
      </c>
      <c r="B1344" s="4" t="s">
        <v>5180</v>
      </c>
      <c r="C1344" s="4" t="s">
        <v>5181</v>
      </c>
      <c r="D1344" s="5" t="s">
        <v>5182</v>
      </c>
      <c r="E1344" s="5">
        <f>LOOKUP(D1344,'AMFI DATA_2023H1'!B:D,'AMFI DATA_2023H1'!D:D)</f>
        <v>114.57</v>
      </c>
      <c r="F1344" s="7">
        <f t="shared" si="5"/>
        <v>0.2568735271013356</v>
      </c>
      <c r="G1344" s="9">
        <v>144</v>
      </c>
      <c r="H1344" s="9">
        <v>142</v>
      </c>
      <c r="I1344" s="9">
        <v>138</v>
      </c>
      <c r="J1344" s="9">
        <v>142</v>
      </c>
      <c r="K1344" s="9">
        <v>144</v>
      </c>
      <c r="L1344" s="9">
        <v>144</v>
      </c>
      <c r="M1344" s="9"/>
      <c r="N1344" s="9"/>
      <c r="O1344" s="9"/>
      <c r="P1344" s="9"/>
      <c r="Q1344" s="9">
        <f ca="1">IFERROR(__xludf.DUMMYFUNCTION("GOOGLEFINANCE(C1344,""changepct"")"),5.83)</f>
        <v>5.83</v>
      </c>
      <c r="R1344" s="9"/>
      <c r="S1344" s="9"/>
      <c r="T1344" s="9"/>
      <c r="U1344" s="9"/>
      <c r="V1344" s="9"/>
      <c r="W1344" s="9"/>
    </row>
    <row r="1345" spans="1:23" ht="14.4">
      <c r="A1345" s="3">
        <f>LOOKUP(D1345,'AMFI DATA_2023H1'!B:C,'AMFI DATA_2023H1'!C:C)</f>
        <v>628</v>
      </c>
      <c r="B1345" s="4" t="s">
        <v>2591</v>
      </c>
      <c r="C1345" s="4" t="s">
        <v>2592</v>
      </c>
      <c r="D1345" s="5" t="s">
        <v>2593</v>
      </c>
      <c r="E1345" s="5">
        <f>LOOKUP(D1345,'AMFI DATA_2023H1'!B:D,'AMFI DATA_2023H1'!D:D)</f>
        <v>3319.96</v>
      </c>
      <c r="F1345" s="7">
        <f t="shared" si="5"/>
        <v>-0.68011662791117966</v>
      </c>
      <c r="G1345" s="8">
        <v>1062</v>
      </c>
      <c r="H1345" s="8">
        <v>1060</v>
      </c>
      <c r="I1345" s="8">
        <v>1081</v>
      </c>
      <c r="J1345" s="8">
        <v>1103</v>
      </c>
      <c r="K1345" s="8">
        <v>1116</v>
      </c>
      <c r="L1345" s="8">
        <v>1143</v>
      </c>
      <c r="M1345" s="8"/>
      <c r="N1345" s="8"/>
      <c r="O1345" s="8"/>
      <c r="P1345" s="8"/>
      <c r="Q1345" s="9">
        <f ca="1">IFERROR(__xludf.DUMMYFUNCTION("GOOGLEFINANCE(C1345,""changepct"")"),3.77)</f>
        <v>3.77</v>
      </c>
      <c r="R1345" s="8"/>
      <c r="S1345" s="8"/>
      <c r="T1345" s="8"/>
      <c r="U1345" s="8"/>
      <c r="V1345" s="8"/>
      <c r="W1345" s="8"/>
    </row>
    <row r="1346" spans="1:23" ht="14.4">
      <c r="A1346" s="3">
        <f>LOOKUP(D1346,'AMFI DATA_2023H1'!B:C,'AMFI DATA_2023H1'!C:C)</f>
        <v>1703</v>
      </c>
      <c r="B1346" s="4" t="s">
        <v>4505</v>
      </c>
      <c r="C1346" s="4" t="s">
        <v>4506</v>
      </c>
      <c r="D1346" s="5" t="s">
        <v>4507</v>
      </c>
      <c r="E1346" s="5">
        <f>LOOKUP(D1346,'AMFI DATA_2023H1'!B:D,'AMFI DATA_2023H1'!D:D)</f>
        <v>240.05</v>
      </c>
      <c r="F1346" s="7">
        <f t="shared" si="5"/>
        <v>0.27473443032701517</v>
      </c>
      <c r="G1346" s="9">
        <v>306</v>
      </c>
      <c r="H1346" s="9">
        <v>282</v>
      </c>
      <c r="I1346" s="9">
        <v>296</v>
      </c>
      <c r="J1346" s="9">
        <v>281</v>
      </c>
      <c r="K1346" s="9">
        <v>287</v>
      </c>
      <c r="L1346" s="9">
        <v>284</v>
      </c>
      <c r="M1346" s="9"/>
      <c r="N1346" s="9"/>
      <c r="O1346" s="9"/>
      <c r="P1346" s="9"/>
      <c r="Q1346" s="9">
        <f ca="1">IFERROR(__xludf.DUMMYFUNCTION("GOOGLEFINANCE(C1346,""changepct"")"),-1.22)</f>
        <v>-1.22</v>
      </c>
      <c r="R1346" s="9"/>
      <c r="S1346" s="9"/>
      <c r="T1346" s="9"/>
      <c r="U1346" s="9"/>
      <c r="V1346" s="9"/>
      <c r="W1346" s="9"/>
    </row>
    <row r="1347" spans="1:23" ht="14.4">
      <c r="A1347" s="3">
        <f>LOOKUP(D1347,'AMFI DATA_2023H1'!B:C,'AMFI DATA_2023H1'!C:C)</f>
        <v>3676</v>
      </c>
      <c r="B1347" s="4" t="s">
        <v>5731</v>
      </c>
      <c r="C1347" s="4" t="s">
        <v>5732</v>
      </c>
      <c r="D1347" s="5" t="s">
        <v>5733</v>
      </c>
      <c r="E1347" s="5">
        <f>LOOKUP(D1347,'AMFI DATA_2023H1'!B:D,'AMFI DATA_2023H1'!D:D)</f>
        <v>10.89</v>
      </c>
      <c r="F1347" s="7">
        <f t="shared" si="5"/>
        <v>0.23966942148760317</v>
      </c>
      <c r="G1347" s="9">
        <v>13.5</v>
      </c>
      <c r="H1347" s="9">
        <v>13.2</v>
      </c>
      <c r="I1347" s="9">
        <v>12.9</v>
      </c>
      <c r="J1347" s="9">
        <v>12.4</v>
      </c>
      <c r="K1347" s="9">
        <v>12.2</v>
      </c>
      <c r="L1347" s="9">
        <v>12.2</v>
      </c>
      <c r="M1347" s="9"/>
      <c r="N1347" s="9"/>
      <c r="O1347" s="9"/>
      <c r="P1347" s="9"/>
      <c r="Q1347" s="9">
        <f ca="1">IFERROR(__xludf.DUMMYFUNCTION("GOOGLEFINANCE(C1347,""changepct"")"),10.68)</f>
        <v>10.68</v>
      </c>
      <c r="R1347" s="9"/>
      <c r="S1347" s="9"/>
      <c r="T1347" s="9"/>
      <c r="U1347" s="9"/>
      <c r="V1347" s="9"/>
      <c r="W1347" s="9"/>
    </row>
    <row r="1348" spans="1:23" ht="14.4">
      <c r="A1348" s="3">
        <f>LOOKUP(D1348,'AMFI DATA_2023H1'!B:C,'AMFI DATA_2023H1'!C:C)</f>
        <v>227</v>
      </c>
      <c r="B1348" s="4" t="s">
        <v>1017</v>
      </c>
      <c r="C1348" s="4" t="s">
        <v>1018</v>
      </c>
      <c r="D1348" s="5" t="s">
        <v>1019</v>
      </c>
      <c r="E1348" s="5">
        <f>LOOKUP(D1348,'AMFI DATA_2023H1'!B:D,'AMFI DATA_2023H1'!D:D)</f>
        <v>19506.16</v>
      </c>
      <c r="F1348" s="7">
        <f t="shared" si="5"/>
        <v>-0.42797557284468091</v>
      </c>
      <c r="G1348" s="8">
        <v>11158</v>
      </c>
      <c r="H1348" s="8">
        <v>10824</v>
      </c>
      <c r="I1348" s="8">
        <v>10755</v>
      </c>
      <c r="J1348" s="8">
        <v>10638</v>
      </c>
      <c r="K1348" s="8">
        <v>10659</v>
      </c>
      <c r="L1348" s="8">
        <v>10604</v>
      </c>
      <c r="M1348" s="8"/>
      <c r="N1348" s="8"/>
      <c r="O1348" s="8"/>
      <c r="P1348" s="8"/>
      <c r="Q1348" s="9">
        <f ca="1">IFERROR(__xludf.DUMMYFUNCTION("GOOGLEFINANCE(C1348,""changepct"")"),2.95)</f>
        <v>2.95</v>
      </c>
      <c r="R1348" s="8"/>
      <c r="S1348" s="8"/>
      <c r="T1348" s="8"/>
      <c r="U1348" s="8"/>
      <c r="V1348" s="8"/>
      <c r="W1348" s="8"/>
    </row>
    <row r="1349" spans="1:23" ht="14.4">
      <c r="A1349" s="3">
        <f>LOOKUP(D1349,'AMFI DATA_2023H1'!B:C,'AMFI DATA_2023H1'!C:C)</f>
        <v>1492</v>
      </c>
      <c r="B1349" s="4" t="s">
        <v>4502</v>
      </c>
      <c r="C1349" s="4" t="s">
        <v>4503</v>
      </c>
      <c r="D1349" s="5" t="s">
        <v>4504</v>
      </c>
      <c r="E1349" s="5">
        <f>LOOKUP(D1349,'AMFI DATA_2023H1'!B:D,'AMFI DATA_2023H1'!D:D)</f>
        <v>351.15</v>
      </c>
      <c r="F1349" s="7">
        <f t="shared" si="5"/>
        <v>-8.9705254164885728E-3</v>
      </c>
      <c r="G1349" s="9">
        <v>348</v>
      </c>
      <c r="H1349" s="9">
        <v>292</v>
      </c>
      <c r="I1349" s="9">
        <v>310</v>
      </c>
      <c r="J1349" s="9">
        <v>299</v>
      </c>
      <c r="K1349" s="9">
        <v>292</v>
      </c>
      <c r="L1349" s="9">
        <v>267</v>
      </c>
      <c r="M1349" s="9"/>
      <c r="N1349" s="9"/>
      <c r="O1349" s="9"/>
      <c r="P1349" s="9"/>
      <c r="Q1349" s="9">
        <f ca="1">IFERROR(__xludf.DUMMYFUNCTION("GOOGLEFINANCE(C1349,""changepct"")"),-4.2)</f>
        <v>-4.2</v>
      </c>
      <c r="R1349" s="9"/>
      <c r="S1349" s="9"/>
      <c r="T1349" s="9"/>
      <c r="U1349" s="9"/>
      <c r="V1349" s="9"/>
      <c r="W1349" s="9"/>
    </row>
    <row r="1350" spans="1:23" ht="14.4">
      <c r="A1350" s="3">
        <f>LOOKUP(D1350,'AMFI DATA_2023H1'!B:C,'AMFI DATA_2023H1'!C:C)</f>
        <v>576</v>
      </c>
      <c r="B1350" s="4" t="s">
        <v>2058</v>
      </c>
      <c r="C1350" s="4" t="s">
        <v>2059</v>
      </c>
      <c r="D1350" s="5" t="s">
        <v>2060</v>
      </c>
      <c r="E1350" s="5">
        <f>LOOKUP(D1350,'AMFI DATA_2023H1'!B:D,'AMFI DATA_2023H1'!D:D)</f>
        <v>3998.73</v>
      </c>
      <c r="F1350" s="7">
        <f t="shared" si="5"/>
        <v>-2.5190497983109683E-2</v>
      </c>
      <c r="G1350" s="8">
        <v>3898</v>
      </c>
      <c r="H1350" s="8">
        <v>3935</v>
      </c>
      <c r="I1350" s="8">
        <v>3922</v>
      </c>
      <c r="J1350" s="8">
        <v>4014</v>
      </c>
      <c r="K1350" s="8">
        <v>4028</v>
      </c>
      <c r="L1350" s="8">
        <v>3972</v>
      </c>
      <c r="M1350" s="8"/>
      <c r="N1350" s="8"/>
      <c r="O1350" s="8"/>
      <c r="P1350" s="8"/>
      <c r="Q1350" s="9">
        <f ca="1">IFERROR(__xludf.DUMMYFUNCTION("GOOGLEFINANCE(C1350,""changepct"")"),-3.15)</f>
        <v>-3.15</v>
      </c>
      <c r="R1350" s="8"/>
      <c r="S1350" s="8"/>
      <c r="T1350" s="8"/>
      <c r="U1350" s="8"/>
      <c r="V1350" s="8"/>
      <c r="W1350" s="8"/>
    </row>
    <row r="1351" spans="1:23" ht="14.4">
      <c r="A1351" s="3">
        <f>LOOKUP(D1351,'AMFI DATA_2023H1'!B:C,'AMFI DATA_2023H1'!C:C)</f>
        <v>1843</v>
      </c>
      <c r="B1351" s="4" t="s">
        <v>4619</v>
      </c>
      <c r="C1351" s="4" t="s">
        <v>4620</v>
      </c>
      <c r="D1351" s="5" t="s">
        <v>4621</v>
      </c>
      <c r="E1351" s="5">
        <f>LOOKUP(D1351,'AMFI DATA_2023H1'!B:D,'AMFI DATA_2023H1'!D:D)</f>
        <v>183.24</v>
      </c>
      <c r="F1351" s="7">
        <f t="shared" si="5"/>
        <v>0.35341628465400565</v>
      </c>
      <c r="G1351" s="9">
        <v>248</v>
      </c>
      <c r="H1351" s="9">
        <v>239</v>
      </c>
      <c r="I1351" s="9">
        <v>239</v>
      </c>
      <c r="J1351" s="9">
        <v>243</v>
      </c>
      <c r="K1351" s="9">
        <v>247</v>
      </c>
      <c r="L1351" s="9">
        <v>243</v>
      </c>
      <c r="M1351" s="9"/>
      <c r="N1351" s="9"/>
      <c r="O1351" s="9"/>
      <c r="P1351" s="9"/>
      <c r="Q1351" s="9">
        <f ca="1">IFERROR(__xludf.DUMMYFUNCTION("GOOGLEFINANCE(C1351,""changepct"")"),10.51)</f>
        <v>10.51</v>
      </c>
      <c r="R1351" s="9"/>
      <c r="S1351" s="9"/>
      <c r="T1351" s="9"/>
      <c r="U1351" s="9"/>
      <c r="V1351" s="9"/>
      <c r="W1351" s="9"/>
    </row>
    <row r="1352" spans="1:23" ht="14.4">
      <c r="A1352" s="3">
        <f>LOOKUP(D1352,'AMFI DATA_2023H1'!B:C,'AMFI DATA_2023H1'!C:C)</f>
        <v>2012</v>
      </c>
      <c r="B1352" s="4" t="s">
        <v>4811</v>
      </c>
      <c r="C1352" s="4" t="s">
        <v>4812</v>
      </c>
      <c r="D1352" s="5" t="s">
        <v>4813</v>
      </c>
      <c r="E1352" s="5">
        <f>LOOKUP(D1352,'AMFI DATA_2023H1'!B:D,'AMFI DATA_2023H1'!D:D)</f>
        <v>141.41</v>
      </c>
      <c r="F1352" s="7">
        <f t="shared" si="5"/>
        <v>0.57697475426066047</v>
      </c>
      <c r="G1352" s="9">
        <v>223</v>
      </c>
      <c r="H1352" s="9">
        <v>187</v>
      </c>
      <c r="I1352" s="9">
        <v>182</v>
      </c>
      <c r="J1352" s="9">
        <v>181</v>
      </c>
      <c r="K1352" s="9">
        <v>178</v>
      </c>
      <c r="L1352" s="9">
        <v>179</v>
      </c>
      <c r="M1352" s="9"/>
      <c r="N1352" s="9"/>
      <c r="O1352" s="9"/>
      <c r="P1352" s="9"/>
      <c r="Q1352" s="9">
        <f ca="1">IFERROR(__xludf.DUMMYFUNCTION("GOOGLEFINANCE(C1352,""changepct"")"),0.45)</f>
        <v>0.45</v>
      </c>
      <c r="R1352" s="9"/>
      <c r="S1352" s="9"/>
      <c r="T1352" s="9"/>
      <c r="U1352" s="9"/>
      <c r="V1352" s="9"/>
      <c r="W1352" s="9"/>
    </row>
    <row r="1353" spans="1:23" ht="14.4">
      <c r="A1353" s="3">
        <f>LOOKUP(D1353,'AMFI DATA_2023H1'!B:C,'AMFI DATA_2023H1'!C:C)</f>
        <v>581</v>
      </c>
      <c r="B1353" s="4" t="s">
        <v>1938</v>
      </c>
      <c r="C1353" s="4" t="s">
        <v>1939</v>
      </c>
      <c r="D1353" s="5" t="s">
        <v>1940</v>
      </c>
      <c r="E1353" s="5">
        <f>LOOKUP(D1353,'AMFI DATA_2023H1'!B:D,'AMFI DATA_2023H1'!D:D)</f>
        <v>3952.88</v>
      </c>
      <c r="F1353" s="7">
        <f t="shared" si="5"/>
        <v>0.24440913966525679</v>
      </c>
      <c r="G1353" s="8">
        <v>4919</v>
      </c>
      <c r="H1353" s="8">
        <v>4858</v>
      </c>
      <c r="I1353" s="8">
        <v>4846</v>
      </c>
      <c r="J1353" s="8">
        <v>4923</v>
      </c>
      <c r="K1353" s="8">
        <v>4930</v>
      </c>
      <c r="L1353" s="8">
        <v>4862</v>
      </c>
      <c r="M1353" s="8"/>
      <c r="N1353" s="8"/>
      <c r="O1353" s="8"/>
      <c r="P1353" s="8"/>
      <c r="Q1353" s="9">
        <f ca="1">IFERROR(__xludf.DUMMYFUNCTION("GOOGLEFINANCE(C1353,""changepct"")"),4.03)</f>
        <v>4.03</v>
      </c>
      <c r="R1353" s="8"/>
      <c r="S1353" s="8"/>
      <c r="T1353" s="8"/>
      <c r="U1353" s="8"/>
      <c r="V1353" s="8"/>
      <c r="W1353" s="8"/>
    </row>
    <row r="1354" spans="1:23" ht="14.4">
      <c r="A1354" s="3">
        <f>LOOKUP(D1354,'AMFI DATA_2023H1'!B:C,'AMFI DATA_2023H1'!C:C)</f>
        <v>1120</v>
      </c>
      <c r="B1354" s="4" t="s">
        <v>3179</v>
      </c>
      <c r="C1354" s="4" t="s">
        <v>3180</v>
      </c>
      <c r="D1354" s="5" t="s">
        <v>3181</v>
      </c>
      <c r="E1354" s="5">
        <f>LOOKUP(D1354,'AMFI DATA_2023H1'!B:D,'AMFI DATA_2023H1'!D:D)</f>
        <v>841.95</v>
      </c>
      <c r="F1354" s="7">
        <f t="shared" si="5"/>
        <v>0.55709959023694977</v>
      </c>
      <c r="G1354" s="8">
        <v>1311</v>
      </c>
      <c r="H1354" s="8">
        <v>1311</v>
      </c>
      <c r="I1354" s="8">
        <v>1309</v>
      </c>
      <c r="J1354" s="8">
        <v>1338</v>
      </c>
      <c r="K1354" s="8">
        <v>1321</v>
      </c>
      <c r="L1354" s="8">
        <v>1282</v>
      </c>
      <c r="M1354" s="8"/>
      <c r="N1354" s="8"/>
      <c r="O1354" s="8"/>
      <c r="P1354" s="8"/>
      <c r="Q1354" s="9">
        <f ca="1">IFERROR(__xludf.DUMMYFUNCTION("GOOGLEFINANCE(C1354,""changepct"")"),1.24)</f>
        <v>1.24</v>
      </c>
      <c r="R1354" s="8"/>
      <c r="S1354" s="8"/>
      <c r="T1354" s="8"/>
      <c r="U1354" s="8"/>
      <c r="V1354" s="8"/>
      <c r="W1354" s="8"/>
    </row>
    <row r="1355" spans="1:23" ht="14.4">
      <c r="A1355" s="3">
        <f>LOOKUP(D1355,'AMFI DATA_2023H1'!B:C,'AMFI DATA_2023H1'!C:C)</f>
        <v>1458</v>
      </c>
      <c r="B1355" s="4" t="s">
        <v>4154</v>
      </c>
      <c r="C1355" s="4" t="s">
        <v>4155</v>
      </c>
      <c r="D1355" s="5" t="s">
        <v>4156</v>
      </c>
      <c r="E1355" s="5">
        <f>LOOKUP(D1355,'AMFI DATA_2023H1'!B:D,'AMFI DATA_2023H1'!D:D)</f>
        <v>375.94</v>
      </c>
      <c r="F1355" s="7">
        <f t="shared" si="5"/>
        <v>7.1979571208171444E-2</v>
      </c>
      <c r="G1355" s="9">
        <v>403</v>
      </c>
      <c r="H1355" s="9">
        <v>376</v>
      </c>
      <c r="I1355" s="9">
        <v>379</v>
      </c>
      <c r="J1355" s="9">
        <v>379</v>
      </c>
      <c r="K1355" s="9">
        <v>384</v>
      </c>
      <c r="L1355" s="9">
        <v>383</v>
      </c>
      <c r="M1355" s="9"/>
      <c r="N1355" s="9"/>
      <c r="O1355" s="9"/>
      <c r="P1355" s="9"/>
      <c r="Q1355" s="9">
        <f ca="1">IFERROR(__xludf.DUMMYFUNCTION("GOOGLEFINANCE(C1355,""changepct"")"),5.24)</f>
        <v>5.24</v>
      </c>
      <c r="R1355" s="9"/>
      <c r="S1355" s="9"/>
      <c r="T1355" s="9"/>
      <c r="U1355" s="9"/>
      <c r="V1355" s="9"/>
      <c r="W1355" s="9"/>
    </row>
    <row r="1356" spans="1:23" ht="14.4">
      <c r="A1356" s="3">
        <f>LOOKUP(D1356,'AMFI DATA_2023H1'!B:C,'AMFI DATA_2023H1'!C:C)</f>
        <v>876</v>
      </c>
      <c r="B1356" s="4" t="s">
        <v>2804</v>
      </c>
      <c r="C1356" s="4" t="s">
        <v>2805</v>
      </c>
      <c r="D1356" s="5" t="s">
        <v>2806</v>
      </c>
      <c r="E1356" s="5">
        <f>LOOKUP(D1356,'AMFI DATA_2023H1'!B:D,'AMFI DATA_2023H1'!D:D)</f>
        <v>1592.99</v>
      </c>
      <c r="F1356" s="7">
        <f t="shared" si="5"/>
        <v>0.12430084306869471</v>
      </c>
      <c r="G1356" s="8">
        <v>1791</v>
      </c>
      <c r="H1356" s="8">
        <v>1778</v>
      </c>
      <c r="I1356" s="8">
        <v>1779</v>
      </c>
      <c r="J1356" s="8">
        <v>1784</v>
      </c>
      <c r="K1356" s="8">
        <v>1824</v>
      </c>
      <c r="L1356" s="8">
        <v>1820</v>
      </c>
      <c r="M1356" s="8"/>
      <c r="N1356" s="8"/>
      <c r="O1356" s="8"/>
      <c r="P1356" s="8"/>
      <c r="Q1356" s="9">
        <f ca="1">IFERROR(__xludf.DUMMYFUNCTION("GOOGLEFINANCE(C1356,""changepct"")"),22.42)</f>
        <v>22.42</v>
      </c>
      <c r="R1356" s="8"/>
      <c r="S1356" s="8"/>
      <c r="T1356" s="8"/>
      <c r="U1356" s="8"/>
      <c r="V1356" s="8"/>
      <c r="W1356" s="8"/>
    </row>
    <row r="1357" spans="1:23" ht="14.4">
      <c r="A1357" s="3">
        <f>LOOKUP(D1357,'AMFI DATA_2023H1'!B:C,'AMFI DATA_2023H1'!C:C)</f>
        <v>974</v>
      </c>
      <c r="B1357" s="4" t="s">
        <v>2882</v>
      </c>
      <c r="C1357" s="4" t="s">
        <v>2883</v>
      </c>
      <c r="D1357" s="5" t="s">
        <v>2884</v>
      </c>
      <c r="E1357" s="5">
        <f>LOOKUP(D1357,'AMFI DATA_2023H1'!B:D,'AMFI DATA_2023H1'!D:D)</f>
        <v>1256.72</v>
      </c>
      <c r="F1357" s="7">
        <f t="shared" si="5"/>
        <v>0.49914062002673631</v>
      </c>
      <c r="G1357" s="8">
        <v>1884</v>
      </c>
      <c r="H1357" s="8">
        <v>1881</v>
      </c>
      <c r="I1357" s="8">
        <v>1868</v>
      </c>
      <c r="J1357" s="8">
        <v>1871</v>
      </c>
      <c r="K1357" s="8">
        <v>1844</v>
      </c>
      <c r="L1357" s="8">
        <v>1872</v>
      </c>
      <c r="M1357" s="8"/>
      <c r="N1357" s="8"/>
      <c r="O1357" s="8"/>
      <c r="P1357" s="8"/>
      <c r="Q1357" s="9">
        <f ca="1">IFERROR(__xludf.DUMMYFUNCTION("GOOGLEFINANCE(C1357,""changepct"")"),5.68)</f>
        <v>5.68</v>
      </c>
      <c r="R1357" s="8"/>
      <c r="S1357" s="8"/>
      <c r="T1357" s="8"/>
      <c r="U1357" s="8"/>
      <c r="V1357" s="8"/>
      <c r="W1357" s="8"/>
    </row>
    <row r="1358" spans="1:23" ht="14.4">
      <c r="A1358" s="3">
        <f>LOOKUP(D1358,'AMFI DATA_2023H1'!B:C,'AMFI DATA_2023H1'!C:C)</f>
        <v>1166</v>
      </c>
      <c r="B1358" s="4" t="s">
        <v>3401</v>
      </c>
      <c r="C1358" s="4" t="s">
        <v>3402</v>
      </c>
      <c r="D1358" s="5" t="s">
        <v>3403</v>
      </c>
      <c r="E1358" s="5">
        <f>LOOKUP(D1358,'AMFI DATA_2023H1'!B:D,'AMFI DATA_2023H1'!D:D)</f>
        <v>765.92</v>
      </c>
      <c r="F1358" s="7">
        <f t="shared" si="5"/>
        <v>0.35523292249843341</v>
      </c>
      <c r="G1358" s="8">
        <v>1038</v>
      </c>
      <c r="H1358" s="8">
        <v>1027</v>
      </c>
      <c r="I1358" s="8">
        <v>1028</v>
      </c>
      <c r="J1358" s="8">
        <v>1054</v>
      </c>
      <c r="K1358" s="8">
        <v>1054</v>
      </c>
      <c r="L1358" s="8">
        <v>1065</v>
      </c>
      <c r="M1358" s="8"/>
      <c r="N1358" s="8"/>
      <c r="O1358" s="8"/>
      <c r="P1358" s="8"/>
      <c r="Q1358" s="9">
        <f ca="1">IFERROR(__xludf.DUMMYFUNCTION("GOOGLEFINANCE(C1358,""changepct"")"),1.78)</f>
        <v>1.78</v>
      </c>
      <c r="R1358" s="8"/>
      <c r="S1358" s="8"/>
      <c r="T1358" s="8"/>
      <c r="U1358" s="8"/>
      <c r="V1358" s="8"/>
      <c r="W1358" s="8"/>
    </row>
    <row r="1359" spans="1:23" ht="14.4">
      <c r="A1359" s="3">
        <f>LOOKUP(D1359,'AMFI DATA_2023H1'!B:C,'AMFI DATA_2023H1'!C:C)</f>
        <v>511</v>
      </c>
      <c r="B1359" s="4" t="s">
        <v>1179</v>
      </c>
      <c r="C1359" s="4" t="s">
        <v>1180</v>
      </c>
      <c r="D1359" s="5" t="s">
        <v>1181</v>
      </c>
      <c r="E1359" s="5">
        <f>LOOKUP(D1359,'AMFI DATA_2023H1'!B:D,'AMFI DATA_2023H1'!D:D)</f>
        <v>5050.63</v>
      </c>
      <c r="F1359" s="7">
        <f t="shared" si="5"/>
        <v>1.547404977200864</v>
      </c>
      <c r="G1359" s="8">
        <v>12866</v>
      </c>
      <c r="H1359" s="8">
        <v>13124</v>
      </c>
      <c r="I1359" s="8">
        <v>12788</v>
      </c>
      <c r="J1359" s="8">
        <v>12998</v>
      </c>
      <c r="K1359" s="8">
        <v>13104</v>
      </c>
      <c r="L1359" s="8">
        <v>13095</v>
      </c>
      <c r="M1359" s="8"/>
      <c r="N1359" s="8"/>
      <c r="O1359" s="8"/>
      <c r="P1359" s="8"/>
      <c r="Q1359" s="9">
        <f ca="1">IFERROR(__xludf.DUMMYFUNCTION("GOOGLEFINANCE(C1359,""changepct"")"),1.53)</f>
        <v>1.53</v>
      </c>
      <c r="R1359" s="8"/>
      <c r="S1359" s="8"/>
      <c r="T1359" s="8"/>
      <c r="U1359" s="8"/>
      <c r="V1359" s="8"/>
      <c r="W1359" s="8"/>
    </row>
    <row r="1360" spans="1:23" ht="14.4">
      <c r="A1360" s="3">
        <f>LOOKUP(D1360,'AMFI DATA_2023H1'!B:C,'AMFI DATA_2023H1'!C:C)</f>
        <v>739</v>
      </c>
      <c r="B1360" s="4" t="s">
        <v>1977</v>
      </c>
      <c r="C1360" s="4" t="s">
        <v>1978</v>
      </c>
      <c r="D1360" s="5" t="s">
        <v>1979</v>
      </c>
      <c r="E1360" s="5">
        <f>LOOKUP(D1360,'AMFI DATA_2023H1'!B:D,'AMFI DATA_2023H1'!D:D)</f>
        <v>2270.66</v>
      </c>
      <c r="F1360" s="7">
        <f t="shared" si="5"/>
        <v>1.4803361137290483</v>
      </c>
      <c r="G1360" s="8">
        <v>5632</v>
      </c>
      <c r="H1360" s="8">
        <v>5507</v>
      </c>
      <c r="I1360" s="8">
        <v>5397</v>
      </c>
      <c r="J1360" s="8">
        <v>5424</v>
      </c>
      <c r="K1360" s="8">
        <v>5456</v>
      </c>
      <c r="L1360" s="8">
        <v>5510</v>
      </c>
      <c r="M1360" s="8"/>
      <c r="N1360" s="8"/>
      <c r="O1360" s="8"/>
      <c r="P1360" s="8"/>
      <c r="Q1360" s="9">
        <f ca="1">IFERROR(__xludf.DUMMYFUNCTION("GOOGLEFINANCE(C1360,""changepct"")"),4.05)</f>
        <v>4.05</v>
      </c>
      <c r="R1360" s="8"/>
      <c r="S1360" s="8"/>
      <c r="T1360" s="8"/>
      <c r="U1360" s="8"/>
      <c r="V1360" s="8"/>
      <c r="W1360" s="8"/>
    </row>
    <row r="1361" spans="1:23" ht="14.4">
      <c r="A1361" s="3">
        <f>LOOKUP(D1361,'AMFI DATA_2023H1'!B:C,'AMFI DATA_2023H1'!C:C)</f>
        <v>1484</v>
      </c>
      <c r="B1361" s="4" t="s">
        <v>4196</v>
      </c>
      <c r="C1361" s="4" t="s">
        <v>4197</v>
      </c>
      <c r="D1361" s="5" t="s">
        <v>4198</v>
      </c>
      <c r="E1361" s="5">
        <f>LOOKUP(D1361,'AMFI DATA_2023H1'!B:D,'AMFI DATA_2023H1'!D:D)</f>
        <v>356.96</v>
      </c>
      <c r="F1361" s="7">
        <f t="shared" si="5"/>
        <v>2.2523532048408734E-2</v>
      </c>
      <c r="G1361" s="9">
        <v>365</v>
      </c>
      <c r="H1361" s="9">
        <v>365</v>
      </c>
      <c r="I1361" s="9">
        <v>362</v>
      </c>
      <c r="J1361" s="9">
        <v>363</v>
      </c>
      <c r="K1361" s="9">
        <v>366</v>
      </c>
      <c r="L1361" s="9">
        <v>365</v>
      </c>
      <c r="M1361" s="9"/>
      <c r="N1361" s="9"/>
      <c r="O1361" s="9"/>
      <c r="P1361" s="9"/>
      <c r="Q1361" s="9">
        <f ca="1">IFERROR(__xludf.DUMMYFUNCTION("GOOGLEFINANCE(C1361,""changepct"")"),-0.22)</f>
        <v>-0.22</v>
      </c>
      <c r="R1361" s="9"/>
      <c r="S1361" s="9"/>
      <c r="T1361" s="9"/>
      <c r="U1361" s="9"/>
      <c r="V1361" s="9"/>
      <c r="W1361" s="9"/>
    </row>
    <row r="1362" spans="1:23" ht="14.4">
      <c r="A1362" s="3">
        <f>LOOKUP(D1362,'AMFI DATA_2023H1'!B:C,'AMFI DATA_2023H1'!C:C)</f>
        <v>1149</v>
      </c>
      <c r="B1362" s="4" t="s">
        <v>3188</v>
      </c>
      <c r="C1362" s="4" t="s">
        <v>3189</v>
      </c>
      <c r="D1362" s="5" t="s">
        <v>3190</v>
      </c>
      <c r="E1362" s="5">
        <f>LOOKUP(D1362,'AMFI DATA_2023H1'!B:D,'AMFI DATA_2023H1'!D:D)</f>
        <v>787.64</v>
      </c>
      <c r="F1362" s="7">
        <f t="shared" si="5"/>
        <v>0.68604946422223345</v>
      </c>
      <c r="G1362" s="8">
        <v>1328</v>
      </c>
      <c r="H1362" s="8">
        <v>1321</v>
      </c>
      <c r="I1362" s="8">
        <v>1332</v>
      </c>
      <c r="J1362" s="8">
        <v>1354</v>
      </c>
      <c r="K1362" s="8">
        <v>1364</v>
      </c>
      <c r="L1362" s="8">
        <v>1385</v>
      </c>
      <c r="M1362" s="8"/>
      <c r="N1362" s="8"/>
      <c r="O1362" s="8"/>
      <c r="P1362" s="8"/>
      <c r="Q1362" s="9">
        <f ca="1">IFERROR(__xludf.DUMMYFUNCTION("GOOGLEFINANCE(C1362,""changepct"")"),-0.79)</f>
        <v>-0.79</v>
      </c>
      <c r="R1362" s="8"/>
      <c r="S1362" s="8"/>
      <c r="T1362" s="8"/>
      <c r="U1362" s="8"/>
      <c r="V1362" s="8"/>
      <c r="W1362" s="8"/>
    </row>
    <row r="1363" spans="1:23" ht="14.4">
      <c r="A1363" s="3">
        <f>LOOKUP(D1363,'AMFI DATA_2023H1'!B:C,'AMFI DATA_2023H1'!C:C)</f>
        <v>1286</v>
      </c>
      <c r="B1363" s="4" t="s">
        <v>3797</v>
      </c>
      <c r="C1363" s="4" t="s">
        <v>3798</v>
      </c>
      <c r="D1363" s="5" t="s">
        <v>3799</v>
      </c>
      <c r="E1363" s="5">
        <f>LOOKUP(D1363,'AMFI DATA_2023H1'!B:D,'AMFI DATA_2023H1'!D:D)</f>
        <v>549.17999999999995</v>
      </c>
      <c r="F1363" s="7">
        <f t="shared" si="5"/>
        <v>0.21271714192068192</v>
      </c>
      <c r="G1363" s="9">
        <v>666</v>
      </c>
      <c r="H1363" s="9">
        <v>660</v>
      </c>
      <c r="I1363" s="9">
        <v>665</v>
      </c>
      <c r="J1363" s="9">
        <v>671</v>
      </c>
      <c r="K1363" s="9">
        <v>678</v>
      </c>
      <c r="L1363" s="9">
        <v>669</v>
      </c>
      <c r="M1363" s="9"/>
      <c r="N1363" s="9"/>
      <c r="O1363" s="9"/>
      <c r="P1363" s="9"/>
      <c r="Q1363" s="9">
        <f ca="1">IFERROR(__xludf.DUMMYFUNCTION("GOOGLEFINANCE(C1363,""changepct"")"),-2.34)</f>
        <v>-2.34</v>
      </c>
      <c r="R1363" s="9"/>
      <c r="S1363" s="9"/>
      <c r="T1363" s="9"/>
      <c r="U1363" s="9"/>
      <c r="V1363" s="9"/>
      <c r="W1363" s="9"/>
    </row>
    <row r="1364" spans="1:23" ht="14.4">
      <c r="A1364" s="3">
        <f>LOOKUP(D1364,'AMFI DATA_2023H1'!B:C,'AMFI DATA_2023H1'!C:C)</f>
        <v>1913</v>
      </c>
      <c r="B1364" s="4" t="s">
        <v>4595</v>
      </c>
      <c r="C1364" s="4" t="s">
        <v>4596</v>
      </c>
      <c r="D1364" s="5" t="s">
        <v>4597</v>
      </c>
      <c r="E1364" s="5">
        <f>LOOKUP(D1364,'AMFI DATA_2023H1'!B:D,'AMFI DATA_2023H1'!D:D)</f>
        <v>163.04</v>
      </c>
      <c r="F1364" s="7">
        <f t="shared" si="5"/>
        <v>0.62536800785083413</v>
      </c>
      <c r="G1364" s="9">
        <v>265</v>
      </c>
      <c r="H1364" s="9">
        <v>264</v>
      </c>
      <c r="I1364" s="9">
        <v>259</v>
      </c>
      <c r="J1364" s="9">
        <v>263</v>
      </c>
      <c r="K1364" s="9">
        <v>265</v>
      </c>
      <c r="L1364" s="9">
        <v>269</v>
      </c>
      <c r="M1364" s="9"/>
      <c r="N1364" s="9"/>
      <c r="O1364" s="9"/>
      <c r="P1364" s="9"/>
      <c r="Q1364" s="9">
        <f ca="1">IFERROR(__xludf.DUMMYFUNCTION("GOOGLEFINANCE(C1364,""changepct"")"),-6)</f>
        <v>-6</v>
      </c>
      <c r="R1364" s="9"/>
      <c r="S1364" s="9"/>
      <c r="T1364" s="9"/>
      <c r="U1364" s="9"/>
      <c r="V1364" s="9"/>
      <c r="W1364" s="9"/>
    </row>
    <row r="1365" spans="1:23" ht="14.4">
      <c r="A1365" s="3">
        <f>LOOKUP(D1365,'AMFI DATA_2023H1'!B:C,'AMFI DATA_2023H1'!C:C)</f>
        <v>948</v>
      </c>
      <c r="B1365" s="4" t="s">
        <v>2921</v>
      </c>
      <c r="C1365" s="4" t="s">
        <v>2922</v>
      </c>
      <c r="D1365" s="5" t="s">
        <v>2923</v>
      </c>
      <c r="E1365" s="5">
        <f>LOOKUP(D1365,'AMFI DATA_2023H1'!B:D,'AMFI DATA_2023H1'!D:D)</f>
        <v>1322.85</v>
      </c>
      <c r="F1365" s="7">
        <f t="shared" si="5"/>
        <v>0.42117398042106058</v>
      </c>
      <c r="G1365" s="8">
        <v>1880</v>
      </c>
      <c r="H1365" s="8">
        <v>1831</v>
      </c>
      <c r="I1365" s="8">
        <v>1828</v>
      </c>
      <c r="J1365" s="8">
        <v>1862</v>
      </c>
      <c r="K1365" s="8">
        <v>1852</v>
      </c>
      <c r="L1365" s="8">
        <v>1850</v>
      </c>
      <c r="M1365" s="8"/>
      <c r="N1365" s="8"/>
      <c r="O1365" s="8"/>
      <c r="P1365" s="8"/>
      <c r="Q1365" s="9">
        <f ca="1">IFERROR(__xludf.DUMMYFUNCTION("GOOGLEFINANCE(C1365,""changepct"")"),-0.16)</f>
        <v>-0.16</v>
      </c>
      <c r="R1365" s="8"/>
      <c r="S1365" s="8"/>
      <c r="T1365" s="8"/>
      <c r="U1365" s="8"/>
      <c r="V1365" s="8"/>
      <c r="W1365" s="8"/>
    </row>
    <row r="1366" spans="1:23" ht="14.4">
      <c r="A1366" s="3">
        <f>LOOKUP(D1366,'AMFI DATA_2023H1'!B:C,'AMFI DATA_2023H1'!C:C)</f>
        <v>458</v>
      </c>
      <c r="B1366" s="4" t="s">
        <v>1554</v>
      </c>
      <c r="C1366" s="4" t="s">
        <v>1555</v>
      </c>
      <c r="D1366" s="5" t="s">
        <v>1556</v>
      </c>
      <c r="E1366" s="5">
        <f>LOOKUP(D1366,'AMFI DATA_2023H1'!B:D,'AMFI DATA_2023H1'!D:D)</f>
        <v>5985.8</v>
      </c>
      <c r="F1366" s="7">
        <f t="shared" si="5"/>
        <v>0.54047913395034919</v>
      </c>
      <c r="G1366" s="8">
        <v>9221</v>
      </c>
      <c r="H1366" s="8">
        <v>8800</v>
      </c>
      <c r="I1366" s="8">
        <v>8788</v>
      </c>
      <c r="J1366" s="8">
        <v>8582</v>
      </c>
      <c r="K1366" s="8">
        <v>8640</v>
      </c>
      <c r="L1366" s="8">
        <v>8383</v>
      </c>
      <c r="M1366" s="8"/>
      <c r="N1366" s="8"/>
      <c r="O1366" s="8"/>
      <c r="P1366" s="8"/>
      <c r="Q1366" s="9">
        <f ca="1">IFERROR(__xludf.DUMMYFUNCTION("GOOGLEFINANCE(C1366,""changepct"")"),7.53)</f>
        <v>7.53</v>
      </c>
      <c r="R1366" s="8"/>
      <c r="S1366" s="8"/>
      <c r="T1366" s="8"/>
      <c r="U1366" s="8"/>
      <c r="V1366" s="8"/>
      <c r="W1366" s="8"/>
    </row>
    <row r="1367" spans="1:23" ht="14.4">
      <c r="A1367" s="3">
        <f>LOOKUP(D1367,'AMFI DATA_2023H1'!B:C,'AMFI DATA_2023H1'!C:C)</f>
        <v>583</v>
      </c>
      <c r="B1367" s="4" t="s">
        <v>1614</v>
      </c>
      <c r="C1367" s="4" t="s">
        <v>1615</v>
      </c>
      <c r="D1367" s="5" t="s">
        <v>1616</v>
      </c>
      <c r="E1367" s="5">
        <f>LOOKUP(D1367,'AMFI DATA_2023H1'!B:D,'AMFI DATA_2023H1'!D:D)</f>
        <v>3938.86</v>
      </c>
      <c r="F1367" s="7">
        <f t="shared" si="5"/>
        <v>1.1353894273977749</v>
      </c>
      <c r="G1367" s="8">
        <v>8411</v>
      </c>
      <c r="H1367" s="8">
        <v>8603</v>
      </c>
      <c r="I1367" s="8">
        <v>8733</v>
      </c>
      <c r="J1367" s="8">
        <v>8713</v>
      </c>
      <c r="K1367" s="8">
        <v>8583</v>
      </c>
      <c r="L1367" s="8">
        <v>8718</v>
      </c>
      <c r="M1367" s="8"/>
      <c r="N1367" s="8"/>
      <c r="O1367" s="8"/>
      <c r="P1367" s="8"/>
      <c r="Q1367" s="9">
        <f ca="1">IFERROR(__xludf.DUMMYFUNCTION("GOOGLEFINANCE(C1367,""changepct"")"),1.44)</f>
        <v>1.44</v>
      </c>
      <c r="R1367" s="8"/>
      <c r="S1367" s="8"/>
      <c r="T1367" s="8"/>
      <c r="U1367" s="8"/>
      <c r="V1367" s="8"/>
      <c r="W1367" s="8"/>
    </row>
    <row r="1368" spans="1:23" ht="14.4">
      <c r="A1368" s="3">
        <f>LOOKUP(D1368,'AMFI DATA_2023H1'!B:C,'AMFI DATA_2023H1'!C:C)</f>
        <v>269</v>
      </c>
      <c r="B1368" s="4" t="s">
        <v>807</v>
      </c>
      <c r="C1368" s="4" t="s">
        <v>808</v>
      </c>
      <c r="D1368" s="5" t="s">
        <v>809</v>
      </c>
      <c r="E1368" s="5">
        <f>LOOKUP(D1368,'AMFI DATA_2023H1'!B:D,'AMFI DATA_2023H1'!D:D)</f>
        <v>15227.27</v>
      </c>
      <c r="F1368" s="7">
        <f t="shared" si="5"/>
        <v>0.53165997581969715</v>
      </c>
      <c r="G1368" s="8">
        <v>23323</v>
      </c>
      <c r="H1368" s="8">
        <v>23620</v>
      </c>
      <c r="I1368" s="8">
        <v>23707</v>
      </c>
      <c r="J1368" s="8">
        <v>23756</v>
      </c>
      <c r="K1368" s="8">
        <v>23815</v>
      </c>
      <c r="L1368" s="8">
        <v>24076</v>
      </c>
      <c r="M1368" s="8"/>
      <c r="N1368" s="8"/>
      <c r="O1368" s="8"/>
      <c r="P1368" s="8"/>
      <c r="Q1368" s="9">
        <f ca="1">IFERROR(__xludf.DUMMYFUNCTION("GOOGLEFINANCE(C1368,""changepct"")"),0.52)</f>
        <v>0.52</v>
      </c>
      <c r="R1368" s="8"/>
      <c r="S1368" s="8"/>
      <c r="T1368" s="8"/>
      <c r="U1368" s="8"/>
      <c r="V1368" s="8"/>
      <c r="W1368" s="8"/>
    </row>
    <row r="1369" spans="1:23" ht="14.4">
      <c r="A1369" s="3">
        <f>LOOKUP(D1369,'AMFI DATA_2023H1'!B:C,'AMFI DATA_2023H1'!C:C)</f>
        <v>269</v>
      </c>
      <c r="B1369" s="4" t="s">
        <v>3854</v>
      </c>
      <c r="C1369" s="4" t="s">
        <v>3855</v>
      </c>
      <c r="D1369" s="5" t="s">
        <v>3856</v>
      </c>
      <c r="E1369" s="5">
        <f>LOOKUP(D1369,'AMFI DATA_2023H1'!B:D,'AMFI DATA_2023H1'!D:D)</f>
        <v>15227.27</v>
      </c>
      <c r="F1369" s="7">
        <f t="shared" si="5"/>
        <v>-0.96374924723867117</v>
      </c>
      <c r="G1369" s="9">
        <v>552</v>
      </c>
      <c r="H1369" s="9">
        <v>560</v>
      </c>
      <c r="I1369" s="9">
        <v>561</v>
      </c>
      <c r="J1369" s="9">
        <v>580</v>
      </c>
      <c r="K1369" s="9">
        <v>568</v>
      </c>
      <c r="L1369" s="9">
        <v>556</v>
      </c>
      <c r="M1369" s="9"/>
      <c r="N1369" s="9"/>
      <c r="O1369" s="9"/>
      <c r="P1369" s="9"/>
      <c r="Q1369" s="9">
        <f ca="1">IFERROR(__xludf.DUMMYFUNCTION("GOOGLEFINANCE(C1369,""changepct"")"),9.02)</f>
        <v>9.02</v>
      </c>
      <c r="R1369" s="9"/>
      <c r="S1369" s="9"/>
      <c r="T1369" s="9"/>
      <c r="U1369" s="9"/>
      <c r="V1369" s="9"/>
      <c r="W1369" s="9"/>
    </row>
    <row r="1370" spans="1:23" ht="14.4">
      <c r="A1370" s="3">
        <f>LOOKUP(D1370,'AMFI DATA_2023H1'!B:C,'AMFI DATA_2023H1'!C:C)</f>
        <v>481</v>
      </c>
      <c r="B1370" s="4" t="s">
        <v>1398</v>
      </c>
      <c r="C1370" s="4" t="s">
        <v>1399</v>
      </c>
      <c r="D1370" s="5" t="s">
        <v>1400</v>
      </c>
      <c r="E1370" s="5">
        <f>LOOKUP(D1370,'AMFI DATA_2023H1'!B:D,'AMFI DATA_2023H1'!D:D)</f>
        <v>5507.36</v>
      </c>
      <c r="F1370" s="7">
        <f t="shared" si="5"/>
        <v>0.91652624851108344</v>
      </c>
      <c r="G1370" s="8">
        <v>10555</v>
      </c>
      <c r="H1370" s="8">
        <v>10544</v>
      </c>
      <c r="I1370" s="8">
        <v>10440</v>
      </c>
      <c r="J1370" s="8">
        <v>10485</v>
      </c>
      <c r="K1370" s="8">
        <v>10663</v>
      </c>
      <c r="L1370" s="8">
        <v>10913</v>
      </c>
      <c r="M1370" s="8"/>
      <c r="N1370" s="8"/>
      <c r="O1370" s="8"/>
      <c r="P1370" s="8"/>
      <c r="Q1370" s="9">
        <f ca="1">IFERROR(__xludf.DUMMYFUNCTION("GOOGLEFINANCE(C1370,""changepct"")"),2.19)</f>
        <v>2.19</v>
      </c>
      <c r="R1370" s="8"/>
      <c r="S1370" s="8"/>
      <c r="T1370" s="8"/>
      <c r="U1370" s="8"/>
      <c r="V1370" s="8"/>
      <c r="W1370" s="8"/>
    </row>
    <row r="1371" spans="1:23" ht="14.4">
      <c r="A1371" s="3">
        <f>LOOKUP(D1371,'AMFI DATA_2023H1'!B:C,'AMFI DATA_2023H1'!C:C)</f>
        <v>806</v>
      </c>
      <c r="B1371" s="4" t="s">
        <v>2078</v>
      </c>
      <c r="C1371" s="4" t="s">
        <v>2079</v>
      </c>
      <c r="D1371" s="5" t="s">
        <v>2080</v>
      </c>
      <c r="E1371" s="5">
        <f>LOOKUP(D1371,'AMFI DATA_2023H1'!B:D,'AMFI DATA_2023H1'!D:D)</f>
        <v>1908.34</v>
      </c>
      <c r="F1371" s="7">
        <f t="shared" si="5"/>
        <v>1.5917813387551485</v>
      </c>
      <c r="G1371" s="8">
        <v>4946</v>
      </c>
      <c r="H1371" s="8">
        <v>4838</v>
      </c>
      <c r="I1371" s="8">
        <v>4731</v>
      </c>
      <c r="J1371" s="8">
        <v>4887</v>
      </c>
      <c r="K1371" s="8">
        <v>4957</v>
      </c>
      <c r="L1371" s="8">
        <v>4914</v>
      </c>
      <c r="M1371" s="8"/>
      <c r="N1371" s="8"/>
      <c r="O1371" s="8"/>
      <c r="P1371" s="8"/>
      <c r="Q1371" s="9">
        <f ca="1">IFERROR(__xludf.DUMMYFUNCTION("GOOGLEFINANCE(C1371,""changepct"")"),0.48)</f>
        <v>0.48</v>
      </c>
      <c r="R1371" s="8"/>
      <c r="S1371" s="8"/>
      <c r="T1371" s="8"/>
      <c r="U1371" s="8"/>
      <c r="V1371" s="8"/>
      <c r="W1371" s="8"/>
    </row>
    <row r="1372" spans="1:23" ht="14.4">
      <c r="A1372" s="3">
        <f>LOOKUP(D1372,'AMFI DATA_2023H1'!B:C,'AMFI DATA_2023H1'!C:C)</f>
        <v>2838</v>
      </c>
      <c r="B1372" s="4" t="s">
        <v>5494</v>
      </c>
      <c r="C1372" s="4" t="s">
        <v>5495</v>
      </c>
      <c r="D1372" s="5" t="s">
        <v>5496</v>
      </c>
      <c r="E1372" s="5">
        <f>LOOKUP(D1372,'AMFI DATA_2023H1'!B:D,'AMFI DATA_2023H1'!D:D)</f>
        <v>38.1</v>
      </c>
      <c r="F1372" s="7">
        <f t="shared" si="5"/>
        <v>0.32808398950131235</v>
      </c>
      <c r="G1372" s="9">
        <v>50.6</v>
      </c>
      <c r="H1372" s="9">
        <v>51.2</v>
      </c>
      <c r="I1372" s="9">
        <v>51.6</v>
      </c>
      <c r="J1372" s="9">
        <v>51.6</v>
      </c>
      <c r="K1372" s="9">
        <v>49.4</v>
      </c>
      <c r="L1372" s="9">
        <v>50.2</v>
      </c>
      <c r="M1372" s="9"/>
      <c r="N1372" s="9"/>
      <c r="O1372" s="9"/>
      <c r="P1372" s="9"/>
      <c r="Q1372" s="9">
        <f ca="1">IFERROR(__xludf.DUMMYFUNCTION("GOOGLEFINANCE(C1372,""changepct"")"),1.75)</f>
        <v>1.75</v>
      </c>
      <c r="R1372" s="9"/>
      <c r="S1372" s="9"/>
      <c r="T1372" s="9"/>
      <c r="U1372" s="9"/>
      <c r="V1372" s="9"/>
      <c r="W1372" s="9"/>
    </row>
    <row r="1373" spans="1:23" ht="14.4">
      <c r="A1373" s="3">
        <f>LOOKUP(D1373,'AMFI DATA_2023H1'!B:C,'AMFI DATA_2023H1'!C:C)</f>
        <v>2001</v>
      </c>
      <c r="B1373" s="4" t="s">
        <v>4646</v>
      </c>
      <c r="C1373" s="4" t="s">
        <v>4647</v>
      </c>
      <c r="D1373" s="5" t="s">
        <v>4648</v>
      </c>
      <c r="E1373" s="5">
        <f>LOOKUP(D1373,'AMFI DATA_2023H1'!B:D,'AMFI DATA_2023H1'!D:D)</f>
        <v>143.94</v>
      </c>
      <c r="F1373" s="7">
        <f t="shared" si="5"/>
        <v>1.1397804640822566</v>
      </c>
      <c r="G1373" s="9">
        <v>308</v>
      </c>
      <c r="H1373" s="9">
        <v>324</v>
      </c>
      <c r="I1373" s="9">
        <v>341</v>
      </c>
      <c r="J1373" s="9">
        <v>325</v>
      </c>
      <c r="K1373" s="9">
        <v>312</v>
      </c>
      <c r="L1373" s="9">
        <v>296</v>
      </c>
      <c r="M1373" s="9"/>
      <c r="N1373" s="9"/>
      <c r="O1373" s="9"/>
      <c r="P1373" s="9"/>
      <c r="Q1373" s="9">
        <f ca="1">IFERROR(__xludf.DUMMYFUNCTION("GOOGLEFINANCE(C1373,""changepct"")"),0.74)</f>
        <v>0.74</v>
      </c>
      <c r="R1373" s="9"/>
      <c r="S1373" s="9"/>
      <c r="T1373" s="9"/>
      <c r="U1373" s="9"/>
      <c r="V1373" s="9"/>
      <c r="W1373" s="9"/>
    </row>
    <row r="1374" spans="1:23" ht="14.4">
      <c r="A1374" s="3">
        <f>LOOKUP(D1374,'AMFI DATA_2023H1'!B:C,'AMFI DATA_2023H1'!C:C)</f>
        <v>350</v>
      </c>
      <c r="B1374" s="4" t="s">
        <v>1089</v>
      </c>
      <c r="C1374" s="4" t="s">
        <v>1090</v>
      </c>
      <c r="D1374" s="5" t="s">
        <v>1091</v>
      </c>
      <c r="E1374" s="5">
        <f>LOOKUP(D1374,'AMFI DATA_2023H1'!B:D,'AMFI DATA_2023H1'!D:D)</f>
        <v>9703.93</v>
      </c>
      <c r="F1374" s="7">
        <f t="shared" si="5"/>
        <v>0.19260959219615148</v>
      </c>
      <c r="G1374" s="8">
        <v>11573</v>
      </c>
      <c r="H1374" s="8">
        <v>11467</v>
      </c>
      <c r="I1374" s="8">
        <v>11331</v>
      </c>
      <c r="J1374" s="8">
        <v>11531</v>
      </c>
      <c r="K1374" s="8">
        <v>11424</v>
      </c>
      <c r="L1374" s="8">
        <v>11470</v>
      </c>
      <c r="M1374" s="8"/>
      <c r="N1374" s="8"/>
      <c r="O1374" s="8"/>
      <c r="P1374" s="8"/>
      <c r="Q1374" s="9">
        <f ca="1">IFERROR(__xludf.DUMMYFUNCTION("GOOGLEFINANCE(C1374,""changepct"")"),-0.27)</f>
        <v>-0.27</v>
      </c>
      <c r="R1374" s="8"/>
      <c r="S1374" s="8"/>
      <c r="T1374" s="8"/>
      <c r="U1374" s="8"/>
      <c r="V1374" s="8"/>
      <c r="W1374" s="8"/>
    </row>
    <row r="1375" spans="1:23" ht="14.4">
      <c r="A1375" s="3">
        <f>LOOKUP(D1375,'AMFI DATA_2023H1'!B:C,'AMFI DATA_2023H1'!C:C)</f>
        <v>354</v>
      </c>
      <c r="B1375" s="4" t="s">
        <v>996</v>
      </c>
      <c r="C1375" s="4" t="s">
        <v>997</v>
      </c>
      <c r="D1375" s="5" t="s">
        <v>998</v>
      </c>
      <c r="E1375" s="5">
        <f>LOOKUP(D1375,'AMFI DATA_2023H1'!B:D,'AMFI DATA_2023H1'!D:D)</f>
        <v>9530.66</v>
      </c>
      <c r="F1375" s="7">
        <f t="shared" si="5"/>
        <v>0.78308742521504282</v>
      </c>
      <c r="G1375" s="8">
        <v>16994</v>
      </c>
      <c r="H1375" s="8">
        <v>16825</v>
      </c>
      <c r="I1375" s="8">
        <v>16208</v>
      </c>
      <c r="J1375" s="8">
        <v>15834</v>
      </c>
      <c r="K1375" s="8">
        <v>15696</v>
      </c>
      <c r="L1375" s="8">
        <v>16418</v>
      </c>
      <c r="M1375" s="8"/>
      <c r="N1375" s="8"/>
      <c r="O1375" s="8"/>
      <c r="P1375" s="8"/>
      <c r="Q1375" s="9">
        <f ca="1">IFERROR(__xludf.DUMMYFUNCTION("GOOGLEFINANCE(C1375,""changepct"")"),-0.57)</f>
        <v>-0.56999999999999995</v>
      </c>
      <c r="R1375" s="8"/>
      <c r="S1375" s="8"/>
      <c r="T1375" s="8"/>
      <c r="U1375" s="8"/>
      <c r="V1375" s="8"/>
      <c r="W1375" s="8"/>
    </row>
    <row r="1376" spans="1:23" ht="14.4">
      <c r="A1376" s="3">
        <f>LOOKUP(D1376,'AMFI DATA_2023H1'!B:C,'AMFI DATA_2023H1'!C:C)</f>
        <v>156</v>
      </c>
      <c r="B1376" s="4" t="s">
        <v>276</v>
      </c>
      <c r="C1376" s="4" t="s">
        <v>277</v>
      </c>
      <c r="D1376" s="5" t="s">
        <v>278</v>
      </c>
      <c r="E1376" s="5">
        <f>LOOKUP(D1376,'AMFI DATA_2023H1'!B:D,'AMFI DATA_2023H1'!D:D)</f>
        <v>33709.58</v>
      </c>
      <c r="F1376" s="7">
        <f t="shared" si="5"/>
        <v>2.3152000113914202</v>
      </c>
      <c r="G1376" s="8">
        <v>111754</v>
      </c>
      <c r="H1376" s="8">
        <v>108673</v>
      </c>
      <c r="I1376" s="8">
        <v>108041</v>
      </c>
      <c r="J1376" s="8">
        <v>108094</v>
      </c>
      <c r="K1376" s="8">
        <v>110332</v>
      </c>
      <c r="L1376" s="8">
        <v>107067</v>
      </c>
      <c r="M1376" s="8"/>
      <c r="N1376" s="8"/>
      <c r="O1376" s="8"/>
      <c r="P1376" s="8"/>
      <c r="Q1376" s="9">
        <f ca="1">IFERROR(__xludf.DUMMYFUNCTION("GOOGLEFINANCE(C1376,""changepct"")"),7.94)</f>
        <v>7.94</v>
      </c>
      <c r="R1376" s="8"/>
      <c r="S1376" s="8"/>
      <c r="T1376" s="8"/>
      <c r="U1376" s="8"/>
      <c r="V1376" s="8"/>
      <c r="W1376" s="8"/>
    </row>
    <row r="1377" spans="1:23" ht="14.4">
      <c r="A1377" s="3">
        <f>LOOKUP(D1377,'AMFI DATA_2023H1'!B:C,'AMFI DATA_2023H1'!C:C)</f>
        <v>283</v>
      </c>
      <c r="B1377" s="4" t="s">
        <v>1038</v>
      </c>
      <c r="C1377" s="4" t="s">
        <v>1039</v>
      </c>
      <c r="D1377" s="5" t="s">
        <v>1040</v>
      </c>
      <c r="E1377" s="5">
        <f>LOOKUP(D1377,'AMFI DATA_2023H1'!B:D,'AMFI DATA_2023H1'!D:D)</f>
        <v>13814.4</v>
      </c>
      <c r="F1377" s="7">
        <f t="shared" si="5"/>
        <v>-9.1498725967106287E-3</v>
      </c>
      <c r="G1377" s="8">
        <v>13688</v>
      </c>
      <c r="H1377" s="8">
        <v>13786</v>
      </c>
      <c r="I1377" s="8">
        <v>13907</v>
      </c>
      <c r="J1377" s="8">
        <v>13868</v>
      </c>
      <c r="K1377" s="8">
        <v>13754</v>
      </c>
      <c r="L1377" s="8">
        <v>13743</v>
      </c>
      <c r="M1377" s="8"/>
      <c r="N1377" s="8"/>
      <c r="O1377" s="8"/>
      <c r="P1377" s="8"/>
      <c r="Q1377" s="9">
        <f ca="1">IFERROR(__xludf.DUMMYFUNCTION("GOOGLEFINANCE(C1377,""changepct"")"),1.55)</f>
        <v>1.55</v>
      </c>
      <c r="R1377" s="8"/>
      <c r="S1377" s="8"/>
      <c r="T1377" s="8"/>
      <c r="U1377" s="8"/>
      <c r="V1377" s="8"/>
      <c r="W1377" s="8"/>
    </row>
    <row r="1378" spans="1:23" ht="14.4">
      <c r="A1378" s="3">
        <f>LOOKUP(D1378,'AMFI DATA_2023H1'!B:C,'AMFI DATA_2023H1'!C:C)</f>
        <v>283</v>
      </c>
      <c r="B1378" s="4" t="s">
        <v>1599</v>
      </c>
      <c r="C1378" s="4" t="s">
        <v>1600</v>
      </c>
      <c r="D1378" s="5" t="s">
        <v>1601</v>
      </c>
      <c r="E1378" s="5">
        <f>LOOKUP(D1378,'AMFI DATA_2023H1'!B:D,'AMFI DATA_2023H1'!D:D)</f>
        <v>13814.4</v>
      </c>
      <c r="F1378" s="7">
        <f t="shared" si="5"/>
        <v>-0.51630182997451934</v>
      </c>
      <c r="G1378" s="8">
        <v>6682</v>
      </c>
      <c r="H1378" s="8">
        <v>6493</v>
      </c>
      <c r="I1378" s="8">
        <v>6357</v>
      </c>
      <c r="J1378" s="8">
        <v>6424</v>
      </c>
      <c r="K1378" s="8">
        <v>6434</v>
      </c>
      <c r="L1378" s="8">
        <v>6426</v>
      </c>
      <c r="M1378" s="8"/>
      <c r="N1378" s="8"/>
      <c r="O1378" s="8"/>
      <c r="P1378" s="8"/>
      <c r="Q1378" s="9">
        <f ca="1">IFERROR(__xludf.DUMMYFUNCTION("GOOGLEFINANCE(C1378,""changepct"")"),6.14)</f>
        <v>6.14</v>
      </c>
      <c r="R1378" s="8"/>
      <c r="S1378" s="8"/>
      <c r="T1378" s="8"/>
      <c r="U1378" s="8"/>
      <c r="V1378" s="8"/>
      <c r="W1378" s="8"/>
    </row>
    <row r="1379" spans="1:23" ht="14.4">
      <c r="A1379" s="3">
        <f>LOOKUP(D1379,'AMFI DATA_2023H1'!B:C,'AMFI DATA_2023H1'!C:C)</f>
        <v>1171</v>
      </c>
      <c r="B1379" s="4" t="s">
        <v>3041</v>
      </c>
      <c r="C1379" s="4" t="s">
        <v>3042</v>
      </c>
      <c r="D1379" s="5" t="s">
        <v>3043</v>
      </c>
      <c r="E1379" s="5">
        <f>LOOKUP(D1379,'AMFI DATA_2023H1'!B:D,'AMFI DATA_2023H1'!D:D)</f>
        <v>747.98</v>
      </c>
      <c r="F1379" s="7">
        <f t="shared" si="5"/>
        <v>0.86903393138853979</v>
      </c>
      <c r="G1379" s="8">
        <v>1398</v>
      </c>
      <c r="H1379" s="8">
        <v>1333</v>
      </c>
      <c r="I1379" s="8">
        <v>1315</v>
      </c>
      <c r="J1379" s="8">
        <v>1324</v>
      </c>
      <c r="K1379" s="8">
        <v>1330</v>
      </c>
      <c r="L1379" s="8">
        <v>1308</v>
      </c>
      <c r="M1379" s="8"/>
      <c r="N1379" s="8"/>
      <c r="O1379" s="8"/>
      <c r="P1379" s="8"/>
      <c r="Q1379" s="9">
        <f ca="1">IFERROR(__xludf.DUMMYFUNCTION("GOOGLEFINANCE(C1379,""changepct"")"),4.77)</f>
        <v>4.7699999999999996</v>
      </c>
      <c r="R1379" s="8"/>
      <c r="S1379" s="8"/>
      <c r="T1379" s="8"/>
      <c r="U1379" s="8"/>
      <c r="V1379" s="8"/>
      <c r="W1379" s="8"/>
    </row>
    <row r="1380" spans="1:23" ht="14.4">
      <c r="A1380" s="3">
        <f>LOOKUP(D1380,'AMFI DATA_2023H1'!B:C,'AMFI DATA_2023H1'!C:C)</f>
        <v>2495</v>
      </c>
      <c r="B1380" s="4" t="s">
        <v>5257</v>
      </c>
      <c r="C1380" s="4" t="s">
        <v>5258</v>
      </c>
      <c r="D1380" s="5" t="s">
        <v>5259</v>
      </c>
      <c r="E1380" s="5">
        <f>LOOKUP(D1380,'AMFI DATA_2023H1'!B:D,'AMFI DATA_2023H1'!D:D)</f>
        <v>64.680000000000007</v>
      </c>
      <c r="F1380" s="7">
        <f t="shared" si="5"/>
        <v>0.46103896103896091</v>
      </c>
      <c r="G1380" s="9">
        <v>94.5</v>
      </c>
      <c r="H1380" s="9">
        <v>94.3</v>
      </c>
      <c r="I1380" s="9">
        <v>95.7</v>
      </c>
      <c r="J1380" s="9">
        <v>97.7</v>
      </c>
      <c r="K1380" s="9">
        <v>102</v>
      </c>
      <c r="L1380" s="9">
        <v>102</v>
      </c>
      <c r="M1380" s="9"/>
      <c r="N1380" s="9"/>
      <c r="O1380" s="9"/>
      <c r="P1380" s="9"/>
      <c r="Q1380" s="9">
        <f ca="1">IFERROR(__xludf.DUMMYFUNCTION("GOOGLEFINANCE(C1380,""changepct"")"),10.11)</f>
        <v>10.11</v>
      </c>
      <c r="R1380" s="9"/>
      <c r="S1380" s="9"/>
      <c r="T1380" s="9"/>
      <c r="U1380" s="9"/>
      <c r="V1380" s="9"/>
      <c r="W1380" s="9"/>
    </row>
    <row r="1381" spans="1:23" ht="14.4">
      <c r="A1381" s="3">
        <f>LOOKUP(D1381,'AMFI DATA_2023H1'!B:C,'AMFI DATA_2023H1'!C:C)</f>
        <v>215</v>
      </c>
      <c r="B1381" s="4" t="s">
        <v>735</v>
      </c>
      <c r="C1381" s="4" t="s">
        <v>736</v>
      </c>
      <c r="D1381" s="5" t="s">
        <v>737</v>
      </c>
      <c r="E1381" s="5">
        <f>LOOKUP(D1381,'AMFI DATA_2023H1'!B:D,'AMFI DATA_2023H1'!D:D)</f>
        <v>20964.150000000001</v>
      </c>
      <c r="F1381" s="7">
        <f t="shared" si="5"/>
        <v>7.197286796745872E-2</v>
      </c>
      <c r="G1381" s="8">
        <v>22473</v>
      </c>
      <c r="H1381" s="8">
        <v>22490</v>
      </c>
      <c r="I1381" s="8">
        <v>22280</v>
      </c>
      <c r="J1381" s="8">
        <v>22317</v>
      </c>
      <c r="K1381" s="8">
        <v>22275</v>
      </c>
      <c r="L1381" s="8">
        <v>22358</v>
      </c>
      <c r="M1381" s="8"/>
      <c r="N1381" s="8"/>
      <c r="O1381" s="8"/>
      <c r="P1381" s="8"/>
      <c r="Q1381" s="9">
        <f ca="1">IFERROR(__xludf.DUMMYFUNCTION("GOOGLEFINANCE(C1381,""changepct"")"),-0.51)</f>
        <v>-0.51</v>
      </c>
      <c r="R1381" s="8"/>
      <c r="S1381" s="8"/>
      <c r="T1381" s="8"/>
      <c r="U1381" s="8"/>
      <c r="V1381" s="8"/>
      <c r="W1381" s="8"/>
    </row>
    <row r="1382" spans="1:23" ht="14.4">
      <c r="A1382" s="3">
        <f>LOOKUP(D1382,'AMFI DATA_2023H1'!B:C,'AMFI DATA_2023H1'!C:C)</f>
        <v>2057</v>
      </c>
      <c r="B1382" s="4" t="s">
        <v>4829</v>
      </c>
      <c r="C1382" s="4" t="s">
        <v>4830</v>
      </c>
      <c r="D1382" s="5" t="s">
        <v>4831</v>
      </c>
      <c r="E1382" s="5">
        <f>LOOKUP(D1382,'AMFI DATA_2023H1'!B:D,'AMFI DATA_2023H1'!D:D)</f>
        <v>130.47</v>
      </c>
      <c r="F1382" s="7">
        <f t="shared" si="5"/>
        <v>0.70154058404230857</v>
      </c>
      <c r="G1382" s="9">
        <v>222</v>
      </c>
      <c r="H1382" s="9">
        <v>226</v>
      </c>
      <c r="I1382" s="9">
        <v>226</v>
      </c>
      <c r="J1382" s="9">
        <v>224</v>
      </c>
      <c r="K1382" s="9">
        <v>231</v>
      </c>
      <c r="L1382" s="9">
        <v>229</v>
      </c>
      <c r="M1382" s="9"/>
      <c r="N1382" s="9"/>
      <c r="O1382" s="9"/>
      <c r="P1382" s="9"/>
      <c r="Q1382" s="9">
        <f ca="1">IFERROR(__xludf.DUMMYFUNCTION("GOOGLEFINANCE(C1382,""changepct"")"),2.24)</f>
        <v>2.2400000000000002</v>
      </c>
      <c r="R1382" s="9"/>
      <c r="S1382" s="9"/>
      <c r="T1382" s="9"/>
      <c r="U1382" s="9"/>
      <c r="V1382" s="9"/>
      <c r="W1382" s="9"/>
    </row>
    <row r="1383" spans="1:23" ht="14.4">
      <c r="A1383" s="3">
        <f>LOOKUP(D1383,'AMFI DATA_2023H1'!B:C,'AMFI DATA_2023H1'!C:C)</f>
        <v>1379</v>
      </c>
      <c r="B1383" s="4" t="s">
        <v>4064</v>
      </c>
      <c r="C1383" s="4" t="s">
        <v>4065</v>
      </c>
      <c r="D1383" s="5" t="s">
        <v>4066</v>
      </c>
      <c r="E1383" s="5">
        <f>LOOKUP(D1383,'AMFI DATA_2023H1'!B:D,'AMFI DATA_2023H1'!D:D)</f>
        <v>430.75</v>
      </c>
      <c r="F1383" s="7">
        <f t="shared" si="5"/>
        <v>0.38131166569936159</v>
      </c>
      <c r="G1383" s="9">
        <v>595</v>
      </c>
      <c r="H1383" s="9">
        <v>581</v>
      </c>
      <c r="I1383" s="9">
        <v>581</v>
      </c>
      <c r="J1383" s="9">
        <v>581</v>
      </c>
      <c r="K1383" s="9">
        <v>539</v>
      </c>
      <c r="L1383" s="9">
        <v>608</v>
      </c>
      <c r="M1383" s="9"/>
      <c r="N1383" s="9"/>
      <c r="O1383" s="9"/>
      <c r="P1383" s="9"/>
      <c r="Q1383" s="9">
        <f ca="1">IFERROR(__xludf.DUMMYFUNCTION("GOOGLEFINANCE(C1383,""changepct"")"),-5)</f>
        <v>-5</v>
      </c>
      <c r="R1383" s="9"/>
      <c r="S1383" s="9"/>
      <c r="T1383" s="9"/>
      <c r="U1383" s="9"/>
      <c r="V1383" s="9"/>
      <c r="W1383" s="9"/>
    </row>
    <row r="1384" spans="1:23" ht="14.4">
      <c r="A1384" s="3">
        <f>LOOKUP(D1384,'AMFI DATA_2023H1'!B:C,'AMFI DATA_2023H1'!C:C)</f>
        <v>1980</v>
      </c>
      <c r="B1384" s="4" t="s">
        <v>5093</v>
      </c>
      <c r="C1384" s="4" t="s">
        <v>5094</v>
      </c>
      <c r="D1384" s="5" t="s">
        <v>5095</v>
      </c>
      <c r="E1384" s="5">
        <f>LOOKUP(D1384,'AMFI DATA_2023H1'!B:D,'AMFI DATA_2023H1'!D:D)</f>
        <v>147.81</v>
      </c>
      <c r="F1384" s="7">
        <f t="shared" si="5"/>
        <v>0.5357553616128814</v>
      </c>
      <c r="G1384" s="9">
        <v>227</v>
      </c>
      <c r="H1384" s="9">
        <v>216</v>
      </c>
      <c r="I1384" s="9">
        <v>206</v>
      </c>
      <c r="J1384" s="9">
        <v>189</v>
      </c>
      <c r="K1384" s="9">
        <v>178</v>
      </c>
      <c r="L1384" s="9">
        <v>175</v>
      </c>
      <c r="M1384" s="9"/>
      <c r="N1384" s="9"/>
      <c r="O1384" s="9"/>
      <c r="P1384" s="9"/>
      <c r="Q1384" s="9">
        <f ca="1">IFERROR(__xludf.DUMMYFUNCTION("GOOGLEFINANCE(C1384,""changepct"")"),-3.92)</f>
        <v>-3.92</v>
      </c>
      <c r="R1384" s="9"/>
      <c r="S1384" s="9"/>
      <c r="T1384" s="9"/>
      <c r="U1384" s="9"/>
      <c r="V1384" s="9"/>
      <c r="W1384" s="9"/>
    </row>
    <row r="1385" spans="1:23" ht="14.4">
      <c r="A1385" s="3">
        <f>LOOKUP(D1385,'AMFI DATA_2023H1'!B:C,'AMFI DATA_2023H1'!C:C)</f>
        <v>950</v>
      </c>
      <c r="B1385" s="4" t="s">
        <v>2948</v>
      </c>
      <c r="C1385" s="4" t="s">
        <v>2949</v>
      </c>
      <c r="D1385" s="5" t="s">
        <v>2950</v>
      </c>
      <c r="E1385" s="5">
        <f>LOOKUP(D1385,'AMFI DATA_2023H1'!B:D,'AMFI DATA_2023H1'!D:D)</f>
        <v>1315.31</v>
      </c>
      <c r="F1385" s="7">
        <f t="shared" si="5"/>
        <v>0.62775315324904413</v>
      </c>
      <c r="G1385" s="8">
        <v>2141</v>
      </c>
      <c r="H1385" s="8">
        <v>2036</v>
      </c>
      <c r="I1385" s="8">
        <v>2034</v>
      </c>
      <c r="J1385" s="8">
        <v>2059</v>
      </c>
      <c r="K1385" s="8">
        <v>2035</v>
      </c>
      <c r="L1385" s="8">
        <v>1974</v>
      </c>
      <c r="M1385" s="8"/>
      <c r="N1385" s="8"/>
      <c r="O1385" s="8"/>
      <c r="P1385" s="8"/>
      <c r="Q1385" s="9">
        <f ca="1">IFERROR(__xludf.DUMMYFUNCTION("GOOGLEFINANCE(C1385,""changepct"")"),-1.86)</f>
        <v>-1.86</v>
      </c>
      <c r="R1385" s="8"/>
      <c r="S1385" s="8"/>
      <c r="T1385" s="8"/>
      <c r="U1385" s="8"/>
      <c r="V1385" s="8"/>
      <c r="W1385" s="8"/>
    </row>
    <row r="1386" spans="1:23" ht="14.4">
      <c r="A1386" s="3">
        <f>LOOKUP(D1386,'AMFI DATA_2023H1'!B:C,'AMFI DATA_2023H1'!C:C)</f>
        <v>1</v>
      </c>
      <c r="B1386" s="4" t="s">
        <v>7</v>
      </c>
      <c r="C1386" s="4" t="s">
        <v>8</v>
      </c>
      <c r="D1386" s="5" t="s">
        <v>9</v>
      </c>
      <c r="E1386" s="5">
        <f>LOOKUP(D1386,'AMFI DATA_2023H1'!B:D,'AMFI DATA_2023H1'!D:D)</f>
        <v>1632378.37</v>
      </c>
      <c r="F1386" s="7">
        <f t="shared" si="5"/>
        <v>7.340983696077763E-2</v>
      </c>
      <c r="G1386" s="8">
        <v>1752211</v>
      </c>
      <c r="H1386" s="8">
        <v>1748827</v>
      </c>
      <c r="I1386" s="8">
        <v>1763002</v>
      </c>
      <c r="J1386" s="8">
        <v>1749842</v>
      </c>
      <c r="K1386" s="8">
        <v>1744465</v>
      </c>
      <c r="L1386" s="8">
        <v>1735431</v>
      </c>
      <c r="M1386" s="8"/>
      <c r="N1386" s="8"/>
      <c r="O1386" s="8"/>
      <c r="P1386" s="8"/>
      <c r="Q1386" s="9">
        <f ca="1">IFERROR(__xludf.DUMMYFUNCTION("GOOGLEFINANCE(C1386,""changepct"")"),-0.73)</f>
        <v>-0.73</v>
      </c>
      <c r="R1386" s="8"/>
      <c r="S1386" s="8"/>
      <c r="T1386" s="8"/>
      <c r="U1386" s="8"/>
      <c r="V1386" s="8"/>
      <c r="W1386" s="8"/>
    </row>
    <row r="1387" spans="1:23" ht="14.4">
      <c r="A1387" s="3">
        <f>LOOKUP(D1387,'AMFI DATA_2023H1'!B:C,'AMFI DATA_2023H1'!C:C)</f>
        <v>526</v>
      </c>
      <c r="B1387" s="4" t="s">
        <v>1584</v>
      </c>
      <c r="C1387" s="4" t="s">
        <v>1585</v>
      </c>
      <c r="D1387" s="5" t="s">
        <v>1586</v>
      </c>
      <c r="E1387" s="5">
        <f>LOOKUP(D1387,'AMFI DATA_2023H1'!B:D,'AMFI DATA_2023H1'!D:D)</f>
        <v>4695.9799999999996</v>
      </c>
      <c r="F1387" s="7">
        <f t="shared" si="5"/>
        <v>0.78663452570070591</v>
      </c>
      <c r="G1387" s="8">
        <v>8390</v>
      </c>
      <c r="H1387" s="8">
        <v>8325</v>
      </c>
      <c r="I1387" s="8">
        <v>7570</v>
      </c>
      <c r="J1387" s="8">
        <v>7707</v>
      </c>
      <c r="K1387" s="8">
        <v>7798</v>
      </c>
      <c r="L1387" s="8">
        <v>7647</v>
      </c>
      <c r="M1387" s="8"/>
      <c r="N1387" s="8"/>
      <c r="O1387" s="8"/>
      <c r="P1387" s="8"/>
      <c r="Q1387" s="9">
        <f ca="1">IFERROR(__xludf.DUMMYFUNCTION("GOOGLEFINANCE(C1387,""changepct"")"),1.48)</f>
        <v>1.48</v>
      </c>
      <c r="R1387" s="8"/>
      <c r="S1387" s="8"/>
      <c r="T1387" s="8"/>
      <c r="U1387" s="8"/>
      <c r="V1387" s="8"/>
      <c r="W1387" s="8"/>
    </row>
    <row r="1388" spans="1:23" ht="14.4">
      <c r="A1388" s="3">
        <f>LOOKUP(D1388,'AMFI DATA_2023H1'!B:C,'AMFI DATA_2023H1'!C:C)</f>
        <v>541</v>
      </c>
      <c r="B1388" s="4" t="s">
        <v>1509</v>
      </c>
      <c r="C1388" s="4" t="s">
        <v>1510</v>
      </c>
      <c r="D1388" s="5" t="s">
        <v>1511</v>
      </c>
      <c r="E1388" s="5">
        <f>LOOKUP(D1388,'AMFI DATA_2023H1'!B:D,'AMFI DATA_2023H1'!D:D)</f>
        <v>4503.46</v>
      </c>
      <c r="F1388" s="7">
        <f t="shared" si="5"/>
        <v>1.0268859943243638</v>
      </c>
      <c r="G1388" s="8">
        <v>9128</v>
      </c>
      <c r="H1388" s="8">
        <v>8869</v>
      </c>
      <c r="I1388" s="8">
        <v>8522</v>
      </c>
      <c r="J1388" s="8">
        <v>8613</v>
      </c>
      <c r="K1388" s="8">
        <v>8606</v>
      </c>
      <c r="L1388" s="8">
        <v>8537</v>
      </c>
      <c r="M1388" s="8"/>
      <c r="N1388" s="8"/>
      <c r="O1388" s="8"/>
      <c r="P1388" s="8"/>
      <c r="Q1388" s="9">
        <f ca="1">IFERROR(__xludf.DUMMYFUNCTION("GOOGLEFINANCE(C1388,""changepct"")"),1.51)</f>
        <v>1.51</v>
      </c>
      <c r="R1388" s="8"/>
      <c r="S1388" s="8"/>
      <c r="T1388" s="8"/>
      <c r="U1388" s="8"/>
      <c r="V1388" s="8"/>
      <c r="W1388" s="8"/>
    </row>
    <row r="1389" spans="1:23" ht="14.4">
      <c r="A1389" s="3">
        <f>LOOKUP(D1389,'AMFI DATA_2023H1'!B:C,'AMFI DATA_2023H1'!C:C)</f>
        <v>502</v>
      </c>
      <c r="B1389" s="4" t="s">
        <v>1536</v>
      </c>
      <c r="C1389" s="4" t="s">
        <v>1537</v>
      </c>
      <c r="D1389" s="5" t="s">
        <v>1538</v>
      </c>
      <c r="E1389" s="5">
        <f>LOOKUP(D1389,'AMFI DATA_2023H1'!B:D,'AMFI DATA_2023H1'!D:D)</f>
        <v>5214.1400000000003</v>
      </c>
      <c r="F1389" s="7">
        <f t="shared" si="5"/>
        <v>0.3680108320835267</v>
      </c>
      <c r="G1389" s="8">
        <v>7133</v>
      </c>
      <c r="H1389" s="8">
        <v>7025</v>
      </c>
      <c r="I1389" s="8">
        <v>6949</v>
      </c>
      <c r="J1389" s="8">
        <v>6955</v>
      </c>
      <c r="K1389" s="8">
        <v>7059</v>
      </c>
      <c r="L1389" s="8">
        <v>7119</v>
      </c>
      <c r="M1389" s="8"/>
      <c r="N1389" s="8"/>
      <c r="O1389" s="8"/>
      <c r="P1389" s="8"/>
      <c r="Q1389" s="9">
        <f ca="1">IFERROR(__xludf.DUMMYFUNCTION("GOOGLEFINANCE(C1389,""changepct"")"),5.21)</f>
        <v>5.21</v>
      </c>
      <c r="R1389" s="8"/>
      <c r="S1389" s="8"/>
      <c r="T1389" s="8"/>
      <c r="U1389" s="8"/>
      <c r="V1389" s="8"/>
      <c r="W1389" s="8"/>
    </row>
    <row r="1390" spans="1:23" ht="14.4">
      <c r="A1390" s="3">
        <f>LOOKUP(D1390,'AMFI DATA_2023H1'!B:C,'AMFI DATA_2023H1'!C:C)</f>
        <v>2059</v>
      </c>
      <c r="B1390" s="4" t="s">
        <v>4514</v>
      </c>
      <c r="C1390" s="4" t="s">
        <v>4515</v>
      </c>
      <c r="D1390" s="5" t="s">
        <v>4516</v>
      </c>
      <c r="E1390" s="5">
        <f>LOOKUP(D1390,'AMFI DATA_2023H1'!B:D,'AMFI DATA_2023H1'!D:D)</f>
        <v>129.91999999999999</v>
      </c>
      <c r="F1390" s="7">
        <f t="shared" si="5"/>
        <v>2.1096059113300494</v>
      </c>
      <c r="G1390" s="9">
        <v>404</v>
      </c>
      <c r="H1390" s="9">
        <v>385</v>
      </c>
      <c r="I1390" s="9">
        <v>378</v>
      </c>
      <c r="J1390" s="9">
        <v>370</v>
      </c>
      <c r="K1390" s="9">
        <v>370</v>
      </c>
      <c r="L1390" s="9">
        <v>368</v>
      </c>
      <c r="M1390" s="9"/>
      <c r="N1390" s="9"/>
      <c r="O1390" s="9"/>
      <c r="P1390" s="9"/>
      <c r="Q1390" s="9">
        <f ca="1">IFERROR(__xludf.DUMMYFUNCTION("GOOGLEFINANCE(C1390,""changepct"")"),0.43)</f>
        <v>0.43</v>
      </c>
      <c r="R1390" s="9"/>
      <c r="S1390" s="9"/>
      <c r="T1390" s="9"/>
      <c r="U1390" s="9"/>
      <c r="V1390" s="9"/>
      <c r="W1390" s="9"/>
    </row>
    <row r="1391" spans="1:23" ht="14.4">
      <c r="A1391" s="3">
        <f>LOOKUP(D1391,'AMFI DATA_2023H1'!B:C,'AMFI DATA_2023H1'!C:C)</f>
        <v>1108</v>
      </c>
      <c r="B1391" s="4" t="s">
        <v>3404</v>
      </c>
      <c r="C1391" s="4" t="s">
        <v>3405</v>
      </c>
      <c r="D1391" s="5" t="s">
        <v>3406</v>
      </c>
      <c r="E1391" s="5">
        <f>LOOKUP(D1391,'AMFI DATA_2023H1'!B:D,'AMFI DATA_2023H1'!D:D)</f>
        <v>856.3</v>
      </c>
      <c r="F1391" s="7">
        <f t="shared" si="5"/>
        <v>0.17715753824594183</v>
      </c>
      <c r="G1391" s="8">
        <v>1008</v>
      </c>
      <c r="H1391" s="8">
        <v>989</v>
      </c>
      <c r="I1391" s="8">
        <v>991</v>
      </c>
      <c r="J1391" s="8">
        <v>995</v>
      </c>
      <c r="K1391" s="8">
        <v>1015</v>
      </c>
      <c r="L1391" s="8">
        <v>1020</v>
      </c>
      <c r="M1391" s="8"/>
      <c r="N1391" s="8"/>
      <c r="O1391" s="8"/>
      <c r="P1391" s="8"/>
      <c r="Q1391" s="9">
        <f ca="1">IFERROR(__xludf.DUMMYFUNCTION("GOOGLEFINANCE(C1391,""changepct"")"),-0.76)</f>
        <v>-0.76</v>
      </c>
      <c r="R1391" s="8"/>
      <c r="S1391" s="8"/>
      <c r="T1391" s="8"/>
      <c r="U1391" s="8"/>
      <c r="V1391" s="8"/>
      <c r="W1391" s="8"/>
    </row>
    <row r="1392" spans="1:23" ht="14.4">
      <c r="A1392" s="3">
        <f>LOOKUP(D1392,'AMFI DATA_2023H1'!B:C,'AMFI DATA_2023H1'!C:C)</f>
        <v>922</v>
      </c>
      <c r="B1392" s="4" t="s">
        <v>2522</v>
      </c>
      <c r="C1392" s="4" t="s">
        <v>2523</v>
      </c>
      <c r="D1392" s="5" t="s">
        <v>2524</v>
      </c>
      <c r="E1392" s="5">
        <f>LOOKUP(D1392,'AMFI DATA_2023H1'!B:D,'AMFI DATA_2023H1'!D:D)</f>
        <v>1393.14</v>
      </c>
      <c r="F1392" s="7">
        <f t="shared" si="5"/>
        <v>0.83613994286288507</v>
      </c>
      <c r="G1392" s="8">
        <v>2558</v>
      </c>
      <c r="H1392" s="8">
        <v>2452</v>
      </c>
      <c r="I1392" s="8">
        <v>2457</v>
      </c>
      <c r="J1392" s="8">
        <v>2476</v>
      </c>
      <c r="K1392" s="8">
        <v>2484</v>
      </c>
      <c r="L1392" s="8">
        <v>2482</v>
      </c>
      <c r="M1392" s="8"/>
      <c r="N1392" s="8"/>
      <c r="O1392" s="8"/>
      <c r="P1392" s="8"/>
      <c r="Q1392" s="9">
        <f ca="1">IFERROR(__xludf.DUMMYFUNCTION("GOOGLEFINANCE(C1392,""changepct"")"),0.3)</f>
        <v>0.3</v>
      </c>
      <c r="R1392" s="8"/>
      <c r="S1392" s="8"/>
      <c r="T1392" s="8"/>
      <c r="U1392" s="8"/>
      <c r="V1392" s="8"/>
      <c r="W1392" s="8"/>
    </row>
    <row r="1393" spans="1:23" ht="14.4">
      <c r="A1393" s="3">
        <f>LOOKUP(D1393,'AMFI DATA_2023H1'!B:C,'AMFI DATA_2023H1'!C:C)</f>
        <v>1275</v>
      </c>
      <c r="B1393" s="4" t="s">
        <v>3323</v>
      </c>
      <c r="C1393" s="4" t="s">
        <v>3324</v>
      </c>
      <c r="D1393" s="5" t="s">
        <v>3325</v>
      </c>
      <c r="E1393" s="5">
        <f>LOOKUP(D1393,'AMFI DATA_2023H1'!B:D,'AMFI DATA_2023H1'!D:D)</f>
        <v>555.16999999999996</v>
      </c>
      <c r="F1393" s="7">
        <f t="shared" si="5"/>
        <v>1.2947925860547222</v>
      </c>
      <c r="G1393" s="8">
        <v>1274</v>
      </c>
      <c r="H1393" s="8">
        <v>1274</v>
      </c>
      <c r="I1393" s="8">
        <v>1243</v>
      </c>
      <c r="J1393" s="8">
        <v>1292</v>
      </c>
      <c r="K1393" s="8">
        <v>1333</v>
      </c>
      <c r="L1393" s="8">
        <v>1348</v>
      </c>
      <c r="M1393" s="8"/>
      <c r="N1393" s="8"/>
      <c r="O1393" s="8"/>
      <c r="P1393" s="8"/>
      <c r="Q1393" s="9">
        <f ca="1">IFERROR(__xludf.DUMMYFUNCTION("GOOGLEFINANCE(C1393,""changepct"")"),-0.55)</f>
        <v>-0.55000000000000004</v>
      </c>
      <c r="R1393" s="8"/>
      <c r="S1393" s="8"/>
      <c r="T1393" s="8"/>
      <c r="U1393" s="8"/>
      <c r="V1393" s="8"/>
      <c r="W1393" s="8"/>
    </row>
    <row r="1394" spans="1:23" ht="14.4">
      <c r="A1394" s="3">
        <f>LOOKUP(D1394,'AMFI DATA_2023H1'!B:C,'AMFI DATA_2023H1'!C:C)</f>
        <v>602</v>
      </c>
      <c r="B1394" s="4" t="s">
        <v>1461</v>
      </c>
      <c r="C1394" s="4" t="s">
        <v>1462</v>
      </c>
      <c r="D1394" s="5" t="s">
        <v>1463</v>
      </c>
      <c r="E1394" s="5">
        <f>LOOKUP(D1394,'AMFI DATA_2023H1'!B:D,'AMFI DATA_2023H1'!D:D)</f>
        <v>3683.62</v>
      </c>
      <c r="F1394" s="7">
        <f t="shared" si="5"/>
        <v>1.2412735298429265</v>
      </c>
      <c r="G1394" s="8">
        <v>8256</v>
      </c>
      <c r="H1394" s="8">
        <v>8087</v>
      </c>
      <c r="I1394" s="8">
        <v>8190</v>
      </c>
      <c r="J1394" s="8">
        <v>8296</v>
      </c>
      <c r="K1394" s="8">
        <v>8192</v>
      </c>
      <c r="L1394" s="8">
        <v>8198</v>
      </c>
      <c r="M1394" s="8"/>
      <c r="N1394" s="8"/>
      <c r="O1394" s="8"/>
      <c r="P1394" s="8"/>
      <c r="Q1394" s="9">
        <f ca="1">IFERROR(__xludf.DUMMYFUNCTION("GOOGLEFINANCE(C1394,""changepct"")"),15.75)</f>
        <v>15.75</v>
      </c>
      <c r="R1394" s="8"/>
      <c r="S1394" s="8"/>
      <c r="T1394" s="8"/>
      <c r="U1394" s="8"/>
      <c r="V1394" s="8"/>
      <c r="W1394" s="8"/>
    </row>
    <row r="1395" spans="1:23" ht="14.4">
      <c r="A1395" s="3">
        <f>LOOKUP(D1395,'AMFI DATA_2023H1'!B:C,'AMFI DATA_2023H1'!C:C)</f>
        <v>507</v>
      </c>
      <c r="B1395" s="4" t="s">
        <v>1722</v>
      </c>
      <c r="C1395" s="4" t="s">
        <v>1723</v>
      </c>
      <c r="D1395" s="5" t="s">
        <v>1724</v>
      </c>
      <c r="E1395" s="5">
        <f>LOOKUP(D1395,'AMFI DATA_2023H1'!B:D,'AMFI DATA_2023H1'!D:D)</f>
        <v>5106.8500000000004</v>
      </c>
      <c r="F1395" s="7">
        <f t="shared" si="5"/>
        <v>0.11458139557652958</v>
      </c>
      <c r="G1395" s="8">
        <v>5692</v>
      </c>
      <c r="H1395" s="8">
        <v>5548</v>
      </c>
      <c r="I1395" s="8">
        <v>5521</v>
      </c>
      <c r="J1395" s="8">
        <v>5464</v>
      </c>
      <c r="K1395" s="8">
        <v>5538</v>
      </c>
      <c r="L1395" s="8">
        <v>5466</v>
      </c>
      <c r="M1395" s="8"/>
      <c r="N1395" s="8"/>
      <c r="O1395" s="8"/>
      <c r="P1395" s="8"/>
      <c r="Q1395" s="9">
        <f ca="1">IFERROR(__xludf.DUMMYFUNCTION("GOOGLEFINANCE(C1395,""changepct"")"),6.64)</f>
        <v>6.64</v>
      </c>
      <c r="R1395" s="8"/>
      <c r="S1395" s="8"/>
      <c r="T1395" s="8"/>
      <c r="U1395" s="8"/>
      <c r="V1395" s="8"/>
      <c r="W1395" s="8"/>
    </row>
    <row r="1396" spans="1:23" ht="14.4">
      <c r="A1396" s="3">
        <f>LOOKUP(D1396,'AMFI DATA_2023H1'!B:C,'AMFI DATA_2023H1'!C:C)</f>
        <v>300</v>
      </c>
      <c r="B1396" s="4" t="s">
        <v>972</v>
      </c>
      <c r="C1396" s="4" t="s">
        <v>973</v>
      </c>
      <c r="D1396" s="5" t="s">
        <v>974</v>
      </c>
      <c r="E1396" s="5">
        <f>LOOKUP(D1396,'AMFI DATA_2023H1'!B:D,'AMFI DATA_2023H1'!D:D)</f>
        <v>12594.31</v>
      </c>
      <c r="F1396" s="7">
        <f t="shared" si="5"/>
        <v>0.31503829904139247</v>
      </c>
      <c r="G1396" s="8">
        <v>16562</v>
      </c>
      <c r="H1396" s="8">
        <v>16623</v>
      </c>
      <c r="I1396" s="8">
        <v>16366</v>
      </c>
      <c r="J1396" s="8">
        <v>16498</v>
      </c>
      <c r="K1396" s="8">
        <v>16556</v>
      </c>
      <c r="L1396" s="8">
        <v>16712</v>
      </c>
      <c r="M1396" s="8"/>
      <c r="N1396" s="8"/>
      <c r="O1396" s="8"/>
      <c r="P1396" s="8"/>
      <c r="Q1396" s="9">
        <f ca="1">IFERROR(__xludf.DUMMYFUNCTION("GOOGLEFINANCE(C1396,""changepct"")"),-1.04)</f>
        <v>-1.04</v>
      </c>
      <c r="R1396" s="8"/>
      <c r="S1396" s="8"/>
      <c r="T1396" s="8"/>
      <c r="U1396" s="8"/>
      <c r="V1396" s="8"/>
      <c r="W1396" s="8"/>
    </row>
    <row r="1397" spans="1:23" ht="14.4">
      <c r="A1397" s="3">
        <f>LOOKUP(D1397,'AMFI DATA_2023H1'!B:C,'AMFI DATA_2023H1'!C:C)</f>
        <v>1029</v>
      </c>
      <c r="B1397" s="4" t="s">
        <v>3206</v>
      </c>
      <c r="C1397" s="4" t="s">
        <v>3207</v>
      </c>
      <c r="D1397" s="5" t="s">
        <v>3208</v>
      </c>
      <c r="E1397" s="5">
        <f>LOOKUP(D1397,'AMFI DATA_2023H1'!B:D,'AMFI DATA_2023H1'!D:D)</f>
        <v>1073.17</v>
      </c>
      <c r="F1397" s="7">
        <f t="shared" si="5"/>
        <v>0.10047802305319742</v>
      </c>
      <c r="G1397" s="8">
        <v>1181</v>
      </c>
      <c r="H1397" s="8">
        <v>1169</v>
      </c>
      <c r="I1397" s="8">
        <v>1172</v>
      </c>
      <c r="J1397" s="8">
        <v>1143</v>
      </c>
      <c r="K1397" s="8">
        <v>1140</v>
      </c>
      <c r="L1397" s="8">
        <v>1168</v>
      </c>
      <c r="M1397" s="8"/>
      <c r="N1397" s="8"/>
      <c r="O1397" s="8"/>
      <c r="P1397" s="8"/>
      <c r="Q1397" s="9">
        <f ca="1">IFERROR(__xludf.DUMMYFUNCTION("GOOGLEFINANCE(C1397,""changepct"")"),4.76)</f>
        <v>4.76</v>
      </c>
      <c r="R1397" s="8"/>
      <c r="S1397" s="8"/>
      <c r="T1397" s="8"/>
      <c r="U1397" s="8"/>
      <c r="V1397" s="8"/>
      <c r="W1397" s="8"/>
    </row>
    <row r="1398" spans="1:23" ht="14.4">
      <c r="A1398" s="3">
        <f>LOOKUP(D1398,'AMFI DATA_2023H1'!B:C,'AMFI DATA_2023H1'!C:C)</f>
        <v>950</v>
      </c>
      <c r="B1398" s="4" t="s">
        <v>2750</v>
      </c>
      <c r="C1398" s="4" t="s">
        <v>2751</v>
      </c>
      <c r="D1398" s="5" t="s">
        <v>2752</v>
      </c>
      <c r="E1398" s="5">
        <f>LOOKUP(D1398,'AMFI DATA_2023H1'!B:D,'AMFI DATA_2023H1'!D:D)</f>
        <v>1315.31</v>
      </c>
      <c r="F1398" s="7">
        <f t="shared" si="5"/>
        <v>0.67260949890139976</v>
      </c>
      <c r="G1398" s="8">
        <v>2200</v>
      </c>
      <c r="H1398" s="8">
        <v>2222</v>
      </c>
      <c r="I1398" s="8">
        <v>2255</v>
      </c>
      <c r="J1398" s="8">
        <v>2151</v>
      </c>
      <c r="K1398" s="8">
        <v>2144</v>
      </c>
      <c r="L1398" s="8">
        <v>2102</v>
      </c>
      <c r="M1398" s="8"/>
      <c r="N1398" s="8"/>
      <c r="O1398" s="8"/>
      <c r="P1398" s="8"/>
      <c r="Q1398" s="9">
        <f ca="1">IFERROR(__xludf.DUMMYFUNCTION("GOOGLEFINANCE(C1398,""changepct"")"),0.22)</f>
        <v>0.22</v>
      </c>
      <c r="R1398" s="8"/>
      <c r="S1398" s="8"/>
      <c r="T1398" s="8"/>
      <c r="U1398" s="8"/>
      <c r="V1398" s="8"/>
      <c r="W1398" s="8"/>
    </row>
    <row r="1399" spans="1:23" ht="14.4">
      <c r="A1399" s="3">
        <f>LOOKUP(D1399,'AMFI DATA_2023H1'!B:C,'AMFI DATA_2023H1'!C:C)</f>
        <v>1419</v>
      </c>
      <c r="B1399" s="4" t="s">
        <v>3833</v>
      </c>
      <c r="C1399" s="4" t="s">
        <v>3834</v>
      </c>
      <c r="D1399" s="5" t="s">
        <v>3835</v>
      </c>
      <c r="E1399" s="5">
        <f>LOOKUP(D1399,'AMFI DATA_2023H1'!B:D,'AMFI DATA_2023H1'!D:D)</f>
        <v>398.13</v>
      </c>
      <c r="F1399" s="7">
        <f t="shared" si="5"/>
        <v>0.64267952678773277</v>
      </c>
      <c r="G1399" s="9">
        <v>654</v>
      </c>
      <c r="H1399" s="9">
        <v>657</v>
      </c>
      <c r="I1399" s="9">
        <v>659</v>
      </c>
      <c r="J1399" s="9">
        <v>666</v>
      </c>
      <c r="K1399" s="9">
        <v>657</v>
      </c>
      <c r="L1399" s="9">
        <v>638</v>
      </c>
      <c r="M1399" s="9"/>
      <c r="N1399" s="9"/>
      <c r="O1399" s="9"/>
      <c r="P1399" s="9"/>
      <c r="Q1399" s="9">
        <f ca="1">IFERROR(__xludf.DUMMYFUNCTION("GOOGLEFINANCE(C1399,""changepct"")"),-3.06)</f>
        <v>-3.06</v>
      </c>
      <c r="R1399" s="9"/>
      <c r="S1399" s="9"/>
      <c r="T1399" s="9"/>
      <c r="U1399" s="9"/>
      <c r="V1399" s="9"/>
      <c r="W1399" s="9"/>
    </row>
    <row r="1400" spans="1:23" ht="14.4">
      <c r="A1400" s="3">
        <f>LOOKUP(D1400,'AMFI DATA_2023H1'!B:C,'AMFI DATA_2023H1'!C:C)</f>
        <v>375</v>
      </c>
      <c r="B1400" s="4" t="s">
        <v>1140</v>
      </c>
      <c r="C1400" s="4" t="s">
        <v>1141</v>
      </c>
      <c r="D1400" s="5" t="s">
        <v>1142</v>
      </c>
      <c r="E1400" s="5">
        <f>LOOKUP(D1400,'AMFI DATA_2023H1'!B:D,'AMFI DATA_2023H1'!D:D)</f>
        <v>8618.8700000000008</v>
      </c>
      <c r="F1400" s="7">
        <f t="shared" si="5"/>
        <v>0.40018355074389089</v>
      </c>
      <c r="G1400" s="8">
        <v>12068</v>
      </c>
      <c r="H1400" s="8">
        <v>12086</v>
      </c>
      <c r="I1400" s="8">
        <v>11957</v>
      </c>
      <c r="J1400" s="8">
        <v>12122</v>
      </c>
      <c r="K1400" s="8">
        <v>12216</v>
      </c>
      <c r="L1400" s="8">
        <v>11708</v>
      </c>
      <c r="M1400" s="8"/>
      <c r="N1400" s="8"/>
      <c r="O1400" s="8"/>
      <c r="P1400" s="8"/>
      <c r="Q1400" s="9">
        <f ca="1">IFERROR(__xludf.DUMMYFUNCTION("GOOGLEFINANCE(C1400,""changepct"")"),20.13)</f>
        <v>20.13</v>
      </c>
      <c r="R1400" s="8"/>
      <c r="S1400" s="8"/>
      <c r="T1400" s="8"/>
      <c r="U1400" s="8"/>
      <c r="V1400" s="8"/>
      <c r="W1400" s="8"/>
    </row>
    <row r="1401" spans="1:23" ht="14.4">
      <c r="A1401" s="3">
        <f>LOOKUP(D1401,'AMFI DATA_2023H1'!B:C,'AMFI DATA_2023H1'!C:C)</f>
        <v>1984</v>
      </c>
      <c r="B1401" s="4" t="s">
        <v>4862</v>
      </c>
      <c r="C1401" s="4" t="s">
        <v>4863</v>
      </c>
      <c r="D1401" s="5" t="s">
        <v>4864</v>
      </c>
      <c r="E1401" s="5">
        <f>LOOKUP(D1401,'AMFI DATA_2023H1'!B:D,'AMFI DATA_2023H1'!D:D)</f>
        <v>146.72</v>
      </c>
      <c r="F1401" s="7">
        <f t="shared" si="5"/>
        <v>0.21319520174481998</v>
      </c>
      <c r="G1401" s="9">
        <v>178</v>
      </c>
      <c r="H1401" s="9">
        <v>175</v>
      </c>
      <c r="I1401" s="9">
        <v>176</v>
      </c>
      <c r="J1401" s="9">
        <v>176</v>
      </c>
      <c r="K1401" s="9">
        <v>180</v>
      </c>
      <c r="L1401" s="9">
        <v>173</v>
      </c>
      <c r="M1401" s="9"/>
      <c r="N1401" s="9"/>
      <c r="O1401" s="9"/>
      <c r="P1401" s="9"/>
      <c r="Q1401" s="9">
        <f ca="1">IFERROR(__xludf.DUMMYFUNCTION("GOOGLEFINANCE(C1401,""changepct"")"),4.07)</f>
        <v>4.07</v>
      </c>
      <c r="R1401" s="9"/>
      <c r="S1401" s="9"/>
      <c r="T1401" s="9"/>
      <c r="U1401" s="9"/>
      <c r="V1401" s="9"/>
      <c r="W1401" s="9"/>
    </row>
    <row r="1402" spans="1:23" ht="14.4">
      <c r="A1402" s="3">
        <f>LOOKUP(D1402,'AMFI DATA_2023H1'!B:C,'AMFI DATA_2023H1'!C:C)</f>
        <v>1885</v>
      </c>
      <c r="B1402" s="4" t="s">
        <v>4703</v>
      </c>
      <c r="C1402" s="4" t="s">
        <v>4704</v>
      </c>
      <c r="D1402" s="5" t="s">
        <v>4705</v>
      </c>
      <c r="E1402" s="5">
        <f>LOOKUP(D1402,'AMFI DATA_2023H1'!B:D,'AMFI DATA_2023H1'!D:D)</f>
        <v>168.11</v>
      </c>
      <c r="F1402" s="7">
        <f t="shared" si="5"/>
        <v>0.49307001368151804</v>
      </c>
      <c r="G1402" s="9">
        <v>251</v>
      </c>
      <c r="H1402" s="9">
        <v>240</v>
      </c>
      <c r="I1402" s="9">
        <v>247</v>
      </c>
      <c r="J1402" s="9">
        <v>250</v>
      </c>
      <c r="K1402" s="9">
        <v>243</v>
      </c>
      <c r="L1402" s="9">
        <v>249</v>
      </c>
      <c r="M1402" s="9"/>
      <c r="N1402" s="9"/>
      <c r="O1402" s="9"/>
      <c r="P1402" s="9"/>
      <c r="Q1402" s="9">
        <f ca="1">IFERROR(__xludf.DUMMYFUNCTION("GOOGLEFINANCE(C1402,""changepct"")"),5.99)</f>
        <v>5.99</v>
      </c>
      <c r="R1402" s="9"/>
      <c r="S1402" s="9"/>
      <c r="T1402" s="9"/>
      <c r="U1402" s="9"/>
      <c r="V1402" s="9"/>
      <c r="W1402" s="9"/>
    </row>
    <row r="1403" spans="1:23" ht="14.4">
      <c r="A1403" s="3">
        <f>LOOKUP(D1403,'AMFI DATA_2023H1'!B:C,'AMFI DATA_2023H1'!C:C)</f>
        <v>500</v>
      </c>
      <c r="B1403" s="4" t="s">
        <v>1665</v>
      </c>
      <c r="C1403" s="4" t="s">
        <v>1666</v>
      </c>
      <c r="D1403" s="5" t="s">
        <v>1667</v>
      </c>
      <c r="E1403" s="5">
        <f>LOOKUP(D1403,'AMFI DATA_2023H1'!B:D,'AMFI DATA_2023H1'!D:D)</f>
        <v>5225.9799999999996</v>
      </c>
      <c r="F1403" s="7">
        <f t="shared" si="5"/>
        <v>0.32109192916926599</v>
      </c>
      <c r="G1403" s="8">
        <v>6904</v>
      </c>
      <c r="H1403" s="8">
        <v>6843</v>
      </c>
      <c r="I1403" s="8">
        <v>6574</v>
      </c>
      <c r="J1403" s="8">
        <v>6528</v>
      </c>
      <c r="K1403" s="8">
        <v>6473</v>
      </c>
      <c r="L1403" s="8">
        <v>6473</v>
      </c>
      <c r="M1403" s="8"/>
      <c r="N1403" s="8"/>
      <c r="O1403" s="8"/>
      <c r="P1403" s="8"/>
      <c r="Q1403" s="9">
        <f ca="1">IFERROR(__xludf.DUMMYFUNCTION("GOOGLEFINANCE(C1403,""changepct"")"),-1.22)</f>
        <v>-1.22</v>
      </c>
      <c r="R1403" s="8"/>
      <c r="S1403" s="8"/>
      <c r="T1403" s="8"/>
      <c r="U1403" s="8"/>
      <c r="V1403" s="8"/>
      <c r="W1403" s="8"/>
    </row>
    <row r="1404" spans="1:23" ht="14.4">
      <c r="A1404" s="3">
        <f>LOOKUP(D1404,'AMFI DATA_2023H1'!B:C,'AMFI DATA_2023H1'!C:C)</f>
        <v>3036</v>
      </c>
      <c r="B1404" s="4" t="s">
        <v>5599</v>
      </c>
      <c r="C1404" s="4" t="s">
        <v>5600</v>
      </c>
      <c r="D1404" s="5" t="s">
        <v>5601</v>
      </c>
      <c r="E1404" s="5">
        <f>LOOKUP(D1404,'AMFI DATA_2023H1'!B:D,'AMFI DATA_2023H1'!D:D)</f>
        <v>28.84</v>
      </c>
      <c r="F1404" s="7">
        <f t="shared" si="5"/>
        <v>0.17891816920943127</v>
      </c>
      <c r="G1404" s="9">
        <v>34</v>
      </c>
      <c r="H1404" s="9">
        <v>33.5</v>
      </c>
      <c r="I1404" s="9">
        <v>33</v>
      </c>
      <c r="J1404" s="9">
        <v>32.5</v>
      </c>
      <c r="K1404" s="9">
        <v>33.299999999999997</v>
      </c>
      <c r="L1404" s="9">
        <v>32.5</v>
      </c>
      <c r="M1404" s="9"/>
      <c r="N1404" s="9"/>
      <c r="O1404" s="9"/>
      <c r="P1404" s="9"/>
      <c r="Q1404" s="9">
        <f ca="1">IFERROR(__xludf.DUMMYFUNCTION("GOOGLEFINANCE(C1404,""changepct"")"),-6.06)</f>
        <v>-6.06</v>
      </c>
      <c r="R1404" s="9"/>
      <c r="S1404" s="9"/>
      <c r="T1404" s="9"/>
      <c r="U1404" s="9"/>
      <c r="V1404" s="9"/>
      <c r="W1404" s="9"/>
    </row>
    <row r="1405" spans="1:23" ht="14.4">
      <c r="A1405" s="3">
        <f>LOOKUP(D1405,'AMFI DATA_2023H1'!B:C,'AMFI DATA_2023H1'!C:C)</f>
        <v>586</v>
      </c>
      <c r="B1405" s="4" t="s">
        <v>1899</v>
      </c>
      <c r="C1405" s="4" t="s">
        <v>1900</v>
      </c>
      <c r="D1405" s="5" t="s">
        <v>1901</v>
      </c>
      <c r="E1405" s="5">
        <f>LOOKUP(D1405,'AMFI DATA_2023H1'!B:D,'AMFI DATA_2023H1'!D:D)</f>
        <v>3882.16</v>
      </c>
      <c r="F1405" s="7">
        <f t="shared" si="5"/>
        <v>0.14292043604591265</v>
      </c>
      <c r="G1405" s="8">
        <v>4437</v>
      </c>
      <c r="H1405" s="8">
        <v>4397</v>
      </c>
      <c r="I1405" s="8">
        <v>4440</v>
      </c>
      <c r="J1405" s="8">
        <v>4418</v>
      </c>
      <c r="K1405" s="8">
        <v>4389</v>
      </c>
      <c r="L1405" s="8">
        <v>4378</v>
      </c>
      <c r="M1405" s="8"/>
      <c r="N1405" s="8"/>
      <c r="O1405" s="8"/>
      <c r="P1405" s="8"/>
      <c r="Q1405" s="9">
        <f ca="1">IFERROR(__xludf.DUMMYFUNCTION("GOOGLEFINANCE(C1405,""changepct"")"),5.26)</f>
        <v>5.26</v>
      </c>
      <c r="R1405" s="8"/>
      <c r="S1405" s="8"/>
      <c r="T1405" s="8"/>
      <c r="U1405" s="8"/>
      <c r="V1405" s="8"/>
      <c r="W1405" s="8"/>
    </row>
    <row r="1406" spans="1:23" ht="14.4">
      <c r="A1406" s="3">
        <f>LOOKUP(D1406,'AMFI DATA_2023H1'!B:C,'AMFI DATA_2023H1'!C:C)</f>
        <v>1038</v>
      </c>
      <c r="B1406" s="4" t="s">
        <v>2849</v>
      </c>
      <c r="C1406" s="4" t="s">
        <v>2850</v>
      </c>
      <c r="D1406" s="5" t="s">
        <v>2851</v>
      </c>
      <c r="E1406" s="5">
        <f>LOOKUP(D1406,'AMFI DATA_2023H1'!B:D,'AMFI DATA_2023H1'!D:D)</f>
        <v>1055.53</v>
      </c>
      <c r="F1406" s="7">
        <f t="shared" si="5"/>
        <v>0.65604009360226612</v>
      </c>
      <c r="G1406" s="8">
        <v>1748</v>
      </c>
      <c r="H1406" s="8">
        <v>1757</v>
      </c>
      <c r="I1406" s="8">
        <v>1762</v>
      </c>
      <c r="J1406" s="8">
        <v>1780</v>
      </c>
      <c r="K1406" s="8">
        <v>1819</v>
      </c>
      <c r="L1406" s="8">
        <v>1795</v>
      </c>
      <c r="M1406" s="8"/>
      <c r="N1406" s="8"/>
      <c r="O1406" s="8"/>
      <c r="P1406" s="8"/>
      <c r="Q1406" s="9">
        <f ca="1">IFERROR(__xludf.DUMMYFUNCTION("GOOGLEFINANCE(C1406,""changepct"")"),1.05)</f>
        <v>1.05</v>
      </c>
      <c r="R1406" s="8"/>
      <c r="S1406" s="8"/>
      <c r="T1406" s="8"/>
      <c r="U1406" s="8"/>
      <c r="V1406" s="8"/>
      <c r="W1406" s="8"/>
    </row>
    <row r="1407" spans="1:23" ht="14.4">
      <c r="A1407" s="3">
        <f>LOOKUP(D1407,'AMFI DATA_2023H1'!B:C,'AMFI DATA_2023H1'!C:C)</f>
        <v>1077</v>
      </c>
      <c r="B1407" s="4" t="s">
        <v>3239</v>
      </c>
      <c r="C1407" s="4" t="s">
        <v>3240</v>
      </c>
      <c r="D1407" s="5" t="s">
        <v>3241</v>
      </c>
      <c r="E1407" s="5">
        <f>LOOKUP(D1407,'AMFI DATA_2023H1'!B:D,'AMFI DATA_2023H1'!D:D)</f>
        <v>951.4</v>
      </c>
      <c r="F1407" s="7">
        <f t="shared" si="5"/>
        <v>0.3937355476140425</v>
      </c>
      <c r="G1407" s="8">
        <v>1326</v>
      </c>
      <c r="H1407" s="8">
        <v>1321</v>
      </c>
      <c r="I1407" s="8">
        <v>1333</v>
      </c>
      <c r="J1407" s="8">
        <v>1313</v>
      </c>
      <c r="K1407" s="8">
        <v>1331</v>
      </c>
      <c r="L1407" s="8">
        <v>1310</v>
      </c>
      <c r="M1407" s="8"/>
      <c r="N1407" s="8"/>
      <c r="O1407" s="8"/>
      <c r="P1407" s="8"/>
      <c r="Q1407" s="9">
        <f ca="1">IFERROR(__xludf.DUMMYFUNCTION("GOOGLEFINANCE(C1407,""changepct"")"),-0.64)</f>
        <v>-0.64</v>
      </c>
      <c r="R1407" s="8"/>
      <c r="S1407" s="8"/>
      <c r="T1407" s="8"/>
      <c r="U1407" s="8"/>
      <c r="V1407" s="8"/>
      <c r="W1407" s="8"/>
    </row>
    <row r="1408" spans="1:23" ht="14.4">
      <c r="A1408" s="3">
        <f>LOOKUP(D1408,'AMFI DATA_2023H1'!B:C,'AMFI DATA_2023H1'!C:C)</f>
        <v>383</v>
      </c>
      <c r="B1408" s="4" t="s">
        <v>1254</v>
      </c>
      <c r="C1408" s="4" t="s">
        <v>1255</v>
      </c>
      <c r="D1408" s="5" t="s">
        <v>1256</v>
      </c>
      <c r="E1408" s="5">
        <f>LOOKUP(D1408,'AMFI DATA_2023H1'!B:D,'AMFI DATA_2023H1'!D:D)</f>
        <v>8316.91</v>
      </c>
      <c r="F1408" s="7">
        <f t="shared" si="5"/>
        <v>0.25635602645694133</v>
      </c>
      <c r="G1408" s="8">
        <v>10449</v>
      </c>
      <c r="H1408" s="8">
        <v>10022</v>
      </c>
      <c r="I1408" s="8">
        <v>9939</v>
      </c>
      <c r="J1408" s="8">
        <v>9909</v>
      </c>
      <c r="K1408" s="8">
        <v>9977</v>
      </c>
      <c r="L1408" s="8">
        <v>9989</v>
      </c>
      <c r="M1408" s="8"/>
      <c r="N1408" s="8"/>
      <c r="O1408" s="8"/>
      <c r="P1408" s="8"/>
      <c r="Q1408" s="9">
        <f ca="1">IFERROR(__xludf.DUMMYFUNCTION("GOOGLEFINANCE(C1408,""changepct"")"),2.69)</f>
        <v>2.69</v>
      </c>
      <c r="R1408" s="8"/>
      <c r="S1408" s="8"/>
      <c r="T1408" s="8"/>
      <c r="U1408" s="8"/>
      <c r="V1408" s="8"/>
      <c r="W1408" s="8"/>
    </row>
    <row r="1409" spans="1:23" ht="14.4">
      <c r="A1409" s="3">
        <f>LOOKUP(D1409,'AMFI DATA_2023H1'!B:C,'AMFI DATA_2023H1'!C:C)</f>
        <v>1147</v>
      </c>
      <c r="B1409" s="4" t="s">
        <v>3512</v>
      </c>
      <c r="C1409" s="4" t="s">
        <v>3513</v>
      </c>
      <c r="D1409" s="5" t="s">
        <v>3514</v>
      </c>
      <c r="E1409" s="5">
        <f>LOOKUP(D1409,'AMFI DATA_2023H1'!B:D,'AMFI DATA_2023H1'!D:D)</f>
        <v>794.4</v>
      </c>
      <c r="F1409" s="7">
        <f t="shared" si="5"/>
        <v>9.7683786505538883E-2</v>
      </c>
      <c r="G1409" s="9">
        <v>872</v>
      </c>
      <c r="H1409" s="9">
        <v>872</v>
      </c>
      <c r="I1409" s="9">
        <v>873</v>
      </c>
      <c r="J1409" s="9">
        <v>868</v>
      </c>
      <c r="K1409" s="9">
        <v>878</v>
      </c>
      <c r="L1409" s="9">
        <v>883</v>
      </c>
      <c r="M1409" s="9"/>
      <c r="N1409" s="9"/>
      <c r="O1409" s="9"/>
      <c r="P1409" s="9"/>
      <c r="Q1409" s="9">
        <f ca="1">IFERROR(__xludf.DUMMYFUNCTION("GOOGLEFINANCE(C1409,""changepct"")"),-0.07)</f>
        <v>-7.0000000000000007E-2</v>
      </c>
      <c r="R1409" s="9"/>
      <c r="S1409" s="9"/>
      <c r="T1409" s="9"/>
      <c r="U1409" s="9"/>
      <c r="V1409" s="9"/>
      <c r="W1409" s="9"/>
    </row>
    <row r="1410" spans="1:23" ht="14.4">
      <c r="A1410" s="3">
        <f>LOOKUP(D1410,'AMFI DATA_2023H1'!B:C,'AMFI DATA_2023H1'!C:C)</f>
        <v>942</v>
      </c>
      <c r="B1410" s="4" t="s">
        <v>2669</v>
      </c>
      <c r="C1410" s="4" t="s">
        <v>2670</v>
      </c>
      <c r="D1410" s="5" t="s">
        <v>2671</v>
      </c>
      <c r="E1410" s="5">
        <f>LOOKUP(D1410,'AMFI DATA_2023H1'!B:D,'AMFI DATA_2023H1'!D:D)</f>
        <v>1340.07</v>
      </c>
      <c r="F1410" s="7">
        <f t="shared" si="5"/>
        <v>0.6402128247031873</v>
      </c>
      <c r="G1410" s="8">
        <v>2198</v>
      </c>
      <c r="H1410" s="8">
        <v>2235</v>
      </c>
      <c r="I1410" s="8">
        <v>2249</v>
      </c>
      <c r="J1410" s="8">
        <v>2263</v>
      </c>
      <c r="K1410" s="8">
        <v>2277</v>
      </c>
      <c r="L1410" s="8">
        <v>2255</v>
      </c>
      <c r="M1410" s="8"/>
      <c r="N1410" s="8"/>
      <c r="O1410" s="8"/>
      <c r="P1410" s="8"/>
      <c r="Q1410" s="9">
        <f ca="1">IFERROR(__xludf.DUMMYFUNCTION("GOOGLEFINANCE(C1410,""changepct"")"),0.64)</f>
        <v>0.64</v>
      </c>
      <c r="R1410" s="8"/>
      <c r="S1410" s="8"/>
      <c r="T1410" s="8"/>
      <c r="U1410" s="8"/>
      <c r="V1410" s="8"/>
      <c r="W1410" s="8"/>
    </row>
    <row r="1411" spans="1:23" ht="14.4">
      <c r="A1411" s="3">
        <f>LOOKUP(D1411,'AMFI DATA_2023H1'!B:C,'AMFI DATA_2023H1'!C:C)</f>
        <v>969</v>
      </c>
      <c r="B1411" s="4" t="s">
        <v>2828</v>
      </c>
      <c r="C1411" s="4" t="s">
        <v>2829</v>
      </c>
      <c r="D1411" s="5" t="s">
        <v>2830</v>
      </c>
      <c r="E1411" s="5">
        <f>LOOKUP(D1411,'AMFI DATA_2023H1'!B:D,'AMFI DATA_2023H1'!D:D)</f>
        <v>1262.47</v>
      </c>
      <c r="F1411" s="7">
        <f t="shared" si="5"/>
        <v>0.73865517596457742</v>
      </c>
      <c r="G1411" s="8">
        <v>2195</v>
      </c>
      <c r="H1411" s="8">
        <v>2175</v>
      </c>
      <c r="I1411" s="8">
        <v>2184</v>
      </c>
      <c r="J1411" s="8">
        <v>2210</v>
      </c>
      <c r="K1411" s="8">
        <v>2266</v>
      </c>
      <c r="L1411" s="8">
        <v>2277</v>
      </c>
      <c r="M1411" s="8"/>
      <c r="N1411" s="8"/>
      <c r="O1411" s="8"/>
      <c r="P1411" s="8"/>
      <c r="Q1411" s="9">
        <f ca="1">IFERROR(__xludf.DUMMYFUNCTION("GOOGLEFINANCE(C1411,""changepct"")"),0.21)</f>
        <v>0.21</v>
      </c>
      <c r="R1411" s="8"/>
      <c r="S1411" s="8"/>
      <c r="T1411" s="8"/>
      <c r="U1411" s="8"/>
      <c r="V1411" s="8"/>
      <c r="W1411" s="8"/>
    </row>
    <row r="1412" spans="1:23" ht="14.4">
      <c r="A1412" s="3">
        <f>LOOKUP(D1412,'AMFI DATA_2023H1'!B:C,'AMFI DATA_2023H1'!C:C)</f>
        <v>1129</v>
      </c>
      <c r="B1412" s="4" t="s">
        <v>3458</v>
      </c>
      <c r="C1412" s="4" t="s">
        <v>3459</v>
      </c>
      <c r="D1412" s="5" t="s">
        <v>3460</v>
      </c>
      <c r="E1412" s="5">
        <f>LOOKUP(D1412,'AMFI DATA_2023H1'!B:D,'AMFI DATA_2023H1'!D:D)</f>
        <v>829.4</v>
      </c>
      <c r="F1412" s="7">
        <f t="shared" si="5"/>
        <v>0.23221605980226667</v>
      </c>
      <c r="G1412" s="9">
        <v>1022</v>
      </c>
      <c r="H1412" s="9">
        <v>1023</v>
      </c>
      <c r="I1412" s="9">
        <v>1033</v>
      </c>
      <c r="J1412" s="9">
        <v>1020</v>
      </c>
      <c r="K1412" s="9">
        <v>1022</v>
      </c>
      <c r="L1412" s="9">
        <v>978</v>
      </c>
      <c r="M1412" s="9"/>
      <c r="N1412" s="9"/>
      <c r="O1412" s="9"/>
      <c r="P1412" s="9"/>
      <c r="Q1412" s="9">
        <f ca="1">IFERROR(__xludf.DUMMYFUNCTION("GOOGLEFINANCE(C1412,""changepct"")"),2.7)</f>
        <v>2.7</v>
      </c>
      <c r="R1412" s="9"/>
      <c r="S1412" s="9"/>
      <c r="T1412" s="9"/>
      <c r="U1412" s="9"/>
      <c r="V1412" s="9"/>
      <c r="W1412" s="9"/>
    </row>
    <row r="1413" spans="1:23" ht="14.4">
      <c r="A1413" s="3">
        <f>LOOKUP(D1413,'AMFI DATA_2023H1'!B:C,'AMFI DATA_2023H1'!C:C)</f>
        <v>1813</v>
      </c>
      <c r="B1413" s="4" t="s">
        <v>4538</v>
      </c>
      <c r="C1413" s="4" t="s">
        <v>4539</v>
      </c>
      <c r="D1413" s="5" t="s">
        <v>4540</v>
      </c>
      <c r="E1413" s="5">
        <f>LOOKUP(D1413,'AMFI DATA_2023H1'!B:D,'AMFI DATA_2023H1'!D:D)</f>
        <v>190.93</v>
      </c>
      <c r="F1413" s="7">
        <f t="shared" si="5"/>
        <v>0.33033048761326134</v>
      </c>
      <c r="G1413" s="9">
        <v>254</v>
      </c>
      <c r="H1413" s="9">
        <v>251</v>
      </c>
      <c r="I1413" s="9">
        <v>256</v>
      </c>
      <c r="J1413" s="9">
        <v>261</v>
      </c>
      <c r="K1413" s="9">
        <v>256</v>
      </c>
      <c r="L1413" s="9">
        <v>259</v>
      </c>
      <c r="M1413" s="9"/>
      <c r="N1413" s="9"/>
      <c r="O1413" s="9"/>
      <c r="P1413" s="9"/>
      <c r="Q1413" s="9">
        <f ca="1">IFERROR(__xludf.DUMMYFUNCTION("GOOGLEFINANCE(C1413,""changepct"")"),4.94)</f>
        <v>4.9400000000000004</v>
      </c>
      <c r="R1413" s="9"/>
      <c r="S1413" s="9"/>
      <c r="T1413" s="9"/>
      <c r="U1413" s="9"/>
      <c r="V1413" s="9"/>
      <c r="W1413" s="9"/>
    </row>
    <row r="1414" spans="1:23" ht="14.4">
      <c r="A1414" s="3">
        <f>LOOKUP(D1414,'AMFI DATA_2023H1'!B:C,'AMFI DATA_2023H1'!C:C)</f>
        <v>1519</v>
      </c>
      <c r="B1414" s="4" t="s">
        <v>4187</v>
      </c>
      <c r="C1414" s="4" t="s">
        <v>4188</v>
      </c>
      <c r="D1414" s="5" t="s">
        <v>4189</v>
      </c>
      <c r="E1414" s="5">
        <f>LOOKUP(D1414,'AMFI DATA_2023H1'!B:D,'AMFI DATA_2023H1'!D:D)</f>
        <v>333.09</v>
      </c>
      <c r="F1414" s="7">
        <f t="shared" si="5"/>
        <v>0.1948722567474257</v>
      </c>
      <c r="G1414" s="9">
        <v>398</v>
      </c>
      <c r="H1414" s="9">
        <v>400</v>
      </c>
      <c r="I1414" s="9">
        <v>394</v>
      </c>
      <c r="J1414" s="9">
        <v>402</v>
      </c>
      <c r="K1414" s="9">
        <v>391</v>
      </c>
      <c r="L1414" s="9">
        <v>382</v>
      </c>
      <c r="M1414" s="9"/>
      <c r="N1414" s="9"/>
      <c r="O1414" s="9"/>
      <c r="P1414" s="9"/>
      <c r="Q1414" s="9">
        <f ca="1">IFERROR(__xludf.DUMMYFUNCTION("GOOGLEFINANCE(C1414,""changepct"")"),7.42)</f>
        <v>7.42</v>
      </c>
      <c r="R1414" s="9"/>
      <c r="S1414" s="9"/>
      <c r="T1414" s="9"/>
      <c r="U1414" s="9"/>
      <c r="V1414" s="9"/>
      <c r="W1414" s="9"/>
    </row>
    <row r="1415" spans="1:23" ht="14.4">
      <c r="A1415" s="3">
        <f>LOOKUP(D1415,'AMFI DATA_2023H1'!B:C,'AMFI DATA_2023H1'!C:C)</f>
        <v>1616</v>
      </c>
      <c r="B1415" s="4" t="s">
        <v>4295</v>
      </c>
      <c r="C1415" s="4" t="s">
        <v>4296</v>
      </c>
      <c r="D1415" s="5" t="s">
        <v>4297</v>
      </c>
      <c r="E1415" s="5">
        <f>LOOKUP(D1415,'AMFI DATA_2023H1'!B:D,'AMFI DATA_2023H1'!D:D)</f>
        <v>278.33</v>
      </c>
      <c r="F1415" s="7">
        <f t="shared" si="5"/>
        <v>0.25750008982143502</v>
      </c>
      <c r="G1415" s="9">
        <v>350</v>
      </c>
      <c r="H1415" s="9">
        <v>355</v>
      </c>
      <c r="I1415" s="9">
        <v>356</v>
      </c>
      <c r="J1415" s="9">
        <v>347</v>
      </c>
      <c r="K1415" s="9">
        <v>351</v>
      </c>
      <c r="L1415" s="9">
        <v>364</v>
      </c>
      <c r="M1415" s="9"/>
      <c r="N1415" s="9"/>
      <c r="O1415" s="9"/>
      <c r="P1415" s="9"/>
      <c r="Q1415" s="9">
        <f ca="1">IFERROR(__xludf.DUMMYFUNCTION("GOOGLEFINANCE(C1415,""changepct"")"),0.31)</f>
        <v>0.31</v>
      </c>
      <c r="R1415" s="9"/>
      <c r="S1415" s="9"/>
      <c r="T1415" s="9"/>
      <c r="U1415" s="9"/>
      <c r="V1415" s="9"/>
      <c r="W1415" s="9"/>
    </row>
    <row r="1416" spans="1:23" ht="14.4">
      <c r="A1416" s="3">
        <f>LOOKUP(D1416,'AMFI DATA_2023H1'!B:C,'AMFI DATA_2023H1'!C:C)</f>
        <v>791</v>
      </c>
      <c r="B1416" s="4" t="s">
        <v>2627</v>
      </c>
      <c r="C1416" s="4" t="s">
        <v>2628</v>
      </c>
      <c r="D1416" s="5" t="s">
        <v>2629</v>
      </c>
      <c r="E1416" s="5">
        <f>LOOKUP(D1416,'AMFI DATA_2023H1'!B:D,'AMFI DATA_2023H1'!D:D)</f>
        <v>1972.66</v>
      </c>
      <c r="F1416" s="7">
        <f t="shared" si="5"/>
        <v>0.10409295063518287</v>
      </c>
      <c r="G1416" s="8">
        <v>2178</v>
      </c>
      <c r="H1416" s="8">
        <v>2139</v>
      </c>
      <c r="I1416" s="8">
        <v>2139</v>
      </c>
      <c r="J1416" s="8">
        <v>2126</v>
      </c>
      <c r="K1416" s="8">
        <v>2110</v>
      </c>
      <c r="L1416" s="8">
        <v>2109</v>
      </c>
      <c r="M1416" s="8"/>
      <c r="N1416" s="8"/>
      <c r="O1416" s="8"/>
      <c r="P1416" s="8"/>
      <c r="Q1416" s="9">
        <f ca="1">IFERROR(__xludf.DUMMYFUNCTION("GOOGLEFINANCE(C1416,""changepct"")"),2.31)</f>
        <v>2.31</v>
      </c>
      <c r="R1416" s="8"/>
      <c r="S1416" s="8"/>
      <c r="T1416" s="8"/>
      <c r="U1416" s="8"/>
      <c r="V1416" s="8"/>
      <c r="W1416" s="8"/>
    </row>
    <row r="1417" spans="1:23" ht="14.4">
      <c r="A1417" s="3">
        <f>LOOKUP(D1417,'AMFI DATA_2023H1'!B:C,'AMFI DATA_2023H1'!C:C)</f>
        <v>1186</v>
      </c>
      <c r="B1417" s="4" t="s">
        <v>3494</v>
      </c>
      <c r="C1417" s="4" t="s">
        <v>3495</v>
      </c>
      <c r="D1417" s="5" t="s">
        <v>3496</v>
      </c>
      <c r="E1417" s="5">
        <f>LOOKUP(D1417,'AMFI DATA_2023H1'!B:D,'AMFI DATA_2023H1'!D:D)</f>
        <v>715.35</v>
      </c>
      <c r="F1417" s="7">
        <f t="shared" si="5"/>
        <v>0.45103795344936048</v>
      </c>
      <c r="G1417" s="8">
        <v>1038</v>
      </c>
      <c r="H1417" s="8">
        <v>1034</v>
      </c>
      <c r="I1417" s="8">
        <v>1058</v>
      </c>
      <c r="J1417" s="8">
        <v>993</v>
      </c>
      <c r="K1417" s="8">
        <v>1001</v>
      </c>
      <c r="L1417" s="8">
        <v>1007</v>
      </c>
      <c r="M1417" s="8"/>
      <c r="N1417" s="8"/>
      <c r="O1417" s="8"/>
      <c r="P1417" s="8"/>
      <c r="Q1417" s="9">
        <f ca="1">IFERROR(__xludf.DUMMYFUNCTION("GOOGLEFINANCE(C1417,""changepct"")"),0.16)</f>
        <v>0.16</v>
      </c>
      <c r="R1417" s="8"/>
      <c r="S1417" s="8"/>
      <c r="T1417" s="8"/>
      <c r="U1417" s="8"/>
      <c r="V1417" s="8"/>
      <c r="W1417" s="8"/>
    </row>
    <row r="1418" spans="1:23" ht="14.4">
      <c r="A1418" s="3">
        <f>LOOKUP(D1418,'AMFI DATA_2023H1'!B:C,'AMFI DATA_2023H1'!C:C)</f>
        <v>1203</v>
      </c>
      <c r="B1418" s="4" t="s">
        <v>3503</v>
      </c>
      <c r="C1418" s="4" t="s">
        <v>3504</v>
      </c>
      <c r="D1418" s="5" t="s">
        <v>3505</v>
      </c>
      <c r="E1418" s="5">
        <f>LOOKUP(D1418,'AMFI DATA_2023H1'!B:D,'AMFI DATA_2023H1'!D:D)</f>
        <v>689.71</v>
      </c>
      <c r="F1418" s="7">
        <f t="shared" si="5"/>
        <v>0.35129257224050692</v>
      </c>
      <c r="G1418" s="9">
        <v>932</v>
      </c>
      <c r="H1418" s="9">
        <v>959</v>
      </c>
      <c r="I1418" s="9">
        <v>926</v>
      </c>
      <c r="J1418" s="9">
        <v>913</v>
      </c>
      <c r="K1418" s="9">
        <v>927</v>
      </c>
      <c r="L1418" s="9">
        <v>908</v>
      </c>
      <c r="M1418" s="9"/>
      <c r="N1418" s="9"/>
      <c r="O1418" s="9"/>
      <c r="P1418" s="9"/>
      <c r="Q1418" s="9">
        <f ca="1">IFERROR(__xludf.DUMMYFUNCTION("GOOGLEFINANCE(C1418,""changepct"")"),2.7)</f>
        <v>2.7</v>
      </c>
      <c r="R1418" s="9"/>
      <c r="S1418" s="9"/>
      <c r="T1418" s="9"/>
      <c r="U1418" s="9"/>
      <c r="V1418" s="9"/>
      <c r="W1418" s="9"/>
    </row>
    <row r="1419" spans="1:23" ht="14.4">
      <c r="A1419" s="3">
        <f>LOOKUP(D1419,'AMFI DATA_2023H1'!B:C,'AMFI DATA_2023H1'!C:C)</f>
        <v>874</v>
      </c>
      <c r="B1419" s="4" t="s">
        <v>2705</v>
      </c>
      <c r="C1419" s="4" t="s">
        <v>2706</v>
      </c>
      <c r="D1419" s="5" t="s">
        <v>2707</v>
      </c>
      <c r="E1419" s="5">
        <f>LOOKUP(D1419,'AMFI DATA_2023H1'!B:D,'AMFI DATA_2023H1'!D:D)</f>
        <v>1600.01</v>
      </c>
      <c r="F1419" s="7">
        <f t="shared" si="5"/>
        <v>0.24249223442353496</v>
      </c>
      <c r="G1419" s="8">
        <v>1988</v>
      </c>
      <c r="H1419" s="8">
        <v>2018</v>
      </c>
      <c r="I1419" s="8">
        <v>1998</v>
      </c>
      <c r="J1419" s="8">
        <v>2008</v>
      </c>
      <c r="K1419" s="8">
        <v>2012</v>
      </c>
      <c r="L1419" s="8">
        <v>2001</v>
      </c>
      <c r="M1419" s="8"/>
      <c r="N1419" s="8"/>
      <c r="O1419" s="8"/>
      <c r="P1419" s="8"/>
      <c r="Q1419" s="9">
        <f ca="1">IFERROR(__xludf.DUMMYFUNCTION("GOOGLEFINANCE(C1419,""changepct"")"),0.34)</f>
        <v>0.34</v>
      </c>
      <c r="R1419" s="8"/>
      <c r="S1419" s="8"/>
      <c r="T1419" s="8"/>
      <c r="U1419" s="8"/>
      <c r="V1419" s="8"/>
      <c r="W1419" s="8"/>
    </row>
    <row r="1420" spans="1:23" ht="14.4">
      <c r="A1420" s="3">
        <f>LOOKUP(D1420,'AMFI DATA_2023H1'!B:C,'AMFI DATA_2023H1'!C:C)</f>
        <v>3316</v>
      </c>
      <c r="B1420" s="4" t="s">
        <v>5419</v>
      </c>
      <c r="C1420" s="4" t="s">
        <v>5420</v>
      </c>
      <c r="D1420" s="5" t="s">
        <v>5421</v>
      </c>
      <c r="E1420" s="5">
        <f>LOOKUP(D1420,'AMFI DATA_2023H1'!B:D,'AMFI DATA_2023H1'!D:D)</f>
        <v>19.059999999999999</v>
      </c>
      <c r="F1420" s="7">
        <f t="shared" si="5"/>
        <v>4.6138509968520465</v>
      </c>
      <c r="G1420" s="9">
        <v>107</v>
      </c>
      <c r="H1420" s="9">
        <v>109</v>
      </c>
      <c r="I1420" s="9">
        <v>111</v>
      </c>
      <c r="J1420" s="9">
        <v>114</v>
      </c>
      <c r="K1420" s="9">
        <v>116</v>
      </c>
      <c r="L1420" s="9">
        <v>107</v>
      </c>
      <c r="M1420" s="9"/>
      <c r="N1420" s="9"/>
      <c r="O1420" s="9"/>
      <c r="P1420" s="9"/>
      <c r="Q1420" s="9">
        <f ca="1">IFERROR(__xludf.DUMMYFUNCTION("GOOGLEFINANCE(C1420,""changepct"")"),1.15)</f>
        <v>1.1499999999999999</v>
      </c>
      <c r="R1420" s="9"/>
      <c r="S1420" s="9"/>
      <c r="T1420" s="9"/>
      <c r="U1420" s="9"/>
      <c r="V1420" s="9"/>
      <c r="W1420" s="9"/>
    </row>
    <row r="1421" spans="1:23" ht="14.4">
      <c r="A1421" s="3">
        <f>LOOKUP(D1421,'AMFI DATA_2023H1'!B:C,'AMFI DATA_2023H1'!C:C)</f>
        <v>1095</v>
      </c>
      <c r="B1421" s="4" t="s">
        <v>3089</v>
      </c>
      <c r="C1421" s="4" t="s">
        <v>3090</v>
      </c>
      <c r="D1421" s="5" t="s">
        <v>3091</v>
      </c>
      <c r="E1421" s="5">
        <f>LOOKUP(D1421,'AMFI DATA_2023H1'!B:D,'AMFI DATA_2023H1'!D:D)</f>
        <v>890.76</v>
      </c>
      <c r="F1421" s="7">
        <f t="shared" si="5"/>
        <v>0.70753064798598952</v>
      </c>
      <c r="G1421" s="8">
        <v>1521</v>
      </c>
      <c r="H1421" s="8">
        <v>1520</v>
      </c>
      <c r="I1421" s="8">
        <v>1531</v>
      </c>
      <c r="J1421" s="8">
        <v>1549</v>
      </c>
      <c r="K1421" s="8">
        <v>1512</v>
      </c>
      <c r="L1421" s="8">
        <v>1549</v>
      </c>
      <c r="M1421" s="8"/>
      <c r="N1421" s="8"/>
      <c r="O1421" s="8"/>
      <c r="P1421" s="8"/>
      <c r="Q1421" s="9">
        <f ca="1">IFERROR(__xludf.DUMMYFUNCTION("GOOGLEFINANCE(C1421,""changepct"")"),0.05)</f>
        <v>0.05</v>
      </c>
      <c r="R1421" s="8"/>
      <c r="S1421" s="8"/>
      <c r="T1421" s="8"/>
      <c r="U1421" s="8"/>
      <c r="V1421" s="8"/>
      <c r="W1421" s="8"/>
    </row>
    <row r="1422" spans="1:23" ht="14.4">
      <c r="A1422" s="3">
        <f>LOOKUP(D1422,'AMFI DATA_2023H1'!B:C,'AMFI DATA_2023H1'!C:C)</f>
        <v>1999</v>
      </c>
      <c r="B1422" s="4" t="s">
        <v>4946</v>
      </c>
      <c r="C1422" s="4" t="s">
        <v>4947</v>
      </c>
      <c r="D1422" s="5" t="s">
        <v>4948</v>
      </c>
      <c r="E1422" s="5">
        <f>LOOKUP(D1422,'AMFI DATA_2023H1'!B:D,'AMFI DATA_2023H1'!D:D)</f>
        <v>144.12</v>
      </c>
      <c r="F1422" s="7">
        <f t="shared" si="5"/>
        <v>0.45018040521787395</v>
      </c>
      <c r="G1422" s="9">
        <v>209</v>
      </c>
      <c r="H1422" s="9">
        <v>205</v>
      </c>
      <c r="I1422" s="9">
        <v>210</v>
      </c>
      <c r="J1422" s="9">
        <v>200</v>
      </c>
      <c r="K1422" s="9">
        <v>210</v>
      </c>
      <c r="L1422" s="9">
        <v>220</v>
      </c>
      <c r="M1422" s="9"/>
      <c r="N1422" s="9"/>
      <c r="O1422" s="9"/>
      <c r="P1422" s="9"/>
      <c r="Q1422" s="9">
        <f ca="1">IFERROR(__xludf.DUMMYFUNCTION("GOOGLEFINANCE(C1422,""changepct"")"),-1.98)</f>
        <v>-1.98</v>
      </c>
      <c r="R1422" s="9"/>
      <c r="S1422" s="9"/>
      <c r="T1422" s="9"/>
      <c r="U1422" s="9"/>
      <c r="V1422" s="9"/>
      <c r="W1422" s="9"/>
    </row>
    <row r="1423" spans="1:23" ht="14.4">
      <c r="A1423" s="3">
        <f>LOOKUP(D1423,'AMFI DATA_2023H1'!B:C,'AMFI DATA_2023H1'!C:C)</f>
        <v>921</v>
      </c>
      <c r="B1423" s="4" t="s">
        <v>2720</v>
      </c>
      <c r="C1423" s="4" t="s">
        <v>2721</v>
      </c>
      <c r="D1423" s="5" t="s">
        <v>2722</v>
      </c>
      <c r="E1423" s="5">
        <f>LOOKUP(D1423,'AMFI DATA_2023H1'!B:D,'AMFI DATA_2023H1'!D:D)</f>
        <v>1398.39</v>
      </c>
      <c r="F1423" s="7">
        <f t="shared" si="5"/>
        <v>0.36514134111370922</v>
      </c>
      <c r="G1423" s="8">
        <v>1909</v>
      </c>
      <c r="H1423" s="8">
        <v>1943</v>
      </c>
      <c r="I1423" s="8">
        <v>1922</v>
      </c>
      <c r="J1423" s="8">
        <v>1931</v>
      </c>
      <c r="K1423" s="8">
        <v>1958</v>
      </c>
      <c r="L1423" s="8">
        <v>1927</v>
      </c>
      <c r="M1423" s="8"/>
      <c r="N1423" s="8"/>
      <c r="O1423" s="8"/>
      <c r="P1423" s="8"/>
      <c r="Q1423" s="9">
        <f ca="1">IFERROR(__xludf.DUMMYFUNCTION("GOOGLEFINANCE(C1423,""changepct"")"),-0.72)</f>
        <v>-0.72</v>
      </c>
      <c r="R1423" s="8"/>
      <c r="S1423" s="8"/>
      <c r="T1423" s="8"/>
      <c r="U1423" s="8"/>
      <c r="V1423" s="8"/>
      <c r="W1423" s="8"/>
    </row>
    <row r="1424" spans="1:23" ht="14.4">
      <c r="A1424" s="3">
        <f>LOOKUP(D1424,'AMFI DATA_2023H1'!B:C,'AMFI DATA_2023H1'!C:C)</f>
        <v>4381</v>
      </c>
      <c r="B1424" s="4" t="s">
        <v>5779</v>
      </c>
      <c r="C1424" s="4" t="s">
        <v>5780</v>
      </c>
      <c r="D1424" s="5" t="s">
        <v>5781</v>
      </c>
      <c r="E1424" s="5">
        <f>LOOKUP(D1424,'AMFI DATA_2023H1'!B:D,'AMFI DATA_2023H1'!D:D)</f>
        <v>4.01</v>
      </c>
      <c r="F1424" s="7">
        <f t="shared" si="5"/>
        <v>0.62094763092269334</v>
      </c>
      <c r="G1424" s="9">
        <v>6.5</v>
      </c>
      <c r="H1424" s="9">
        <v>6.5</v>
      </c>
      <c r="I1424" s="9">
        <v>6.5</v>
      </c>
      <c r="J1424" s="9">
        <v>6.63</v>
      </c>
      <c r="K1424" s="9">
        <v>6.5</v>
      </c>
      <c r="L1424" s="9">
        <v>6.6</v>
      </c>
      <c r="M1424" s="9"/>
      <c r="N1424" s="9"/>
      <c r="O1424" s="9"/>
      <c r="P1424" s="9"/>
      <c r="Q1424" s="9">
        <f ca="1">IFERROR(__xludf.DUMMYFUNCTION("GOOGLEFINANCE(C1424,""changepct"")"),4.72)</f>
        <v>4.72</v>
      </c>
      <c r="R1424" s="9"/>
      <c r="S1424" s="9"/>
      <c r="T1424" s="9"/>
      <c r="U1424" s="9"/>
      <c r="V1424" s="9"/>
      <c r="W1424" s="9"/>
    </row>
    <row r="1425" spans="1:23" ht="14.4">
      <c r="A1425" s="3">
        <f>LOOKUP(D1425,'AMFI DATA_2023H1'!B:C,'AMFI DATA_2023H1'!C:C)</f>
        <v>1788</v>
      </c>
      <c r="B1425" s="4" t="s">
        <v>4484</v>
      </c>
      <c r="C1425" s="4" t="s">
        <v>4485</v>
      </c>
      <c r="D1425" s="5" t="s">
        <v>4486</v>
      </c>
      <c r="E1425" s="5">
        <f>LOOKUP(D1425,'AMFI DATA_2023H1'!B:D,'AMFI DATA_2023H1'!D:D)</f>
        <v>200.5</v>
      </c>
      <c r="F1425" s="7">
        <f t="shared" si="5"/>
        <v>0.86533665835411466</v>
      </c>
      <c r="G1425" s="9">
        <v>374</v>
      </c>
      <c r="H1425" s="9">
        <v>367</v>
      </c>
      <c r="I1425" s="9">
        <v>347</v>
      </c>
      <c r="J1425" s="9">
        <v>362</v>
      </c>
      <c r="K1425" s="9">
        <v>377</v>
      </c>
      <c r="L1425" s="9">
        <v>365</v>
      </c>
      <c r="M1425" s="9"/>
      <c r="N1425" s="9"/>
      <c r="O1425" s="9"/>
      <c r="P1425" s="9"/>
      <c r="Q1425" s="9">
        <f ca="1">IFERROR(__xludf.DUMMYFUNCTION("GOOGLEFINANCE(C1425,""changepct"")"),2.34)</f>
        <v>2.34</v>
      </c>
      <c r="R1425" s="9"/>
      <c r="S1425" s="9"/>
      <c r="T1425" s="9"/>
      <c r="U1425" s="9"/>
      <c r="V1425" s="9"/>
      <c r="W1425" s="9"/>
    </row>
    <row r="1426" spans="1:23" ht="14.4">
      <c r="A1426" s="3">
        <f>LOOKUP(D1426,'AMFI DATA_2023H1'!B:C,'AMFI DATA_2023H1'!C:C)</f>
        <v>1971</v>
      </c>
      <c r="B1426" s="4" t="s">
        <v>4928</v>
      </c>
      <c r="C1426" s="4" t="s">
        <v>4929</v>
      </c>
      <c r="D1426" s="5" t="s">
        <v>4930</v>
      </c>
      <c r="E1426" s="5">
        <f>LOOKUP(D1426,'AMFI DATA_2023H1'!B:D,'AMFI DATA_2023H1'!D:D)</f>
        <v>149.55000000000001</v>
      </c>
      <c r="F1426" s="7">
        <f t="shared" si="5"/>
        <v>0.17017719826145083</v>
      </c>
      <c r="G1426" s="9">
        <v>175</v>
      </c>
      <c r="H1426" s="9">
        <v>167</v>
      </c>
      <c r="I1426" s="9">
        <v>163</v>
      </c>
      <c r="J1426" s="9">
        <v>160</v>
      </c>
      <c r="K1426" s="9">
        <v>156</v>
      </c>
      <c r="L1426" s="9">
        <v>157</v>
      </c>
      <c r="M1426" s="9"/>
      <c r="N1426" s="9"/>
      <c r="O1426" s="9"/>
      <c r="P1426" s="9"/>
      <c r="Q1426" s="9">
        <f ca="1">IFERROR(__xludf.DUMMYFUNCTION("GOOGLEFINANCE(C1426,""changepct"")"),-3.31)</f>
        <v>-3.31</v>
      </c>
      <c r="R1426" s="9"/>
      <c r="S1426" s="9"/>
      <c r="T1426" s="9"/>
      <c r="U1426" s="9"/>
      <c r="V1426" s="9"/>
      <c r="W1426" s="9"/>
    </row>
    <row r="1427" spans="1:23" ht="14.4">
      <c r="A1427" s="3">
        <f>LOOKUP(D1427,'AMFI DATA_2023H1'!B:C,'AMFI DATA_2023H1'!C:C)</f>
        <v>705</v>
      </c>
      <c r="B1427" s="4" t="s">
        <v>2573</v>
      </c>
      <c r="C1427" s="4" t="s">
        <v>2574</v>
      </c>
      <c r="D1427" s="5" t="s">
        <v>2575</v>
      </c>
      <c r="E1427" s="5">
        <f>LOOKUP(D1427,'AMFI DATA_2023H1'!B:D,'AMFI DATA_2023H1'!D:D)</f>
        <v>2543.92</v>
      </c>
      <c r="F1427" s="7">
        <f t="shared" si="5"/>
        <v>-0.11239347149281431</v>
      </c>
      <c r="G1427" s="8">
        <v>2258</v>
      </c>
      <c r="H1427" s="8">
        <v>2162</v>
      </c>
      <c r="I1427" s="8">
        <v>2153</v>
      </c>
      <c r="J1427" s="8">
        <v>2164</v>
      </c>
      <c r="K1427" s="8">
        <v>2139</v>
      </c>
      <c r="L1427" s="8">
        <v>2120</v>
      </c>
      <c r="M1427" s="8"/>
      <c r="N1427" s="8"/>
      <c r="O1427" s="8"/>
      <c r="P1427" s="8"/>
      <c r="Q1427" s="9">
        <f ca="1">IFERROR(__xludf.DUMMYFUNCTION("GOOGLEFINANCE(C1427,""changepct"")"),1.18)</f>
        <v>1.18</v>
      </c>
      <c r="R1427" s="8"/>
      <c r="S1427" s="8"/>
      <c r="T1427" s="8"/>
      <c r="U1427" s="8"/>
      <c r="V1427" s="8"/>
      <c r="W1427" s="8"/>
    </row>
    <row r="1428" spans="1:23" ht="14.4">
      <c r="A1428" s="3">
        <f>LOOKUP(D1428,'AMFI DATA_2023H1'!B:C,'AMFI DATA_2023H1'!C:C)</f>
        <v>498</v>
      </c>
      <c r="B1428" s="4" t="s">
        <v>1317</v>
      </c>
      <c r="C1428" s="4" t="s">
        <v>1318</v>
      </c>
      <c r="D1428" s="5" t="s">
        <v>1319</v>
      </c>
      <c r="E1428" s="5">
        <f>LOOKUP(D1428,'AMFI DATA_2023H1'!B:D,'AMFI DATA_2023H1'!D:D)</f>
        <v>5288.98</v>
      </c>
      <c r="F1428" s="7">
        <f t="shared" si="5"/>
        <v>0.69938248962938054</v>
      </c>
      <c r="G1428" s="8">
        <v>8988</v>
      </c>
      <c r="H1428" s="8">
        <v>9271</v>
      </c>
      <c r="I1428" s="8">
        <v>9232</v>
      </c>
      <c r="J1428" s="8">
        <v>9478</v>
      </c>
      <c r="K1428" s="8">
        <v>9821</v>
      </c>
      <c r="L1428" s="8">
        <v>9814</v>
      </c>
      <c r="M1428" s="8"/>
      <c r="N1428" s="8"/>
      <c r="O1428" s="8"/>
      <c r="P1428" s="8"/>
      <c r="Q1428" s="9">
        <f ca="1">IFERROR(__xludf.DUMMYFUNCTION("GOOGLEFINANCE(C1428,""changepct"")"),1.6)</f>
        <v>1.6</v>
      </c>
      <c r="R1428" s="8"/>
      <c r="S1428" s="8"/>
      <c r="T1428" s="8"/>
      <c r="U1428" s="8"/>
      <c r="V1428" s="8"/>
      <c r="W1428" s="8"/>
    </row>
    <row r="1429" spans="1:23" ht="14.4">
      <c r="A1429" s="3">
        <f>LOOKUP(D1429,'AMFI DATA_2023H1'!B:C,'AMFI DATA_2023H1'!C:C)</f>
        <v>683</v>
      </c>
      <c r="B1429" s="4" t="s">
        <v>2255</v>
      </c>
      <c r="C1429" s="4" t="s">
        <v>2256</v>
      </c>
      <c r="D1429" s="5" t="s">
        <v>2257</v>
      </c>
      <c r="E1429" s="5">
        <f>LOOKUP(D1429,'AMFI DATA_2023H1'!B:D,'AMFI DATA_2023H1'!D:D)</f>
        <v>2729.18</v>
      </c>
      <c r="F1429" s="7">
        <f t="shared" si="5"/>
        <v>0.38246652840780015</v>
      </c>
      <c r="G1429" s="8">
        <v>3773</v>
      </c>
      <c r="H1429" s="8">
        <v>3328</v>
      </c>
      <c r="I1429" s="8">
        <v>3403</v>
      </c>
      <c r="J1429" s="8">
        <v>3349</v>
      </c>
      <c r="K1429" s="8">
        <v>3376</v>
      </c>
      <c r="L1429" s="8">
        <v>3372</v>
      </c>
      <c r="M1429" s="8"/>
      <c r="N1429" s="8"/>
      <c r="O1429" s="8"/>
      <c r="P1429" s="8"/>
      <c r="Q1429" s="9">
        <f ca="1">IFERROR(__xludf.DUMMYFUNCTION("GOOGLEFINANCE(C1429,""changepct"")"),-0.29)</f>
        <v>-0.28999999999999998</v>
      </c>
      <c r="R1429" s="8"/>
      <c r="S1429" s="8"/>
      <c r="T1429" s="8"/>
      <c r="U1429" s="8"/>
      <c r="V1429" s="8"/>
      <c r="W1429" s="8"/>
    </row>
    <row r="1430" spans="1:23" ht="14.4">
      <c r="A1430" s="3">
        <f>LOOKUP(D1430,'AMFI DATA_2023H1'!B:C,'AMFI DATA_2023H1'!C:C)</f>
        <v>2803</v>
      </c>
      <c r="B1430" s="4" t="s">
        <v>5524</v>
      </c>
      <c r="C1430" s="4" t="s">
        <v>5525</v>
      </c>
      <c r="D1430" s="5" t="s">
        <v>5526</v>
      </c>
      <c r="E1430" s="5">
        <f>LOOKUP(D1430,'AMFI DATA_2023H1'!B:D,'AMFI DATA_2023H1'!D:D)</f>
        <v>40.229999999999997</v>
      </c>
      <c r="F1430" s="7">
        <f t="shared" si="5"/>
        <v>0.23788217747949303</v>
      </c>
      <c r="G1430" s="9">
        <v>49.8</v>
      </c>
      <c r="H1430" s="9">
        <v>46.1</v>
      </c>
      <c r="I1430" s="9">
        <v>46.5</v>
      </c>
      <c r="J1430" s="9">
        <v>44.4</v>
      </c>
      <c r="K1430" s="9">
        <v>43.6</v>
      </c>
      <c r="L1430" s="9">
        <v>43.8</v>
      </c>
      <c r="M1430" s="9"/>
      <c r="N1430" s="9"/>
      <c r="O1430" s="9"/>
      <c r="P1430" s="9"/>
      <c r="Q1430" s="9">
        <f ca="1">IFERROR(__xludf.DUMMYFUNCTION("GOOGLEFINANCE(C1430,""changepct"")"),-6.27)</f>
        <v>-6.27</v>
      </c>
      <c r="R1430" s="9"/>
      <c r="S1430" s="9"/>
      <c r="T1430" s="9"/>
      <c r="U1430" s="9"/>
      <c r="V1430" s="9"/>
      <c r="W1430" s="9"/>
    </row>
    <row r="1431" spans="1:23" ht="14.4">
      <c r="A1431" s="3">
        <f>LOOKUP(D1431,'AMFI DATA_2023H1'!B:C,'AMFI DATA_2023H1'!C:C)</f>
        <v>1761</v>
      </c>
      <c r="B1431" s="4" t="s">
        <v>4481</v>
      </c>
      <c r="C1431" s="4" t="s">
        <v>4482</v>
      </c>
      <c r="D1431" s="5" t="s">
        <v>4483</v>
      </c>
      <c r="E1431" s="5">
        <f>LOOKUP(D1431,'AMFI DATA_2023H1'!B:D,'AMFI DATA_2023H1'!D:D)</f>
        <v>209.85</v>
      </c>
      <c r="F1431" s="7">
        <f t="shared" si="5"/>
        <v>0.54872527996187759</v>
      </c>
      <c r="G1431" s="9">
        <v>325</v>
      </c>
      <c r="H1431" s="9">
        <v>328</v>
      </c>
      <c r="I1431" s="9">
        <v>328</v>
      </c>
      <c r="J1431" s="9">
        <v>333</v>
      </c>
      <c r="K1431" s="9">
        <v>333</v>
      </c>
      <c r="L1431" s="9">
        <v>336</v>
      </c>
      <c r="M1431" s="9"/>
      <c r="N1431" s="9"/>
      <c r="O1431" s="9"/>
      <c r="P1431" s="9"/>
      <c r="Q1431" s="9">
        <f ca="1">IFERROR(__xludf.DUMMYFUNCTION("GOOGLEFINANCE(C1431,""changepct"")"),-1.7)</f>
        <v>-1.7</v>
      </c>
      <c r="R1431" s="9"/>
      <c r="S1431" s="9"/>
      <c r="T1431" s="9"/>
      <c r="U1431" s="9"/>
      <c r="V1431" s="9"/>
      <c r="W1431" s="9"/>
    </row>
    <row r="1432" spans="1:23" ht="14.4">
      <c r="A1432" s="3">
        <f>LOOKUP(D1432,'AMFI DATA_2023H1'!B:C,'AMFI DATA_2023H1'!C:C)</f>
        <v>1415</v>
      </c>
      <c r="B1432" s="4" t="s">
        <v>4076</v>
      </c>
      <c r="C1432" s="4" t="s">
        <v>4077</v>
      </c>
      <c r="D1432" s="5" t="s">
        <v>4078</v>
      </c>
      <c r="E1432" s="5">
        <f>LOOKUP(D1432,'AMFI DATA_2023H1'!B:D,'AMFI DATA_2023H1'!D:D)</f>
        <v>399.08</v>
      </c>
      <c r="F1432" s="7">
        <f t="shared" si="5"/>
        <v>0.10504159567004123</v>
      </c>
      <c r="G1432" s="9">
        <v>441</v>
      </c>
      <c r="H1432" s="9">
        <v>448</v>
      </c>
      <c r="I1432" s="9">
        <v>440</v>
      </c>
      <c r="J1432" s="9">
        <v>448</v>
      </c>
      <c r="K1432" s="9">
        <v>443</v>
      </c>
      <c r="L1432" s="9">
        <v>449</v>
      </c>
      <c r="M1432" s="9"/>
      <c r="N1432" s="9"/>
      <c r="O1432" s="9"/>
      <c r="P1432" s="9"/>
      <c r="Q1432" s="9">
        <f ca="1">IFERROR(__xludf.DUMMYFUNCTION("GOOGLEFINANCE(C1432,""changepct"")"),-0.92)</f>
        <v>-0.92</v>
      </c>
      <c r="R1432" s="9"/>
      <c r="S1432" s="9"/>
      <c r="T1432" s="9"/>
      <c r="U1432" s="9"/>
      <c r="V1432" s="9"/>
      <c r="W1432" s="9"/>
    </row>
    <row r="1433" spans="1:23" ht="14.4">
      <c r="A1433" s="3">
        <f>LOOKUP(D1433,'AMFI DATA_2023H1'!B:C,'AMFI DATA_2023H1'!C:C)</f>
        <v>1945</v>
      </c>
      <c r="B1433" s="4" t="s">
        <v>1986</v>
      </c>
      <c r="C1433" s="4" t="s">
        <v>1987</v>
      </c>
      <c r="D1433" s="5" t="s">
        <v>1988</v>
      </c>
      <c r="E1433" s="5">
        <f>LOOKUP(D1433,'AMFI DATA_2023H1'!B:D,'AMFI DATA_2023H1'!D:D)</f>
        <v>156.49</v>
      </c>
      <c r="F1433" s="7">
        <f t="shared" si="5"/>
        <v>27.142373314588792</v>
      </c>
      <c r="G1433" s="8">
        <v>4404</v>
      </c>
      <c r="H1433" s="8">
        <v>4222</v>
      </c>
      <c r="I1433" s="8">
        <v>4294</v>
      </c>
      <c r="J1433" s="8">
        <v>4233</v>
      </c>
      <c r="K1433" s="8">
        <v>4213</v>
      </c>
      <c r="L1433" s="8">
        <v>4256</v>
      </c>
      <c r="M1433" s="8"/>
      <c r="N1433" s="8"/>
      <c r="O1433" s="8"/>
      <c r="P1433" s="8"/>
      <c r="Q1433" s="9">
        <f ca="1">IFERROR(__xludf.DUMMYFUNCTION("GOOGLEFINANCE(C1433,""changepct"")"),-3.56)</f>
        <v>-3.56</v>
      </c>
      <c r="R1433" s="8"/>
      <c r="S1433" s="8"/>
      <c r="T1433" s="8"/>
      <c r="U1433" s="8"/>
      <c r="V1433" s="8"/>
      <c r="W1433" s="8"/>
    </row>
    <row r="1434" spans="1:23" ht="14.4">
      <c r="A1434" s="3">
        <f>LOOKUP(D1434,'AMFI DATA_2023H1'!B:C,'AMFI DATA_2023H1'!C:C)</f>
        <v>1363</v>
      </c>
      <c r="B1434" s="4" t="s">
        <v>3725</v>
      </c>
      <c r="C1434" s="4" t="s">
        <v>3726</v>
      </c>
      <c r="D1434" s="5" t="s">
        <v>3727</v>
      </c>
      <c r="E1434" s="5">
        <f>LOOKUP(D1434,'AMFI DATA_2023H1'!B:D,'AMFI DATA_2023H1'!D:D)</f>
        <v>442.67</v>
      </c>
      <c r="F1434" s="7">
        <f t="shared" si="5"/>
        <v>0.97438272302166395</v>
      </c>
      <c r="G1434" s="9">
        <v>874</v>
      </c>
      <c r="H1434" s="9">
        <v>854</v>
      </c>
      <c r="I1434" s="9">
        <v>850</v>
      </c>
      <c r="J1434" s="9">
        <v>857</v>
      </c>
      <c r="K1434" s="9">
        <v>865</v>
      </c>
      <c r="L1434" s="9">
        <v>788</v>
      </c>
      <c r="M1434" s="9"/>
      <c r="N1434" s="9"/>
      <c r="O1434" s="9"/>
      <c r="P1434" s="9"/>
      <c r="Q1434" s="9">
        <f ca="1">IFERROR(__xludf.DUMMYFUNCTION("GOOGLEFINANCE(C1434,""changepct"")"),7.09)</f>
        <v>7.09</v>
      </c>
      <c r="R1434" s="9"/>
      <c r="S1434" s="9"/>
      <c r="T1434" s="9"/>
      <c r="U1434" s="9"/>
      <c r="V1434" s="9"/>
      <c r="W1434" s="9"/>
    </row>
    <row r="1435" spans="1:23" ht="14.4">
      <c r="A1435" s="3">
        <f>LOOKUP(D1435,'AMFI DATA_2023H1'!B:C,'AMFI DATA_2023H1'!C:C)</f>
        <v>808</v>
      </c>
      <c r="B1435" s="4" t="s">
        <v>2165</v>
      </c>
      <c r="C1435" s="4" t="s">
        <v>2166</v>
      </c>
      <c r="D1435" s="5" t="s">
        <v>2167</v>
      </c>
      <c r="E1435" s="5">
        <f>LOOKUP(D1435,'AMFI DATA_2023H1'!B:D,'AMFI DATA_2023H1'!D:D)</f>
        <v>1905.3</v>
      </c>
      <c r="F1435" s="7">
        <f t="shared" si="5"/>
        <v>0.77662310397312773</v>
      </c>
      <c r="G1435" s="8">
        <v>3385</v>
      </c>
      <c r="H1435" s="8">
        <v>3403</v>
      </c>
      <c r="I1435" s="8">
        <v>3392</v>
      </c>
      <c r="J1435" s="8">
        <v>3410</v>
      </c>
      <c r="K1435" s="8">
        <v>3442</v>
      </c>
      <c r="L1435" s="8">
        <v>3422</v>
      </c>
      <c r="M1435" s="8"/>
      <c r="N1435" s="8"/>
      <c r="O1435" s="8"/>
      <c r="P1435" s="8"/>
      <c r="Q1435" s="9">
        <f ca="1">IFERROR(__xludf.DUMMYFUNCTION("GOOGLEFINANCE(C1435,""changepct"")"),1.16)</f>
        <v>1.1599999999999999</v>
      </c>
      <c r="R1435" s="8"/>
      <c r="S1435" s="8"/>
      <c r="T1435" s="8"/>
      <c r="U1435" s="8"/>
      <c r="V1435" s="8"/>
      <c r="W1435" s="8"/>
    </row>
    <row r="1436" spans="1:23" ht="14.4">
      <c r="A1436" s="3">
        <f>LOOKUP(D1436,'AMFI DATA_2023H1'!B:C,'AMFI DATA_2023H1'!C:C)</f>
        <v>1632</v>
      </c>
      <c r="B1436" s="4" t="s">
        <v>4292</v>
      </c>
      <c r="C1436" s="4" t="s">
        <v>4293</v>
      </c>
      <c r="D1436" s="5" t="s">
        <v>4294</v>
      </c>
      <c r="E1436" s="5">
        <f>LOOKUP(D1436,'AMFI DATA_2023H1'!B:D,'AMFI DATA_2023H1'!D:D)</f>
        <v>270.20999999999998</v>
      </c>
      <c r="F1436" s="7">
        <f t="shared" si="5"/>
        <v>0.25828059657303593</v>
      </c>
      <c r="G1436" s="9">
        <v>340</v>
      </c>
      <c r="H1436" s="9">
        <v>341</v>
      </c>
      <c r="I1436" s="9">
        <v>337</v>
      </c>
      <c r="J1436" s="9">
        <v>341</v>
      </c>
      <c r="K1436" s="9">
        <v>343</v>
      </c>
      <c r="L1436" s="9">
        <v>340</v>
      </c>
      <c r="M1436" s="9"/>
      <c r="N1436" s="9"/>
      <c r="O1436" s="9"/>
      <c r="P1436" s="9"/>
      <c r="Q1436" s="9">
        <f ca="1">IFERROR(__xludf.DUMMYFUNCTION("GOOGLEFINANCE(C1436,""changepct"")"),0.18)</f>
        <v>0.18</v>
      </c>
      <c r="R1436" s="9"/>
      <c r="S1436" s="9"/>
      <c r="T1436" s="9"/>
      <c r="U1436" s="9"/>
      <c r="V1436" s="9"/>
      <c r="W1436" s="9"/>
    </row>
    <row r="1437" spans="1:23" ht="14.4">
      <c r="A1437" s="3">
        <f>LOOKUP(D1437,'AMFI DATA_2023H1'!B:C,'AMFI DATA_2023H1'!C:C)</f>
        <v>1547</v>
      </c>
      <c r="B1437" s="4" t="s">
        <v>4214</v>
      </c>
      <c r="C1437" s="4" t="s">
        <v>4215</v>
      </c>
      <c r="D1437" s="5" t="s">
        <v>4216</v>
      </c>
      <c r="E1437" s="5">
        <f>LOOKUP(D1437,'AMFI DATA_2023H1'!B:D,'AMFI DATA_2023H1'!D:D)</f>
        <v>317.37</v>
      </c>
      <c r="F1437" s="7">
        <f t="shared" si="5"/>
        <v>0.39584711850521481</v>
      </c>
      <c r="G1437" s="9">
        <v>443</v>
      </c>
      <c r="H1437" s="9">
        <v>416</v>
      </c>
      <c r="I1437" s="9">
        <v>402</v>
      </c>
      <c r="J1437" s="9">
        <v>405</v>
      </c>
      <c r="K1437" s="9">
        <v>400</v>
      </c>
      <c r="L1437" s="9">
        <v>393</v>
      </c>
      <c r="M1437" s="9"/>
      <c r="N1437" s="9"/>
      <c r="O1437" s="9"/>
      <c r="P1437" s="9"/>
      <c r="Q1437" s="9">
        <f ca="1">IFERROR(__xludf.DUMMYFUNCTION("GOOGLEFINANCE(C1437,""changepct"")"),7.66)</f>
        <v>7.66</v>
      </c>
      <c r="R1437" s="9"/>
      <c r="S1437" s="9"/>
      <c r="T1437" s="9"/>
      <c r="U1437" s="9"/>
      <c r="V1437" s="9"/>
      <c r="W1437" s="9"/>
    </row>
    <row r="1438" spans="1:23" ht="14.4">
      <c r="A1438" s="3">
        <f>LOOKUP(D1438,'AMFI DATA_2023H1'!B:C,'AMFI DATA_2023H1'!C:C)</f>
        <v>916</v>
      </c>
      <c r="B1438" s="4" t="s">
        <v>2915</v>
      </c>
      <c r="C1438" s="4" t="s">
        <v>2916</v>
      </c>
      <c r="D1438" s="5" t="s">
        <v>2917</v>
      </c>
      <c r="E1438" s="5">
        <f>LOOKUP(D1438,'AMFI DATA_2023H1'!B:D,'AMFI DATA_2023H1'!D:D)</f>
        <v>1415.27</v>
      </c>
      <c r="F1438" s="7">
        <f t="shared" si="5"/>
        <v>0.4922947564775626</v>
      </c>
      <c r="G1438" s="8">
        <v>2112</v>
      </c>
      <c r="H1438" s="8">
        <v>2077</v>
      </c>
      <c r="I1438" s="8">
        <v>2081</v>
      </c>
      <c r="J1438" s="8">
        <v>2050</v>
      </c>
      <c r="K1438" s="8">
        <v>2084</v>
      </c>
      <c r="L1438" s="8">
        <v>2147</v>
      </c>
      <c r="M1438" s="8"/>
      <c r="N1438" s="8"/>
      <c r="O1438" s="8"/>
      <c r="P1438" s="8"/>
      <c r="Q1438" s="9">
        <f ca="1">IFERROR(__xludf.DUMMYFUNCTION("GOOGLEFINANCE(C1438,""changepct"")"),35.06)</f>
        <v>35.06</v>
      </c>
      <c r="R1438" s="8"/>
      <c r="S1438" s="8"/>
      <c r="T1438" s="8"/>
      <c r="U1438" s="8"/>
      <c r="V1438" s="8"/>
      <c r="W1438" s="8"/>
    </row>
    <row r="1439" spans="1:23" ht="14.4">
      <c r="A1439" s="3">
        <f>LOOKUP(D1439,'AMFI DATA_2023H1'!B:C,'AMFI DATA_2023H1'!C:C)</f>
        <v>2049</v>
      </c>
      <c r="B1439" s="4" t="s">
        <v>4943</v>
      </c>
      <c r="C1439" s="4" t="s">
        <v>4944</v>
      </c>
      <c r="D1439" s="5" t="s">
        <v>4945</v>
      </c>
      <c r="E1439" s="5">
        <f>LOOKUP(D1439,'AMFI DATA_2023H1'!B:D,'AMFI DATA_2023H1'!D:D)</f>
        <v>132.05000000000001</v>
      </c>
      <c r="F1439" s="7">
        <f t="shared" si="5"/>
        <v>0.17379780386217325</v>
      </c>
      <c r="G1439" s="9">
        <v>155</v>
      </c>
      <c r="H1439" s="9">
        <v>153</v>
      </c>
      <c r="I1439" s="9">
        <v>155</v>
      </c>
      <c r="J1439" s="9">
        <v>157</v>
      </c>
      <c r="K1439" s="9">
        <v>160</v>
      </c>
      <c r="L1439" s="9">
        <v>157</v>
      </c>
      <c r="M1439" s="9"/>
      <c r="N1439" s="9"/>
      <c r="O1439" s="9"/>
      <c r="P1439" s="9"/>
      <c r="Q1439" s="9">
        <f ca="1">IFERROR(__xludf.DUMMYFUNCTION("GOOGLEFINANCE(C1439,""changepct"")"),4.22)</f>
        <v>4.22</v>
      </c>
      <c r="R1439" s="9"/>
      <c r="S1439" s="9"/>
      <c r="T1439" s="9"/>
      <c r="U1439" s="9"/>
      <c r="V1439" s="9"/>
      <c r="W1439" s="9"/>
    </row>
    <row r="1440" spans="1:23" ht="14.4">
      <c r="A1440" s="3">
        <f>LOOKUP(D1440,'AMFI DATA_2023H1'!B:C,'AMFI DATA_2023H1'!C:C)</f>
        <v>1331</v>
      </c>
      <c r="B1440" s="4" t="s">
        <v>3809</v>
      </c>
      <c r="C1440" s="4" t="s">
        <v>3810</v>
      </c>
      <c r="D1440" s="5" t="s">
        <v>3811</v>
      </c>
      <c r="E1440" s="5">
        <f>LOOKUP(D1440,'AMFI DATA_2023H1'!B:D,'AMFI DATA_2023H1'!D:D)</f>
        <v>479.42</v>
      </c>
      <c r="F1440" s="7">
        <f t="shared" si="5"/>
        <v>0.56647615869175239</v>
      </c>
      <c r="G1440" s="9">
        <v>751</v>
      </c>
      <c r="H1440" s="9">
        <v>701</v>
      </c>
      <c r="I1440" s="9">
        <v>712</v>
      </c>
      <c r="J1440" s="9">
        <v>721</v>
      </c>
      <c r="K1440" s="9">
        <v>730</v>
      </c>
      <c r="L1440" s="9">
        <v>697</v>
      </c>
      <c r="M1440" s="9"/>
      <c r="N1440" s="9"/>
      <c r="O1440" s="9"/>
      <c r="P1440" s="9"/>
      <c r="Q1440" s="9">
        <f ca="1">IFERROR(__xludf.DUMMYFUNCTION("GOOGLEFINANCE(C1440,""changepct"")"),-2.03)</f>
        <v>-2.0299999999999998</v>
      </c>
      <c r="R1440" s="9"/>
      <c r="S1440" s="9"/>
      <c r="T1440" s="9"/>
      <c r="U1440" s="9"/>
      <c r="V1440" s="9"/>
      <c r="W1440" s="9"/>
    </row>
    <row r="1441" spans="1:23" ht="14.4">
      <c r="A1441" s="3">
        <f>LOOKUP(D1441,'AMFI DATA_2023H1'!B:C,'AMFI DATA_2023H1'!C:C)</f>
        <v>2543</v>
      </c>
      <c r="B1441" s="4" t="s">
        <v>5401</v>
      </c>
      <c r="C1441" s="4" t="s">
        <v>5402</v>
      </c>
      <c r="D1441" s="5" t="s">
        <v>5403</v>
      </c>
      <c r="E1441" s="5">
        <f>LOOKUP(D1441,'AMFI DATA_2023H1'!B:D,'AMFI DATA_2023H1'!D:D)</f>
        <v>58.98</v>
      </c>
      <c r="F1441" s="7">
        <f t="shared" si="5"/>
        <v>0.26314004747372</v>
      </c>
      <c r="G1441" s="9">
        <v>74.5</v>
      </c>
      <c r="H1441" s="9">
        <v>75.5</v>
      </c>
      <c r="I1441" s="9">
        <v>74.2</v>
      </c>
      <c r="J1441" s="9">
        <v>76.400000000000006</v>
      </c>
      <c r="K1441" s="9">
        <v>75.3</v>
      </c>
      <c r="L1441" s="9">
        <v>75.5</v>
      </c>
      <c r="M1441" s="9"/>
      <c r="N1441" s="9"/>
      <c r="O1441" s="9"/>
      <c r="P1441" s="9"/>
      <c r="Q1441" s="9">
        <f ca="1">IFERROR(__xludf.DUMMYFUNCTION("GOOGLEFINANCE(C1441,""changepct"")"),9.41)</f>
        <v>9.41</v>
      </c>
      <c r="R1441" s="9"/>
      <c r="S1441" s="9"/>
      <c r="T1441" s="9"/>
      <c r="U1441" s="9"/>
      <c r="V1441" s="9"/>
      <c r="W1441" s="9"/>
    </row>
    <row r="1442" spans="1:23" ht="14.4">
      <c r="A1442" s="3">
        <f>LOOKUP(D1442,'AMFI DATA_2023H1'!B:C,'AMFI DATA_2023H1'!C:C)</f>
        <v>2543</v>
      </c>
      <c r="B1442" s="4" t="s">
        <v>2144</v>
      </c>
      <c r="C1442" s="4" t="s">
        <v>2145</v>
      </c>
      <c r="D1442" s="5" t="s">
        <v>2146</v>
      </c>
      <c r="E1442" s="5">
        <f>LOOKUP(D1442,'AMFI DATA_2023H1'!B:D,'AMFI DATA_2023H1'!D:D)</f>
        <v>58.98</v>
      </c>
      <c r="F1442" s="7">
        <f t="shared" si="5"/>
        <v>62.936927772126147</v>
      </c>
      <c r="G1442" s="8">
        <v>3771</v>
      </c>
      <c r="H1442" s="8">
        <v>3637</v>
      </c>
      <c r="I1442" s="8">
        <v>3734</v>
      </c>
      <c r="J1442" s="8">
        <v>3812</v>
      </c>
      <c r="K1442" s="8">
        <v>3712</v>
      </c>
      <c r="L1442" s="8">
        <v>3784</v>
      </c>
      <c r="M1442" s="8"/>
      <c r="N1442" s="8"/>
      <c r="O1442" s="8"/>
      <c r="P1442" s="8"/>
      <c r="Q1442" s="9">
        <f ca="1">IFERROR(__xludf.DUMMYFUNCTION("GOOGLEFINANCE(C1442,""changepct"")"),1.07)</f>
        <v>1.07</v>
      </c>
      <c r="R1442" s="8"/>
      <c r="S1442" s="8"/>
      <c r="T1442" s="8"/>
      <c r="U1442" s="8"/>
      <c r="V1442" s="8"/>
      <c r="W1442" s="8"/>
    </row>
    <row r="1443" spans="1:23" ht="14.4">
      <c r="A1443" s="3">
        <f>LOOKUP(D1443,'AMFI DATA_2023H1'!B:C,'AMFI DATA_2023H1'!C:C)</f>
        <v>2543</v>
      </c>
      <c r="B1443" s="4" t="s">
        <v>5347</v>
      </c>
      <c r="C1443" s="4" t="s">
        <v>5348</v>
      </c>
      <c r="D1443" s="5" t="s">
        <v>5349</v>
      </c>
      <c r="E1443" s="5">
        <f>LOOKUP(D1443,'AMFI DATA_2023H1'!B:D,'AMFI DATA_2023H1'!D:D)</f>
        <v>58.98</v>
      </c>
      <c r="F1443" s="7">
        <f t="shared" si="5"/>
        <v>0.84808409630383186</v>
      </c>
      <c r="G1443" s="9">
        <v>109</v>
      </c>
      <c r="H1443" s="9">
        <v>103</v>
      </c>
      <c r="I1443" s="9">
        <v>98.5</v>
      </c>
      <c r="J1443" s="9">
        <v>92.8</v>
      </c>
      <c r="K1443" s="9">
        <v>87.8</v>
      </c>
      <c r="L1443" s="9">
        <v>84.5</v>
      </c>
      <c r="M1443" s="9"/>
      <c r="N1443" s="9"/>
      <c r="O1443" s="9"/>
      <c r="P1443" s="9"/>
      <c r="Q1443" s="9">
        <f ca="1">IFERROR(__xludf.DUMMYFUNCTION("GOOGLEFINANCE(C1443,""changepct"")"),4.41)</f>
        <v>4.41</v>
      </c>
      <c r="R1443" s="9"/>
      <c r="S1443" s="9"/>
      <c r="T1443" s="9"/>
      <c r="U1443" s="9"/>
      <c r="V1443" s="9"/>
      <c r="W1443" s="9"/>
    </row>
    <row r="1444" spans="1:23" ht="14.4">
      <c r="A1444" s="3">
        <f>LOOKUP(D1444,'AMFI DATA_2023H1'!B:C,'AMFI DATA_2023H1'!C:C)</f>
        <v>96</v>
      </c>
      <c r="B1444" s="4" t="s">
        <v>318</v>
      </c>
      <c r="C1444" s="4" t="s">
        <v>319</v>
      </c>
      <c r="D1444" s="5" t="s">
        <v>320</v>
      </c>
      <c r="E1444" s="5">
        <f>LOOKUP(D1444,'AMFI DATA_2023H1'!B:D,'AMFI DATA_2023H1'!D:D)</f>
        <v>51915.81</v>
      </c>
      <c r="F1444" s="7">
        <f t="shared" si="5"/>
        <v>0.38033096276452216</v>
      </c>
      <c r="G1444" s="8">
        <v>71661</v>
      </c>
      <c r="H1444" s="8">
        <v>69119</v>
      </c>
      <c r="I1444" s="8">
        <v>66138</v>
      </c>
      <c r="J1444" s="8">
        <v>65284</v>
      </c>
      <c r="K1444" s="8">
        <v>65128</v>
      </c>
      <c r="L1444" s="8">
        <v>64240</v>
      </c>
      <c r="M1444" s="8"/>
      <c r="N1444" s="8"/>
      <c r="O1444" s="8"/>
      <c r="P1444" s="8"/>
      <c r="Q1444" s="9">
        <f ca="1">IFERROR(__xludf.DUMMYFUNCTION("GOOGLEFINANCE(C1444,""changepct"")"),-0.32)</f>
        <v>-0.32</v>
      </c>
      <c r="R1444" s="8"/>
      <c r="S1444" s="8"/>
      <c r="T1444" s="8"/>
      <c r="U1444" s="8"/>
      <c r="V1444" s="8"/>
      <c r="W1444" s="8"/>
    </row>
    <row r="1445" spans="1:23" ht="14.4">
      <c r="A1445" s="3">
        <f>LOOKUP(D1445,'AMFI DATA_2023H1'!B:C,'AMFI DATA_2023H1'!C:C)</f>
        <v>3675</v>
      </c>
      <c r="B1445" s="4" t="s">
        <v>5746</v>
      </c>
      <c r="C1445" s="4" t="s">
        <v>5747</v>
      </c>
      <c r="D1445" s="5" t="s">
        <v>5748</v>
      </c>
      <c r="E1445" s="5">
        <f>LOOKUP(D1445,'AMFI DATA_2023H1'!B:D,'AMFI DATA_2023H1'!D:D)</f>
        <v>10.91</v>
      </c>
      <c r="F1445" s="7">
        <f t="shared" si="5"/>
        <v>-0.24381301558203483</v>
      </c>
      <c r="G1445" s="9">
        <v>8.25</v>
      </c>
      <c r="H1445" s="9">
        <v>8.3699999999999992</v>
      </c>
      <c r="I1445" s="9">
        <v>8.36</v>
      </c>
      <c r="J1445" s="9">
        <v>8.11</v>
      </c>
      <c r="K1445" s="9">
        <v>8.11</v>
      </c>
      <c r="L1445" s="9">
        <v>7.85</v>
      </c>
      <c r="M1445" s="9"/>
      <c r="N1445" s="9"/>
      <c r="O1445" s="9"/>
      <c r="P1445" s="9"/>
      <c r="Q1445" s="9">
        <f ca="1">IFERROR(__xludf.DUMMYFUNCTION("GOOGLEFINANCE(C1445,""changepct"")"),4.49)</f>
        <v>4.49</v>
      </c>
      <c r="R1445" s="9"/>
      <c r="S1445" s="9"/>
      <c r="T1445" s="9"/>
      <c r="U1445" s="9"/>
      <c r="V1445" s="9"/>
      <c r="W1445" s="9"/>
    </row>
    <row r="1446" spans="1:23" ht="14.4">
      <c r="A1446" s="3">
        <f>LOOKUP(D1446,'AMFI DATA_2023H1'!B:C,'AMFI DATA_2023H1'!C:C)</f>
        <v>913</v>
      </c>
      <c r="B1446" s="4" t="s">
        <v>2492</v>
      </c>
      <c r="C1446" s="4" t="s">
        <v>2493</v>
      </c>
      <c r="D1446" s="5" t="s">
        <v>2494</v>
      </c>
      <c r="E1446" s="5">
        <f>LOOKUP(D1446,'AMFI DATA_2023H1'!B:D,'AMFI DATA_2023H1'!D:D)</f>
        <v>1428.39</v>
      </c>
      <c r="F1446" s="7">
        <f t="shared" si="5"/>
        <v>1.0834646000042003</v>
      </c>
      <c r="G1446" s="8">
        <v>2976</v>
      </c>
      <c r="H1446" s="8">
        <v>2973</v>
      </c>
      <c r="I1446" s="8">
        <v>3014</v>
      </c>
      <c r="J1446" s="8">
        <v>2909</v>
      </c>
      <c r="K1446" s="8">
        <v>2966</v>
      </c>
      <c r="L1446" s="8">
        <v>2942</v>
      </c>
      <c r="M1446" s="8"/>
      <c r="N1446" s="8"/>
      <c r="O1446" s="8"/>
      <c r="P1446" s="8"/>
      <c r="Q1446" s="9">
        <f ca="1">IFERROR(__xludf.DUMMYFUNCTION("GOOGLEFINANCE(C1446,""changepct"")"),0.36)</f>
        <v>0.36</v>
      </c>
      <c r="R1446" s="8"/>
      <c r="S1446" s="8"/>
      <c r="T1446" s="8"/>
      <c r="U1446" s="8"/>
      <c r="V1446" s="8"/>
      <c r="W1446" s="8"/>
    </row>
    <row r="1447" spans="1:23" ht="14.4">
      <c r="A1447" s="3">
        <f>LOOKUP(D1447,'AMFI DATA_2023H1'!B:C,'AMFI DATA_2023H1'!C:C)</f>
        <v>913</v>
      </c>
      <c r="B1447" s="4" t="s">
        <v>1902</v>
      </c>
      <c r="C1447" s="4" t="s">
        <v>1903</v>
      </c>
      <c r="D1447" s="5" t="s">
        <v>1904</v>
      </c>
      <c r="E1447" s="5">
        <f>LOOKUP(D1447,'AMFI DATA_2023H1'!B:D,'AMFI DATA_2023H1'!D:D)</f>
        <v>1428.39</v>
      </c>
      <c r="F1447" s="7">
        <f t="shared" si="5"/>
        <v>4.2016606108975836</v>
      </c>
      <c r="G1447" s="8">
        <v>7430</v>
      </c>
      <c r="H1447" s="8">
        <v>7850</v>
      </c>
      <c r="I1447" s="8">
        <v>7766</v>
      </c>
      <c r="J1447" s="8">
        <v>7308</v>
      </c>
      <c r="K1447" s="8">
        <v>7000</v>
      </c>
      <c r="L1447" s="8">
        <v>6977</v>
      </c>
      <c r="M1447" s="8"/>
      <c r="N1447" s="8"/>
      <c r="O1447" s="8"/>
      <c r="P1447" s="8"/>
      <c r="Q1447" s="9">
        <f ca="1">IFERROR(__xludf.DUMMYFUNCTION("GOOGLEFINANCE(C1447,""changepct"")"),9.09)</f>
        <v>9.09</v>
      </c>
      <c r="R1447" s="8"/>
      <c r="S1447" s="8"/>
      <c r="T1447" s="8"/>
      <c r="U1447" s="8"/>
      <c r="V1447" s="8"/>
      <c r="W1447" s="8"/>
    </row>
    <row r="1448" spans="1:23" ht="14.4">
      <c r="A1448" s="3">
        <f>LOOKUP(D1448,'AMFI DATA_2023H1'!B:C,'AMFI DATA_2023H1'!C:C)</f>
        <v>1026</v>
      </c>
      <c r="B1448" s="4" t="s">
        <v>2894</v>
      </c>
      <c r="C1448" s="4" t="s">
        <v>2895</v>
      </c>
      <c r="D1448" s="5" t="s">
        <v>2896</v>
      </c>
      <c r="E1448" s="5">
        <f>LOOKUP(D1448,'AMFI DATA_2023H1'!B:D,'AMFI DATA_2023H1'!D:D)</f>
        <v>1077.18</v>
      </c>
      <c r="F1448" s="7">
        <f t="shared" si="5"/>
        <v>0.99131064446053574</v>
      </c>
      <c r="G1448" s="8">
        <v>2145</v>
      </c>
      <c r="H1448" s="8">
        <v>2161</v>
      </c>
      <c r="I1448" s="8">
        <v>2170</v>
      </c>
      <c r="J1448" s="8">
        <v>2244</v>
      </c>
      <c r="K1448" s="8">
        <v>2175</v>
      </c>
      <c r="L1448" s="8">
        <v>2281</v>
      </c>
      <c r="M1448" s="8"/>
      <c r="N1448" s="8"/>
      <c r="O1448" s="8"/>
      <c r="P1448" s="8"/>
      <c r="Q1448" s="9">
        <f ca="1">IFERROR(__xludf.DUMMYFUNCTION("GOOGLEFINANCE(C1448,""changepct"")"),6.63)</f>
        <v>6.63</v>
      </c>
      <c r="R1448" s="8"/>
      <c r="S1448" s="8"/>
      <c r="T1448" s="8"/>
      <c r="U1448" s="8"/>
      <c r="V1448" s="8"/>
      <c r="W1448" s="8"/>
    </row>
    <row r="1449" spans="1:23" ht="14.4">
      <c r="A1449" s="3">
        <f>LOOKUP(D1449,'AMFI DATA_2023H1'!B:C,'AMFI DATA_2023H1'!C:C)</f>
        <v>854</v>
      </c>
      <c r="B1449" s="4" t="s">
        <v>2324</v>
      </c>
      <c r="C1449" s="4" t="s">
        <v>2325</v>
      </c>
      <c r="D1449" s="5" t="s">
        <v>2326</v>
      </c>
      <c r="E1449" s="5">
        <f>LOOKUP(D1449,'AMFI DATA_2023H1'!B:D,'AMFI DATA_2023H1'!D:D)</f>
        <v>1704.76</v>
      </c>
      <c r="F1449" s="7">
        <f t="shared" si="5"/>
        <v>0.93223679579530261</v>
      </c>
      <c r="G1449" s="8">
        <v>3294</v>
      </c>
      <c r="H1449" s="8">
        <v>3265</v>
      </c>
      <c r="I1449" s="8">
        <v>3248</v>
      </c>
      <c r="J1449" s="8">
        <v>3294</v>
      </c>
      <c r="K1449" s="8">
        <v>3318</v>
      </c>
      <c r="L1449" s="8">
        <v>3385</v>
      </c>
      <c r="M1449" s="8"/>
      <c r="N1449" s="8"/>
      <c r="O1449" s="8"/>
      <c r="P1449" s="8"/>
      <c r="Q1449" s="9">
        <f ca="1">IFERROR(__xludf.DUMMYFUNCTION("GOOGLEFINANCE(C1449,""changepct"")"),0.04)</f>
        <v>0.04</v>
      </c>
      <c r="R1449" s="8"/>
      <c r="S1449" s="8"/>
      <c r="T1449" s="8"/>
      <c r="U1449" s="8"/>
      <c r="V1449" s="8"/>
      <c r="W1449" s="8"/>
    </row>
    <row r="1450" spans="1:23" ht="14.4">
      <c r="A1450" s="3">
        <f>LOOKUP(D1450,'AMFI DATA_2023H1'!B:C,'AMFI DATA_2023H1'!C:C)</f>
        <v>862</v>
      </c>
      <c r="B1450" s="4" t="s">
        <v>2285</v>
      </c>
      <c r="C1450" s="4" t="s">
        <v>2286</v>
      </c>
      <c r="D1450" s="5" t="s">
        <v>2287</v>
      </c>
      <c r="E1450" s="5">
        <f>LOOKUP(D1450,'AMFI DATA_2023H1'!B:D,'AMFI DATA_2023H1'!D:D)</f>
        <v>1657.02</v>
      </c>
      <c r="F1450" s="7">
        <f t="shared" si="5"/>
        <v>1.1556770588164293</v>
      </c>
      <c r="G1450" s="8">
        <v>3572</v>
      </c>
      <c r="H1450" s="8">
        <v>3538</v>
      </c>
      <c r="I1450" s="8">
        <v>3559</v>
      </c>
      <c r="J1450" s="8">
        <v>3646</v>
      </c>
      <c r="K1450" s="8">
        <v>3574</v>
      </c>
      <c r="L1450" s="8">
        <v>3618</v>
      </c>
      <c r="M1450" s="8"/>
      <c r="N1450" s="8"/>
      <c r="O1450" s="8"/>
      <c r="P1450" s="8"/>
      <c r="Q1450" s="9">
        <f ca="1">IFERROR(__xludf.DUMMYFUNCTION("GOOGLEFINANCE(C1450,""changepct"")"),-1.07)</f>
        <v>-1.07</v>
      </c>
      <c r="R1450" s="8"/>
      <c r="S1450" s="8"/>
      <c r="T1450" s="8"/>
      <c r="U1450" s="8"/>
      <c r="V1450" s="8"/>
      <c r="W1450" s="8"/>
    </row>
    <row r="1451" spans="1:23" ht="14.4">
      <c r="A1451" s="3">
        <f>LOOKUP(D1451,'AMFI DATA_2023H1'!B:C,'AMFI DATA_2023H1'!C:C)</f>
        <v>2915</v>
      </c>
      <c r="B1451" s="4" t="s">
        <v>5545</v>
      </c>
      <c r="C1451" s="4" t="s">
        <v>5546</v>
      </c>
      <c r="D1451" s="5" t="s">
        <v>5547</v>
      </c>
      <c r="E1451" s="5">
        <f>LOOKUP(D1451,'AMFI DATA_2023H1'!B:D,'AMFI DATA_2023H1'!D:D)</f>
        <v>34.159999999999997</v>
      </c>
      <c r="F1451" s="7">
        <f t="shared" si="5"/>
        <v>0.71252927400468402</v>
      </c>
      <c r="G1451" s="9">
        <v>58.5</v>
      </c>
      <c r="H1451" s="9">
        <v>48.8</v>
      </c>
      <c r="I1451" s="9">
        <v>42.6</v>
      </c>
      <c r="J1451" s="9">
        <v>42.9</v>
      </c>
      <c r="K1451" s="9">
        <v>44.4</v>
      </c>
      <c r="L1451" s="9">
        <v>42</v>
      </c>
      <c r="M1451" s="9"/>
      <c r="N1451" s="9"/>
      <c r="O1451" s="9"/>
      <c r="P1451" s="9"/>
      <c r="Q1451" s="9">
        <f ca="1">IFERROR(__xludf.DUMMYFUNCTION("GOOGLEFINANCE(C1451,""changepct"")"),-0.48)</f>
        <v>-0.48</v>
      </c>
      <c r="R1451" s="9"/>
      <c r="S1451" s="9"/>
      <c r="T1451" s="9"/>
      <c r="U1451" s="9"/>
      <c r="V1451" s="9"/>
      <c r="W1451" s="9"/>
    </row>
    <row r="1452" spans="1:23" ht="14.4">
      <c r="A1452" s="3">
        <f>LOOKUP(D1452,'AMFI DATA_2023H1'!B:C,'AMFI DATA_2023H1'!C:C)</f>
        <v>284</v>
      </c>
      <c r="B1452" s="4" t="s">
        <v>897</v>
      </c>
      <c r="C1452" s="4" t="s">
        <v>898</v>
      </c>
      <c r="D1452" s="5" t="s">
        <v>899</v>
      </c>
      <c r="E1452" s="5">
        <f>LOOKUP(D1452,'AMFI DATA_2023H1'!B:D,'AMFI DATA_2023H1'!D:D)</f>
        <v>13789.15</v>
      </c>
      <c r="F1452" s="7">
        <f t="shared" si="5"/>
        <v>0.354180642026521</v>
      </c>
      <c r="G1452" s="8">
        <v>18673</v>
      </c>
      <c r="H1452" s="8">
        <v>18539</v>
      </c>
      <c r="I1452" s="8">
        <v>18424</v>
      </c>
      <c r="J1452" s="8">
        <v>18426</v>
      </c>
      <c r="K1452" s="8">
        <v>18459</v>
      </c>
      <c r="L1452" s="8">
        <v>18446</v>
      </c>
      <c r="M1452" s="8"/>
      <c r="N1452" s="8"/>
      <c r="O1452" s="8"/>
      <c r="P1452" s="8"/>
      <c r="Q1452" s="9">
        <f ca="1">IFERROR(__xludf.DUMMYFUNCTION("GOOGLEFINANCE(C1452,""changepct"")"),-0.37)</f>
        <v>-0.37</v>
      </c>
      <c r="R1452" s="8"/>
      <c r="S1452" s="8"/>
      <c r="T1452" s="8"/>
      <c r="U1452" s="8"/>
      <c r="V1452" s="8"/>
      <c r="W1452" s="8"/>
    </row>
    <row r="1453" spans="1:23" ht="14.4">
      <c r="A1453" s="3">
        <f>LOOKUP(D1453,'AMFI DATA_2023H1'!B:C,'AMFI DATA_2023H1'!C:C)</f>
        <v>574</v>
      </c>
      <c r="B1453" s="4" t="s">
        <v>1830</v>
      </c>
      <c r="C1453" s="4" t="s">
        <v>1831</v>
      </c>
      <c r="D1453" s="5" t="s">
        <v>1832</v>
      </c>
      <c r="E1453" s="5">
        <f>LOOKUP(D1453,'AMFI DATA_2023H1'!B:D,'AMFI DATA_2023H1'!D:D)</f>
        <v>4028</v>
      </c>
      <c r="F1453" s="7">
        <f t="shared" si="5"/>
        <v>0.39200595829195639</v>
      </c>
      <c r="G1453" s="8">
        <v>5607</v>
      </c>
      <c r="H1453" s="8">
        <v>5460</v>
      </c>
      <c r="I1453" s="8">
        <v>5419</v>
      </c>
      <c r="J1453" s="8">
        <v>5375</v>
      </c>
      <c r="K1453" s="8">
        <v>5332</v>
      </c>
      <c r="L1453" s="8">
        <v>5314</v>
      </c>
      <c r="M1453" s="8"/>
      <c r="N1453" s="8"/>
      <c r="O1453" s="8"/>
      <c r="P1453" s="8"/>
      <c r="Q1453" s="9">
        <f ca="1">IFERROR(__xludf.DUMMYFUNCTION("GOOGLEFINANCE(C1453,""changepct"")"),3.11)</f>
        <v>3.11</v>
      </c>
      <c r="R1453" s="8"/>
      <c r="S1453" s="8"/>
      <c r="T1453" s="8"/>
      <c r="U1453" s="8"/>
      <c r="V1453" s="8"/>
      <c r="W1453" s="8"/>
    </row>
    <row r="1454" spans="1:23" ht="14.4">
      <c r="A1454" s="3">
        <f>LOOKUP(D1454,'AMFI DATA_2023H1'!B:C,'AMFI DATA_2023H1'!C:C)</f>
        <v>392</v>
      </c>
      <c r="B1454" s="4" t="s">
        <v>1332</v>
      </c>
      <c r="C1454" s="4" t="s">
        <v>1333</v>
      </c>
      <c r="D1454" s="5" t="s">
        <v>1334</v>
      </c>
      <c r="E1454" s="5">
        <f>LOOKUP(D1454,'AMFI DATA_2023H1'!B:D,'AMFI DATA_2023H1'!D:D)</f>
        <v>8099.42</v>
      </c>
      <c r="F1454" s="7">
        <f t="shared" si="5"/>
        <v>0.10785710581745356</v>
      </c>
      <c r="G1454" s="8">
        <v>8973</v>
      </c>
      <c r="H1454" s="8">
        <v>9042</v>
      </c>
      <c r="I1454" s="8">
        <v>8987</v>
      </c>
      <c r="J1454" s="8">
        <v>8956</v>
      </c>
      <c r="K1454" s="8">
        <v>9154</v>
      </c>
      <c r="L1454" s="8">
        <v>9017</v>
      </c>
      <c r="M1454" s="8"/>
      <c r="N1454" s="8"/>
      <c r="O1454" s="8"/>
      <c r="P1454" s="8"/>
      <c r="Q1454" s="9">
        <f ca="1">IFERROR(__xludf.DUMMYFUNCTION("GOOGLEFINANCE(C1454,""changepct"")"),5.49)</f>
        <v>5.49</v>
      </c>
      <c r="R1454" s="8"/>
      <c r="S1454" s="8"/>
      <c r="T1454" s="8"/>
      <c r="U1454" s="8"/>
      <c r="V1454" s="8"/>
      <c r="W1454" s="8"/>
    </row>
    <row r="1455" spans="1:23" ht="14.4">
      <c r="A1455" s="3">
        <f>LOOKUP(D1455,'AMFI DATA_2023H1'!B:C,'AMFI DATA_2023H1'!C:C)</f>
        <v>572</v>
      </c>
      <c r="B1455" s="4" t="s">
        <v>1455</v>
      </c>
      <c r="C1455" s="4" t="s">
        <v>1456</v>
      </c>
      <c r="D1455" s="5" t="s">
        <v>1457</v>
      </c>
      <c r="E1455" s="5">
        <f>LOOKUP(D1455,'AMFI DATA_2023H1'!B:D,'AMFI DATA_2023H1'!D:D)</f>
        <v>4039.44</v>
      </c>
      <c r="F1455" s="7">
        <f t="shared" si="5"/>
        <v>1.215653654962074</v>
      </c>
      <c r="G1455" s="8">
        <v>8950</v>
      </c>
      <c r="H1455" s="8">
        <v>8915</v>
      </c>
      <c r="I1455" s="8">
        <v>8758</v>
      </c>
      <c r="J1455" s="8">
        <v>8827</v>
      </c>
      <c r="K1455" s="8">
        <v>8665</v>
      </c>
      <c r="L1455" s="8">
        <v>8827</v>
      </c>
      <c r="M1455" s="8"/>
      <c r="N1455" s="8"/>
      <c r="O1455" s="8"/>
      <c r="P1455" s="8"/>
      <c r="Q1455" s="9">
        <f ca="1">IFERROR(__xludf.DUMMYFUNCTION("GOOGLEFINANCE(C1455,""changepct"")"),2.96)</f>
        <v>2.96</v>
      </c>
      <c r="R1455" s="8"/>
      <c r="S1455" s="8"/>
      <c r="T1455" s="8"/>
      <c r="U1455" s="8"/>
      <c r="V1455" s="8"/>
      <c r="W1455" s="8"/>
    </row>
    <row r="1456" spans="1:23" ht="14.4">
      <c r="A1456" s="3">
        <f>LOOKUP(D1456,'AMFI DATA_2023H1'!B:C,'AMFI DATA_2023H1'!C:C)</f>
        <v>440</v>
      </c>
      <c r="B1456" s="4" t="s">
        <v>1497</v>
      </c>
      <c r="C1456" s="4" t="s">
        <v>1498</v>
      </c>
      <c r="D1456" s="5" t="s">
        <v>1499</v>
      </c>
      <c r="E1456" s="5">
        <f>LOOKUP(D1456,'AMFI DATA_2023H1'!B:D,'AMFI DATA_2023H1'!D:D)</f>
        <v>6502.97</v>
      </c>
      <c r="F1456" s="7">
        <f t="shared" si="5"/>
        <v>0.10042026950762484</v>
      </c>
      <c r="G1456" s="8">
        <v>7156</v>
      </c>
      <c r="H1456" s="8">
        <v>7157</v>
      </c>
      <c r="I1456" s="8">
        <v>7197</v>
      </c>
      <c r="J1456" s="8">
        <v>7103</v>
      </c>
      <c r="K1456" s="8">
        <v>7126</v>
      </c>
      <c r="L1456" s="8">
        <v>6743</v>
      </c>
      <c r="M1456" s="8"/>
      <c r="N1456" s="8"/>
      <c r="O1456" s="8"/>
      <c r="P1456" s="8"/>
      <c r="Q1456" s="9">
        <f ca="1">IFERROR(__xludf.DUMMYFUNCTION("GOOGLEFINANCE(C1456,""changepct"")"),2.96)</f>
        <v>2.96</v>
      </c>
      <c r="R1456" s="8"/>
      <c r="S1456" s="8"/>
      <c r="T1456" s="8"/>
      <c r="U1456" s="8"/>
      <c r="V1456" s="8"/>
      <c r="W1456" s="8"/>
    </row>
    <row r="1457" spans="1:23" ht="14.4">
      <c r="A1457" s="3">
        <f>LOOKUP(D1457,'AMFI DATA_2023H1'!B:C,'AMFI DATA_2023H1'!C:C)</f>
        <v>1523</v>
      </c>
      <c r="B1457" s="4" t="s">
        <v>4142</v>
      </c>
      <c r="C1457" s="4" t="s">
        <v>4143</v>
      </c>
      <c r="D1457" s="5" t="s">
        <v>4144</v>
      </c>
      <c r="E1457" s="5">
        <f>LOOKUP(D1457,'AMFI DATA_2023H1'!B:D,'AMFI DATA_2023H1'!D:D)</f>
        <v>331.54</v>
      </c>
      <c r="F1457" s="7">
        <f t="shared" si="5"/>
        <v>0.43874042347831321</v>
      </c>
      <c r="G1457" s="9">
        <v>477</v>
      </c>
      <c r="H1457" s="9">
        <v>475</v>
      </c>
      <c r="I1457" s="9">
        <v>470</v>
      </c>
      <c r="J1457" s="9">
        <v>441</v>
      </c>
      <c r="K1457" s="9">
        <v>444</v>
      </c>
      <c r="L1457" s="9">
        <v>448</v>
      </c>
      <c r="M1457" s="9"/>
      <c r="N1457" s="9"/>
      <c r="O1457" s="9"/>
      <c r="P1457" s="9"/>
      <c r="Q1457" s="9">
        <f ca="1">IFERROR(__xludf.DUMMYFUNCTION("GOOGLEFINANCE(C1457,""changepct"")"),3.25)</f>
        <v>3.25</v>
      </c>
      <c r="R1457" s="9"/>
      <c r="S1457" s="9"/>
      <c r="T1457" s="9"/>
      <c r="U1457" s="9"/>
      <c r="V1457" s="9"/>
      <c r="W1457" s="9"/>
    </row>
    <row r="1458" spans="1:23" ht="14.4">
      <c r="A1458" s="3">
        <f>LOOKUP(D1458,'AMFI DATA_2023H1'!B:C,'AMFI DATA_2023H1'!C:C)</f>
        <v>1701</v>
      </c>
      <c r="B1458" s="4" t="s">
        <v>4325</v>
      </c>
      <c r="C1458" s="4" t="s">
        <v>4326</v>
      </c>
      <c r="D1458" s="5" t="s">
        <v>4327</v>
      </c>
      <c r="E1458" s="5">
        <f>LOOKUP(D1458,'AMFI DATA_2023H1'!B:D,'AMFI DATA_2023H1'!D:D)</f>
        <v>240.13</v>
      </c>
      <c r="F1458" s="7">
        <f t="shared" si="5"/>
        <v>0.45754383042518643</v>
      </c>
      <c r="G1458" s="9">
        <v>350</v>
      </c>
      <c r="H1458" s="9">
        <v>345</v>
      </c>
      <c r="I1458" s="9">
        <v>350</v>
      </c>
      <c r="J1458" s="9">
        <v>346</v>
      </c>
      <c r="K1458" s="9">
        <v>316</v>
      </c>
      <c r="L1458" s="9">
        <v>324</v>
      </c>
      <c r="M1458" s="9"/>
      <c r="N1458" s="9"/>
      <c r="O1458" s="9"/>
      <c r="P1458" s="9"/>
      <c r="Q1458" s="9">
        <f ca="1">IFERROR(__xludf.DUMMYFUNCTION("GOOGLEFINANCE(C1458,""changepct"")"),13.11)</f>
        <v>13.11</v>
      </c>
      <c r="R1458" s="9"/>
      <c r="S1458" s="9"/>
      <c r="T1458" s="9"/>
      <c r="U1458" s="9"/>
      <c r="V1458" s="9"/>
      <c r="W1458" s="9"/>
    </row>
    <row r="1459" spans="1:23" ht="14.4">
      <c r="A1459" s="3">
        <f>LOOKUP(D1459,'AMFI DATA_2023H1'!B:C,'AMFI DATA_2023H1'!C:C)</f>
        <v>1775</v>
      </c>
      <c r="B1459" s="4" t="s">
        <v>4127</v>
      </c>
      <c r="C1459" s="4" t="s">
        <v>4128</v>
      </c>
      <c r="D1459" s="5" t="s">
        <v>4129</v>
      </c>
      <c r="E1459" s="5">
        <f>LOOKUP(D1459,'AMFI DATA_2023H1'!B:D,'AMFI DATA_2023H1'!D:D)</f>
        <v>204.18</v>
      </c>
      <c r="F1459" s="7">
        <f t="shared" si="5"/>
        <v>1.8161426192575179</v>
      </c>
      <c r="G1459" s="9">
        <v>575</v>
      </c>
      <c r="H1459" s="9">
        <v>527</v>
      </c>
      <c r="I1459" s="9">
        <v>516</v>
      </c>
      <c r="J1459" s="9">
        <v>524</v>
      </c>
      <c r="K1459" s="9">
        <v>534</v>
      </c>
      <c r="L1459" s="9">
        <v>524</v>
      </c>
      <c r="M1459" s="9"/>
      <c r="N1459" s="9"/>
      <c r="O1459" s="9"/>
      <c r="P1459" s="9"/>
      <c r="Q1459" s="9">
        <f ca="1">IFERROR(__xludf.DUMMYFUNCTION("GOOGLEFINANCE(C1459,""changepct"")"),-3.65)</f>
        <v>-3.65</v>
      </c>
      <c r="R1459" s="9"/>
      <c r="S1459" s="9"/>
      <c r="T1459" s="9"/>
      <c r="U1459" s="9"/>
      <c r="V1459" s="9"/>
      <c r="W1459" s="9"/>
    </row>
    <row r="1460" spans="1:23" ht="14.4">
      <c r="A1460" s="3">
        <f>LOOKUP(D1460,'AMFI DATA_2023H1'!B:C,'AMFI DATA_2023H1'!C:C)</f>
        <v>960</v>
      </c>
      <c r="B1460" s="4" t="s">
        <v>2888</v>
      </c>
      <c r="C1460" s="4" t="s">
        <v>2889</v>
      </c>
      <c r="D1460" s="5" t="s">
        <v>2890</v>
      </c>
      <c r="E1460" s="5">
        <f>LOOKUP(D1460,'AMFI DATA_2023H1'!B:D,'AMFI DATA_2023H1'!D:D)</f>
        <v>1296.68</v>
      </c>
      <c r="F1460" s="7">
        <f t="shared" si="5"/>
        <v>0.6920134497331647</v>
      </c>
      <c r="G1460" s="8">
        <v>2194</v>
      </c>
      <c r="H1460" s="8">
        <v>2136</v>
      </c>
      <c r="I1460" s="8">
        <v>2075</v>
      </c>
      <c r="J1460" s="8">
        <v>2031</v>
      </c>
      <c r="K1460" s="8">
        <v>2063</v>
      </c>
      <c r="L1460" s="8">
        <v>1913</v>
      </c>
      <c r="M1460" s="8"/>
      <c r="N1460" s="8"/>
      <c r="O1460" s="8"/>
      <c r="P1460" s="8"/>
      <c r="Q1460" s="9">
        <f ca="1">IFERROR(__xludf.DUMMYFUNCTION("GOOGLEFINANCE(C1460,""changepct"")"),0.78)</f>
        <v>0.78</v>
      </c>
      <c r="R1460" s="8"/>
      <c r="S1460" s="8"/>
      <c r="T1460" s="8"/>
      <c r="U1460" s="8"/>
      <c r="V1460" s="8"/>
      <c r="W1460" s="8"/>
    </row>
    <row r="1461" spans="1:23" ht="14.4">
      <c r="A1461" s="3">
        <f>LOOKUP(D1461,'AMFI DATA_2023H1'!B:C,'AMFI DATA_2023H1'!C:C)</f>
        <v>1127</v>
      </c>
      <c r="B1461" s="4" t="s">
        <v>3344</v>
      </c>
      <c r="C1461" s="4" t="s">
        <v>3345</v>
      </c>
      <c r="D1461" s="5" t="s">
        <v>3346</v>
      </c>
      <c r="E1461" s="5">
        <f>LOOKUP(D1461,'AMFI DATA_2023H1'!B:D,'AMFI DATA_2023H1'!D:D)</f>
        <v>833.57</v>
      </c>
      <c r="F1461" s="7">
        <f t="shared" si="5"/>
        <v>0.59314754609690845</v>
      </c>
      <c r="G1461" s="8">
        <v>1328</v>
      </c>
      <c r="H1461" s="8">
        <v>1299</v>
      </c>
      <c r="I1461" s="8">
        <v>1303</v>
      </c>
      <c r="J1461" s="8">
        <v>1333</v>
      </c>
      <c r="K1461" s="8">
        <v>1337</v>
      </c>
      <c r="L1461" s="8">
        <v>1354</v>
      </c>
      <c r="M1461" s="8"/>
      <c r="N1461" s="8"/>
      <c r="O1461" s="8"/>
      <c r="P1461" s="8"/>
      <c r="Q1461" s="9">
        <f ca="1">IFERROR(__xludf.DUMMYFUNCTION("GOOGLEFINANCE(C1461,""changepct"")"),0.16)</f>
        <v>0.16</v>
      </c>
      <c r="R1461" s="8"/>
      <c r="S1461" s="8"/>
      <c r="T1461" s="8"/>
      <c r="U1461" s="8"/>
      <c r="V1461" s="8"/>
      <c r="W1461" s="8"/>
    </row>
    <row r="1462" spans="1:23" ht="14.4">
      <c r="A1462" s="3">
        <f>LOOKUP(D1462,'AMFI DATA_2023H1'!B:C,'AMFI DATA_2023H1'!C:C)</f>
        <v>1144</v>
      </c>
      <c r="B1462" s="4" t="s">
        <v>3215</v>
      </c>
      <c r="C1462" s="4" t="s">
        <v>3216</v>
      </c>
      <c r="D1462" s="5" t="s">
        <v>3217</v>
      </c>
      <c r="E1462" s="5">
        <f>LOOKUP(D1462,'AMFI DATA_2023H1'!B:D,'AMFI DATA_2023H1'!D:D)</f>
        <v>800.25</v>
      </c>
      <c r="F1462" s="7">
        <f t="shared" si="5"/>
        <v>0.64198687910028118</v>
      </c>
      <c r="G1462" s="8">
        <v>1314</v>
      </c>
      <c r="H1462" s="8">
        <v>1301</v>
      </c>
      <c r="I1462" s="8">
        <v>1264</v>
      </c>
      <c r="J1462" s="8">
        <v>1255</v>
      </c>
      <c r="K1462" s="8">
        <v>1270</v>
      </c>
      <c r="L1462" s="8">
        <v>1306</v>
      </c>
      <c r="M1462" s="8"/>
      <c r="N1462" s="8"/>
      <c r="O1462" s="8"/>
      <c r="P1462" s="8"/>
      <c r="Q1462" s="9">
        <f ca="1">IFERROR(__xludf.DUMMYFUNCTION("GOOGLEFINANCE(C1462,""changepct"")"),0.56)</f>
        <v>0.56000000000000005</v>
      </c>
      <c r="R1462" s="8"/>
      <c r="S1462" s="8"/>
      <c r="T1462" s="8"/>
      <c r="U1462" s="8"/>
      <c r="V1462" s="8"/>
      <c r="W1462" s="8"/>
    </row>
    <row r="1463" spans="1:23" ht="14.4">
      <c r="A1463" s="3">
        <f>LOOKUP(D1463,'AMFI DATA_2023H1'!B:C,'AMFI DATA_2023H1'!C:C)</f>
        <v>1000</v>
      </c>
      <c r="B1463" s="4" t="s">
        <v>3176</v>
      </c>
      <c r="C1463" s="4" t="s">
        <v>3177</v>
      </c>
      <c r="D1463" s="5" t="s">
        <v>3178</v>
      </c>
      <c r="E1463" s="5">
        <f>LOOKUP(D1463,'AMFI DATA_2023H1'!B:D,'AMFI DATA_2023H1'!D:D)</f>
        <v>1180.4000000000001</v>
      </c>
      <c r="F1463" s="7">
        <f t="shared" si="5"/>
        <v>0.18264994916977284</v>
      </c>
      <c r="G1463" s="8">
        <v>1396</v>
      </c>
      <c r="H1463" s="8">
        <v>1385</v>
      </c>
      <c r="I1463" s="8">
        <v>1390</v>
      </c>
      <c r="J1463" s="8">
        <v>1420</v>
      </c>
      <c r="K1463" s="8">
        <v>1436</v>
      </c>
      <c r="L1463" s="8">
        <v>1429</v>
      </c>
      <c r="M1463" s="8"/>
      <c r="N1463" s="8"/>
      <c r="O1463" s="8"/>
      <c r="P1463" s="8"/>
      <c r="Q1463" s="9">
        <f ca="1">IFERROR(__xludf.DUMMYFUNCTION("GOOGLEFINANCE(C1463,""changepct"")"),2.62)</f>
        <v>2.62</v>
      </c>
      <c r="R1463" s="8"/>
      <c r="S1463" s="8"/>
      <c r="T1463" s="8"/>
      <c r="U1463" s="8"/>
      <c r="V1463" s="8"/>
      <c r="W1463" s="8"/>
    </row>
    <row r="1464" spans="1:23" ht="14.4">
      <c r="A1464" s="3">
        <f>LOOKUP(D1464,'AMFI DATA_2023H1'!B:C,'AMFI DATA_2023H1'!C:C)</f>
        <v>975</v>
      </c>
      <c r="B1464" s="4" t="s">
        <v>2588</v>
      </c>
      <c r="C1464" s="4" t="s">
        <v>2589</v>
      </c>
      <c r="D1464" s="5" t="s">
        <v>2590</v>
      </c>
      <c r="E1464" s="5">
        <f>LOOKUP(D1464,'AMFI DATA_2023H1'!B:D,'AMFI DATA_2023H1'!D:D)</f>
        <v>1256.1300000000001</v>
      </c>
      <c r="F1464" s="7">
        <f t="shared" si="5"/>
        <v>1.1598083000963273</v>
      </c>
      <c r="G1464" s="8">
        <v>2713</v>
      </c>
      <c r="H1464" s="8">
        <v>2657</v>
      </c>
      <c r="I1464" s="8">
        <v>2653</v>
      </c>
      <c r="J1464" s="8">
        <v>2707</v>
      </c>
      <c r="K1464" s="8">
        <v>2674</v>
      </c>
      <c r="L1464" s="8">
        <v>2792</v>
      </c>
      <c r="M1464" s="8"/>
      <c r="N1464" s="8"/>
      <c r="O1464" s="8"/>
      <c r="P1464" s="8"/>
      <c r="Q1464" s="9">
        <f ca="1">IFERROR(__xludf.DUMMYFUNCTION("GOOGLEFINANCE(C1464,""changepct"")"),-0.19)</f>
        <v>-0.19</v>
      </c>
      <c r="R1464" s="8"/>
      <c r="S1464" s="8"/>
      <c r="T1464" s="8"/>
      <c r="U1464" s="8"/>
      <c r="V1464" s="8"/>
      <c r="W1464" s="8"/>
    </row>
    <row r="1465" spans="1:23" ht="14.4">
      <c r="A1465" s="3">
        <f>LOOKUP(D1465,'AMFI DATA_2023H1'!B:C,'AMFI DATA_2023H1'!C:C)</f>
        <v>804</v>
      </c>
      <c r="B1465" s="4" t="s">
        <v>2564</v>
      </c>
      <c r="C1465" s="4" t="s">
        <v>2565</v>
      </c>
      <c r="D1465" s="5" t="s">
        <v>2566</v>
      </c>
      <c r="E1465" s="5">
        <f>LOOKUP(D1465,'AMFI DATA_2023H1'!B:D,'AMFI DATA_2023H1'!D:D)</f>
        <v>1910.85</v>
      </c>
      <c r="F1465" s="7">
        <f t="shared" si="5"/>
        <v>0.25860219274145013</v>
      </c>
      <c r="G1465" s="8">
        <v>2405</v>
      </c>
      <c r="H1465" s="8">
        <v>2432</v>
      </c>
      <c r="I1465" s="8">
        <v>2449</v>
      </c>
      <c r="J1465" s="8">
        <v>2485</v>
      </c>
      <c r="K1465" s="8">
        <v>2515</v>
      </c>
      <c r="L1465" s="8">
        <v>2442</v>
      </c>
      <c r="M1465" s="8"/>
      <c r="N1465" s="8"/>
      <c r="O1465" s="8"/>
      <c r="P1465" s="8"/>
      <c r="Q1465" s="9">
        <f ca="1">IFERROR(__xludf.DUMMYFUNCTION("GOOGLEFINANCE(C1465,""changepct"")"),-0.6)</f>
        <v>-0.6</v>
      </c>
      <c r="R1465" s="8"/>
      <c r="S1465" s="8"/>
      <c r="T1465" s="8"/>
      <c r="U1465" s="8"/>
      <c r="V1465" s="8"/>
      <c r="W1465" s="8"/>
    </row>
    <row r="1466" spans="1:23" ht="14.4">
      <c r="A1466" s="3">
        <f>LOOKUP(D1466,'AMFI DATA_2023H1'!B:C,'AMFI DATA_2023H1'!C:C)</f>
        <v>1445</v>
      </c>
      <c r="B1466" s="4" t="s">
        <v>3938</v>
      </c>
      <c r="C1466" s="4" t="s">
        <v>3939</v>
      </c>
      <c r="D1466" s="5" t="s">
        <v>3940</v>
      </c>
      <c r="E1466" s="5">
        <f>LOOKUP(D1466,'AMFI DATA_2023H1'!B:D,'AMFI DATA_2023H1'!D:D)</f>
        <v>382.49</v>
      </c>
      <c r="F1466" s="7">
        <f t="shared" si="5"/>
        <v>0.66278856963580735</v>
      </c>
      <c r="G1466" s="9">
        <v>636</v>
      </c>
      <c r="H1466" s="9">
        <v>636</v>
      </c>
      <c r="I1466" s="9">
        <v>651</v>
      </c>
      <c r="J1466" s="9">
        <v>653</v>
      </c>
      <c r="K1466" s="9">
        <v>645</v>
      </c>
      <c r="L1466" s="9">
        <v>651</v>
      </c>
      <c r="M1466" s="9"/>
      <c r="N1466" s="9"/>
      <c r="O1466" s="9"/>
      <c r="P1466" s="9"/>
      <c r="Q1466" s="9">
        <f ca="1">IFERROR(__xludf.DUMMYFUNCTION("GOOGLEFINANCE(C1466,""changepct"")"),35.7)</f>
        <v>35.700000000000003</v>
      </c>
      <c r="R1466" s="9"/>
      <c r="S1466" s="9"/>
      <c r="T1466" s="9"/>
      <c r="U1466" s="9"/>
      <c r="V1466" s="9"/>
      <c r="W1466" s="9"/>
    </row>
    <row r="1467" spans="1:23" ht="14.4">
      <c r="A1467" s="3">
        <f>LOOKUP(D1467,'AMFI DATA_2023H1'!B:C,'AMFI DATA_2023H1'!C:C)</f>
        <v>680</v>
      </c>
      <c r="B1467" s="4" t="s">
        <v>1296</v>
      </c>
      <c r="C1467" s="4" t="s">
        <v>1297</v>
      </c>
      <c r="D1467" s="5" t="s">
        <v>1298</v>
      </c>
      <c r="E1467" s="5">
        <f>LOOKUP(D1467,'AMFI DATA_2023H1'!B:D,'AMFI DATA_2023H1'!D:D)</f>
        <v>2764.97</v>
      </c>
      <c r="F1467" s="7">
        <f t="shared" si="5"/>
        <v>2.4372886505097706</v>
      </c>
      <c r="G1467" s="8">
        <v>9504</v>
      </c>
      <c r="H1467" s="8">
        <v>9563</v>
      </c>
      <c r="I1467" s="8">
        <v>9654</v>
      </c>
      <c r="J1467" s="8">
        <v>9627</v>
      </c>
      <c r="K1467" s="8">
        <v>9561</v>
      </c>
      <c r="L1467" s="8">
        <v>9525</v>
      </c>
      <c r="M1467" s="8"/>
      <c r="N1467" s="8"/>
      <c r="O1467" s="8"/>
      <c r="P1467" s="8"/>
      <c r="Q1467" s="9">
        <f ca="1">IFERROR(__xludf.DUMMYFUNCTION("GOOGLEFINANCE(C1467,""changepct"")"),0.23)</f>
        <v>0.23</v>
      </c>
      <c r="R1467" s="8"/>
      <c r="S1467" s="8"/>
      <c r="T1467" s="8"/>
      <c r="U1467" s="8"/>
      <c r="V1467" s="8"/>
      <c r="W1467" s="8"/>
    </row>
    <row r="1468" spans="1:23" ht="14.4">
      <c r="A1468" s="3">
        <f>LOOKUP(D1468,'AMFI DATA_2023H1'!B:C,'AMFI DATA_2023H1'!C:C)</f>
        <v>69</v>
      </c>
      <c r="B1468" s="4" t="s">
        <v>258</v>
      </c>
      <c r="C1468" s="4" t="s">
        <v>259</v>
      </c>
      <c r="D1468" s="5" t="s">
        <v>260</v>
      </c>
      <c r="E1468" s="5">
        <f>LOOKUP(D1468,'AMFI DATA_2023H1'!B:D,'AMFI DATA_2023H1'!D:D)</f>
        <v>75351.429999999993</v>
      </c>
      <c r="F1468" s="7">
        <f t="shared" si="5"/>
        <v>-3.330301760696508E-2</v>
      </c>
      <c r="G1468" s="8">
        <v>72842</v>
      </c>
      <c r="H1468" s="8">
        <v>72243</v>
      </c>
      <c r="I1468" s="8">
        <v>72313</v>
      </c>
      <c r="J1468" s="8">
        <v>72702</v>
      </c>
      <c r="K1468" s="8">
        <v>73054</v>
      </c>
      <c r="L1468" s="8">
        <v>73501</v>
      </c>
      <c r="M1468" s="8"/>
      <c r="N1468" s="8"/>
      <c r="O1468" s="8"/>
      <c r="P1468" s="8"/>
      <c r="Q1468" s="9">
        <f ca="1">IFERROR(__xludf.DUMMYFUNCTION("GOOGLEFINANCE(C1468,""changepct"")"),-0.7)</f>
        <v>-0.7</v>
      </c>
      <c r="R1468" s="8"/>
      <c r="S1468" s="8"/>
      <c r="T1468" s="8"/>
      <c r="U1468" s="8"/>
      <c r="V1468" s="8"/>
      <c r="W1468" s="8"/>
    </row>
    <row r="1469" spans="1:23" ht="14.4">
      <c r="A1469" s="3">
        <f>LOOKUP(D1469,'AMFI DATA_2023H1'!B:C,'AMFI DATA_2023H1'!C:C)</f>
        <v>43</v>
      </c>
      <c r="B1469" s="4" t="s">
        <v>141</v>
      </c>
      <c r="C1469" s="4" t="s">
        <v>142</v>
      </c>
      <c r="D1469" s="5" t="s">
        <v>143</v>
      </c>
      <c r="E1469" s="5">
        <f>LOOKUP(D1469,'AMFI DATA_2023H1'!B:D,'AMFI DATA_2023H1'!D:D)</f>
        <v>118339.34</v>
      </c>
      <c r="F1469" s="7">
        <f t="shared" si="5"/>
        <v>0.20591343504197335</v>
      </c>
      <c r="G1469" s="8">
        <v>142707</v>
      </c>
      <c r="H1469" s="8">
        <v>143152</v>
      </c>
      <c r="I1469" s="8">
        <v>143277</v>
      </c>
      <c r="J1469" s="8">
        <v>142101</v>
      </c>
      <c r="K1469" s="8">
        <v>139553</v>
      </c>
      <c r="L1469" s="8">
        <v>139603</v>
      </c>
      <c r="M1469" s="8"/>
      <c r="N1469" s="8"/>
      <c r="O1469" s="8"/>
      <c r="P1469" s="8"/>
      <c r="Q1469" s="9">
        <f ca="1">IFERROR(__xludf.DUMMYFUNCTION("GOOGLEFINANCE(C1469,""changepct"")"),2.76)</f>
        <v>2.76</v>
      </c>
      <c r="R1469" s="8"/>
      <c r="S1469" s="8"/>
      <c r="T1469" s="8"/>
      <c r="U1469" s="8"/>
      <c r="V1469" s="8"/>
      <c r="W1469" s="8"/>
    </row>
    <row r="1470" spans="1:23" ht="14.4">
      <c r="A1470" s="3">
        <f>LOOKUP(D1470,'AMFI DATA_2023H1'!B:C,'AMFI DATA_2023H1'!C:C)</f>
        <v>114</v>
      </c>
      <c r="B1470" s="4" t="s">
        <v>426</v>
      </c>
      <c r="C1470" s="4" t="s">
        <v>427</v>
      </c>
      <c r="D1470" s="5" t="s">
        <v>428</v>
      </c>
      <c r="E1470" s="5">
        <f>LOOKUP(D1470,'AMFI DATA_2023H1'!B:D,'AMFI DATA_2023H1'!D:D)</f>
        <v>44754.58</v>
      </c>
      <c r="F1470" s="7">
        <f t="shared" si="5"/>
        <v>0.12214213606741464</v>
      </c>
      <c r="G1470" s="8">
        <v>50221</v>
      </c>
      <c r="H1470" s="8">
        <v>49972</v>
      </c>
      <c r="I1470" s="8">
        <v>50135</v>
      </c>
      <c r="J1470" s="8">
        <v>50095</v>
      </c>
      <c r="K1470" s="8">
        <v>50037</v>
      </c>
      <c r="L1470" s="8">
        <v>49653</v>
      </c>
      <c r="M1470" s="8"/>
      <c r="N1470" s="8"/>
      <c r="O1470" s="8"/>
      <c r="P1470" s="8"/>
      <c r="Q1470" s="9">
        <f ca="1">IFERROR(__xludf.DUMMYFUNCTION("GOOGLEFINANCE(C1470,""changepct"")"),-0.33)</f>
        <v>-0.33</v>
      </c>
      <c r="R1470" s="8"/>
      <c r="S1470" s="8"/>
      <c r="T1470" s="8"/>
      <c r="U1470" s="8"/>
      <c r="V1470" s="8"/>
      <c r="W1470" s="8"/>
    </row>
    <row r="1471" spans="1:23" ht="14.4">
      <c r="A1471" s="3">
        <f>LOOKUP(D1471,'AMFI DATA_2023H1'!B:C,'AMFI DATA_2023H1'!C:C)</f>
        <v>538</v>
      </c>
      <c r="B1471" s="4" t="s">
        <v>1401</v>
      </c>
      <c r="C1471" s="4" t="s">
        <v>1402</v>
      </c>
      <c r="D1471" s="5" t="s">
        <v>1403</v>
      </c>
      <c r="E1471" s="5">
        <f>LOOKUP(D1471,'AMFI DATA_2023H1'!B:D,'AMFI DATA_2023H1'!D:D)</f>
        <v>4530.0200000000004</v>
      </c>
      <c r="F1471" s="7">
        <f t="shared" si="5"/>
        <v>1.1344276625710261</v>
      </c>
      <c r="G1471" s="8">
        <v>9669</v>
      </c>
      <c r="H1471" s="8">
        <v>9809</v>
      </c>
      <c r="I1471" s="8">
        <v>9672</v>
      </c>
      <c r="J1471" s="8">
        <v>9899</v>
      </c>
      <c r="K1471" s="8">
        <v>9712</v>
      </c>
      <c r="L1471" s="8">
        <v>9624</v>
      </c>
      <c r="M1471" s="8"/>
      <c r="N1471" s="8"/>
      <c r="O1471" s="8"/>
      <c r="P1471" s="8"/>
      <c r="Q1471" s="9">
        <f ca="1">IFERROR(__xludf.DUMMYFUNCTION("GOOGLEFINANCE(C1471,""changepct"")"),-0.65)</f>
        <v>-0.65</v>
      </c>
      <c r="R1471" s="8"/>
      <c r="S1471" s="8"/>
      <c r="T1471" s="8"/>
      <c r="U1471" s="8"/>
      <c r="V1471" s="8"/>
      <c r="W1471" s="8"/>
    </row>
    <row r="1472" spans="1:23" ht="14.4">
      <c r="A1472" s="3">
        <f>LOOKUP(D1472,'AMFI DATA_2023H1'!B:C,'AMFI DATA_2023H1'!C:C)</f>
        <v>826</v>
      </c>
      <c r="B1472" s="4" t="s">
        <v>2756</v>
      </c>
      <c r="C1472" s="4" t="s">
        <v>2757</v>
      </c>
      <c r="D1472" s="5" t="s">
        <v>2758</v>
      </c>
      <c r="E1472" s="5">
        <f>LOOKUP(D1472,'AMFI DATA_2023H1'!B:D,'AMFI DATA_2023H1'!D:D)</f>
        <v>1783.63</v>
      </c>
      <c r="F1472" s="7">
        <f t="shared" si="5"/>
        <v>0.49582592802318848</v>
      </c>
      <c r="G1472" s="8">
        <v>2668</v>
      </c>
      <c r="H1472" s="8">
        <v>2698</v>
      </c>
      <c r="I1472" s="8">
        <v>2415</v>
      </c>
      <c r="J1472" s="8">
        <v>2400</v>
      </c>
      <c r="K1472" s="8">
        <v>2404</v>
      </c>
      <c r="L1472" s="8">
        <v>2394</v>
      </c>
      <c r="M1472" s="8"/>
      <c r="N1472" s="8"/>
      <c r="O1472" s="8"/>
      <c r="P1472" s="8"/>
      <c r="Q1472" s="9">
        <f ca="1">IFERROR(__xludf.DUMMYFUNCTION("GOOGLEFINANCE(C1472,""changepct"")"),1.23)</f>
        <v>1.23</v>
      </c>
      <c r="R1472" s="8"/>
      <c r="S1472" s="8"/>
      <c r="T1472" s="8"/>
      <c r="U1472" s="8"/>
      <c r="V1472" s="8"/>
      <c r="W1472" s="8"/>
    </row>
    <row r="1473" spans="1:23" ht="14.4">
      <c r="A1473" s="3">
        <f>LOOKUP(D1473,'AMFI DATA_2023H1'!B:C,'AMFI DATA_2023H1'!C:C)</f>
        <v>826</v>
      </c>
      <c r="B1473" s="4" t="s">
        <v>5245</v>
      </c>
      <c r="C1473" s="4" t="s">
        <v>5246</v>
      </c>
      <c r="D1473" s="5" t="s">
        <v>5247</v>
      </c>
      <c r="E1473" s="5">
        <f>LOOKUP(D1473,'AMFI DATA_2023H1'!B:D,'AMFI DATA_2023H1'!D:D)</f>
        <v>1783.63</v>
      </c>
      <c r="F1473" s="7">
        <f t="shared" si="5"/>
        <v>-0.92711492854459721</v>
      </c>
      <c r="G1473" s="9">
        <v>130</v>
      </c>
      <c r="H1473" s="9">
        <v>131</v>
      </c>
      <c r="I1473" s="9">
        <v>137</v>
      </c>
      <c r="J1473" s="9">
        <v>114</v>
      </c>
      <c r="K1473" s="9">
        <v>94.9</v>
      </c>
      <c r="L1473" s="9">
        <v>97</v>
      </c>
      <c r="M1473" s="9"/>
      <c r="N1473" s="9"/>
      <c r="O1473" s="9"/>
      <c r="P1473" s="9"/>
      <c r="Q1473" s="9">
        <f ca="1">IFERROR(__xludf.DUMMYFUNCTION("GOOGLEFINANCE(C1473,""changepct"")"),-3.66)</f>
        <v>-3.66</v>
      </c>
      <c r="R1473" s="9"/>
      <c r="S1473" s="9"/>
      <c r="T1473" s="9"/>
      <c r="U1473" s="9"/>
      <c r="V1473" s="9"/>
      <c r="W1473" s="9"/>
    </row>
    <row r="1474" spans="1:23" ht="14.4">
      <c r="A1474" s="3">
        <f>LOOKUP(D1474,'AMFI DATA_2023H1'!B:C,'AMFI DATA_2023H1'!C:C)</f>
        <v>2192</v>
      </c>
      <c r="B1474" s="4" t="s">
        <v>5305</v>
      </c>
      <c r="C1474" s="4" t="s">
        <v>5306</v>
      </c>
      <c r="D1474" s="5" t="s">
        <v>5307</v>
      </c>
      <c r="E1474" s="5">
        <f>LOOKUP(D1474,'AMFI DATA_2023H1'!B:D,'AMFI DATA_2023H1'!D:D)</f>
        <v>105.09</v>
      </c>
      <c r="F1474" s="7">
        <f t="shared" si="5"/>
        <v>-0.23969930535731276</v>
      </c>
      <c r="G1474" s="9">
        <v>79.900000000000006</v>
      </c>
      <c r="H1474" s="9">
        <v>80</v>
      </c>
      <c r="I1474" s="9">
        <v>80</v>
      </c>
      <c r="J1474" s="9">
        <v>81.7</v>
      </c>
      <c r="K1474" s="9">
        <v>79.8</v>
      </c>
      <c r="L1474" s="9">
        <v>78.599999999999994</v>
      </c>
      <c r="M1474" s="9"/>
      <c r="N1474" s="9"/>
      <c r="O1474" s="9"/>
      <c r="P1474" s="9"/>
      <c r="Q1474" s="9">
        <f ca="1">IFERROR(__xludf.DUMMYFUNCTION("GOOGLEFINANCE(C1474,""changepct"")"),-7.29)</f>
        <v>-7.29</v>
      </c>
      <c r="R1474" s="9"/>
      <c r="S1474" s="9"/>
      <c r="T1474" s="9"/>
      <c r="U1474" s="9"/>
      <c r="V1474" s="9"/>
      <c r="W1474" s="9"/>
    </row>
    <row r="1475" spans="1:23" ht="14.4">
      <c r="A1475" s="3">
        <f>LOOKUP(D1475,'AMFI DATA_2023H1'!B:C,'AMFI DATA_2023H1'!C:C)</f>
        <v>2023</v>
      </c>
      <c r="B1475" s="4" t="s">
        <v>4997</v>
      </c>
      <c r="C1475" s="4" t="s">
        <v>4998</v>
      </c>
      <c r="D1475" s="5" t="s">
        <v>4999</v>
      </c>
      <c r="E1475" s="5">
        <f>LOOKUP(D1475,'AMFI DATA_2023H1'!B:D,'AMFI DATA_2023H1'!D:D)</f>
        <v>136.79</v>
      </c>
      <c r="F1475" s="7">
        <f t="shared" si="5"/>
        <v>0.27202280868484552</v>
      </c>
      <c r="G1475" s="9">
        <v>174</v>
      </c>
      <c r="H1475" s="9">
        <v>161</v>
      </c>
      <c r="I1475" s="9">
        <v>149</v>
      </c>
      <c r="J1475" s="9">
        <v>151</v>
      </c>
      <c r="K1475" s="9">
        <v>151</v>
      </c>
      <c r="L1475" s="9">
        <v>155</v>
      </c>
      <c r="M1475" s="9"/>
      <c r="N1475" s="9"/>
      <c r="O1475" s="9"/>
      <c r="P1475" s="9"/>
      <c r="Q1475" s="9">
        <f ca="1">IFERROR(__xludf.DUMMYFUNCTION("GOOGLEFINANCE(C1475,""changepct"")"),7.08)</f>
        <v>7.08</v>
      </c>
      <c r="R1475" s="9"/>
      <c r="S1475" s="9"/>
      <c r="T1475" s="9"/>
      <c r="U1475" s="9"/>
      <c r="V1475" s="9"/>
      <c r="W1475" s="9"/>
    </row>
    <row r="1476" spans="1:23" ht="14.4">
      <c r="A1476" s="3">
        <f>LOOKUP(D1476,'AMFI DATA_2023H1'!B:C,'AMFI DATA_2023H1'!C:C)</f>
        <v>1666</v>
      </c>
      <c r="B1476" s="4" t="s">
        <v>4544</v>
      </c>
      <c r="C1476" s="4" t="s">
        <v>4545</v>
      </c>
      <c r="D1476" s="5" t="s">
        <v>4546</v>
      </c>
      <c r="E1476" s="5">
        <f>LOOKUP(D1476,'AMFI DATA_2023H1'!B:D,'AMFI DATA_2023H1'!D:D)</f>
        <v>253.65</v>
      </c>
      <c r="F1476" s="7">
        <f t="shared" si="5"/>
        <v>-6.5050266114725641E-3</v>
      </c>
      <c r="G1476" s="9">
        <v>252</v>
      </c>
      <c r="H1476" s="9">
        <v>250</v>
      </c>
      <c r="I1476" s="9">
        <v>245</v>
      </c>
      <c r="J1476" s="9">
        <v>248</v>
      </c>
      <c r="K1476" s="9">
        <v>252</v>
      </c>
      <c r="L1476" s="9">
        <v>253</v>
      </c>
      <c r="M1476" s="9"/>
      <c r="N1476" s="9"/>
      <c r="O1476" s="9"/>
      <c r="P1476" s="9"/>
      <c r="Q1476" s="9">
        <f ca="1">IFERROR(__xludf.DUMMYFUNCTION("GOOGLEFINANCE(C1476,""changepct"")"),-4.99)</f>
        <v>-4.99</v>
      </c>
      <c r="R1476" s="9"/>
      <c r="S1476" s="9"/>
      <c r="T1476" s="9"/>
      <c r="U1476" s="9"/>
      <c r="V1476" s="9"/>
      <c r="W1476" s="9"/>
    </row>
    <row r="1477" spans="1:23" ht="14.4">
      <c r="A1477" s="3">
        <f>LOOKUP(D1477,'AMFI DATA_2023H1'!B:C,'AMFI DATA_2023H1'!C:C)</f>
        <v>1126</v>
      </c>
      <c r="B1477" s="4" t="s">
        <v>4265</v>
      </c>
      <c r="C1477" s="4" t="s">
        <v>4266</v>
      </c>
      <c r="D1477" s="5" t="s">
        <v>4267</v>
      </c>
      <c r="E1477" s="5">
        <f>LOOKUP(D1477,'AMFI DATA_2023H1'!B:D,'AMFI DATA_2023H1'!D:D)</f>
        <v>833.73</v>
      </c>
      <c r="F1477" s="7">
        <f t="shared" si="5"/>
        <v>-0.67735357969606469</v>
      </c>
      <c r="G1477" s="9">
        <v>269</v>
      </c>
      <c r="H1477" s="9">
        <v>264</v>
      </c>
      <c r="I1477" s="9">
        <v>259</v>
      </c>
      <c r="J1477" s="9">
        <v>255</v>
      </c>
      <c r="K1477" s="9">
        <v>250</v>
      </c>
      <c r="L1477" s="9">
        <v>245</v>
      </c>
      <c r="M1477" s="9"/>
      <c r="N1477" s="9"/>
      <c r="O1477" s="9"/>
      <c r="P1477" s="9"/>
      <c r="Q1477" s="9">
        <f ca="1">IFERROR(__xludf.DUMMYFUNCTION("GOOGLEFINANCE(C1477,""changepct"")"),-2.99)</f>
        <v>-2.99</v>
      </c>
      <c r="R1477" s="9"/>
      <c r="S1477" s="9"/>
      <c r="T1477" s="9"/>
      <c r="U1477" s="9"/>
      <c r="V1477" s="9"/>
      <c r="W1477" s="9"/>
    </row>
    <row r="1478" spans="1:23" ht="14.4">
      <c r="A1478" s="3">
        <f>LOOKUP(D1478,'AMFI DATA_2023H1'!B:C,'AMFI DATA_2023H1'!C:C)</f>
        <v>1398</v>
      </c>
      <c r="B1478" s="4" t="s">
        <v>3806</v>
      </c>
      <c r="C1478" s="4" t="s">
        <v>3807</v>
      </c>
      <c r="D1478" s="5" t="s">
        <v>3808</v>
      </c>
      <c r="E1478" s="5">
        <f>LOOKUP(D1478,'AMFI DATA_2023H1'!B:D,'AMFI DATA_2023H1'!D:D)</f>
        <v>409.8</v>
      </c>
      <c r="F1478" s="7">
        <f t="shared" si="5"/>
        <v>0.82040019521717911</v>
      </c>
      <c r="G1478" s="9">
        <v>746</v>
      </c>
      <c r="H1478" s="9">
        <v>749</v>
      </c>
      <c r="I1478" s="9">
        <v>760</v>
      </c>
      <c r="J1478" s="9">
        <v>746</v>
      </c>
      <c r="K1478" s="9">
        <v>748</v>
      </c>
      <c r="L1478" s="9">
        <v>757</v>
      </c>
      <c r="M1478" s="9"/>
      <c r="N1478" s="9"/>
      <c r="O1478" s="9"/>
      <c r="P1478" s="9"/>
      <c r="Q1478" s="9">
        <f ca="1">IFERROR(__xludf.DUMMYFUNCTION("GOOGLEFINANCE(C1478,""changepct"")"),1.29)</f>
        <v>1.29</v>
      </c>
      <c r="R1478" s="9"/>
      <c r="S1478" s="9"/>
      <c r="T1478" s="9"/>
      <c r="U1478" s="9"/>
      <c r="V1478" s="9"/>
      <c r="W1478" s="9"/>
    </row>
    <row r="1479" spans="1:23" ht="14.4">
      <c r="A1479" s="3">
        <f>LOOKUP(D1479,'AMFI DATA_2023H1'!B:C,'AMFI DATA_2023H1'!C:C)</f>
        <v>1126</v>
      </c>
      <c r="B1479" s="4" t="s">
        <v>3830</v>
      </c>
      <c r="C1479" s="4" t="s">
        <v>3831</v>
      </c>
      <c r="D1479" s="5" t="s">
        <v>3832</v>
      </c>
      <c r="E1479" s="5">
        <f>LOOKUP(D1479,'AMFI DATA_2023H1'!B:D,'AMFI DATA_2023H1'!D:D)</f>
        <v>833.73</v>
      </c>
      <c r="F1479" s="7">
        <f t="shared" si="5"/>
        <v>-0.12681563575737953</v>
      </c>
      <c r="G1479" s="9">
        <v>728</v>
      </c>
      <c r="H1479" s="9">
        <v>718</v>
      </c>
      <c r="I1479" s="9">
        <v>721</v>
      </c>
      <c r="J1479" s="9">
        <v>707</v>
      </c>
      <c r="K1479" s="9">
        <v>722</v>
      </c>
      <c r="L1479" s="9">
        <v>721</v>
      </c>
      <c r="M1479" s="9"/>
      <c r="N1479" s="9"/>
      <c r="O1479" s="9"/>
      <c r="P1479" s="9"/>
      <c r="Q1479" s="9">
        <f ca="1">IFERROR(__xludf.DUMMYFUNCTION("GOOGLEFINANCE(C1479,""changepct"")"),1.27)</f>
        <v>1.27</v>
      </c>
      <c r="R1479" s="9"/>
      <c r="S1479" s="9"/>
      <c r="T1479" s="9"/>
      <c r="U1479" s="9"/>
      <c r="V1479" s="9"/>
      <c r="W1479" s="9"/>
    </row>
    <row r="1480" spans="1:23" ht="14.4">
      <c r="A1480" s="3">
        <f>LOOKUP(D1480,'AMFI DATA_2023H1'!B:C,'AMFI DATA_2023H1'!C:C)</f>
        <v>1126</v>
      </c>
      <c r="B1480" s="4" t="s">
        <v>1914</v>
      </c>
      <c r="C1480" s="4" t="s">
        <v>1915</v>
      </c>
      <c r="D1480" s="5" t="s">
        <v>1916</v>
      </c>
      <c r="E1480" s="5">
        <f>LOOKUP(D1480,'AMFI DATA_2023H1'!B:D,'AMFI DATA_2023H1'!D:D)</f>
        <v>833.73</v>
      </c>
      <c r="F1480" s="7">
        <f t="shared" si="5"/>
        <v>5.5896633202595565</v>
      </c>
      <c r="G1480" s="8">
        <v>5494</v>
      </c>
      <c r="H1480" s="8">
        <v>5408</v>
      </c>
      <c r="I1480" s="8">
        <v>5467</v>
      </c>
      <c r="J1480" s="8">
        <v>5530</v>
      </c>
      <c r="K1480" s="8">
        <v>5607</v>
      </c>
      <c r="L1480" s="8">
        <v>5650</v>
      </c>
      <c r="M1480" s="8"/>
      <c r="N1480" s="8"/>
      <c r="O1480" s="8"/>
      <c r="P1480" s="8"/>
      <c r="Q1480" s="9">
        <f ca="1">IFERROR(__xludf.DUMMYFUNCTION("GOOGLEFINANCE(C1480,""changepct"")"),0.41)</f>
        <v>0.41</v>
      </c>
      <c r="R1480" s="8"/>
      <c r="S1480" s="8"/>
      <c r="T1480" s="8"/>
      <c r="U1480" s="8"/>
      <c r="V1480" s="8"/>
      <c r="W1480" s="8"/>
    </row>
    <row r="1481" spans="1:23" ht="14.4">
      <c r="A1481" s="3">
        <f>LOOKUP(D1481,'AMFI DATA_2023H1'!B:C,'AMFI DATA_2023H1'!C:C)</f>
        <v>884</v>
      </c>
      <c r="B1481" s="4" t="s">
        <v>2546</v>
      </c>
      <c r="C1481" s="4" t="s">
        <v>2547</v>
      </c>
      <c r="D1481" s="5" t="s">
        <v>2548</v>
      </c>
      <c r="E1481" s="5">
        <f>LOOKUP(D1481,'AMFI DATA_2023H1'!B:D,'AMFI DATA_2023H1'!D:D)</f>
        <v>1555.31</v>
      </c>
      <c r="F1481" s="7">
        <f t="shared" si="5"/>
        <v>0.93016183268930308</v>
      </c>
      <c r="G1481" s="8">
        <v>3002</v>
      </c>
      <c r="H1481" s="8">
        <v>2860</v>
      </c>
      <c r="I1481" s="8">
        <v>2854</v>
      </c>
      <c r="J1481" s="8">
        <v>2949</v>
      </c>
      <c r="K1481" s="8">
        <v>2944</v>
      </c>
      <c r="L1481" s="8">
        <v>2960</v>
      </c>
      <c r="M1481" s="8"/>
      <c r="N1481" s="8"/>
      <c r="O1481" s="8"/>
      <c r="P1481" s="8"/>
      <c r="Q1481" s="9">
        <f ca="1">IFERROR(__xludf.DUMMYFUNCTION("GOOGLEFINANCE(C1481,""changepct"")"),0.23)</f>
        <v>0.23</v>
      </c>
      <c r="R1481" s="8"/>
      <c r="S1481" s="8"/>
      <c r="T1481" s="8"/>
      <c r="U1481" s="8"/>
      <c r="V1481" s="8"/>
      <c r="W1481" s="8"/>
    </row>
    <row r="1482" spans="1:23" ht="14.4">
      <c r="A1482" s="3">
        <f>LOOKUP(D1482,'AMFI DATA_2023H1'!B:C,'AMFI DATA_2023H1'!C:C)</f>
        <v>805</v>
      </c>
      <c r="B1482" s="4" t="s">
        <v>2486</v>
      </c>
      <c r="C1482" s="4" t="s">
        <v>2487</v>
      </c>
      <c r="D1482" s="5" t="s">
        <v>2488</v>
      </c>
      <c r="E1482" s="5">
        <f>LOOKUP(D1482,'AMFI DATA_2023H1'!B:D,'AMFI DATA_2023H1'!D:D)</f>
        <v>1908.94</v>
      </c>
      <c r="F1482" s="7">
        <f t="shared" si="5"/>
        <v>0.50292832671534993</v>
      </c>
      <c r="G1482" s="8">
        <v>2869</v>
      </c>
      <c r="H1482" s="8">
        <v>2840</v>
      </c>
      <c r="I1482" s="8">
        <v>2898</v>
      </c>
      <c r="J1482" s="8">
        <v>2927</v>
      </c>
      <c r="K1482" s="8">
        <v>2968</v>
      </c>
      <c r="L1482" s="8">
        <v>2948</v>
      </c>
      <c r="M1482" s="8"/>
      <c r="N1482" s="8"/>
      <c r="O1482" s="8"/>
      <c r="P1482" s="8"/>
      <c r="Q1482" s="9">
        <f ca="1">IFERROR(__xludf.DUMMYFUNCTION("GOOGLEFINANCE(C1482,""changepct"")"),1.63)</f>
        <v>1.63</v>
      </c>
      <c r="R1482" s="8"/>
      <c r="S1482" s="8"/>
      <c r="T1482" s="8"/>
      <c r="U1482" s="8"/>
      <c r="V1482" s="8"/>
      <c r="W1482" s="8"/>
    </row>
    <row r="1483" spans="1:23" ht="14.4">
      <c r="A1483" s="3">
        <f>LOOKUP(D1483,'AMFI DATA_2023H1'!B:C,'AMFI DATA_2023H1'!C:C)</f>
        <v>1188</v>
      </c>
      <c r="B1483" s="4" t="s">
        <v>2873</v>
      </c>
      <c r="C1483" s="4" t="s">
        <v>2874</v>
      </c>
      <c r="D1483" s="5" t="s">
        <v>2875</v>
      </c>
      <c r="E1483" s="5">
        <f>LOOKUP(D1483,'AMFI DATA_2023H1'!B:D,'AMFI DATA_2023H1'!D:D)</f>
        <v>714.28</v>
      </c>
      <c r="F1483" s="7">
        <f t="shared" si="5"/>
        <v>1.3072184577476622</v>
      </c>
      <c r="G1483" s="8">
        <v>1648</v>
      </c>
      <c r="H1483" s="8">
        <v>1630</v>
      </c>
      <c r="I1483" s="8">
        <v>1582</v>
      </c>
      <c r="J1483" s="8">
        <v>1583</v>
      </c>
      <c r="K1483" s="8">
        <v>1594</v>
      </c>
      <c r="L1483" s="8">
        <v>1578</v>
      </c>
      <c r="M1483" s="8"/>
      <c r="N1483" s="8"/>
      <c r="O1483" s="8"/>
      <c r="P1483" s="8"/>
      <c r="Q1483" s="9">
        <f ca="1">IFERROR(__xludf.DUMMYFUNCTION("GOOGLEFINANCE(C1483,""changepct"")"),-1.36)</f>
        <v>-1.36</v>
      </c>
      <c r="R1483" s="8"/>
      <c r="S1483" s="8"/>
      <c r="T1483" s="8"/>
      <c r="U1483" s="8"/>
      <c r="V1483" s="8"/>
      <c r="W1483" s="8"/>
    </row>
    <row r="1484" spans="1:23" ht="14.4">
      <c r="A1484" s="3">
        <f>LOOKUP(D1484,'AMFI DATA_2023H1'!B:C,'AMFI DATA_2023H1'!C:C)</f>
        <v>856</v>
      </c>
      <c r="B1484" s="4" t="s">
        <v>2654</v>
      </c>
      <c r="C1484" s="4" t="s">
        <v>2655</v>
      </c>
      <c r="D1484" s="5" t="s">
        <v>2656</v>
      </c>
      <c r="E1484" s="5">
        <f>LOOKUP(D1484,'AMFI DATA_2023H1'!B:D,'AMFI DATA_2023H1'!D:D)</f>
        <v>1689.45</v>
      </c>
      <c r="F1484" s="7">
        <f t="shared" si="5"/>
        <v>0.32824291929326099</v>
      </c>
      <c r="G1484" s="8">
        <v>2244</v>
      </c>
      <c r="H1484" s="8">
        <v>2243</v>
      </c>
      <c r="I1484" s="8">
        <v>2238</v>
      </c>
      <c r="J1484" s="8">
        <v>2270</v>
      </c>
      <c r="K1484" s="8">
        <v>2236</v>
      </c>
      <c r="L1484" s="8">
        <v>2245</v>
      </c>
      <c r="M1484" s="8"/>
      <c r="N1484" s="8"/>
      <c r="O1484" s="8"/>
      <c r="P1484" s="8"/>
      <c r="Q1484" s="9">
        <f ca="1">IFERROR(__xludf.DUMMYFUNCTION("GOOGLEFINANCE(C1484,""changepct"")"),0.08)</f>
        <v>0.08</v>
      </c>
      <c r="R1484" s="8"/>
      <c r="S1484" s="8"/>
      <c r="T1484" s="8"/>
      <c r="U1484" s="8"/>
      <c r="V1484" s="8"/>
      <c r="W1484" s="8"/>
    </row>
    <row r="1485" spans="1:23" ht="14.4">
      <c r="A1485" s="3">
        <f>LOOKUP(D1485,'AMFI DATA_2023H1'!B:C,'AMFI DATA_2023H1'!C:C)</f>
        <v>2174</v>
      </c>
      <c r="B1485" s="4" t="s">
        <v>5216</v>
      </c>
      <c r="C1485" s="4" t="s">
        <v>5217</v>
      </c>
      <c r="D1485" s="5" t="s">
        <v>5218</v>
      </c>
      <c r="E1485" s="5">
        <f>LOOKUP(D1485,'AMFI DATA_2023H1'!B:D,'AMFI DATA_2023H1'!D:D)</f>
        <v>107.79</v>
      </c>
      <c r="F1485" s="7">
        <f t="shared" si="5"/>
        <v>-0.14834400222655175</v>
      </c>
      <c r="G1485" s="9">
        <v>91.8</v>
      </c>
      <c r="H1485" s="9">
        <v>93.6</v>
      </c>
      <c r="I1485" s="9">
        <v>95</v>
      </c>
      <c r="J1485" s="9">
        <v>94.7</v>
      </c>
      <c r="K1485" s="9">
        <v>91.3</v>
      </c>
      <c r="L1485" s="9">
        <v>93.6</v>
      </c>
      <c r="M1485" s="9"/>
      <c r="N1485" s="9"/>
      <c r="O1485" s="9"/>
      <c r="P1485" s="9"/>
      <c r="Q1485" s="9">
        <f ca="1">IFERROR(__xludf.DUMMYFUNCTION("GOOGLEFINANCE(C1485,""changepct"")"),9.52)</f>
        <v>9.52</v>
      </c>
      <c r="R1485" s="9"/>
      <c r="S1485" s="9"/>
      <c r="T1485" s="9"/>
      <c r="U1485" s="9"/>
      <c r="V1485" s="9"/>
      <c r="W1485" s="9"/>
    </row>
    <row r="1486" spans="1:23" ht="14.4">
      <c r="A1486" s="3">
        <f>LOOKUP(D1486,'AMFI DATA_2023H1'!B:C,'AMFI DATA_2023H1'!C:C)</f>
        <v>2466</v>
      </c>
      <c r="B1486" s="4" t="s">
        <v>5413</v>
      </c>
      <c r="C1486" s="4" t="s">
        <v>5414</v>
      </c>
      <c r="D1486" s="5" t="s">
        <v>5415</v>
      </c>
      <c r="E1486" s="5">
        <f>LOOKUP(D1486,'AMFI DATA_2023H1'!B:D,'AMFI DATA_2023H1'!D:D)</f>
        <v>67.53</v>
      </c>
      <c r="F1486" s="7">
        <f t="shared" si="5"/>
        <v>-0.1737005775211018</v>
      </c>
      <c r="G1486" s="9">
        <v>55.8</v>
      </c>
      <c r="H1486" s="9">
        <v>55.8</v>
      </c>
      <c r="I1486" s="9">
        <v>56.9</v>
      </c>
      <c r="J1486" s="9">
        <v>58</v>
      </c>
      <c r="K1486" s="9">
        <v>54.1</v>
      </c>
      <c r="L1486" s="9">
        <v>55.3</v>
      </c>
      <c r="M1486" s="9"/>
      <c r="N1486" s="9"/>
      <c r="O1486" s="9"/>
      <c r="P1486" s="9"/>
      <c r="Q1486" s="9">
        <f ca="1">IFERROR(__xludf.DUMMYFUNCTION("GOOGLEFINANCE(C1486,""changepct"")"),8.24)</f>
        <v>8.24</v>
      </c>
      <c r="R1486" s="9"/>
      <c r="S1486" s="9"/>
      <c r="T1486" s="9"/>
      <c r="U1486" s="9"/>
      <c r="V1486" s="9"/>
      <c r="W1486" s="9"/>
    </row>
    <row r="1487" spans="1:23" ht="14.4">
      <c r="A1487" s="3">
        <f>LOOKUP(D1487,'AMFI DATA_2023H1'!B:C,'AMFI DATA_2023H1'!C:C)</f>
        <v>2196</v>
      </c>
      <c r="B1487" s="4" t="s">
        <v>5150</v>
      </c>
      <c r="C1487" s="4" t="s">
        <v>5151</v>
      </c>
      <c r="D1487" s="5" t="s">
        <v>5152</v>
      </c>
      <c r="E1487" s="5">
        <f>LOOKUP(D1487,'AMFI DATA_2023H1'!B:D,'AMFI DATA_2023H1'!D:D)</f>
        <v>104.41</v>
      </c>
      <c r="F1487" s="7">
        <f t="shared" si="5"/>
        <v>0.23551383967052963</v>
      </c>
      <c r="G1487" s="9">
        <v>129</v>
      </c>
      <c r="H1487" s="9">
        <v>124</v>
      </c>
      <c r="I1487" s="9">
        <v>127</v>
      </c>
      <c r="J1487" s="9">
        <v>130</v>
      </c>
      <c r="K1487" s="9">
        <v>138</v>
      </c>
      <c r="L1487" s="9">
        <v>132</v>
      </c>
      <c r="M1487" s="9"/>
      <c r="N1487" s="9"/>
      <c r="O1487" s="9"/>
      <c r="P1487" s="9"/>
      <c r="Q1487" s="9">
        <f ca="1">IFERROR(__xludf.DUMMYFUNCTION("GOOGLEFINANCE(C1487,""changepct"")"),-2.94)</f>
        <v>-2.94</v>
      </c>
      <c r="R1487" s="9"/>
      <c r="S1487" s="9"/>
      <c r="T1487" s="9"/>
      <c r="U1487" s="9"/>
      <c r="V1487" s="9"/>
      <c r="W1487" s="9"/>
    </row>
    <row r="1488" spans="1:23" ht="14.4">
      <c r="A1488" s="3">
        <f>LOOKUP(D1488,'AMFI DATA_2023H1'!B:C,'AMFI DATA_2023H1'!C:C)</f>
        <v>2796</v>
      </c>
      <c r="B1488" s="4" t="s">
        <v>5099</v>
      </c>
      <c r="C1488" s="4" t="s">
        <v>5100</v>
      </c>
      <c r="D1488" s="5" t="s">
        <v>5101</v>
      </c>
      <c r="E1488" s="5">
        <f>LOOKUP(D1488,'AMFI DATA_2023H1'!B:D,'AMFI DATA_2023H1'!D:D)</f>
        <v>40.85</v>
      </c>
      <c r="F1488" s="7">
        <f t="shared" si="5"/>
        <v>3.2594859241126066</v>
      </c>
      <c r="G1488" s="9">
        <v>174</v>
      </c>
      <c r="H1488" s="9">
        <v>180</v>
      </c>
      <c r="I1488" s="9">
        <v>189</v>
      </c>
      <c r="J1488" s="9">
        <v>199</v>
      </c>
      <c r="K1488" s="9">
        <v>220</v>
      </c>
      <c r="L1488" s="9">
        <v>193</v>
      </c>
      <c r="M1488" s="9"/>
      <c r="N1488" s="9"/>
      <c r="O1488" s="9"/>
      <c r="P1488" s="9"/>
      <c r="Q1488" s="9">
        <f ca="1">IFERROR(__xludf.DUMMYFUNCTION("GOOGLEFINANCE(C1488,""changepct"")"),0)</f>
        <v>0</v>
      </c>
      <c r="R1488" s="9"/>
      <c r="S1488" s="9"/>
      <c r="T1488" s="9"/>
      <c r="U1488" s="9"/>
      <c r="V1488" s="9"/>
      <c r="W1488" s="9"/>
    </row>
    <row r="1489" spans="1:23" ht="14.4">
      <c r="A1489" s="3">
        <f>LOOKUP(D1489,'AMFI DATA_2023H1'!B:C,'AMFI DATA_2023H1'!C:C)</f>
        <v>1001</v>
      </c>
      <c r="B1489" s="4" t="s">
        <v>2966</v>
      </c>
      <c r="C1489" s="4" t="s">
        <v>2967</v>
      </c>
      <c r="D1489" s="5" t="s">
        <v>2968</v>
      </c>
      <c r="E1489" s="5">
        <f>LOOKUP(D1489,'AMFI DATA_2023H1'!B:D,'AMFI DATA_2023H1'!D:D)</f>
        <v>1180.1300000000001</v>
      </c>
      <c r="F1489" s="7">
        <f t="shared" si="5"/>
        <v>0.29477260979722564</v>
      </c>
      <c r="G1489" s="8">
        <v>1528</v>
      </c>
      <c r="H1489" s="8">
        <v>1535</v>
      </c>
      <c r="I1489" s="8">
        <v>1555</v>
      </c>
      <c r="J1489" s="8">
        <v>1566</v>
      </c>
      <c r="K1489" s="8">
        <v>1533</v>
      </c>
      <c r="L1489" s="8">
        <v>1571</v>
      </c>
      <c r="M1489" s="8"/>
      <c r="N1489" s="8"/>
      <c r="O1489" s="8"/>
      <c r="P1489" s="8"/>
      <c r="Q1489" s="9">
        <f ca="1">IFERROR(__xludf.DUMMYFUNCTION("GOOGLEFINANCE(C1489,""changepct"")"),-0.08)</f>
        <v>-0.08</v>
      </c>
      <c r="R1489" s="8"/>
      <c r="S1489" s="8"/>
      <c r="T1489" s="8"/>
      <c r="U1489" s="8"/>
      <c r="V1489" s="8"/>
      <c r="W1489" s="8"/>
    </row>
    <row r="1490" spans="1:23" ht="14.4">
      <c r="A1490" s="3">
        <f>LOOKUP(D1490,'AMFI DATA_2023H1'!B:C,'AMFI DATA_2023H1'!C:C)</f>
        <v>1117</v>
      </c>
      <c r="B1490" s="4" t="s">
        <v>2933</v>
      </c>
      <c r="C1490" s="4" t="s">
        <v>2934</v>
      </c>
      <c r="D1490" s="5" t="s">
        <v>2935</v>
      </c>
      <c r="E1490" s="5">
        <f>LOOKUP(D1490,'AMFI DATA_2023H1'!B:D,'AMFI DATA_2023H1'!D:D)</f>
        <v>843.98</v>
      </c>
      <c r="F1490" s="7">
        <f t="shared" si="5"/>
        <v>1.2559776298016541</v>
      </c>
      <c r="G1490" s="8">
        <v>1904</v>
      </c>
      <c r="H1490" s="8">
        <v>1877</v>
      </c>
      <c r="I1490" s="8">
        <v>1848</v>
      </c>
      <c r="J1490" s="8">
        <v>1805</v>
      </c>
      <c r="K1490" s="8">
        <v>1828</v>
      </c>
      <c r="L1490" s="8">
        <v>1811</v>
      </c>
      <c r="M1490" s="8"/>
      <c r="N1490" s="8"/>
      <c r="O1490" s="8"/>
      <c r="P1490" s="8"/>
      <c r="Q1490" s="9">
        <f ca="1">IFERROR(__xludf.DUMMYFUNCTION("GOOGLEFINANCE(C1490,""changepct"")"),-2.68)</f>
        <v>-2.68</v>
      </c>
      <c r="R1490" s="8"/>
      <c r="S1490" s="8"/>
      <c r="T1490" s="8"/>
      <c r="U1490" s="8"/>
      <c r="V1490" s="8"/>
      <c r="W1490" s="8"/>
    </row>
    <row r="1491" spans="1:23" ht="14.4">
      <c r="A1491" s="3">
        <f>LOOKUP(D1491,'AMFI DATA_2023H1'!B:C,'AMFI DATA_2023H1'!C:C)</f>
        <v>887</v>
      </c>
      <c r="B1491" s="4" t="s">
        <v>2399</v>
      </c>
      <c r="C1491" s="4" t="s">
        <v>2400</v>
      </c>
      <c r="D1491" s="5" t="s">
        <v>2401</v>
      </c>
      <c r="E1491" s="5">
        <f>LOOKUP(D1491,'AMFI DATA_2023H1'!B:D,'AMFI DATA_2023H1'!D:D)</f>
        <v>1539.99</v>
      </c>
      <c r="F1491" s="7">
        <f t="shared" si="5"/>
        <v>1.1117020240391171</v>
      </c>
      <c r="G1491" s="8">
        <v>3252</v>
      </c>
      <c r="H1491" s="8">
        <v>3268</v>
      </c>
      <c r="I1491" s="8">
        <v>3269</v>
      </c>
      <c r="J1491" s="8">
        <v>3316</v>
      </c>
      <c r="K1491" s="8">
        <v>3334</v>
      </c>
      <c r="L1491" s="8">
        <v>3321</v>
      </c>
      <c r="M1491" s="8"/>
      <c r="N1491" s="8"/>
      <c r="O1491" s="8"/>
      <c r="P1491" s="8"/>
      <c r="Q1491" s="9">
        <f ca="1">IFERROR(__xludf.DUMMYFUNCTION("GOOGLEFINANCE(C1491,""changepct"")"),3.7)</f>
        <v>3.7</v>
      </c>
      <c r="R1491" s="8"/>
      <c r="S1491" s="8"/>
      <c r="T1491" s="8"/>
      <c r="U1491" s="8"/>
      <c r="V1491" s="8"/>
      <c r="W1491" s="8"/>
    </row>
    <row r="1492" spans="1:23" ht="14.4">
      <c r="A1492" s="3">
        <f>LOOKUP(D1492,'AMFI DATA_2023H1'!B:C,'AMFI DATA_2023H1'!C:C)</f>
        <v>1035</v>
      </c>
      <c r="B1492" s="4" t="s">
        <v>3218</v>
      </c>
      <c r="C1492" s="4" t="s">
        <v>3219</v>
      </c>
      <c r="D1492" s="5" t="s">
        <v>3220</v>
      </c>
      <c r="E1492" s="5">
        <f>LOOKUP(D1492,'AMFI DATA_2023H1'!B:D,'AMFI DATA_2023H1'!D:D)</f>
        <v>1058.19</v>
      </c>
      <c r="F1492" s="7">
        <f t="shared" si="5"/>
        <v>0.2228427787070375</v>
      </c>
      <c r="G1492" s="8">
        <v>1294</v>
      </c>
      <c r="H1492" s="8">
        <v>1283</v>
      </c>
      <c r="I1492" s="8">
        <v>1289</v>
      </c>
      <c r="J1492" s="8">
        <v>1303</v>
      </c>
      <c r="K1492" s="8">
        <v>1300</v>
      </c>
      <c r="L1492" s="8">
        <v>1310</v>
      </c>
      <c r="M1492" s="8"/>
      <c r="N1492" s="8"/>
      <c r="O1492" s="8"/>
      <c r="P1492" s="8"/>
      <c r="Q1492" s="9">
        <f ca="1">IFERROR(__xludf.DUMMYFUNCTION("GOOGLEFINANCE(C1492,""changepct"")"),4.23)</f>
        <v>4.2300000000000004</v>
      </c>
      <c r="R1492" s="8"/>
      <c r="S1492" s="8"/>
      <c r="T1492" s="8"/>
      <c r="U1492" s="8"/>
      <c r="V1492" s="8"/>
      <c r="W1492" s="8"/>
    </row>
    <row r="1493" spans="1:23" ht="14.4">
      <c r="A1493" s="3">
        <f>LOOKUP(D1493,'AMFI DATA_2023H1'!B:C,'AMFI DATA_2023H1'!C:C)</f>
        <v>888</v>
      </c>
      <c r="B1493" s="4" t="s">
        <v>2864</v>
      </c>
      <c r="C1493" s="4" t="s">
        <v>2865</v>
      </c>
      <c r="D1493" s="5" t="s">
        <v>2866</v>
      </c>
      <c r="E1493" s="5">
        <f>LOOKUP(D1493,'AMFI DATA_2023H1'!B:D,'AMFI DATA_2023H1'!D:D)</f>
        <v>1538.16</v>
      </c>
      <c r="F1493" s="7">
        <f t="shared" si="5"/>
        <v>6.2308212409632135E-2</v>
      </c>
      <c r="G1493" s="8">
        <v>1634</v>
      </c>
      <c r="H1493" s="8">
        <v>1637</v>
      </c>
      <c r="I1493" s="8">
        <v>1656</v>
      </c>
      <c r="J1493" s="8">
        <v>1634</v>
      </c>
      <c r="K1493" s="8">
        <v>1637</v>
      </c>
      <c r="L1493" s="8">
        <v>1659</v>
      </c>
      <c r="M1493" s="8"/>
      <c r="N1493" s="8"/>
      <c r="O1493" s="8"/>
      <c r="P1493" s="8"/>
      <c r="Q1493" s="9">
        <f ca="1">IFERROR(__xludf.DUMMYFUNCTION("GOOGLEFINANCE(C1493,""changepct"")"),4.71)</f>
        <v>4.71</v>
      </c>
      <c r="R1493" s="8"/>
      <c r="S1493" s="8"/>
      <c r="T1493" s="8"/>
      <c r="U1493" s="8"/>
      <c r="V1493" s="8"/>
      <c r="W1493" s="8"/>
    </row>
    <row r="1494" spans="1:23" ht="14.4">
      <c r="A1494" s="3">
        <f>LOOKUP(D1494,'AMFI DATA_2023H1'!B:C,'AMFI DATA_2023H1'!C:C)</f>
        <v>662</v>
      </c>
      <c r="B1494" s="4" t="s">
        <v>2102</v>
      </c>
      <c r="C1494" s="4" t="s">
        <v>2103</v>
      </c>
      <c r="D1494" s="5" t="s">
        <v>2104</v>
      </c>
      <c r="E1494" s="5">
        <f>LOOKUP(D1494,'AMFI DATA_2023H1'!B:D,'AMFI DATA_2023H1'!D:D)</f>
        <v>2891.88</v>
      </c>
      <c r="F1494" s="7">
        <f t="shared" si="5"/>
        <v>0.58028687220769881</v>
      </c>
      <c r="G1494" s="8">
        <v>4570</v>
      </c>
      <c r="H1494" s="8">
        <v>4599</v>
      </c>
      <c r="I1494" s="8">
        <v>4592</v>
      </c>
      <c r="J1494" s="8">
        <v>4712</v>
      </c>
      <c r="K1494" s="8">
        <v>4265</v>
      </c>
      <c r="L1494" s="8">
        <v>4007</v>
      </c>
      <c r="M1494" s="8"/>
      <c r="N1494" s="8"/>
      <c r="O1494" s="8"/>
      <c r="P1494" s="8"/>
      <c r="Q1494" s="9">
        <f ca="1">IFERROR(__xludf.DUMMYFUNCTION("GOOGLEFINANCE(C1494,""changepct"")"),2.78)</f>
        <v>2.78</v>
      </c>
      <c r="R1494" s="8"/>
      <c r="S1494" s="8"/>
      <c r="T1494" s="8"/>
      <c r="U1494" s="8"/>
      <c r="V1494" s="8"/>
      <c r="W1494" s="8"/>
    </row>
    <row r="1495" spans="1:23" ht="14.4">
      <c r="A1495" s="3">
        <f>LOOKUP(D1495,'AMFI DATA_2023H1'!B:C,'AMFI DATA_2023H1'!C:C)</f>
        <v>3301</v>
      </c>
      <c r="B1495" s="4" t="s">
        <v>5686</v>
      </c>
      <c r="C1495" s="4" t="s">
        <v>5687</v>
      </c>
      <c r="D1495" s="5" t="s">
        <v>5688</v>
      </c>
      <c r="E1495" s="5">
        <f>LOOKUP(D1495,'AMFI DATA_2023H1'!B:D,'AMFI DATA_2023H1'!D:D)</f>
        <v>19.600000000000001</v>
      </c>
      <c r="F1495" s="7">
        <f t="shared" si="5"/>
        <v>1.5306122448979442E-2</v>
      </c>
      <c r="G1495" s="9">
        <v>19.899999999999999</v>
      </c>
      <c r="H1495" s="9">
        <v>19.8</v>
      </c>
      <c r="I1495" s="9">
        <v>20</v>
      </c>
      <c r="J1495" s="9">
        <v>20.2</v>
      </c>
      <c r="K1495" s="9">
        <v>20</v>
      </c>
      <c r="L1495" s="9">
        <v>20</v>
      </c>
      <c r="M1495" s="9"/>
      <c r="N1495" s="9"/>
      <c r="O1495" s="9"/>
      <c r="P1495" s="9"/>
      <c r="Q1495" s="9">
        <f ca="1">IFERROR(__xludf.DUMMYFUNCTION("GOOGLEFINANCE(C1495,""changepct"")"),0)</f>
        <v>0</v>
      </c>
      <c r="R1495" s="9"/>
      <c r="S1495" s="9"/>
      <c r="T1495" s="9"/>
      <c r="U1495" s="9"/>
      <c r="V1495" s="9"/>
      <c r="W1495" s="9"/>
    </row>
    <row r="1496" spans="1:23" ht="14.4">
      <c r="A1496" s="3">
        <f>LOOKUP(D1496,'AMFI DATA_2023H1'!B:C,'AMFI DATA_2023H1'!C:C)</f>
        <v>547</v>
      </c>
      <c r="B1496" s="4" t="s">
        <v>2007</v>
      </c>
      <c r="C1496" s="4" t="s">
        <v>2008</v>
      </c>
      <c r="D1496" s="5" t="s">
        <v>2009</v>
      </c>
      <c r="E1496" s="5">
        <f>LOOKUP(D1496,'AMFI DATA_2023H1'!B:D,'AMFI DATA_2023H1'!D:D)</f>
        <v>4388.28</v>
      </c>
      <c r="F1496" s="7">
        <f t="shared" si="5"/>
        <v>-7.04786385554248E-2</v>
      </c>
      <c r="G1496" s="8">
        <v>4079</v>
      </c>
      <c r="H1496" s="8">
        <v>4105</v>
      </c>
      <c r="I1496" s="8">
        <v>4024</v>
      </c>
      <c r="J1496" s="8">
        <v>4110</v>
      </c>
      <c r="K1496" s="8">
        <v>3856</v>
      </c>
      <c r="L1496" s="8">
        <v>3891</v>
      </c>
      <c r="M1496" s="8"/>
      <c r="N1496" s="8"/>
      <c r="O1496" s="8"/>
      <c r="P1496" s="8"/>
      <c r="Q1496" s="9">
        <f ca="1">IFERROR(__xludf.DUMMYFUNCTION("GOOGLEFINANCE(C1496,""changepct"")"),-0.41)</f>
        <v>-0.41</v>
      </c>
      <c r="R1496" s="8"/>
      <c r="S1496" s="8"/>
      <c r="T1496" s="8"/>
      <c r="U1496" s="8"/>
      <c r="V1496" s="8"/>
      <c r="W1496" s="8"/>
    </row>
    <row r="1497" spans="1:23" ht="14.4">
      <c r="A1497" s="3">
        <f>LOOKUP(D1497,'AMFI DATA_2023H1'!B:C,'AMFI DATA_2023H1'!C:C)</f>
        <v>769</v>
      </c>
      <c r="B1497" s="4" t="s">
        <v>2291</v>
      </c>
      <c r="C1497" s="4" t="s">
        <v>2292</v>
      </c>
      <c r="D1497" s="5" t="s">
        <v>2293</v>
      </c>
      <c r="E1497" s="5">
        <f>LOOKUP(D1497,'AMFI DATA_2023H1'!B:D,'AMFI DATA_2023H1'!D:D)</f>
        <v>2084.21</v>
      </c>
      <c r="F1497" s="7">
        <f t="shared" si="5"/>
        <v>0.85873784311561696</v>
      </c>
      <c r="G1497" s="8">
        <v>3874</v>
      </c>
      <c r="H1497" s="8">
        <v>3889</v>
      </c>
      <c r="I1497" s="8">
        <v>3990</v>
      </c>
      <c r="J1497" s="8">
        <v>3771</v>
      </c>
      <c r="K1497" s="8">
        <v>3738</v>
      </c>
      <c r="L1497" s="8">
        <v>3726</v>
      </c>
      <c r="M1497" s="8"/>
      <c r="N1497" s="8"/>
      <c r="O1497" s="8"/>
      <c r="P1497" s="8"/>
      <c r="Q1497" s="9">
        <f ca="1">IFERROR(__xludf.DUMMYFUNCTION("GOOGLEFINANCE(C1497,""changepct"")"),1.47)</f>
        <v>1.47</v>
      </c>
      <c r="R1497" s="8"/>
      <c r="S1497" s="8"/>
      <c r="T1497" s="8"/>
      <c r="U1497" s="8"/>
      <c r="V1497" s="8"/>
      <c r="W1497" s="8"/>
    </row>
    <row r="1498" spans="1:23" ht="14.4">
      <c r="A1498" s="3">
        <f>LOOKUP(D1498,'AMFI DATA_2023H1'!B:C,'AMFI DATA_2023H1'!C:C)</f>
        <v>588</v>
      </c>
      <c r="B1498" s="4" t="s">
        <v>1860</v>
      </c>
      <c r="C1498" s="4" t="s">
        <v>1861</v>
      </c>
      <c r="D1498" s="5" t="s">
        <v>1862</v>
      </c>
      <c r="E1498" s="5">
        <f>LOOKUP(D1498,'AMFI DATA_2023H1'!B:D,'AMFI DATA_2023H1'!D:D)</f>
        <v>3871.94</v>
      </c>
      <c r="F1498" s="7">
        <f t="shared" si="5"/>
        <v>0.55012732635319761</v>
      </c>
      <c r="G1498" s="8">
        <v>6002</v>
      </c>
      <c r="H1498" s="8">
        <v>6120</v>
      </c>
      <c r="I1498" s="8">
        <v>5989</v>
      </c>
      <c r="J1498" s="8">
        <v>6084</v>
      </c>
      <c r="K1498" s="8">
        <v>5903</v>
      </c>
      <c r="L1498" s="8">
        <v>5892</v>
      </c>
      <c r="M1498" s="8"/>
      <c r="N1498" s="8"/>
      <c r="O1498" s="8"/>
      <c r="P1498" s="8"/>
      <c r="Q1498" s="9">
        <f ca="1">IFERROR(__xludf.DUMMYFUNCTION("GOOGLEFINANCE(C1498,""changepct"")"),4.34)</f>
        <v>4.34</v>
      </c>
      <c r="R1498" s="8"/>
      <c r="S1498" s="8"/>
      <c r="T1498" s="8"/>
      <c r="U1498" s="8"/>
      <c r="V1498" s="8"/>
      <c r="W1498" s="8"/>
    </row>
    <row r="1499" spans="1:23" ht="14.4">
      <c r="A1499" s="3">
        <f>LOOKUP(D1499,'AMFI DATA_2023H1'!B:C,'AMFI DATA_2023H1'!C:C)</f>
        <v>324</v>
      </c>
      <c r="B1499" s="4" t="s">
        <v>1116</v>
      </c>
      <c r="C1499" s="4" t="s">
        <v>1117</v>
      </c>
      <c r="D1499" s="5" t="s">
        <v>1118</v>
      </c>
      <c r="E1499" s="5">
        <f>LOOKUP(D1499,'AMFI DATA_2023H1'!B:D,'AMFI DATA_2023H1'!D:D)</f>
        <v>10983</v>
      </c>
      <c r="F1499" s="7">
        <f t="shared" si="5"/>
        <v>0.2360921424018938</v>
      </c>
      <c r="G1499" s="8">
        <v>13576</v>
      </c>
      <c r="H1499" s="8">
        <v>13284</v>
      </c>
      <c r="I1499" s="8">
        <v>13580</v>
      </c>
      <c r="J1499" s="8">
        <v>13332</v>
      </c>
      <c r="K1499" s="8">
        <v>13195</v>
      </c>
      <c r="L1499" s="8">
        <v>13250</v>
      </c>
      <c r="M1499" s="8"/>
      <c r="N1499" s="8"/>
      <c r="O1499" s="8"/>
      <c r="P1499" s="8"/>
      <c r="Q1499" s="9">
        <f ca="1">IFERROR(__xludf.DUMMYFUNCTION("GOOGLEFINANCE(C1499,""changepct"")"),1.59)</f>
        <v>1.59</v>
      </c>
      <c r="R1499" s="8"/>
      <c r="S1499" s="8"/>
      <c r="T1499" s="8"/>
      <c r="U1499" s="8"/>
      <c r="V1499" s="8"/>
      <c r="W1499" s="8"/>
    </row>
    <row r="1500" spans="1:23" ht="14.4">
      <c r="A1500" s="3">
        <f>LOOKUP(D1500,'AMFI DATA_2023H1'!B:C,'AMFI DATA_2023H1'!C:C)</f>
        <v>1276</v>
      </c>
      <c r="B1500" s="4" t="s">
        <v>4139</v>
      </c>
      <c r="C1500" s="4" t="s">
        <v>4140</v>
      </c>
      <c r="D1500" s="5" t="s">
        <v>4141</v>
      </c>
      <c r="E1500" s="5">
        <f>LOOKUP(D1500,'AMFI DATA_2023H1'!B:D,'AMFI DATA_2023H1'!D:D)</f>
        <v>554.9</v>
      </c>
      <c r="F1500" s="7">
        <f t="shared" si="5"/>
        <v>-0.36024508920526221</v>
      </c>
      <c r="G1500" s="9">
        <v>355</v>
      </c>
      <c r="H1500" s="9">
        <v>355</v>
      </c>
      <c r="I1500" s="9">
        <v>355</v>
      </c>
      <c r="J1500" s="9">
        <v>356</v>
      </c>
      <c r="K1500" s="9">
        <v>359</v>
      </c>
      <c r="L1500" s="9">
        <v>356</v>
      </c>
      <c r="M1500" s="9"/>
      <c r="N1500" s="9"/>
      <c r="O1500" s="9"/>
      <c r="P1500" s="9"/>
      <c r="Q1500" s="9">
        <f ca="1">IFERROR(__xludf.DUMMYFUNCTION("GOOGLEFINANCE(C1500,""changepct"")"),1.82)</f>
        <v>1.82</v>
      </c>
      <c r="R1500" s="9"/>
      <c r="S1500" s="9"/>
      <c r="T1500" s="9"/>
      <c r="U1500" s="9"/>
      <c r="V1500" s="9"/>
      <c r="W1500" s="9"/>
    </row>
    <row r="1501" spans="1:23" ht="14.4">
      <c r="A1501" s="3">
        <f>LOOKUP(D1501,'AMFI DATA_2023H1'!B:C,'AMFI DATA_2023H1'!C:C)</f>
        <v>3272</v>
      </c>
      <c r="B1501" s="4" t="s">
        <v>5656</v>
      </c>
      <c r="C1501" s="4" t="s">
        <v>5657</v>
      </c>
      <c r="D1501" s="5" t="s">
        <v>5658</v>
      </c>
      <c r="E1501" s="5">
        <f>LOOKUP(D1501,'AMFI DATA_2023H1'!B:D,'AMFI DATA_2023H1'!D:D)</f>
        <v>20.399999999999999</v>
      </c>
      <c r="F1501" s="7">
        <f t="shared" si="5"/>
        <v>0.92647058823529416</v>
      </c>
      <c r="G1501" s="9">
        <v>39.299999999999997</v>
      </c>
      <c r="H1501" s="9">
        <v>38.6</v>
      </c>
      <c r="I1501" s="9">
        <v>37.9</v>
      </c>
      <c r="J1501" s="9">
        <v>37.200000000000003</v>
      </c>
      <c r="K1501" s="9">
        <v>80.599999999999994</v>
      </c>
      <c r="L1501" s="9">
        <v>53.4</v>
      </c>
      <c r="M1501" s="9"/>
      <c r="N1501" s="9"/>
      <c r="O1501" s="9"/>
      <c r="P1501" s="9"/>
      <c r="Q1501" s="9">
        <f ca="1">IFERROR(__xludf.DUMMYFUNCTION("GOOGLEFINANCE(C1501,""changepct"")"),4.55)</f>
        <v>4.55</v>
      </c>
      <c r="R1501" s="9"/>
      <c r="S1501" s="9"/>
      <c r="T1501" s="9"/>
      <c r="U1501" s="9"/>
      <c r="V1501" s="9"/>
      <c r="W1501" s="9"/>
    </row>
    <row r="1502" spans="1:23" ht="14.4">
      <c r="A1502" s="3">
        <f>LOOKUP(D1502,'AMFI DATA_2023H1'!B:C,'AMFI DATA_2023H1'!C:C)</f>
        <v>1478</v>
      </c>
      <c r="B1502" s="4" t="s">
        <v>4178</v>
      </c>
      <c r="C1502" s="4" t="s">
        <v>4179</v>
      </c>
      <c r="D1502" s="5" t="s">
        <v>4180</v>
      </c>
      <c r="E1502" s="5">
        <f>LOOKUP(D1502,'AMFI DATA_2023H1'!B:D,'AMFI DATA_2023H1'!D:D)</f>
        <v>360.54</v>
      </c>
      <c r="F1502" s="7">
        <f t="shared" si="5"/>
        <v>0.19820269595606588</v>
      </c>
      <c r="G1502" s="9">
        <v>432</v>
      </c>
      <c r="H1502" s="9">
        <v>436</v>
      </c>
      <c r="I1502" s="9">
        <v>432</v>
      </c>
      <c r="J1502" s="9">
        <v>442</v>
      </c>
      <c r="K1502" s="9">
        <v>422</v>
      </c>
      <c r="L1502" s="9">
        <v>426</v>
      </c>
      <c r="M1502" s="9"/>
      <c r="N1502" s="9"/>
      <c r="O1502" s="9"/>
      <c r="P1502" s="9"/>
      <c r="Q1502" s="9">
        <f ca="1">IFERROR(__xludf.DUMMYFUNCTION("GOOGLEFINANCE(C1502,""changepct"")"),0.11)</f>
        <v>0.11</v>
      </c>
      <c r="R1502" s="9"/>
      <c r="S1502" s="9"/>
      <c r="T1502" s="9"/>
      <c r="U1502" s="9"/>
      <c r="V1502" s="9"/>
      <c r="W1502" s="9"/>
    </row>
    <row r="1503" spans="1:23" ht="14.4">
      <c r="A1503" s="3">
        <f>LOOKUP(D1503,'AMFI DATA_2023H1'!B:C,'AMFI DATA_2023H1'!C:C)</f>
        <v>748</v>
      </c>
      <c r="B1503" s="4" t="s">
        <v>2276</v>
      </c>
      <c r="C1503" s="4" t="s">
        <v>2277</v>
      </c>
      <c r="D1503" s="5" t="s">
        <v>2278</v>
      </c>
      <c r="E1503" s="5">
        <f>LOOKUP(D1503,'AMFI DATA_2023H1'!B:D,'AMFI DATA_2023H1'!D:D)</f>
        <v>2199.25</v>
      </c>
      <c r="F1503" s="7">
        <f t="shared" si="5"/>
        <v>0.26361259520291003</v>
      </c>
      <c r="G1503" s="8">
        <v>2779</v>
      </c>
      <c r="H1503" s="8">
        <v>2868</v>
      </c>
      <c r="I1503" s="8">
        <v>3030</v>
      </c>
      <c r="J1503" s="8">
        <v>3131</v>
      </c>
      <c r="K1503" s="8">
        <v>3091</v>
      </c>
      <c r="L1503" s="8">
        <v>3142</v>
      </c>
      <c r="M1503" s="8"/>
      <c r="N1503" s="8"/>
      <c r="O1503" s="8"/>
      <c r="P1503" s="8"/>
      <c r="Q1503" s="9">
        <f ca="1">IFERROR(__xludf.DUMMYFUNCTION("GOOGLEFINANCE(C1503,""changepct"")"),-0.23)</f>
        <v>-0.23</v>
      </c>
      <c r="R1503" s="8"/>
      <c r="S1503" s="8"/>
      <c r="T1503" s="8"/>
      <c r="U1503" s="8"/>
      <c r="V1503" s="8"/>
      <c r="W1503" s="8"/>
    </row>
    <row r="1504" spans="1:23" ht="14.4">
      <c r="A1504" s="3">
        <f>LOOKUP(D1504,'AMFI DATA_2023H1'!B:C,'AMFI DATA_2023H1'!C:C)</f>
        <v>542</v>
      </c>
      <c r="B1504" s="4" t="s">
        <v>1659</v>
      </c>
      <c r="C1504" s="4" t="s">
        <v>1660</v>
      </c>
      <c r="D1504" s="5" t="s">
        <v>1661</v>
      </c>
      <c r="E1504" s="5">
        <f>LOOKUP(D1504,'AMFI DATA_2023H1'!B:D,'AMFI DATA_2023H1'!D:D)</f>
        <v>4485.08</v>
      </c>
      <c r="F1504" s="7">
        <f t="shared" si="5"/>
        <v>0.70208781114272223</v>
      </c>
      <c r="G1504" s="8">
        <v>7634</v>
      </c>
      <c r="H1504" s="8">
        <v>7588</v>
      </c>
      <c r="I1504" s="8">
        <v>7707</v>
      </c>
      <c r="J1504" s="8">
        <v>7711</v>
      </c>
      <c r="K1504" s="8">
        <v>7749</v>
      </c>
      <c r="L1504" s="8">
        <v>7641</v>
      </c>
      <c r="M1504" s="8"/>
      <c r="N1504" s="8"/>
      <c r="O1504" s="8"/>
      <c r="P1504" s="8"/>
      <c r="Q1504" s="9">
        <f ca="1">IFERROR(__xludf.DUMMYFUNCTION("GOOGLEFINANCE(C1504,""changepct"")"),8.51)</f>
        <v>8.51</v>
      </c>
      <c r="R1504" s="8"/>
      <c r="S1504" s="8"/>
      <c r="T1504" s="8"/>
      <c r="U1504" s="8"/>
      <c r="V1504" s="8"/>
      <c r="W1504" s="8"/>
    </row>
    <row r="1505" spans="1:23" ht="14.4">
      <c r="A1505" s="3">
        <f>LOOKUP(D1505,'AMFI DATA_2023H1'!B:C,'AMFI DATA_2023H1'!C:C)</f>
        <v>2413</v>
      </c>
      <c r="B1505" s="4" t="s">
        <v>5386</v>
      </c>
      <c r="C1505" s="4" t="s">
        <v>5387</v>
      </c>
      <c r="D1505" s="5" t="s">
        <v>5388</v>
      </c>
      <c r="E1505" s="5">
        <f>LOOKUP(D1505,'AMFI DATA_2023H1'!B:D,'AMFI DATA_2023H1'!D:D)</f>
        <v>72.09</v>
      </c>
      <c r="F1505" s="7">
        <f t="shared" si="5"/>
        <v>0.12082119572756267</v>
      </c>
      <c r="G1505" s="9">
        <v>80.8</v>
      </c>
      <c r="H1505" s="9">
        <v>83.7</v>
      </c>
      <c r="I1505" s="9">
        <v>84.7</v>
      </c>
      <c r="J1505" s="9">
        <v>86</v>
      </c>
      <c r="K1505" s="9">
        <v>78.7</v>
      </c>
      <c r="L1505" s="9">
        <v>79</v>
      </c>
      <c r="M1505" s="9"/>
      <c r="N1505" s="9"/>
      <c r="O1505" s="9"/>
      <c r="P1505" s="9"/>
      <c r="Q1505" s="9">
        <f ca="1">IFERROR(__xludf.DUMMYFUNCTION("GOOGLEFINANCE(C1505,""changepct"")"),-1.05)</f>
        <v>-1.05</v>
      </c>
      <c r="R1505" s="9"/>
      <c r="S1505" s="9"/>
      <c r="T1505" s="9"/>
      <c r="U1505" s="9"/>
      <c r="V1505" s="9"/>
      <c r="W1505" s="9"/>
    </row>
    <row r="1506" spans="1:23" ht="14.4">
      <c r="A1506" s="3">
        <f>LOOKUP(D1506,'AMFI DATA_2023H1'!B:C,'AMFI DATA_2023H1'!C:C)</f>
        <v>1938</v>
      </c>
      <c r="B1506" s="4" t="s">
        <v>4784</v>
      </c>
      <c r="C1506" s="4" t="s">
        <v>4785</v>
      </c>
      <c r="D1506" s="5" t="s">
        <v>4786</v>
      </c>
      <c r="E1506" s="5">
        <f>LOOKUP(D1506,'AMFI DATA_2023H1'!B:D,'AMFI DATA_2023H1'!D:D)</f>
        <v>157.85</v>
      </c>
      <c r="F1506" s="7">
        <f t="shared" si="5"/>
        <v>0.17199873297434287</v>
      </c>
      <c r="G1506" s="9">
        <v>185</v>
      </c>
      <c r="H1506" s="9">
        <v>185</v>
      </c>
      <c r="I1506" s="9">
        <v>187</v>
      </c>
      <c r="J1506" s="9">
        <v>189</v>
      </c>
      <c r="K1506" s="9">
        <v>185</v>
      </c>
      <c r="L1506" s="9">
        <v>184</v>
      </c>
      <c r="M1506" s="9"/>
      <c r="N1506" s="9"/>
      <c r="O1506" s="9"/>
      <c r="P1506" s="9"/>
      <c r="Q1506" s="9">
        <f ca="1">IFERROR(__xludf.DUMMYFUNCTION("GOOGLEFINANCE(C1506,""changepct"")"),2.08)</f>
        <v>2.08</v>
      </c>
      <c r="R1506" s="9"/>
      <c r="S1506" s="9"/>
      <c r="T1506" s="9"/>
      <c r="U1506" s="9"/>
      <c r="V1506" s="9"/>
      <c r="W1506" s="9"/>
    </row>
    <row r="1507" spans="1:23" ht="14.4">
      <c r="A1507" s="3">
        <f>LOOKUP(D1507,'AMFI DATA_2023H1'!B:C,'AMFI DATA_2023H1'!C:C)</f>
        <v>680</v>
      </c>
      <c r="B1507" s="4" t="s">
        <v>2213</v>
      </c>
      <c r="C1507" s="4" t="s">
        <v>2214</v>
      </c>
      <c r="D1507" s="5" t="s">
        <v>2215</v>
      </c>
      <c r="E1507" s="5">
        <f>LOOKUP(D1507,'AMFI DATA_2023H1'!B:D,'AMFI DATA_2023H1'!D:D)</f>
        <v>2764.97</v>
      </c>
      <c r="F1507" s="7">
        <f t="shared" si="5"/>
        <v>0.24485979956382908</v>
      </c>
      <c r="G1507" s="8">
        <v>3442</v>
      </c>
      <c r="H1507" s="8">
        <v>3169</v>
      </c>
      <c r="I1507" s="8">
        <v>3133</v>
      </c>
      <c r="J1507" s="8">
        <v>3117</v>
      </c>
      <c r="K1507" s="8">
        <v>3146</v>
      </c>
      <c r="L1507" s="8">
        <v>3090</v>
      </c>
      <c r="M1507" s="8"/>
      <c r="N1507" s="8"/>
      <c r="O1507" s="8"/>
      <c r="P1507" s="8"/>
      <c r="Q1507" s="9">
        <f ca="1">IFERROR(__xludf.DUMMYFUNCTION("GOOGLEFINANCE(C1507,""changepct"")"),-0.98)</f>
        <v>-0.98</v>
      </c>
      <c r="R1507" s="8"/>
      <c r="S1507" s="8"/>
      <c r="T1507" s="8"/>
      <c r="U1507" s="8"/>
      <c r="V1507" s="8"/>
      <c r="W1507" s="8"/>
    </row>
    <row r="1508" spans="1:23" ht="14.4">
      <c r="A1508" s="3">
        <f>LOOKUP(D1508,'AMFI DATA_2023H1'!B:C,'AMFI DATA_2023H1'!C:C)</f>
        <v>1048</v>
      </c>
      <c r="B1508" s="4" t="s">
        <v>3305</v>
      </c>
      <c r="C1508" s="4" t="s">
        <v>3306</v>
      </c>
      <c r="D1508" s="5" t="s">
        <v>3307</v>
      </c>
      <c r="E1508" s="5">
        <f>LOOKUP(D1508,'AMFI DATA_2023H1'!B:D,'AMFI DATA_2023H1'!D:D)</f>
        <v>1043.42</v>
      </c>
      <c r="F1508" s="7">
        <f t="shared" si="5"/>
        <v>9.9269709225431768E-2</v>
      </c>
      <c r="G1508" s="9">
        <v>1147</v>
      </c>
      <c r="H1508" s="9">
        <v>1147</v>
      </c>
      <c r="I1508" s="9">
        <v>1151</v>
      </c>
      <c r="J1508" s="9">
        <v>1081</v>
      </c>
      <c r="K1508" s="9">
        <v>994</v>
      </c>
      <c r="L1508" s="9">
        <v>961</v>
      </c>
      <c r="M1508" s="9"/>
      <c r="N1508" s="9"/>
      <c r="O1508" s="9"/>
      <c r="P1508" s="9"/>
      <c r="Q1508" s="9">
        <f ca="1">IFERROR(__xludf.DUMMYFUNCTION("GOOGLEFINANCE(C1508,""changepct"")"),-1.66)</f>
        <v>-1.66</v>
      </c>
      <c r="R1508" s="9"/>
      <c r="S1508" s="9"/>
      <c r="T1508" s="9"/>
      <c r="U1508" s="9"/>
      <c r="V1508" s="9"/>
      <c r="W1508" s="9"/>
    </row>
    <row r="1509" spans="1:23" ht="14.4">
      <c r="A1509" s="3">
        <f>LOOKUP(D1509,'AMFI DATA_2023H1'!B:C,'AMFI DATA_2023H1'!C:C)</f>
        <v>1555</v>
      </c>
      <c r="B1509" s="4" t="s">
        <v>4199</v>
      </c>
      <c r="C1509" s="4" t="s">
        <v>4200</v>
      </c>
      <c r="D1509" s="5" t="s">
        <v>4201</v>
      </c>
      <c r="E1509" s="5">
        <f>LOOKUP(D1509,'AMFI DATA_2023H1'!B:D,'AMFI DATA_2023H1'!D:D)</f>
        <v>311.35000000000002</v>
      </c>
      <c r="F1509" s="7">
        <f t="shared" si="5"/>
        <v>0.49670788501686203</v>
      </c>
      <c r="G1509" s="9">
        <v>466</v>
      </c>
      <c r="H1509" s="9">
        <v>472</v>
      </c>
      <c r="I1509" s="9">
        <v>491</v>
      </c>
      <c r="J1509" s="9">
        <v>490</v>
      </c>
      <c r="K1509" s="9">
        <v>471</v>
      </c>
      <c r="L1509" s="9">
        <v>484</v>
      </c>
      <c r="M1509" s="9"/>
      <c r="N1509" s="9"/>
      <c r="O1509" s="9"/>
      <c r="P1509" s="9"/>
      <c r="Q1509" s="9">
        <f ca="1">IFERROR(__xludf.DUMMYFUNCTION("GOOGLEFINANCE(C1509,""changepct"")"),1.58)</f>
        <v>1.58</v>
      </c>
      <c r="R1509" s="9"/>
      <c r="S1509" s="9"/>
      <c r="T1509" s="9"/>
      <c r="U1509" s="9"/>
      <c r="V1509" s="9"/>
      <c r="W1509" s="9"/>
    </row>
    <row r="1510" spans="1:23" ht="14.4">
      <c r="A1510" s="3">
        <f>LOOKUP(D1510,'AMFI DATA_2023H1'!B:C,'AMFI DATA_2023H1'!C:C)</f>
        <v>405</v>
      </c>
      <c r="B1510" s="4" t="s">
        <v>1413</v>
      </c>
      <c r="C1510" s="4" t="s">
        <v>1414</v>
      </c>
      <c r="D1510" s="5" t="s">
        <v>1415</v>
      </c>
      <c r="E1510" s="5">
        <f>LOOKUP(D1510,'AMFI DATA_2023H1'!B:D,'AMFI DATA_2023H1'!D:D)</f>
        <v>7503.28</v>
      </c>
      <c r="F1510" s="7">
        <f t="shared" si="5"/>
        <v>9.5958034352916499E-5</v>
      </c>
      <c r="G1510" s="8">
        <v>7504</v>
      </c>
      <c r="H1510" s="8">
        <v>7642</v>
      </c>
      <c r="I1510" s="8">
        <v>7494</v>
      </c>
      <c r="J1510" s="8">
        <v>7532</v>
      </c>
      <c r="K1510" s="8">
        <v>7680</v>
      </c>
      <c r="L1510" s="8">
        <v>7581</v>
      </c>
      <c r="M1510" s="8"/>
      <c r="N1510" s="8"/>
      <c r="O1510" s="8"/>
      <c r="P1510" s="8"/>
      <c r="Q1510" s="9">
        <f ca="1">IFERROR(__xludf.DUMMYFUNCTION("GOOGLEFINANCE(C1510,""changepct"")"),1.49)</f>
        <v>1.49</v>
      </c>
      <c r="R1510" s="8"/>
      <c r="S1510" s="8"/>
      <c r="T1510" s="8"/>
      <c r="U1510" s="8"/>
      <c r="V1510" s="8"/>
      <c r="W1510" s="8"/>
    </row>
    <row r="1511" spans="1:23" ht="14.4">
      <c r="A1511" s="3">
        <f>LOOKUP(D1511,'AMFI DATA_2023H1'!B:C,'AMFI DATA_2023H1'!C:C)</f>
        <v>2258</v>
      </c>
      <c r="B1511" s="4" t="s">
        <v>5183</v>
      </c>
      <c r="C1511" s="4" t="s">
        <v>5184</v>
      </c>
      <c r="D1511" s="5" t="s">
        <v>5185</v>
      </c>
      <c r="E1511" s="5">
        <f>LOOKUP(D1511,'AMFI DATA_2023H1'!B:D,'AMFI DATA_2023H1'!D:D)</f>
        <v>93.35</v>
      </c>
      <c r="F1511" s="7">
        <f t="shared" si="5"/>
        <v>0.46759507230851649</v>
      </c>
      <c r="G1511" s="9">
        <v>137</v>
      </c>
      <c r="H1511" s="9">
        <v>137</v>
      </c>
      <c r="I1511" s="9">
        <v>138</v>
      </c>
      <c r="J1511" s="9">
        <v>137</v>
      </c>
      <c r="K1511" s="9">
        <v>139</v>
      </c>
      <c r="L1511" s="9">
        <v>137</v>
      </c>
      <c r="M1511" s="9"/>
      <c r="N1511" s="9"/>
      <c r="O1511" s="9"/>
      <c r="P1511" s="9"/>
      <c r="Q1511" s="9">
        <f ca="1">IFERROR(__xludf.DUMMYFUNCTION("GOOGLEFINANCE(C1511,""changepct"")"),-0.07)</f>
        <v>-7.0000000000000007E-2</v>
      </c>
      <c r="R1511" s="9"/>
      <c r="S1511" s="9"/>
      <c r="T1511" s="9"/>
      <c r="U1511" s="9"/>
      <c r="V1511" s="9"/>
      <c r="W1511" s="9"/>
    </row>
    <row r="1512" spans="1:23" ht="14.4">
      <c r="A1512" s="3">
        <f>LOOKUP(D1512,'AMFI DATA_2023H1'!B:C,'AMFI DATA_2023H1'!C:C)</f>
        <v>60</v>
      </c>
      <c r="B1512" s="4" t="s">
        <v>204</v>
      </c>
      <c r="C1512" s="4" t="s">
        <v>205</v>
      </c>
      <c r="D1512" s="5" t="s">
        <v>206</v>
      </c>
      <c r="E1512" s="5">
        <f>LOOKUP(D1512,'AMFI DATA_2023H1'!B:D,'AMFI DATA_2023H1'!D:D)</f>
        <v>89674.59</v>
      </c>
      <c r="F1512" s="7">
        <f t="shared" si="5"/>
        <v>0.14070217661435636</v>
      </c>
      <c r="G1512" s="8">
        <v>102292</v>
      </c>
      <c r="H1512" s="8">
        <v>103149</v>
      </c>
      <c r="I1512" s="8">
        <v>102922</v>
      </c>
      <c r="J1512" s="8">
        <v>103353</v>
      </c>
      <c r="K1512" s="8">
        <v>103286</v>
      </c>
      <c r="L1512" s="8">
        <v>101699</v>
      </c>
      <c r="M1512" s="8"/>
      <c r="N1512" s="8"/>
      <c r="O1512" s="8"/>
      <c r="P1512" s="8"/>
      <c r="Q1512" s="9">
        <f ca="1">IFERROR(__xludf.DUMMYFUNCTION("GOOGLEFINANCE(C1512,""changepct"")"),3.61)</f>
        <v>3.61</v>
      </c>
      <c r="R1512" s="8"/>
      <c r="S1512" s="8"/>
      <c r="T1512" s="8"/>
      <c r="U1512" s="8"/>
      <c r="V1512" s="8"/>
      <c r="W1512" s="8"/>
    </row>
    <row r="1513" spans="1:23" ht="14.4">
      <c r="A1513" s="3">
        <f>LOOKUP(D1513,'AMFI DATA_2023H1'!B:C,'AMFI DATA_2023H1'!C:C)</f>
        <v>1046</v>
      </c>
      <c r="B1513" s="4" t="s">
        <v>3137</v>
      </c>
      <c r="C1513" s="4" t="s">
        <v>3138</v>
      </c>
      <c r="D1513" s="5" t="s">
        <v>3139</v>
      </c>
      <c r="E1513" s="5">
        <f>LOOKUP(D1513,'AMFI DATA_2023H1'!B:D,'AMFI DATA_2023H1'!D:D)</f>
        <v>1043.6199999999999</v>
      </c>
      <c r="F1513" s="7">
        <f t="shared" si="5"/>
        <v>0.37693796592629525</v>
      </c>
      <c r="G1513" s="8">
        <v>1437</v>
      </c>
      <c r="H1513" s="8">
        <v>1376</v>
      </c>
      <c r="I1513" s="8">
        <v>1400</v>
      </c>
      <c r="J1513" s="8">
        <v>1385</v>
      </c>
      <c r="K1513" s="8">
        <v>1359</v>
      </c>
      <c r="L1513" s="8">
        <v>1349</v>
      </c>
      <c r="M1513" s="8"/>
      <c r="N1513" s="8"/>
      <c r="O1513" s="8"/>
      <c r="P1513" s="8"/>
      <c r="Q1513" s="9">
        <f ca="1">IFERROR(__xludf.DUMMYFUNCTION("GOOGLEFINANCE(C1513,""changepct"")"),4.07)</f>
        <v>4.07</v>
      </c>
      <c r="R1513" s="8"/>
      <c r="S1513" s="8"/>
      <c r="T1513" s="8"/>
      <c r="U1513" s="8"/>
      <c r="V1513" s="8"/>
      <c r="W1513" s="8"/>
    </row>
    <row r="1514" spans="1:23" ht="14.4">
      <c r="A1514" s="3">
        <f>LOOKUP(D1514,'AMFI DATA_2023H1'!B:C,'AMFI DATA_2023H1'!C:C)</f>
        <v>1285</v>
      </c>
      <c r="B1514" s="4" t="s">
        <v>3794</v>
      </c>
      <c r="C1514" s="4" t="s">
        <v>3795</v>
      </c>
      <c r="D1514" s="5" t="s">
        <v>3796</v>
      </c>
      <c r="E1514" s="5">
        <f>LOOKUP(D1514,'AMFI DATA_2023H1'!B:D,'AMFI DATA_2023H1'!D:D)</f>
        <v>549.99</v>
      </c>
      <c r="F1514" s="7">
        <f t="shared" si="5"/>
        <v>0.29820542191676203</v>
      </c>
      <c r="G1514" s="9">
        <v>714</v>
      </c>
      <c r="H1514" s="9">
        <v>711</v>
      </c>
      <c r="I1514" s="9">
        <v>733</v>
      </c>
      <c r="J1514" s="9">
        <v>730</v>
      </c>
      <c r="K1514" s="9">
        <v>737</v>
      </c>
      <c r="L1514" s="9">
        <v>701</v>
      </c>
      <c r="M1514" s="9"/>
      <c r="N1514" s="9"/>
      <c r="O1514" s="9"/>
      <c r="P1514" s="9"/>
      <c r="Q1514" s="9">
        <f ca="1">IFERROR(__xludf.DUMMYFUNCTION("GOOGLEFINANCE(C1514,""changepct"")"),4.35)</f>
        <v>4.3499999999999996</v>
      </c>
      <c r="R1514" s="9"/>
      <c r="S1514" s="9"/>
      <c r="T1514" s="9"/>
      <c r="U1514" s="9"/>
      <c r="V1514" s="9"/>
      <c r="W1514" s="9"/>
    </row>
    <row r="1515" spans="1:23" ht="14.4">
      <c r="A1515" s="3">
        <f>LOOKUP(D1515,'AMFI DATA_2023H1'!B:C,'AMFI DATA_2023H1'!C:C)</f>
        <v>2184</v>
      </c>
      <c r="B1515" s="4" t="s">
        <v>5365</v>
      </c>
      <c r="C1515" s="4" t="s">
        <v>5366</v>
      </c>
      <c r="D1515" s="5" t="s">
        <v>5367</v>
      </c>
      <c r="E1515" s="5">
        <f>LOOKUP(D1515,'AMFI DATA_2023H1'!B:D,'AMFI DATA_2023H1'!D:D)</f>
        <v>106.06</v>
      </c>
      <c r="F1515" s="7">
        <f t="shared" si="5"/>
        <v>-0.55591174806713184</v>
      </c>
      <c r="G1515" s="9">
        <v>47.1</v>
      </c>
      <c r="H1515" s="9">
        <v>45</v>
      </c>
      <c r="I1515" s="9">
        <v>42.8</v>
      </c>
      <c r="J1515" s="9">
        <v>45</v>
      </c>
      <c r="K1515" s="9">
        <v>45</v>
      </c>
      <c r="L1515" s="9">
        <v>45</v>
      </c>
      <c r="M1515" s="9"/>
      <c r="N1515" s="9"/>
      <c r="O1515" s="9"/>
      <c r="P1515" s="9"/>
      <c r="Q1515" s="9">
        <f ca="1">IFERROR(__xludf.DUMMYFUNCTION("GOOGLEFINANCE(C1515,""changepct"")"),6.67)</f>
        <v>6.67</v>
      </c>
      <c r="R1515" s="9"/>
      <c r="S1515" s="9"/>
      <c r="T1515" s="9"/>
      <c r="U1515" s="9"/>
      <c r="V1515" s="9"/>
      <c r="W1515" s="9"/>
    </row>
    <row r="1516" spans="1:23" ht="14.4">
      <c r="A1516" s="3">
        <f>LOOKUP(D1516,'AMFI DATA_2023H1'!B:C,'AMFI DATA_2023H1'!C:C)</f>
        <v>2324</v>
      </c>
      <c r="B1516" s="4" t="s">
        <v>4364</v>
      </c>
      <c r="C1516" s="4" t="s">
        <v>4365</v>
      </c>
      <c r="D1516" s="5" t="s">
        <v>4366</v>
      </c>
      <c r="E1516" s="5">
        <f>LOOKUP(D1516,'AMFI DATA_2023H1'!B:D,'AMFI DATA_2023H1'!D:D)</f>
        <v>83.78</v>
      </c>
      <c r="F1516" s="7">
        <f t="shared" si="5"/>
        <v>3.643112914776796</v>
      </c>
      <c r="G1516" s="9">
        <v>389</v>
      </c>
      <c r="H1516" s="9">
        <v>399</v>
      </c>
      <c r="I1516" s="9">
        <v>400</v>
      </c>
      <c r="J1516" s="9">
        <v>389</v>
      </c>
      <c r="K1516" s="9">
        <v>379</v>
      </c>
      <c r="L1516" s="9">
        <v>392</v>
      </c>
      <c r="M1516" s="9"/>
      <c r="N1516" s="9"/>
      <c r="O1516" s="9"/>
      <c r="P1516" s="9"/>
      <c r="Q1516" s="9">
        <f ca="1">IFERROR(__xludf.DUMMYFUNCTION("GOOGLEFINANCE(C1516,""changepct"")"),9.17)</f>
        <v>9.17</v>
      </c>
      <c r="R1516" s="9"/>
      <c r="S1516" s="9"/>
      <c r="T1516" s="9"/>
      <c r="U1516" s="9"/>
      <c r="V1516" s="9"/>
      <c r="W1516" s="9"/>
    </row>
    <row r="1517" spans="1:23" ht="14.4">
      <c r="A1517" s="3">
        <f>LOOKUP(D1517,'AMFI DATA_2023H1'!B:C,'AMFI DATA_2023H1'!C:C)</f>
        <v>1803</v>
      </c>
      <c r="B1517" s="4" t="s">
        <v>4616</v>
      </c>
      <c r="C1517" s="4" t="s">
        <v>4617</v>
      </c>
      <c r="D1517" s="5" t="s">
        <v>4618</v>
      </c>
      <c r="E1517" s="5">
        <f>LOOKUP(D1517,'AMFI DATA_2023H1'!B:D,'AMFI DATA_2023H1'!D:D)</f>
        <v>194.59</v>
      </c>
      <c r="F1517" s="7">
        <f t="shared" si="5"/>
        <v>0.39267177141682508</v>
      </c>
      <c r="G1517" s="9">
        <v>271</v>
      </c>
      <c r="H1517" s="9">
        <v>260</v>
      </c>
      <c r="I1517" s="9">
        <v>246</v>
      </c>
      <c r="J1517" s="9">
        <v>258</v>
      </c>
      <c r="K1517" s="9">
        <v>268</v>
      </c>
      <c r="L1517" s="9">
        <v>271</v>
      </c>
      <c r="M1517" s="9"/>
      <c r="N1517" s="9"/>
      <c r="O1517" s="9"/>
      <c r="P1517" s="9"/>
      <c r="Q1517" s="9">
        <f ca="1">IFERROR(__xludf.DUMMYFUNCTION("GOOGLEFINANCE(C1517,""changepct"")"),3.12)</f>
        <v>3.12</v>
      </c>
      <c r="R1517" s="9"/>
      <c r="S1517" s="9"/>
      <c r="T1517" s="9"/>
      <c r="U1517" s="9"/>
      <c r="V1517" s="9"/>
      <c r="W1517" s="9"/>
    </row>
    <row r="1518" spans="1:23" ht="14.4">
      <c r="A1518" s="3">
        <f>LOOKUP(D1518,'AMFI DATA_2023H1'!B:C,'AMFI DATA_2023H1'!C:C)</f>
        <v>348</v>
      </c>
      <c r="B1518" s="4" t="s">
        <v>1191</v>
      </c>
      <c r="C1518" s="4" t="s">
        <v>1192</v>
      </c>
      <c r="D1518" s="5" t="s">
        <v>1193</v>
      </c>
      <c r="E1518" s="5">
        <f>LOOKUP(D1518,'AMFI DATA_2023H1'!B:D,'AMFI DATA_2023H1'!D:D)</f>
        <v>9925.5300000000007</v>
      </c>
      <c r="F1518" s="7">
        <f t="shared" si="5"/>
        <v>1.5361396318382958E-2</v>
      </c>
      <c r="G1518" s="8">
        <v>10078</v>
      </c>
      <c r="H1518" s="8">
        <v>10036</v>
      </c>
      <c r="I1518" s="8">
        <v>9866</v>
      </c>
      <c r="J1518" s="8">
        <v>9919</v>
      </c>
      <c r="K1518" s="8">
        <v>9964</v>
      </c>
      <c r="L1518" s="8">
        <v>10046</v>
      </c>
      <c r="M1518" s="8"/>
      <c r="N1518" s="8"/>
      <c r="O1518" s="8"/>
      <c r="P1518" s="8"/>
      <c r="Q1518" s="9">
        <f ca="1">IFERROR(__xludf.DUMMYFUNCTION("GOOGLEFINANCE(C1518,""changepct"")"),-0.33)</f>
        <v>-0.33</v>
      </c>
      <c r="R1518" s="8"/>
      <c r="S1518" s="8"/>
      <c r="T1518" s="8"/>
      <c r="U1518" s="8"/>
      <c r="V1518" s="8"/>
      <c r="W1518" s="8"/>
    </row>
    <row r="1519" spans="1:23" ht="14.4">
      <c r="A1519" s="3">
        <f>LOOKUP(D1519,'AMFI DATA_2023H1'!B:C,'AMFI DATA_2023H1'!C:C)</f>
        <v>1808</v>
      </c>
      <c r="B1519" s="4" t="s">
        <v>4679</v>
      </c>
      <c r="C1519" s="4" t="s">
        <v>4680</v>
      </c>
      <c r="D1519" s="5" t="s">
        <v>4681</v>
      </c>
      <c r="E1519" s="5">
        <f>LOOKUP(D1519,'AMFI DATA_2023H1'!B:D,'AMFI DATA_2023H1'!D:D)</f>
        <v>193.71</v>
      </c>
      <c r="F1519" s="7">
        <f t="shared" si="5"/>
        <v>0.32672551752619894</v>
      </c>
      <c r="G1519" s="9">
        <v>257</v>
      </c>
      <c r="H1519" s="9">
        <v>245</v>
      </c>
      <c r="I1519" s="9">
        <v>233</v>
      </c>
      <c r="J1519" s="9">
        <v>222</v>
      </c>
      <c r="K1519" s="9">
        <v>212</v>
      </c>
      <c r="L1519" s="9">
        <v>203</v>
      </c>
      <c r="M1519" s="9"/>
      <c r="N1519" s="9"/>
      <c r="O1519" s="9"/>
      <c r="P1519" s="9"/>
      <c r="Q1519" s="9">
        <f ca="1">IFERROR(__xludf.DUMMYFUNCTION("GOOGLEFINANCE(C1519,""changepct"")"),7.71)</f>
        <v>7.71</v>
      </c>
      <c r="R1519" s="9"/>
      <c r="S1519" s="9"/>
      <c r="T1519" s="9"/>
      <c r="U1519" s="9"/>
      <c r="V1519" s="9"/>
      <c r="W1519" s="9"/>
    </row>
    <row r="1520" spans="1:23" ht="14.4">
      <c r="A1520" s="3">
        <f>LOOKUP(D1520,'AMFI DATA_2023H1'!B:C,'AMFI DATA_2023H1'!C:C)</f>
        <v>1280</v>
      </c>
      <c r="B1520" s="4" t="s">
        <v>3983</v>
      </c>
      <c r="C1520" s="4" t="s">
        <v>3984</v>
      </c>
      <c r="D1520" s="5" t="s">
        <v>3985</v>
      </c>
      <c r="E1520" s="5">
        <f>LOOKUP(D1520,'AMFI DATA_2023H1'!B:D,'AMFI DATA_2023H1'!D:D)</f>
        <v>551.82000000000005</v>
      </c>
      <c r="F1520" s="7">
        <f t="shared" si="5"/>
        <v>-0.21532383748323736</v>
      </c>
      <c r="G1520" s="9">
        <v>433</v>
      </c>
      <c r="H1520" s="9">
        <v>433</v>
      </c>
      <c r="I1520" s="9">
        <v>449</v>
      </c>
      <c r="J1520" s="9">
        <v>454</v>
      </c>
      <c r="K1520" s="9">
        <v>456</v>
      </c>
      <c r="L1520" s="9">
        <v>461</v>
      </c>
      <c r="M1520" s="9"/>
      <c r="N1520" s="9"/>
      <c r="O1520" s="9"/>
      <c r="P1520" s="9"/>
      <c r="Q1520" s="9">
        <f ca="1">IFERROR(__xludf.DUMMYFUNCTION("GOOGLEFINANCE(C1520,""changepct"")"),4.8)</f>
        <v>4.8</v>
      </c>
      <c r="R1520" s="9"/>
      <c r="S1520" s="9"/>
      <c r="T1520" s="9"/>
      <c r="U1520" s="9"/>
      <c r="V1520" s="9"/>
      <c r="W1520" s="9"/>
    </row>
    <row r="1521" spans="1:23" ht="14.4">
      <c r="A1521" s="3">
        <f>LOOKUP(D1521,'AMFI DATA_2023H1'!B:C,'AMFI DATA_2023H1'!C:C)</f>
        <v>2400</v>
      </c>
      <c r="B1521" s="4" t="s">
        <v>5410</v>
      </c>
      <c r="C1521" s="4" t="s">
        <v>5411</v>
      </c>
      <c r="D1521" s="5" t="s">
        <v>5412</v>
      </c>
      <c r="E1521" s="5">
        <f>LOOKUP(D1521,'AMFI DATA_2023H1'!B:D,'AMFI DATA_2023H1'!D:D)</f>
        <v>73.040000000000006</v>
      </c>
      <c r="F1521" s="7">
        <f t="shared" si="5"/>
        <v>4.9288061336254518E-3</v>
      </c>
      <c r="G1521" s="9">
        <v>73.400000000000006</v>
      </c>
      <c r="H1521" s="9">
        <v>76.5</v>
      </c>
      <c r="I1521" s="9">
        <v>76.5</v>
      </c>
      <c r="J1521" s="9">
        <v>76.5</v>
      </c>
      <c r="K1521" s="9">
        <v>79.599999999999994</v>
      </c>
      <c r="L1521" s="9">
        <v>79.599999999999994</v>
      </c>
      <c r="M1521" s="9"/>
      <c r="N1521" s="9"/>
      <c r="O1521" s="9"/>
      <c r="P1521" s="9"/>
      <c r="Q1521" s="9">
        <f ca="1">IFERROR(__xludf.DUMMYFUNCTION("GOOGLEFINANCE(C1521,""changepct"")"),0)</f>
        <v>0</v>
      </c>
      <c r="R1521" s="9"/>
      <c r="S1521" s="9"/>
      <c r="T1521" s="9"/>
      <c r="U1521" s="9"/>
      <c r="V1521" s="9"/>
      <c r="W1521" s="9"/>
    </row>
    <row r="1522" spans="1:23" ht="14.4">
      <c r="A1522" s="3">
        <f>LOOKUP(D1522,'AMFI DATA_2023H1'!B:C,'AMFI DATA_2023H1'!C:C)</f>
        <v>1698</v>
      </c>
      <c r="B1522" s="4" t="s">
        <v>4304</v>
      </c>
      <c r="C1522" s="4" t="s">
        <v>4305</v>
      </c>
      <c r="D1522" s="5" t="s">
        <v>4306</v>
      </c>
      <c r="E1522" s="5">
        <f>LOOKUP(D1522,'AMFI DATA_2023H1'!B:D,'AMFI DATA_2023H1'!D:D)</f>
        <v>241.58</v>
      </c>
      <c r="F1522" s="7">
        <f t="shared" si="5"/>
        <v>0.4777713386869773</v>
      </c>
      <c r="G1522" s="9">
        <v>357</v>
      </c>
      <c r="H1522" s="9">
        <v>358</v>
      </c>
      <c r="I1522" s="9">
        <v>359</v>
      </c>
      <c r="J1522" s="9">
        <v>357</v>
      </c>
      <c r="K1522" s="9">
        <v>358</v>
      </c>
      <c r="L1522" s="9">
        <v>363</v>
      </c>
      <c r="M1522" s="9"/>
      <c r="N1522" s="9"/>
      <c r="O1522" s="9"/>
      <c r="P1522" s="9"/>
      <c r="Q1522" s="9">
        <f ca="1">IFERROR(__xludf.DUMMYFUNCTION("GOOGLEFINANCE(C1522,""changepct"")"),-0.09)</f>
        <v>-0.09</v>
      </c>
      <c r="R1522" s="9"/>
      <c r="S1522" s="9"/>
      <c r="T1522" s="9"/>
      <c r="U1522" s="9"/>
      <c r="V1522" s="9"/>
      <c r="W1522" s="9"/>
    </row>
    <row r="1523" spans="1:23" ht="14.4">
      <c r="A1523" s="3">
        <f>LOOKUP(D1523,'AMFI DATA_2023H1'!B:C,'AMFI DATA_2023H1'!C:C)</f>
        <v>1229</v>
      </c>
      <c r="B1523" s="4" t="s">
        <v>3659</v>
      </c>
      <c r="C1523" s="4" t="s">
        <v>3660</v>
      </c>
      <c r="D1523" s="5" t="s">
        <v>3661</v>
      </c>
      <c r="E1523" s="5">
        <f>LOOKUP(D1523,'AMFI DATA_2023H1'!B:D,'AMFI DATA_2023H1'!D:D)</f>
        <v>637.44000000000005</v>
      </c>
      <c r="F1523" s="7">
        <f t="shared" si="5"/>
        <v>-2.4221887550200938E-2</v>
      </c>
      <c r="G1523" s="9">
        <v>622</v>
      </c>
      <c r="H1523" s="9">
        <v>613</v>
      </c>
      <c r="I1523" s="9">
        <v>615</v>
      </c>
      <c r="J1523" s="9">
        <v>621</v>
      </c>
      <c r="K1523" s="9">
        <v>621</v>
      </c>
      <c r="L1523" s="9">
        <v>616</v>
      </c>
      <c r="M1523" s="9"/>
      <c r="N1523" s="9"/>
      <c r="O1523" s="9"/>
      <c r="P1523" s="9"/>
      <c r="Q1523" s="9">
        <f ca="1">IFERROR(__xludf.DUMMYFUNCTION("GOOGLEFINANCE(C1523,""changepct"")"),-0.11)</f>
        <v>-0.11</v>
      </c>
      <c r="R1523" s="9"/>
      <c r="S1523" s="9"/>
      <c r="T1523" s="9"/>
      <c r="U1523" s="9"/>
      <c r="V1523" s="9"/>
      <c r="W1523" s="9"/>
    </row>
    <row r="1524" spans="1:23" ht="14.4">
      <c r="A1524" s="3">
        <f>LOOKUP(D1524,'AMFI DATA_2023H1'!B:C,'AMFI DATA_2023H1'!C:C)</f>
        <v>106</v>
      </c>
      <c r="B1524" s="4" t="s">
        <v>282</v>
      </c>
      <c r="C1524" s="4" t="s">
        <v>283</v>
      </c>
      <c r="D1524" s="5" t="s">
        <v>284</v>
      </c>
      <c r="E1524" s="5">
        <f>LOOKUP(D1524,'AMFI DATA_2023H1'!B:D,'AMFI DATA_2023H1'!D:D)</f>
        <v>48214.27</v>
      </c>
      <c r="F1524" s="7">
        <f t="shared" si="5"/>
        <v>0.59230866712282504</v>
      </c>
      <c r="G1524" s="8">
        <v>76772</v>
      </c>
      <c r="H1524" s="8">
        <v>76999</v>
      </c>
      <c r="I1524" s="8">
        <v>76946</v>
      </c>
      <c r="J1524" s="8">
        <v>77283</v>
      </c>
      <c r="K1524" s="8">
        <v>76406</v>
      </c>
      <c r="L1524" s="8">
        <v>77170</v>
      </c>
      <c r="M1524" s="8"/>
      <c r="N1524" s="8"/>
      <c r="O1524" s="8"/>
      <c r="P1524" s="8"/>
      <c r="Q1524" s="9">
        <f ca="1">IFERROR(__xludf.DUMMYFUNCTION("GOOGLEFINANCE(C1524,""changepct"")"),1.7)</f>
        <v>1.7</v>
      </c>
      <c r="R1524" s="8"/>
      <c r="S1524" s="8"/>
      <c r="T1524" s="8"/>
      <c r="U1524" s="8"/>
      <c r="V1524" s="8"/>
      <c r="W1524" s="8"/>
    </row>
    <row r="1525" spans="1:23" ht="14.4">
      <c r="A1525" s="3">
        <f>LOOKUP(D1525,'AMFI DATA_2023H1'!B:C,'AMFI DATA_2023H1'!C:C)</f>
        <v>664</v>
      </c>
      <c r="B1525" s="4" t="s">
        <v>1818</v>
      </c>
      <c r="C1525" s="4" t="s">
        <v>1819</v>
      </c>
      <c r="D1525" s="5" t="s">
        <v>1820</v>
      </c>
      <c r="E1525" s="5">
        <f>LOOKUP(D1525,'AMFI DATA_2023H1'!B:D,'AMFI DATA_2023H1'!D:D)</f>
        <v>2879.94</v>
      </c>
      <c r="F1525" s="7">
        <f t="shared" si="5"/>
        <v>1.3382431578435661</v>
      </c>
      <c r="G1525" s="8">
        <v>6734</v>
      </c>
      <c r="H1525" s="8">
        <v>6414</v>
      </c>
      <c r="I1525" s="8">
        <v>6156</v>
      </c>
      <c r="J1525" s="8">
        <v>6204</v>
      </c>
      <c r="K1525" s="8">
        <v>5908</v>
      </c>
      <c r="L1525" s="8">
        <v>5627</v>
      </c>
      <c r="M1525" s="8"/>
      <c r="N1525" s="8"/>
      <c r="O1525" s="8"/>
      <c r="P1525" s="8"/>
      <c r="Q1525" s="9">
        <f ca="1">IFERROR(__xludf.DUMMYFUNCTION("GOOGLEFINANCE(C1525,""changepct"")"),-1.53)</f>
        <v>-1.53</v>
      </c>
      <c r="R1525" s="8"/>
      <c r="S1525" s="8"/>
      <c r="T1525" s="8"/>
      <c r="U1525" s="8"/>
      <c r="V1525" s="8"/>
      <c r="W1525" s="8"/>
    </row>
    <row r="1526" spans="1:23" ht="14.4">
      <c r="A1526" s="3">
        <f>LOOKUP(D1526,'AMFI DATA_2023H1'!B:C,'AMFI DATA_2023H1'!C:C)</f>
        <v>1005</v>
      </c>
      <c r="B1526" s="4" t="s">
        <v>2951</v>
      </c>
      <c r="C1526" s="4" t="s">
        <v>2952</v>
      </c>
      <c r="D1526" s="5" t="s">
        <v>2953</v>
      </c>
      <c r="E1526" s="5">
        <f>LOOKUP(D1526,'AMFI DATA_2023H1'!B:D,'AMFI DATA_2023H1'!D:D)</f>
        <v>1137.55</v>
      </c>
      <c r="F1526" s="7">
        <f t="shared" si="5"/>
        <v>0.85574260472067176</v>
      </c>
      <c r="G1526" s="8">
        <v>2111</v>
      </c>
      <c r="H1526" s="8">
        <v>2066</v>
      </c>
      <c r="I1526" s="8">
        <v>2100</v>
      </c>
      <c r="J1526" s="8">
        <v>2027</v>
      </c>
      <c r="K1526" s="8">
        <v>2051</v>
      </c>
      <c r="L1526" s="8">
        <v>2024</v>
      </c>
      <c r="M1526" s="8"/>
      <c r="N1526" s="8"/>
      <c r="O1526" s="8"/>
      <c r="P1526" s="8"/>
      <c r="Q1526" s="9">
        <f ca="1">IFERROR(__xludf.DUMMYFUNCTION("GOOGLEFINANCE(C1526,""changepct"")"),0.9)</f>
        <v>0.9</v>
      </c>
      <c r="R1526" s="8"/>
      <c r="S1526" s="8"/>
      <c r="T1526" s="8"/>
      <c r="U1526" s="8"/>
      <c r="V1526" s="8"/>
      <c r="W1526" s="8"/>
    </row>
    <row r="1527" spans="1:23" ht="14.4">
      <c r="A1527" s="3">
        <f>LOOKUP(D1527,'AMFI DATA_2023H1'!B:C,'AMFI DATA_2023H1'!C:C)</f>
        <v>1404</v>
      </c>
      <c r="B1527" s="4" t="s">
        <v>4097</v>
      </c>
      <c r="C1527" s="4" t="s">
        <v>4098</v>
      </c>
      <c r="D1527" s="5" t="s">
        <v>4099</v>
      </c>
      <c r="E1527" s="5">
        <f>LOOKUP(D1527,'AMFI DATA_2023H1'!B:D,'AMFI DATA_2023H1'!D:D)</f>
        <v>404.83</v>
      </c>
      <c r="F1527" s="7">
        <f t="shared" si="5"/>
        <v>7.6995281970209772E-2</v>
      </c>
      <c r="G1527" s="9">
        <v>436</v>
      </c>
      <c r="H1527" s="9">
        <v>437</v>
      </c>
      <c r="I1527" s="9">
        <v>440</v>
      </c>
      <c r="J1527" s="9">
        <v>431</v>
      </c>
      <c r="K1527" s="9">
        <v>428</v>
      </c>
      <c r="L1527" s="9">
        <v>426</v>
      </c>
      <c r="M1527" s="9"/>
      <c r="N1527" s="9"/>
      <c r="O1527" s="9"/>
      <c r="P1527" s="9"/>
      <c r="Q1527" s="9">
        <f ca="1">IFERROR(__xludf.DUMMYFUNCTION("GOOGLEFINANCE(C1527,""changepct"")"),2.17)</f>
        <v>2.17</v>
      </c>
      <c r="R1527" s="9"/>
      <c r="S1527" s="9"/>
      <c r="T1527" s="9"/>
      <c r="U1527" s="9"/>
      <c r="V1527" s="9"/>
      <c r="W1527" s="9"/>
    </row>
    <row r="1528" spans="1:23" ht="14.4">
      <c r="A1528" s="3">
        <f>LOOKUP(D1528,'AMFI DATA_2023H1'!B:C,'AMFI DATA_2023H1'!C:C)</f>
        <v>402</v>
      </c>
      <c r="B1528" s="4" t="s">
        <v>1128</v>
      </c>
      <c r="C1528" s="4" t="s">
        <v>1129</v>
      </c>
      <c r="D1528" s="5" t="s">
        <v>1130</v>
      </c>
      <c r="E1528" s="5">
        <f>LOOKUP(D1528,'AMFI DATA_2023H1'!B:D,'AMFI DATA_2023H1'!D:D)</f>
        <v>7651.98</v>
      </c>
      <c r="F1528" s="7">
        <f t="shared" si="5"/>
        <v>1.1398383163573351</v>
      </c>
      <c r="G1528" s="8">
        <v>16374</v>
      </c>
      <c r="H1528" s="8">
        <v>16045</v>
      </c>
      <c r="I1528" s="8">
        <v>15963</v>
      </c>
      <c r="J1528" s="8">
        <v>15900</v>
      </c>
      <c r="K1528" s="8">
        <v>15784</v>
      </c>
      <c r="L1528" s="8">
        <v>15519</v>
      </c>
      <c r="M1528" s="8"/>
      <c r="N1528" s="8"/>
      <c r="O1528" s="8"/>
      <c r="P1528" s="8"/>
      <c r="Q1528" s="9">
        <f ca="1">IFERROR(__xludf.DUMMYFUNCTION("GOOGLEFINANCE(C1528,""changepct"")"),5.79)</f>
        <v>5.79</v>
      </c>
      <c r="R1528" s="8"/>
      <c r="S1528" s="8"/>
      <c r="T1528" s="8"/>
      <c r="U1528" s="8"/>
      <c r="V1528" s="8"/>
      <c r="W1528" s="8"/>
    </row>
    <row r="1529" spans="1:23" ht="14.4">
      <c r="A1529" s="3">
        <f>LOOKUP(D1529,'AMFI DATA_2023H1'!B:C,'AMFI DATA_2023H1'!C:C)</f>
        <v>3750</v>
      </c>
      <c r="B1529" s="4" t="s">
        <v>5752</v>
      </c>
      <c r="C1529" s="4" t="s">
        <v>5753</v>
      </c>
      <c r="D1529" s="5" t="s">
        <v>5754</v>
      </c>
      <c r="E1529" s="5">
        <f>LOOKUP(D1529,'AMFI DATA_2023H1'!B:D,'AMFI DATA_2023H1'!D:D)</f>
        <v>9.7200000000000006</v>
      </c>
      <c r="F1529" s="7">
        <f t="shared" si="5"/>
        <v>5.967078189300401E-2</v>
      </c>
      <c r="G1529" s="9">
        <v>10.3</v>
      </c>
      <c r="H1529" s="9">
        <v>10.1</v>
      </c>
      <c r="I1529" s="9">
        <v>10.1</v>
      </c>
      <c r="J1529" s="9">
        <v>10.9</v>
      </c>
      <c r="K1529" s="9">
        <v>9.2200000000000006</v>
      </c>
      <c r="L1529" s="9">
        <v>10.1</v>
      </c>
      <c r="M1529" s="9"/>
      <c r="N1529" s="9"/>
      <c r="O1529" s="9"/>
      <c r="P1529" s="9"/>
      <c r="Q1529" s="9">
        <f ca="1">IFERROR(__xludf.DUMMYFUNCTION("GOOGLEFINANCE(C1529,""changepct"")"),-2.43)</f>
        <v>-2.4300000000000002</v>
      </c>
      <c r="R1529" s="9"/>
      <c r="S1529" s="9"/>
      <c r="T1529" s="9"/>
      <c r="U1529" s="9"/>
      <c r="V1529" s="9"/>
      <c r="W1529" s="9"/>
    </row>
    <row r="1530" spans="1:23" ht="14.4">
      <c r="A1530" s="3">
        <f>LOOKUP(D1530,'AMFI DATA_2023H1'!B:C,'AMFI DATA_2023H1'!C:C)</f>
        <v>3750</v>
      </c>
      <c r="B1530" s="4" t="s">
        <v>4913</v>
      </c>
      <c r="C1530" s="4" t="s">
        <v>4914</v>
      </c>
      <c r="D1530" s="5" t="s">
        <v>4915</v>
      </c>
      <c r="E1530" s="5">
        <f>LOOKUP(D1530,'AMFI DATA_2023H1'!B:D,'AMFI DATA_2023H1'!D:D)</f>
        <v>9.7200000000000006</v>
      </c>
      <c r="F1530" s="7">
        <f t="shared" si="5"/>
        <v>166.79835390946502</v>
      </c>
      <c r="G1530" s="8">
        <v>1631</v>
      </c>
      <c r="H1530" s="8">
        <v>1639</v>
      </c>
      <c r="I1530" s="8">
        <v>1584</v>
      </c>
      <c r="J1530" s="8">
        <v>1509</v>
      </c>
      <c r="K1530" s="8">
        <v>1484</v>
      </c>
      <c r="L1530" s="8">
        <v>1480</v>
      </c>
      <c r="M1530" s="8"/>
      <c r="N1530" s="8"/>
      <c r="O1530" s="8"/>
      <c r="P1530" s="8"/>
      <c r="Q1530" s="9">
        <f ca="1">IFERROR(__xludf.DUMMYFUNCTION("GOOGLEFINANCE(C1530,""changepct"")"),-0.02)</f>
        <v>-0.02</v>
      </c>
      <c r="R1530" s="8"/>
      <c r="S1530" s="8"/>
      <c r="T1530" s="8"/>
      <c r="U1530" s="8"/>
      <c r="V1530" s="8"/>
      <c r="W1530" s="8"/>
    </row>
    <row r="1531" spans="1:23" ht="14.4">
      <c r="A1531" s="3">
        <f>LOOKUP(D1531,'AMFI DATA_2023H1'!B:C,'AMFI DATA_2023H1'!C:C)</f>
        <v>42</v>
      </c>
      <c r="B1531" s="4" t="s">
        <v>147</v>
      </c>
      <c r="C1531" s="4" t="s">
        <v>148</v>
      </c>
      <c r="D1531" s="5" t="s">
        <v>149</v>
      </c>
      <c r="E1531" s="5">
        <f>LOOKUP(D1531,'AMFI DATA_2023H1'!B:D,'AMFI DATA_2023H1'!D:D)</f>
        <v>119151.09</v>
      </c>
      <c r="F1531" s="7">
        <f t="shared" si="5"/>
        <v>0.19904064662773968</v>
      </c>
      <c r="G1531" s="8">
        <v>142867</v>
      </c>
      <c r="H1531" s="8">
        <v>143196</v>
      </c>
      <c r="I1531" s="8">
        <v>141909</v>
      </c>
      <c r="J1531" s="8">
        <v>141551</v>
      </c>
      <c r="K1531" s="8">
        <v>142746</v>
      </c>
      <c r="L1531" s="8">
        <v>140865</v>
      </c>
      <c r="M1531" s="8"/>
      <c r="N1531" s="8"/>
      <c r="O1531" s="8"/>
      <c r="P1531" s="8"/>
      <c r="Q1531" s="9">
        <f ca="1">IFERROR(__xludf.DUMMYFUNCTION("GOOGLEFINANCE(C1531,""changepct"")"),0.9)</f>
        <v>0.9</v>
      </c>
      <c r="R1531" s="8"/>
      <c r="S1531" s="8"/>
      <c r="T1531" s="8"/>
      <c r="U1531" s="8"/>
      <c r="V1531" s="8"/>
      <c r="W1531" s="8"/>
    </row>
    <row r="1532" spans="1:23" ht="14.4">
      <c r="A1532" s="3">
        <f>LOOKUP(D1532,'AMFI DATA_2023H1'!B:C,'AMFI DATA_2023H1'!C:C)</f>
        <v>1139</v>
      </c>
      <c r="B1532" s="4" t="s">
        <v>3185</v>
      </c>
      <c r="C1532" s="4" t="s">
        <v>3186</v>
      </c>
      <c r="D1532" s="5" t="s">
        <v>3187</v>
      </c>
      <c r="E1532" s="5">
        <f>LOOKUP(D1532,'AMFI DATA_2023H1'!B:D,'AMFI DATA_2023H1'!D:D)</f>
        <v>811.37</v>
      </c>
      <c r="F1532" s="7">
        <f t="shared" ref="F1532:F1786" si="6">G1532/E1532-1</f>
        <v>0.95964849575409494</v>
      </c>
      <c r="G1532" s="8">
        <v>1590</v>
      </c>
      <c r="H1532" s="8">
        <v>1578</v>
      </c>
      <c r="I1532" s="8">
        <v>1597</v>
      </c>
      <c r="J1532" s="8">
        <v>1614</v>
      </c>
      <c r="K1532" s="8">
        <v>1618</v>
      </c>
      <c r="L1532" s="8">
        <v>1577</v>
      </c>
      <c r="M1532" s="8"/>
      <c r="N1532" s="8"/>
      <c r="O1532" s="8"/>
      <c r="P1532" s="8"/>
      <c r="Q1532" s="9">
        <f ca="1">IFERROR(__xludf.DUMMYFUNCTION("GOOGLEFINANCE(C1532,""changepct"")"),14.3)</f>
        <v>14.3</v>
      </c>
      <c r="R1532" s="8"/>
      <c r="S1532" s="8"/>
      <c r="T1532" s="8"/>
      <c r="U1532" s="8"/>
      <c r="V1532" s="8"/>
      <c r="W1532" s="8"/>
    </row>
    <row r="1533" spans="1:23" ht="14.4">
      <c r="A1533" s="3">
        <f>LOOKUP(D1533,'AMFI DATA_2023H1'!B:C,'AMFI DATA_2023H1'!C:C)</f>
        <v>1487</v>
      </c>
      <c r="B1533" s="4" t="s">
        <v>4055</v>
      </c>
      <c r="C1533" s="4" t="s">
        <v>4056</v>
      </c>
      <c r="D1533" s="5" t="s">
        <v>4057</v>
      </c>
      <c r="E1533" s="5">
        <f>LOOKUP(D1533,'AMFI DATA_2023H1'!B:D,'AMFI DATA_2023H1'!D:D)</f>
        <v>354.72</v>
      </c>
      <c r="F1533" s="7">
        <f t="shared" si="6"/>
        <v>0.47440234551195304</v>
      </c>
      <c r="G1533" s="9">
        <v>523</v>
      </c>
      <c r="H1533" s="9">
        <v>481</v>
      </c>
      <c r="I1533" s="9">
        <v>484</v>
      </c>
      <c r="J1533" s="9">
        <v>490</v>
      </c>
      <c r="K1533" s="9">
        <v>470</v>
      </c>
      <c r="L1533" s="9">
        <v>470</v>
      </c>
      <c r="M1533" s="9"/>
      <c r="N1533" s="9"/>
      <c r="O1533" s="9"/>
      <c r="P1533" s="9"/>
      <c r="Q1533" s="9">
        <f ca="1">IFERROR(__xludf.DUMMYFUNCTION("GOOGLEFINANCE(C1533,""changepct"")"),2.18)</f>
        <v>2.1800000000000002</v>
      </c>
      <c r="R1533" s="9"/>
      <c r="S1533" s="9"/>
      <c r="T1533" s="9"/>
      <c r="U1533" s="9"/>
      <c r="V1533" s="9"/>
      <c r="W1533" s="9"/>
    </row>
    <row r="1534" spans="1:23" ht="14.4">
      <c r="A1534" s="3">
        <f>LOOKUP(D1534,'AMFI DATA_2023H1'!B:C,'AMFI DATA_2023H1'!C:C)</f>
        <v>1487</v>
      </c>
      <c r="B1534" s="4" t="s">
        <v>1290</v>
      </c>
      <c r="C1534" s="4" t="s">
        <v>1291</v>
      </c>
      <c r="D1534" s="5" t="s">
        <v>1292</v>
      </c>
      <c r="E1534" s="5">
        <f>LOOKUP(D1534,'AMFI DATA_2023H1'!B:D,'AMFI DATA_2023H1'!D:D)</f>
        <v>354.72</v>
      </c>
      <c r="F1534" s="7">
        <f t="shared" si="6"/>
        <v>35.448466396030668</v>
      </c>
      <c r="G1534" s="8">
        <v>12929</v>
      </c>
      <c r="H1534" s="8">
        <v>12321</v>
      </c>
      <c r="I1534" s="8">
        <v>11964</v>
      </c>
      <c r="J1534" s="8">
        <v>11828</v>
      </c>
      <c r="K1534" s="8">
        <v>11532</v>
      </c>
      <c r="L1534" s="8">
        <v>11492</v>
      </c>
      <c r="M1534" s="8"/>
      <c r="N1534" s="8"/>
      <c r="O1534" s="8"/>
      <c r="P1534" s="8"/>
      <c r="Q1534" s="9">
        <f ca="1">IFERROR(__xludf.DUMMYFUNCTION("GOOGLEFINANCE(C1534,""changepct"")"),-0.01)</f>
        <v>-0.01</v>
      </c>
      <c r="R1534" s="8"/>
      <c r="S1534" s="8"/>
      <c r="T1534" s="8"/>
      <c r="U1534" s="8"/>
      <c r="V1534" s="8"/>
      <c r="W1534" s="8"/>
    </row>
    <row r="1535" spans="1:23" ht="14.4">
      <c r="A1535" s="3">
        <f>LOOKUP(D1535,'AMFI DATA_2023H1'!B:C,'AMFI DATA_2023H1'!C:C)</f>
        <v>2131</v>
      </c>
      <c r="B1535" s="4" t="s">
        <v>4859</v>
      </c>
      <c r="C1535" s="4" t="s">
        <v>4860</v>
      </c>
      <c r="D1535" s="5" t="s">
        <v>4861</v>
      </c>
      <c r="E1535" s="5">
        <f>LOOKUP(D1535,'AMFI DATA_2023H1'!B:D,'AMFI DATA_2023H1'!D:D)</f>
        <v>115.84</v>
      </c>
      <c r="F1535" s="7">
        <f t="shared" si="6"/>
        <v>0.72651933701657456</v>
      </c>
      <c r="G1535" s="9">
        <v>200</v>
      </c>
      <c r="H1535" s="9">
        <v>191</v>
      </c>
      <c r="I1535" s="9">
        <v>193</v>
      </c>
      <c r="J1535" s="9">
        <v>194</v>
      </c>
      <c r="K1535" s="9">
        <v>197</v>
      </c>
      <c r="L1535" s="9">
        <v>189</v>
      </c>
      <c r="M1535" s="9"/>
      <c r="N1535" s="9"/>
      <c r="O1535" s="9"/>
      <c r="P1535" s="9"/>
      <c r="Q1535" s="9">
        <f ca="1">IFERROR(__xludf.DUMMYFUNCTION("GOOGLEFINANCE(C1535,""changepct"")"),5.98)</f>
        <v>5.98</v>
      </c>
      <c r="R1535" s="9"/>
      <c r="S1535" s="9"/>
      <c r="T1535" s="9"/>
      <c r="U1535" s="9"/>
      <c r="V1535" s="9"/>
      <c r="W1535" s="9"/>
    </row>
    <row r="1536" spans="1:23" ht="14.4">
      <c r="A1536" s="3">
        <f>LOOKUP(D1536,'AMFI DATA_2023H1'!B:C,'AMFI DATA_2023H1'!C:C)</f>
        <v>2024</v>
      </c>
      <c r="B1536" s="4" t="s">
        <v>5162</v>
      </c>
      <c r="C1536" s="4" t="s">
        <v>5163</v>
      </c>
      <c r="D1536" s="5" t="s">
        <v>5164</v>
      </c>
      <c r="E1536" s="5">
        <f>LOOKUP(D1536,'AMFI DATA_2023H1'!B:D,'AMFI DATA_2023H1'!D:D)</f>
        <v>136.68</v>
      </c>
      <c r="F1536" s="7">
        <f t="shared" si="6"/>
        <v>0.19988293824992676</v>
      </c>
      <c r="G1536" s="9">
        <v>164</v>
      </c>
      <c r="H1536" s="9">
        <v>171</v>
      </c>
      <c r="I1536" s="9">
        <v>163</v>
      </c>
      <c r="J1536" s="9">
        <v>172</v>
      </c>
      <c r="K1536" s="9">
        <v>191</v>
      </c>
      <c r="L1536" s="9">
        <v>170</v>
      </c>
      <c r="M1536" s="9"/>
      <c r="N1536" s="9"/>
      <c r="O1536" s="9"/>
      <c r="P1536" s="9"/>
      <c r="Q1536" s="9">
        <f ca="1">IFERROR(__xludf.DUMMYFUNCTION("GOOGLEFINANCE(C1536,""changepct"")"),1.47)</f>
        <v>1.47</v>
      </c>
      <c r="R1536" s="9"/>
      <c r="S1536" s="9"/>
      <c r="T1536" s="9"/>
      <c r="U1536" s="9"/>
      <c r="V1536" s="9"/>
      <c r="W1536" s="9"/>
    </row>
    <row r="1537" spans="1:23" ht="14.4">
      <c r="A1537" s="3">
        <f>LOOKUP(D1537,'AMFI DATA_2023H1'!B:C,'AMFI DATA_2023H1'!C:C)</f>
        <v>1526</v>
      </c>
      <c r="B1537" s="4" t="s">
        <v>4235</v>
      </c>
      <c r="C1537" s="4" t="s">
        <v>4236</v>
      </c>
      <c r="D1537" s="5" t="s">
        <v>4237</v>
      </c>
      <c r="E1537" s="5">
        <f>LOOKUP(D1537,'AMFI DATA_2023H1'!B:D,'AMFI DATA_2023H1'!D:D)</f>
        <v>329.58</v>
      </c>
      <c r="F1537" s="7">
        <f t="shared" si="6"/>
        <v>0.35930578311790762</v>
      </c>
      <c r="G1537" s="9">
        <v>448</v>
      </c>
      <c r="H1537" s="9">
        <v>456</v>
      </c>
      <c r="I1537" s="9">
        <v>460</v>
      </c>
      <c r="J1537" s="9">
        <v>464</v>
      </c>
      <c r="K1537" s="9">
        <v>458</v>
      </c>
      <c r="L1537" s="9">
        <v>450</v>
      </c>
      <c r="M1537" s="9"/>
      <c r="N1537" s="9"/>
      <c r="O1537" s="9"/>
      <c r="P1537" s="9"/>
      <c r="Q1537" s="9">
        <f ca="1">IFERROR(__xludf.DUMMYFUNCTION("GOOGLEFINANCE(C1537,""changepct"")"),6.18)</f>
        <v>6.18</v>
      </c>
      <c r="R1537" s="9"/>
      <c r="S1537" s="9"/>
      <c r="T1537" s="9"/>
      <c r="U1537" s="9"/>
      <c r="V1537" s="9"/>
      <c r="W1537" s="9"/>
    </row>
    <row r="1538" spans="1:23" ht="14.4">
      <c r="A1538" s="3">
        <f>LOOKUP(D1538,'AMFI DATA_2023H1'!B:C,'AMFI DATA_2023H1'!C:C)</f>
        <v>3237</v>
      </c>
      <c r="B1538" s="4" t="s">
        <v>5635</v>
      </c>
      <c r="C1538" s="4" t="s">
        <v>5636</v>
      </c>
      <c r="D1538" s="5" t="s">
        <v>5637</v>
      </c>
      <c r="E1538" s="5">
        <f>LOOKUP(D1538,'AMFI DATA_2023H1'!B:D,'AMFI DATA_2023H1'!D:D)</f>
        <v>21.32</v>
      </c>
      <c r="F1538" s="7">
        <f t="shared" si="6"/>
        <v>0.32739212007504692</v>
      </c>
      <c r="G1538" s="9">
        <v>28.3</v>
      </c>
      <c r="H1538" s="9">
        <v>28</v>
      </c>
      <c r="I1538" s="9">
        <v>28.4</v>
      </c>
      <c r="J1538" s="9">
        <v>29.5</v>
      </c>
      <c r="K1538" s="9">
        <v>29.1</v>
      </c>
      <c r="L1538" s="9">
        <v>28.8</v>
      </c>
      <c r="M1538" s="9"/>
      <c r="N1538" s="9"/>
      <c r="O1538" s="9"/>
      <c r="P1538" s="9"/>
      <c r="Q1538" s="9">
        <f ca="1">IFERROR(__xludf.DUMMYFUNCTION("GOOGLEFINANCE(C1538,""changepct"")"),0.31)</f>
        <v>0.31</v>
      </c>
      <c r="R1538" s="9"/>
      <c r="S1538" s="9"/>
      <c r="T1538" s="9"/>
      <c r="U1538" s="9"/>
      <c r="V1538" s="9"/>
      <c r="W1538" s="9"/>
    </row>
    <row r="1539" spans="1:23" ht="14.4">
      <c r="A1539" s="3">
        <f>LOOKUP(D1539,'AMFI DATA_2023H1'!B:C,'AMFI DATA_2023H1'!C:C)</f>
        <v>3250</v>
      </c>
      <c r="B1539" s="4" t="s">
        <v>5698</v>
      </c>
      <c r="C1539" s="4" t="s">
        <v>5699</v>
      </c>
      <c r="D1539" s="5" t="s">
        <v>5700</v>
      </c>
      <c r="E1539" s="5">
        <f>LOOKUP(D1539,'AMFI DATA_2023H1'!B:D,'AMFI DATA_2023H1'!D:D)</f>
        <v>20.94</v>
      </c>
      <c r="F1539" s="7">
        <f t="shared" si="6"/>
        <v>-0.15950334288443169</v>
      </c>
      <c r="G1539" s="9">
        <v>17.600000000000001</v>
      </c>
      <c r="H1539" s="9">
        <v>17.2</v>
      </c>
      <c r="I1539" s="9">
        <v>17.5</v>
      </c>
      <c r="J1539" s="9">
        <v>18.3</v>
      </c>
      <c r="K1539" s="9">
        <v>18.600000000000001</v>
      </c>
      <c r="L1539" s="9">
        <v>18.600000000000001</v>
      </c>
      <c r="M1539" s="9"/>
      <c r="N1539" s="9"/>
      <c r="O1539" s="9"/>
      <c r="P1539" s="9"/>
      <c r="Q1539" s="9">
        <f ca="1">IFERROR(__xludf.DUMMYFUNCTION("GOOGLEFINANCE(C1539,""changepct"")"),-1.81)</f>
        <v>-1.81</v>
      </c>
      <c r="R1539" s="9"/>
      <c r="S1539" s="9"/>
      <c r="T1539" s="9"/>
      <c r="U1539" s="9"/>
      <c r="V1539" s="9"/>
      <c r="W1539" s="9"/>
    </row>
    <row r="1540" spans="1:23" ht="14.4">
      <c r="A1540" s="3">
        <f>LOOKUP(D1540,'AMFI DATA_2023H1'!B:C,'AMFI DATA_2023H1'!C:C)</f>
        <v>1360</v>
      </c>
      <c r="B1540" s="4" t="s">
        <v>3704</v>
      </c>
      <c r="C1540" s="4" t="s">
        <v>3705</v>
      </c>
      <c r="D1540" s="5" t="s">
        <v>3706</v>
      </c>
      <c r="E1540" s="5">
        <f>LOOKUP(D1540,'AMFI DATA_2023H1'!B:D,'AMFI DATA_2023H1'!D:D)</f>
        <v>445.36</v>
      </c>
      <c r="F1540" s="7">
        <f t="shared" si="6"/>
        <v>0.98715645769714389</v>
      </c>
      <c r="G1540" s="9">
        <v>885</v>
      </c>
      <c r="H1540" s="9">
        <v>872</v>
      </c>
      <c r="I1540" s="9">
        <v>867</v>
      </c>
      <c r="J1540" s="9">
        <v>887</v>
      </c>
      <c r="K1540" s="9">
        <v>866</v>
      </c>
      <c r="L1540" s="9">
        <v>874</v>
      </c>
      <c r="M1540" s="9"/>
      <c r="N1540" s="9"/>
      <c r="O1540" s="9"/>
      <c r="P1540" s="9"/>
      <c r="Q1540" s="9">
        <f ca="1">IFERROR(__xludf.DUMMYFUNCTION("GOOGLEFINANCE(C1540,""changepct"")"),-1.57)</f>
        <v>-1.57</v>
      </c>
      <c r="R1540" s="9"/>
      <c r="S1540" s="9"/>
      <c r="T1540" s="9"/>
      <c r="U1540" s="9"/>
      <c r="V1540" s="9"/>
      <c r="W1540" s="9"/>
    </row>
    <row r="1541" spans="1:23" ht="14.4">
      <c r="A1541" s="3">
        <f>LOOKUP(D1541,'AMFI DATA_2023H1'!B:C,'AMFI DATA_2023H1'!C:C)</f>
        <v>2233</v>
      </c>
      <c r="B1541" s="4" t="s">
        <v>5102</v>
      </c>
      <c r="C1541" s="4" t="s">
        <v>5103</v>
      </c>
      <c r="D1541" s="5" t="s">
        <v>5104</v>
      </c>
      <c r="E1541" s="5">
        <f>LOOKUP(D1541,'AMFI DATA_2023H1'!B:D,'AMFI DATA_2023H1'!D:D)</f>
        <v>97.34</v>
      </c>
      <c r="F1541" s="7">
        <f t="shared" si="6"/>
        <v>0.2533388124101088</v>
      </c>
      <c r="G1541" s="9">
        <v>122</v>
      </c>
      <c r="H1541" s="9">
        <v>122</v>
      </c>
      <c r="I1541" s="9">
        <v>122</v>
      </c>
      <c r="J1541" s="9">
        <v>124</v>
      </c>
      <c r="K1541" s="9">
        <v>138</v>
      </c>
      <c r="L1541" s="9">
        <v>116</v>
      </c>
      <c r="M1541" s="9"/>
      <c r="N1541" s="9"/>
      <c r="O1541" s="9"/>
      <c r="P1541" s="9"/>
      <c r="Q1541" s="9">
        <f ca="1">IFERROR(__xludf.DUMMYFUNCTION("GOOGLEFINANCE(C1541,""changepct"")"),-0.18)</f>
        <v>-0.18</v>
      </c>
      <c r="R1541" s="9"/>
      <c r="S1541" s="9"/>
      <c r="T1541" s="9"/>
      <c r="U1541" s="9"/>
      <c r="V1541" s="9"/>
      <c r="W1541" s="9"/>
    </row>
    <row r="1542" spans="1:23" ht="14.4">
      <c r="A1542" s="3">
        <f>LOOKUP(D1542,'AMFI DATA_2023H1'!B:C,'AMFI DATA_2023H1'!C:C)</f>
        <v>1712</v>
      </c>
      <c r="B1542" s="4" t="s">
        <v>4319</v>
      </c>
      <c r="C1542" s="4" t="s">
        <v>4320</v>
      </c>
      <c r="D1542" s="5" t="s">
        <v>4321</v>
      </c>
      <c r="E1542" s="5">
        <f>LOOKUP(D1542,'AMFI DATA_2023H1'!B:D,'AMFI DATA_2023H1'!D:D)</f>
        <v>237.55</v>
      </c>
      <c r="F1542" s="7">
        <f t="shared" si="6"/>
        <v>0.89854767417385806</v>
      </c>
      <c r="G1542" s="9">
        <v>451</v>
      </c>
      <c r="H1542" s="9">
        <v>455</v>
      </c>
      <c r="I1542" s="9">
        <v>446</v>
      </c>
      <c r="J1542" s="9">
        <v>423</v>
      </c>
      <c r="K1542" s="9">
        <v>422</v>
      </c>
      <c r="L1542" s="9">
        <v>437</v>
      </c>
      <c r="M1542" s="9"/>
      <c r="N1542" s="9"/>
      <c r="O1542" s="9"/>
      <c r="P1542" s="9"/>
      <c r="Q1542" s="9">
        <f ca="1">IFERROR(__xludf.DUMMYFUNCTION("GOOGLEFINANCE(C1542,""changepct"")"),-2.37)</f>
        <v>-2.37</v>
      </c>
      <c r="R1542" s="9"/>
      <c r="S1542" s="9"/>
      <c r="T1542" s="9"/>
      <c r="U1542" s="9"/>
      <c r="V1542" s="9"/>
      <c r="W1542" s="9"/>
    </row>
    <row r="1543" spans="1:23" ht="14.4">
      <c r="A1543" s="3">
        <f>LOOKUP(D1543,'AMFI DATA_2023H1'!B:C,'AMFI DATA_2023H1'!C:C)</f>
        <v>626</v>
      </c>
      <c r="B1543" s="4" t="s">
        <v>1974</v>
      </c>
      <c r="C1543" s="4" t="s">
        <v>1975</v>
      </c>
      <c r="D1543" s="5" t="s">
        <v>1976</v>
      </c>
      <c r="E1543" s="5">
        <f>LOOKUP(D1543,'AMFI DATA_2023H1'!B:D,'AMFI DATA_2023H1'!D:D)</f>
        <v>3395.62</v>
      </c>
      <c r="F1543" s="7">
        <f t="shared" si="6"/>
        <v>0.15236687261825521</v>
      </c>
      <c r="G1543" s="8">
        <v>3913</v>
      </c>
      <c r="H1543" s="8">
        <v>4162</v>
      </c>
      <c r="I1543" s="8">
        <v>4587</v>
      </c>
      <c r="J1543" s="8">
        <v>4541</v>
      </c>
      <c r="K1543" s="8">
        <v>4521</v>
      </c>
      <c r="L1543" s="8">
        <v>4533</v>
      </c>
      <c r="M1543" s="8"/>
      <c r="N1543" s="8"/>
      <c r="O1543" s="8"/>
      <c r="P1543" s="8"/>
      <c r="Q1543" s="9">
        <f ca="1">IFERROR(__xludf.DUMMYFUNCTION("GOOGLEFINANCE(C1543,""changepct"")"),0.2)</f>
        <v>0.2</v>
      </c>
      <c r="R1543" s="8"/>
      <c r="S1543" s="8"/>
      <c r="T1543" s="8"/>
      <c r="U1543" s="8"/>
      <c r="V1543" s="8"/>
      <c r="W1543" s="8"/>
    </row>
    <row r="1544" spans="1:23" ht="14.4">
      <c r="A1544" s="3">
        <f>LOOKUP(D1544,'AMFI DATA_2023H1'!B:C,'AMFI DATA_2023H1'!C:C)</f>
        <v>1601</v>
      </c>
      <c r="B1544" s="4" t="s">
        <v>4286</v>
      </c>
      <c r="C1544" s="4" t="s">
        <v>4287</v>
      </c>
      <c r="D1544" s="5" t="s">
        <v>4288</v>
      </c>
      <c r="E1544" s="5">
        <f>LOOKUP(D1544,'AMFI DATA_2023H1'!B:D,'AMFI DATA_2023H1'!D:D)</f>
        <v>288.25</v>
      </c>
      <c r="F1544" s="7">
        <f t="shared" si="6"/>
        <v>0.21769297484822192</v>
      </c>
      <c r="G1544" s="9">
        <v>351</v>
      </c>
      <c r="H1544" s="9">
        <v>348</v>
      </c>
      <c r="I1544" s="9">
        <v>354</v>
      </c>
      <c r="J1544" s="9">
        <v>352</v>
      </c>
      <c r="K1544" s="9">
        <v>347</v>
      </c>
      <c r="L1544" s="9">
        <v>348</v>
      </c>
      <c r="M1544" s="9"/>
      <c r="N1544" s="9"/>
      <c r="O1544" s="9"/>
      <c r="P1544" s="9"/>
      <c r="Q1544" s="9">
        <f ca="1">IFERROR(__xludf.DUMMYFUNCTION("GOOGLEFINANCE(C1544,""changepct"")"),-0.04)</f>
        <v>-0.04</v>
      </c>
      <c r="R1544" s="9"/>
      <c r="S1544" s="9"/>
      <c r="T1544" s="9"/>
      <c r="U1544" s="9"/>
      <c r="V1544" s="9"/>
      <c r="W1544" s="9"/>
    </row>
    <row r="1545" spans="1:23" ht="14.4">
      <c r="A1545" s="3">
        <f>LOOKUP(D1545,'AMFI DATA_2023H1'!B:C,'AMFI DATA_2023H1'!C:C)</f>
        <v>837</v>
      </c>
      <c r="B1545" s="4" t="s">
        <v>2645</v>
      </c>
      <c r="C1545" s="4" t="s">
        <v>2646</v>
      </c>
      <c r="D1545" s="5" t="s">
        <v>2647</v>
      </c>
      <c r="E1545" s="5">
        <f>LOOKUP(D1545,'AMFI DATA_2023H1'!B:D,'AMFI DATA_2023H1'!D:D)</f>
        <v>1746.04</v>
      </c>
      <c r="F1545" s="7">
        <f t="shared" si="6"/>
        <v>0.2754576069276764</v>
      </c>
      <c r="G1545" s="8">
        <v>2227</v>
      </c>
      <c r="H1545" s="8">
        <v>2247</v>
      </c>
      <c r="I1545" s="8">
        <v>2247</v>
      </c>
      <c r="J1545" s="8">
        <v>2255</v>
      </c>
      <c r="K1545" s="8">
        <v>2252</v>
      </c>
      <c r="L1545" s="8">
        <v>2189</v>
      </c>
      <c r="M1545" s="8"/>
      <c r="N1545" s="8"/>
      <c r="O1545" s="8"/>
      <c r="P1545" s="8"/>
      <c r="Q1545" s="9">
        <f ca="1">IFERROR(__xludf.DUMMYFUNCTION("GOOGLEFINANCE(C1545,""changepct"")"),-0.36)</f>
        <v>-0.36</v>
      </c>
      <c r="R1545" s="8"/>
      <c r="S1545" s="8"/>
      <c r="T1545" s="8"/>
      <c r="U1545" s="8"/>
      <c r="V1545" s="8"/>
      <c r="W1545" s="8"/>
    </row>
    <row r="1546" spans="1:23" ht="14.4">
      <c r="A1546" s="3">
        <f>LOOKUP(D1546,'AMFI DATA_2023H1'!B:C,'AMFI DATA_2023H1'!C:C)</f>
        <v>483</v>
      </c>
      <c r="B1546" s="4" t="s">
        <v>1617</v>
      </c>
      <c r="C1546" s="4" t="s">
        <v>1618</v>
      </c>
      <c r="D1546" s="5" t="s">
        <v>1619</v>
      </c>
      <c r="E1546" s="5">
        <f>LOOKUP(D1546,'AMFI DATA_2023H1'!B:D,'AMFI DATA_2023H1'!D:D)</f>
        <v>5483.26</v>
      </c>
      <c r="F1546" s="7">
        <f t="shared" si="6"/>
        <v>0.23521408796956544</v>
      </c>
      <c r="G1546" s="8">
        <v>6773</v>
      </c>
      <c r="H1546" s="8">
        <v>6644</v>
      </c>
      <c r="I1546" s="8">
        <v>6689</v>
      </c>
      <c r="J1546" s="8">
        <v>6794</v>
      </c>
      <c r="K1546" s="8">
        <v>6775</v>
      </c>
      <c r="L1546" s="8">
        <v>6852</v>
      </c>
      <c r="M1546" s="8"/>
      <c r="N1546" s="8"/>
      <c r="O1546" s="8"/>
      <c r="P1546" s="8"/>
      <c r="Q1546" s="9">
        <f ca="1">IFERROR(__xludf.DUMMYFUNCTION("GOOGLEFINANCE(C1546,""changepct"")"),10.53)</f>
        <v>10.53</v>
      </c>
      <c r="R1546" s="8"/>
      <c r="S1546" s="8"/>
      <c r="T1546" s="8"/>
      <c r="U1546" s="8"/>
      <c r="V1546" s="8"/>
      <c r="W1546" s="8"/>
    </row>
    <row r="1547" spans="1:23" ht="14.4">
      <c r="A1547" s="3">
        <f>LOOKUP(D1547,'AMFI DATA_2023H1'!B:C,'AMFI DATA_2023H1'!C:C)</f>
        <v>2210</v>
      </c>
      <c r="B1547" s="4" t="s">
        <v>5368</v>
      </c>
      <c r="C1547" s="4" t="s">
        <v>5369</v>
      </c>
      <c r="D1547" s="5" t="s">
        <v>5370</v>
      </c>
      <c r="E1547" s="5">
        <f>LOOKUP(D1547,'AMFI DATA_2023H1'!B:D,'AMFI DATA_2023H1'!D:D)</f>
        <v>101.64</v>
      </c>
      <c r="F1547" s="7">
        <f t="shared" si="6"/>
        <v>-0.31326249508067694</v>
      </c>
      <c r="G1547" s="9">
        <v>69.8</v>
      </c>
      <c r="H1547" s="9">
        <v>69.8</v>
      </c>
      <c r="I1547" s="9">
        <v>70.599999999999994</v>
      </c>
      <c r="J1547" s="9">
        <v>71.5</v>
      </c>
      <c r="K1547" s="9">
        <v>75</v>
      </c>
      <c r="L1547" s="9">
        <v>74.099999999999994</v>
      </c>
      <c r="M1547" s="9"/>
      <c r="N1547" s="9"/>
      <c r="O1547" s="9"/>
      <c r="P1547" s="9"/>
      <c r="Q1547" s="9">
        <f ca="1">IFERROR(__xludf.DUMMYFUNCTION("GOOGLEFINANCE(C1547,""changepct"")"),4.55)</f>
        <v>4.55</v>
      </c>
      <c r="R1547" s="9"/>
      <c r="S1547" s="9"/>
      <c r="T1547" s="9"/>
      <c r="U1547" s="9"/>
      <c r="V1547" s="9"/>
      <c r="W1547" s="9"/>
    </row>
    <row r="1548" spans="1:23" ht="14.4">
      <c r="A1548" s="3">
        <f>LOOKUP(D1548,'AMFI DATA_2023H1'!B:C,'AMFI DATA_2023H1'!C:C)</f>
        <v>731</v>
      </c>
      <c r="B1548" s="4" t="s">
        <v>2438</v>
      </c>
      <c r="C1548" s="4" t="s">
        <v>2439</v>
      </c>
      <c r="D1548" s="5" t="s">
        <v>2440</v>
      </c>
      <c r="E1548" s="5">
        <f>LOOKUP(D1548,'AMFI DATA_2023H1'!B:D,'AMFI DATA_2023H1'!D:D)</f>
        <v>2347.58</v>
      </c>
      <c r="F1548" s="7">
        <f t="shared" si="6"/>
        <v>6.8334199473500501E-2</v>
      </c>
      <c r="G1548" s="8">
        <v>2508</v>
      </c>
      <c r="H1548" s="8">
        <v>2503</v>
      </c>
      <c r="I1548" s="8">
        <v>2508</v>
      </c>
      <c r="J1548" s="8">
        <v>2508</v>
      </c>
      <c r="K1548" s="8">
        <v>2531</v>
      </c>
      <c r="L1548" s="8">
        <v>2519</v>
      </c>
      <c r="M1548" s="8"/>
      <c r="N1548" s="8"/>
      <c r="O1548" s="8"/>
      <c r="P1548" s="8"/>
      <c r="Q1548" s="9">
        <f ca="1">IFERROR(__xludf.DUMMYFUNCTION("GOOGLEFINANCE(C1548,""changepct"")"),0.23)</f>
        <v>0.23</v>
      </c>
      <c r="R1548" s="8"/>
      <c r="S1548" s="8"/>
      <c r="T1548" s="8"/>
      <c r="U1548" s="8"/>
      <c r="V1548" s="8"/>
      <c r="W1548" s="8"/>
    </row>
    <row r="1549" spans="1:23" ht="14.4">
      <c r="A1549" s="3">
        <f>LOOKUP(D1549,'AMFI DATA_2023H1'!B:C,'AMFI DATA_2023H1'!C:C)</f>
        <v>288</v>
      </c>
      <c r="B1549" s="4" t="s">
        <v>651</v>
      </c>
      <c r="C1549" s="4" t="s">
        <v>652</v>
      </c>
      <c r="D1549" s="5" t="s">
        <v>653</v>
      </c>
      <c r="E1549" s="5">
        <f>LOOKUP(D1549,'AMFI DATA_2023H1'!B:D,'AMFI DATA_2023H1'!D:D)</f>
        <v>13558.25</v>
      </c>
      <c r="F1549" s="7">
        <f t="shared" si="6"/>
        <v>1.6949643206165987</v>
      </c>
      <c r="G1549" s="8">
        <v>36539</v>
      </c>
      <c r="H1549" s="8">
        <v>35738</v>
      </c>
      <c r="I1549" s="8">
        <v>35887</v>
      </c>
      <c r="J1549" s="8">
        <v>36508</v>
      </c>
      <c r="K1549" s="8">
        <v>36021</v>
      </c>
      <c r="L1549" s="8">
        <v>35250</v>
      </c>
      <c r="M1549" s="8"/>
      <c r="N1549" s="8"/>
      <c r="O1549" s="8"/>
      <c r="P1549" s="8"/>
      <c r="Q1549" s="9">
        <f ca="1">IFERROR(__xludf.DUMMYFUNCTION("GOOGLEFINANCE(C1549,""changepct"")"),9.99)</f>
        <v>9.99</v>
      </c>
      <c r="R1549" s="8"/>
      <c r="S1549" s="8"/>
      <c r="T1549" s="8"/>
      <c r="U1549" s="8"/>
      <c r="V1549" s="8"/>
      <c r="W1549" s="8"/>
    </row>
    <row r="1550" spans="1:23" ht="14.4">
      <c r="A1550" s="3">
        <f>LOOKUP(D1550,'AMFI DATA_2023H1'!B:C,'AMFI DATA_2023H1'!C:C)</f>
        <v>208</v>
      </c>
      <c r="B1550" s="4" t="s">
        <v>696</v>
      </c>
      <c r="C1550" s="4" t="s">
        <v>697</v>
      </c>
      <c r="D1550" s="5" t="s">
        <v>698</v>
      </c>
      <c r="E1550" s="5">
        <f>LOOKUP(D1550,'AMFI DATA_2023H1'!B:D,'AMFI DATA_2023H1'!D:D)</f>
        <v>21981.86</v>
      </c>
      <c r="F1550" s="7">
        <f t="shared" si="6"/>
        <v>3.1486871447639064E-2</v>
      </c>
      <c r="G1550" s="8">
        <v>22674</v>
      </c>
      <c r="H1550" s="8">
        <v>22697</v>
      </c>
      <c r="I1550" s="8">
        <v>22556</v>
      </c>
      <c r="J1550" s="8">
        <v>22717</v>
      </c>
      <c r="K1550" s="8">
        <v>23021</v>
      </c>
      <c r="L1550" s="8">
        <v>23222</v>
      </c>
      <c r="M1550" s="8"/>
      <c r="N1550" s="8"/>
      <c r="O1550" s="8"/>
      <c r="P1550" s="8"/>
      <c r="Q1550" s="9">
        <f ca="1">IFERROR(__xludf.DUMMYFUNCTION("GOOGLEFINANCE(C1550,""changepct"")"),0.6)</f>
        <v>0.6</v>
      </c>
      <c r="R1550" s="8"/>
      <c r="S1550" s="8"/>
      <c r="T1550" s="8"/>
      <c r="U1550" s="8"/>
      <c r="V1550" s="8"/>
      <c r="W1550" s="8"/>
    </row>
    <row r="1551" spans="1:23" ht="14.4">
      <c r="A1551" s="3">
        <f>LOOKUP(D1551,'AMFI DATA_2023H1'!B:C,'AMFI DATA_2023H1'!C:C)</f>
        <v>995</v>
      </c>
      <c r="B1551" s="4" t="s">
        <v>2579</v>
      </c>
      <c r="C1551" s="4" t="s">
        <v>2580</v>
      </c>
      <c r="D1551" s="5" t="s">
        <v>2581</v>
      </c>
      <c r="E1551" s="5">
        <f>LOOKUP(D1551,'AMFI DATA_2023H1'!B:D,'AMFI DATA_2023H1'!D:D)</f>
        <v>1187.06</v>
      </c>
      <c r="F1551" s="7">
        <f t="shared" si="6"/>
        <v>1.0445470321634964</v>
      </c>
      <c r="G1551" s="8">
        <v>2427</v>
      </c>
      <c r="H1551" s="8">
        <v>2344</v>
      </c>
      <c r="I1551" s="8">
        <v>2372</v>
      </c>
      <c r="J1551" s="8">
        <v>2374</v>
      </c>
      <c r="K1551" s="8">
        <v>2313</v>
      </c>
      <c r="L1551" s="8">
        <v>2319</v>
      </c>
      <c r="M1551" s="8"/>
      <c r="N1551" s="8"/>
      <c r="O1551" s="8"/>
      <c r="P1551" s="8"/>
      <c r="Q1551" s="9">
        <f ca="1">IFERROR(__xludf.DUMMYFUNCTION("GOOGLEFINANCE(C1551,""changepct"")"),-3.63)</f>
        <v>-3.63</v>
      </c>
      <c r="R1551" s="8"/>
      <c r="S1551" s="8"/>
      <c r="T1551" s="8"/>
      <c r="U1551" s="8"/>
      <c r="V1551" s="8"/>
      <c r="W1551" s="8"/>
    </row>
    <row r="1552" spans="1:23" ht="14.4">
      <c r="A1552" s="3">
        <f>LOOKUP(D1552,'AMFI DATA_2023H1'!B:C,'AMFI DATA_2023H1'!C:C)</f>
        <v>1382</v>
      </c>
      <c r="B1552" s="4" t="s">
        <v>3410</v>
      </c>
      <c r="C1552" s="4" t="s">
        <v>3411</v>
      </c>
      <c r="D1552" s="5" t="s">
        <v>3412</v>
      </c>
      <c r="E1552" s="5">
        <f>LOOKUP(D1552,'AMFI DATA_2023H1'!B:D,'AMFI DATA_2023H1'!D:D)</f>
        <v>430.13</v>
      </c>
      <c r="F1552" s="7">
        <f t="shared" si="6"/>
        <v>1.4829702648036642</v>
      </c>
      <c r="G1552" s="9">
        <v>1068</v>
      </c>
      <c r="H1552" s="9">
        <v>1019</v>
      </c>
      <c r="I1552" s="9">
        <v>969</v>
      </c>
      <c r="J1552" s="9">
        <v>983</v>
      </c>
      <c r="K1552" s="9">
        <v>975</v>
      </c>
      <c r="L1552" s="9">
        <v>974</v>
      </c>
      <c r="M1552" s="9"/>
      <c r="N1552" s="9"/>
      <c r="O1552" s="9"/>
      <c r="P1552" s="9"/>
      <c r="Q1552" s="9">
        <f ca="1">IFERROR(__xludf.DUMMYFUNCTION("GOOGLEFINANCE(C1552,""changepct"")"),1.58)</f>
        <v>1.58</v>
      </c>
      <c r="R1552" s="9"/>
      <c r="S1552" s="9"/>
      <c r="T1552" s="9"/>
      <c r="U1552" s="9"/>
      <c r="V1552" s="9"/>
      <c r="W1552" s="9"/>
    </row>
    <row r="1553" spans="1:23" ht="14.4">
      <c r="A1553" s="3">
        <f>LOOKUP(D1553,'AMFI DATA_2023H1'!B:C,'AMFI DATA_2023H1'!C:C)</f>
        <v>1520</v>
      </c>
      <c r="B1553" s="4" t="s">
        <v>3836</v>
      </c>
      <c r="C1553" s="4" t="s">
        <v>3837</v>
      </c>
      <c r="D1553" s="5" t="s">
        <v>3838</v>
      </c>
      <c r="E1553" s="5">
        <f>LOOKUP(D1553,'AMFI DATA_2023H1'!B:D,'AMFI DATA_2023H1'!D:D)</f>
        <v>332.57</v>
      </c>
      <c r="F1553" s="7">
        <f t="shared" si="6"/>
        <v>2.2203746579667438</v>
      </c>
      <c r="G1553" s="8">
        <v>1071</v>
      </c>
      <c r="H1553" s="8">
        <v>1096</v>
      </c>
      <c r="I1553" s="8">
        <v>1075</v>
      </c>
      <c r="J1553" s="8">
        <v>1132</v>
      </c>
      <c r="K1553" s="8">
        <v>1080</v>
      </c>
      <c r="L1553" s="8">
        <v>1027</v>
      </c>
      <c r="M1553" s="8"/>
      <c r="N1553" s="8"/>
      <c r="O1553" s="8"/>
      <c r="P1553" s="8"/>
      <c r="Q1553" s="9">
        <f ca="1">IFERROR(__xludf.DUMMYFUNCTION("GOOGLEFINANCE(C1553,""changepct"")"),4.65)</f>
        <v>4.6500000000000004</v>
      </c>
      <c r="R1553" s="8"/>
      <c r="S1553" s="8"/>
      <c r="T1553" s="8"/>
      <c r="U1553" s="8"/>
      <c r="V1553" s="8"/>
      <c r="W1553" s="8"/>
    </row>
    <row r="1554" spans="1:23" ht="14.4">
      <c r="A1554" s="3">
        <f>LOOKUP(D1554,'AMFI DATA_2023H1'!B:C,'AMFI DATA_2023H1'!C:C)</f>
        <v>1975</v>
      </c>
      <c r="B1554" s="4" t="s">
        <v>4802</v>
      </c>
      <c r="C1554" s="4" t="s">
        <v>4803</v>
      </c>
      <c r="D1554" s="5" t="s">
        <v>4804</v>
      </c>
      <c r="E1554" s="5">
        <f>LOOKUP(D1554,'AMFI DATA_2023H1'!B:D,'AMFI DATA_2023H1'!D:D)</f>
        <v>148.83000000000001</v>
      </c>
      <c r="F1554" s="7">
        <f t="shared" si="6"/>
        <v>0.19599543102869044</v>
      </c>
      <c r="G1554" s="9">
        <v>178</v>
      </c>
      <c r="H1554" s="9">
        <v>181</v>
      </c>
      <c r="I1554" s="9">
        <v>177</v>
      </c>
      <c r="J1554" s="9">
        <v>172</v>
      </c>
      <c r="K1554" s="9">
        <v>169</v>
      </c>
      <c r="L1554" s="9">
        <v>170</v>
      </c>
      <c r="M1554" s="9"/>
      <c r="N1554" s="9"/>
      <c r="O1554" s="9"/>
      <c r="P1554" s="9"/>
      <c r="Q1554" s="9">
        <f ca="1">IFERROR(__xludf.DUMMYFUNCTION("GOOGLEFINANCE(C1554,""changepct"")"),1.25)</f>
        <v>1.25</v>
      </c>
      <c r="R1554" s="9"/>
      <c r="S1554" s="9"/>
      <c r="T1554" s="9"/>
      <c r="U1554" s="9"/>
      <c r="V1554" s="9"/>
      <c r="W1554" s="9"/>
    </row>
    <row r="1555" spans="1:23" ht="14.4">
      <c r="A1555" s="3">
        <f>LOOKUP(D1555,'AMFI DATA_2023H1'!B:C,'AMFI DATA_2023H1'!C:C)</f>
        <v>1134</v>
      </c>
      <c r="B1555" s="4" t="s">
        <v>3443</v>
      </c>
      <c r="C1555" s="4" t="s">
        <v>3444</v>
      </c>
      <c r="D1555" s="5" t="s">
        <v>3445</v>
      </c>
      <c r="E1555" s="5">
        <f>LOOKUP(D1555,'AMFI DATA_2023H1'!B:D,'AMFI DATA_2023H1'!D:D)</f>
        <v>818.8</v>
      </c>
      <c r="F1555" s="7">
        <f t="shared" si="6"/>
        <v>0.3299951148021496</v>
      </c>
      <c r="G1555" s="8">
        <v>1089</v>
      </c>
      <c r="H1555" s="8">
        <v>1057</v>
      </c>
      <c r="I1555" s="8">
        <v>1081</v>
      </c>
      <c r="J1555" s="8">
        <v>1067</v>
      </c>
      <c r="K1555" s="8">
        <v>1065</v>
      </c>
      <c r="L1555" s="8">
        <v>1089</v>
      </c>
      <c r="M1555" s="8"/>
      <c r="N1555" s="8"/>
      <c r="O1555" s="8"/>
      <c r="P1555" s="8"/>
      <c r="Q1555" s="9">
        <f ca="1">IFERROR(__xludf.DUMMYFUNCTION("GOOGLEFINANCE(C1555,""changepct"")"),2.17)</f>
        <v>2.17</v>
      </c>
      <c r="R1555" s="8"/>
      <c r="S1555" s="8"/>
      <c r="T1555" s="8"/>
      <c r="U1555" s="8"/>
      <c r="V1555" s="8"/>
      <c r="W1555" s="8"/>
    </row>
    <row r="1556" spans="1:23" ht="14.4">
      <c r="A1556" s="3">
        <f>LOOKUP(D1556,'AMFI DATA_2023H1'!B:C,'AMFI DATA_2023H1'!C:C)</f>
        <v>972</v>
      </c>
      <c r="B1556" s="4" t="s">
        <v>2792</v>
      </c>
      <c r="C1556" s="4" t="s">
        <v>2793</v>
      </c>
      <c r="D1556" s="5" t="s">
        <v>2794</v>
      </c>
      <c r="E1556" s="5">
        <f>LOOKUP(D1556,'AMFI DATA_2023H1'!B:D,'AMFI DATA_2023H1'!D:D)</f>
        <v>1258.92</v>
      </c>
      <c r="F1556" s="7">
        <f t="shared" si="6"/>
        <v>0.56403901757061603</v>
      </c>
      <c r="G1556" s="8">
        <v>1969</v>
      </c>
      <c r="H1556" s="8">
        <v>1916</v>
      </c>
      <c r="I1556" s="8">
        <v>1933</v>
      </c>
      <c r="J1556" s="8">
        <v>1919</v>
      </c>
      <c r="K1556" s="8">
        <v>1921</v>
      </c>
      <c r="L1556" s="8">
        <v>1932</v>
      </c>
      <c r="M1556" s="8"/>
      <c r="N1556" s="8"/>
      <c r="O1556" s="8"/>
      <c r="P1556" s="8"/>
      <c r="Q1556" s="9">
        <f ca="1">IFERROR(__xludf.DUMMYFUNCTION("GOOGLEFINANCE(C1556,""changepct"")"),-0.94)</f>
        <v>-0.94</v>
      </c>
      <c r="R1556" s="8"/>
      <c r="S1556" s="8"/>
      <c r="T1556" s="8"/>
      <c r="U1556" s="8"/>
      <c r="V1556" s="8"/>
      <c r="W1556" s="8"/>
    </row>
    <row r="1557" spans="1:23" ht="14.4">
      <c r="A1557" s="3">
        <f>LOOKUP(D1557,'AMFI DATA_2023H1'!B:C,'AMFI DATA_2023H1'!C:C)</f>
        <v>1880</v>
      </c>
      <c r="B1557" s="4" t="s">
        <v>4892</v>
      </c>
      <c r="C1557" s="4" t="s">
        <v>4893</v>
      </c>
      <c r="D1557" s="5" t="s">
        <v>4894</v>
      </c>
      <c r="E1557" s="5">
        <f>LOOKUP(D1557,'AMFI DATA_2023H1'!B:D,'AMFI DATA_2023H1'!D:D)</f>
        <v>170.05</v>
      </c>
      <c r="F1557" s="7">
        <f t="shared" si="6"/>
        <v>-5.9100264628050625E-2</v>
      </c>
      <c r="G1557" s="9">
        <v>160</v>
      </c>
      <c r="H1557" s="9">
        <v>161</v>
      </c>
      <c r="I1557" s="9">
        <v>164</v>
      </c>
      <c r="J1557" s="9">
        <v>158</v>
      </c>
      <c r="K1557" s="9">
        <v>156</v>
      </c>
      <c r="L1557" s="9">
        <v>155</v>
      </c>
      <c r="M1557" s="9"/>
      <c r="N1557" s="9"/>
      <c r="O1557" s="9"/>
      <c r="P1557" s="9"/>
      <c r="Q1557" s="9">
        <f ca="1">IFERROR(__xludf.DUMMYFUNCTION("GOOGLEFINANCE(C1557,""changepct"")"),-0.17)</f>
        <v>-0.17</v>
      </c>
      <c r="R1557" s="9"/>
      <c r="S1557" s="9"/>
      <c r="T1557" s="9"/>
      <c r="U1557" s="9"/>
      <c r="V1557" s="9"/>
      <c r="W1557" s="9"/>
    </row>
    <row r="1558" spans="1:23" ht="14.4">
      <c r="A1558" s="3">
        <f>LOOKUP(D1558,'AMFI DATA_2023H1'!B:C,'AMFI DATA_2023H1'!C:C)</f>
        <v>1220</v>
      </c>
      <c r="B1558" s="4" t="s">
        <v>3389</v>
      </c>
      <c r="C1558" s="4" t="s">
        <v>3390</v>
      </c>
      <c r="D1558" s="5" t="s">
        <v>3391</v>
      </c>
      <c r="E1558" s="5">
        <f>LOOKUP(D1558,'AMFI DATA_2023H1'!B:D,'AMFI DATA_2023H1'!D:D)</f>
        <v>661.72</v>
      </c>
      <c r="F1558" s="7">
        <f t="shared" si="6"/>
        <v>0.53539261318986875</v>
      </c>
      <c r="G1558" s="8">
        <v>1016</v>
      </c>
      <c r="H1558" s="8">
        <v>1009</v>
      </c>
      <c r="I1558" s="8">
        <v>1009</v>
      </c>
      <c r="J1558" s="8">
        <v>1017</v>
      </c>
      <c r="K1558" s="8">
        <v>1008</v>
      </c>
      <c r="L1558" s="8">
        <v>1007</v>
      </c>
      <c r="M1558" s="8"/>
      <c r="N1558" s="8"/>
      <c r="O1558" s="8"/>
      <c r="P1558" s="8"/>
      <c r="Q1558" s="9">
        <f ca="1">IFERROR(__xludf.DUMMYFUNCTION("GOOGLEFINANCE(C1558,""changepct"")"),1)</f>
        <v>1</v>
      </c>
      <c r="R1558" s="8"/>
      <c r="S1558" s="8"/>
      <c r="T1558" s="8"/>
      <c r="U1558" s="8"/>
      <c r="V1558" s="8"/>
      <c r="W1558" s="8"/>
    </row>
    <row r="1559" spans="1:23" ht="14.4">
      <c r="A1559" s="3">
        <f>LOOKUP(D1559,'AMFI DATA_2023H1'!B:C,'AMFI DATA_2023H1'!C:C)</f>
        <v>1248</v>
      </c>
      <c r="B1559" s="4" t="s">
        <v>3485</v>
      </c>
      <c r="C1559" s="4" t="s">
        <v>3486</v>
      </c>
      <c r="D1559" s="5" t="s">
        <v>3487</v>
      </c>
      <c r="E1559" s="5">
        <f>LOOKUP(D1559,'AMFI DATA_2023H1'!B:D,'AMFI DATA_2023H1'!D:D)</f>
        <v>607.73</v>
      </c>
      <c r="F1559" s="7">
        <f t="shared" si="6"/>
        <v>0.77710496437562737</v>
      </c>
      <c r="G1559" s="8">
        <v>1080</v>
      </c>
      <c r="H1559" s="8">
        <v>1058</v>
      </c>
      <c r="I1559" s="8">
        <v>1059</v>
      </c>
      <c r="J1559" s="8">
        <v>1043</v>
      </c>
      <c r="K1559" s="8">
        <v>1066</v>
      </c>
      <c r="L1559" s="8">
        <v>1053</v>
      </c>
      <c r="M1559" s="8"/>
      <c r="N1559" s="8"/>
      <c r="O1559" s="8"/>
      <c r="P1559" s="8"/>
      <c r="Q1559" s="9">
        <f ca="1">IFERROR(__xludf.DUMMYFUNCTION("GOOGLEFINANCE(C1559,""changepct"")"),4.87)</f>
        <v>4.87</v>
      </c>
      <c r="R1559" s="8"/>
      <c r="S1559" s="8"/>
      <c r="T1559" s="8"/>
      <c r="U1559" s="8"/>
      <c r="V1559" s="8"/>
      <c r="W1559" s="8"/>
    </row>
    <row r="1560" spans="1:23" ht="14.4">
      <c r="A1560" s="3">
        <f>LOOKUP(D1560,'AMFI DATA_2023H1'!B:C,'AMFI DATA_2023H1'!C:C)</f>
        <v>509</v>
      </c>
      <c r="B1560" s="4" t="s">
        <v>1560</v>
      </c>
      <c r="C1560" s="4" t="s">
        <v>1561</v>
      </c>
      <c r="D1560" s="5" t="s">
        <v>1562</v>
      </c>
      <c r="E1560" s="5">
        <f>LOOKUP(D1560,'AMFI DATA_2023H1'!B:D,'AMFI DATA_2023H1'!D:D)</f>
        <v>5052.38</v>
      </c>
      <c r="F1560" s="7">
        <f t="shared" si="6"/>
        <v>0.92127274670551307</v>
      </c>
      <c r="G1560" s="8">
        <v>9707</v>
      </c>
      <c r="H1560" s="8">
        <v>9348</v>
      </c>
      <c r="I1560" s="8">
        <v>9532</v>
      </c>
      <c r="J1560" s="8">
        <v>9621</v>
      </c>
      <c r="K1560" s="8">
        <v>9609</v>
      </c>
      <c r="L1560" s="8">
        <v>9746</v>
      </c>
      <c r="M1560" s="8"/>
      <c r="N1560" s="8"/>
      <c r="O1560" s="8"/>
      <c r="P1560" s="8"/>
      <c r="Q1560" s="9">
        <f ca="1">IFERROR(__xludf.DUMMYFUNCTION("GOOGLEFINANCE(C1560,""changepct"")"),0.88)</f>
        <v>0.88</v>
      </c>
      <c r="R1560" s="8"/>
      <c r="S1560" s="8"/>
      <c r="T1560" s="8"/>
      <c r="U1560" s="8"/>
      <c r="V1560" s="8"/>
      <c r="W1560" s="8"/>
    </row>
    <row r="1561" spans="1:23" ht="14.4">
      <c r="A1561" s="3">
        <f>LOOKUP(D1561,'AMFI DATA_2023H1'!B:C,'AMFI DATA_2023H1'!C:C)</f>
        <v>1928</v>
      </c>
      <c r="B1561" s="4" t="s">
        <v>4691</v>
      </c>
      <c r="C1561" s="4" t="s">
        <v>4692</v>
      </c>
      <c r="D1561" s="5" t="s">
        <v>4693</v>
      </c>
      <c r="E1561" s="5">
        <f>LOOKUP(D1561,'AMFI DATA_2023H1'!B:D,'AMFI DATA_2023H1'!D:D)</f>
        <v>160</v>
      </c>
      <c r="F1561" s="7">
        <f t="shared" si="6"/>
        <v>0.46249999999999991</v>
      </c>
      <c r="G1561" s="9">
        <v>234</v>
      </c>
      <c r="H1561" s="9">
        <v>236</v>
      </c>
      <c r="I1561" s="9">
        <v>231</v>
      </c>
      <c r="J1561" s="9">
        <v>231</v>
      </c>
      <c r="K1561" s="9">
        <v>222</v>
      </c>
      <c r="L1561" s="9">
        <v>229</v>
      </c>
      <c r="M1561" s="9"/>
      <c r="N1561" s="9"/>
      <c r="O1561" s="9"/>
      <c r="P1561" s="9"/>
      <c r="Q1561" s="9">
        <f ca="1">IFERROR(__xludf.DUMMYFUNCTION("GOOGLEFINANCE(C1561,""changepct"")"),5.98)</f>
        <v>5.98</v>
      </c>
      <c r="R1561" s="9"/>
      <c r="S1561" s="9"/>
      <c r="T1561" s="9"/>
      <c r="U1561" s="9"/>
      <c r="V1561" s="9"/>
      <c r="W1561" s="9"/>
    </row>
    <row r="1562" spans="1:23" ht="14.4">
      <c r="A1562" s="3">
        <f>LOOKUP(D1562,'AMFI DATA_2023H1'!B:C,'AMFI DATA_2023H1'!C:C)</f>
        <v>148</v>
      </c>
      <c r="B1562" s="4" t="s">
        <v>447</v>
      </c>
      <c r="C1562" s="4" t="s">
        <v>448</v>
      </c>
      <c r="D1562" s="5" t="s">
        <v>449</v>
      </c>
      <c r="E1562" s="5">
        <f>LOOKUP(D1562,'AMFI DATA_2023H1'!B:D,'AMFI DATA_2023H1'!D:D)</f>
        <v>35224.660000000003</v>
      </c>
      <c r="F1562" s="7">
        <f t="shared" si="6"/>
        <v>0.74255762866128427</v>
      </c>
      <c r="G1562" s="8">
        <v>61381</v>
      </c>
      <c r="H1562" s="8">
        <v>60909</v>
      </c>
      <c r="I1562" s="8">
        <v>61470</v>
      </c>
      <c r="J1562" s="8">
        <v>61055</v>
      </c>
      <c r="K1562" s="8">
        <v>61578</v>
      </c>
      <c r="L1562" s="8">
        <v>59677</v>
      </c>
      <c r="M1562" s="8"/>
      <c r="N1562" s="8"/>
      <c r="O1562" s="8"/>
      <c r="P1562" s="8"/>
      <c r="Q1562" s="9">
        <f ca="1">IFERROR(__xludf.DUMMYFUNCTION("GOOGLEFINANCE(C1562,""changepct"")"),0.31)</f>
        <v>0.31</v>
      </c>
      <c r="R1562" s="8"/>
      <c r="S1562" s="8"/>
      <c r="T1562" s="8"/>
      <c r="U1562" s="8"/>
      <c r="V1562" s="8"/>
      <c r="W1562" s="8"/>
    </row>
    <row r="1563" spans="1:23" ht="14.4">
      <c r="A1563" s="3">
        <f>LOOKUP(D1563,'AMFI DATA_2023H1'!B:C,'AMFI DATA_2023H1'!C:C)</f>
        <v>935</v>
      </c>
      <c r="B1563" s="4" t="s">
        <v>3158</v>
      </c>
      <c r="C1563" s="4" t="s">
        <v>3159</v>
      </c>
      <c r="D1563" s="5" t="s">
        <v>3160</v>
      </c>
      <c r="E1563" s="5">
        <f>LOOKUP(D1563,'AMFI DATA_2023H1'!B:D,'AMFI DATA_2023H1'!D:D)</f>
        <v>1360.26</v>
      </c>
      <c r="F1563" s="7">
        <f t="shared" si="6"/>
        <v>-4.8711275785511599E-2</v>
      </c>
      <c r="G1563" s="8">
        <v>1294</v>
      </c>
      <c r="H1563" s="8">
        <v>1297</v>
      </c>
      <c r="I1563" s="8">
        <v>1302</v>
      </c>
      <c r="J1563" s="8">
        <v>1325</v>
      </c>
      <c r="K1563" s="8">
        <v>1348</v>
      </c>
      <c r="L1563" s="8">
        <v>1184</v>
      </c>
      <c r="M1563" s="8"/>
      <c r="N1563" s="8"/>
      <c r="O1563" s="8"/>
      <c r="P1563" s="8"/>
      <c r="Q1563" s="9">
        <f ca="1">IFERROR(__xludf.DUMMYFUNCTION("GOOGLEFINANCE(C1563,""changepct"")"),-3.78)</f>
        <v>-3.78</v>
      </c>
      <c r="R1563" s="8"/>
      <c r="S1563" s="8"/>
      <c r="T1563" s="8"/>
      <c r="U1563" s="8"/>
      <c r="V1563" s="8"/>
      <c r="W1563" s="8"/>
    </row>
    <row r="1564" spans="1:23" ht="14.4">
      <c r="A1564" s="3">
        <f>LOOKUP(D1564,'AMFI DATA_2023H1'!B:C,'AMFI DATA_2023H1'!C:C)</f>
        <v>982</v>
      </c>
      <c r="B1564" s="4" t="s">
        <v>2501</v>
      </c>
      <c r="C1564" s="4" t="s">
        <v>2502</v>
      </c>
      <c r="D1564" s="5" t="s">
        <v>2503</v>
      </c>
      <c r="E1564" s="5">
        <f>LOOKUP(D1564,'AMFI DATA_2023H1'!B:D,'AMFI DATA_2023H1'!D:D)</f>
        <v>1240.24</v>
      </c>
      <c r="F1564" s="7">
        <f t="shared" si="6"/>
        <v>0.79400761143004583</v>
      </c>
      <c r="G1564" s="8">
        <v>2225</v>
      </c>
      <c r="H1564" s="8">
        <v>2205</v>
      </c>
      <c r="I1564" s="8">
        <v>2205</v>
      </c>
      <c r="J1564" s="8">
        <v>2210</v>
      </c>
      <c r="K1564" s="8">
        <v>2239</v>
      </c>
      <c r="L1564" s="8">
        <v>2261</v>
      </c>
      <c r="M1564" s="8"/>
      <c r="N1564" s="8"/>
      <c r="O1564" s="8"/>
      <c r="P1564" s="8"/>
      <c r="Q1564" s="9">
        <f ca="1">IFERROR(__xludf.DUMMYFUNCTION("GOOGLEFINANCE(C1564,""changepct"")"),-0.9)</f>
        <v>-0.9</v>
      </c>
      <c r="R1564" s="8"/>
      <c r="S1564" s="8"/>
      <c r="T1564" s="8"/>
      <c r="U1564" s="8"/>
      <c r="V1564" s="8"/>
      <c r="W1564" s="8"/>
    </row>
    <row r="1565" spans="1:23" ht="14.4">
      <c r="A1565" s="3">
        <f>LOOKUP(D1565,'AMFI DATA_2023H1'!B:C,'AMFI DATA_2023H1'!C:C)</f>
        <v>2394</v>
      </c>
      <c r="B1565" s="4" t="s">
        <v>5362</v>
      </c>
      <c r="C1565" s="4" t="s">
        <v>5363</v>
      </c>
      <c r="D1565" s="5" t="s">
        <v>5364</v>
      </c>
      <c r="E1565" s="5">
        <f>LOOKUP(D1565,'AMFI DATA_2023H1'!B:D,'AMFI DATA_2023H1'!D:D)</f>
        <v>73.98</v>
      </c>
      <c r="F1565" s="7">
        <f t="shared" si="6"/>
        <v>5.6772100567721306E-3</v>
      </c>
      <c r="G1565" s="9">
        <v>74.400000000000006</v>
      </c>
      <c r="H1565" s="9">
        <v>73</v>
      </c>
      <c r="I1565" s="9">
        <v>77.2</v>
      </c>
      <c r="J1565" s="9">
        <v>73.7</v>
      </c>
      <c r="K1565" s="9">
        <v>66.400000000000006</v>
      </c>
      <c r="L1565" s="9">
        <v>65.099999999999994</v>
      </c>
      <c r="M1565" s="9"/>
      <c r="N1565" s="9"/>
      <c r="O1565" s="9"/>
      <c r="P1565" s="9"/>
      <c r="Q1565" s="9">
        <f ca="1">IFERROR(__xludf.DUMMYFUNCTION("GOOGLEFINANCE(C1565,""changepct"")"),-3.76)</f>
        <v>-3.76</v>
      </c>
      <c r="R1565" s="9"/>
      <c r="S1565" s="9"/>
      <c r="T1565" s="9"/>
      <c r="U1565" s="9"/>
      <c r="V1565" s="9"/>
      <c r="W1565" s="9"/>
    </row>
    <row r="1566" spans="1:23" ht="14.4">
      <c r="A1566" s="3">
        <f>LOOKUP(D1566,'AMFI DATA_2023H1'!B:C,'AMFI DATA_2023H1'!C:C)</f>
        <v>726</v>
      </c>
      <c r="B1566" s="4" t="s">
        <v>2297</v>
      </c>
      <c r="C1566" s="4" t="s">
        <v>2298</v>
      </c>
      <c r="D1566" s="5" t="s">
        <v>2299</v>
      </c>
      <c r="E1566" s="5">
        <f>LOOKUP(D1566,'AMFI DATA_2023H1'!B:D,'AMFI DATA_2023H1'!D:D)</f>
        <v>2375.8000000000002</v>
      </c>
      <c r="F1566" s="7">
        <f t="shared" si="6"/>
        <v>0.29514268877851668</v>
      </c>
      <c r="G1566" s="8">
        <v>3077</v>
      </c>
      <c r="H1566" s="8">
        <v>3041</v>
      </c>
      <c r="I1566" s="8">
        <v>3039</v>
      </c>
      <c r="J1566" s="8">
        <v>3055</v>
      </c>
      <c r="K1566" s="8">
        <v>3049</v>
      </c>
      <c r="L1566" s="8">
        <v>3087</v>
      </c>
      <c r="M1566" s="8"/>
      <c r="N1566" s="8"/>
      <c r="O1566" s="8"/>
      <c r="P1566" s="8"/>
      <c r="Q1566" s="9">
        <f ca="1">IFERROR(__xludf.DUMMYFUNCTION("GOOGLEFINANCE(C1566,""changepct"")"),-0.39)</f>
        <v>-0.39</v>
      </c>
      <c r="R1566" s="8"/>
      <c r="S1566" s="8"/>
      <c r="T1566" s="8"/>
      <c r="U1566" s="8"/>
      <c r="V1566" s="8"/>
      <c r="W1566" s="8"/>
    </row>
    <row r="1567" spans="1:23" ht="14.4">
      <c r="A1567" s="3">
        <f>LOOKUP(D1567,'AMFI DATA_2023H1'!B:C,'AMFI DATA_2023H1'!C:C)</f>
        <v>2621</v>
      </c>
      <c r="B1567" s="4" t="s">
        <v>5275</v>
      </c>
      <c r="C1567" s="4" t="s">
        <v>5276</v>
      </c>
      <c r="D1567" s="5" t="s">
        <v>5277</v>
      </c>
      <c r="E1567" s="5">
        <f>LOOKUP(D1567,'AMFI DATA_2023H1'!B:D,'AMFI DATA_2023H1'!D:D)</f>
        <v>51.71</v>
      </c>
      <c r="F1567" s="7">
        <f t="shared" si="6"/>
        <v>1.0692322568168633</v>
      </c>
      <c r="G1567" s="9">
        <v>107</v>
      </c>
      <c r="H1567" s="9">
        <v>109</v>
      </c>
      <c r="I1567" s="9">
        <v>105</v>
      </c>
      <c r="J1567" s="9">
        <v>104</v>
      </c>
      <c r="K1567" s="9">
        <v>101</v>
      </c>
      <c r="L1567" s="9">
        <v>102</v>
      </c>
      <c r="M1567" s="9"/>
      <c r="N1567" s="9"/>
      <c r="O1567" s="9"/>
      <c r="P1567" s="9"/>
      <c r="Q1567" s="9">
        <f ca="1">IFERROR(__xludf.DUMMYFUNCTION("GOOGLEFINANCE(C1567,""changepct"")"),1.18)</f>
        <v>1.18</v>
      </c>
      <c r="R1567" s="9"/>
      <c r="S1567" s="9"/>
      <c r="T1567" s="9"/>
      <c r="U1567" s="9"/>
      <c r="V1567" s="9"/>
      <c r="W1567" s="9"/>
    </row>
    <row r="1568" spans="1:23" ht="14.4">
      <c r="A1568" s="3">
        <f>LOOKUP(D1568,'AMFI DATA_2023H1'!B:C,'AMFI DATA_2023H1'!C:C)</f>
        <v>176</v>
      </c>
      <c r="B1568" s="4" t="s">
        <v>573</v>
      </c>
      <c r="C1568" s="4" t="s">
        <v>574</v>
      </c>
      <c r="D1568" s="5" t="s">
        <v>575</v>
      </c>
      <c r="E1568" s="5">
        <f>LOOKUP(D1568,'AMFI DATA_2023H1'!B:D,'AMFI DATA_2023H1'!D:D)</f>
        <v>27487.58</v>
      </c>
      <c r="F1568" s="7">
        <f t="shared" si="6"/>
        <v>0.37662173243333896</v>
      </c>
      <c r="G1568" s="8">
        <v>37840</v>
      </c>
      <c r="H1568" s="8">
        <v>37796</v>
      </c>
      <c r="I1568" s="8">
        <v>37110</v>
      </c>
      <c r="J1568" s="8">
        <v>36037</v>
      </c>
      <c r="K1568" s="8">
        <v>33931</v>
      </c>
      <c r="L1568" s="8">
        <v>33838</v>
      </c>
      <c r="M1568" s="8"/>
      <c r="N1568" s="8"/>
      <c r="O1568" s="8"/>
      <c r="P1568" s="8"/>
      <c r="Q1568" s="9">
        <f ca="1">IFERROR(__xludf.DUMMYFUNCTION("GOOGLEFINANCE(C1568,""changepct"")"),1.72)</f>
        <v>1.72</v>
      </c>
      <c r="R1568" s="8"/>
      <c r="S1568" s="8"/>
      <c r="T1568" s="8"/>
      <c r="U1568" s="8"/>
      <c r="V1568" s="8"/>
      <c r="W1568" s="8"/>
    </row>
    <row r="1569" spans="1:23" ht="14.4">
      <c r="A1569" s="3">
        <f>LOOKUP(D1569,'AMFI DATA_2023H1'!B:C,'AMFI DATA_2023H1'!C:C)</f>
        <v>2242</v>
      </c>
      <c r="B1569" s="4" t="s">
        <v>5027</v>
      </c>
      <c r="C1569" s="4" t="s">
        <v>5028</v>
      </c>
      <c r="D1569" s="5" t="s">
        <v>5029</v>
      </c>
      <c r="E1569" s="5">
        <f>LOOKUP(D1569,'AMFI DATA_2023H1'!B:D,'AMFI DATA_2023H1'!D:D)</f>
        <v>95.99</v>
      </c>
      <c r="F1569" s="7">
        <f t="shared" si="6"/>
        <v>0.55224502552349208</v>
      </c>
      <c r="G1569" s="9">
        <v>149</v>
      </c>
      <c r="H1569" s="9">
        <v>142</v>
      </c>
      <c r="I1569" s="9">
        <v>148</v>
      </c>
      <c r="J1569" s="9">
        <v>146</v>
      </c>
      <c r="K1569" s="9">
        <v>150</v>
      </c>
      <c r="L1569" s="9">
        <v>147</v>
      </c>
      <c r="M1569" s="9"/>
      <c r="N1569" s="9"/>
      <c r="O1569" s="9"/>
      <c r="P1569" s="9"/>
      <c r="Q1569" s="9">
        <f ca="1">IFERROR(__xludf.DUMMYFUNCTION("GOOGLEFINANCE(C1569,""changepct"")"),3.86)</f>
        <v>3.86</v>
      </c>
      <c r="R1569" s="9"/>
      <c r="S1569" s="9"/>
      <c r="T1569" s="9"/>
      <c r="U1569" s="9"/>
      <c r="V1569" s="9"/>
      <c r="W1569" s="9"/>
    </row>
    <row r="1570" spans="1:23" ht="14.4">
      <c r="A1570" s="3">
        <f>LOOKUP(D1570,'AMFI DATA_2023H1'!B:C,'AMFI DATA_2023H1'!C:C)</f>
        <v>320</v>
      </c>
      <c r="B1570" s="4" t="s">
        <v>909</v>
      </c>
      <c r="C1570" s="4" t="s">
        <v>910</v>
      </c>
      <c r="D1570" s="5" t="s">
        <v>911</v>
      </c>
      <c r="E1570" s="5">
        <f>LOOKUP(D1570,'AMFI DATA_2023H1'!B:D,'AMFI DATA_2023H1'!D:D)</f>
        <v>11259.07</v>
      </c>
      <c r="F1570" s="7">
        <f t="shared" si="6"/>
        <v>0.80059276654288514</v>
      </c>
      <c r="G1570" s="8">
        <v>20273</v>
      </c>
      <c r="H1570" s="8">
        <v>20753</v>
      </c>
      <c r="I1570" s="8">
        <v>20465</v>
      </c>
      <c r="J1570" s="8">
        <v>20735</v>
      </c>
      <c r="K1570" s="8">
        <v>20896</v>
      </c>
      <c r="L1570" s="8">
        <v>21029</v>
      </c>
      <c r="M1570" s="8"/>
      <c r="N1570" s="8"/>
      <c r="O1570" s="8"/>
      <c r="P1570" s="8"/>
      <c r="Q1570" s="9">
        <f ca="1">IFERROR(__xludf.DUMMYFUNCTION("GOOGLEFINANCE(C1570,""changepct"")"),-0.31)</f>
        <v>-0.31</v>
      </c>
      <c r="R1570" s="8"/>
      <c r="S1570" s="8"/>
      <c r="T1570" s="8"/>
      <c r="U1570" s="8"/>
      <c r="V1570" s="8"/>
      <c r="W1570" s="8"/>
    </row>
    <row r="1571" spans="1:23" ht="14.4">
      <c r="A1571" s="3">
        <f>LOOKUP(D1571,'AMFI DATA_2023H1'!B:C,'AMFI DATA_2023H1'!C:C)</f>
        <v>1494</v>
      </c>
      <c r="B1571" s="4" t="s">
        <v>4091</v>
      </c>
      <c r="C1571" s="4" t="s">
        <v>4092</v>
      </c>
      <c r="D1571" s="5" t="s">
        <v>4093</v>
      </c>
      <c r="E1571" s="5">
        <f>LOOKUP(D1571,'AMFI DATA_2023H1'!B:D,'AMFI DATA_2023H1'!D:D)</f>
        <v>349.94</v>
      </c>
      <c r="F1571" s="7">
        <f t="shared" si="6"/>
        <v>0.40881293936103336</v>
      </c>
      <c r="G1571" s="9">
        <v>493</v>
      </c>
      <c r="H1571" s="9">
        <v>470</v>
      </c>
      <c r="I1571" s="9">
        <v>456</v>
      </c>
      <c r="J1571" s="9">
        <v>449</v>
      </c>
      <c r="K1571" s="9">
        <v>444</v>
      </c>
      <c r="L1571" s="9">
        <v>453</v>
      </c>
      <c r="M1571" s="9"/>
      <c r="N1571" s="9"/>
      <c r="O1571" s="9"/>
      <c r="P1571" s="9"/>
      <c r="Q1571" s="9">
        <f ca="1">IFERROR(__xludf.DUMMYFUNCTION("GOOGLEFINANCE(C1571,""changepct"")"),-0.03)</f>
        <v>-0.03</v>
      </c>
      <c r="R1571" s="9"/>
      <c r="S1571" s="9"/>
      <c r="T1571" s="9"/>
      <c r="U1571" s="9"/>
      <c r="V1571" s="9"/>
      <c r="W1571" s="9"/>
    </row>
    <row r="1572" spans="1:23" ht="14.4">
      <c r="A1572" s="3">
        <f>LOOKUP(D1572,'AMFI DATA_2023H1'!B:C,'AMFI DATA_2023H1'!C:C)</f>
        <v>933</v>
      </c>
      <c r="B1572" s="4" t="s">
        <v>3026</v>
      </c>
      <c r="C1572" s="4" t="s">
        <v>3027</v>
      </c>
      <c r="D1572" s="5" t="s">
        <v>3028</v>
      </c>
      <c r="E1572" s="5">
        <f>LOOKUP(D1572,'AMFI DATA_2023H1'!B:D,'AMFI DATA_2023H1'!D:D)</f>
        <v>1369.76</v>
      </c>
      <c r="F1572" s="7">
        <f t="shared" si="6"/>
        <v>0.20532064011213635</v>
      </c>
      <c r="G1572" s="8">
        <v>1651</v>
      </c>
      <c r="H1572" s="8">
        <v>1571</v>
      </c>
      <c r="I1572" s="8">
        <v>1574</v>
      </c>
      <c r="J1572" s="8">
        <v>1555</v>
      </c>
      <c r="K1572" s="8">
        <v>1586</v>
      </c>
      <c r="L1572" s="8">
        <v>1556</v>
      </c>
      <c r="M1572" s="8"/>
      <c r="N1572" s="8"/>
      <c r="O1572" s="8"/>
      <c r="P1572" s="8"/>
      <c r="Q1572" s="9">
        <f ca="1">IFERROR(__xludf.DUMMYFUNCTION("GOOGLEFINANCE(C1572,""changepct"")"),5.49)</f>
        <v>5.49</v>
      </c>
      <c r="R1572" s="8"/>
      <c r="S1572" s="8"/>
      <c r="T1572" s="8"/>
      <c r="U1572" s="8"/>
      <c r="V1572" s="8"/>
      <c r="W1572" s="8"/>
    </row>
    <row r="1573" spans="1:23" ht="14.4">
      <c r="A1573" s="3">
        <f>LOOKUP(D1573,'AMFI DATA_2023H1'!B:C,'AMFI DATA_2023H1'!C:C)</f>
        <v>1034</v>
      </c>
      <c r="B1573" s="4" t="s">
        <v>3191</v>
      </c>
      <c r="C1573" s="4" t="s">
        <v>3192</v>
      </c>
      <c r="D1573" s="5" t="s">
        <v>3193</v>
      </c>
      <c r="E1573" s="5">
        <f>LOOKUP(D1573,'AMFI DATA_2023H1'!B:D,'AMFI DATA_2023H1'!D:D)</f>
        <v>1058.8900000000001</v>
      </c>
      <c r="F1573" s="7">
        <f t="shared" si="6"/>
        <v>0.79999811122968367</v>
      </c>
      <c r="G1573" s="8">
        <v>1906</v>
      </c>
      <c r="H1573" s="8">
        <v>1666</v>
      </c>
      <c r="I1573" s="8">
        <v>1596</v>
      </c>
      <c r="J1573" s="8">
        <v>1615</v>
      </c>
      <c r="K1573" s="8">
        <v>1687</v>
      </c>
      <c r="L1573" s="8">
        <v>1733</v>
      </c>
      <c r="M1573" s="8"/>
      <c r="N1573" s="8"/>
      <c r="O1573" s="8"/>
      <c r="P1573" s="8"/>
      <c r="Q1573" s="9">
        <f ca="1">IFERROR(__xludf.DUMMYFUNCTION("GOOGLEFINANCE(C1573,""changepct"")"),4.07)</f>
        <v>4.07</v>
      </c>
      <c r="R1573" s="8"/>
      <c r="S1573" s="8"/>
      <c r="T1573" s="8"/>
      <c r="U1573" s="8"/>
      <c r="V1573" s="8"/>
      <c r="W1573" s="8"/>
    </row>
    <row r="1574" spans="1:23" ht="14.4">
      <c r="A1574" s="3">
        <f>LOOKUP(D1574,'AMFI DATA_2023H1'!B:C,'AMFI DATA_2023H1'!C:C)</f>
        <v>554</v>
      </c>
      <c r="B1574" s="4" t="s">
        <v>1671</v>
      </c>
      <c r="C1574" s="4" t="s">
        <v>1672</v>
      </c>
      <c r="D1574" s="5" t="s">
        <v>1673</v>
      </c>
      <c r="E1574" s="5">
        <f>LOOKUP(D1574,'AMFI DATA_2023H1'!B:D,'AMFI DATA_2023H1'!D:D)</f>
        <v>4269.6000000000004</v>
      </c>
      <c r="F1574" s="7">
        <f t="shared" si="6"/>
        <v>0.88144088439198032</v>
      </c>
      <c r="G1574" s="8">
        <v>8033</v>
      </c>
      <c r="H1574" s="8">
        <v>8027</v>
      </c>
      <c r="I1574" s="8">
        <v>7767</v>
      </c>
      <c r="J1574" s="8">
        <v>7308</v>
      </c>
      <c r="K1574" s="8">
        <v>7338</v>
      </c>
      <c r="L1574" s="8">
        <v>7376</v>
      </c>
      <c r="M1574" s="8"/>
      <c r="N1574" s="8"/>
      <c r="O1574" s="8"/>
      <c r="P1574" s="8"/>
      <c r="Q1574" s="9">
        <f ca="1">IFERROR(__xludf.DUMMYFUNCTION("GOOGLEFINANCE(C1574,""changepct"")"),0.92)</f>
        <v>0.92</v>
      </c>
      <c r="R1574" s="8"/>
      <c r="S1574" s="8"/>
      <c r="T1574" s="8"/>
      <c r="U1574" s="8"/>
      <c r="V1574" s="8"/>
      <c r="W1574" s="8"/>
    </row>
    <row r="1575" spans="1:23" ht="14.4">
      <c r="A1575" s="3">
        <f>LOOKUP(D1575,'AMFI DATA_2023H1'!B:C,'AMFI DATA_2023H1'!C:C)</f>
        <v>1017</v>
      </c>
      <c r="B1575" s="4" t="s">
        <v>3431</v>
      </c>
      <c r="C1575" s="4" t="s">
        <v>3432</v>
      </c>
      <c r="D1575" s="5" t="s">
        <v>3433</v>
      </c>
      <c r="E1575" s="5">
        <f>LOOKUP(D1575,'AMFI DATA_2023H1'!B:D,'AMFI DATA_2023H1'!D:D)</f>
        <v>1092.6600000000001</v>
      </c>
      <c r="F1575" s="7">
        <f t="shared" si="6"/>
        <v>-0.1717460143136933</v>
      </c>
      <c r="G1575" s="9">
        <v>905</v>
      </c>
      <c r="H1575" s="9">
        <v>906</v>
      </c>
      <c r="I1575" s="9">
        <v>896</v>
      </c>
      <c r="J1575" s="9">
        <v>896</v>
      </c>
      <c r="K1575" s="9">
        <v>904</v>
      </c>
      <c r="L1575" s="9">
        <v>922</v>
      </c>
      <c r="M1575" s="9"/>
      <c r="N1575" s="9"/>
      <c r="O1575" s="9"/>
      <c r="P1575" s="9"/>
      <c r="Q1575" s="9">
        <f ca="1">IFERROR(__xludf.DUMMYFUNCTION("GOOGLEFINANCE(C1575,""changepct"")"),-0.12)</f>
        <v>-0.12</v>
      </c>
      <c r="R1575" s="9"/>
      <c r="S1575" s="9"/>
      <c r="T1575" s="9"/>
      <c r="U1575" s="9"/>
      <c r="V1575" s="9"/>
      <c r="W1575" s="9"/>
    </row>
    <row r="1576" spans="1:23" ht="14.4">
      <c r="A1576" s="3">
        <f>LOOKUP(D1576,'AMFI DATA_2023H1'!B:C,'AMFI DATA_2023H1'!C:C)</f>
        <v>1273</v>
      </c>
      <c r="B1576" s="4" t="s">
        <v>3755</v>
      </c>
      <c r="C1576" s="4" t="s">
        <v>3756</v>
      </c>
      <c r="D1576" s="5" t="s">
        <v>3757</v>
      </c>
      <c r="E1576" s="5">
        <f>LOOKUP(D1576,'AMFI DATA_2023H1'!B:D,'AMFI DATA_2023H1'!D:D)</f>
        <v>560.37</v>
      </c>
      <c r="F1576" s="7">
        <f t="shared" si="6"/>
        <v>0.77739707693131321</v>
      </c>
      <c r="G1576" s="9">
        <v>996</v>
      </c>
      <c r="H1576" s="9">
        <v>974</v>
      </c>
      <c r="I1576" s="9">
        <v>970</v>
      </c>
      <c r="J1576" s="9">
        <v>947</v>
      </c>
      <c r="K1576" s="9">
        <v>958</v>
      </c>
      <c r="L1576" s="9">
        <v>992</v>
      </c>
      <c r="M1576" s="9"/>
      <c r="N1576" s="9"/>
      <c r="O1576" s="9"/>
      <c r="P1576" s="9"/>
      <c r="Q1576" s="9">
        <f ca="1">IFERROR(__xludf.DUMMYFUNCTION("GOOGLEFINANCE(C1576,""changepct"")"),8.84)</f>
        <v>8.84</v>
      </c>
      <c r="R1576" s="9"/>
      <c r="S1576" s="9"/>
      <c r="T1576" s="9"/>
      <c r="U1576" s="9"/>
      <c r="V1576" s="9"/>
      <c r="W1576" s="9"/>
    </row>
    <row r="1577" spans="1:23" ht="14.4">
      <c r="A1577" s="3">
        <f>LOOKUP(D1577,'AMFI DATA_2023H1'!B:C,'AMFI DATA_2023H1'!C:C)</f>
        <v>3594</v>
      </c>
      <c r="B1577" s="4" t="s">
        <v>5668</v>
      </c>
      <c r="C1577" s="4" t="s">
        <v>5669</v>
      </c>
      <c r="D1577" s="5" t="s">
        <v>5670</v>
      </c>
      <c r="E1577" s="5">
        <f>LOOKUP(D1577,'AMFI DATA_2023H1'!B:D,'AMFI DATA_2023H1'!D:D)</f>
        <v>12.28</v>
      </c>
      <c r="F1577" s="7">
        <f t="shared" si="6"/>
        <v>0.71824104234527697</v>
      </c>
      <c r="G1577" s="9">
        <v>21.1</v>
      </c>
      <c r="H1577" s="9">
        <v>20.7</v>
      </c>
      <c r="I1577" s="9">
        <v>20.399999999999999</v>
      </c>
      <c r="J1577" s="9">
        <v>20</v>
      </c>
      <c r="K1577" s="9">
        <v>19.8</v>
      </c>
      <c r="L1577" s="9">
        <v>19.8</v>
      </c>
      <c r="M1577" s="9"/>
      <c r="N1577" s="9"/>
      <c r="O1577" s="9"/>
      <c r="P1577" s="9"/>
      <c r="Q1577" s="9">
        <f ca="1">IFERROR(__xludf.DUMMYFUNCTION("GOOGLEFINANCE(C1577,""changepct"")"),1.82)</f>
        <v>1.82</v>
      </c>
      <c r="R1577" s="9"/>
      <c r="S1577" s="9"/>
      <c r="T1577" s="9"/>
      <c r="U1577" s="9"/>
      <c r="V1577" s="9"/>
      <c r="W1577" s="9"/>
    </row>
    <row r="1578" spans="1:23" ht="14.4">
      <c r="A1578" s="3">
        <f>LOOKUP(D1578,'AMFI DATA_2023H1'!B:C,'AMFI DATA_2023H1'!C:C)</f>
        <v>1819</v>
      </c>
      <c r="B1578" s="4" t="s">
        <v>4706</v>
      </c>
      <c r="C1578" s="4" t="s">
        <v>4707</v>
      </c>
      <c r="D1578" s="5" t="s">
        <v>4708</v>
      </c>
      <c r="E1578" s="5">
        <f>LOOKUP(D1578,'AMFI DATA_2023H1'!B:D,'AMFI DATA_2023H1'!D:D)</f>
        <v>189.39</v>
      </c>
      <c r="F1578" s="7">
        <f t="shared" si="6"/>
        <v>7.7142404562015043E-2</v>
      </c>
      <c r="G1578" s="9">
        <v>204</v>
      </c>
      <c r="H1578" s="9">
        <v>202</v>
      </c>
      <c r="I1578" s="9">
        <v>200</v>
      </c>
      <c r="J1578" s="9">
        <v>203</v>
      </c>
      <c r="K1578" s="9">
        <v>207</v>
      </c>
      <c r="L1578" s="9">
        <v>195</v>
      </c>
      <c r="M1578" s="9"/>
      <c r="N1578" s="9"/>
      <c r="O1578" s="9"/>
      <c r="P1578" s="9"/>
      <c r="Q1578" s="9">
        <f ca="1">IFERROR(__xludf.DUMMYFUNCTION("GOOGLEFINANCE(C1578,""changepct"")"),-0.27)</f>
        <v>-0.27</v>
      </c>
      <c r="R1578" s="9"/>
      <c r="S1578" s="9"/>
      <c r="T1578" s="9"/>
      <c r="U1578" s="9"/>
      <c r="V1578" s="9"/>
      <c r="W1578" s="9"/>
    </row>
    <row r="1579" spans="1:23" ht="14.4">
      <c r="A1579" s="3">
        <f>LOOKUP(D1579,'AMFI DATA_2023H1'!B:C,'AMFI DATA_2023H1'!C:C)</f>
        <v>2037</v>
      </c>
      <c r="B1579" s="4" t="s">
        <v>4475</v>
      </c>
      <c r="C1579" s="4" t="s">
        <v>4476</v>
      </c>
      <c r="D1579" s="5" t="s">
        <v>4477</v>
      </c>
      <c r="E1579" s="5">
        <f>LOOKUP(D1579,'AMFI DATA_2023H1'!B:D,'AMFI DATA_2023H1'!D:D)</f>
        <v>132.9</v>
      </c>
      <c r="F1579" s="7">
        <f t="shared" si="6"/>
        <v>2.4010534236267871</v>
      </c>
      <c r="G1579" s="9">
        <v>452</v>
      </c>
      <c r="H1579" s="9">
        <v>461</v>
      </c>
      <c r="I1579" s="9">
        <v>470</v>
      </c>
      <c r="J1579" s="9">
        <v>480</v>
      </c>
      <c r="K1579" s="9">
        <v>484</v>
      </c>
      <c r="L1579" s="9">
        <v>480</v>
      </c>
      <c r="M1579" s="9"/>
      <c r="N1579" s="9"/>
      <c r="O1579" s="9"/>
      <c r="P1579" s="9"/>
      <c r="Q1579" s="9">
        <f ca="1">IFERROR(__xludf.DUMMYFUNCTION("GOOGLEFINANCE(C1579,""changepct"")"),-3.63)</f>
        <v>-3.63</v>
      </c>
      <c r="R1579" s="9"/>
      <c r="S1579" s="9"/>
      <c r="T1579" s="9"/>
      <c r="U1579" s="9"/>
      <c r="V1579" s="9"/>
      <c r="W1579" s="9"/>
    </row>
    <row r="1580" spans="1:23" ht="14.4">
      <c r="A1580" s="3">
        <f>LOOKUP(D1580,'AMFI DATA_2023H1'!B:C,'AMFI DATA_2023H1'!C:C)</f>
        <v>1085</v>
      </c>
      <c r="B1580" s="4" t="s">
        <v>3350</v>
      </c>
      <c r="C1580" s="4" t="s">
        <v>3351</v>
      </c>
      <c r="D1580" s="5" t="s">
        <v>3352</v>
      </c>
      <c r="E1580" s="5">
        <f>LOOKUP(D1580,'AMFI DATA_2023H1'!B:D,'AMFI DATA_2023H1'!D:D)</f>
        <v>923.36</v>
      </c>
      <c r="F1580" s="7">
        <f t="shared" si="6"/>
        <v>0.12307225784092868</v>
      </c>
      <c r="G1580" s="9">
        <v>1037</v>
      </c>
      <c r="H1580" s="9">
        <v>1047</v>
      </c>
      <c r="I1580" s="9">
        <v>997</v>
      </c>
      <c r="J1580" s="9">
        <v>1002</v>
      </c>
      <c r="K1580" s="9">
        <v>986</v>
      </c>
      <c r="L1580" s="9">
        <v>987</v>
      </c>
      <c r="M1580" s="9"/>
      <c r="N1580" s="9"/>
      <c r="O1580" s="9"/>
      <c r="P1580" s="9"/>
      <c r="Q1580" s="9">
        <f ca="1">IFERROR(__xludf.DUMMYFUNCTION("GOOGLEFINANCE(C1580,""changepct"")"),-0.94)</f>
        <v>-0.94</v>
      </c>
      <c r="R1580" s="9"/>
      <c r="S1580" s="9"/>
      <c r="T1580" s="9"/>
      <c r="U1580" s="9"/>
      <c r="V1580" s="9"/>
      <c r="W1580" s="9"/>
    </row>
    <row r="1581" spans="1:23" ht="14.4">
      <c r="A1581" s="3">
        <f>LOOKUP(D1581,'AMFI DATA_2023H1'!B:C,'AMFI DATA_2023H1'!C:C)</f>
        <v>1106</v>
      </c>
      <c r="B1581" s="4" t="s">
        <v>3329</v>
      </c>
      <c r="C1581" s="4" t="s">
        <v>3330</v>
      </c>
      <c r="D1581" s="5" t="s">
        <v>3331</v>
      </c>
      <c r="E1581" s="5">
        <f>LOOKUP(D1581,'AMFI DATA_2023H1'!B:D,'AMFI DATA_2023H1'!D:D)</f>
        <v>858.2</v>
      </c>
      <c r="F1581" s="7">
        <f t="shared" si="6"/>
        <v>0.16056863202050797</v>
      </c>
      <c r="G1581" s="9">
        <v>996</v>
      </c>
      <c r="H1581" s="9">
        <v>960</v>
      </c>
      <c r="I1581" s="9">
        <v>961</v>
      </c>
      <c r="J1581" s="9">
        <v>980</v>
      </c>
      <c r="K1581" s="9">
        <v>988</v>
      </c>
      <c r="L1581" s="9">
        <v>980</v>
      </c>
      <c r="M1581" s="9"/>
      <c r="N1581" s="9"/>
      <c r="O1581" s="9"/>
      <c r="P1581" s="9"/>
      <c r="Q1581" s="9">
        <f ca="1">IFERROR(__xludf.DUMMYFUNCTION("GOOGLEFINANCE(C1581,""changepct"")"),-0.54)</f>
        <v>-0.54</v>
      </c>
      <c r="R1581" s="9"/>
      <c r="S1581" s="9"/>
      <c r="T1581" s="9"/>
      <c r="U1581" s="9"/>
      <c r="V1581" s="9"/>
      <c r="W1581" s="9"/>
    </row>
    <row r="1582" spans="1:23" ht="14.4">
      <c r="A1582" s="3">
        <f>LOOKUP(D1582,'AMFI DATA_2023H1'!B:C,'AMFI DATA_2023H1'!C:C)</f>
        <v>1371</v>
      </c>
      <c r="B1582" s="4" t="s">
        <v>3839</v>
      </c>
      <c r="C1582" s="4" t="s">
        <v>3840</v>
      </c>
      <c r="D1582" s="5" t="s">
        <v>3841</v>
      </c>
      <c r="E1582" s="5">
        <f>LOOKUP(D1582,'AMFI DATA_2023H1'!B:D,'AMFI DATA_2023H1'!D:D)</f>
        <v>437.9</v>
      </c>
      <c r="F1582" s="7">
        <f t="shared" si="6"/>
        <v>1.1443251883991779</v>
      </c>
      <c r="G1582" s="9">
        <v>939</v>
      </c>
      <c r="H1582" s="9">
        <v>934</v>
      </c>
      <c r="I1582" s="9">
        <v>934</v>
      </c>
      <c r="J1582" s="9">
        <v>919</v>
      </c>
      <c r="K1582" s="9">
        <v>872</v>
      </c>
      <c r="L1582" s="9">
        <v>868</v>
      </c>
      <c r="M1582" s="9"/>
      <c r="N1582" s="9"/>
      <c r="O1582" s="9"/>
      <c r="P1582" s="9"/>
      <c r="Q1582" s="9">
        <f ca="1">IFERROR(__xludf.DUMMYFUNCTION("GOOGLEFINANCE(C1582,""changepct"")"),7.2)</f>
        <v>7.2</v>
      </c>
      <c r="R1582" s="9"/>
      <c r="S1582" s="9"/>
      <c r="T1582" s="9"/>
      <c r="U1582" s="9"/>
      <c r="V1582" s="9"/>
      <c r="W1582" s="9"/>
    </row>
    <row r="1583" spans="1:23" ht="14.4">
      <c r="A1583" s="3">
        <f>LOOKUP(D1583,'AMFI DATA_2023H1'!B:C,'AMFI DATA_2023H1'!C:C)</f>
        <v>75</v>
      </c>
      <c r="B1583" s="4" t="s">
        <v>297</v>
      </c>
      <c r="C1583" s="4" t="s">
        <v>298</v>
      </c>
      <c r="D1583" s="5" t="s">
        <v>299</v>
      </c>
      <c r="E1583" s="5">
        <f>LOOKUP(D1583,'AMFI DATA_2023H1'!B:D,'AMFI DATA_2023H1'!D:D)</f>
        <v>69795.289999999994</v>
      </c>
      <c r="F1583" s="7">
        <f t="shared" si="6"/>
        <v>4.7692473231359944E-2</v>
      </c>
      <c r="G1583" s="8">
        <v>73124</v>
      </c>
      <c r="H1583" s="8">
        <v>73576</v>
      </c>
      <c r="I1583" s="8">
        <v>73084</v>
      </c>
      <c r="J1583" s="8">
        <v>73248</v>
      </c>
      <c r="K1583" s="8">
        <v>73876</v>
      </c>
      <c r="L1583" s="8">
        <v>72750</v>
      </c>
      <c r="M1583" s="8"/>
      <c r="N1583" s="8"/>
      <c r="O1583" s="8"/>
      <c r="P1583" s="8"/>
      <c r="Q1583" s="9">
        <f ca="1">IFERROR(__xludf.DUMMYFUNCTION("GOOGLEFINANCE(C1583,""changepct"")"),-0.15)</f>
        <v>-0.15</v>
      </c>
      <c r="R1583" s="8"/>
      <c r="S1583" s="8"/>
      <c r="T1583" s="8"/>
      <c r="U1583" s="8"/>
      <c r="V1583" s="8"/>
      <c r="W1583" s="8"/>
    </row>
    <row r="1584" spans="1:23" ht="14.4">
      <c r="A1584" s="3">
        <f>LOOKUP(D1584,'AMFI DATA_2023H1'!B:C,'AMFI DATA_2023H1'!C:C)</f>
        <v>75</v>
      </c>
      <c r="B1584" s="4" t="s">
        <v>4316</v>
      </c>
      <c r="C1584" s="4" t="s">
        <v>4317</v>
      </c>
      <c r="D1584" s="5" t="s">
        <v>4318</v>
      </c>
      <c r="E1584" s="5">
        <f>LOOKUP(D1584,'AMFI DATA_2023H1'!B:D,'AMFI DATA_2023H1'!D:D)</f>
        <v>69795.289999999994</v>
      </c>
      <c r="F1584" s="7">
        <f t="shared" si="6"/>
        <v>-0.99482773121223511</v>
      </c>
      <c r="G1584" s="9">
        <v>361</v>
      </c>
      <c r="H1584" s="9">
        <v>359</v>
      </c>
      <c r="I1584" s="9">
        <v>361</v>
      </c>
      <c r="J1584" s="9">
        <v>359</v>
      </c>
      <c r="K1584" s="9">
        <v>364</v>
      </c>
      <c r="L1584" s="9">
        <v>372</v>
      </c>
      <c r="M1584" s="9"/>
      <c r="N1584" s="9"/>
      <c r="O1584" s="9"/>
      <c r="P1584" s="9"/>
      <c r="Q1584" s="9">
        <f ca="1">IFERROR(__xludf.DUMMYFUNCTION("GOOGLEFINANCE(C1584,""changepct"")"),2.93)</f>
        <v>2.93</v>
      </c>
      <c r="R1584" s="9"/>
      <c r="S1584" s="9"/>
      <c r="T1584" s="9"/>
      <c r="U1584" s="9"/>
      <c r="V1584" s="9"/>
      <c r="W1584" s="9"/>
    </row>
    <row r="1585" spans="1:23" ht="14.4">
      <c r="A1585" s="3">
        <f>LOOKUP(D1585,'AMFI DATA_2023H1'!B:C,'AMFI DATA_2023H1'!C:C)</f>
        <v>3027</v>
      </c>
      <c r="B1585" s="4" t="s">
        <v>5605</v>
      </c>
      <c r="C1585" s="4" t="s">
        <v>5606</v>
      </c>
      <c r="D1585" s="5" t="s">
        <v>5607</v>
      </c>
      <c r="E1585" s="5">
        <f>LOOKUP(D1585,'AMFI DATA_2023H1'!B:D,'AMFI DATA_2023H1'!D:D)</f>
        <v>29.33</v>
      </c>
      <c r="F1585" s="7">
        <f t="shared" si="6"/>
        <v>2.2799181725196047</v>
      </c>
      <c r="G1585" s="9">
        <v>96.2</v>
      </c>
      <c r="H1585" s="9">
        <v>91.6</v>
      </c>
      <c r="I1585" s="9">
        <v>87.7</v>
      </c>
      <c r="J1585" s="9">
        <v>83.7</v>
      </c>
      <c r="K1585" s="9">
        <v>81.7</v>
      </c>
      <c r="L1585" s="9">
        <v>77.400000000000006</v>
      </c>
      <c r="M1585" s="9"/>
      <c r="N1585" s="9"/>
      <c r="O1585" s="9"/>
      <c r="P1585" s="9"/>
      <c r="Q1585" s="9">
        <f ca="1">IFERROR(__xludf.DUMMYFUNCTION("GOOGLEFINANCE(C1585,""changepct"")"),8.47)</f>
        <v>8.4700000000000006</v>
      </c>
      <c r="R1585" s="9"/>
      <c r="S1585" s="9"/>
      <c r="T1585" s="9"/>
      <c r="U1585" s="9"/>
      <c r="V1585" s="9"/>
      <c r="W1585" s="9"/>
    </row>
    <row r="1586" spans="1:23" ht="14.4">
      <c r="A1586" s="3">
        <f>LOOKUP(D1586,'AMFI DATA_2023H1'!B:C,'AMFI DATA_2023H1'!C:C)</f>
        <v>1829</v>
      </c>
      <c r="B1586" s="4" t="s">
        <v>4940</v>
      </c>
      <c r="C1586" s="4" t="s">
        <v>4941</v>
      </c>
      <c r="D1586" s="5" t="s">
        <v>4942</v>
      </c>
      <c r="E1586" s="5">
        <f>LOOKUP(D1586,'AMFI DATA_2023H1'!B:D,'AMFI DATA_2023H1'!D:D)</f>
        <v>187.05</v>
      </c>
      <c r="F1586" s="7">
        <f t="shared" si="6"/>
        <v>-0.15530606789628443</v>
      </c>
      <c r="G1586" s="9">
        <v>158</v>
      </c>
      <c r="H1586" s="9">
        <v>156</v>
      </c>
      <c r="I1586" s="9">
        <v>154</v>
      </c>
      <c r="J1586" s="9">
        <v>154</v>
      </c>
      <c r="K1586" s="9">
        <v>157</v>
      </c>
      <c r="L1586" s="9">
        <v>154</v>
      </c>
      <c r="M1586" s="9"/>
      <c r="N1586" s="9"/>
      <c r="O1586" s="9"/>
      <c r="P1586" s="9"/>
      <c r="Q1586" s="9">
        <f ca="1">IFERROR(__xludf.DUMMYFUNCTION("GOOGLEFINANCE(C1586,""changepct"")"),0)</f>
        <v>0</v>
      </c>
      <c r="R1586" s="9"/>
      <c r="S1586" s="9"/>
      <c r="T1586" s="9"/>
      <c r="U1586" s="9"/>
      <c r="V1586" s="9"/>
      <c r="W1586" s="9"/>
    </row>
    <row r="1587" spans="1:23" ht="14.4">
      <c r="A1587" s="3">
        <f>LOOKUP(D1587,'AMFI DATA_2023H1'!B:C,'AMFI DATA_2023H1'!C:C)</f>
        <v>519</v>
      </c>
      <c r="B1587" s="4" t="s">
        <v>1611</v>
      </c>
      <c r="C1587" s="4" t="s">
        <v>1612</v>
      </c>
      <c r="D1587" s="5" t="s">
        <v>1613</v>
      </c>
      <c r="E1587" s="5">
        <f>LOOKUP(D1587,'AMFI DATA_2023H1'!B:D,'AMFI DATA_2023H1'!D:D)</f>
        <v>4907.3900000000003</v>
      </c>
      <c r="F1587" s="7">
        <f t="shared" si="6"/>
        <v>0.45372591132964768</v>
      </c>
      <c r="G1587" s="8">
        <v>7134</v>
      </c>
      <c r="H1587" s="8">
        <v>7154</v>
      </c>
      <c r="I1587" s="8">
        <v>7037</v>
      </c>
      <c r="J1587" s="8">
        <v>7130</v>
      </c>
      <c r="K1587" s="8">
        <v>7004</v>
      </c>
      <c r="L1587" s="8">
        <v>7045</v>
      </c>
      <c r="M1587" s="8"/>
      <c r="N1587" s="8"/>
      <c r="O1587" s="8"/>
      <c r="P1587" s="8"/>
      <c r="Q1587" s="9">
        <f ca="1">IFERROR(__xludf.DUMMYFUNCTION("GOOGLEFINANCE(C1587,""changepct"")"),0.17)</f>
        <v>0.17</v>
      </c>
      <c r="R1587" s="8"/>
      <c r="S1587" s="8"/>
      <c r="T1587" s="8"/>
      <c r="U1587" s="8"/>
      <c r="V1587" s="8"/>
      <c r="W1587" s="8"/>
    </row>
    <row r="1588" spans="1:23" ht="14.4">
      <c r="A1588" s="3">
        <f>LOOKUP(D1588,'AMFI DATA_2023H1'!B:C,'AMFI DATA_2023H1'!C:C)</f>
        <v>165</v>
      </c>
      <c r="B1588" s="4" t="s">
        <v>540</v>
      </c>
      <c r="C1588" s="4" t="s">
        <v>541</v>
      </c>
      <c r="D1588" s="5" t="s">
        <v>542</v>
      </c>
      <c r="E1588" s="5">
        <f>LOOKUP(D1588,'AMFI DATA_2023H1'!B:D,'AMFI DATA_2023H1'!D:D)</f>
        <v>32400.73</v>
      </c>
      <c r="F1588" s="7">
        <f t="shared" si="6"/>
        <v>-1.8108542616169454E-2</v>
      </c>
      <c r="G1588" s="8">
        <v>31814</v>
      </c>
      <c r="H1588" s="8">
        <v>31142</v>
      </c>
      <c r="I1588" s="8">
        <v>31551</v>
      </c>
      <c r="J1588" s="8">
        <v>31361</v>
      </c>
      <c r="K1588" s="8">
        <v>31191</v>
      </c>
      <c r="L1588" s="8">
        <v>30522</v>
      </c>
      <c r="M1588" s="8"/>
      <c r="N1588" s="8"/>
      <c r="O1588" s="8"/>
      <c r="P1588" s="8"/>
      <c r="Q1588" s="9">
        <f ca="1">IFERROR(__xludf.DUMMYFUNCTION("GOOGLEFINANCE(C1588,""changepct"")"),0.69)</f>
        <v>0.69</v>
      </c>
      <c r="R1588" s="8"/>
      <c r="S1588" s="8"/>
      <c r="T1588" s="8"/>
      <c r="U1588" s="8"/>
      <c r="V1588" s="8"/>
      <c r="W1588" s="8"/>
    </row>
    <row r="1589" spans="1:23" ht="14.4">
      <c r="A1589" s="3">
        <f>LOOKUP(D1589,'AMFI DATA_2023H1'!B:C,'AMFI DATA_2023H1'!C:C)</f>
        <v>1644</v>
      </c>
      <c r="B1589" s="4" t="s">
        <v>4355</v>
      </c>
      <c r="C1589" s="4" t="s">
        <v>4356</v>
      </c>
      <c r="D1589" s="5" t="s">
        <v>4357</v>
      </c>
      <c r="E1589" s="5">
        <f>LOOKUP(D1589,'AMFI DATA_2023H1'!B:D,'AMFI DATA_2023H1'!D:D)</f>
        <v>265.81</v>
      </c>
      <c r="F1589" s="7">
        <f t="shared" si="6"/>
        <v>0.35811293781272346</v>
      </c>
      <c r="G1589" s="9">
        <v>361</v>
      </c>
      <c r="H1589" s="9">
        <v>362</v>
      </c>
      <c r="I1589" s="9">
        <v>367</v>
      </c>
      <c r="J1589" s="9">
        <v>368</v>
      </c>
      <c r="K1589" s="9">
        <v>366</v>
      </c>
      <c r="L1589" s="9">
        <v>355</v>
      </c>
      <c r="M1589" s="9"/>
      <c r="N1589" s="9"/>
      <c r="O1589" s="9"/>
      <c r="P1589" s="9"/>
      <c r="Q1589" s="9">
        <f ca="1">IFERROR(__xludf.DUMMYFUNCTION("GOOGLEFINANCE(C1589,""changepct"")"),7.23)</f>
        <v>7.23</v>
      </c>
      <c r="R1589" s="9"/>
      <c r="S1589" s="9"/>
      <c r="T1589" s="9"/>
      <c r="U1589" s="9"/>
      <c r="V1589" s="9"/>
      <c r="W1589" s="9"/>
    </row>
    <row r="1590" spans="1:23" ht="14.4">
      <c r="A1590" s="3">
        <f>LOOKUP(D1590,'AMFI DATA_2023H1'!B:C,'AMFI DATA_2023H1'!C:C)</f>
        <v>2073</v>
      </c>
      <c r="B1590" s="4" t="s">
        <v>4772</v>
      </c>
      <c r="C1590" s="4" t="s">
        <v>4773</v>
      </c>
      <c r="D1590" s="5" t="s">
        <v>4774</v>
      </c>
      <c r="E1590" s="5">
        <f>LOOKUP(D1590,'AMFI DATA_2023H1'!B:D,'AMFI DATA_2023H1'!D:D)</f>
        <v>125.92</v>
      </c>
      <c r="F1590" s="7">
        <f t="shared" si="6"/>
        <v>1.6048284625158828</v>
      </c>
      <c r="G1590" s="9">
        <v>328</v>
      </c>
      <c r="H1590" s="9">
        <v>345</v>
      </c>
      <c r="I1590" s="9">
        <v>363</v>
      </c>
      <c r="J1590" s="9">
        <v>382</v>
      </c>
      <c r="K1590" s="9">
        <v>413</v>
      </c>
      <c r="L1590" s="9">
        <v>341</v>
      </c>
      <c r="M1590" s="9"/>
      <c r="N1590" s="9"/>
      <c r="O1590" s="9"/>
      <c r="P1590" s="9"/>
      <c r="Q1590" s="9">
        <f ca="1">IFERROR(__xludf.DUMMYFUNCTION("GOOGLEFINANCE(C1590,""changepct"")"),-2.73)</f>
        <v>-2.73</v>
      </c>
      <c r="R1590" s="9"/>
      <c r="S1590" s="9"/>
      <c r="T1590" s="9"/>
      <c r="U1590" s="9"/>
      <c r="V1590" s="9"/>
      <c r="W1590" s="9"/>
    </row>
    <row r="1591" spans="1:23" ht="14.4">
      <c r="A1591" s="3">
        <f>LOOKUP(D1591,'AMFI DATA_2023H1'!B:C,'AMFI DATA_2023H1'!C:C)</f>
        <v>7</v>
      </c>
      <c r="B1591" s="4" t="s">
        <v>31</v>
      </c>
      <c r="C1591" s="4" t="s">
        <v>32</v>
      </c>
      <c r="D1591" s="5" t="s">
        <v>33</v>
      </c>
      <c r="E1591" s="5">
        <f>LOOKUP(D1591,'AMFI DATA_2023H1'!B:D,'AMFI DATA_2023H1'!D:D)</f>
        <v>499461.33</v>
      </c>
      <c r="F1591" s="7">
        <f t="shared" si="6"/>
        <v>0.14706577984726055</v>
      </c>
      <c r="G1591" s="8">
        <v>572915</v>
      </c>
      <c r="H1591" s="8">
        <v>572915</v>
      </c>
      <c r="I1591" s="8">
        <v>581081</v>
      </c>
      <c r="J1591" s="8">
        <v>578806</v>
      </c>
      <c r="K1591" s="8">
        <v>569524</v>
      </c>
      <c r="L1591" s="8">
        <v>568275</v>
      </c>
      <c r="M1591" s="8"/>
      <c r="N1591" s="8"/>
      <c r="O1591" s="8"/>
      <c r="P1591" s="8"/>
      <c r="Q1591" s="9">
        <f ca="1">IFERROR(__xludf.DUMMYFUNCTION("GOOGLEFINANCE(C1591,""changepct"")"),0.43)</f>
        <v>0.43</v>
      </c>
      <c r="R1591" s="8"/>
      <c r="S1591" s="8"/>
      <c r="T1591" s="8"/>
      <c r="U1591" s="8"/>
      <c r="V1591" s="8"/>
      <c r="W1591" s="8"/>
    </row>
    <row r="1592" spans="1:23" ht="14.4">
      <c r="A1592" s="3">
        <f>LOOKUP(D1592,'AMFI DATA_2023H1'!B:C,'AMFI DATA_2023H1'!C:C)</f>
        <v>149</v>
      </c>
      <c r="B1592" s="4" t="s">
        <v>507</v>
      </c>
      <c r="C1592" s="4" t="s">
        <v>508</v>
      </c>
      <c r="D1592" s="5" t="s">
        <v>509</v>
      </c>
      <c r="E1592" s="5">
        <f>LOOKUP(D1592,'AMFI DATA_2023H1'!B:D,'AMFI DATA_2023H1'!D:D)</f>
        <v>35121.230000000003</v>
      </c>
      <c r="F1592" s="7">
        <f t="shared" si="6"/>
        <v>0.46597940903550339</v>
      </c>
      <c r="G1592" s="8">
        <v>51487</v>
      </c>
      <c r="H1592" s="8">
        <v>51053</v>
      </c>
      <c r="I1592" s="8">
        <v>50772</v>
      </c>
      <c r="J1592" s="8">
        <v>47687</v>
      </c>
      <c r="K1592" s="8">
        <v>46890</v>
      </c>
      <c r="L1592" s="8">
        <v>46572</v>
      </c>
      <c r="M1592" s="8"/>
      <c r="N1592" s="8"/>
      <c r="O1592" s="8"/>
      <c r="P1592" s="8"/>
      <c r="Q1592" s="9">
        <f ca="1">IFERROR(__xludf.DUMMYFUNCTION("GOOGLEFINANCE(C1592,""changepct"")"),1.55)</f>
        <v>1.55</v>
      </c>
      <c r="R1592" s="8"/>
      <c r="S1592" s="8"/>
      <c r="T1592" s="8"/>
      <c r="U1592" s="8"/>
      <c r="V1592" s="8"/>
      <c r="W1592" s="8"/>
    </row>
    <row r="1593" spans="1:23" ht="14.4">
      <c r="A1593" s="3">
        <f>LOOKUP(D1593,'AMFI DATA_2023H1'!B:C,'AMFI DATA_2023H1'!C:C)</f>
        <v>2254</v>
      </c>
      <c r="B1593" s="4" t="s">
        <v>5201</v>
      </c>
      <c r="C1593" s="4" t="s">
        <v>5202</v>
      </c>
      <c r="D1593" s="5" t="s">
        <v>5203</v>
      </c>
      <c r="E1593" s="5">
        <f>LOOKUP(D1593,'AMFI DATA_2023H1'!B:D,'AMFI DATA_2023H1'!D:D)</f>
        <v>93.85</v>
      </c>
      <c r="F1593" s="7">
        <f t="shared" si="6"/>
        <v>0.19339371337240285</v>
      </c>
      <c r="G1593" s="9">
        <v>112</v>
      </c>
      <c r="H1593" s="9">
        <v>111</v>
      </c>
      <c r="I1593" s="9">
        <v>112</v>
      </c>
      <c r="J1593" s="9">
        <v>116</v>
      </c>
      <c r="K1593" s="9">
        <v>105</v>
      </c>
      <c r="L1593" s="9">
        <v>106</v>
      </c>
      <c r="M1593" s="9"/>
      <c r="N1593" s="9"/>
      <c r="O1593" s="9"/>
      <c r="P1593" s="9"/>
      <c r="Q1593" s="9">
        <f ca="1">IFERROR(__xludf.DUMMYFUNCTION("GOOGLEFINANCE(C1593,""changepct"")"),2.67)</f>
        <v>2.67</v>
      </c>
      <c r="R1593" s="9"/>
      <c r="S1593" s="9"/>
      <c r="T1593" s="9"/>
      <c r="U1593" s="9"/>
      <c r="V1593" s="9"/>
      <c r="W1593" s="9"/>
    </row>
    <row r="1594" spans="1:23" ht="14.4">
      <c r="A1594" s="3">
        <f>LOOKUP(D1594,'AMFI DATA_2023H1'!B:C,'AMFI DATA_2023H1'!C:C)</f>
        <v>929</v>
      </c>
      <c r="B1594" s="4" t="s">
        <v>3377</v>
      </c>
      <c r="C1594" s="4" t="s">
        <v>3378</v>
      </c>
      <c r="D1594" s="5" t="s">
        <v>3379</v>
      </c>
      <c r="E1594" s="5">
        <f>LOOKUP(D1594,'AMFI DATA_2023H1'!B:D,'AMFI DATA_2023H1'!D:D)</f>
        <v>1383.94</v>
      </c>
      <c r="F1594" s="7">
        <f t="shared" si="6"/>
        <v>-0.10328482448661069</v>
      </c>
      <c r="G1594" s="8">
        <v>1241</v>
      </c>
      <c r="H1594" s="8">
        <v>1245</v>
      </c>
      <c r="I1594" s="8">
        <v>1251</v>
      </c>
      <c r="J1594" s="8">
        <v>1269</v>
      </c>
      <c r="K1594" s="8">
        <v>1270</v>
      </c>
      <c r="L1594" s="8">
        <v>1198</v>
      </c>
      <c r="M1594" s="8"/>
      <c r="N1594" s="8"/>
      <c r="O1594" s="8"/>
      <c r="P1594" s="8"/>
      <c r="Q1594" s="9">
        <f ca="1">IFERROR(__xludf.DUMMYFUNCTION("GOOGLEFINANCE(C1594,""changepct"")"),0.41)</f>
        <v>0.41</v>
      </c>
      <c r="R1594" s="8"/>
      <c r="S1594" s="8"/>
      <c r="T1594" s="8"/>
      <c r="U1594" s="8"/>
      <c r="V1594" s="8"/>
      <c r="W1594" s="8"/>
    </row>
    <row r="1595" spans="1:23" ht="14.4">
      <c r="A1595" s="3">
        <f>LOOKUP(D1595,'AMFI DATA_2023H1'!B:C,'AMFI DATA_2023H1'!C:C)</f>
        <v>716</v>
      </c>
      <c r="B1595" s="4" t="s">
        <v>1992</v>
      </c>
      <c r="C1595" s="4" t="s">
        <v>1993</v>
      </c>
      <c r="D1595" s="5" t="s">
        <v>1994</v>
      </c>
      <c r="E1595" s="5">
        <f>LOOKUP(D1595,'AMFI DATA_2023H1'!B:D,'AMFI DATA_2023H1'!D:D)</f>
        <v>2457.4899999999998</v>
      </c>
      <c r="F1595" s="7">
        <f t="shared" si="6"/>
        <v>0.67447273437531807</v>
      </c>
      <c r="G1595" s="8">
        <v>4115</v>
      </c>
      <c r="H1595" s="8">
        <v>4078</v>
      </c>
      <c r="I1595" s="8">
        <v>4046</v>
      </c>
      <c r="J1595" s="8">
        <v>4112</v>
      </c>
      <c r="K1595" s="8">
        <v>4099</v>
      </c>
      <c r="L1595" s="8">
        <v>4109</v>
      </c>
      <c r="M1595" s="8"/>
      <c r="N1595" s="8"/>
      <c r="O1595" s="8"/>
      <c r="P1595" s="8"/>
      <c r="Q1595" s="9">
        <f ca="1">IFERROR(__xludf.DUMMYFUNCTION("GOOGLEFINANCE(C1595,""changepct"")"),4.31)</f>
        <v>4.3099999999999996</v>
      </c>
      <c r="R1595" s="8"/>
      <c r="S1595" s="8"/>
      <c r="T1595" s="8"/>
      <c r="U1595" s="8"/>
      <c r="V1595" s="8"/>
      <c r="W1595" s="8"/>
    </row>
    <row r="1596" spans="1:23" ht="14.4">
      <c r="A1596" s="3">
        <f>LOOKUP(D1596,'AMFI DATA_2023H1'!B:C,'AMFI DATA_2023H1'!C:C)</f>
        <v>1062</v>
      </c>
      <c r="B1596" s="4" t="s">
        <v>3194</v>
      </c>
      <c r="C1596" s="4" t="s">
        <v>3195</v>
      </c>
      <c r="D1596" s="5" t="s">
        <v>3196</v>
      </c>
      <c r="E1596" s="5">
        <f>LOOKUP(D1596,'AMFI DATA_2023H1'!B:D,'AMFI DATA_2023H1'!D:D)</f>
        <v>991.79</v>
      </c>
      <c r="F1596" s="7">
        <f t="shared" si="6"/>
        <v>0.25732261869952322</v>
      </c>
      <c r="G1596" s="8">
        <v>1247</v>
      </c>
      <c r="H1596" s="8">
        <v>1254</v>
      </c>
      <c r="I1596" s="8">
        <v>1236</v>
      </c>
      <c r="J1596" s="8">
        <v>1251</v>
      </c>
      <c r="K1596" s="8">
        <v>1262</v>
      </c>
      <c r="L1596" s="8">
        <v>1255</v>
      </c>
      <c r="M1596" s="8"/>
      <c r="N1596" s="8"/>
      <c r="O1596" s="8"/>
      <c r="P1596" s="8"/>
      <c r="Q1596" s="9">
        <f ca="1">IFERROR(__xludf.DUMMYFUNCTION("GOOGLEFINANCE(C1596,""changepct"")"),3.39)</f>
        <v>3.39</v>
      </c>
      <c r="R1596" s="8"/>
      <c r="S1596" s="8"/>
      <c r="T1596" s="8"/>
      <c r="U1596" s="8"/>
      <c r="V1596" s="8"/>
      <c r="W1596" s="8"/>
    </row>
    <row r="1597" spans="1:23" ht="14.4">
      <c r="A1597" s="3">
        <f>LOOKUP(D1597,'AMFI DATA_2023H1'!B:C,'AMFI DATA_2023H1'!C:C)</f>
        <v>1641</v>
      </c>
      <c r="B1597" s="4" t="s">
        <v>4130</v>
      </c>
      <c r="C1597" s="4" t="s">
        <v>4131</v>
      </c>
      <c r="D1597" s="5" t="s">
        <v>4132</v>
      </c>
      <c r="E1597" s="5">
        <f>LOOKUP(D1597,'AMFI DATA_2023H1'!B:D,'AMFI DATA_2023H1'!D:D)</f>
        <v>267.31</v>
      </c>
      <c r="F1597" s="7">
        <f t="shared" si="6"/>
        <v>1.2146571396505927</v>
      </c>
      <c r="G1597" s="9">
        <v>592</v>
      </c>
      <c r="H1597" s="9">
        <v>598</v>
      </c>
      <c r="I1597" s="9">
        <v>584</v>
      </c>
      <c r="J1597" s="9">
        <v>608</v>
      </c>
      <c r="K1597" s="9">
        <v>605</v>
      </c>
      <c r="L1597" s="9">
        <v>557</v>
      </c>
      <c r="M1597" s="9"/>
      <c r="N1597" s="9"/>
      <c r="O1597" s="9"/>
      <c r="P1597" s="9"/>
      <c r="Q1597" s="9">
        <f ca="1">IFERROR(__xludf.DUMMYFUNCTION("GOOGLEFINANCE(C1597,""changepct"")"),0.08)</f>
        <v>0.08</v>
      </c>
      <c r="R1597" s="9"/>
      <c r="S1597" s="9"/>
      <c r="T1597" s="9"/>
      <c r="U1597" s="9"/>
      <c r="V1597" s="9"/>
      <c r="W1597" s="9"/>
    </row>
    <row r="1598" spans="1:23" ht="14.4">
      <c r="A1598" s="3">
        <f>LOOKUP(D1598,'AMFI DATA_2023H1'!B:C,'AMFI DATA_2023H1'!C:C)</f>
        <v>477</v>
      </c>
      <c r="B1598" s="4" t="s">
        <v>1587</v>
      </c>
      <c r="C1598" s="4" t="s">
        <v>1588</v>
      </c>
      <c r="D1598" s="5" t="s">
        <v>1589</v>
      </c>
      <c r="E1598" s="5">
        <f>LOOKUP(D1598,'AMFI DATA_2023H1'!B:D,'AMFI DATA_2023H1'!D:D)</f>
        <v>5584.97</v>
      </c>
      <c r="F1598" s="7">
        <f t="shared" si="6"/>
        <v>0.85909682594534975</v>
      </c>
      <c r="G1598" s="8">
        <v>10383</v>
      </c>
      <c r="H1598" s="8">
        <v>10079</v>
      </c>
      <c r="I1598" s="8">
        <v>10136</v>
      </c>
      <c r="J1598" s="8">
        <v>9950</v>
      </c>
      <c r="K1598" s="8">
        <v>10223</v>
      </c>
      <c r="L1598" s="8">
        <v>10254</v>
      </c>
      <c r="M1598" s="8"/>
      <c r="N1598" s="8"/>
      <c r="O1598" s="8"/>
      <c r="P1598" s="8"/>
      <c r="Q1598" s="9">
        <f ca="1">IFERROR(__xludf.DUMMYFUNCTION("GOOGLEFINANCE(C1598,""changepct"")"),10.24)</f>
        <v>10.24</v>
      </c>
      <c r="R1598" s="8"/>
      <c r="S1598" s="8"/>
      <c r="T1598" s="8"/>
      <c r="U1598" s="8"/>
      <c r="V1598" s="8"/>
      <c r="W1598" s="8"/>
    </row>
    <row r="1599" spans="1:23" ht="14.4">
      <c r="A1599" s="3">
        <f>LOOKUP(D1599,'AMFI DATA_2023H1'!B:C,'AMFI DATA_2023H1'!C:C)</f>
        <v>961</v>
      </c>
      <c r="B1599" s="4" t="s">
        <v>3161</v>
      </c>
      <c r="C1599" s="4" t="s">
        <v>3162</v>
      </c>
      <c r="D1599" s="5" t="s">
        <v>3163</v>
      </c>
      <c r="E1599" s="5">
        <f>LOOKUP(D1599,'AMFI DATA_2023H1'!B:D,'AMFI DATA_2023H1'!D:D)</f>
        <v>1292.27</v>
      </c>
      <c r="F1599" s="7">
        <f t="shared" si="6"/>
        <v>1.4493875118976707E-2</v>
      </c>
      <c r="G1599" s="8">
        <v>1311</v>
      </c>
      <c r="H1599" s="8">
        <v>1284</v>
      </c>
      <c r="I1599" s="8">
        <v>1236</v>
      </c>
      <c r="J1599" s="8">
        <v>1240</v>
      </c>
      <c r="K1599" s="8">
        <v>1240</v>
      </c>
      <c r="L1599" s="8">
        <v>1236</v>
      </c>
      <c r="M1599" s="8"/>
      <c r="N1599" s="8"/>
      <c r="O1599" s="8"/>
      <c r="P1599" s="8"/>
      <c r="Q1599" s="9">
        <f ca="1">IFERROR(__xludf.DUMMYFUNCTION("GOOGLEFINANCE(C1599,""changepct"")"),-2.25)</f>
        <v>-2.25</v>
      </c>
      <c r="R1599" s="8"/>
      <c r="S1599" s="8"/>
      <c r="T1599" s="8"/>
      <c r="U1599" s="8"/>
      <c r="V1599" s="8"/>
      <c r="W1599" s="8"/>
    </row>
    <row r="1600" spans="1:23" ht="14.4">
      <c r="A1600" s="3">
        <f>LOOKUP(D1600,'AMFI DATA_2023H1'!B:C,'AMFI DATA_2023H1'!C:C)</f>
        <v>442</v>
      </c>
      <c r="B1600" s="4" t="s">
        <v>1686</v>
      </c>
      <c r="C1600" s="4" t="s">
        <v>1687</v>
      </c>
      <c r="D1600" s="5" t="s">
        <v>1688</v>
      </c>
      <c r="E1600" s="5">
        <f>LOOKUP(D1600,'AMFI DATA_2023H1'!B:D,'AMFI DATA_2023H1'!D:D)</f>
        <v>6462.27</v>
      </c>
      <c r="F1600" s="7">
        <f t="shared" si="6"/>
        <v>-8.4532215459892646E-2</v>
      </c>
      <c r="G1600" s="8">
        <v>5916</v>
      </c>
      <c r="H1600" s="8">
        <v>5708</v>
      </c>
      <c r="I1600" s="8">
        <v>5708</v>
      </c>
      <c r="J1600" s="8">
        <v>5726</v>
      </c>
      <c r="K1600" s="8">
        <v>5750</v>
      </c>
      <c r="L1600" s="8">
        <v>5794</v>
      </c>
      <c r="M1600" s="8"/>
      <c r="N1600" s="8"/>
      <c r="O1600" s="8"/>
      <c r="P1600" s="8"/>
      <c r="Q1600" s="9">
        <f ca="1">IFERROR(__xludf.DUMMYFUNCTION("GOOGLEFINANCE(C1600,""changepct"")"),0.55)</f>
        <v>0.55000000000000004</v>
      </c>
      <c r="R1600" s="8"/>
      <c r="S1600" s="8"/>
      <c r="T1600" s="8"/>
      <c r="U1600" s="8"/>
      <c r="V1600" s="8"/>
      <c r="W1600" s="8"/>
    </row>
    <row r="1601" spans="1:23" ht="14.4">
      <c r="A1601" s="3">
        <f>LOOKUP(D1601,'AMFI DATA_2023H1'!B:C,'AMFI DATA_2023H1'!C:C)</f>
        <v>2796</v>
      </c>
      <c r="B1601" s="4" t="s">
        <v>5533</v>
      </c>
      <c r="C1601" s="4" t="s">
        <v>5534</v>
      </c>
      <c r="D1601" s="5" t="s">
        <v>5535</v>
      </c>
      <c r="E1601" s="5">
        <f>LOOKUP(D1601,'AMFI DATA_2023H1'!B:D,'AMFI DATA_2023H1'!D:D)</f>
        <v>40.85</v>
      </c>
      <c r="F1601" s="7">
        <f t="shared" si="6"/>
        <v>9.9143206854345189E-2</v>
      </c>
      <c r="G1601" s="9">
        <v>44.9</v>
      </c>
      <c r="H1601" s="9">
        <v>43.2</v>
      </c>
      <c r="I1601" s="9">
        <v>43.4</v>
      </c>
      <c r="J1601" s="9">
        <v>43.9</v>
      </c>
      <c r="K1601" s="9">
        <v>42.5</v>
      </c>
      <c r="L1601" s="9">
        <v>41.3</v>
      </c>
      <c r="M1601" s="9"/>
      <c r="N1601" s="9"/>
      <c r="O1601" s="9"/>
      <c r="P1601" s="9"/>
      <c r="Q1601" s="9">
        <f ca="1">IFERROR(__xludf.DUMMYFUNCTION("GOOGLEFINANCE(C1601,""changepct"")"),-0.29)</f>
        <v>-0.28999999999999998</v>
      </c>
      <c r="R1601" s="9"/>
      <c r="S1601" s="9"/>
      <c r="T1601" s="9"/>
      <c r="U1601" s="9"/>
      <c r="V1601" s="9"/>
      <c r="W1601" s="9"/>
    </row>
    <row r="1602" spans="1:23" ht="14.4">
      <c r="A1602" s="3">
        <f>LOOKUP(D1602,'AMFI DATA_2023H1'!B:C,'AMFI DATA_2023H1'!C:C)</f>
        <v>905</v>
      </c>
      <c r="B1602" s="4" t="s">
        <v>2891</v>
      </c>
      <c r="C1602" s="4" t="s">
        <v>2892</v>
      </c>
      <c r="D1602" s="5" t="s">
        <v>2893</v>
      </c>
      <c r="E1602" s="5">
        <f>LOOKUP(D1602,'AMFI DATA_2023H1'!B:D,'AMFI DATA_2023H1'!D:D)</f>
        <v>1454.95</v>
      </c>
      <c r="F1602" s="7">
        <f t="shared" si="6"/>
        <v>4.2647513660263314E-2</v>
      </c>
      <c r="G1602" s="8">
        <v>1517</v>
      </c>
      <c r="H1602" s="8">
        <v>1488</v>
      </c>
      <c r="I1602" s="8">
        <v>1517</v>
      </c>
      <c r="J1602" s="8">
        <v>1527</v>
      </c>
      <c r="K1602" s="8">
        <v>1528</v>
      </c>
      <c r="L1602" s="8">
        <v>1534</v>
      </c>
      <c r="M1602" s="8"/>
      <c r="N1602" s="8"/>
      <c r="O1602" s="8"/>
      <c r="P1602" s="8"/>
      <c r="Q1602" s="9">
        <f ca="1">IFERROR(__xludf.DUMMYFUNCTION("GOOGLEFINANCE(C1602,""changepct"")"),1.32)</f>
        <v>1.32</v>
      </c>
      <c r="R1602" s="8"/>
      <c r="S1602" s="8"/>
      <c r="T1602" s="8"/>
      <c r="U1602" s="8"/>
      <c r="V1602" s="8"/>
      <c r="W1602" s="8"/>
    </row>
    <row r="1603" spans="1:23" ht="14.4">
      <c r="A1603" s="3">
        <f>LOOKUP(D1603,'AMFI DATA_2023H1'!B:C,'AMFI DATA_2023H1'!C:C)</f>
        <v>650</v>
      </c>
      <c r="B1603" s="4" t="s">
        <v>1917</v>
      </c>
      <c r="C1603" s="4" t="s">
        <v>1918</v>
      </c>
      <c r="D1603" s="5" t="s">
        <v>1919</v>
      </c>
      <c r="E1603" s="5">
        <f>LOOKUP(D1603,'AMFI DATA_2023H1'!B:D,'AMFI DATA_2023H1'!D:D)</f>
        <v>3020.21</v>
      </c>
      <c r="F1603" s="7">
        <f t="shared" si="6"/>
        <v>0.98496131063733983</v>
      </c>
      <c r="G1603" s="8">
        <v>5995</v>
      </c>
      <c r="H1603" s="8">
        <v>5968</v>
      </c>
      <c r="I1603" s="8">
        <v>5899</v>
      </c>
      <c r="J1603" s="8">
        <v>6019</v>
      </c>
      <c r="K1603" s="8">
        <v>5979</v>
      </c>
      <c r="L1603" s="8">
        <v>5841</v>
      </c>
      <c r="M1603" s="8"/>
      <c r="N1603" s="8"/>
      <c r="O1603" s="8"/>
      <c r="P1603" s="8"/>
      <c r="Q1603" s="9">
        <f ca="1">IFERROR(__xludf.DUMMYFUNCTION("GOOGLEFINANCE(C1603,""changepct"")"),0.62)</f>
        <v>0.62</v>
      </c>
      <c r="R1603" s="8"/>
      <c r="S1603" s="8"/>
      <c r="T1603" s="8"/>
      <c r="U1603" s="8"/>
      <c r="V1603" s="8"/>
      <c r="W1603" s="8"/>
    </row>
    <row r="1604" spans="1:23" ht="14.4">
      <c r="A1604" s="3">
        <f>LOOKUP(D1604,'AMFI DATA_2023H1'!B:C,'AMFI DATA_2023H1'!C:C)</f>
        <v>762</v>
      </c>
      <c r="B1604" s="4" t="s">
        <v>2321</v>
      </c>
      <c r="C1604" s="4" t="s">
        <v>2322</v>
      </c>
      <c r="D1604" s="5" t="s">
        <v>2323</v>
      </c>
      <c r="E1604" s="5">
        <f>LOOKUP(D1604,'AMFI DATA_2023H1'!B:D,'AMFI DATA_2023H1'!D:D)</f>
        <v>2117.64</v>
      </c>
      <c r="F1604" s="7">
        <f t="shared" si="6"/>
        <v>0.3661434427003647</v>
      </c>
      <c r="G1604" s="8">
        <v>2893</v>
      </c>
      <c r="H1604" s="8">
        <v>2907</v>
      </c>
      <c r="I1604" s="8">
        <v>2915</v>
      </c>
      <c r="J1604" s="8">
        <v>2951</v>
      </c>
      <c r="K1604" s="8">
        <v>2966</v>
      </c>
      <c r="L1604" s="8">
        <v>2973</v>
      </c>
      <c r="M1604" s="8"/>
      <c r="N1604" s="8"/>
      <c r="O1604" s="8"/>
      <c r="P1604" s="8"/>
      <c r="Q1604" s="9">
        <f ca="1">IFERROR(__xludf.DUMMYFUNCTION("GOOGLEFINANCE(C1604,""changepct"")"),0.1)</f>
        <v>0.1</v>
      </c>
      <c r="R1604" s="8"/>
      <c r="S1604" s="8"/>
      <c r="T1604" s="8"/>
      <c r="U1604" s="8"/>
      <c r="V1604" s="8"/>
      <c r="W1604" s="8"/>
    </row>
    <row r="1605" spans="1:23" ht="14.4">
      <c r="A1605" s="3">
        <f>LOOKUP(D1605,'AMFI DATA_2023H1'!B:C,'AMFI DATA_2023H1'!C:C)</f>
        <v>900</v>
      </c>
      <c r="B1605" s="4" t="s">
        <v>2585</v>
      </c>
      <c r="C1605" s="4" t="s">
        <v>2586</v>
      </c>
      <c r="D1605" s="5" t="s">
        <v>2587</v>
      </c>
      <c r="E1605" s="5">
        <f>LOOKUP(D1605,'AMFI DATA_2023H1'!B:D,'AMFI DATA_2023H1'!D:D)</f>
        <v>1470.35</v>
      </c>
      <c r="F1605" s="7">
        <f t="shared" si="6"/>
        <v>0.73360084333662057</v>
      </c>
      <c r="G1605" s="8">
        <v>2549</v>
      </c>
      <c r="H1605" s="8">
        <v>2542</v>
      </c>
      <c r="I1605" s="8">
        <v>2528</v>
      </c>
      <c r="J1605" s="8">
        <v>2524</v>
      </c>
      <c r="K1605" s="8">
        <v>2553</v>
      </c>
      <c r="L1605" s="8">
        <v>2642</v>
      </c>
      <c r="M1605" s="8"/>
      <c r="N1605" s="8"/>
      <c r="O1605" s="8"/>
      <c r="P1605" s="8"/>
      <c r="Q1605" s="9">
        <f ca="1">IFERROR(__xludf.DUMMYFUNCTION("GOOGLEFINANCE(C1605,""changepct"")"),1.99)</f>
        <v>1.99</v>
      </c>
      <c r="R1605" s="8"/>
      <c r="S1605" s="8"/>
      <c r="T1605" s="8"/>
      <c r="U1605" s="8"/>
      <c r="V1605" s="8"/>
      <c r="W1605" s="8"/>
    </row>
    <row r="1606" spans="1:23" ht="14.4">
      <c r="A1606" s="3">
        <f>LOOKUP(D1606,'AMFI DATA_2023H1'!B:C,'AMFI DATA_2023H1'!C:C)</f>
        <v>848</v>
      </c>
      <c r="B1606" s="4" t="s">
        <v>2789</v>
      </c>
      <c r="C1606" s="4" t="s">
        <v>2790</v>
      </c>
      <c r="D1606" s="5" t="s">
        <v>2791</v>
      </c>
      <c r="E1606" s="5">
        <f>LOOKUP(D1606,'AMFI DATA_2023H1'!B:D,'AMFI DATA_2023H1'!D:D)</f>
        <v>1729.12</v>
      </c>
      <c r="F1606" s="7">
        <f t="shared" si="6"/>
        <v>0.13236790968816514</v>
      </c>
      <c r="G1606" s="8">
        <v>1958</v>
      </c>
      <c r="H1606" s="8">
        <v>1913</v>
      </c>
      <c r="I1606" s="8">
        <v>1944</v>
      </c>
      <c r="J1606" s="8">
        <v>1995</v>
      </c>
      <c r="K1606" s="8">
        <v>2068</v>
      </c>
      <c r="L1606" s="8">
        <v>2001</v>
      </c>
      <c r="M1606" s="8"/>
      <c r="N1606" s="8"/>
      <c r="O1606" s="8"/>
      <c r="P1606" s="8"/>
      <c r="Q1606" s="9">
        <f ca="1">IFERROR(__xludf.DUMMYFUNCTION("GOOGLEFINANCE(C1606,""changepct"")"),2.43)</f>
        <v>2.4300000000000002</v>
      </c>
      <c r="R1606" s="8"/>
      <c r="S1606" s="8"/>
      <c r="T1606" s="8"/>
      <c r="U1606" s="8"/>
      <c r="V1606" s="8"/>
      <c r="W1606" s="8"/>
    </row>
    <row r="1607" spans="1:23" ht="14.4">
      <c r="A1607" s="3">
        <f>LOOKUP(D1607,'AMFI DATA_2023H1'!B:C,'AMFI DATA_2023H1'!C:C)</f>
        <v>773</v>
      </c>
      <c r="B1607" s="4" t="s">
        <v>2366</v>
      </c>
      <c r="C1607" s="4" t="s">
        <v>2367</v>
      </c>
      <c r="D1607" s="5" t="s">
        <v>2368</v>
      </c>
      <c r="E1607" s="5">
        <f>LOOKUP(D1607,'AMFI DATA_2023H1'!B:D,'AMFI DATA_2023H1'!D:D)</f>
        <v>2076.21</v>
      </c>
      <c r="F1607" s="7">
        <f t="shared" si="6"/>
        <v>0.7719787497411148</v>
      </c>
      <c r="G1607" s="8">
        <v>3679</v>
      </c>
      <c r="H1607" s="8">
        <v>3564</v>
      </c>
      <c r="I1607" s="8">
        <v>3597</v>
      </c>
      <c r="J1607" s="8">
        <v>3634</v>
      </c>
      <c r="K1607" s="8">
        <v>3541</v>
      </c>
      <c r="L1607" s="8">
        <v>3588</v>
      </c>
      <c r="M1607" s="8"/>
      <c r="N1607" s="8"/>
      <c r="O1607" s="8"/>
      <c r="P1607" s="8"/>
      <c r="Q1607" s="9">
        <f ca="1">IFERROR(__xludf.DUMMYFUNCTION("GOOGLEFINANCE(C1607,""changepct"")"),-2.07)</f>
        <v>-2.0699999999999998</v>
      </c>
      <c r="R1607" s="8"/>
      <c r="S1607" s="8"/>
      <c r="T1607" s="8"/>
      <c r="U1607" s="8"/>
      <c r="V1607" s="8"/>
      <c r="W1607" s="8"/>
    </row>
    <row r="1608" spans="1:23" ht="14.4">
      <c r="A1608" s="3">
        <f>LOOKUP(D1608,'AMFI DATA_2023H1'!B:C,'AMFI DATA_2023H1'!C:C)</f>
        <v>670</v>
      </c>
      <c r="B1608" s="4" t="s">
        <v>2177</v>
      </c>
      <c r="C1608" s="4" t="s">
        <v>2178</v>
      </c>
      <c r="D1608" s="5" t="s">
        <v>2179</v>
      </c>
      <c r="E1608" s="5">
        <f>LOOKUP(D1608,'AMFI DATA_2023H1'!B:D,'AMFI DATA_2023H1'!D:D)</f>
        <v>2836.49</v>
      </c>
      <c r="F1608" s="7">
        <f t="shared" si="6"/>
        <v>0.35096545378266808</v>
      </c>
      <c r="G1608" s="8">
        <v>3832</v>
      </c>
      <c r="H1608" s="8">
        <v>3807</v>
      </c>
      <c r="I1608" s="8">
        <v>3815</v>
      </c>
      <c r="J1608" s="8">
        <v>3799</v>
      </c>
      <c r="K1608" s="8">
        <v>3801</v>
      </c>
      <c r="L1608" s="8">
        <v>3717</v>
      </c>
      <c r="M1608" s="8"/>
      <c r="N1608" s="8"/>
      <c r="O1608" s="8"/>
      <c r="P1608" s="8"/>
      <c r="Q1608" s="9">
        <f ca="1">IFERROR(__xludf.DUMMYFUNCTION("GOOGLEFINANCE(C1608,""changepct"")"),-0.79)</f>
        <v>-0.79</v>
      </c>
      <c r="R1608" s="8"/>
      <c r="S1608" s="8"/>
      <c r="T1608" s="8"/>
      <c r="U1608" s="8"/>
      <c r="V1608" s="8"/>
      <c r="W1608" s="8"/>
    </row>
    <row r="1609" spans="1:23" ht="14.4">
      <c r="A1609" s="3">
        <f>LOOKUP(D1609,'AMFI DATA_2023H1'!B:C,'AMFI DATA_2023H1'!C:C)</f>
        <v>1223</v>
      </c>
      <c r="B1609" s="4" t="s">
        <v>3728</v>
      </c>
      <c r="C1609" s="4" t="s">
        <v>3729</v>
      </c>
      <c r="D1609" s="5" t="s">
        <v>3730</v>
      </c>
      <c r="E1609" s="5">
        <f>LOOKUP(D1609,'AMFI DATA_2023H1'!B:D,'AMFI DATA_2023H1'!D:D)</f>
        <v>645.75</v>
      </c>
      <c r="F1609" s="7">
        <f t="shared" si="6"/>
        <v>0.17382888114595429</v>
      </c>
      <c r="G1609" s="9">
        <v>758</v>
      </c>
      <c r="H1609" s="9">
        <v>764</v>
      </c>
      <c r="I1609" s="9">
        <v>788</v>
      </c>
      <c r="J1609" s="9">
        <v>791</v>
      </c>
      <c r="K1609" s="9">
        <v>801</v>
      </c>
      <c r="L1609" s="9">
        <v>776</v>
      </c>
      <c r="M1609" s="9"/>
      <c r="N1609" s="9"/>
      <c r="O1609" s="9"/>
      <c r="P1609" s="9"/>
      <c r="Q1609" s="9">
        <f ca="1">IFERROR(__xludf.DUMMYFUNCTION("GOOGLEFINANCE(C1609,""changepct"")"),-2.58)</f>
        <v>-2.58</v>
      </c>
      <c r="R1609" s="9"/>
      <c r="S1609" s="9"/>
      <c r="T1609" s="9"/>
      <c r="U1609" s="9"/>
      <c r="V1609" s="9"/>
      <c r="W1609" s="9"/>
    </row>
    <row r="1610" spans="1:23" ht="14.4">
      <c r="A1610" s="3">
        <f>LOOKUP(D1610,'AMFI DATA_2023H1'!B:C,'AMFI DATA_2023H1'!C:C)</f>
        <v>631</v>
      </c>
      <c r="B1610" s="4" t="s">
        <v>2001</v>
      </c>
      <c r="C1610" s="4" t="s">
        <v>2002</v>
      </c>
      <c r="D1610" s="5" t="s">
        <v>2003</v>
      </c>
      <c r="E1610" s="5">
        <f>LOOKUP(D1610,'AMFI DATA_2023H1'!B:D,'AMFI DATA_2023H1'!D:D)</f>
        <v>3279.6</v>
      </c>
      <c r="F1610" s="7">
        <f t="shared" si="6"/>
        <v>0.27485059153555325</v>
      </c>
      <c r="G1610" s="8">
        <v>4181</v>
      </c>
      <c r="H1610" s="8">
        <v>4209</v>
      </c>
      <c r="I1610" s="8">
        <v>4199</v>
      </c>
      <c r="J1610" s="8">
        <v>4013</v>
      </c>
      <c r="K1610" s="8">
        <v>4048</v>
      </c>
      <c r="L1610" s="8">
        <v>3971</v>
      </c>
      <c r="M1610" s="8"/>
      <c r="N1610" s="8"/>
      <c r="O1610" s="8"/>
      <c r="P1610" s="8"/>
      <c r="Q1610" s="9">
        <f ca="1">IFERROR(__xludf.DUMMYFUNCTION("GOOGLEFINANCE(C1610,""changepct"")"),-2.24)</f>
        <v>-2.2400000000000002</v>
      </c>
      <c r="R1610" s="8"/>
      <c r="S1610" s="8"/>
      <c r="T1610" s="8"/>
      <c r="U1610" s="8"/>
      <c r="V1610" s="8"/>
      <c r="W1610" s="8"/>
    </row>
    <row r="1611" spans="1:23" ht="14.4">
      <c r="A1611" s="3">
        <f>LOOKUP(D1611,'AMFI DATA_2023H1'!B:C,'AMFI DATA_2023H1'!C:C)</f>
        <v>2960</v>
      </c>
      <c r="B1611" s="4" t="s">
        <v>5578</v>
      </c>
      <c r="C1611" s="4" t="s">
        <v>5579</v>
      </c>
      <c r="D1611" s="5" t="s">
        <v>5580</v>
      </c>
      <c r="E1611" s="5">
        <f>LOOKUP(D1611,'AMFI DATA_2023H1'!B:D,'AMFI DATA_2023H1'!D:D)</f>
        <v>32.06</v>
      </c>
      <c r="F1611" s="7">
        <f t="shared" si="6"/>
        <v>0.49095446038677459</v>
      </c>
      <c r="G1611" s="9">
        <v>47.8</v>
      </c>
      <c r="H1611" s="9">
        <v>50.3</v>
      </c>
      <c r="I1611" s="9">
        <v>50.3</v>
      </c>
      <c r="J1611" s="9">
        <v>50.3</v>
      </c>
      <c r="K1611" s="9">
        <v>50.3</v>
      </c>
      <c r="L1611" s="9">
        <v>52.9</v>
      </c>
      <c r="M1611" s="9"/>
      <c r="N1611" s="9"/>
      <c r="O1611" s="9"/>
      <c r="P1611" s="9"/>
      <c r="Q1611" s="9">
        <f ca="1">IFERROR(__xludf.DUMMYFUNCTION("GOOGLEFINANCE(C1611,""changepct"")"),-4.55)</f>
        <v>-4.55</v>
      </c>
      <c r="R1611" s="9"/>
      <c r="S1611" s="9"/>
      <c r="T1611" s="9"/>
      <c r="U1611" s="9"/>
      <c r="V1611" s="9"/>
      <c r="W1611" s="9"/>
    </row>
    <row r="1612" spans="1:23" ht="14.4">
      <c r="A1612" s="3">
        <f>LOOKUP(D1612,'AMFI DATA_2023H1'!B:C,'AMFI DATA_2023H1'!C:C)</f>
        <v>2199</v>
      </c>
      <c r="B1612" s="4" t="s">
        <v>5165</v>
      </c>
      <c r="C1612" s="4" t="s">
        <v>5166</v>
      </c>
      <c r="D1612" s="5" t="s">
        <v>5167</v>
      </c>
      <c r="E1612" s="5">
        <f>LOOKUP(D1612,'AMFI DATA_2023H1'!B:D,'AMFI DATA_2023H1'!D:D)</f>
        <v>103.73</v>
      </c>
      <c r="F1612" s="7">
        <f t="shared" si="6"/>
        <v>0.5424660175455509</v>
      </c>
      <c r="G1612" s="9">
        <v>160</v>
      </c>
      <c r="H1612" s="9">
        <v>159</v>
      </c>
      <c r="I1612" s="9">
        <v>162</v>
      </c>
      <c r="J1612" s="9">
        <v>166</v>
      </c>
      <c r="K1612" s="9">
        <v>162</v>
      </c>
      <c r="L1612" s="9">
        <v>154</v>
      </c>
      <c r="M1612" s="9"/>
      <c r="N1612" s="9"/>
      <c r="O1612" s="9"/>
      <c r="P1612" s="9"/>
      <c r="Q1612" s="9">
        <f ca="1">IFERROR(__xludf.DUMMYFUNCTION("GOOGLEFINANCE(C1612,""changepct"")"),-3.94)</f>
        <v>-3.94</v>
      </c>
      <c r="R1612" s="9"/>
      <c r="S1612" s="9"/>
      <c r="T1612" s="9"/>
      <c r="U1612" s="9"/>
      <c r="V1612" s="9"/>
      <c r="W1612" s="9"/>
    </row>
    <row r="1613" spans="1:23" ht="14.4">
      <c r="A1613" s="3">
        <f>LOOKUP(D1613,'AMFI DATA_2023H1'!B:C,'AMFI DATA_2023H1'!C:C)</f>
        <v>212</v>
      </c>
      <c r="B1613" s="4" t="s">
        <v>795</v>
      </c>
      <c r="C1613" s="4" t="s">
        <v>796</v>
      </c>
      <c r="D1613" s="5" t="s">
        <v>797</v>
      </c>
      <c r="E1613" s="5">
        <f>LOOKUP(D1613,'AMFI DATA_2023H1'!B:D,'AMFI DATA_2023H1'!D:D)</f>
        <v>21641.4</v>
      </c>
      <c r="F1613" s="7">
        <f t="shared" si="6"/>
        <v>-5.3896697995508669E-2</v>
      </c>
      <c r="G1613" s="8">
        <v>20475</v>
      </c>
      <c r="H1613" s="8">
        <v>20178</v>
      </c>
      <c r="I1613" s="8">
        <v>20228</v>
      </c>
      <c r="J1613" s="8">
        <v>20300</v>
      </c>
      <c r="K1613" s="8">
        <v>20086</v>
      </c>
      <c r="L1613" s="8">
        <v>20280</v>
      </c>
      <c r="M1613" s="8"/>
      <c r="N1613" s="8"/>
      <c r="O1613" s="8"/>
      <c r="P1613" s="8"/>
      <c r="Q1613" s="9">
        <f ca="1">IFERROR(__xludf.DUMMYFUNCTION("GOOGLEFINANCE(C1613,""changepct"")"),0.75)</f>
        <v>0.75</v>
      </c>
      <c r="R1613" s="8"/>
      <c r="S1613" s="8"/>
      <c r="T1613" s="8"/>
      <c r="U1613" s="8"/>
      <c r="V1613" s="8"/>
      <c r="W1613" s="8"/>
    </row>
    <row r="1614" spans="1:23" ht="14.4">
      <c r="A1614" s="3">
        <f>LOOKUP(D1614,'AMFI DATA_2023H1'!B:C,'AMFI DATA_2023H1'!C:C)</f>
        <v>1207</v>
      </c>
      <c r="B1614" s="4" t="s">
        <v>3257</v>
      </c>
      <c r="C1614" s="4" t="s">
        <v>3258</v>
      </c>
      <c r="D1614" s="5" t="s">
        <v>3259</v>
      </c>
      <c r="E1614" s="5">
        <f>LOOKUP(D1614,'AMFI DATA_2023H1'!B:D,'AMFI DATA_2023H1'!D:D)</f>
        <v>686.32</v>
      </c>
      <c r="F1614" s="7">
        <f t="shared" si="6"/>
        <v>1.0107238605898123</v>
      </c>
      <c r="G1614" s="8">
        <v>1380</v>
      </c>
      <c r="H1614" s="8">
        <v>1389</v>
      </c>
      <c r="I1614" s="8">
        <v>1408</v>
      </c>
      <c r="J1614" s="8">
        <v>1419</v>
      </c>
      <c r="K1614" s="8">
        <v>1443</v>
      </c>
      <c r="L1614" s="8">
        <v>1443</v>
      </c>
      <c r="M1614" s="8"/>
      <c r="N1614" s="8"/>
      <c r="O1614" s="8"/>
      <c r="P1614" s="8"/>
      <c r="Q1614" s="9">
        <f ca="1">IFERROR(__xludf.DUMMYFUNCTION("GOOGLEFINANCE(C1614,""changepct"")"),9.55)</f>
        <v>9.5500000000000007</v>
      </c>
      <c r="R1614" s="8"/>
      <c r="S1614" s="8"/>
      <c r="T1614" s="8"/>
      <c r="U1614" s="8"/>
      <c r="V1614" s="8"/>
      <c r="W1614" s="8"/>
    </row>
    <row r="1615" spans="1:23" ht="14.4">
      <c r="A1615" s="3">
        <f>LOOKUP(D1615,'AMFI DATA_2023H1'!B:C,'AMFI DATA_2023H1'!C:C)</f>
        <v>459</v>
      </c>
      <c r="B1615" s="4" t="s">
        <v>1422</v>
      </c>
      <c r="C1615" s="4" t="s">
        <v>1423</v>
      </c>
      <c r="D1615" s="5" t="s">
        <v>1424</v>
      </c>
      <c r="E1615" s="5">
        <f>LOOKUP(D1615,'AMFI DATA_2023H1'!B:D,'AMFI DATA_2023H1'!D:D)</f>
        <v>5967.69</v>
      </c>
      <c r="F1615" s="7">
        <f t="shared" si="6"/>
        <v>0.67300915429588337</v>
      </c>
      <c r="G1615" s="8">
        <v>9984</v>
      </c>
      <c r="H1615" s="8">
        <v>9285</v>
      </c>
      <c r="I1615" s="8">
        <v>8765</v>
      </c>
      <c r="J1615" s="8">
        <v>8585</v>
      </c>
      <c r="K1615" s="8">
        <v>8411</v>
      </c>
      <c r="L1615" s="8">
        <v>8483</v>
      </c>
      <c r="M1615" s="8"/>
      <c r="N1615" s="8"/>
      <c r="O1615" s="8"/>
      <c r="P1615" s="8"/>
      <c r="Q1615" s="9">
        <f ca="1">IFERROR(__xludf.DUMMYFUNCTION("GOOGLEFINANCE(C1615,""changepct"")"),1.11)</f>
        <v>1.1100000000000001</v>
      </c>
      <c r="R1615" s="8"/>
      <c r="S1615" s="8"/>
      <c r="T1615" s="8"/>
      <c r="U1615" s="8"/>
      <c r="V1615" s="8"/>
      <c r="W1615" s="8"/>
    </row>
    <row r="1616" spans="1:23" ht="14.4">
      <c r="A1616" s="3">
        <f>LOOKUP(D1616,'AMFI DATA_2023H1'!B:C,'AMFI DATA_2023H1'!C:C)</f>
        <v>20</v>
      </c>
      <c r="B1616" s="4" t="s">
        <v>64</v>
      </c>
      <c r="C1616" s="4" t="s">
        <v>65</v>
      </c>
      <c r="D1616" s="5" t="s">
        <v>66</v>
      </c>
      <c r="E1616" s="5">
        <f>LOOKUP(D1616,'AMFI DATA_2023H1'!B:D,'AMFI DATA_2023H1'!D:D)</f>
        <v>237246.3</v>
      </c>
      <c r="F1616" s="7">
        <f t="shared" si="6"/>
        <v>0.27371427921109848</v>
      </c>
      <c r="G1616" s="8">
        <v>302184</v>
      </c>
      <c r="H1616" s="8">
        <v>302676</v>
      </c>
      <c r="I1616" s="8">
        <v>302796</v>
      </c>
      <c r="J1616" s="8">
        <v>300613</v>
      </c>
      <c r="K1616" s="8">
        <v>299293</v>
      </c>
      <c r="L1616" s="8">
        <v>298393</v>
      </c>
      <c r="M1616" s="8"/>
      <c r="N1616" s="8"/>
      <c r="O1616" s="8"/>
      <c r="P1616" s="8"/>
      <c r="Q1616" s="9">
        <f ca="1">IFERROR(__xludf.DUMMYFUNCTION("GOOGLEFINANCE(C1616,""changepct"")"),-0.59)</f>
        <v>-0.59</v>
      </c>
      <c r="R1616" s="8"/>
      <c r="S1616" s="8"/>
      <c r="T1616" s="8"/>
      <c r="U1616" s="8"/>
      <c r="V1616" s="8"/>
      <c r="W1616" s="8"/>
    </row>
    <row r="1617" spans="1:23" ht="14.4">
      <c r="A1617" s="3">
        <f>LOOKUP(D1617,'AMFI DATA_2023H1'!B:C,'AMFI DATA_2023H1'!C:C)</f>
        <v>249</v>
      </c>
      <c r="B1617" s="4" t="s">
        <v>714</v>
      </c>
      <c r="C1617" s="4" t="s">
        <v>715</v>
      </c>
      <c r="D1617" s="5" t="s">
        <v>716</v>
      </c>
      <c r="E1617" s="5">
        <f>LOOKUP(D1617,'AMFI DATA_2023H1'!B:D,'AMFI DATA_2023H1'!D:D)</f>
        <v>17503.490000000002</v>
      </c>
      <c r="F1617" s="7">
        <f t="shared" si="6"/>
        <v>0.60710806816240637</v>
      </c>
      <c r="G1617" s="8">
        <v>28130</v>
      </c>
      <c r="H1617" s="8">
        <v>27974</v>
      </c>
      <c r="I1617" s="8">
        <v>28195</v>
      </c>
      <c r="J1617" s="8">
        <v>27854</v>
      </c>
      <c r="K1617" s="8">
        <v>28052</v>
      </c>
      <c r="L1617" s="8">
        <v>28593</v>
      </c>
      <c r="M1617" s="8"/>
      <c r="N1617" s="8"/>
      <c r="O1617" s="8"/>
      <c r="P1617" s="8"/>
      <c r="Q1617" s="9">
        <f ca="1">IFERROR(__xludf.DUMMYFUNCTION("GOOGLEFINANCE(C1617,""changepct"")"),-1.36)</f>
        <v>-1.36</v>
      </c>
      <c r="R1617" s="8"/>
      <c r="S1617" s="8"/>
      <c r="T1617" s="8"/>
      <c r="U1617" s="8"/>
      <c r="V1617" s="8"/>
      <c r="W1617" s="8"/>
    </row>
    <row r="1618" spans="1:23" ht="14.4">
      <c r="A1618" s="3">
        <f>LOOKUP(D1618,'AMFI DATA_2023H1'!B:C,'AMFI DATA_2023H1'!C:C)</f>
        <v>2069</v>
      </c>
      <c r="B1618" s="4" t="s">
        <v>4622</v>
      </c>
      <c r="C1618" s="4" t="s">
        <v>4623</v>
      </c>
      <c r="D1618" s="5" t="s">
        <v>4624</v>
      </c>
      <c r="E1618" s="5">
        <f>LOOKUP(D1618,'AMFI DATA_2023H1'!B:D,'AMFI DATA_2023H1'!D:D)</f>
        <v>127.42</v>
      </c>
      <c r="F1618" s="7">
        <f t="shared" si="6"/>
        <v>1.0561921205462252</v>
      </c>
      <c r="G1618" s="9">
        <v>262</v>
      </c>
      <c r="H1618" s="9">
        <v>265</v>
      </c>
      <c r="I1618" s="9">
        <v>247</v>
      </c>
      <c r="J1618" s="9">
        <v>253</v>
      </c>
      <c r="K1618" s="9">
        <v>251</v>
      </c>
      <c r="L1618" s="9">
        <v>250</v>
      </c>
      <c r="M1618" s="9"/>
      <c r="N1618" s="9"/>
      <c r="O1618" s="9"/>
      <c r="P1618" s="9"/>
      <c r="Q1618" s="9">
        <f ca="1">IFERROR(__xludf.DUMMYFUNCTION("GOOGLEFINANCE(C1618,""changepct"")"),-0.44)</f>
        <v>-0.44</v>
      </c>
      <c r="R1618" s="9"/>
      <c r="S1618" s="9"/>
      <c r="T1618" s="9"/>
      <c r="U1618" s="9"/>
      <c r="V1618" s="9"/>
      <c r="W1618" s="9"/>
    </row>
    <row r="1619" spans="1:23" ht="14.4">
      <c r="A1619" s="3">
        <f>LOOKUP(D1619,'AMFI DATA_2023H1'!B:C,'AMFI DATA_2023H1'!C:C)</f>
        <v>800</v>
      </c>
      <c r="B1619" s="4" t="s">
        <v>2327</v>
      </c>
      <c r="C1619" s="4" t="s">
        <v>2328</v>
      </c>
      <c r="D1619" s="5" t="s">
        <v>2329</v>
      </c>
      <c r="E1619" s="5">
        <f>LOOKUP(D1619,'AMFI DATA_2023H1'!B:D,'AMFI DATA_2023H1'!D:D)</f>
        <v>1926.41</v>
      </c>
      <c r="F1619" s="7">
        <f t="shared" si="6"/>
        <v>0.6829231575832766</v>
      </c>
      <c r="G1619" s="8">
        <v>3242</v>
      </c>
      <c r="H1619" s="8">
        <v>3244</v>
      </c>
      <c r="I1619" s="8">
        <v>3254</v>
      </c>
      <c r="J1619" s="8">
        <v>3263</v>
      </c>
      <c r="K1619" s="8">
        <v>3295</v>
      </c>
      <c r="L1619" s="8">
        <v>3252</v>
      </c>
      <c r="M1619" s="8"/>
      <c r="N1619" s="8"/>
      <c r="O1619" s="8"/>
      <c r="P1619" s="8"/>
      <c r="Q1619" s="9">
        <f ca="1">IFERROR(__xludf.DUMMYFUNCTION("GOOGLEFINANCE(C1619,""changepct"")"),9.06)</f>
        <v>9.06</v>
      </c>
      <c r="R1619" s="8"/>
      <c r="S1619" s="8"/>
      <c r="T1619" s="8"/>
      <c r="U1619" s="8"/>
      <c r="V1619" s="8"/>
      <c r="W1619" s="8"/>
    </row>
    <row r="1620" spans="1:23" ht="14.4">
      <c r="A1620" s="3">
        <f>LOOKUP(D1620,'AMFI DATA_2023H1'!B:C,'AMFI DATA_2023H1'!C:C)</f>
        <v>185</v>
      </c>
      <c r="B1620" s="4" t="s">
        <v>576</v>
      </c>
      <c r="C1620" s="4" t="s">
        <v>577</v>
      </c>
      <c r="D1620" s="5" t="s">
        <v>578</v>
      </c>
      <c r="E1620" s="5">
        <f>LOOKUP(D1620,'AMFI DATA_2023H1'!B:D,'AMFI DATA_2023H1'!D:D)</f>
        <v>26395.439999999999</v>
      </c>
      <c r="F1620" s="7">
        <f t="shared" si="6"/>
        <v>0.46411652921868329</v>
      </c>
      <c r="G1620" s="8">
        <v>38646</v>
      </c>
      <c r="H1620" s="8">
        <v>38994</v>
      </c>
      <c r="I1620" s="8">
        <v>39446</v>
      </c>
      <c r="J1620" s="8">
        <v>39859</v>
      </c>
      <c r="K1620" s="8">
        <v>38912</v>
      </c>
      <c r="L1620" s="8">
        <v>39273</v>
      </c>
      <c r="M1620" s="8"/>
      <c r="N1620" s="8"/>
      <c r="O1620" s="8"/>
      <c r="P1620" s="8"/>
      <c r="Q1620" s="9">
        <f ca="1">IFERROR(__xludf.DUMMYFUNCTION("GOOGLEFINANCE(C1620,""changepct"")"),-1.62)</f>
        <v>-1.62</v>
      </c>
      <c r="R1620" s="8"/>
      <c r="S1620" s="8"/>
      <c r="T1620" s="8"/>
      <c r="U1620" s="8"/>
      <c r="V1620" s="8"/>
      <c r="W1620" s="8"/>
    </row>
    <row r="1621" spans="1:23" ht="14.4">
      <c r="A1621" s="3">
        <f>LOOKUP(D1621,'AMFI DATA_2023H1'!B:C,'AMFI DATA_2023H1'!C:C)</f>
        <v>2132</v>
      </c>
      <c r="B1621" s="4" t="s">
        <v>5030</v>
      </c>
      <c r="C1621" s="4" t="s">
        <v>5031</v>
      </c>
      <c r="D1621" s="5" t="s">
        <v>5032</v>
      </c>
      <c r="E1621" s="5">
        <f>LOOKUP(D1621,'AMFI DATA_2023H1'!B:D,'AMFI DATA_2023H1'!D:D)</f>
        <v>115.78</v>
      </c>
      <c r="F1621" s="7">
        <f t="shared" si="6"/>
        <v>0.18327863188806348</v>
      </c>
      <c r="G1621" s="9">
        <v>137</v>
      </c>
      <c r="H1621" s="9">
        <v>140</v>
      </c>
      <c r="I1621" s="9">
        <v>143</v>
      </c>
      <c r="J1621" s="9">
        <v>145</v>
      </c>
      <c r="K1621" s="9">
        <v>150</v>
      </c>
      <c r="L1621" s="9">
        <v>152</v>
      </c>
      <c r="M1621" s="9"/>
      <c r="N1621" s="9"/>
      <c r="O1621" s="9"/>
      <c r="P1621" s="9"/>
      <c r="Q1621" s="9">
        <f ca="1">IFERROR(__xludf.DUMMYFUNCTION("GOOGLEFINANCE(C1621,""changepct"")"),3.57)</f>
        <v>3.57</v>
      </c>
      <c r="R1621" s="9"/>
      <c r="S1621" s="9"/>
      <c r="T1621" s="9"/>
      <c r="U1621" s="9"/>
      <c r="V1621" s="9"/>
      <c r="W1621" s="9"/>
    </row>
    <row r="1622" spans="1:23" ht="14.4">
      <c r="A1622" s="3">
        <f>LOOKUP(D1622,'AMFI DATA_2023H1'!B:C,'AMFI DATA_2023H1'!C:C)</f>
        <v>210</v>
      </c>
      <c r="B1622" s="4" t="s">
        <v>663</v>
      </c>
      <c r="C1622" s="4" t="s">
        <v>664</v>
      </c>
      <c r="D1622" s="5" t="s">
        <v>665</v>
      </c>
      <c r="E1622" s="5">
        <f>LOOKUP(D1622,'AMFI DATA_2023H1'!B:D,'AMFI DATA_2023H1'!D:D)</f>
        <v>21740.02</v>
      </c>
      <c r="F1622" s="7">
        <f t="shared" si="6"/>
        <v>0.20335675864143643</v>
      </c>
      <c r="G1622" s="8">
        <v>26161</v>
      </c>
      <c r="H1622" s="8">
        <v>26100</v>
      </c>
      <c r="I1622" s="8">
        <v>25938</v>
      </c>
      <c r="J1622" s="8">
        <v>25951</v>
      </c>
      <c r="K1622" s="8">
        <v>26161</v>
      </c>
      <c r="L1622" s="8">
        <v>26467</v>
      </c>
      <c r="M1622" s="8"/>
      <c r="N1622" s="8"/>
      <c r="O1622" s="8"/>
      <c r="P1622" s="8"/>
      <c r="Q1622" s="9">
        <f ca="1">IFERROR(__xludf.DUMMYFUNCTION("GOOGLEFINANCE(C1622,""changepct"")"),0.96)</f>
        <v>0.96</v>
      </c>
      <c r="R1622" s="8"/>
      <c r="S1622" s="8"/>
      <c r="T1622" s="8"/>
      <c r="U1622" s="8"/>
      <c r="V1622" s="8"/>
      <c r="W1622" s="8"/>
    </row>
    <row r="1623" spans="1:23" ht="14.4">
      <c r="A1623" s="3">
        <f>LOOKUP(D1623,'AMFI DATA_2023H1'!B:C,'AMFI DATA_2023H1'!C:C)</f>
        <v>690</v>
      </c>
      <c r="B1623" s="4" t="s">
        <v>2096</v>
      </c>
      <c r="C1623" s="4" t="s">
        <v>2097</v>
      </c>
      <c r="D1623" s="5" t="s">
        <v>2098</v>
      </c>
      <c r="E1623" s="5">
        <f>LOOKUP(D1623,'AMFI DATA_2023H1'!B:D,'AMFI DATA_2023H1'!D:D)</f>
        <v>2630.1</v>
      </c>
      <c r="F1623" s="7">
        <f t="shared" si="6"/>
        <v>0.45469754001748997</v>
      </c>
      <c r="G1623" s="8">
        <v>3826</v>
      </c>
      <c r="H1623" s="8">
        <v>3759</v>
      </c>
      <c r="I1623" s="8">
        <v>3830</v>
      </c>
      <c r="J1623" s="8">
        <v>3858</v>
      </c>
      <c r="K1623" s="8">
        <v>3849</v>
      </c>
      <c r="L1623" s="8">
        <v>3784</v>
      </c>
      <c r="M1623" s="8"/>
      <c r="N1623" s="8"/>
      <c r="O1623" s="8"/>
      <c r="P1623" s="8"/>
      <c r="Q1623" s="9">
        <f ca="1">IFERROR(__xludf.DUMMYFUNCTION("GOOGLEFINANCE(C1623,""changepct"")"),2.53)</f>
        <v>2.5299999999999998</v>
      </c>
      <c r="R1623" s="8"/>
      <c r="S1623" s="8"/>
      <c r="T1623" s="8"/>
      <c r="U1623" s="8"/>
      <c r="V1623" s="8"/>
      <c r="W1623" s="8"/>
    </row>
    <row r="1624" spans="1:23" ht="14.4">
      <c r="A1624" s="3">
        <f>LOOKUP(D1624,'AMFI DATA_2023H1'!B:C,'AMFI DATA_2023H1'!C:C)</f>
        <v>535</v>
      </c>
      <c r="B1624" s="4" t="s">
        <v>1677</v>
      </c>
      <c r="C1624" s="4" t="s">
        <v>1678</v>
      </c>
      <c r="D1624" s="5" t="s">
        <v>1679</v>
      </c>
      <c r="E1624" s="5">
        <f>LOOKUP(D1624,'AMFI DATA_2023H1'!B:D,'AMFI DATA_2023H1'!D:D)</f>
        <v>4541.2700000000004</v>
      </c>
      <c r="F1624" s="7">
        <f t="shared" si="6"/>
        <v>0.44519044232120075</v>
      </c>
      <c r="G1624" s="8">
        <v>6563</v>
      </c>
      <c r="H1624" s="8">
        <v>6524</v>
      </c>
      <c r="I1624" s="8">
        <v>6393</v>
      </c>
      <c r="J1624" s="8">
        <v>6281</v>
      </c>
      <c r="K1624" s="8">
        <v>6174</v>
      </c>
      <c r="L1624" s="8">
        <v>6280</v>
      </c>
      <c r="M1624" s="8"/>
      <c r="N1624" s="8"/>
      <c r="O1624" s="8"/>
      <c r="P1624" s="8"/>
      <c r="Q1624" s="9">
        <f ca="1">IFERROR(__xludf.DUMMYFUNCTION("GOOGLEFINANCE(C1624,""changepct"")"),-1.59)</f>
        <v>-1.59</v>
      </c>
      <c r="R1624" s="8"/>
      <c r="S1624" s="8"/>
      <c r="T1624" s="8"/>
      <c r="U1624" s="8"/>
      <c r="V1624" s="8"/>
      <c r="W1624" s="8"/>
    </row>
    <row r="1625" spans="1:23" ht="14.4">
      <c r="A1625" s="3">
        <f>LOOKUP(D1625,'AMFI DATA_2023H1'!B:C,'AMFI DATA_2023H1'!C:C)</f>
        <v>2784</v>
      </c>
      <c r="B1625" s="4" t="s">
        <v>5500</v>
      </c>
      <c r="C1625" s="4" t="s">
        <v>5501</v>
      </c>
      <c r="D1625" s="5" t="s">
        <v>5502</v>
      </c>
      <c r="E1625" s="5">
        <f>LOOKUP(D1625,'AMFI DATA_2023H1'!B:D,'AMFI DATA_2023H1'!D:D)</f>
        <v>41.28</v>
      </c>
      <c r="F1625" s="7">
        <f t="shared" si="6"/>
        <v>0.16763565891472876</v>
      </c>
      <c r="G1625" s="9">
        <v>48.2</v>
      </c>
      <c r="H1625" s="9">
        <v>46</v>
      </c>
      <c r="I1625" s="9">
        <v>45.1</v>
      </c>
      <c r="J1625" s="9">
        <v>45.1</v>
      </c>
      <c r="K1625" s="9">
        <v>45.2</v>
      </c>
      <c r="L1625" s="9">
        <v>45.4</v>
      </c>
      <c r="M1625" s="9"/>
      <c r="N1625" s="9"/>
      <c r="O1625" s="9"/>
      <c r="P1625" s="9"/>
      <c r="Q1625" s="9">
        <f ca="1">IFERROR(__xludf.DUMMYFUNCTION("GOOGLEFINANCE(C1625,""changepct"")"),0)</f>
        <v>0</v>
      </c>
      <c r="R1625" s="9"/>
      <c r="S1625" s="9"/>
      <c r="T1625" s="9"/>
      <c r="U1625" s="9"/>
      <c r="V1625" s="9"/>
      <c r="W1625" s="9"/>
    </row>
    <row r="1626" spans="1:23" ht="14.4">
      <c r="A1626" s="3">
        <f>LOOKUP(D1626,'AMFI DATA_2023H1'!B:C,'AMFI DATA_2023H1'!C:C)</f>
        <v>1673</v>
      </c>
      <c r="B1626" s="4" t="s">
        <v>4541</v>
      </c>
      <c r="C1626" s="4" t="s">
        <v>4542</v>
      </c>
      <c r="D1626" s="5" t="s">
        <v>4543</v>
      </c>
      <c r="E1626" s="5">
        <f>LOOKUP(D1626,'AMFI DATA_2023H1'!B:D,'AMFI DATA_2023H1'!D:D)</f>
        <v>251.11</v>
      </c>
      <c r="F1626" s="7">
        <f t="shared" si="6"/>
        <v>0.11903150013938113</v>
      </c>
      <c r="G1626" s="9">
        <v>281</v>
      </c>
      <c r="H1626" s="9">
        <v>275</v>
      </c>
      <c r="I1626" s="9">
        <v>280</v>
      </c>
      <c r="J1626" s="9">
        <v>283</v>
      </c>
      <c r="K1626" s="9">
        <v>272</v>
      </c>
      <c r="L1626" s="9">
        <v>270</v>
      </c>
      <c r="M1626" s="9"/>
      <c r="N1626" s="9"/>
      <c r="O1626" s="9"/>
      <c r="P1626" s="9"/>
      <c r="Q1626" s="9">
        <f ca="1">IFERROR(__xludf.DUMMYFUNCTION("GOOGLEFINANCE(C1626,""changepct"")"),6.7)</f>
        <v>6.7</v>
      </c>
      <c r="R1626" s="9"/>
      <c r="S1626" s="9"/>
      <c r="T1626" s="9"/>
      <c r="U1626" s="9"/>
      <c r="V1626" s="9"/>
      <c r="W1626" s="9"/>
    </row>
    <row r="1627" spans="1:23" ht="14.4">
      <c r="A1627" s="3">
        <f>LOOKUP(D1627,'AMFI DATA_2023H1'!B:C,'AMFI DATA_2023H1'!C:C)</f>
        <v>513</v>
      </c>
      <c r="B1627" s="4" t="s">
        <v>1752</v>
      </c>
      <c r="C1627" s="4" t="s">
        <v>1753</v>
      </c>
      <c r="D1627" s="5" t="s">
        <v>1754</v>
      </c>
      <c r="E1627" s="5">
        <f>LOOKUP(D1627,'AMFI DATA_2023H1'!B:D,'AMFI DATA_2023H1'!D:D)</f>
        <v>5001.3500000000004</v>
      </c>
      <c r="F1627" s="7">
        <f t="shared" si="6"/>
        <v>0.13709298489407851</v>
      </c>
      <c r="G1627" s="8">
        <v>5687</v>
      </c>
      <c r="H1627" s="8">
        <v>5624</v>
      </c>
      <c r="I1627" s="8">
        <v>5570</v>
      </c>
      <c r="J1627" s="8">
        <v>5146</v>
      </c>
      <c r="K1627" s="8">
        <v>5048</v>
      </c>
      <c r="L1627" s="8">
        <v>5132</v>
      </c>
      <c r="M1627" s="8"/>
      <c r="N1627" s="8"/>
      <c r="O1627" s="8"/>
      <c r="P1627" s="8"/>
      <c r="Q1627" s="9">
        <f ca="1">IFERROR(__xludf.DUMMYFUNCTION("GOOGLEFINANCE(C1627,""changepct"")"),0.22)</f>
        <v>0.22</v>
      </c>
      <c r="R1627" s="8"/>
      <c r="S1627" s="8"/>
      <c r="T1627" s="8"/>
      <c r="U1627" s="8"/>
      <c r="V1627" s="8"/>
      <c r="W1627" s="8"/>
    </row>
    <row r="1628" spans="1:23" ht="14.4">
      <c r="A1628" s="3">
        <f>LOOKUP(D1628,'AMFI DATA_2023H1'!B:C,'AMFI DATA_2023H1'!C:C)</f>
        <v>3186</v>
      </c>
      <c r="B1628" s="4" t="s">
        <v>5680</v>
      </c>
      <c r="C1628" s="4" t="s">
        <v>5681</v>
      </c>
      <c r="D1628" s="5" t="s">
        <v>5682</v>
      </c>
      <c r="E1628" s="5">
        <f>LOOKUP(D1628,'AMFI DATA_2023H1'!B:D,'AMFI DATA_2023H1'!D:D)</f>
        <v>23.13</v>
      </c>
      <c r="F1628" s="7">
        <f t="shared" si="6"/>
        <v>0.18893212278426286</v>
      </c>
      <c r="G1628" s="9">
        <v>27.5</v>
      </c>
      <c r="H1628" s="9">
        <v>26.2</v>
      </c>
      <c r="I1628" s="9">
        <v>25</v>
      </c>
      <c r="J1628" s="9">
        <v>26.2</v>
      </c>
      <c r="K1628" s="9">
        <v>25</v>
      </c>
      <c r="L1628" s="9">
        <v>26.2</v>
      </c>
      <c r="M1628" s="9"/>
      <c r="N1628" s="9"/>
      <c r="O1628" s="9"/>
      <c r="P1628" s="9"/>
      <c r="Q1628" s="9">
        <f ca="1">IFERROR(__xludf.DUMMYFUNCTION("GOOGLEFINANCE(C1628,""changepct"")"),-4.55)</f>
        <v>-4.55</v>
      </c>
      <c r="R1628" s="9"/>
      <c r="S1628" s="9"/>
      <c r="T1628" s="9"/>
      <c r="U1628" s="9"/>
      <c r="V1628" s="9"/>
      <c r="W1628" s="9"/>
    </row>
    <row r="1629" spans="1:23" ht="14.4">
      <c r="A1629" s="3">
        <f>LOOKUP(D1629,'AMFI DATA_2023H1'!B:C,'AMFI DATA_2023H1'!C:C)</f>
        <v>152</v>
      </c>
      <c r="B1629" s="4" t="s">
        <v>375</v>
      </c>
      <c r="C1629" s="4" t="s">
        <v>376</v>
      </c>
      <c r="D1629" s="5" t="s">
        <v>377</v>
      </c>
      <c r="E1629" s="5">
        <f>LOOKUP(D1629,'AMFI DATA_2023H1'!B:D,'AMFI DATA_2023H1'!D:D)</f>
        <v>34108.06</v>
      </c>
      <c r="F1629" s="7">
        <f t="shared" si="6"/>
        <v>0.66421074666808977</v>
      </c>
      <c r="G1629" s="8">
        <v>56763</v>
      </c>
      <c r="H1629" s="8">
        <v>57274</v>
      </c>
      <c r="I1629" s="8">
        <v>57200</v>
      </c>
      <c r="J1629" s="8">
        <v>58851</v>
      </c>
      <c r="K1629" s="8">
        <v>58318</v>
      </c>
      <c r="L1629" s="8">
        <v>57674</v>
      </c>
      <c r="M1629" s="8"/>
      <c r="N1629" s="8"/>
      <c r="O1629" s="8"/>
      <c r="P1629" s="8"/>
      <c r="Q1629" s="9">
        <f ca="1">IFERROR(__xludf.DUMMYFUNCTION("GOOGLEFINANCE(C1629,""changepct"")"),3.76)</f>
        <v>3.76</v>
      </c>
      <c r="R1629" s="8"/>
      <c r="S1629" s="8"/>
      <c r="T1629" s="8"/>
      <c r="U1629" s="8"/>
      <c r="V1629" s="8"/>
      <c r="W1629" s="8"/>
    </row>
    <row r="1630" spans="1:23" ht="14.4">
      <c r="A1630" s="3">
        <f>LOOKUP(D1630,'AMFI DATA_2023H1'!B:C,'AMFI DATA_2023H1'!C:C)</f>
        <v>2535</v>
      </c>
      <c r="B1630" s="4" t="s">
        <v>5335</v>
      </c>
      <c r="C1630" s="4" t="s">
        <v>5336</v>
      </c>
      <c r="D1630" s="5" t="s">
        <v>5337</v>
      </c>
      <c r="E1630" s="5">
        <f>LOOKUP(D1630,'AMFI DATA_2023H1'!B:D,'AMFI DATA_2023H1'!D:D)</f>
        <v>59.8</v>
      </c>
      <c r="F1630" s="7">
        <f t="shared" si="6"/>
        <v>1.2742474916387962</v>
      </c>
      <c r="G1630" s="9">
        <v>136</v>
      </c>
      <c r="H1630" s="9">
        <v>133</v>
      </c>
      <c r="I1630" s="9">
        <v>131</v>
      </c>
      <c r="J1630" s="9">
        <v>128</v>
      </c>
      <c r="K1630" s="9">
        <v>131</v>
      </c>
      <c r="L1630" s="9">
        <v>126</v>
      </c>
      <c r="M1630" s="9"/>
      <c r="N1630" s="9"/>
      <c r="O1630" s="9"/>
      <c r="P1630" s="9"/>
      <c r="Q1630" s="9">
        <f ca="1">IFERROR(__xludf.DUMMYFUNCTION("GOOGLEFINANCE(C1630,""changepct"")"),-3.95)</f>
        <v>-3.95</v>
      </c>
      <c r="R1630" s="9"/>
      <c r="S1630" s="9"/>
      <c r="T1630" s="9"/>
      <c r="U1630" s="9"/>
      <c r="V1630" s="9"/>
      <c r="W1630" s="9"/>
    </row>
    <row r="1631" spans="1:23" ht="14.4">
      <c r="A1631" s="3">
        <f>LOOKUP(D1631,'AMFI DATA_2023H1'!B:C,'AMFI DATA_2023H1'!C:C)</f>
        <v>413</v>
      </c>
      <c r="B1631" s="4" t="s">
        <v>1275</v>
      </c>
      <c r="C1631" s="4" t="s">
        <v>1276</v>
      </c>
      <c r="D1631" s="5" t="s">
        <v>1277</v>
      </c>
      <c r="E1631" s="5">
        <f>LOOKUP(D1631,'AMFI DATA_2023H1'!B:D,'AMFI DATA_2023H1'!D:D)</f>
        <v>7159.18</v>
      </c>
      <c r="F1631" s="7">
        <f t="shared" si="6"/>
        <v>0.45896597096315483</v>
      </c>
      <c r="G1631" s="8">
        <v>10445</v>
      </c>
      <c r="H1631" s="8">
        <v>10493</v>
      </c>
      <c r="I1631" s="8">
        <v>10504</v>
      </c>
      <c r="J1631" s="8">
        <v>10303</v>
      </c>
      <c r="K1631" s="8">
        <v>10401</v>
      </c>
      <c r="L1631" s="8">
        <v>10506</v>
      </c>
      <c r="M1631" s="8"/>
      <c r="N1631" s="8"/>
      <c r="O1631" s="8"/>
      <c r="P1631" s="8"/>
      <c r="Q1631" s="9">
        <f ca="1">IFERROR(__xludf.DUMMYFUNCTION("GOOGLEFINANCE(C1631,""changepct"")"),2.04)</f>
        <v>2.04</v>
      </c>
      <c r="R1631" s="8"/>
      <c r="S1631" s="8"/>
      <c r="T1631" s="8"/>
      <c r="U1631" s="8"/>
      <c r="V1631" s="8"/>
      <c r="W1631" s="8"/>
    </row>
    <row r="1632" spans="1:23" ht="14.4">
      <c r="A1632" s="3">
        <f>LOOKUP(D1632,'AMFI DATA_2023H1'!B:C,'AMFI DATA_2023H1'!C:C)</f>
        <v>825</v>
      </c>
      <c r="B1632" s="4" t="s">
        <v>2621</v>
      </c>
      <c r="C1632" s="4" t="s">
        <v>2622</v>
      </c>
      <c r="D1632" s="5" t="s">
        <v>2623</v>
      </c>
      <c r="E1632" s="5">
        <f>LOOKUP(D1632,'AMFI DATA_2023H1'!B:D,'AMFI DATA_2023H1'!D:D)</f>
        <v>1790.52</v>
      </c>
      <c r="F1632" s="7">
        <f t="shared" si="6"/>
        <v>0.41746531733798009</v>
      </c>
      <c r="G1632" s="8">
        <v>2538</v>
      </c>
      <c r="H1632" s="8">
        <v>2535</v>
      </c>
      <c r="I1632" s="8">
        <v>2545</v>
      </c>
      <c r="J1632" s="8">
        <v>2541</v>
      </c>
      <c r="K1632" s="8">
        <v>2547</v>
      </c>
      <c r="L1632" s="8">
        <v>2391</v>
      </c>
      <c r="M1632" s="8"/>
      <c r="N1632" s="8"/>
      <c r="O1632" s="8"/>
      <c r="P1632" s="8"/>
      <c r="Q1632" s="9">
        <f ca="1">IFERROR(__xludf.DUMMYFUNCTION("GOOGLEFINANCE(C1632,""changepct"")"),1.9)</f>
        <v>1.9</v>
      </c>
      <c r="R1632" s="8"/>
      <c r="S1632" s="8"/>
      <c r="T1632" s="8"/>
      <c r="U1632" s="8"/>
      <c r="V1632" s="8"/>
      <c r="W1632" s="8"/>
    </row>
    <row r="1633" spans="1:23" ht="14.4">
      <c r="A1633" s="3">
        <f>LOOKUP(D1633,'AMFI DATA_2023H1'!B:C,'AMFI DATA_2023H1'!C:C)</f>
        <v>2227</v>
      </c>
      <c r="B1633" s="4" t="s">
        <v>5048</v>
      </c>
      <c r="C1633" s="4" t="s">
        <v>5049</v>
      </c>
      <c r="D1633" s="5" t="s">
        <v>5050</v>
      </c>
      <c r="E1633" s="5">
        <f>LOOKUP(D1633,'AMFI DATA_2023H1'!B:D,'AMFI DATA_2023H1'!D:D)</f>
        <v>98.84</v>
      </c>
      <c r="F1633" s="7">
        <f t="shared" si="6"/>
        <v>0.64912990692027517</v>
      </c>
      <c r="G1633" s="9">
        <v>163</v>
      </c>
      <c r="H1633" s="9">
        <v>165</v>
      </c>
      <c r="I1633" s="9">
        <v>160</v>
      </c>
      <c r="J1633" s="9">
        <v>161</v>
      </c>
      <c r="K1633" s="9">
        <v>162</v>
      </c>
      <c r="L1633" s="9">
        <v>160</v>
      </c>
      <c r="M1633" s="9"/>
      <c r="N1633" s="9"/>
      <c r="O1633" s="9"/>
      <c r="P1633" s="9"/>
      <c r="Q1633" s="9">
        <f ca="1">IFERROR(__xludf.DUMMYFUNCTION("GOOGLEFINANCE(C1633,""changepct"")"),10.21)</f>
        <v>10.210000000000001</v>
      </c>
      <c r="R1633" s="9"/>
      <c r="S1633" s="9"/>
      <c r="T1633" s="9"/>
      <c r="U1633" s="9"/>
      <c r="V1633" s="9"/>
      <c r="W1633" s="9"/>
    </row>
    <row r="1634" spans="1:23" ht="14.4">
      <c r="A1634" s="3">
        <f>LOOKUP(D1634,'AMFI DATA_2023H1'!B:C,'AMFI DATA_2023H1'!C:C)</f>
        <v>2042</v>
      </c>
      <c r="B1634" s="4" t="s">
        <v>4916</v>
      </c>
      <c r="C1634" s="4" t="s">
        <v>4917</v>
      </c>
      <c r="D1634" s="5" t="s">
        <v>4918</v>
      </c>
      <c r="E1634" s="5">
        <f>LOOKUP(D1634,'AMFI DATA_2023H1'!B:D,'AMFI DATA_2023H1'!D:D)</f>
        <v>132.52000000000001</v>
      </c>
      <c r="F1634" s="7">
        <f t="shared" si="6"/>
        <v>0.62239661937820689</v>
      </c>
      <c r="G1634" s="9">
        <v>215</v>
      </c>
      <c r="H1634" s="9">
        <v>208</v>
      </c>
      <c r="I1634" s="9">
        <v>208</v>
      </c>
      <c r="J1634" s="9">
        <v>208</v>
      </c>
      <c r="K1634" s="9">
        <v>218</v>
      </c>
      <c r="L1634" s="9">
        <v>219</v>
      </c>
      <c r="M1634" s="9"/>
      <c r="N1634" s="9"/>
      <c r="O1634" s="9"/>
      <c r="P1634" s="9"/>
      <c r="Q1634" s="9">
        <f ca="1">IFERROR(__xludf.DUMMYFUNCTION("GOOGLEFINANCE(C1634,""changepct"")"),0.31)</f>
        <v>0.31</v>
      </c>
      <c r="R1634" s="9"/>
      <c r="S1634" s="9"/>
      <c r="T1634" s="9"/>
      <c r="U1634" s="9"/>
      <c r="V1634" s="9"/>
      <c r="W1634" s="9"/>
    </row>
    <row r="1635" spans="1:23" ht="14.4">
      <c r="A1635" s="3">
        <f>LOOKUP(D1635,'AMFI DATA_2023H1'!B:C,'AMFI DATA_2023H1'!C:C)</f>
        <v>1486</v>
      </c>
      <c r="B1635" s="4" t="s">
        <v>3791</v>
      </c>
      <c r="C1635" s="4" t="s">
        <v>3792</v>
      </c>
      <c r="D1635" s="5" t="s">
        <v>3793</v>
      </c>
      <c r="E1635" s="5">
        <f>LOOKUP(D1635,'AMFI DATA_2023H1'!B:D,'AMFI DATA_2023H1'!D:D)</f>
        <v>354.99</v>
      </c>
      <c r="F1635" s="7">
        <f t="shared" si="6"/>
        <v>1.9521958365024368</v>
      </c>
      <c r="G1635" s="9">
        <v>1048</v>
      </c>
      <c r="H1635" s="9">
        <v>1041</v>
      </c>
      <c r="I1635" s="9">
        <v>1031</v>
      </c>
      <c r="J1635" s="9">
        <v>992</v>
      </c>
      <c r="K1635" s="9">
        <v>961</v>
      </c>
      <c r="L1635" s="9">
        <v>938</v>
      </c>
      <c r="M1635" s="9"/>
      <c r="N1635" s="9"/>
      <c r="O1635" s="9"/>
      <c r="P1635" s="9"/>
      <c r="Q1635" s="9">
        <f ca="1">IFERROR(__xludf.DUMMYFUNCTION("GOOGLEFINANCE(C1635,""changepct"")"),-0.98)</f>
        <v>-0.98</v>
      </c>
      <c r="R1635" s="9"/>
      <c r="S1635" s="9"/>
      <c r="T1635" s="9"/>
      <c r="U1635" s="9"/>
      <c r="V1635" s="9"/>
      <c r="W1635" s="9"/>
    </row>
    <row r="1636" spans="1:23" ht="14.4">
      <c r="A1636" s="3">
        <f>LOOKUP(D1636,'AMFI DATA_2023H1'!B:C,'AMFI DATA_2023H1'!C:C)</f>
        <v>585</v>
      </c>
      <c r="B1636" s="4" t="s">
        <v>1785</v>
      </c>
      <c r="C1636" s="4" t="s">
        <v>1786</v>
      </c>
      <c r="D1636" s="5" t="s">
        <v>1787</v>
      </c>
      <c r="E1636" s="5">
        <f>LOOKUP(D1636,'AMFI DATA_2023H1'!B:D,'AMFI DATA_2023H1'!D:D)</f>
        <v>3892.18</v>
      </c>
      <c r="F1636" s="7">
        <f t="shared" si="6"/>
        <v>1.2301126874913288</v>
      </c>
      <c r="G1636" s="8">
        <v>8680</v>
      </c>
      <c r="H1636" s="8">
        <v>8488</v>
      </c>
      <c r="I1636" s="8">
        <v>7088</v>
      </c>
      <c r="J1636" s="8">
        <v>7066</v>
      </c>
      <c r="K1636" s="8">
        <v>7155</v>
      </c>
      <c r="L1636" s="8">
        <v>6595</v>
      </c>
      <c r="M1636" s="8"/>
      <c r="N1636" s="8"/>
      <c r="O1636" s="8"/>
      <c r="P1636" s="8"/>
      <c r="Q1636" s="9">
        <f ca="1">IFERROR(__xludf.DUMMYFUNCTION("GOOGLEFINANCE(C1636,""changepct"")"),-0.99)</f>
        <v>-0.99</v>
      </c>
      <c r="R1636" s="8"/>
      <c r="S1636" s="8"/>
      <c r="T1636" s="8"/>
      <c r="U1636" s="8"/>
      <c r="V1636" s="8"/>
      <c r="W1636" s="8"/>
    </row>
    <row r="1637" spans="1:23" ht="14.4">
      <c r="A1637" s="3">
        <f>LOOKUP(D1637,'AMFI DATA_2023H1'!B:C,'AMFI DATA_2023H1'!C:C)</f>
        <v>2182</v>
      </c>
      <c r="B1637" s="4" t="s">
        <v>5072</v>
      </c>
      <c r="C1637" s="4" t="s">
        <v>5073</v>
      </c>
      <c r="D1637" s="5" t="s">
        <v>5074</v>
      </c>
      <c r="E1637" s="5">
        <f>LOOKUP(D1637,'AMFI DATA_2023H1'!B:D,'AMFI DATA_2023H1'!D:D)</f>
        <v>106.53</v>
      </c>
      <c r="F1637" s="7">
        <f t="shared" si="6"/>
        <v>0.31418379799117613</v>
      </c>
      <c r="G1637" s="9">
        <v>140</v>
      </c>
      <c r="H1637" s="9">
        <v>143</v>
      </c>
      <c r="I1637" s="9">
        <v>146</v>
      </c>
      <c r="J1637" s="9">
        <v>150</v>
      </c>
      <c r="K1637" s="9">
        <v>148</v>
      </c>
      <c r="L1637" s="9">
        <v>137</v>
      </c>
      <c r="M1637" s="9"/>
      <c r="N1637" s="9"/>
      <c r="O1637" s="9"/>
      <c r="P1637" s="9"/>
      <c r="Q1637" s="9">
        <f ca="1">IFERROR(__xludf.DUMMYFUNCTION("GOOGLEFINANCE(C1637,""changepct"")"),1.81)</f>
        <v>1.81</v>
      </c>
      <c r="R1637" s="9"/>
      <c r="S1637" s="9"/>
      <c r="T1637" s="9"/>
      <c r="U1637" s="9"/>
      <c r="V1637" s="9"/>
      <c r="W1637" s="9"/>
    </row>
    <row r="1638" spans="1:23" ht="14.4">
      <c r="A1638" s="3">
        <f>LOOKUP(D1638,'AMFI DATA_2023H1'!B:C,'AMFI DATA_2023H1'!C:C)</f>
        <v>976</v>
      </c>
      <c r="B1638" s="4" t="s">
        <v>2822</v>
      </c>
      <c r="C1638" s="4" t="s">
        <v>2823</v>
      </c>
      <c r="D1638" s="5" t="s">
        <v>2824</v>
      </c>
      <c r="E1638" s="5">
        <f>LOOKUP(D1638,'AMFI DATA_2023H1'!B:D,'AMFI DATA_2023H1'!D:D)</f>
        <v>1255.06</v>
      </c>
      <c r="F1638" s="7">
        <f t="shared" si="6"/>
        <v>0.32583302790304858</v>
      </c>
      <c r="G1638" s="8">
        <v>1664</v>
      </c>
      <c r="H1638" s="8">
        <v>1667</v>
      </c>
      <c r="I1638" s="8">
        <v>1658</v>
      </c>
      <c r="J1638" s="8">
        <v>1664</v>
      </c>
      <c r="K1638" s="8">
        <v>1667</v>
      </c>
      <c r="L1638" s="8">
        <v>1665</v>
      </c>
      <c r="M1638" s="8"/>
      <c r="N1638" s="8"/>
      <c r="O1638" s="8"/>
      <c r="P1638" s="8"/>
      <c r="Q1638" s="9">
        <f ca="1">IFERROR(__xludf.DUMMYFUNCTION("GOOGLEFINANCE(C1638,""changepct"")"),-2.41)</f>
        <v>-2.41</v>
      </c>
      <c r="R1638" s="8"/>
      <c r="S1638" s="8"/>
      <c r="T1638" s="8"/>
      <c r="U1638" s="8"/>
      <c r="V1638" s="8"/>
      <c r="W1638" s="8"/>
    </row>
    <row r="1639" spans="1:23" ht="14.4">
      <c r="A1639" s="3">
        <f>LOOKUP(D1639,'AMFI DATA_2023H1'!B:C,'AMFI DATA_2023H1'!C:C)</f>
        <v>1135</v>
      </c>
      <c r="B1639" s="4" t="s">
        <v>3476</v>
      </c>
      <c r="C1639" s="4" t="s">
        <v>3477</v>
      </c>
      <c r="D1639" s="5" t="s">
        <v>3478</v>
      </c>
      <c r="E1639" s="5">
        <f>LOOKUP(D1639,'AMFI DATA_2023H1'!B:D,'AMFI DATA_2023H1'!D:D)</f>
        <v>817.84</v>
      </c>
      <c r="F1639" s="7">
        <f t="shared" si="6"/>
        <v>0.18605106133228988</v>
      </c>
      <c r="G1639" s="8">
        <v>970</v>
      </c>
      <c r="H1639" s="8">
        <v>953</v>
      </c>
      <c r="I1639" s="8">
        <v>949</v>
      </c>
      <c r="J1639" s="8">
        <v>965</v>
      </c>
      <c r="K1639" s="8">
        <v>985</v>
      </c>
      <c r="L1639" s="8">
        <v>1011</v>
      </c>
      <c r="M1639" s="8"/>
      <c r="N1639" s="8"/>
      <c r="O1639" s="8"/>
      <c r="P1639" s="8"/>
      <c r="Q1639" s="9">
        <f ca="1">IFERROR(__xludf.DUMMYFUNCTION("GOOGLEFINANCE(C1639,""changepct"")"),3.84)</f>
        <v>3.84</v>
      </c>
      <c r="R1639" s="8"/>
      <c r="S1639" s="8"/>
      <c r="T1639" s="8"/>
      <c r="U1639" s="8"/>
      <c r="V1639" s="8"/>
      <c r="W1639" s="8"/>
    </row>
    <row r="1640" spans="1:23" ht="14.4">
      <c r="A1640" s="3">
        <f>LOOKUP(D1640,'AMFI DATA_2023H1'!B:C,'AMFI DATA_2023H1'!C:C)</f>
        <v>2149</v>
      </c>
      <c r="B1640" s="4" t="s">
        <v>5476</v>
      </c>
      <c r="C1640" s="4" t="s">
        <v>5477</v>
      </c>
      <c r="D1640" s="5" t="s">
        <v>5478</v>
      </c>
      <c r="E1640" s="5">
        <f>LOOKUP(D1640,'AMFI DATA_2023H1'!B:D,'AMFI DATA_2023H1'!D:D)</f>
        <v>113.2</v>
      </c>
      <c r="F1640" s="7">
        <f t="shared" si="6"/>
        <v>-0.55918727915194344</v>
      </c>
      <c r="G1640" s="9">
        <v>49.9</v>
      </c>
      <c r="H1640" s="9">
        <v>50.2</v>
      </c>
      <c r="I1640" s="9">
        <v>50.2</v>
      </c>
      <c r="J1640" s="9">
        <v>49.6</v>
      </c>
      <c r="K1640" s="9">
        <v>49.6</v>
      </c>
      <c r="L1640" s="9">
        <v>50.5</v>
      </c>
      <c r="M1640" s="9"/>
      <c r="N1640" s="9"/>
      <c r="O1640" s="9"/>
      <c r="P1640" s="9"/>
      <c r="Q1640" s="9">
        <f ca="1">IFERROR(__xludf.DUMMYFUNCTION("GOOGLEFINANCE(C1640,""changepct"")"),3.51)</f>
        <v>3.51</v>
      </c>
      <c r="R1640" s="9"/>
      <c r="S1640" s="9"/>
      <c r="T1640" s="9"/>
      <c r="U1640" s="9"/>
      <c r="V1640" s="9"/>
      <c r="W1640" s="9"/>
    </row>
    <row r="1641" spans="1:23" ht="14.4">
      <c r="A1641" s="3">
        <f>LOOKUP(D1641,'AMFI DATA_2023H1'!B:C,'AMFI DATA_2023H1'!C:C)</f>
        <v>966</v>
      </c>
      <c r="B1641" s="4" t="s">
        <v>2945</v>
      </c>
      <c r="C1641" s="4" t="s">
        <v>2946</v>
      </c>
      <c r="D1641" s="5" t="s">
        <v>2947</v>
      </c>
      <c r="E1641" s="5">
        <f>LOOKUP(D1641,'AMFI DATA_2023H1'!B:D,'AMFI DATA_2023H1'!D:D)</f>
        <v>1271.04</v>
      </c>
      <c r="F1641" s="7">
        <f t="shared" si="6"/>
        <v>0.40986908358509577</v>
      </c>
      <c r="G1641" s="8">
        <v>1792</v>
      </c>
      <c r="H1641" s="8">
        <v>1755</v>
      </c>
      <c r="I1641" s="8">
        <v>1749</v>
      </c>
      <c r="J1641" s="8">
        <v>1784</v>
      </c>
      <c r="K1641" s="8">
        <v>1779</v>
      </c>
      <c r="L1641" s="8">
        <v>1724</v>
      </c>
      <c r="M1641" s="8"/>
      <c r="N1641" s="8"/>
      <c r="O1641" s="8"/>
      <c r="P1641" s="8"/>
      <c r="Q1641" s="9">
        <f ca="1">IFERROR(__xludf.DUMMYFUNCTION("GOOGLEFINANCE(C1641,""changepct"")"),1.1)</f>
        <v>1.1000000000000001</v>
      </c>
      <c r="R1641" s="8"/>
      <c r="S1641" s="8"/>
      <c r="T1641" s="8"/>
      <c r="U1641" s="8"/>
      <c r="V1641" s="8"/>
      <c r="W1641" s="8"/>
    </row>
    <row r="1642" spans="1:23" ht="14.4">
      <c r="A1642" s="3">
        <f>LOOKUP(D1642,'AMFI DATA_2023H1'!B:C,'AMFI DATA_2023H1'!C:C)</f>
        <v>303</v>
      </c>
      <c r="B1642" s="4" t="s">
        <v>984</v>
      </c>
      <c r="C1642" s="4" t="s">
        <v>985</v>
      </c>
      <c r="D1642" s="5" t="s">
        <v>986</v>
      </c>
      <c r="E1642" s="5">
        <f>LOOKUP(D1642,'AMFI DATA_2023H1'!B:D,'AMFI DATA_2023H1'!D:D)</f>
        <v>12205.57</v>
      </c>
      <c r="F1642" s="7">
        <f t="shared" si="6"/>
        <v>0.52250161196896183</v>
      </c>
      <c r="G1642" s="8">
        <v>18583</v>
      </c>
      <c r="H1642" s="8">
        <v>18558</v>
      </c>
      <c r="I1642" s="8">
        <v>17792</v>
      </c>
      <c r="J1642" s="8">
        <v>17729</v>
      </c>
      <c r="K1642" s="8">
        <v>17952</v>
      </c>
      <c r="L1642" s="8">
        <v>18128</v>
      </c>
      <c r="M1642" s="8"/>
      <c r="N1642" s="8"/>
      <c r="O1642" s="8"/>
      <c r="P1642" s="8"/>
      <c r="Q1642" s="9">
        <f ca="1">IFERROR(__xludf.DUMMYFUNCTION("GOOGLEFINANCE(C1642,""changepct"")"),4.02)</f>
        <v>4.0199999999999996</v>
      </c>
      <c r="R1642" s="8"/>
      <c r="S1642" s="8"/>
      <c r="T1642" s="8"/>
      <c r="U1642" s="8"/>
      <c r="V1642" s="8"/>
      <c r="W1642" s="8"/>
    </row>
    <row r="1643" spans="1:23" ht="14.4">
      <c r="A1643" s="3">
        <f>LOOKUP(D1643,'AMFI DATA_2023H1'!B:C,'AMFI DATA_2023H1'!C:C)</f>
        <v>2303</v>
      </c>
      <c r="B1643" s="4" t="s">
        <v>5174</v>
      </c>
      <c r="C1643" s="4" t="s">
        <v>5175</v>
      </c>
      <c r="D1643" s="5" t="s">
        <v>5176</v>
      </c>
      <c r="E1643" s="5">
        <f>LOOKUP(D1643,'AMFI DATA_2023H1'!B:D,'AMFI DATA_2023H1'!D:D)</f>
        <v>86.87</v>
      </c>
      <c r="F1643" s="7">
        <f t="shared" si="6"/>
        <v>1.474962587774836</v>
      </c>
      <c r="G1643" s="9">
        <v>215</v>
      </c>
      <c r="H1643" s="9">
        <v>219</v>
      </c>
      <c r="I1643" s="9">
        <v>209</v>
      </c>
      <c r="J1643" s="9">
        <v>199</v>
      </c>
      <c r="K1643" s="9">
        <v>188</v>
      </c>
      <c r="L1643" s="9">
        <v>180</v>
      </c>
      <c r="M1643" s="9"/>
      <c r="N1643" s="9"/>
      <c r="O1643" s="9"/>
      <c r="P1643" s="9"/>
      <c r="Q1643" s="9">
        <f ca="1">IFERROR(__xludf.DUMMYFUNCTION("GOOGLEFINANCE(C1643,""changepct"")"),-3.68)</f>
        <v>-3.68</v>
      </c>
      <c r="R1643" s="9"/>
      <c r="S1643" s="9"/>
      <c r="T1643" s="9"/>
      <c r="U1643" s="9"/>
      <c r="V1643" s="9"/>
      <c r="W1643" s="9"/>
    </row>
    <row r="1644" spans="1:23" ht="14.4">
      <c r="A1644" s="3">
        <f>LOOKUP(D1644,'AMFI DATA_2023H1'!B:C,'AMFI DATA_2023H1'!C:C)</f>
        <v>333</v>
      </c>
      <c r="B1644" s="4" t="s">
        <v>513</v>
      </c>
      <c r="C1644" s="4" t="s">
        <v>514</v>
      </c>
      <c r="D1644" s="5" t="s">
        <v>515</v>
      </c>
      <c r="E1644" s="5">
        <f>LOOKUP(D1644,'AMFI DATA_2023H1'!B:D,'AMFI DATA_2023H1'!D:D)</f>
        <v>10634.65</v>
      </c>
      <c r="F1644" s="7">
        <f t="shared" si="6"/>
        <v>3.8726568340283887</v>
      </c>
      <c r="G1644" s="8">
        <v>51819</v>
      </c>
      <c r="H1644" s="8">
        <v>51415</v>
      </c>
      <c r="I1644" s="8">
        <v>51428</v>
      </c>
      <c r="J1644" s="8">
        <v>49893</v>
      </c>
      <c r="K1644" s="8">
        <v>49745</v>
      </c>
      <c r="L1644" s="8">
        <v>50163</v>
      </c>
      <c r="M1644" s="8"/>
      <c r="N1644" s="8"/>
      <c r="O1644" s="8"/>
      <c r="P1644" s="8"/>
      <c r="Q1644" s="9">
        <f ca="1">IFERROR(__xludf.DUMMYFUNCTION("GOOGLEFINANCE(C1644,""changepct"")"),-2.1)</f>
        <v>-2.1</v>
      </c>
      <c r="R1644" s="8"/>
      <c r="S1644" s="8"/>
      <c r="T1644" s="8"/>
      <c r="U1644" s="8"/>
      <c r="V1644" s="8"/>
      <c r="W1644" s="8"/>
    </row>
    <row r="1645" spans="1:23" ht="14.4">
      <c r="A1645" s="3">
        <f>LOOKUP(D1645,'AMFI DATA_2023H1'!B:C,'AMFI DATA_2023H1'!C:C)</f>
        <v>1720</v>
      </c>
      <c r="B1645" s="4" t="s">
        <v>5120</v>
      </c>
      <c r="C1645" s="4" t="s">
        <v>5121</v>
      </c>
      <c r="D1645" s="5" t="s">
        <v>5122</v>
      </c>
      <c r="E1645" s="5">
        <f>LOOKUP(D1645,'AMFI DATA_2023H1'!B:D,'AMFI DATA_2023H1'!D:D)</f>
        <v>231.38</v>
      </c>
      <c r="F1645" s="7">
        <f t="shared" si="6"/>
        <v>-0.46840694960670759</v>
      </c>
      <c r="G1645" s="9">
        <v>123</v>
      </c>
      <c r="H1645" s="9">
        <v>125</v>
      </c>
      <c r="I1645" s="9">
        <v>128</v>
      </c>
      <c r="J1645" s="9">
        <v>130</v>
      </c>
      <c r="K1645" s="9">
        <v>134</v>
      </c>
      <c r="L1645" s="9">
        <v>129</v>
      </c>
      <c r="M1645" s="9"/>
      <c r="N1645" s="9"/>
      <c r="O1645" s="9"/>
      <c r="P1645" s="9"/>
      <c r="Q1645" s="9">
        <f ca="1">IFERROR(__xludf.DUMMYFUNCTION("GOOGLEFINANCE(C1645,""changepct"")"),-1.65)</f>
        <v>-1.65</v>
      </c>
      <c r="R1645" s="9"/>
      <c r="S1645" s="9"/>
      <c r="T1645" s="9"/>
      <c r="U1645" s="9"/>
      <c r="V1645" s="9"/>
      <c r="W1645" s="9"/>
    </row>
    <row r="1646" spans="1:23" ht="14.4">
      <c r="A1646" s="3">
        <f>LOOKUP(D1646,'AMFI DATA_2023H1'!B:C,'AMFI DATA_2023H1'!C:C)</f>
        <v>426</v>
      </c>
      <c r="B1646" s="4" t="s">
        <v>1344</v>
      </c>
      <c r="C1646" s="4" t="s">
        <v>1345</v>
      </c>
      <c r="D1646" s="5" t="s">
        <v>1346</v>
      </c>
      <c r="E1646" s="5">
        <f>LOOKUP(D1646,'AMFI DATA_2023H1'!B:D,'AMFI DATA_2023H1'!D:D)</f>
        <v>6828.52</v>
      </c>
      <c r="F1646" s="7">
        <f t="shared" si="6"/>
        <v>0.96382232167438908</v>
      </c>
      <c r="G1646" s="8">
        <v>13410</v>
      </c>
      <c r="H1646" s="8">
        <v>13461</v>
      </c>
      <c r="I1646" s="8">
        <v>13551</v>
      </c>
      <c r="J1646" s="8">
        <v>13427</v>
      </c>
      <c r="K1646" s="8">
        <v>13293</v>
      </c>
      <c r="L1646" s="8">
        <v>13365</v>
      </c>
      <c r="M1646" s="8"/>
      <c r="N1646" s="8"/>
      <c r="O1646" s="8"/>
      <c r="P1646" s="8"/>
      <c r="Q1646" s="9">
        <f ca="1">IFERROR(__xludf.DUMMYFUNCTION("GOOGLEFINANCE(C1646,""changepct"")"),8.97)</f>
        <v>8.9700000000000006</v>
      </c>
      <c r="R1646" s="8"/>
      <c r="S1646" s="8"/>
      <c r="T1646" s="8"/>
      <c r="U1646" s="8"/>
      <c r="V1646" s="8"/>
      <c r="W1646" s="8"/>
    </row>
    <row r="1647" spans="1:23" ht="14.4">
      <c r="A1647" s="3">
        <f>LOOKUP(D1647,'AMFI DATA_2023H1'!B:C,'AMFI DATA_2023H1'!C:C)</f>
        <v>775</v>
      </c>
      <c r="B1647" s="4" t="s">
        <v>2450</v>
      </c>
      <c r="C1647" s="4" t="s">
        <v>2451</v>
      </c>
      <c r="D1647" s="5" t="s">
        <v>2452</v>
      </c>
      <c r="E1647" s="5">
        <f>LOOKUP(D1647,'AMFI DATA_2023H1'!B:D,'AMFI DATA_2023H1'!D:D)</f>
        <v>2072</v>
      </c>
      <c r="F1647" s="7">
        <f t="shared" si="6"/>
        <v>0.40685328185328196</v>
      </c>
      <c r="G1647" s="8">
        <v>2915</v>
      </c>
      <c r="H1647" s="8">
        <v>2954</v>
      </c>
      <c r="I1647" s="8">
        <v>3002</v>
      </c>
      <c r="J1647" s="8">
        <v>3013</v>
      </c>
      <c r="K1647" s="8">
        <v>3033</v>
      </c>
      <c r="L1647" s="8">
        <v>2972</v>
      </c>
      <c r="M1647" s="8"/>
      <c r="N1647" s="8"/>
      <c r="O1647" s="8"/>
      <c r="P1647" s="8"/>
      <c r="Q1647" s="9">
        <f ca="1">IFERROR(__xludf.DUMMYFUNCTION("GOOGLEFINANCE(C1647,""changepct"")"),2.05)</f>
        <v>2.0499999999999998</v>
      </c>
      <c r="R1647" s="8"/>
      <c r="S1647" s="8"/>
      <c r="T1647" s="8"/>
      <c r="U1647" s="8"/>
      <c r="V1647" s="8"/>
      <c r="W1647" s="8"/>
    </row>
    <row r="1648" spans="1:23" ht="14.4">
      <c r="A1648" s="3">
        <f>LOOKUP(D1648,'AMFI DATA_2023H1'!B:C,'AMFI DATA_2023H1'!C:C)</f>
        <v>1319</v>
      </c>
      <c r="B1648" s="4" t="s">
        <v>3527</v>
      </c>
      <c r="C1648" s="4" t="s">
        <v>3528</v>
      </c>
      <c r="D1648" s="5" t="s">
        <v>3529</v>
      </c>
      <c r="E1648" s="5">
        <f>LOOKUP(D1648,'AMFI DATA_2023H1'!B:D,'AMFI DATA_2023H1'!D:D)</f>
        <v>491.12</v>
      </c>
      <c r="F1648" s="7">
        <f t="shared" si="6"/>
        <v>0.95471575175109957</v>
      </c>
      <c r="G1648" s="9">
        <v>960</v>
      </c>
      <c r="H1648" s="9">
        <v>805</v>
      </c>
      <c r="I1648" s="9">
        <v>804</v>
      </c>
      <c r="J1648" s="9">
        <v>835</v>
      </c>
      <c r="K1648" s="9">
        <v>847</v>
      </c>
      <c r="L1648" s="9">
        <v>807</v>
      </c>
      <c r="M1648" s="9"/>
      <c r="N1648" s="9"/>
      <c r="O1648" s="9"/>
      <c r="P1648" s="9"/>
      <c r="Q1648" s="9">
        <f ca="1">IFERROR(__xludf.DUMMYFUNCTION("GOOGLEFINANCE(C1648,""changepct"")"),2.69)</f>
        <v>2.69</v>
      </c>
      <c r="R1648" s="9"/>
      <c r="S1648" s="9"/>
      <c r="T1648" s="9"/>
      <c r="U1648" s="9"/>
      <c r="V1648" s="9"/>
      <c r="W1648" s="9"/>
    </row>
    <row r="1649" spans="1:23" ht="14.4">
      <c r="A1649" s="3">
        <f>LOOKUP(D1649,'AMFI DATA_2023H1'!B:C,'AMFI DATA_2023H1'!C:C)</f>
        <v>423</v>
      </c>
      <c r="B1649" s="4" t="s">
        <v>1680</v>
      </c>
      <c r="C1649" s="4" t="s">
        <v>1681</v>
      </c>
      <c r="D1649" s="5" t="s">
        <v>1682</v>
      </c>
      <c r="E1649" s="5">
        <f>LOOKUP(D1649,'AMFI DATA_2023H1'!B:D,'AMFI DATA_2023H1'!D:D)</f>
        <v>6879.65</v>
      </c>
      <c r="F1649" s="7">
        <f t="shared" si="6"/>
        <v>-0.11986801654153911</v>
      </c>
      <c r="G1649" s="8">
        <v>6055</v>
      </c>
      <c r="H1649" s="8">
        <v>6060</v>
      </c>
      <c r="I1649" s="8">
        <v>6054</v>
      </c>
      <c r="J1649" s="8">
        <v>6112</v>
      </c>
      <c r="K1649" s="8">
        <v>6083</v>
      </c>
      <c r="L1649" s="8">
        <v>6055</v>
      </c>
      <c r="M1649" s="8"/>
      <c r="N1649" s="8"/>
      <c r="O1649" s="8"/>
      <c r="P1649" s="8"/>
      <c r="Q1649" s="9">
        <f ca="1">IFERROR(__xludf.DUMMYFUNCTION("GOOGLEFINANCE(C1649,""changepct"")"),1.14)</f>
        <v>1.1399999999999999</v>
      </c>
      <c r="R1649" s="8"/>
      <c r="S1649" s="8"/>
      <c r="T1649" s="8"/>
      <c r="U1649" s="8"/>
      <c r="V1649" s="8"/>
      <c r="W1649" s="8"/>
    </row>
    <row r="1650" spans="1:23" ht="14.4">
      <c r="A1650" s="3">
        <f>LOOKUP(D1650,'AMFI DATA_2023H1'!B:C,'AMFI DATA_2023H1'!C:C)</f>
        <v>1221</v>
      </c>
      <c r="B1650" s="4" t="s">
        <v>3488</v>
      </c>
      <c r="C1650" s="4" t="s">
        <v>3489</v>
      </c>
      <c r="D1650" s="5" t="s">
        <v>3490</v>
      </c>
      <c r="E1650" s="5">
        <f>LOOKUP(D1650,'AMFI DATA_2023H1'!B:D,'AMFI DATA_2023H1'!D:D)</f>
        <v>655.86</v>
      </c>
      <c r="F1650" s="7">
        <f t="shared" si="6"/>
        <v>1.259628579269966</v>
      </c>
      <c r="G1650" s="8">
        <v>1482</v>
      </c>
      <c r="H1650" s="8">
        <v>1414</v>
      </c>
      <c r="I1650" s="8">
        <v>1394</v>
      </c>
      <c r="J1650" s="8">
        <v>1424</v>
      </c>
      <c r="K1650" s="8">
        <v>1332</v>
      </c>
      <c r="L1650" s="8">
        <v>1109</v>
      </c>
      <c r="M1650" s="8"/>
      <c r="N1650" s="8"/>
      <c r="O1650" s="8"/>
      <c r="P1650" s="8"/>
      <c r="Q1650" s="9">
        <f ca="1">IFERROR(__xludf.DUMMYFUNCTION("GOOGLEFINANCE(C1650,""changepct"")"),3.92)</f>
        <v>3.92</v>
      </c>
      <c r="R1650" s="8"/>
      <c r="S1650" s="8"/>
      <c r="T1650" s="8"/>
      <c r="U1650" s="8"/>
      <c r="V1650" s="8"/>
      <c r="W1650" s="8"/>
    </row>
    <row r="1651" spans="1:23" ht="14.4">
      <c r="A1651" s="3">
        <f>LOOKUP(D1651,'AMFI DATA_2023H1'!B:C,'AMFI DATA_2023H1'!C:C)</f>
        <v>1799</v>
      </c>
      <c r="B1651" s="4" t="s">
        <v>4307</v>
      </c>
      <c r="C1651" s="4" t="s">
        <v>4308</v>
      </c>
      <c r="D1651" s="5" t="s">
        <v>4309</v>
      </c>
      <c r="E1651" s="5">
        <f>LOOKUP(D1651,'AMFI DATA_2023H1'!B:D,'AMFI DATA_2023H1'!D:D)</f>
        <v>196.2</v>
      </c>
      <c r="F1651" s="7">
        <f t="shared" si="6"/>
        <v>1.3190621814475025</v>
      </c>
      <c r="G1651" s="9">
        <v>455</v>
      </c>
      <c r="H1651" s="9">
        <v>447</v>
      </c>
      <c r="I1651" s="9">
        <v>447</v>
      </c>
      <c r="J1651" s="9">
        <v>436</v>
      </c>
      <c r="K1651" s="9">
        <v>449</v>
      </c>
      <c r="L1651" s="9">
        <v>443</v>
      </c>
      <c r="M1651" s="9"/>
      <c r="N1651" s="9"/>
      <c r="O1651" s="9"/>
      <c r="P1651" s="9"/>
      <c r="Q1651" s="9">
        <f ca="1">IFERROR(__xludf.DUMMYFUNCTION("GOOGLEFINANCE(C1651,""changepct"")"),0.11)</f>
        <v>0.11</v>
      </c>
      <c r="R1651" s="9"/>
      <c r="S1651" s="9"/>
      <c r="T1651" s="9"/>
      <c r="U1651" s="9"/>
      <c r="V1651" s="9"/>
      <c r="W1651" s="9"/>
    </row>
    <row r="1652" spans="1:23" ht="14.4">
      <c r="A1652" s="3">
        <f>LOOKUP(D1652,'AMFI DATA_2023H1'!B:C,'AMFI DATA_2023H1'!C:C)</f>
        <v>190</v>
      </c>
      <c r="B1652" s="4" t="s">
        <v>615</v>
      </c>
      <c r="C1652" s="4" t="s">
        <v>616</v>
      </c>
      <c r="D1652" s="5" t="s">
        <v>617</v>
      </c>
      <c r="E1652" s="5">
        <f>LOOKUP(D1652,'AMFI DATA_2023H1'!B:D,'AMFI DATA_2023H1'!D:D)</f>
        <v>25494.09</v>
      </c>
      <c r="F1652" s="7">
        <f t="shared" si="6"/>
        <v>0.11959281543291023</v>
      </c>
      <c r="G1652" s="8">
        <v>28543</v>
      </c>
      <c r="H1652" s="8">
        <v>28187</v>
      </c>
      <c r="I1652" s="8">
        <v>28143</v>
      </c>
      <c r="J1652" s="8">
        <v>28018</v>
      </c>
      <c r="K1652" s="8">
        <v>28141</v>
      </c>
      <c r="L1652" s="8">
        <v>28348</v>
      </c>
      <c r="M1652" s="8"/>
      <c r="N1652" s="8"/>
      <c r="O1652" s="8"/>
      <c r="P1652" s="8"/>
      <c r="Q1652" s="9">
        <f ca="1">IFERROR(__xludf.DUMMYFUNCTION("GOOGLEFINANCE(C1652,""changepct"")"),-1.68)</f>
        <v>-1.68</v>
      </c>
      <c r="R1652" s="8"/>
      <c r="S1652" s="8"/>
      <c r="T1652" s="8"/>
      <c r="U1652" s="8"/>
      <c r="V1652" s="8"/>
      <c r="W1652" s="8"/>
    </row>
    <row r="1653" spans="1:23" ht="14.4">
      <c r="A1653" s="3">
        <f>LOOKUP(D1653,'AMFI DATA_2023H1'!B:C,'AMFI DATA_2023H1'!C:C)</f>
        <v>486</v>
      </c>
      <c r="B1653" s="4" t="s">
        <v>1251</v>
      </c>
      <c r="C1653" s="4" t="s">
        <v>1252</v>
      </c>
      <c r="D1653" s="5" t="s">
        <v>1253</v>
      </c>
      <c r="E1653" s="5">
        <f>LOOKUP(D1653,'AMFI DATA_2023H1'!B:D,'AMFI DATA_2023H1'!D:D)</f>
        <v>5437.96</v>
      </c>
      <c r="F1653" s="7">
        <f t="shared" si="6"/>
        <v>1.1583461445100736</v>
      </c>
      <c r="G1653" s="8">
        <v>11737</v>
      </c>
      <c r="H1653" s="8">
        <v>11826</v>
      </c>
      <c r="I1653" s="8">
        <v>11721</v>
      </c>
      <c r="J1653" s="8">
        <v>11718</v>
      </c>
      <c r="K1653" s="8">
        <v>11791</v>
      </c>
      <c r="L1653" s="8">
        <v>11912</v>
      </c>
      <c r="M1653" s="8"/>
      <c r="N1653" s="8"/>
      <c r="O1653" s="8"/>
      <c r="P1653" s="8"/>
      <c r="Q1653" s="9">
        <f ca="1">IFERROR(__xludf.DUMMYFUNCTION("GOOGLEFINANCE(C1653,""changepct"")"),0.78)</f>
        <v>0.78</v>
      </c>
      <c r="R1653" s="8"/>
      <c r="S1653" s="8"/>
      <c r="T1653" s="8"/>
      <c r="U1653" s="8"/>
      <c r="V1653" s="8"/>
      <c r="W1653" s="8"/>
    </row>
    <row r="1654" spans="1:23" ht="14.4">
      <c r="A1654" s="3">
        <f>LOOKUP(D1654,'AMFI DATA_2023H1'!B:C,'AMFI DATA_2023H1'!C:C)</f>
        <v>1910</v>
      </c>
      <c r="B1654" s="4" t="s">
        <v>4688</v>
      </c>
      <c r="C1654" s="4" t="s">
        <v>4689</v>
      </c>
      <c r="D1654" s="5" t="s">
        <v>4690</v>
      </c>
      <c r="E1654" s="5">
        <f>LOOKUP(D1654,'AMFI DATA_2023H1'!B:D,'AMFI DATA_2023H1'!D:D)</f>
        <v>163.92</v>
      </c>
      <c r="F1654" s="7">
        <f t="shared" si="6"/>
        <v>0.4336261591020012</v>
      </c>
      <c r="G1654" s="9">
        <v>235</v>
      </c>
      <c r="H1654" s="9">
        <v>215</v>
      </c>
      <c r="I1654" s="9">
        <v>215</v>
      </c>
      <c r="J1654" s="9">
        <v>216</v>
      </c>
      <c r="K1654" s="9">
        <v>219</v>
      </c>
      <c r="L1654" s="9">
        <v>221</v>
      </c>
      <c r="M1654" s="9"/>
      <c r="N1654" s="9"/>
      <c r="O1654" s="9"/>
      <c r="P1654" s="9"/>
      <c r="Q1654" s="9">
        <f ca="1">IFERROR(__xludf.DUMMYFUNCTION("GOOGLEFINANCE(C1654,""changepct"")"),0.64)</f>
        <v>0.64</v>
      </c>
      <c r="R1654" s="9"/>
      <c r="S1654" s="9"/>
      <c r="T1654" s="9"/>
      <c r="U1654" s="9"/>
      <c r="V1654" s="9"/>
      <c r="W1654" s="9"/>
    </row>
    <row r="1655" spans="1:23" ht="14.4">
      <c r="A1655" s="3">
        <f>LOOKUP(D1655,'AMFI DATA_2023H1'!B:C,'AMFI DATA_2023H1'!C:C)</f>
        <v>2176</v>
      </c>
      <c r="B1655" s="4" t="s">
        <v>5066</v>
      </c>
      <c r="C1655" s="4" t="s">
        <v>5067</v>
      </c>
      <c r="D1655" s="5" t="s">
        <v>5068</v>
      </c>
      <c r="E1655" s="5">
        <f>LOOKUP(D1655,'AMFI DATA_2023H1'!B:D,'AMFI DATA_2023H1'!D:D)</f>
        <v>107.41</v>
      </c>
      <c r="F1655" s="7">
        <f t="shared" si="6"/>
        <v>0.30341681407690158</v>
      </c>
      <c r="G1655" s="9">
        <v>140</v>
      </c>
      <c r="H1655" s="9">
        <v>137</v>
      </c>
      <c r="I1655" s="9">
        <v>140</v>
      </c>
      <c r="J1655" s="9">
        <v>137</v>
      </c>
      <c r="K1655" s="9">
        <v>140</v>
      </c>
      <c r="L1655" s="9">
        <v>134</v>
      </c>
      <c r="M1655" s="9"/>
      <c r="N1655" s="9"/>
      <c r="O1655" s="9"/>
      <c r="P1655" s="9"/>
      <c r="Q1655" s="9">
        <f ca="1">IFERROR(__xludf.DUMMYFUNCTION("GOOGLEFINANCE(C1655,""changepct"")"),-1.61)</f>
        <v>-1.61</v>
      </c>
      <c r="R1655" s="9"/>
      <c r="S1655" s="9"/>
      <c r="T1655" s="9"/>
      <c r="U1655" s="9"/>
      <c r="V1655" s="9"/>
      <c r="W1655" s="9"/>
    </row>
    <row r="1656" spans="1:23" ht="14.4">
      <c r="A1656" s="3">
        <f>LOOKUP(D1656,'AMFI DATA_2023H1'!B:C,'AMFI DATA_2023H1'!C:C)</f>
        <v>951</v>
      </c>
      <c r="B1656" s="4" t="s">
        <v>2993</v>
      </c>
      <c r="C1656" s="4" t="s">
        <v>2994</v>
      </c>
      <c r="D1656" s="5" t="s">
        <v>2995</v>
      </c>
      <c r="E1656" s="5">
        <f>LOOKUP(D1656,'AMFI DATA_2023H1'!B:D,'AMFI DATA_2023H1'!D:D)</f>
        <v>1311.52</v>
      </c>
      <c r="F1656" s="7">
        <f t="shared" si="6"/>
        <v>0.10177503964865187</v>
      </c>
      <c r="G1656" s="8">
        <v>1445</v>
      </c>
      <c r="H1656" s="8">
        <v>1431</v>
      </c>
      <c r="I1656" s="8">
        <v>1429</v>
      </c>
      <c r="J1656" s="8">
        <v>1431</v>
      </c>
      <c r="K1656" s="8">
        <v>1432</v>
      </c>
      <c r="L1656" s="8">
        <v>1421</v>
      </c>
      <c r="M1656" s="8"/>
      <c r="N1656" s="8"/>
      <c r="O1656" s="8"/>
      <c r="P1656" s="8"/>
      <c r="Q1656" s="9">
        <f ca="1">IFERROR(__xludf.DUMMYFUNCTION("GOOGLEFINANCE(C1656,""changepct"")"),2.06)</f>
        <v>2.06</v>
      </c>
      <c r="R1656" s="8"/>
      <c r="S1656" s="8"/>
      <c r="T1656" s="8"/>
      <c r="U1656" s="8"/>
      <c r="V1656" s="8"/>
      <c r="W1656" s="8"/>
    </row>
    <row r="1657" spans="1:23" ht="14.4">
      <c r="A1657" s="3">
        <f>LOOKUP(D1657,'AMFI DATA_2023H1'!B:C,'AMFI DATA_2023H1'!C:C)</f>
        <v>1624</v>
      </c>
      <c r="B1657" s="4" t="s">
        <v>4394</v>
      </c>
      <c r="C1657" s="4" t="s">
        <v>4395</v>
      </c>
      <c r="D1657" s="5" t="s">
        <v>4396</v>
      </c>
      <c r="E1657" s="5">
        <f>LOOKUP(D1657,'AMFI DATA_2023H1'!B:D,'AMFI DATA_2023H1'!D:D)</f>
        <v>272.11</v>
      </c>
      <c r="F1657" s="7">
        <f t="shared" si="6"/>
        <v>0.26419462717283437</v>
      </c>
      <c r="G1657" s="9">
        <v>344</v>
      </c>
      <c r="H1657" s="9">
        <v>341</v>
      </c>
      <c r="I1657" s="9">
        <v>340</v>
      </c>
      <c r="J1657" s="9">
        <v>345</v>
      </c>
      <c r="K1657" s="9">
        <v>355</v>
      </c>
      <c r="L1657" s="9">
        <v>357</v>
      </c>
      <c r="M1657" s="9"/>
      <c r="N1657" s="9"/>
      <c r="O1657" s="9"/>
      <c r="P1657" s="9"/>
      <c r="Q1657" s="9">
        <f ca="1">IFERROR(__xludf.DUMMYFUNCTION("GOOGLEFINANCE(C1657,""changepct"")"),-2.74)</f>
        <v>-2.74</v>
      </c>
      <c r="R1657" s="9"/>
      <c r="S1657" s="9"/>
      <c r="T1657" s="9"/>
      <c r="U1657" s="9"/>
      <c r="V1657" s="9"/>
      <c r="W1657" s="9"/>
    </row>
    <row r="1658" spans="1:23" ht="14.4">
      <c r="A1658" s="3">
        <f>LOOKUP(D1658,'AMFI DATA_2023H1'!B:C,'AMFI DATA_2023H1'!C:C)</f>
        <v>1233</v>
      </c>
      <c r="B1658" s="4" t="s">
        <v>3071</v>
      </c>
      <c r="C1658" s="4" t="s">
        <v>3072</v>
      </c>
      <c r="D1658" s="5" t="s">
        <v>3073</v>
      </c>
      <c r="E1658" s="5">
        <f>LOOKUP(D1658,'AMFI DATA_2023H1'!B:D,'AMFI DATA_2023H1'!D:D)</f>
        <v>628.07000000000005</v>
      </c>
      <c r="F1658" s="7">
        <f t="shared" si="6"/>
        <v>1.8993583517760757</v>
      </c>
      <c r="G1658" s="8">
        <v>1821</v>
      </c>
      <c r="H1658" s="8">
        <v>1846</v>
      </c>
      <c r="I1658" s="8">
        <v>1846</v>
      </c>
      <c r="J1658" s="8">
        <v>1858</v>
      </c>
      <c r="K1658" s="8">
        <v>1885</v>
      </c>
      <c r="L1658" s="8">
        <v>1874</v>
      </c>
      <c r="M1658" s="8"/>
      <c r="N1658" s="8"/>
      <c r="O1658" s="8"/>
      <c r="P1658" s="8"/>
      <c r="Q1658" s="9">
        <f ca="1">IFERROR(__xludf.DUMMYFUNCTION("GOOGLEFINANCE(C1658,""changepct"")"),-0.71)</f>
        <v>-0.71</v>
      </c>
      <c r="R1658" s="8"/>
      <c r="S1658" s="8"/>
      <c r="T1658" s="8"/>
      <c r="U1658" s="8"/>
      <c r="V1658" s="8"/>
      <c r="W1658" s="8"/>
    </row>
    <row r="1659" spans="1:23" ht="14.4">
      <c r="A1659" s="3">
        <f>LOOKUP(D1659,'AMFI DATA_2023H1'!B:C,'AMFI DATA_2023H1'!C:C)</f>
        <v>880</v>
      </c>
      <c r="B1659" s="4" t="s">
        <v>2816</v>
      </c>
      <c r="C1659" s="4" t="s">
        <v>2817</v>
      </c>
      <c r="D1659" s="5" t="s">
        <v>2818</v>
      </c>
      <c r="E1659" s="5">
        <f>LOOKUP(D1659,'AMFI DATA_2023H1'!B:D,'AMFI DATA_2023H1'!D:D)</f>
        <v>1585.67</v>
      </c>
      <c r="F1659" s="7">
        <f t="shared" si="6"/>
        <v>0.30922575315166445</v>
      </c>
      <c r="G1659" s="8">
        <v>2076</v>
      </c>
      <c r="H1659" s="8">
        <v>2069</v>
      </c>
      <c r="I1659" s="8">
        <v>2084</v>
      </c>
      <c r="J1659" s="8">
        <v>2077</v>
      </c>
      <c r="K1659" s="8">
        <v>2082</v>
      </c>
      <c r="L1659" s="8">
        <v>2051</v>
      </c>
      <c r="M1659" s="8"/>
      <c r="N1659" s="8"/>
      <c r="O1659" s="8"/>
      <c r="P1659" s="8"/>
      <c r="Q1659" s="9">
        <f ca="1">IFERROR(__xludf.DUMMYFUNCTION("GOOGLEFINANCE(C1659,""changepct"")"),3.45)</f>
        <v>3.45</v>
      </c>
      <c r="R1659" s="8"/>
      <c r="S1659" s="8"/>
      <c r="T1659" s="8"/>
      <c r="U1659" s="8"/>
      <c r="V1659" s="8"/>
      <c r="W1659" s="8"/>
    </row>
    <row r="1660" spans="1:23" ht="14.4">
      <c r="A1660" s="3">
        <f>LOOKUP(D1660,'AMFI DATA_2023H1'!B:C,'AMFI DATA_2023H1'!C:C)</f>
        <v>422</v>
      </c>
      <c r="B1660" s="4" t="s">
        <v>1386</v>
      </c>
      <c r="C1660" s="4" t="s">
        <v>1387</v>
      </c>
      <c r="D1660" s="5" t="s">
        <v>1388</v>
      </c>
      <c r="E1660" s="5">
        <f>LOOKUP(D1660,'AMFI DATA_2023H1'!B:D,'AMFI DATA_2023H1'!D:D)</f>
        <v>6905.77</v>
      </c>
      <c r="F1660" s="7">
        <f t="shared" si="6"/>
        <v>0.15743791061677403</v>
      </c>
      <c r="G1660" s="8">
        <v>7993</v>
      </c>
      <c r="H1660" s="8">
        <v>8000</v>
      </c>
      <c r="I1660" s="8">
        <v>7997</v>
      </c>
      <c r="J1660" s="8">
        <v>8034</v>
      </c>
      <c r="K1660" s="8">
        <v>8045</v>
      </c>
      <c r="L1660" s="8">
        <v>8024</v>
      </c>
      <c r="M1660" s="8"/>
      <c r="N1660" s="8"/>
      <c r="O1660" s="8"/>
      <c r="P1660" s="8"/>
      <c r="Q1660" s="9">
        <f ca="1">IFERROR(__xludf.DUMMYFUNCTION("GOOGLEFINANCE(C1660,""changepct"")"),2.32)</f>
        <v>2.3199999999999998</v>
      </c>
      <c r="R1660" s="8"/>
      <c r="S1660" s="8"/>
      <c r="T1660" s="8"/>
      <c r="U1660" s="8"/>
      <c r="V1660" s="8"/>
      <c r="W1660" s="8"/>
    </row>
    <row r="1661" spans="1:23" ht="14.4">
      <c r="A1661" s="3">
        <f>LOOKUP(D1661,'AMFI DATA_2023H1'!B:C,'AMFI DATA_2023H1'!C:C)</f>
        <v>1176</v>
      </c>
      <c r="B1661" s="4" t="s">
        <v>3584</v>
      </c>
      <c r="C1661" s="4" t="s">
        <v>3585</v>
      </c>
      <c r="D1661" s="5" t="s">
        <v>3586</v>
      </c>
      <c r="E1661" s="5">
        <f>LOOKUP(D1661,'AMFI DATA_2023H1'!B:D,'AMFI DATA_2023H1'!D:D)</f>
        <v>731.17</v>
      </c>
      <c r="F1661" s="7">
        <f t="shared" si="6"/>
        <v>0.24868361666917416</v>
      </c>
      <c r="G1661" s="9">
        <v>913</v>
      </c>
      <c r="H1661" s="9">
        <v>901</v>
      </c>
      <c r="I1661" s="9">
        <v>918</v>
      </c>
      <c r="J1661" s="9">
        <v>910</v>
      </c>
      <c r="K1661" s="9">
        <v>925</v>
      </c>
      <c r="L1661" s="9">
        <v>919</v>
      </c>
      <c r="M1661" s="9"/>
      <c r="N1661" s="9"/>
      <c r="O1661" s="9"/>
      <c r="P1661" s="9"/>
      <c r="Q1661" s="9">
        <f ca="1">IFERROR(__xludf.DUMMYFUNCTION("GOOGLEFINANCE(C1661,""changepct"")"),2.13)</f>
        <v>2.13</v>
      </c>
      <c r="R1661" s="9"/>
      <c r="S1661" s="9"/>
      <c r="T1661" s="9"/>
      <c r="U1661" s="9"/>
      <c r="V1661" s="9"/>
      <c r="W1661" s="9"/>
    </row>
    <row r="1662" spans="1:23" ht="14.4">
      <c r="A1662" s="3">
        <f>LOOKUP(D1662,'AMFI DATA_2023H1'!B:C,'AMFI DATA_2023H1'!C:C)</f>
        <v>3127</v>
      </c>
      <c r="B1662" s="4" t="s">
        <v>5566</v>
      </c>
      <c r="C1662" s="4" t="s">
        <v>5567</v>
      </c>
      <c r="D1662" s="5" t="s">
        <v>5568</v>
      </c>
      <c r="E1662" s="5">
        <f>LOOKUP(D1662,'AMFI DATA_2023H1'!B:D,'AMFI DATA_2023H1'!D:D)</f>
        <v>25.33</v>
      </c>
      <c r="F1662" s="7">
        <f t="shared" si="6"/>
        <v>0.70943545203316227</v>
      </c>
      <c r="G1662" s="9">
        <v>43.3</v>
      </c>
      <c r="H1662" s="9">
        <v>41.2</v>
      </c>
      <c r="I1662" s="9">
        <v>39.5</v>
      </c>
      <c r="J1662" s="9">
        <v>40.6</v>
      </c>
      <c r="K1662" s="9">
        <v>41.5</v>
      </c>
      <c r="L1662" s="9">
        <v>42.5</v>
      </c>
      <c r="M1662" s="9"/>
      <c r="N1662" s="9"/>
      <c r="O1662" s="9"/>
      <c r="P1662" s="9"/>
      <c r="Q1662" s="9">
        <f ca="1">IFERROR(__xludf.DUMMYFUNCTION("GOOGLEFINANCE(C1662,""changepct"")"),9.9)</f>
        <v>9.9</v>
      </c>
      <c r="R1662" s="9"/>
      <c r="S1662" s="9"/>
      <c r="T1662" s="9"/>
      <c r="U1662" s="9"/>
      <c r="V1662" s="9"/>
      <c r="W1662" s="9"/>
    </row>
    <row r="1663" spans="1:23" ht="14.4">
      <c r="A1663" s="3">
        <f>LOOKUP(D1663,'AMFI DATA_2023H1'!B:C,'AMFI DATA_2023H1'!C:C)</f>
        <v>357</v>
      </c>
      <c r="B1663" s="4" t="s">
        <v>1011</v>
      </c>
      <c r="C1663" s="4" t="s">
        <v>1012</v>
      </c>
      <c r="D1663" s="5" t="s">
        <v>1013</v>
      </c>
      <c r="E1663" s="5">
        <f>LOOKUP(D1663,'AMFI DATA_2023H1'!B:D,'AMFI DATA_2023H1'!D:D)</f>
        <v>9470.2099999999991</v>
      </c>
      <c r="F1663" s="7">
        <f t="shared" si="6"/>
        <v>0.56131701408944479</v>
      </c>
      <c r="G1663" s="8">
        <v>14786</v>
      </c>
      <c r="H1663" s="8">
        <v>14753</v>
      </c>
      <c r="I1663" s="8">
        <v>14771</v>
      </c>
      <c r="J1663" s="8">
        <v>14936</v>
      </c>
      <c r="K1663" s="8">
        <v>14585</v>
      </c>
      <c r="L1663" s="8">
        <v>14632</v>
      </c>
      <c r="M1663" s="8"/>
      <c r="N1663" s="8"/>
      <c r="O1663" s="8"/>
      <c r="P1663" s="8"/>
      <c r="Q1663" s="9">
        <f ca="1">IFERROR(__xludf.DUMMYFUNCTION("GOOGLEFINANCE(C1663,""changepct"")"),2.17)</f>
        <v>2.17</v>
      </c>
      <c r="R1663" s="8"/>
      <c r="S1663" s="8"/>
      <c r="T1663" s="8"/>
      <c r="U1663" s="8"/>
      <c r="V1663" s="8"/>
      <c r="W1663" s="8"/>
    </row>
    <row r="1664" spans="1:23" ht="14.4">
      <c r="A1664" s="3">
        <f>LOOKUP(D1664,'AMFI DATA_2023H1'!B:C,'AMFI DATA_2023H1'!C:C)</f>
        <v>4339</v>
      </c>
      <c r="B1664" s="4" t="s">
        <v>5518</v>
      </c>
      <c r="C1664" s="4" t="s">
        <v>5519</v>
      </c>
      <c r="D1664" s="5" t="s">
        <v>5520</v>
      </c>
      <c r="E1664" s="5">
        <f>LOOKUP(D1664,'AMFI DATA_2023H1'!B:D,'AMFI DATA_2023H1'!D:D)</f>
        <v>4.32</v>
      </c>
      <c r="F1664" s="7">
        <f t="shared" si="6"/>
        <v>10.319444444444443</v>
      </c>
      <c r="G1664" s="9">
        <v>48.9</v>
      </c>
      <c r="H1664" s="9">
        <v>49.2</v>
      </c>
      <c r="I1664" s="9">
        <v>51.7</v>
      </c>
      <c r="J1664" s="9">
        <v>49.3</v>
      </c>
      <c r="K1664" s="9">
        <v>46.7</v>
      </c>
      <c r="L1664" s="9">
        <v>44.6</v>
      </c>
      <c r="M1664" s="9"/>
      <c r="N1664" s="9"/>
      <c r="O1664" s="9"/>
      <c r="P1664" s="9"/>
      <c r="Q1664" s="9">
        <f ca="1">IFERROR(__xludf.DUMMYFUNCTION("GOOGLEFINANCE(C1664,""changepct"")"),0)</f>
        <v>0</v>
      </c>
      <c r="R1664" s="9"/>
      <c r="S1664" s="9"/>
      <c r="T1664" s="9"/>
      <c r="U1664" s="9"/>
      <c r="V1664" s="9"/>
      <c r="W1664" s="9"/>
    </row>
    <row r="1665" spans="1:23" ht="14.4">
      <c r="A1665" s="3">
        <f>LOOKUP(D1665,'AMFI DATA_2023H1'!B:C,'AMFI DATA_2023H1'!C:C)</f>
        <v>3840</v>
      </c>
      <c r="B1665" s="4" t="s">
        <v>5740</v>
      </c>
      <c r="C1665" s="4" t="s">
        <v>5741</v>
      </c>
      <c r="D1665" s="5" t="s">
        <v>5742</v>
      </c>
      <c r="E1665" s="5">
        <f>LOOKUP(D1665,'AMFI DATA_2023H1'!B:D,'AMFI DATA_2023H1'!D:D)</f>
        <v>8.74</v>
      </c>
      <c r="F1665" s="7">
        <f t="shared" si="6"/>
        <v>0.14416475972540033</v>
      </c>
      <c r="G1665" s="9">
        <v>10</v>
      </c>
      <c r="H1665" s="9">
        <v>9.85</v>
      </c>
      <c r="I1665" s="9">
        <v>10</v>
      </c>
      <c r="J1665" s="9">
        <v>10.199999999999999</v>
      </c>
      <c r="K1665" s="9">
        <v>10.4</v>
      </c>
      <c r="L1665" s="9">
        <v>10.6</v>
      </c>
      <c r="M1665" s="9"/>
      <c r="N1665" s="9"/>
      <c r="O1665" s="9"/>
      <c r="P1665" s="9"/>
      <c r="Q1665" s="9">
        <f ca="1">IFERROR(__xludf.DUMMYFUNCTION("GOOGLEFINANCE(C1665,""changepct"")"),9.56)</f>
        <v>9.56</v>
      </c>
      <c r="R1665" s="9"/>
      <c r="S1665" s="9"/>
      <c r="T1665" s="9"/>
      <c r="U1665" s="9"/>
      <c r="V1665" s="9"/>
      <c r="W1665" s="9"/>
    </row>
    <row r="1666" spans="1:23" ht="14.4">
      <c r="A1666" s="3">
        <f>LOOKUP(D1666,'AMFI DATA_2023H1'!B:C,'AMFI DATA_2023H1'!C:C)</f>
        <v>936</v>
      </c>
      <c r="B1666" s="4" t="s">
        <v>2351</v>
      </c>
      <c r="C1666" s="4" t="s">
        <v>2352</v>
      </c>
      <c r="D1666" s="5" t="s">
        <v>2353</v>
      </c>
      <c r="E1666" s="5">
        <f>LOOKUP(D1666,'AMFI DATA_2023H1'!B:D,'AMFI DATA_2023H1'!D:D)</f>
        <v>1358.43</v>
      </c>
      <c r="F1666" s="7">
        <f t="shared" si="6"/>
        <v>1.9740214806799026</v>
      </c>
      <c r="G1666" s="8">
        <v>4040</v>
      </c>
      <c r="H1666" s="8">
        <v>3982</v>
      </c>
      <c r="I1666" s="8">
        <v>4000</v>
      </c>
      <c r="J1666" s="8">
        <v>4081</v>
      </c>
      <c r="K1666" s="8">
        <v>4120</v>
      </c>
      <c r="L1666" s="8">
        <v>4087</v>
      </c>
      <c r="M1666" s="8"/>
      <c r="N1666" s="8"/>
      <c r="O1666" s="8"/>
      <c r="P1666" s="8"/>
      <c r="Q1666" s="9">
        <f ca="1">IFERROR(__xludf.DUMMYFUNCTION("GOOGLEFINANCE(C1666,""changepct"")"),-3.32)</f>
        <v>-3.32</v>
      </c>
      <c r="R1666" s="8"/>
      <c r="S1666" s="8"/>
      <c r="T1666" s="8"/>
      <c r="U1666" s="8"/>
      <c r="V1666" s="8"/>
      <c r="W1666" s="8"/>
    </row>
    <row r="1667" spans="1:23" ht="14.4">
      <c r="A1667" s="3">
        <f>LOOKUP(D1667,'AMFI DATA_2023H1'!B:C,'AMFI DATA_2023H1'!C:C)</f>
        <v>1993</v>
      </c>
      <c r="B1667" s="4" t="s">
        <v>4874</v>
      </c>
      <c r="C1667" s="4" t="s">
        <v>4875</v>
      </c>
      <c r="D1667" s="5" t="s">
        <v>4876</v>
      </c>
      <c r="E1667" s="5">
        <f>LOOKUP(D1667,'AMFI DATA_2023H1'!B:D,'AMFI DATA_2023H1'!D:D)</f>
        <v>145.41999999999999</v>
      </c>
      <c r="F1667" s="7">
        <f t="shared" si="6"/>
        <v>0.33406684087470784</v>
      </c>
      <c r="G1667" s="9">
        <v>194</v>
      </c>
      <c r="H1667" s="9">
        <v>198</v>
      </c>
      <c r="I1667" s="9">
        <v>185</v>
      </c>
      <c r="J1667" s="9">
        <v>183</v>
      </c>
      <c r="K1667" s="9">
        <v>180</v>
      </c>
      <c r="L1667" s="9">
        <v>181</v>
      </c>
      <c r="M1667" s="9"/>
      <c r="N1667" s="9"/>
      <c r="O1667" s="9"/>
      <c r="P1667" s="9"/>
      <c r="Q1667" s="9">
        <f ca="1">IFERROR(__xludf.DUMMYFUNCTION("GOOGLEFINANCE(C1667,""changepct"")"),1.47)</f>
        <v>1.47</v>
      </c>
      <c r="R1667" s="9"/>
      <c r="S1667" s="9"/>
      <c r="T1667" s="9"/>
      <c r="U1667" s="9"/>
      <c r="V1667" s="9"/>
      <c r="W1667" s="9"/>
    </row>
    <row r="1668" spans="1:23" ht="14.4">
      <c r="A1668" s="3">
        <f>LOOKUP(D1668,'AMFI DATA_2023H1'!B:C,'AMFI DATA_2023H1'!C:C)</f>
        <v>639</v>
      </c>
      <c r="B1668" s="4" t="s">
        <v>2339</v>
      </c>
      <c r="C1668" s="4" t="s">
        <v>2340</v>
      </c>
      <c r="D1668" s="5" t="s">
        <v>2341</v>
      </c>
      <c r="E1668" s="5">
        <f>LOOKUP(D1668,'AMFI DATA_2023H1'!B:D,'AMFI DATA_2023H1'!D:D)</f>
        <v>3180.67</v>
      </c>
      <c r="F1668" s="7">
        <f t="shared" si="6"/>
        <v>-0.11685273857394829</v>
      </c>
      <c r="G1668" s="8">
        <v>2809</v>
      </c>
      <c r="H1668" s="8">
        <v>2806</v>
      </c>
      <c r="I1668" s="8">
        <v>2843</v>
      </c>
      <c r="J1668" s="8">
        <v>2876</v>
      </c>
      <c r="K1668" s="8">
        <v>2844</v>
      </c>
      <c r="L1668" s="8">
        <v>2901</v>
      </c>
      <c r="M1668" s="8"/>
      <c r="N1668" s="8"/>
      <c r="O1668" s="8"/>
      <c r="P1668" s="8"/>
      <c r="Q1668" s="9">
        <f ca="1">IFERROR(__xludf.DUMMYFUNCTION("GOOGLEFINANCE(C1668,""changepct"")"),0.51)</f>
        <v>0.51</v>
      </c>
      <c r="R1668" s="8"/>
      <c r="S1668" s="8"/>
      <c r="T1668" s="8"/>
      <c r="U1668" s="8"/>
      <c r="V1668" s="8"/>
      <c r="W1668" s="8"/>
    </row>
    <row r="1669" spans="1:23" ht="14.4">
      <c r="A1669" s="3">
        <f>LOOKUP(D1669,'AMFI DATA_2023H1'!B:C,'AMFI DATA_2023H1'!C:C)</f>
        <v>702</v>
      </c>
      <c r="B1669" s="4" t="s">
        <v>2019</v>
      </c>
      <c r="C1669" s="4" t="s">
        <v>2020</v>
      </c>
      <c r="D1669" s="5" t="s">
        <v>2021</v>
      </c>
      <c r="E1669" s="5">
        <f>LOOKUP(D1669,'AMFI DATA_2023H1'!B:D,'AMFI DATA_2023H1'!D:D)</f>
        <v>2564.0700000000002</v>
      </c>
      <c r="F1669" s="7">
        <f t="shared" si="6"/>
        <v>0.31899675125874083</v>
      </c>
      <c r="G1669" s="8">
        <v>3382</v>
      </c>
      <c r="H1669" s="8">
        <v>3439</v>
      </c>
      <c r="I1669" s="8">
        <v>3549</v>
      </c>
      <c r="J1669" s="8">
        <v>3575</v>
      </c>
      <c r="K1669" s="8">
        <v>3579</v>
      </c>
      <c r="L1669" s="8">
        <v>3596</v>
      </c>
      <c r="M1669" s="8"/>
      <c r="N1669" s="8"/>
      <c r="O1669" s="8"/>
      <c r="P1669" s="8"/>
      <c r="Q1669" s="9">
        <f ca="1">IFERROR(__xludf.DUMMYFUNCTION("GOOGLEFINANCE(C1669,""changepct"")"),-2.13)</f>
        <v>-2.13</v>
      </c>
      <c r="R1669" s="8"/>
      <c r="S1669" s="8"/>
      <c r="T1669" s="8"/>
      <c r="U1669" s="8"/>
      <c r="V1669" s="8"/>
      <c r="W1669" s="8"/>
    </row>
    <row r="1670" spans="1:23" ht="14.4">
      <c r="A1670" s="3">
        <f>LOOKUP(D1670,'AMFI DATA_2023H1'!B:C,'AMFI DATA_2023H1'!C:C)</f>
        <v>195</v>
      </c>
      <c r="B1670" s="4" t="s">
        <v>681</v>
      </c>
      <c r="C1670" s="4" t="s">
        <v>682</v>
      </c>
      <c r="D1670" s="5" t="s">
        <v>683</v>
      </c>
      <c r="E1670" s="5">
        <f>LOOKUP(D1670,'AMFI DATA_2023H1'!B:D,'AMFI DATA_2023H1'!D:D)</f>
        <v>24916.7</v>
      </c>
      <c r="F1670" s="7">
        <f t="shared" si="6"/>
        <v>0.14292823688530176</v>
      </c>
      <c r="G1670" s="8">
        <v>28478</v>
      </c>
      <c r="H1670" s="8">
        <v>28118</v>
      </c>
      <c r="I1670" s="8">
        <v>27641</v>
      </c>
      <c r="J1670" s="8">
        <v>27752</v>
      </c>
      <c r="K1670" s="8">
        <v>27873</v>
      </c>
      <c r="L1670" s="8">
        <v>26038</v>
      </c>
      <c r="M1670" s="8"/>
      <c r="N1670" s="8"/>
      <c r="O1670" s="8"/>
      <c r="P1670" s="8"/>
      <c r="Q1670" s="9">
        <f ca="1">IFERROR(__xludf.DUMMYFUNCTION("GOOGLEFINANCE(C1670,""changepct"")"),-1.24)</f>
        <v>-1.24</v>
      </c>
      <c r="R1670" s="8"/>
      <c r="S1670" s="8"/>
      <c r="T1670" s="8"/>
      <c r="U1670" s="8"/>
      <c r="V1670" s="8"/>
      <c r="W1670" s="8"/>
    </row>
    <row r="1671" spans="1:23" ht="14.4">
      <c r="A1671" s="3">
        <f>LOOKUP(D1671,'AMFI DATA_2023H1'!B:C,'AMFI DATA_2023H1'!C:C)</f>
        <v>567</v>
      </c>
      <c r="B1671" s="4" t="s">
        <v>1833</v>
      </c>
      <c r="C1671" s="4" t="s">
        <v>1834</v>
      </c>
      <c r="D1671" s="5" t="s">
        <v>1835</v>
      </c>
      <c r="E1671" s="5">
        <f>LOOKUP(D1671,'AMFI DATA_2023H1'!B:D,'AMFI DATA_2023H1'!D:D)</f>
        <v>4083.33</v>
      </c>
      <c r="F1671" s="7">
        <f t="shared" si="6"/>
        <v>0.47134813987603263</v>
      </c>
      <c r="G1671" s="8">
        <v>6008</v>
      </c>
      <c r="H1671" s="8">
        <v>5993</v>
      </c>
      <c r="I1671" s="8">
        <v>5760</v>
      </c>
      <c r="J1671" s="8">
        <v>5680</v>
      </c>
      <c r="K1671" s="8">
        <v>5612</v>
      </c>
      <c r="L1671" s="8">
        <v>5505</v>
      </c>
      <c r="M1671" s="8"/>
      <c r="N1671" s="8"/>
      <c r="O1671" s="8"/>
      <c r="P1671" s="8"/>
      <c r="Q1671" s="9">
        <f ca="1">IFERROR(__xludf.DUMMYFUNCTION("GOOGLEFINANCE(C1671,""changepct"")"),3.24)</f>
        <v>3.24</v>
      </c>
      <c r="R1671" s="8"/>
      <c r="S1671" s="8"/>
      <c r="T1671" s="8"/>
      <c r="U1671" s="8"/>
      <c r="V1671" s="8"/>
      <c r="W1671" s="8"/>
    </row>
    <row r="1672" spans="1:23" ht="14.4">
      <c r="A1672" s="3">
        <f>LOOKUP(D1672,'AMFI DATA_2023H1'!B:C,'AMFI DATA_2023H1'!C:C)</f>
        <v>141</v>
      </c>
      <c r="B1672" s="4" t="s">
        <v>396</v>
      </c>
      <c r="C1672" s="4" t="s">
        <v>397</v>
      </c>
      <c r="D1672" s="5" t="s">
        <v>398</v>
      </c>
      <c r="E1672" s="5">
        <f>LOOKUP(D1672,'AMFI DATA_2023H1'!B:D,'AMFI DATA_2023H1'!D:D)</f>
        <v>37104.959999999999</v>
      </c>
      <c r="F1672" s="7">
        <f t="shared" si="6"/>
        <v>0.35701534242322319</v>
      </c>
      <c r="G1672" s="8">
        <v>50352</v>
      </c>
      <c r="H1672" s="8">
        <v>50438</v>
      </c>
      <c r="I1672" s="8">
        <v>51568</v>
      </c>
      <c r="J1672" s="8">
        <v>49316</v>
      </c>
      <c r="K1672" s="8">
        <v>49479</v>
      </c>
      <c r="L1672" s="8">
        <v>49309</v>
      </c>
      <c r="M1672" s="8"/>
      <c r="N1672" s="8"/>
      <c r="O1672" s="8"/>
      <c r="P1672" s="8"/>
      <c r="Q1672" s="9">
        <f ca="1">IFERROR(__xludf.DUMMYFUNCTION("GOOGLEFINANCE(C1672,""changepct"")"),-1.67)</f>
        <v>-1.67</v>
      </c>
      <c r="R1672" s="8"/>
      <c r="S1672" s="8"/>
      <c r="T1672" s="8"/>
      <c r="U1672" s="8"/>
      <c r="V1672" s="8"/>
      <c r="W1672" s="8"/>
    </row>
    <row r="1673" spans="1:23" ht="14.4">
      <c r="A1673" s="3">
        <f>LOOKUP(D1673,'AMFI DATA_2023H1'!B:C,'AMFI DATA_2023H1'!C:C)</f>
        <v>2</v>
      </c>
      <c r="B1673" s="4" t="s">
        <v>10</v>
      </c>
      <c r="C1673" s="4" t="s">
        <v>11</v>
      </c>
      <c r="D1673" s="5" t="s">
        <v>12</v>
      </c>
      <c r="E1673" s="5">
        <f>LOOKUP(D1673,'AMFI DATA_2023H1'!B:D,'AMFI DATA_2023H1'!D:D)</f>
        <v>1203827.8999999999</v>
      </c>
      <c r="F1673" s="7">
        <f t="shared" si="6"/>
        <v>0.15823698719725643</v>
      </c>
      <c r="G1673" s="8">
        <v>1394318</v>
      </c>
      <c r="H1673" s="8">
        <v>1388592</v>
      </c>
      <c r="I1673" s="8">
        <v>1390824</v>
      </c>
      <c r="J1673" s="8">
        <v>1394538</v>
      </c>
      <c r="K1673" s="8">
        <v>1388339</v>
      </c>
      <c r="L1673" s="8">
        <v>1399221</v>
      </c>
      <c r="M1673" s="8"/>
      <c r="N1673" s="8"/>
      <c r="O1673" s="8"/>
      <c r="P1673" s="8"/>
      <c r="Q1673" s="9">
        <f ca="1">IFERROR(__xludf.DUMMYFUNCTION("GOOGLEFINANCE(C1673,""changepct"")"),-1.11)</f>
        <v>-1.1100000000000001</v>
      </c>
      <c r="R1673" s="8"/>
      <c r="S1673" s="8"/>
      <c r="T1673" s="8"/>
      <c r="U1673" s="8"/>
      <c r="V1673" s="8"/>
      <c r="W1673" s="8"/>
    </row>
    <row r="1674" spans="1:23" ht="14.4">
      <c r="A1674" s="3">
        <f>LOOKUP(D1674,'AMFI DATA_2023H1'!B:C,'AMFI DATA_2023H1'!C:C)</f>
        <v>74</v>
      </c>
      <c r="B1674" s="4" t="s">
        <v>231</v>
      </c>
      <c r="C1674" s="4" t="s">
        <v>232</v>
      </c>
      <c r="D1674" s="5" t="s">
        <v>233</v>
      </c>
      <c r="E1674" s="5">
        <f>LOOKUP(D1674,'AMFI DATA_2023H1'!B:D,'AMFI DATA_2023H1'!D:D)</f>
        <v>70102</v>
      </c>
      <c r="F1674" s="7">
        <f t="shared" si="6"/>
        <v>0.43104333685201568</v>
      </c>
      <c r="G1674" s="8">
        <v>100319</v>
      </c>
      <c r="H1674" s="8">
        <v>100965</v>
      </c>
      <c r="I1674" s="8">
        <v>96812</v>
      </c>
      <c r="J1674" s="8">
        <v>95521</v>
      </c>
      <c r="K1674" s="8">
        <v>93678</v>
      </c>
      <c r="L1674" s="8">
        <v>92232</v>
      </c>
      <c r="M1674" s="8"/>
      <c r="N1674" s="8"/>
      <c r="O1674" s="8"/>
      <c r="P1674" s="8"/>
      <c r="Q1674" s="9">
        <f ca="1">IFERROR(__xludf.DUMMYFUNCTION("GOOGLEFINANCE(C1674,""changepct"")"),0.37)</f>
        <v>0.37</v>
      </c>
      <c r="R1674" s="8"/>
      <c r="S1674" s="8"/>
      <c r="T1674" s="8"/>
      <c r="U1674" s="8"/>
      <c r="V1674" s="8"/>
      <c r="W1674" s="8"/>
    </row>
    <row r="1675" spans="1:23" ht="14.4">
      <c r="A1675" s="3">
        <f>LOOKUP(D1675,'AMFI DATA_2023H1'!B:C,'AMFI DATA_2023H1'!C:C)</f>
        <v>127</v>
      </c>
      <c r="B1675" s="4" t="s">
        <v>423</v>
      </c>
      <c r="C1675" s="4" t="s">
        <v>424</v>
      </c>
      <c r="D1675" s="5" t="s">
        <v>425</v>
      </c>
      <c r="E1675" s="5">
        <f>LOOKUP(D1675,'AMFI DATA_2023H1'!B:D,'AMFI DATA_2023H1'!D:D)</f>
        <v>41725.46</v>
      </c>
      <c r="F1675" s="7">
        <f t="shared" si="6"/>
        <v>0.30546194098279567</v>
      </c>
      <c r="G1675" s="8">
        <v>54471</v>
      </c>
      <c r="H1675" s="8">
        <v>54540</v>
      </c>
      <c r="I1675" s="8">
        <v>54522</v>
      </c>
      <c r="J1675" s="8">
        <v>54813</v>
      </c>
      <c r="K1675" s="8">
        <v>55179</v>
      </c>
      <c r="L1675" s="8">
        <v>55243</v>
      </c>
      <c r="M1675" s="8"/>
      <c r="N1675" s="8"/>
      <c r="O1675" s="8"/>
      <c r="P1675" s="8"/>
      <c r="Q1675" s="9">
        <f ca="1">IFERROR(__xludf.DUMMYFUNCTION("GOOGLEFINANCE(C1675,""changepct"")"),-0.26)</f>
        <v>-0.26</v>
      </c>
      <c r="R1675" s="8"/>
      <c r="S1675" s="8"/>
      <c r="T1675" s="8"/>
      <c r="U1675" s="8"/>
      <c r="V1675" s="8"/>
      <c r="W1675" s="8"/>
    </row>
    <row r="1676" spans="1:23" ht="14.4">
      <c r="A1676" s="3">
        <f>LOOKUP(D1676,'AMFI DATA_2023H1'!B:C,'AMFI DATA_2023H1'!C:C)</f>
        <v>327</v>
      </c>
      <c r="B1676" s="4" t="s">
        <v>933</v>
      </c>
      <c r="C1676" s="4" t="s">
        <v>934</v>
      </c>
      <c r="D1676" s="5" t="s">
        <v>935</v>
      </c>
      <c r="E1676" s="5">
        <f>LOOKUP(D1676,'AMFI DATA_2023H1'!B:D,'AMFI DATA_2023H1'!D:D)</f>
        <v>10868.15</v>
      </c>
      <c r="F1676" s="7">
        <f t="shared" si="6"/>
        <v>0.98239810823369211</v>
      </c>
      <c r="G1676" s="8">
        <v>21545</v>
      </c>
      <c r="H1676" s="8">
        <v>21670</v>
      </c>
      <c r="I1676" s="8">
        <v>21507</v>
      </c>
      <c r="J1676" s="8">
        <v>21541</v>
      </c>
      <c r="K1676" s="8">
        <v>21323</v>
      </c>
      <c r="L1676" s="8">
        <v>21246</v>
      </c>
      <c r="M1676" s="8"/>
      <c r="N1676" s="8"/>
      <c r="O1676" s="8"/>
      <c r="P1676" s="8"/>
      <c r="Q1676" s="9">
        <f ca="1">IFERROR(__xludf.DUMMYFUNCTION("GOOGLEFINANCE(C1676,""changepct"")"),2.89)</f>
        <v>2.89</v>
      </c>
      <c r="R1676" s="8"/>
      <c r="S1676" s="8"/>
      <c r="T1676" s="8"/>
      <c r="U1676" s="8"/>
      <c r="V1676" s="8"/>
      <c r="W1676" s="8"/>
    </row>
    <row r="1677" spans="1:23" ht="14.4">
      <c r="A1677" s="3">
        <f>LOOKUP(D1677,'AMFI DATA_2023H1'!B:C,'AMFI DATA_2023H1'!C:C)</f>
        <v>715</v>
      </c>
      <c r="B1677" s="4" t="s">
        <v>2306</v>
      </c>
      <c r="C1677" s="4" t="s">
        <v>2307</v>
      </c>
      <c r="D1677" s="5" t="s">
        <v>2308</v>
      </c>
      <c r="E1677" s="5">
        <f>LOOKUP(D1677,'AMFI DATA_2023H1'!B:D,'AMFI DATA_2023H1'!D:D)</f>
        <v>2470.3000000000002</v>
      </c>
      <c r="F1677" s="7">
        <f t="shared" si="6"/>
        <v>0.37797028700967483</v>
      </c>
      <c r="G1677" s="8">
        <v>3404</v>
      </c>
      <c r="H1677" s="8">
        <v>3394</v>
      </c>
      <c r="I1677" s="8">
        <v>3358</v>
      </c>
      <c r="J1677" s="8">
        <v>3356</v>
      </c>
      <c r="K1677" s="8">
        <v>3308</v>
      </c>
      <c r="L1677" s="8">
        <v>3275</v>
      </c>
      <c r="M1677" s="8"/>
      <c r="N1677" s="8"/>
      <c r="O1677" s="8"/>
      <c r="P1677" s="8"/>
      <c r="Q1677" s="9">
        <f ca="1">IFERROR(__xludf.DUMMYFUNCTION("GOOGLEFINANCE(C1677,""changepct"")"),2.44)</f>
        <v>2.44</v>
      </c>
      <c r="R1677" s="8"/>
      <c r="S1677" s="8"/>
      <c r="T1677" s="8"/>
      <c r="U1677" s="8"/>
      <c r="V1677" s="8"/>
      <c r="W1677" s="8"/>
    </row>
    <row r="1678" spans="1:23" ht="14.4">
      <c r="A1678" s="3">
        <f>LOOKUP(D1678,'AMFI DATA_2023H1'!B:C,'AMFI DATA_2023H1'!C:C)</f>
        <v>30</v>
      </c>
      <c r="B1678" s="4" t="s">
        <v>76</v>
      </c>
      <c r="C1678" s="4" t="s">
        <v>77</v>
      </c>
      <c r="D1678" s="5" t="s">
        <v>78</v>
      </c>
      <c r="E1678" s="5">
        <f>LOOKUP(D1678,'AMFI DATA_2023H1'!B:D,'AMFI DATA_2023H1'!D:D)</f>
        <v>168081.48</v>
      </c>
      <c r="F1678" s="7">
        <f t="shared" si="6"/>
        <v>0.72181967936027203</v>
      </c>
      <c r="G1678" s="8">
        <v>289406</v>
      </c>
      <c r="H1678" s="8">
        <v>286046</v>
      </c>
      <c r="I1678" s="8">
        <v>276181</v>
      </c>
      <c r="J1678" s="8">
        <v>271502</v>
      </c>
      <c r="K1678" s="8">
        <v>263688</v>
      </c>
      <c r="L1678" s="8">
        <v>265539</v>
      </c>
      <c r="M1678" s="8"/>
      <c r="N1678" s="8"/>
      <c r="O1678" s="8"/>
      <c r="P1678" s="8"/>
      <c r="Q1678" s="9">
        <f ca="1">IFERROR(__xludf.DUMMYFUNCTION("GOOGLEFINANCE(C1678,""changepct"")"),0.11)</f>
        <v>0.11</v>
      </c>
      <c r="R1678" s="8"/>
      <c r="S1678" s="8"/>
      <c r="T1678" s="8"/>
      <c r="U1678" s="8"/>
      <c r="V1678" s="8"/>
      <c r="W1678" s="8"/>
    </row>
    <row r="1679" spans="1:23" ht="14.4">
      <c r="A1679" s="3">
        <f>LOOKUP(D1679,'AMFI DATA_2023H1'!B:C,'AMFI DATA_2023H1'!C:C)</f>
        <v>30</v>
      </c>
      <c r="B1679" s="4" t="s">
        <v>76</v>
      </c>
      <c r="C1679" s="4" t="s">
        <v>79</v>
      </c>
      <c r="D1679" s="5" t="s">
        <v>80</v>
      </c>
      <c r="E1679" s="5">
        <f>LOOKUP(D1679,'AMFI DATA_2023H1'!B:D,'AMFI DATA_2023H1'!D:D)</f>
        <v>168081.48</v>
      </c>
      <c r="F1679" s="7">
        <f t="shared" si="6"/>
        <v>-0.84100568367199058</v>
      </c>
      <c r="G1679" s="8">
        <v>26724</v>
      </c>
      <c r="H1679" s="8">
        <v>26412</v>
      </c>
      <c r="I1679" s="8">
        <v>25710</v>
      </c>
      <c r="J1679" s="8">
        <v>25128</v>
      </c>
      <c r="K1679" s="8">
        <v>24627</v>
      </c>
      <c r="L1679" s="8">
        <v>24759</v>
      </c>
      <c r="M1679" s="8"/>
      <c r="N1679" s="8"/>
      <c r="O1679" s="8"/>
      <c r="P1679" s="8"/>
      <c r="Q1679" s="9">
        <f ca="1">IFERROR(__xludf.DUMMYFUNCTION("GOOGLEFINANCE(C1679,""changepct"")"),-0.77)</f>
        <v>-0.77</v>
      </c>
      <c r="R1679" s="8"/>
      <c r="S1679" s="8"/>
      <c r="T1679" s="8"/>
      <c r="U1679" s="8"/>
      <c r="V1679" s="8"/>
      <c r="W1679" s="8"/>
    </row>
    <row r="1680" spans="1:23" ht="14.4">
      <c r="A1680" s="3">
        <f>LOOKUP(D1680,'AMFI DATA_2023H1'!B:C,'AMFI DATA_2023H1'!C:C)</f>
        <v>77</v>
      </c>
      <c r="B1680" s="4" t="s">
        <v>237</v>
      </c>
      <c r="C1680" s="4" t="s">
        <v>238</v>
      </c>
      <c r="D1680" s="5" t="s">
        <v>239</v>
      </c>
      <c r="E1680" s="5">
        <f>LOOKUP(D1680,'AMFI DATA_2023H1'!B:D,'AMFI DATA_2023H1'!D:D)</f>
        <v>65958.62</v>
      </c>
      <c r="F1680" s="7">
        <f t="shared" si="6"/>
        <v>0.5984264073444836</v>
      </c>
      <c r="G1680" s="8">
        <v>105430</v>
      </c>
      <c r="H1680" s="8">
        <v>106101</v>
      </c>
      <c r="I1680" s="8">
        <v>105318</v>
      </c>
      <c r="J1680" s="8">
        <v>103801</v>
      </c>
      <c r="K1680" s="8">
        <v>103992</v>
      </c>
      <c r="L1680" s="8">
        <v>104376</v>
      </c>
      <c r="M1680" s="8"/>
      <c r="N1680" s="8"/>
      <c r="O1680" s="8"/>
      <c r="P1680" s="8"/>
      <c r="Q1680" s="9">
        <f ca="1">IFERROR(__xludf.DUMMYFUNCTION("GOOGLEFINANCE(C1680,""changepct"")"),0.19)</f>
        <v>0.19</v>
      </c>
      <c r="R1680" s="8"/>
      <c r="S1680" s="8"/>
      <c r="T1680" s="8"/>
      <c r="U1680" s="8"/>
      <c r="V1680" s="8"/>
      <c r="W1680" s="8"/>
    </row>
    <row r="1681" spans="1:23" ht="14.4">
      <c r="A1681" s="3">
        <f>LOOKUP(D1681,'AMFI DATA_2023H1'!B:C,'AMFI DATA_2023H1'!C:C)</f>
        <v>38</v>
      </c>
      <c r="B1681" s="4" t="s">
        <v>114</v>
      </c>
      <c r="C1681" s="4" t="s">
        <v>115</v>
      </c>
      <c r="D1681" s="5" t="s">
        <v>116</v>
      </c>
      <c r="E1681" s="5">
        <f>LOOKUP(D1681,'AMFI DATA_2023H1'!B:D,'AMFI DATA_2023H1'!D:D)</f>
        <v>135001.24</v>
      </c>
      <c r="F1681" s="7">
        <f t="shared" si="6"/>
        <v>0.27435866515003871</v>
      </c>
      <c r="G1681" s="8">
        <v>172040</v>
      </c>
      <c r="H1681" s="8">
        <v>171548</v>
      </c>
      <c r="I1681" s="8">
        <v>169888</v>
      </c>
      <c r="J1681" s="8">
        <v>168719</v>
      </c>
      <c r="K1681" s="8">
        <v>166322</v>
      </c>
      <c r="L1681" s="8">
        <v>164231</v>
      </c>
      <c r="M1681" s="8"/>
      <c r="N1681" s="8"/>
      <c r="O1681" s="8"/>
      <c r="P1681" s="8"/>
      <c r="Q1681" s="9">
        <f ca="1">IFERROR(__xludf.DUMMYFUNCTION("GOOGLEFINANCE(C1681,""changepct"")"),2.21)</f>
        <v>2.21</v>
      </c>
      <c r="R1681" s="8"/>
      <c r="S1681" s="8"/>
      <c r="T1681" s="8"/>
      <c r="U1681" s="8"/>
      <c r="V1681" s="8"/>
      <c r="W1681" s="8"/>
    </row>
    <row r="1682" spans="1:23" ht="14.4">
      <c r="A1682" s="3">
        <f>LOOKUP(D1682,'AMFI DATA_2023H1'!B:C,'AMFI DATA_2023H1'!C:C)</f>
        <v>655</v>
      </c>
      <c r="B1682" s="4" t="s">
        <v>402</v>
      </c>
      <c r="C1682" s="4" t="s">
        <v>403</v>
      </c>
      <c r="D1682" s="5" t="s">
        <v>404</v>
      </c>
      <c r="E1682" s="5">
        <f>LOOKUP(D1682,'AMFI DATA_2023H1'!B:D,'AMFI DATA_2023H1'!D:D)</f>
        <v>2984.81</v>
      </c>
      <c r="F1682" s="7">
        <f t="shared" si="6"/>
        <v>15.042897202837032</v>
      </c>
      <c r="G1682" s="8">
        <v>47885</v>
      </c>
      <c r="H1682" s="8">
        <v>47887</v>
      </c>
      <c r="I1682" s="8">
        <v>47733</v>
      </c>
      <c r="J1682" s="8">
        <v>48664</v>
      </c>
      <c r="K1682" s="8">
        <v>48786</v>
      </c>
      <c r="L1682" s="8">
        <v>49035</v>
      </c>
      <c r="M1682" s="8"/>
      <c r="N1682" s="8"/>
      <c r="O1682" s="8"/>
      <c r="P1682" s="8"/>
      <c r="Q1682" s="9">
        <f ca="1">IFERROR(__xludf.DUMMYFUNCTION("GOOGLEFINANCE(C1682,""changepct"")"),0.03)</f>
        <v>0.03</v>
      </c>
      <c r="R1682" s="8"/>
      <c r="S1682" s="8"/>
      <c r="T1682" s="8"/>
      <c r="U1682" s="8"/>
      <c r="V1682" s="8"/>
      <c r="W1682" s="8"/>
    </row>
    <row r="1683" spans="1:23" ht="14.4">
      <c r="A1683" s="3">
        <f>LOOKUP(D1683,'AMFI DATA_2023H1'!B:C,'AMFI DATA_2023H1'!C:C)</f>
        <v>289</v>
      </c>
      <c r="B1683" s="4" t="s">
        <v>888</v>
      </c>
      <c r="C1683" s="4" t="s">
        <v>889</v>
      </c>
      <c r="D1683" s="5" t="s">
        <v>890</v>
      </c>
      <c r="E1683" s="5">
        <f>LOOKUP(D1683,'AMFI DATA_2023H1'!B:D,'AMFI DATA_2023H1'!D:D)</f>
        <v>13326.47</v>
      </c>
      <c r="F1683" s="7">
        <f t="shared" si="6"/>
        <v>0.34018986273184137</v>
      </c>
      <c r="G1683" s="8">
        <v>17860</v>
      </c>
      <c r="H1683" s="8">
        <v>17931</v>
      </c>
      <c r="I1683" s="8">
        <v>17806</v>
      </c>
      <c r="J1683" s="8">
        <v>17995</v>
      </c>
      <c r="K1683" s="8">
        <v>17666</v>
      </c>
      <c r="L1683" s="8">
        <v>17985</v>
      </c>
      <c r="M1683" s="8"/>
      <c r="N1683" s="8"/>
      <c r="O1683" s="8"/>
      <c r="P1683" s="8"/>
      <c r="Q1683" s="9">
        <f ca="1">IFERROR(__xludf.DUMMYFUNCTION("GOOGLEFINANCE(C1683,""changepct"")"),0.28)</f>
        <v>0.28000000000000003</v>
      </c>
      <c r="R1683" s="8"/>
      <c r="S1683" s="8"/>
      <c r="T1683" s="8"/>
      <c r="U1683" s="8"/>
      <c r="V1683" s="8"/>
      <c r="W1683" s="8"/>
    </row>
    <row r="1684" spans="1:23" ht="14.4">
      <c r="A1684" s="3">
        <f>LOOKUP(D1684,'AMFI DATA_2023H1'!B:C,'AMFI DATA_2023H1'!C:C)</f>
        <v>571</v>
      </c>
      <c r="B1684" s="4" t="s">
        <v>2081</v>
      </c>
      <c r="C1684" s="4" t="s">
        <v>2082</v>
      </c>
      <c r="D1684" s="5" t="s">
        <v>2083</v>
      </c>
      <c r="E1684" s="5">
        <f>LOOKUP(D1684,'AMFI DATA_2023H1'!B:D,'AMFI DATA_2023H1'!D:D)</f>
        <v>4057.16</v>
      </c>
      <c r="F1684" s="7">
        <f t="shared" si="6"/>
        <v>-7.6694042137850138E-2</v>
      </c>
      <c r="G1684" s="8">
        <v>3746</v>
      </c>
      <c r="H1684" s="8">
        <v>3753</v>
      </c>
      <c r="I1684" s="8">
        <v>3695</v>
      </c>
      <c r="J1684" s="8">
        <v>3758</v>
      </c>
      <c r="K1684" s="8">
        <v>3797</v>
      </c>
      <c r="L1684" s="8">
        <v>3667</v>
      </c>
      <c r="M1684" s="8"/>
      <c r="N1684" s="8"/>
      <c r="O1684" s="8"/>
      <c r="P1684" s="8"/>
      <c r="Q1684" s="9">
        <f ca="1">IFERROR(__xludf.DUMMYFUNCTION("GOOGLEFINANCE(C1684,""changepct"")"),1.23)</f>
        <v>1.23</v>
      </c>
      <c r="R1684" s="8"/>
      <c r="S1684" s="8"/>
      <c r="T1684" s="8"/>
      <c r="U1684" s="8"/>
      <c r="V1684" s="8"/>
      <c r="W1684" s="8"/>
    </row>
    <row r="1685" spans="1:23" ht="14.4">
      <c r="A1685" s="3">
        <f>LOOKUP(D1685,'AMFI DATA_2023H1'!B:C,'AMFI DATA_2023H1'!C:C)</f>
        <v>456</v>
      </c>
      <c r="B1685" s="4" t="s">
        <v>1749</v>
      </c>
      <c r="C1685" s="4" t="s">
        <v>1750</v>
      </c>
      <c r="D1685" s="5" t="s">
        <v>1751</v>
      </c>
      <c r="E1685" s="5">
        <f>LOOKUP(D1685,'AMFI DATA_2023H1'!B:D,'AMFI DATA_2023H1'!D:D)</f>
        <v>6070.39</v>
      </c>
      <c r="F1685" s="7">
        <f t="shared" si="6"/>
        <v>-0.12592106932174052</v>
      </c>
      <c r="G1685" s="8">
        <v>5306</v>
      </c>
      <c r="H1685" s="8">
        <v>5286</v>
      </c>
      <c r="I1685" s="8">
        <v>5199</v>
      </c>
      <c r="J1685" s="8">
        <v>5248</v>
      </c>
      <c r="K1685" s="8">
        <v>5289</v>
      </c>
      <c r="L1685" s="8">
        <v>5318</v>
      </c>
      <c r="M1685" s="8"/>
      <c r="N1685" s="8"/>
      <c r="O1685" s="8"/>
      <c r="P1685" s="8"/>
      <c r="Q1685" s="9">
        <f ca="1">IFERROR(__xludf.DUMMYFUNCTION("GOOGLEFINANCE(C1685,""changepct"")"),2.93)</f>
        <v>2.93</v>
      </c>
      <c r="R1685" s="8"/>
      <c r="S1685" s="8"/>
      <c r="T1685" s="8"/>
      <c r="U1685" s="8"/>
      <c r="V1685" s="8"/>
      <c r="W1685" s="8"/>
    </row>
    <row r="1686" spans="1:23" ht="14.4">
      <c r="A1686" s="3">
        <f>LOOKUP(D1686,'AMFI DATA_2023H1'!B:C,'AMFI DATA_2023H1'!C:C)</f>
        <v>674</v>
      </c>
      <c r="B1686" s="4" t="s">
        <v>2495</v>
      </c>
      <c r="C1686" s="4" t="s">
        <v>2496</v>
      </c>
      <c r="D1686" s="5" t="s">
        <v>2497</v>
      </c>
      <c r="E1686" s="5">
        <f>LOOKUP(D1686,'AMFI DATA_2023H1'!B:D,'AMFI DATA_2023H1'!D:D)</f>
        <v>2816.39</v>
      </c>
      <c r="F1686" s="7">
        <f t="shared" si="6"/>
        <v>-0.15423645162779298</v>
      </c>
      <c r="G1686" s="8">
        <v>2382</v>
      </c>
      <c r="H1686" s="8">
        <v>2375</v>
      </c>
      <c r="I1686" s="8">
        <v>2301</v>
      </c>
      <c r="J1686" s="8">
        <v>2323</v>
      </c>
      <c r="K1686" s="8">
        <v>2349</v>
      </c>
      <c r="L1686" s="8">
        <v>2325</v>
      </c>
      <c r="M1686" s="8"/>
      <c r="N1686" s="8"/>
      <c r="O1686" s="8"/>
      <c r="P1686" s="8"/>
      <c r="Q1686" s="9">
        <f ca="1">IFERROR(__xludf.DUMMYFUNCTION("GOOGLEFINANCE(C1686,""changepct"")"),0.08)</f>
        <v>0.08</v>
      </c>
      <c r="R1686" s="8"/>
      <c r="S1686" s="8"/>
      <c r="T1686" s="8"/>
      <c r="U1686" s="8"/>
      <c r="V1686" s="8"/>
      <c r="W1686" s="8"/>
    </row>
    <row r="1687" spans="1:23" ht="14.4">
      <c r="A1687" s="3">
        <f>LOOKUP(D1687,'AMFI DATA_2023H1'!B:C,'AMFI DATA_2023H1'!C:C)</f>
        <v>955</v>
      </c>
      <c r="B1687" s="4" t="s">
        <v>2810</v>
      </c>
      <c r="C1687" s="4" t="s">
        <v>2811</v>
      </c>
      <c r="D1687" s="5" t="s">
        <v>2812</v>
      </c>
      <c r="E1687" s="5">
        <f>LOOKUP(D1687,'AMFI DATA_2023H1'!B:D,'AMFI DATA_2023H1'!D:D)</f>
        <v>1301.51</v>
      </c>
      <c r="F1687" s="7">
        <f t="shared" si="6"/>
        <v>0.57432520687509125</v>
      </c>
      <c r="G1687" s="8">
        <v>2049</v>
      </c>
      <c r="H1687" s="8">
        <v>2054</v>
      </c>
      <c r="I1687" s="8">
        <v>2044</v>
      </c>
      <c r="J1687" s="8">
        <v>2051</v>
      </c>
      <c r="K1687" s="8">
        <v>1885</v>
      </c>
      <c r="L1687" s="8">
        <v>1940</v>
      </c>
      <c r="M1687" s="8"/>
      <c r="N1687" s="8"/>
      <c r="O1687" s="8"/>
      <c r="P1687" s="8"/>
      <c r="Q1687" s="9">
        <f ca="1">IFERROR(__xludf.DUMMYFUNCTION("GOOGLEFINANCE(C1687,""changepct"")"),0.48)</f>
        <v>0.48</v>
      </c>
      <c r="R1687" s="8"/>
      <c r="S1687" s="8"/>
      <c r="T1687" s="8"/>
      <c r="U1687" s="8"/>
      <c r="V1687" s="8"/>
      <c r="W1687" s="8"/>
    </row>
    <row r="1688" spans="1:23" ht="14.4">
      <c r="A1688" s="3">
        <f>LOOKUP(D1688,'AMFI DATA_2023H1'!B:C,'AMFI DATA_2023H1'!C:C)</f>
        <v>693</v>
      </c>
      <c r="B1688" s="4" t="s">
        <v>1998</v>
      </c>
      <c r="C1688" s="4" t="s">
        <v>1999</v>
      </c>
      <c r="D1688" s="5" t="s">
        <v>2000</v>
      </c>
      <c r="E1688" s="5">
        <f>LOOKUP(D1688,'AMFI DATA_2023H1'!B:D,'AMFI DATA_2023H1'!D:D)</f>
        <v>2605.35</v>
      </c>
      <c r="F1688" s="7">
        <f t="shared" si="6"/>
        <v>0.60631009269388003</v>
      </c>
      <c r="G1688" s="8">
        <v>4185</v>
      </c>
      <c r="H1688" s="8">
        <v>4067</v>
      </c>
      <c r="I1688" s="8">
        <v>4090</v>
      </c>
      <c r="J1688" s="8">
        <v>4095</v>
      </c>
      <c r="K1688" s="8">
        <v>4150</v>
      </c>
      <c r="L1688" s="8">
        <v>4178</v>
      </c>
      <c r="M1688" s="8"/>
      <c r="N1688" s="8"/>
      <c r="O1688" s="8"/>
      <c r="P1688" s="8"/>
      <c r="Q1688" s="9">
        <f ca="1">IFERROR(__xludf.DUMMYFUNCTION("GOOGLEFINANCE(C1688,""changepct"")"),1.76)</f>
        <v>1.76</v>
      </c>
      <c r="R1688" s="8"/>
      <c r="S1688" s="8"/>
      <c r="T1688" s="8"/>
      <c r="U1688" s="8"/>
      <c r="V1688" s="8"/>
      <c r="W1688" s="8"/>
    </row>
    <row r="1689" spans="1:23" ht="14.4">
      <c r="A1689" s="3">
        <f>LOOKUP(D1689,'AMFI DATA_2023H1'!B:C,'AMFI DATA_2023H1'!C:C)</f>
        <v>577</v>
      </c>
      <c r="B1689" s="4" t="s">
        <v>1956</v>
      </c>
      <c r="C1689" s="4" t="s">
        <v>1957</v>
      </c>
      <c r="D1689" s="5" t="s">
        <v>1958</v>
      </c>
      <c r="E1689" s="5">
        <f>LOOKUP(D1689,'AMFI DATA_2023H1'!B:D,'AMFI DATA_2023H1'!D:D)</f>
        <v>3997.07</v>
      </c>
      <c r="F1689" s="7">
        <f t="shared" si="6"/>
        <v>0.35073941662267605</v>
      </c>
      <c r="G1689" s="8">
        <v>5399</v>
      </c>
      <c r="H1689" s="8">
        <v>5361</v>
      </c>
      <c r="I1689" s="8">
        <v>5232</v>
      </c>
      <c r="J1689" s="8">
        <v>5198</v>
      </c>
      <c r="K1689" s="8">
        <v>4978</v>
      </c>
      <c r="L1689" s="8">
        <v>4873</v>
      </c>
      <c r="M1689" s="8"/>
      <c r="N1689" s="8"/>
      <c r="O1689" s="8"/>
      <c r="P1689" s="8"/>
      <c r="Q1689" s="9">
        <f ca="1">IFERROR(__xludf.DUMMYFUNCTION("GOOGLEFINANCE(C1689,""changepct"")"),-1.2)</f>
        <v>-1.2</v>
      </c>
      <c r="R1689" s="8"/>
      <c r="S1689" s="8"/>
      <c r="T1689" s="8"/>
      <c r="U1689" s="8"/>
      <c r="V1689" s="8"/>
      <c r="W1689" s="8"/>
    </row>
    <row r="1690" spans="1:23" ht="14.4">
      <c r="A1690" s="3">
        <f>LOOKUP(D1690,'AMFI DATA_2023H1'!B:C,'AMFI DATA_2023H1'!C:C)</f>
        <v>1892</v>
      </c>
      <c r="B1690" s="4" t="s">
        <v>5210</v>
      </c>
      <c r="C1690" s="4" t="s">
        <v>5211</v>
      </c>
      <c r="D1690" s="5" t="s">
        <v>5212</v>
      </c>
      <c r="E1690" s="5">
        <f>LOOKUP(D1690,'AMFI DATA_2023H1'!B:D,'AMFI DATA_2023H1'!D:D)</f>
        <v>167.22</v>
      </c>
      <c r="F1690" s="7">
        <f t="shared" si="6"/>
        <v>-0.40796555435952642</v>
      </c>
      <c r="G1690" s="9">
        <v>99</v>
      </c>
      <c r="H1690" s="9">
        <v>94.7</v>
      </c>
      <c r="I1690" s="9">
        <v>90.4</v>
      </c>
      <c r="J1690" s="9">
        <v>86.1</v>
      </c>
      <c r="K1690" s="9">
        <v>90.4</v>
      </c>
      <c r="L1690" s="9">
        <v>90.4</v>
      </c>
      <c r="M1690" s="9"/>
      <c r="N1690" s="9"/>
      <c r="O1690" s="9"/>
      <c r="P1690" s="9"/>
      <c r="Q1690" s="9">
        <f ca="1">IFERROR(__xludf.DUMMYFUNCTION("GOOGLEFINANCE(C1690,""changepct"")"),0)</f>
        <v>0</v>
      </c>
      <c r="R1690" s="9"/>
      <c r="S1690" s="9"/>
      <c r="T1690" s="9"/>
      <c r="U1690" s="9"/>
      <c r="V1690" s="9"/>
      <c r="W1690" s="9"/>
    </row>
    <row r="1691" spans="1:23" ht="14.4">
      <c r="A1691" s="3">
        <f>LOOKUP(D1691,'AMFI DATA_2023H1'!B:C,'AMFI DATA_2023H1'!C:C)</f>
        <v>50</v>
      </c>
      <c r="B1691" s="4" t="s">
        <v>159</v>
      </c>
      <c r="C1691" s="4" t="s">
        <v>160</v>
      </c>
      <c r="D1691" s="5" t="s">
        <v>161</v>
      </c>
      <c r="E1691" s="5">
        <f>LOOKUP(D1691,'AMFI DATA_2023H1'!B:D,'AMFI DATA_2023H1'!D:D)</f>
        <v>104119.02</v>
      </c>
      <c r="F1691" s="7">
        <f t="shared" si="6"/>
        <v>0.21703027938603325</v>
      </c>
      <c r="G1691" s="8">
        <v>126716</v>
      </c>
      <c r="H1691" s="8">
        <v>124227</v>
      </c>
      <c r="I1691" s="8">
        <v>125549</v>
      </c>
      <c r="J1691" s="8">
        <v>124964</v>
      </c>
      <c r="K1691" s="8">
        <v>125208</v>
      </c>
      <c r="L1691" s="8">
        <v>124476</v>
      </c>
      <c r="M1691" s="8"/>
      <c r="N1691" s="8"/>
      <c r="O1691" s="8"/>
      <c r="P1691" s="8"/>
      <c r="Q1691" s="9">
        <f ca="1">IFERROR(__xludf.DUMMYFUNCTION("GOOGLEFINANCE(C1691,""changepct"")"),2.2)</f>
        <v>2.2000000000000002</v>
      </c>
      <c r="R1691" s="8"/>
      <c r="S1691" s="8"/>
      <c r="T1691" s="8"/>
      <c r="U1691" s="8"/>
      <c r="V1691" s="8"/>
      <c r="W1691" s="8"/>
    </row>
    <row r="1692" spans="1:23" ht="14.4">
      <c r="A1692" s="3">
        <f>LOOKUP(D1692,'AMFI DATA_2023H1'!B:C,'AMFI DATA_2023H1'!C:C)</f>
        <v>3547</v>
      </c>
      <c r="B1692" s="4" t="s">
        <v>5692</v>
      </c>
      <c r="C1692" s="4" t="s">
        <v>5693</v>
      </c>
      <c r="D1692" s="5" t="s">
        <v>5694</v>
      </c>
      <c r="E1692" s="5">
        <f>LOOKUP(D1692,'AMFI DATA_2023H1'!B:D,'AMFI DATA_2023H1'!D:D)</f>
        <v>13.27</v>
      </c>
      <c r="F1692" s="7">
        <f t="shared" si="6"/>
        <v>0.72569706103993958</v>
      </c>
      <c r="G1692" s="9">
        <v>22.9</v>
      </c>
      <c r="H1692" s="9">
        <v>21.8</v>
      </c>
      <c r="I1692" s="9">
        <v>20.8</v>
      </c>
      <c r="J1692" s="9">
        <v>20.5</v>
      </c>
      <c r="K1692" s="9">
        <v>20.100000000000001</v>
      </c>
      <c r="L1692" s="9">
        <v>19.899999999999999</v>
      </c>
      <c r="M1692" s="9"/>
      <c r="N1692" s="9"/>
      <c r="O1692" s="9"/>
      <c r="P1692" s="9"/>
      <c r="Q1692" s="9">
        <f ca="1">IFERROR(__xludf.DUMMYFUNCTION("GOOGLEFINANCE(C1692,""changepct"")"),10.02)</f>
        <v>10.02</v>
      </c>
      <c r="R1692" s="9"/>
      <c r="S1692" s="9"/>
      <c r="T1692" s="9"/>
      <c r="U1692" s="9"/>
      <c r="V1692" s="9"/>
      <c r="W1692" s="9"/>
    </row>
    <row r="1693" spans="1:23" ht="14.4">
      <c r="A1693" s="3">
        <f>LOOKUP(D1693,'AMFI DATA_2023H1'!B:C,'AMFI DATA_2023H1'!C:C)</f>
        <v>587</v>
      </c>
      <c r="B1693" s="4" t="s">
        <v>1698</v>
      </c>
      <c r="C1693" s="4" t="s">
        <v>1699</v>
      </c>
      <c r="D1693" s="5" t="s">
        <v>1700</v>
      </c>
      <c r="E1693" s="5">
        <f>LOOKUP(D1693,'AMFI DATA_2023H1'!B:D,'AMFI DATA_2023H1'!D:D)</f>
        <v>3878.4</v>
      </c>
      <c r="F1693" s="7">
        <f t="shared" si="6"/>
        <v>1.2537644389438944</v>
      </c>
      <c r="G1693" s="8">
        <v>8741</v>
      </c>
      <c r="H1693" s="8">
        <v>8590</v>
      </c>
      <c r="I1693" s="8">
        <v>8416</v>
      </c>
      <c r="J1693" s="8">
        <v>7977</v>
      </c>
      <c r="K1693" s="8">
        <v>7974</v>
      </c>
      <c r="L1693" s="8">
        <v>8113</v>
      </c>
      <c r="M1693" s="8"/>
      <c r="N1693" s="8"/>
      <c r="O1693" s="8"/>
      <c r="P1693" s="8"/>
      <c r="Q1693" s="9">
        <f ca="1">IFERROR(__xludf.DUMMYFUNCTION("GOOGLEFINANCE(C1693,""changepct"")"),1.15)</f>
        <v>1.1499999999999999</v>
      </c>
      <c r="R1693" s="8"/>
      <c r="S1693" s="8"/>
      <c r="T1693" s="8"/>
      <c r="U1693" s="8"/>
      <c r="V1693" s="8"/>
      <c r="W1693" s="8"/>
    </row>
    <row r="1694" spans="1:23" ht="14.4">
      <c r="A1694" s="3">
        <f>LOOKUP(D1694,'AMFI DATA_2023H1'!B:C,'AMFI DATA_2023H1'!C:C)</f>
        <v>649</v>
      </c>
      <c r="B1694" s="4" t="s">
        <v>1875</v>
      </c>
      <c r="C1694" s="4" t="s">
        <v>1876</v>
      </c>
      <c r="D1694" s="5" t="s">
        <v>1877</v>
      </c>
      <c r="E1694" s="5">
        <f>LOOKUP(D1694,'AMFI DATA_2023H1'!B:D,'AMFI DATA_2023H1'!D:D)</f>
        <v>3025.88</v>
      </c>
      <c r="F1694" s="7">
        <f t="shared" si="6"/>
        <v>0.90093460414821469</v>
      </c>
      <c r="G1694" s="8">
        <v>5752</v>
      </c>
      <c r="H1694" s="8">
        <v>5818</v>
      </c>
      <c r="I1694" s="8">
        <v>5745</v>
      </c>
      <c r="J1694" s="8">
        <v>5608</v>
      </c>
      <c r="K1694" s="8">
        <v>5796</v>
      </c>
      <c r="L1694" s="8">
        <v>5864</v>
      </c>
      <c r="M1694" s="8"/>
      <c r="N1694" s="8"/>
      <c r="O1694" s="8"/>
      <c r="P1694" s="8"/>
      <c r="Q1694" s="9">
        <f ca="1">IFERROR(__xludf.DUMMYFUNCTION("GOOGLEFINANCE(C1694,""changepct"")"),-3.41)</f>
        <v>-3.41</v>
      </c>
      <c r="R1694" s="8"/>
      <c r="S1694" s="8"/>
      <c r="T1694" s="8"/>
      <c r="U1694" s="8"/>
      <c r="V1694" s="8"/>
      <c r="W1694" s="8"/>
    </row>
    <row r="1695" spans="1:23" ht="14.4">
      <c r="A1695" s="3">
        <f>LOOKUP(D1695,'AMFI DATA_2023H1'!B:C,'AMFI DATA_2023H1'!C:C)</f>
        <v>2639</v>
      </c>
      <c r="B1695" s="4" t="s">
        <v>5557</v>
      </c>
      <c r="C1695" s="4" t="s">
        <v>5558</v>
      </c>
      <c r="D1695" s="5" t="s">
        <v>5559</v>
      </c>
      <c r="E1695" s="5">
        <f>LOOKUP(D1695,'AMFI DATA_2023H1'!B:D,'AMFI DATA_2023H1'!D:D)</f>
        <v>50.1</v>
      </c>
      <c r="F1695" s="7">
        <f t="shared" si="6"/>
        <v>-0.21556886227544914</v>
      </c>
      <c r="G1695" s="9">
        <v>39.299999999999997</v>
      </c>
      <c r="H1695" s="9">
        <v>40.1</v>
      </c>
      <c r="I1695" s="9">
        <v>40.9</v>
      </c>
      <c r="J1695" s="9">
        <v>41.7</v>
      </c>
      <c r="K1695" s="9">
        <v>37.6</v>
      </c>
      <c r="L1695" s="9">
        <v>35.9</v>
      </c>
      <c r="M1695" s="9"/>
      <c r="N1695" s="9"/>
      <c r="O1695" s="9"/>
      <c r="P1695" s="9"/>
      <c r="Q1695" s="9">
        <f ca="1">IFERROR(__xludf.DUMMYFUNCTION("GOOGLEFINANCE(C1695,""changepct"")"),-2.45)</f>
        <v>-2.4500000000000002</v>
      </c>
      <c r="R1695" s="9"/>
      <c r="S1695" s="9"/>
      <c r="T1695" s="9"/>
      <c r="U1695" s="9"/>
      <c r="V1695" s="9"/>
      <c r="W1695" s="9"/>
    </row>
    <row r="1696" spans="1:23" ht="14.4">
      <c r="A1696" s="3">
        <f>LOOKUP(D1696,'AMFI DATA_2023H1'!B:C,'AMFI DATA_2023H1'!C:C)</f>
        <v>528</v>
      </c>
      <c r="B1696" s="4" t="s">
        <v>1608</v>
      </c>
      <c r="C1696" s="4" t="s">
        <v>1609</v>
      </c>
      <c r="D1696" s="5" t="s">
        <v>1610</v>
      </c>
      <c r="E1696" s="5">
        <f>LOOKUP(D1696,'AMFI DATA_2023H1'!B:D,'AMFI DATA_2023H1'!D:D)</f>
        <v>4683.8500000000004</v>
      </c>
      <c r="F1696" s="7">
        <f t="shared" si="6"/>
        <v>0.69048966128291878</v>
      </c>
      <c r="G1696" s="8">
        <v>7918</v>
      </c>
      <c r="H1696" s="8">
        <v>7672</v>
      </c>
      <c r="I1696" s="8">
        <v>7766</v>
      </c>
      <c r="J1696" s="8">
        <v>8022</v>
      </c>
      <c r="K1696" s="8">
        <v>7808</v>
      </c>
      <c r="L1696" s="8">
        <v>7235</v>
      </c>
      <c r="M1696" s="8"/>
      <c r="N1696" s="8"/>
      <c r="O1696" s="8"/>
      <c r="P1696" s="8"/>
      <c r="Q1696" s="9">
        <f ca="1">IFERROR(__xludf.DUMMYFUNCTION("GOOGLEFINANCE(C1696,""changepct"")"),2.72)</f>
        <v>2.72</v>
      </c>
      <c r="R1696" s="8"/>
      <c r="S1696" s="8"/>
      <c r="T1696" s="8"/>
      <c r="U1696" s="8"/>
      <c r="V1696" s="8"/>
      <c r="W1696" s="8"/>
    </row>
    <row r="1697" spans="1:23" ht="14.4">
      <c r="A1697" s="3">
        <f>LOOKUP(D1697,'AMFI DATA_2023H1'!B:C,'AMFI DATA_2023H1'!C:C)</f>
        <v>344</v>
      </c>
      <c r="B1697" s="4" t="s">
        <v>993</v>
      </c>
      <c r="C1697" s="4" t="s">
        <v>994</v>
      </c>
      <c r="D1697" s="5" t="s">
        <v>995</v>
      </c>
      <c r="E1697" s="5">
        <f>LOOKUP(D1697,'AMFI DATA_2023H1'!B:D,'AMFI DATA_2023H1'!D:D)</f>
        <v>10209.07</v>
      </c>
      <c r="F1697" s="7">
        <f t="shared" si="6"/>
        <v>0.45400119697484698</v>
      </c>
      <c r="G1697" s="8">
        <v>14844</v>
      </c>
      <c r="H1697" s="8">
        <v>14785</v>
      </c>
      <c r="I1697" s="8">
        <v>14713</v>
      </c>
      <c r="J1697" s="8">
        <v>14719</v>
      </c>
      <c r="K1697" s="8">
        <v>14546</v>
      </c>
      <c r="L1697" s="8">
        <v>14511</v>
      </c>
      <c r="M1697" s="8"/>
      <c r="N1697" s="8"/>
      <c r="O1697" s="8"/>
      <c r="P1697" s="8"/>
      <c r="Q1697" s="9">
        <f ca="1">IFERROR(__xludf.DUMMYFUNCTION("GOOGLEFINANCE(C1697,""changepct"")"),-4.25)</f>
        <v>-4.25</v>
      </c>
      <c r="R1697" s="8"/>
      <c r="S1697" s="8"/>
      <c r="T1697" s="8"/>
      <c r="U1697" s="8"/>
      <c r="V1697" s="8"/>
      <c r="W1697" s="8"/>
    </row>
    <row r="1698" spans="1:23" ht="14.4">
      <c r="A1698" s="3">
        <f>LOOKUP(D1698,'AMFI DATA_2023H1'!B:C,'AMFI DATA_2023H1'!C:C)</f>
        <v>1756</v>
      </c>
      <c r="B1698" s="4" t="s">
        <v>4487</v>
      </c>
      <c r="C1698" s="4" t="s">
        <v>4488</v>
      </c>
      <c r="D1698" s="5" t="s">
        <v>4489</v>
      </c>
      <c r="E1698" s="5">
        <f>LOOKUP(D1698,'AMFI DATA_2023H1'!B:D,'AMFI DATA_2023H1'!D:D)</f>
        <v>211.19</v>
      </c>
      <c r="F1698" s="7">
        <f t="shared" si="6"/>
        <v>0.41105165964297563</v>
      </c>
      <c r="G1698" s="9">
        <v>298</v>
      </c>
      <c r="H1698" s="9">
        <v>303</v>
      </c>
      <c r="I1698" s="9">
        <v>302</v>
      </c>
      <c r="J1698" s="9">
        <v>300</v>
      </c>
      <c r="K1698" s="9">
        <v>305</v>
      </c>
      <c r="L1698" s="9">
        <v>310</v>
      </c>
      <c r="M1698" s="9"/>
      <c r="N1698" s="9"/>
      <c r="O1698" s="9"/>
      <c r="P1698" s="9"/>
      <c r="Q1698" s="9">
        <f ca="1">IFERROR(__xludf.DUMMYFUNCTION("GOOGLEFINANCE(C1698,""changepct"")"),-1.79)</f>
        <v>-1.79</v>
      </c>
      <c r="R1698" s="9"/>
      <c r="S1698" s="9"/>
      <c r="T1698" s="9"/>
      <c r="U1698" s="9"/>
      <c r="V1698" s="9"/>
      <c r="W1698" s="9"/>
    </row>
    <row r="1699" spans="1:23" ht="14.4">
      <c r="A1699" s="3">
        <f>LOOKUP(D1699,'AMFI DATA_2023H1'!B:C,'AMFI DATA_2023H1'!C:C)</f>
        <v>2632</v>
      </c>
      <c r="B1699" s="4" t="s">
        <v>5434</v>
      </c>
      <c r="C1699" s="4" t="s">
        <v>5435</v>
      </c>
      <c r="D1699" s="5" t="s">
        <v>5436</v>
      </c>
      <c r="E1699" s="5">
        <f>LOOKUP(D1699,'AMFI DATA_2023H1'!B:D,'AMFI DATA_2023H1'!D:D)</f>
        <v>50.7</v>
      </c>
      <c r="F1699" s="7">
        <f t="shared" si="6"/>
        <v>0.53254437869822491</v>
      </c>
      <c r="G1699" s="9">
        <v>77.7</v>
      </c>
      <c r="H1699" s="9">
        <v>79.2</v>
      </c>
      <c r="I1699" s="9">
        <v>76.2</v>
      </c>
      <c r="J1699" s="9">
        <v>77.8</v>
      </c>
      <c r="K1699" s="9">
        <v>80</v>
      </c>
      <c r="L1699" s="9">
        <v>79.2</v>
      </c>
      <c r="M1699" s="9"/>
      <c r="N1699" s="9"/>
      <c r="O1699" s="9"/>
      <c r="P1699" s="9"/>
      <c r="Q1699" s="9">
        <f ca="1">IFERROR(__xludf.DUMMYFUNCTION("GOOGLEFINANCE(C1699,""changepct"")"),-5.68)</f>
        <v>-5.68</v>
      </c>
      <c r="R1699" s="9"/>
      <c r="S1699" s="9"/>
      <c r="T1699" s="9"/>
      <c r="U1699" s="9"/>
      <c r="V1699" s="9"/>
      <c r="W1699" s="9"/>
    </row>
    <row r="1700" spans="1:23" ht="14.4">
      <c r="A1700" s="3">
        <f>LOOKUP(D1700,'AMFI DATA_2023H1'!B:C,'AMFI DATA_2023H1'!C:C)</f>
        <v>1193</v>
      </c>
      <c r="B1700" s="4" t="s">
        <v>3317</v>
      </c>
      <c r="C1700" s="4" t="s">
        <v>3318</v>
      </c>
      <c r="D1700" s="5" t="s">
        <v>3319</v>
      </c>
      <c r="E1700" s="5">
        <f>LOOKUP(D1700,'AMFI DATA_2023H1'!B:D,'AMFI DATA_2023H1'!D:D)</f>
        <v>708.8</v>
      </c>
      <c r="F1700" s="7">
        <f t="shared" si="6"/>
        <v>0.90603837471783311</v>
      </c>
      <c r="G1700" s="8">
        <v>1351</v>
      </c>
      <c r="H1700" s="8">
        <v>1334</v>
      </c>
      <c r="I1700" s="8">
        <v>1313</v>
      </c>
      <c r="J1700" s="8">
        <v>1358</v>
      </c>
      <c r="K1700" s="8">
        <v>1386</v>
      </c>
      <c r="L1700" s="8">
        <v>1368</v>
      </c>
      <c r="M1700" s="8"/>
      <c r="N1700" s="8"/>
      <c r="O1700" s="8"/>
      <c r="P1700" s="8"/>
      <c r="Q1700" s="9">
        <f ca="1">IFERROR(__xludf.DUMMYFUNCTION("GOOGLEFINANCE(C1700,""changepct"")"),11.6)</f>
        <v>11.6</v>
      </c>
      <c r="R1700" s="8"/>
      <c r="S1700" s="8"/>
      <c r="T1700" s="8"/>
      <c r="U1700" s="8"/>
      <c r="V1700" s="8"/>
      <c r="W1700" s="8"/>
    </row>
    <row r="1701" spans="1:23" ht="14.4">
      <c r="A1701" s="3">
        <f>LOOKUP(D1701,'AMFI DATA_2023H1'!B:C,'AMFI DATA_2023H1'!C:C)</f>
        <v>839</v>
      </c>
      <c r="B1701" s="4" t="s">
        <v>1953</v>
      </c>
      <c r="C1701" s="4" t="s">
        <v>1954</v>
      </c>
      <c r="D1701" s="5" t="s">
        <v>1955</v>
      </c>
      <c r="E1701" s="5">
        <f>LOOKUP(D1701,'AMFI DATA_2023H1'!B:D,'AMFI DATA_2023H1'!D:D)</f>
        <v>1743.41</v>
      </c>
      <c r="F1701" s="7">
        <f t="shared" si="6"/>
        <v>2.8223940438565798</v>
      </c>
      <c r="G1701" s="8">
        <v>6664</v>
      </c>
      <c r="H1701" s="8">
        <v>6565</v>
      </c>
      <c r="I1701" s="8">
        <v>6490</v>
      </c>
      <c r="J1701" s="8">
        <v>6653</v>
      </c>
      <c r="K1701" s="8">
        <v>6789</v>
      </c>
      <c r="L1701" s="8">
        <v>6634</v>
      </c>
      <c r="M1701" s="8"/>
      <c r="N1701" s="8"/>
      <c r="O1701" s="8"/>
      <c r="P1701" s="8"/>
      <c r="Q1701" s="9">
        <f ca="1">IFERROR(__xludf.DUMMYFUNCTION("GOOGLEFINANCE(C1701,""changepct"")"),15.78)</f>
        <v>15.78</v>
      </c>
      <c r="R1701" s="8"/>
      <c r="S1701" s="8"/>
      <c r="T1701" s="8"/>
      <c r="U1701" s="8"/>
      <c r="V1701" s="8"/>
      <c r="W1701" s="8"/>
    </row>
    <row r="1702" spans="1:23" ht="14.4">
      <c r="A1702" s="3">
        <f>LOOKUP(D1702,'AMFI DATA_2023H1'!B:C,'AMFI DATA_2023H1'!C:C)</f>
        <v>1921</v>
      </c>
      <c r="B1702" s="4" t="s">
        <v>4661</v>
      </c>
      <c r="C1702" s="4" t="s">
        <v>4662</v>
      </c>
      <c r="D1702" s="5" t="s">
        <v>4663</v>
      </c>
      <c r="E1702" s="5">
        <f>LOOKUP(D1702,'AMFI DATA_2023H1'!B:D,'AMFI DATA_2023H1'!D:D)</f>
        <v>161.53</v>
      </c>
      <c r="F1702" s="7">
        <f t="shared" si="6"/>
        <v>0.33721290162818041</v>
      </c>
      <c r="G1702" s="9">
        <v>216</v>
      </c>
      <c r="H1702" s="9">
        <v>214</v>
      </c>
      <c r="I1702" s="9">
        <v>216</v>
      </c>
      <c r="J1702" s="9">
        <v>217</v>
      </c>
      <c r="K1702" s="9">
        <v>220</v>
      </c>
      <c r="L1702" s="9">
        <v>219</v>
      </c>
      <c r="M1702" s="9"/>
      <c r="N1702" s="9"/>
      <c r="O1702" s="9"/>
      <c r="P1702" s="9"/>
      <c r="Q1702" s="9">
        <f ca="1">IFERROR(__xludf.DUMMYFUNCTION("GOOGLEFINANCE(C1702,""changepct"")"),0.42)</f>
        <v>0.42</v>
      </c>
      <c r="R1702" s="9"/>
      <c r="S1702" s="9"/>
      <c r="T1702" s="9"/>
      <c r="U1702" s="9"/>
      <c r="V1702" s="9"/>
      <c r="W1702" s="9"/>
    </row>
    <row r="1703" spans="1:23" ht="14.4">
      <c r="A1703" s="3">
        <f>LOOKUP(D1703,'AMFI DATA_2023H1'!B:C,'AMFI DATA_2023H1'!C:C)</f>
        <v>3013</v>
      </c>
      <c r="B1703" s="4" t="s">
        <v>5569</v>
      </c>
      <c r="C1703" s="4" t="s">
        <v>5570</v>
      </c>
      <c r="D1703" s="5" t="s">
        <v>5571</v>
      </c>
      <c r="E1703" s="5">
        <f>LOOKUP(D1703,'AMFI DATA_2023H1'!B:D,'AMFI DATA_2023H1'!D:D)</f>
        <v>29.79</v>
      </c>
      <c r="F1703" s="7">
        <f t="shared" si="6"/>
        <v>0.4635783820073851</v>
      </c>
      <c r="G1703" s="9">
        <v>43.6</v>
      </c>
      <c r="H1703" s="9">
        <v>44.5</v>
      </c>
      <c r="I1703" s="9">
        <v>45.4</v>
      </c>
      <c r="J1703" s="9">
        <v>46.3</v>
      </c>
      <c r="K1703" s="9">
        <v>47</v>
      </c>
      <c r="L1703" s="9">
        <v>48</v>
      </c>
      <c r="M1703" s="9"/>
      <c r="N1703" s="9"/>
      <c r="O1703" s="9"/>
      <c r="P1703" s="9"/>
      <c r="Q1703" s="9">
        <f ca="1">IFERROR(__xludf.DUMMYFUNCTION("GOOGLEFINANCE(C1703,""changepct"")"),-0.31)</f>
        <v>-0.31</v>
      </c>
      <c r="R1703" s="9"/>
      <c r="S1703" s="9"/>
      <c r="T1703" s="9"/>
      <c r="U1703" s="9"/>
      <c r="V1703" s="9"/>
      <c r="W1703" s="9"/>
    </row>
    <row r="1704" spans="1:23" ht="14.4">
      <c r="A1704" s="3">
        <f>LOOKUP(D1704,'AMFI DATA_2023H1'!B:C,'AMFI DATA_2023H1'!C:C)</f>
        <v>883</v>
      </c>
      <c r="B1704" s="4" t="s">
        <v>2162</v>
      </c>
      <c r="C1704" s="4" t="s">
        <v>2163</v>
      </c>
      <c r="D1704" s="5" t="s">
        <v>2164</v>
      </c>
      <c r="E1704" s="5">
        <f>LOOKUP(D1704,'AMFI DATA_2023H1'!B:D,'AMFI DATA_2023H1'!D:D)</f>
        <v>1560.19</v>
      </c>
      <c r="F1704" s="7">
        <f t="shared" si="6"/>
        <v>1.4426512155570794</v>
      </c>
      <c r="G1704" s="8">
        <v>3811</v>
      </c>
      <c r="H1704" s="8">
        <v>4124</v>
      </c>
      <c r="I1704" s="8">
        <v>4123</v>
      </c>
      <c r="J1704" s="8">
        <v>4177</v>
      </c>
      <c r="K1704" s="8">
        <v>4096</v>
      </c>
      <c r="L1704" s="8">
        <v>3870</v>
      </c>
      <c r="M1704" s="8"/>
      <c r="N1704" s="8"/>
      <c r="O1704" s="8"/>
      <c r="P1704" s="8"/>
      <c r="Q1704" s="9">
        <f ca="1">IFERROR(__xludf.DUMMYFUNCTION("GOOGLEFINANCE(C1704,""changepct"")"),1.5)</f>
        <v>1.5</v>
      </c>
      <c r="R1704" s="8"/>
      <c r="S1704" s="8"/>
      <c r="T1704" s="8"/>
      <c r="U1704" s="8"/>
      <c r="V1704" s="8"/>
      <c r="W1704" s="8"/>
    </row>
    <row r="1705" spans="1:23" ht="14.4">
      <c r="A1705" s="3">
        <f>LOOKUP(D1705,'AMFI DATA_2023H1'!B:C,'AMFI DATA_2023H1'!C:C)</f>
        <v>868</v>
      </c>
      <c r="B1705" s="4" t="s">
        <v>2969</v>
      </c>
      <c r="C1705" s="4" t="s">
        <v>2970</v>
      </c>
      <c r="D1705" s="5" t="s">
        <v>2971</v>
      </c>
      <c r="E1705" s="5">
        <f>LOOKUP(D1705,'AMFI DATA_2023H1'!B:D,'AMFI DATA_2023H1'!D:D)</f>
        <v>1616.05</v>
      </c>
      <c r="F1705" s="7">
        <f t="shared" si="6"/>
        <v>-6.8098140527830142E-2</v>
      </c>
      <c r="G1705" s="8">
        <v>1506</v>
      </c>
      <c r="H1705" s="8">
        <v>1509</v>
      </c>
      <c r="I1705" s="8">
        <v>1501</v>
      </c>
      <c r="J1705" s="8">
        <v>1499</v>
      </c>
      <c r="K1705" s="8">
        <v>1472</v>
      </c>
      <c r="L1705" s="8">
        <v>1477</v>
      </c>
      <c r="M1705" s="8"/>
      <c r="N1705" s="8"/>
      <c r="O1705" s="8"/>
      <c r="P1705" s="8"/>
      <c r="Q1705" s="9">
        <f ca="1">IFERROR(__xludf.DUMMYFUNCTION("GOOGLEFINANCE(C1705,""changepct"")"),3.06)</f>
        <v>3.06</v>
      </c>
      <c r="R1705" s="8"/>
      <c r="S1705" s="8"/>
      <c r="T1705" s="8"/>
      <c r="U1705" s="8"/>
      <c r="V1705" s="8"/>
      <c r="W1705" s="8"/>
    </row>
    <row r="1706" spans="1:23" ht="14.4">
      <c r="A1706" s="3">
        <f>LOOKUP(D1706,'AMFI DATA_2023H1'!B:C,'AMFI DATA_2023H1'!C:C)</f>
        <v>997</v>
      </c>
      <c r="B1706" s="4" t="s">
        <v>2567</v>
      </c>
      <c r="C1706" s="4" t="s">
        <v>2568</v>
      </c>
      <c r="D1706" s="5" t="s">
        <v>2569</v>
      </c>
      <c r="E1706" s="5">
        <f>LOOKUP(D1706,'AMFI DATA_2023H1'!B:D,'AMFI DATA_2023H1'!D:D)</f>
        <v>1183.6099999999999</v>
      </c>
      <c r="F1706" s="7">
        <f t="shared" si="6"/>
        <v>1.2532759946266085</v>
      </c>
      <c r="G1706" s="8">
        <v>2667</v>
      </c>
      <c r="H1706" s="8">
        <v>2706</v>
      </c>
      <c r="I1706" s="8">
        <v>2744</v>
      </c>
      <c r="J1706" s="8">
        <v>2706</v>
      </c>
      <c r="K1706" s="8">
        <v>2713</v>
      </c>
      <c r="L1706" s="8">
        <v>2615</v>
      </c>
      <c r="M1706" s="8"/>
      <c r="N1706" s="8"/>
      <c r="O1706" s="8"/>
      <c r="P1706" s="8"/>
      <c r="Q1706" s="9">
        <f ca="1">IFERROR(__xludf.DUMMYFUNCTION("GOOGLEFINANCE(C1706,""changepct"")"),5.75)</f>
        <v>5.75</v>
      </c>
      <c r="R1706" s="8"/>
      <c r="S1706" s="8"/>
      <c r="T1706" s="8"/>
      <c r="U1706" s="8"/>
      <c r="V1706" s="8"/>
      <c r="W1706" s="8"/>
    </row>
    <row r="1707" spans="1:23" ht="14.4">
      <c r="A1707" s="3">
        <f>LOOKUP(D1707,'AMFI DATA_2023H1'!B:C,'AMFI DATA_2023H1'!C:C)</f>
        <v>1916</v>
      </c>
      <c r="B1707" s="4" t="s">
        <v>4769</v>
      </c>
      <c r="C1707" s="4" t="s">
        <v>4770</v>
      </c>
      <c r="D1707" s="5" t="s">
        <v>4771</v>
      </c>
      <c r="E1707" s="5">
        <f>LOOKUP(D1707,'AMFI DATA_2023H1'!B:D,'AMFI DATA_2023H1'!D:D)</f>
        <v>162.33000000000001</v>
      </c>
      <c r="F1707" s="7">
        <f t="shared" si="6"/>
        <v>0.49079036530524234</v>
      </c>
      <c r="G1707" s="9">
        <v>242</v>
      </c>
      <c r="H1707" s="9">
        <v>243</v>
      </c>
      <c r="I1707" s="9">
        <v>253</v>
      </c>
      <c r="J1707" s="9">
        <v>246</v>
      </c>
      <c r="K1707" s="9">
        <v>235</v>
      </c>
      <c r="L1707" s="9">
        <v>237</v>
      </c>
      <c r="M1707" s="9"/>
      <c r="N1707" s="9"/>
      <c r="O1707" s="9"/>
      <c r="P1707" s="9"/>
      <c r="Q1707" s="9">
        <f ca="1">IFERROR(__xludf.DUMMYFUNCTION("GOOGLEFINANCE(C1707,""changepct"")"),-3.63)</f>
        <v>-3.63</v>
      </c>
      <c r="R1707" s="9"/>
      <c r="S1707" s="9"/>
      <c r="T1707" s="9"/>
      <c r="U1707" s="9"/>
      <c r="V1707" s="9"/>
      <c r="W1707" s="9"/>
    </row>
    <row r="1708" spans="1:23" ht="14.4">
      <c r="A1708" s="3">
        <f>LOOKUP(D1708,'AMFI DATA_2023H1'!B:C,'AMFI DATA_2023H1'!C:C)</f>
        <v>177</v>
      </c>
      <c r="B1708" s="4" t="s">
        <v>567</v>
      </c>
      <c r="C1708" s="4" t="s">
        <v>568</v>
      </c>
      <c r="D1708" s="5" t="s">
        <v>569</v>
      </c>
      <c r="E1708" s="5">
        <f>LOOKUP(D1708,'AMFI DATA_2023H1'!B:D,'AMFI DATA_2023H1'!D:D)</f>
        <v>27450.74</v>
      </c>
      <c r="F1708" s="7">
        <f t="shared" si="6"/>
        <v>0.38728500579583636</v>
      </c>
      <c r="G1708" s="8">
        <v>38082</v>
      </c>
      <c r="H1708" s="8">
        <v>38070</v>
      </c>
      <c r="I1708" s="8">
        <v>37825</v>
      </c>
      <c r="J1708" s="8">
        <v>37447</v>
      </c>
      <c r="K1708" s="8">
        <v>37472</v>
      </c>
      <c r="L1708" s="8">
        <v>37472</v>
      </c>
      <c r="M1708" s="8"/>
      <c r="N1708" s="8"/>
      <c r="O1708" s="8"/>
      <c r="P1708" s="8"/>
      <c r="Q1708" s="9">
        <f ca="1">IFERROR(__xludf.DUMMYFUNCTION("GOOGLEFINANCE(C1708,""changepct"")"),-0.75)</f>
        <v>-0.75</v>
      </c>
      <c r="R1708" s="8"/>
      <c r="S1708" s="8"/>
      <c r="T1708" s="8"/>
      <c r="U1708" s="8"/>
      <c r="V1708" s="8"/>
      <c r="W1708" s="8"/>
    </row>
    <row r="1709" spans="1:23" ht="14.4">
      <c r="A1709" s="3">
        <f>LOOKUP(D1709,'AMFI DATA_2023H1'!B:C,'AMFI DATA_2023H1'!C:C)</f>
        <v>360</v>
      </c>
      <c r="B1709" s="4" t="s">
        <v>1104</v>
      </c>
      <c r="C1709" s="4" t="s">
        <v>1105</v>
      </c>
      <c r="D1709" s="5" t="s">
        <v>1106</v>
      </c>
      <c r="E1709" s="5">
        <f>LOOKUP(D1709,'AMFI DATA_2023H1'!B:D,'AMFI DATA_2023H1'!D:D)</f>
        <v>9411.2000000000007</v>
      </c>
      <c r="F1709" s="7">
        <f t="shared" si="6"/>
        <v>0.47600731043862621</v>
      </c>
      <c r="G1709" s="8">
        <v>13891</v>
      </c>
      <c r="H1709" s="8">
        <v>13959</v>
      </c>
      <c r="I1709" s="8">
        <v>13873</v>
      </c>
      <c r="J1709" s="8">
        <v>14020</v>
      </c>
      <c r="K1709" s="8">
        <v>14248</v>
      </c>
      <c r="L1709" s="8">
        <v>14507</v>
      </c>
      <c r="M1709" s="8"/>
      <c r="N1709" s="8"/>
      <c r="O1709" s="8"/>
      <c r="P1709" s="8"/>
      <c r="Q1709" s="9">
        <f ca="1">IFERROR(__xludf.DUMMYFUNCTION("GOOGLEFINANCE(C1709,""changepct"")"),0.96)</f>
        <v>0.96</v>
      </c>
      <c r="R1709" s="8"/>
      <c r="S1709" s="8"/>
      <c r="T1709" s="8"/>
      <c r="U1709" s="8"/>
      <c r="V1709" s="8"/>
      <c r="W1709" s="8"/>
    </row>
    <row r="1710" spans="1:23" ht="14.4">
      <c r="A1710" s="3">
        <f>LOOKUP(D1710,'AMFI DATA_2023H1'!B:C,'AMFI DATA_2023H1'!C:C)</f>
        <v>2266</v>
      </c>
      <c r="B1710" s="4" t="s">
        <v>5177</v>
      </c>
      <c r="C1710" s="4" t="s">
        <v>5178</v>
      </c>
      <c r="D1710" s="5" t="s">
        <v>5179</v>
      </c>
      <c r="E1710" s="5">
        <f>LOOKUP(D1710,'AMFI DATA_2023H1'!B:D,'AMFI DATA_2023H1'!D:D)</f>
        <v>92.43</v>
      </c>
      <c r="F1710" s="7">
        <f t="shared" si="6"/>
        <v>0.15763280320242345</v>
      </c>
      <c r="G1710" s="9">
        <v>107</v>
      </c>
      <c r="H1710" s="9">
        <v>106</v>
      </c>
      <c r="I1710" s="9">
        <v>108</v>
      </c>
      <c r="J1710" s="9">
        <v>110</v>
      </c>
      <c r="K1710" s="9">
        <v>109</v>
      </c>
      <c r="L1710" s="9">
        <v>109</v>
      </c>
      <c r="M1710" s="9"/>
      <c r="N1710" s="9"/>
      <c r="O1710" s="9"/>
      <c r="P1710" s="9"/>
      <c r="Q1710" s="9">
        <f ca="1">IFERROR(__xludf.DUMMYFUNCTION("GOOGLEFINANCE(C1710,""changepct"")"),-0.41)</f>
        <v>-0.41</v>
      </c>
      <c r="R1710" s="9"/>
      <c r="S1710" s="9"/>
      <c r="T1710" s="9"/>
      <c r="U1710" s="9"/>
      <c r="V1710" s="9"/>
      <c r="W1710" s="9"/>
    </row>
    <row r="1711" spans="1:23" ht="14.4">
      <c r="A1711" s="3">
        <f>LOOKUP(D1711,'AMFI DATA_2023H1'!B:C,'AMFI DATA_2023H1'!C:C)</f>
        <v>1304</v>
      </c>
      <c r="B1711" s="4" t="s">
        <v>3620</v>
      </c>
      <c r="C1711" s="4" t="s">
        <v>3621</v>
      </c>
      <c r="D1711" s="5" t="s">
        <v>3622</v>
      </c>
      <c r="E1711" s="5">
        <f>LOOKUP(D1711,'AMFI DATA_2023H1'!B:D,'AMFI DATA_2023H1'!D:D)</f>
        <v>516.73</v>
      </c>
      <c r="F1711" s="7">
        <f t="shared" si="6"/>
        <v>0.73398099587792465</v>
      </c>
      <c r="G1711" s="9">
        <v>896</v>
      </c>
      <c r="H1711" s="9">
        <v>856</v>
      </c>
      <c r="I1711" s="9">
        <v>853</v>
      </c>
      <c r="J1711" s="9">
        <v>856</v>
      </c>
      <c r="K1711" s="9">
        <v>847</v>
      </c>
      <c r="L1711" s="9">
        <v>862</v>
      </c>
      <c r="M1711" s="9"/>
      <c r="N1711" s="9"/>
      <c r="O1711" s="9"/>
      <c r="P1711" s="9"/>
      <c r="Q1711" s="9">
        <f ca="1">IFERROR(__xludf.DUMMYFUNCTION("GOOGLEFINANCE(C1711,""changepct"")"),-2.6)</f>
        <v>-2.6</v>
      </c>
      <c r="R1711" s="9"/>
      <c r="S1711" s="9"/>
      <c r="T1711" s="9"/>
      <c r="U1711" s="9"/>
      <c r="V1711" s="9"/>
      <c r="W1711" s="9"/>
    </row>
    <row r="1712" spans="1:23" ht="14.4">
      <c r="A1712" s="3">
        <f>LOOKUP(D1712,'AMFI DATA_2023H1'!B:C,'AMFI DATA_2023H1'!C:C)</f>
        <v>453</v>
      </c>
      <c r="B1712" s="4" t="s">
        <v>1521</v>
      </c>
      <c r="C1712" s="4" t="s">
        <v>1522</v>
      </c>
      <c r="D1712" s="5" t="s">
        <v>1523</v>
      </c>
      <c r="E1712" s="5">
        <f>LOOKUP(D1712,'AMFI DATA_2023H1'!B:D,'AMFI DATA_2023H1'!D:D)</f>
        <v>6156.86</v>
      </c>
      <c r="F1712" s="7">
        <f t="shared" si="6"/>
        <v>0.31463115938968889</v>
      </c>
      <c r="G1712" s="8">
        <v>8094</v>
      </c>
      <c r="H1712" s="8">
        <v>8023</v>
      </c>
      <c r="I1712" s="8">
        <v>7964</v>
      </c>
      <c r="J1712" s="8">
        <v>8000</v>
      </c>
      <c r="K1712" s="8">
        <v>8090</v>
      </c>
      <c r="L1712" s="8">
        <v>7792</v>
      </c>
      <c r="M1712" s="8"/>
      <c r="N1712" s="8"/>
      <c r="O1712" s="8"/>
      <c r="P1712" s="8"/>
      <c r="Q1712" s="9">
        <f ca="1">IFERROR(__xludf.DUMMYFUNCTION("GOOGLEFINANCE(C1712,""changepct"")"),0.94)</f>
        <v>0.94</v>
      </c>
      <c r="R1712" s="8"/>
      <c r="S1712" s="8"/>
      <c r="T1712" s="8"/>
      <c r="U1712" s="8"/>
      <c r="V1712" s="8"/>
      <c r="W1712" s="8"/>
    </row>
    <row r="1713" spans="1:23" ht="14.4">
      <c r="A1713" s="3">
        <f>LOOKUP(D1713,'AMFI DATA_2023H1'!B:C,'AMFI DATA_2023H1'!C:C)</f>
        <v>108</v>
      </c>
      <c r="B1713" s="4" t="s">
        <v>345</v>
      </c>
      <c r="C1713" s="4" t="s">
        <v>346</v>
      </c>
      <c r="D1713" s="5" t="s">
        <v>347</v>
      </c>
      <c r="E1713" s="5">
        <f>LOOKUP(D1713,'AMFI DATA_2023H1'!B:D,'AMFI DATA_2023H1'!D:D)</f>
        <v>48137.83</v>
      </c>
      <c r="F1713" s="7">
        <f t="shared" si="6"/>
        <v>0.28709582463521932</v>
      </c>
      <c r="G1713" s="8">
        <v>61958</v>
      </c>
      <c r="H1713" s="8">
        <v>62242</v>
      </c>
      <c r="I1713" s="8">
        <v>61681</v>
      </c>
      <c r="J1713" s="8">
        <v>62050</v>
      </c>
      <c r="K1713" s="8">
        <v>61972</v>
      </c>
      <c r="L1713" s="8">
        <v>62384</v>
      </c>
      <c r="M1713" s="8"/>
      <c r="N1713" s="8"/>
      <c r="O1713" s="8"/>
      <c r="P1713" s="8"/>
      <c r="Q1713" s="9">
        <f ca="1">IFERROR(__xludf.DUMMYFUNCTION("GOOGLEFINANCE(C1713,""changepct"")"),4.18)</f>
        <v>4.18</v>
      </c>
      <c r="R1713" s="8"/>
      <c r="S1713" s="8"/>
      <c r="T1713" s="8"/>
      <c r="U1713" s="8"/>
      <c r="V1713" s="8"/>
      <c r="W1713" s="8"/>
    </row>
    <row r="1714" spans="1:23" ht="14.4">
      <c r="A1714" s="3">
        <f>LOOKUP(D1714,'AMFI DATA_2023H1'!B:C,'AMFI DATA_2023H1'!C:C)</f>
        <v>1374</v>
      </c>
      <c r="B1714" s="4" t="s">
        <v>4049</v>
      </c>
      <c r="C1714" s="4" t="s">
        <v>4050</v>
      </c>
      <c r="D1714" s="5" t="s">
        <v>4051</v>
      </c>
      <c r="E1714" s="5">
        <f>LOOKUP(D1714,'AMFI DATA_2023H1'!B:D,'AMFI DATA_2023H1'!D:D)</f>
        <v>435.07</v>
      </c>
      <c r="F1714" s="7">
        <f t="shared" si="6"/>
        <v>0.47562461213138119</v>
      </c>
      <c r="G1714" s="9">
        <v>642</v>
      </c>
      <c r="H1714" s="9">
        <v>612</v>
      </c>
      <c r="I1714" s="9">
        <v>624</v>
      </c>
      <c r="J1714" s="9">
        <v>600</v>
      </c>
      <c r="K1714" s="9">
        <v>571</v>
      </c>
      <c r="L1714" s="9">
        <v>554</v>
      </c>
      <c r="M1714" s="9"/>
      <c r="N1714" s="9"/>
      <c r="O1714" s="9"/>
      <c r="P1714" s="9"/>
      <c r="Q1714" s="9">
        <f ca="1">IFERROR(__xludf.DUMMYFUNCTION("GOOGLEFINANCE(C1714,""changepct"")"),9.08)</f>
        <v>9.08</v>
      </c>
      <c r="R1714" s="9"/>
      <c r="S1714" s="9"/>
      <c r="T1714" s="9"/>
      <c r="U1714" s="9"/>
      <c r="V1714" s="9"/>
      <c r="W1714" s="9"/>
    </row>
    <row r="1715" spans="1:23" ht="14.4">
      <c r="A1715" s="3">
        <f>LOOKUP(D1715,'AMFI DATA_2023H1'!B:C,'AMFI DATA_2023H1'!C:C)</f>
        <v>506</v>
      </c>
      <c r="B1715" s="4" t="s">
        <v>1263</v>
      </c>
      <c r="C1715" s="4" t="s">
        <v>1264</v>
      </c>
      <c r="D1715" s="5" t="s">
        <v>1265</v>
      </c>
      <c r="E1715" s="5">
        <f>LOOKUP(D1715,'AMFI DATA_2023H1'!B:D,'AMFI DATA_2023H1'!D:D)</f>
        <v>5131.22</v>
      </c>
      <c r="F1715" s="7">
        <f t="shared" si="6"/>
        <v>1.6771411087421702</v>
      </c>
      <c r="G1715" s="8">
        <v>13737</v>
      </c>
      <c r="H1715" s="8">
        <v>13544</v>
      </c>
      <c r="I1715" s="8">
        <v>13776</v>
      </c>
      <c r="J1715" s="8">
        <v>13655</v>
      </c>
      <c r="K1715" s="8">
        <v>13858</v>
      </c>
      <c r="L1715" s="8">
        <v>14062</v>
      </c>
      <c r="M1715" s="8"/>
      <c r="N1715" s="8"/>
      <c r="O1715" s="8"/>
      <c r="P1715" s="8"/>
      <c r="Q1715" s="9">
        <f ca="1">IFERROR(__xludf.DUMMYFUNCTION("GOOGLEFINANCE(C1715,""changepct"")"),-1.78)</f>
        <v>-1.78</v>
      </c>
      <c r="R1715" s="8"/>
      <c r="S1715" s="8"/>
      <c r="T1715" s="8"/>
      <c r="U1715" s="8"/>
      <c r="V1715" s="8"/>
      <c r="W1715" s="8"/>
    </row>
    <row r="1716" spans="1:23" ht="14.4">
      <c r="A1716" s="3">
        <f>LOOKUP(D1716,'AMFI DATA_2023H1'!B:C,'AMFI DATA_2023H1'!C:C)</f>
        <v>543</v>
      </c>
      <c r="B1716" s="4" t="s">
        <v>1500</v>
      </c>
      <c r="C1716" s="4" t="s">
        <v>1501</v>
      </c>
      <c r="D1716" s="5" t="s">
        <v>1502</v>
      </c>
      <c r="E1716" s="5">
        <f>LOOKUP(D1716,'AMFI DATA_2023H1'!B:D,'AMFI DATA_2023H1'!D:D)</f>
        <v>4451.47</v>
      </c>
      <c r="F1716" s="7">
        <f t="shared" si="6"/>
        <v>0.84815353130538895</v>
      </c>
      <c r="G1716" s="8">
        <v>8227</v>
      </c>
      <c r="H1716" s="8">
        <v>8114</v>
      </c>
      <c r="I1716" s="8">
        <v>8154</v>
      </c>
      <c r="J1716" s="8">
        <v>8138</v>
      </c>
      <c r="K1716" s="8">
        <v>8183</v>
      </c>
      <c r="L1716" s="8">
        <v>8247</v>
      </c>
      <c r="M1716" s="8"/>
      <c r="N1716" s="8"/>
      <c r="O1716" s="8"/>
      <c r="P1716" s="8"/>
      <c r="Q1716" s="9">
        <f ca="1">IFERROR(__xludf.DUMMYFUNCTION("GOOGLEFINANCE(C1716,""changepct"")"),3.5)</f>
        <v>3.5</v>
      </c>
      <c r="R1716" s="8"/>
      <c r="S1716" s="8"/>
      <c r="T1716" s="8"/>
      <c r="U1716" s="8"/>
      <c r="V1716" s="8"/>
      <c r="W1716" s="8"/>
    </row>
    <row r="1717" spans="1:23" ht="14.4">
      <c r="A1717" s="3">
        <f>LOOKUP(D1717,'AMFI DATA_2023H1'!B:C,'AMFI DATA_2023H1'!C:C)</f>
        <v>2140</v>
      </c>
      <c r="B1717" s="4" t="s">
        <v>5012</v>
      </c>
      <c r="C1717" s="4" t="s">
        <v>5013</v>
      </c>
      <c r="D1717" s="5" t="s">
        <v>5014</v>
      </c>
      <c r="E1717" s="5">
        <f>LOOKUP(D1717,'AMFI DATA_2023H1'!B:D,'AMFI DATA_2023H1'!D:D)</f>
        <v>114.88</v>
      </c>
      <c r="F1717" s="7">
        <f t="shared" si="6"/>
        <v>0.54073816155988874</v>
      </c>
      <c r="G1717" s="9">
        <v>177</v>
      </c>
      <c r="H1717" s="9">
        <v>145</v>
      </c>
      <c r="I1717" s="9">
        <v>139</v>
      </c>
      <c r="J1717" s="9">
        <v>136</v>
      </c>
      <c r="K1717" s="9">
        <v>132</v>
      </c>
      <c r="L1717" s="9">
        <v>128</v>
      </c>
      <c r="M1717" s="9"/>
      <c r="N1717" s="9"/>
      <c r="O1717" s="9"/>
      <c r="P1717" s="9"/>
      <c r="Q1717" s="9">
        <f ca="1">IFERROR(__xludf.DUMMYFUNCTION("GOOGLEFINANCE(C1717,""changepct"")"),-1.18)</f>
        <v>-1.18</v>
      </c>
      <c r="R1717" s="9"/>
      <c r="S1717" s="9"/>
      <c r="T1717" s="9"/>
      <c r="U1717" s="9"/>
      <c r="V1717" s="9"/>
      <c r="W1717" s="9"/>
    </row>
    <row r="1718" spans="1:23" ht="14.4">
      <c r="A1718" s="3">
        <f>LOOKUP(D1718,'AMFI DATA_2023H1'!B:C,'AMFI DATA_2023H1'!C:C)</f>
        <v>240</v>
      </c>
      <c r="B1718" s="4" t="s">
        <v>690</v>
      </c>
      <c r="C1718" s="4" t="s">
        <v>691</v>
      </c>
      <c r="D1718" s="5" t="s">
        <v>692</v>
      </c>
      <c r="E1718" s="5">
        <f>LOOKUP(D1718,'AMFI DATA_2023H1'!B:D,'AMFI DATA_2023H1'!D:D)</f>
        <v>18537.38</v>
      </c>
      <c r="F1718" s="7">
        <f t="shared" si="6"/>
        <v>0.92427408835552805</v>
      </c>
      <c r="G1718" s="8">
        <v>35671</v>
      </c>
      <c r="H1718" s="8">
        <v>34649</v>
      </c>
      <c r="I1718" s="8">
        <v>35160</v>
      </c>
      <c r="J1718" s="8">
        <v>35259</v>
      </c>
      <c r="K1718" s="8">
        <v>35037</v>
      </c>
      <c r="L1718" s="8">
        <v>35852</v>
      </c>
      <c r="M1718" s="8"/>
      <c r="N1718" s="8"/>
      <c r="O1718" s="8"/>
      <c r="P1718" s="8"/>
      <c r="Q1718" s="9">
        <f ca="1">IFERROR(__xludf.DUMMYFUNCTION("GOOGLEFINANCE(C1718,""changepct"")"),8.68)</f>
        <v>8.68</v>
      </c>
      <c r="R1718" s="8"/>
      <c r="S1718" s="8"/>
      <c r="T1718" s="8"/>
      <c r="U1718" s="8"/>
      <c r="V1718" s="8"/>
      <c r="W1718" s="8"/>
    </row>
    <row r="1719" spans="1:23" ht="14.4">
      <c r="A1719" s="3">
        <f>LOOKUP(D1719,'AMFI DATA_2023H1'!B:C,'AMFI DATA_2023H1'!C:C)</f>
        <v>864</v>
      </c>
      <c r="B1719" s="4" t="s">
        <v>2198</v>
      </c>
      <c r="C1719" s="4" t="s">
        <v>2199</v>
      </c>
      <c r="D1719" s="5" t="s">
        <v>2200</v>
      </c>
      <c r="E1719" s="5">
        <f>LOOKUP(D1719,'AMFI DATA_2023H1'!B:D,'AMFI DATA_2023H1'!D:D)</f>
        <v>1647.04</v>
      </c>
      <c r="F1719" s="7">
        <f t="shared" si="6"/>
        <v>1.667209053817758</v>
      </c>
      <c r="G1719" s="8">
        <v>4393</v>
      </c>
      <c r="H1719" s="8">
        <v>4258</v>
      </c>
      <c r="I1719" s="8">
        <v>4296</v>
      </c>
      <c r="J1719" s="8">
        <v>4300</v>
      </c>
      <c r="K1719" s="8">
        <v>4362</v>
      </c>
      <c r="L1719" s="8">
        <v>4346</v>
      </c>
      <c r="M1719" s="8"/>
      <c r="N1719" s="8"/>
      <c r="O1719" s="8"/>
      <c r="P1719" s="8"/>
      <c r="Q1719" s="9">
        <f ca="1">IFERROR(__xludf.DUMMYFUNCTION("GOOGLEFINANCE(C1719,""changepct"")"),3.28)</f>
        <v>3.28</v>
      </c>
      <c r="R1719" s="8"/>
      <c r="S1719" s="8"/>
      <c r="T1719" s="8"/>
      <c r="U1719" s="8"/>
      <c r="V1719" s="8"/>
      <c r="W1719" s="8"/>
    </row>
    <row r="1720" spans="1:23" ht="14.4">
      <c r="A1720" s="3">
        <f>LOOKUP(D1720,'AMFI DATA_2023H1'!B:C,'AMFI DATA_2023H1'!C:C)</f>
        <v>2338</v>
      </c>
      <c r="B1720" s="4" t="s">
        <v>5269</v>
      </c>
      <c r="C1720" s="4" t="s">
        <v>5270</v>
      </c>
      <c r="D1720" s="5" t="s">
        <v>5271</v>
      </c>
      <c r="E1720" s="5">
        <f>LOOKUP(D1720,'AMFI DATA_2023H1'!B:D,'AMFI DATA_2023H1'!D:D)</f>
        <v>80.760000000000005</v>
      </c>
      <c r="F1720" s="7">
        <f t="shared" si="6"/>
        <v>0.17632491332342726</v>
      </c>
      <c r="G1720" s="9">
        <v>95</v>
      </c>
      <c r="H1720" s="9">
        <v>99.3</v>
      </c>
      <c r="I1720" s="9">
        <v>96</v>
      </c>
      <c r="J1720" s="9">
        <v>98.3</v>
      </c>
      <c r="K1720" s="9">
        <v>94.3</v>
      </c>
      <c r="L1720" s="9">
        <v>94.1</v>
      </c>
      <c r="M1720" s="9"/>
      <c r="N1720" s="9"/>
      <c r="O1720" s="9"/>
      <c r="P1720" s="9"/>
      <c r="Q1720" s="9">
        <f ca="1">IFERROR(__xludf.DUMMYFUNCTION("GOOGLEFINANCE(C1720,""changepct"")"),0.63)</f>
        <v>0.63</v>
      </c>
      <c r="R1720" s="9"/>
      <c r="S1720" s="9"/>
      <c r="T1720" s="9"/>
      <c r="U1720" s="9"/>
      <c r="V1720" s="9"/>
      <c r="W1720" s="9"/>
    </row>
    <row r="1721" spans="1:23" ht="14.4">
      <c r="A1721" s="3">
        <f>LOOKUP(D1721,'AMFI DATA_2023H1'!B:C,'AMFI DATA_2023H1'!C:C)</f>
        <v>192</v>
      </c>
      <c r="B1721" s="4" t="s">
        <v>552</v>
      </c>
      <c r="C1721" s="4" t="s">
        <v>553</v>
      </c>
      <c r="D1721" s="5" t="s">
        <v>554</v>
      </c>
      <c r="E1721" s="5">
        <f>LOOKUP(D1721,'AMFI DATA_2023H1'!B:D,'AMFI DATA_2023H1'!D:D)</f>
        <v>25113</v>
      </c>
      <c r="F1721" s="7">
        <f t="shared" si="6"/>
        <v>0.59694182296021991</v>
      </c>
      <c r="G1721" s="8">
        <v>40104</v>
      </c>
      <c r="H1721" s="8">
        <v>40074</v>
      </c>
      <c r="I1721" s="8">
        <v>40136</v>
      </c>
      <c r="J1721" s="8">
        <v>39891</v>
      </c>
      <c r="K1721" s="8">
        <v>41162</v>
      </c>
      <c r="L1721" s="8">
        <v>41066</v>
      </c>
      <c r="M1721" s="8"/>
      <c r="N1721" s="8"/>
      <c r="O1721" s="8"/>
      <c r="P1721" s="8"/>
      <c r="Q1721" s="9">
        <f ca="1">IFERROR(__xludf.DUMMYFUNCTION("GOOGLEFINANCE(C1721,""changepct"")"),0.39)</f>
        <v>0.39</v>
      </c>
      <c r="R1721" s="8"/>
      <c r="S1721" s="8"/>
      <c r="T1721" s="8"/>
      <c r="U1721" s="8"/>
      <c r="V1721" s="8"/>
      <c r="W1721" s="8"/>
    </row>
    <row r="1722" spans="1:23" ht="14.4">
      <c r="A1722" s="3">
        <f>LOOKUP(D1722,'AMFI DATA_2023H1'!B:C,'AMFI DATA_2023H1'!C:C)</f>
        <v>243</v>
      </c>
      <c r="B1722" s="4" t="s">
        <v>750</v>
      </c>
      <c r="C1722" s="4" t="s">
        <v>751</v>
      </c>
      <c r="D1722" s="5" t="s">
        <v>752</v>
      </c>
      <c r="E1722" s="5">
        <f>LOOKUP(D1722,'AMFI DATA_2023H1'!B:D,'AMFI DATA_2023H1'!D:D)</f>
        <v>18292.27</v>
      </c>
      <c r="F1722" s="7">
        <f t="shared" si="6"/>
        <v>0.30951489344952821</v>
      </c>
      <c r="G1722" s="8">
        <v>23954</v>
      </c>
      <c r="H1722" s="8">
        <v>23985</v>
      </c>
      <c r="I1722" s="8">
        <v>24007</v>
      </c>
      <c r="J1722" s="8">
        <v>24007</v>
      </c>
      <c r="K1722" s="8">
        <v>23325</v>
      </c>
      <c r="L1722" s="8">
        <v>23151</v>
      </c>
      <c r="M1722" s="8"/>
      <c r="N1722" s="8"/>
      <c r="O1722" s="8"/>
      <c r="P1722" s="8"/>
      <c r="Q1722" s="9">
        <f ca="1">IFERROR(__xludf.DUMMYFUNCTION("GOOGLEFINANCE(C1722,""changepct"")"),0.44)</f>
        <v>0.44</v>
      </c>
      <c r="R1722" s="8"/>
      <c r="S1722" s="8"/>
      <c r="T1722" s="8"/>
      <c r="U1722" s="8"/>
      <c r="V1722" s="8"/>
      <c r="W1722" s="8"/>
    </row>
    <row r="1723" spans="1:23" ht="14.4">
      <c r="A1723" s="3">
        <f>LOOKUP(D1723,'AMFI DATA_2023H1'!B:C,'AMFI DATA_2023H1'!C:C)</f>
        <v>1237</v>
      </c>
      <c r="B1723" s="4" t="s">
        <v>3623</v>
      </c>
      <c r="C1723" s="4" t="s">
        <v>3624</v>
      </c>
      <c r="D1723" s="5" t="s">
        <v>3625</v>
      </c>
      <c r="E1723" s="5">
        <f>LOOKUP(D1723,'AMFI DATA_2023H1'!B:D,'AMFI DATA_2023H1'!D:D)</f>
        <v>624.65</v>
      </c>
      <c r="F1723" s="7">
        <f t="shared" si="6"/>
        <v>0.27271271912270878</v>
      </c>
      <c r="G1723" s="9">
        <v>795</v>
      </c>
      <c r="H1723" s="9">
        <v>783</v>
      </c>
      <c r="I1723" s="9">
        <v>765</v>
      </c>
      <c r="J1723" s="9">
        <v>789</v>
      </c>
      <c r="K1723" s="9">
        <v>759</v>
      </c>
      <c r="L1723" s="9">
        <v>765</v>
      </c>
      <c r="M1723" s="9"/>
      <c r="N1723" s="9"/>
      <c r="O1723" s="9"/>
      <c r="P1723" s="9"/>
      <c r="Q1723" s="9">
        <f ca="1">IFERROR(__xludf.DUMMYFUNCTION("GOOGLEFINANCE(C1723,""changepct"")"),-0.29)</f>
        <v>-0.28999999999999998</v>
      </c>
      <c r="R1723" s="9"/>
      <c r="S1723" s="9"/>
      <c r="T1723" s="9"/>
      <c r="U1723" s="9"/>
      <c r="V1723" s="9"/>
      <c r="W1723" s="9"/>
    </row>
    <row r="1724" spans="1:23" ht="14.4">
      <c r="A1724" s="3">
        <f>LOOKUP(D1724,'AMFI DATA_2023H1'!B:C,'AMFI DATA_2023H1'!C:C)</f>
        <v>1189</v>
      </c>
      <c r="B1724" s="4" t="s">
        <v>3617</v>
      </c>
      <c r="C1724" s="4" t="s">
        <v>3618</v>
      </c>
      <c r="D1724" s="5" t="s">
        <v>3619</v>
      </c>
      <c r="E1724" s="5">
        <f>LOOKUP(D1724,'AMFI DATA_2023H1'!B:D,'AMFI DATA_2023H1'!D:D)</f>
        <v>710.57</v>
      </c>
      <c r="F1724" s="7">
        <f t="shared" si="6"/>
        <v>0.19622275074939832</v>
      </c>
      <c r="G1724" s="9">
        <v>850</v>
      </c>
      <c r="H1724" s="9">
        <v>851</v>
      </c>
      <c r="I1724" s="9">
        <v>855</v>
      </c>
      <c r="J1724" s="9">
        <v>842</v>
      </c>
      <c r="K1724" s="9">
        <v>811</v>
      </c>
      <c r="L1724" s="9">
        <v>809</v>
      </c>
      <c r="M1724" s="9"/>
      <c r="N1724" s="9"/>
      <c r="O1724" s="9"/>
      <c r="P1724" s="9"/>
      <c r="Q1724" s="9">
        <f ca="1">IFERROR(__xludf.DUMMYFUNCTION("GOOGLEFINANCE(C1724,""changepct"")"),1.71)</f>
        <v>1.71</v>
      </c>
      <c r="R1724" s="9"/>
      <c r="S1724" s="9"/>
      <c r="T1724" s="9"/>
      <c r="U1724" s="9"/>
      <c r="V1724" s="9"/>
      <c r="W1724" s="9"/>
    </row>
    <row r="1725" spans="1:23" ht="14.4">
      <c r="A1725" s="3">
        <f>LOOKUP(D1725,'AMFI DATA_2023H1'!B:C,'AMFI DATA_2023H1'!C:C)</f>
        <v>607</v>
      </c>
      <c r="B1725" s="4" t="s">
        <v>1809</v>
      </c>
      <c r="C1725" s="4" t="s">
        <v>1810</v>
      </c>
      <c r="D1725" s="5" t="s">
        <v>1811</v>
      </c>
      <c r="E1725" s="5">
        <f>LOOKUP(D1725,'AMFI DATA_2023H1'!B:D,'AMFI DATA_2023H1'!D:D)</f>
        <v>3624.59</v>
      </c>
      <c r="F1725" s="7">
        <f t="shared" si="6"/>
        <v>0.5502443034936364</v>
      </c>
      <c r="G1725" s="8">
        <v>5619</v>
      </c>
      <c r="H1725" s="8">
        <v>5590</v>
      </c>
      <c r="I1725" s="8">
        <v>5594</v>
      </c>
      <c r="J1725" s="8">
        <v>5583</v>
      </c>
      <c r="K1725" s="8">
        <v>5464</v>
      </c>
      <c r="L1725" s="8">
        <v>5577</v>
      </c>
      <c r="M1725" s="8"/>
      <c r="N1725" s="8"/>
      <c r="O1725" s="8"/>
      <c r="P1725" s="8"/>
      <c r="Q1725" s="9">
        <f ca="1">IFERROR(__xludf.DUMMYFUNCTION("GOOGLEFINANCE(C1725,""changepct"")"),0)</f>
        <v>0</v>
      </c>
      <c r="R1725" s="8"/>
      <c r="S1725" s="8"/>
      <c r="T1725" s="8"/>
      <c r="U1725" s="8"/>
      <c r="V1725" s="8"/>
      <c r="W1725" s="8"/>
    </row>
    <row r="1726" spans="1:23" ht="14.4">
      <c r="A1726" s="3">
        <f>LOOKUP(D1726,'AMFI DATA_2023H1'!B:C,'AMFI DATA_2023H1'!C:C)</f>
        <v>1343</v>
      </c>
      <c r="B1726" s="4" t="s">
        <v>3713</v>
      </c>
      <c r="C1726" s="4" t="s">
        <v>3714</v>
      </c>
      <c r="D1726" s="5" t="s">
        <v>3715</v>
      </c>
      <c r="E1726" s="5">
        <f>LOOKUP(D1726,'AMFI DATA_2023H1'!B:D,'AMFI DATA_2023H1'!D:D)</f>
        <v>461.82</v>
      </c>
      <c r="F1726" s="7">
        <f t="shared" si="6"/>
        <v>0.7929063271404444</v>
      </c>
      <c r="G1726" s="9">
        <v>828</v>
      </c>
      <c r="H1726" s="9">
        <v>824</v>
      </c>
      <c r="I1726" s="9">
        <v>832</v>
      </c>
      <c r="J1726" s="9">
        <v>830</v>
      </c>
      <c r="K1726" s="9">
        <v>852</v>
      </c>
      <c r="L1726" s="9">
        <v>815</v>
      </c>
      <c r="M1726" s="9"/>
      <c r="N1726" s="9"/>
      <c r="O1726" s="9"/>
      <c r="P1726" s="9"/>
      <c r="Q1726" s="9">
        <f ca="1">IFERROR(__xludf.DUMMYFUNCTION("GOOGLEFINANCE(C1726,""changepct"")"),11.04)</f>
        <v>11.04</v>
      </c>
      <c r="R1726" s="9"/>
      <c r="S1726" s="9"/>
      <c r="T1726" s="9"/>
      <c r="U1726" s="9"/>
      <c r="V1726" s="9"/>
      <c r="W1726" s="9"/>
    </row>
    <row r="1727" spans="1:23" ht="14.4">
      <c r="A1727" s="3">
        <f>LOOKUP(D1727,'AMFI DATA_2023H1'!B:C,'AMFI DATA_2023H1'!C:C)</f>
        <v>624</v>
      </c>
      <c r="B1727" s="4" t="s">
        <v>1989</v>
      </c>
      <c r="C1727" s="4" t="s">
        <v>1990</v>
      </c>
      <c r="D1727" s="5" t="s">
        <v>1991</v>
      </c>
      <c r="E1727" s="5">
        <f>LOOKUP(D1727,'AMFI DATA_2023H1'!B:D,'AMFI DATA_2023H1'!D:D)</f>
        <v>3418.9</v>
      </c>
      <c r="F1727" s="7">
        <f t="shared" si="6"/>
        <v>0.38641083389394248</v>
      </c>
      <c r="G1727" s="8">
        <v>4740</v>
      </c>
      <c r="H1727" s="8">
        <v>4702</v>
      </c>
      <c r="I1727" s="8">
        <v>4640</v>
      </c>
      <c r="J1727" s="8">
        <v>4611</v>
      </c>
      <c r="K1727" s="8">
        <v>4569</v>
      </c>
      <c r="L1727" s="8">
        <v>4523</v>
      </c>
      <c r="M1727" s="8"/>
      <c r="N1727" s="8"/>
      <c r="O1727" s="8"/>
      <c r="P1727" s="8"/>
      <c r="Q1727" s="9">
        <f ca="1">IFERROR(__xludf.DUMMYFUNCTION("GOOGLEFINANCE(C1727,""changepct"")"),-0.35)</f>
        <v>-0.35</v>
      </c>
      <c r="R1727" s="8"/>
      <c r="S1727" s="8"/>
      <c r="T1727" s="8"/>
      <c r="U1727" s="8"/>
      <c r="V1727" s="8"/>
      <c r="W1727" s="8"/>
    </row>
    <row r="1728" spans="1:23" ht="14.4">
      <c r="A1728" s="3">
        <f>LOOKUP(D1728,'AMFI DATA_2023H1'!B:C,'AMFI DATA_2023H1'!C:C)</f>
        <v>1003</v>
      </c>
      <c r="B1728" s="4" t="s">
        <v>3227</v>
      </c>
      <c r="C1728" s="4" t="s">
        <v>3228</v>
      </c>
      <c r="D1728" s="5" t="s">
        <v>3229</v>
      </c>
      <c r="E1728" s="5">
        <f>LOOKUP(D1728,'AMFI DATA_2023H1'!B:D,'AMFI DATA_2023H1'!D:D)</f>
        <v>1159.6099999999999</v>
      </c>
      <c r="F1728" s="7">
        <f t="shared" si="6"/>
        <v>-0.20231802071386062</v>
      </c>
      <c r="G1728" s="9">
        <v>925</v>
      </c>
      <c r="H1728" s="9">
        <v>922</v>
      </c>
      <c r="I1728" s="9">
        <v>912</v>
      </c>
      <c r="J1728" s="9">
        <v>917</v>
      </c>
      <c r="K1728" s="9">
        <v>928</v>
      </c>
      <c r="L1728" s="9">
        <v>910</v>
      </c>
      <c r="M1728" s="9"/>
      <c r="N1728" s="9"/>
      <c r="O1728" s="9"/>
      <c r="P1728" s="9"/>
      <c r="Q1728" s="9">
        <f ca="1">IFERROR(__xludf.DUMMYFUNCTION("GOOGLEFINANCE(C1728,""changepct"")"),-0.44)</f>
        <v>-0.44</v>
      </c>
      <c r="R1728" s="9"/>
      <c r="S1728" s="9"/>
      <c r="T1728" s="9"/>
      <c r="U1728" s="9"/>
      <c r="V1728" s="9"/>
      <c r="W1728" s="9"/>
    </row>
    <row r="1729" spans="1:23" ht="14.4">
      <c r="A1729" s="3">
        <f>LOOKUP(D1729,'AMFI DATA_2023H1'!B:C,'AMFI DATA_2023H1'!C:C)</f>
        <v>2022</v>
      </c>
      <c r="B1729" s="4" t="s">
        <v>4898</v>
      </c>
      <c r="C1729" s="4" t="s">
        <v>4899</v>
      </c>
      <c r="D1729" s="5" t="s">
        <v>4900</v>
      </c>
      <c r="E1729" s="5">
        <f>LOOKUP(D1729,'AMFI DATA_2023H1'!B:D,'AMFI DATA_2023H1'!D:D)</f>
        <v>137.47999999999999</v>
      </c>
      <c r="F1729" s="7">
        <f t="shared" si="6"/>
        <v>0.18562700029095147</v>
      </c>
      <c r="G1729" s="9">
        <v>163</v>
      </c>
      <c r="H1729" s="9">
        <v>162</v>
      </c>
      <c r="I1729" s="9">
        <v>161</v>
      </c>
      <c r="J1729" s="9">
        <v>165</v>
      </c>
      <c r="K1729" s="9">
        <v>164</v>
      </c>
      <c r="L1729" s="9">
        <v>163</v>
      </c>
      <c r="M1729" s="9"/>
      <c r="N1729" s="9"/>
      <c r="O1729" s="9"/>
      <c r="P1729" s="9"/>
      <c r="Q1729" s="9">
        <f ca="1">IFERROR(__xludf.DUMMYFUNCTION("GOOGLEFINANCE(C1729,""changepct"")"),-1.1)</f>
        <v>-1.1000000000000001</v>
      </c>
      <c r="R1729" s="9"/>
      <c r="S1729" s="9"/>
      <c r="T1729" s="9"/>
      <c r="U1729" s="9"/>
      <c r="V1729" s="9"/>
      <c r="W1729" s="9"/>
    </row>
    <row r="1730" spans="1:23" ht="14.4">
      <c r="A1730" s="3">
        <f>LOOKUP(D1730,'AMFI DATA_2023H1'!B:C,'AMFI DATA_2023H1'!C:C)</f>
        <v>2369</v>
      </c>
      <c r="B1730" s="4" t="s">
        <v>5108</v>
      </c>
      <c r="C1730" s="4" t="s">
        <v>5109</v>
      </c>
      <c r="D1730" s="5" t="s">
        <v>5110</v>
      </c>
      <c r="E1730" s="5">
        <f>LOOKUP(D1730,'AMFI DATA_2023H1'!B:D,'AMFI DATA_2023H1'!D:D)</f>
        <v>76.849999999999994</v>
      </c>
      <c r="F1730" s="7">
        <f t="shared" si="6"/>
        <v>0.83474300585556294</v>
      </c>
      <c r="G1730" s="9">
        <v>141</v>
      </c>
      <c r="H1730" s="9">
        <v>137</v>
      </c>
      <c r="I1730" s="9">
        <v>137</v>
      </c>
      <c r="J1730" s="9">
        <v>137</v>
      </c>
      <c r="K1730" s="9">
        <v>136</v>
      </c>
      <c r="L1730" s="9">
        <v>139</v>
      </c>
      <c r="M1730" s="9"/>
      <c r="N1730" s="9"/>
      <c r="O1730" s="9"/>
      <c r="P1730" s="9"/>
      <c r="Q1730" s="9">
        <f ca="1">IFERROR(__xludf.DUMMYFUNCTION("GOOGLEFINANCE(C1730,""changepct"")"),4.36)</f>
        <v>4.3600000000000003</v>
      </c>
      <c r="R1730" s="9"/>
      <c r="S1730" s="9"/>
      <c r="T1730" s="9"/>
      <c r="U1730" s="9"/>
      <c r="V1730" s="9"/>
      <c r="W1730" s="9"/>
    </row>
    <row r="1731" spans="1:23" ht="14.4">
      <c r="A1731" s="3">
        <f>LOOKUP(D1731,'AMFI DATA_2023H1'!B:C,'AMFI DATA_2023H1'!C:C)</f>
        <v>1374</v>
      </c>
      <c r="B1731" s="4" t="s">
        <v>2687</v>
      </c>
      <c r="C1731" s="4" t="s">
        <v>2688</v>
      </c>
      <c r="D1731" s="5" t="s">
        <v>2689</v>
      </c>
      <c r="E1731" s="5">
        <f>LOOKUP(D1731,'AMFI DATA_2023H1'!B:D,'AMFI DATA_2023H1'!D:D)</f>
        <v>435.07</v>
      </c>
      <c r="F1731" s="7">
        <f t="shared" si="6"/>
        <v>3.6291401383685384</v>
      </c>
      <c r="G1731" s="8">
        <v>2014</v>
      </c>
      <c r="H1731" s="8">
        <v>1981</v>
      </c>
      <c r="I1731" s="8">
        <v>1986</v>
      </c>
      <c r="J1731" s="8">
        <v>1997</v>
      </c>
      <c r="K1731" s="8">
        <v>1982</v>
      </c>
      <c r="L1731" s="8">
        <v>2000</v>
      </c>
      <c r="M1731" s="8"/>
      <c r="N1731" s="8"/>
      <c r="O1731" s="8"/>
      <c r="P1731" s="8"/>
      <c r="Q1731" s="9">
        <f ca="1">IFERROR(__xludf.DUMMYFUNCTION("GOOGLEFINANCE(C1731,""changepct"")"),0.24)</f>
        <v>0.24</v>
      </c>
      <c r="R1731" s="8"/>
      <c r="S1731" s="8"/>
      <c r="T1731" s="8"/>
      <c r="U1731" s="8"/>
      <c r="V1731" s="8"/>
      <c r="W1731" s="8"/>
    </row>
    <row r="1732" spans="1:23" ht="14.4">
      <c r="A1732" s="3">
        <f>LOOKUP(D1732,'AMFI DATA_2023H1'!B:C,'AMFI DATA_2023H1'!C:C)</f>
        <v>980</v>
      </c>
      <c r="B1732" s="4" t="s">
        <v>2972</v>
      </c>
      <c r="C1732" s="4" t="s">
        <v>2973</v>
      </c>
      <c r="D1732" s="5" t="s">
        <v>2974</v>
      </c>
      <c r="E1732" s="5">
        <f>LOOKUP(D1732,'AMFI DATA_2023H1'!B:D,'AMFI DATA_2023H1'!D:D)</f>
        <v>1241.1199999999999</v>
      </c>
      <c r="F1732" s="7">
        <f t="shared" si="6"/>
        <v>0.63561944050535013</v>
      </c>
      <c r="G1732" s="8">
        <v>2030</v>
      </c>
      <c r="H1732" s="8">
        <v>1959</v>
      </c>
      <c r="I1732" s="8">
        <v>1904</v>
      </c>
      <c r="J1732" s="8">
        <v>1926</v>
      </c>
      <c r="K1732" s="8">
        <v>2017</v>
      </c>
      <c r="L1732" s="8">
        <v>1680</v>
      </c>
      <c r="M1732" s="8"/>
      <c r="N1732" s="8"/>
      <c r="O1732" s="8"/>
      <c r="P1732" s="8"/>
      <c r="Q1732" s="9">
        <f ca="1">IFERROR(__xludf.DUMMYFUNCTION("GOOGLEFINANCE(C1732,""changepct"")"),0.05)</f>
        <v>0.05</v>
      </c>
      <c r="R1732" s="8"/>
      <c r="S1732" s="8"/>
      <c r="T1732" s="8"/>
      <c r="U1732" s="8"/>
      <c r="V1732" s="8"/>
      <c r="W1732" s="8"/>
    </row>
    <row r="1733" spans="1:23" ht="14.4">
      <c r="A1733" s="3">
        <f>LOOKUP(D1733,'AMFI DATA_2023H1'!B:C,'AMFI DATA_2023H1'!C:C)</f>
        <v>187</v>
      </c>
      <c r="B1733" s="4" t="s">
        <v>582</v>
      </c>
      <c r="C1733" s="4" t="s">
        <v>583</v>
      </c>
      <c r="D1733" s="5" t="s">
        <v>584</v>
      </c>
      <c r="E1733" s="5">
        <f>LOOKUP(D1733,'AMFI DATA_2023H1'!B:D,'AMFI DATA_2023H1'!D:D)</f>
        <v>26152.79</v>
      </c>
      <c r="F1733" s="7">
        <f t="shared" si="6"/>
        <v>0.40512733058308492</v>
      </c>
      <c r="G1733" s="8">
        <v>36748</v>
      </c>
      <c r="H1733" s="8">
        <v>36720</v>
      </c>
      <c r="I1733" s="8">
        <v>36778</v>
      </c>
      <c r="J1733" s="8">
        <v>35997</v>
      </c>
      <c r="K1733" s="8">
        <v>36532</v>
      </c>
      <c r="L1733" s="8">
        <v>37459</v>
      </c>
      <c r="M1733" s="8"/>
      <c r="N1733" s="8"/>
      <c r="O1733" s="8"/>
      <c r="P1733" s="8"/>
      <c r="Q1733" s="9">
        <f ca="1">IFERROR(__xludf.DUMMYFUNCTION("GOOGLEFINANCE(C1733,""changepct"")"),-0.65)</f>
        <v>-0.65</v>
      </c>
      <c r="R1733" s="8"/>
      <c r="S1733" s="8"/>
      <c r="T1733" s="8"/>
      <c r="U1733" s="8"/>
      <c r="V1733" s="8"/>
      <c r="W1733" s="8"/>
    </row>
    <row r="1734" spans="1:23" ht="14.4">
      <c r="A1734" s="3">
        <f>LOOKUP(D1734,'AMFI DATA_2023H1'!B:C,'AMFI DATA_2023H1'!C:C)</f>
        <v>801</v>
      </c>
      <c r="B1734" s="4" t="s">
        <v>2639</v>
      </c>
      <c r="C1734" s="4" t="s">
        <v>2640</v>
      </c>
      <c r="D1734" s="5" t="s">
        <v>2641</v>
      </c>
      <c r="E1734" s="5">
        <f>LOOKUP(D1734,'AMFI DATA_2023H1'!B:D,'AMFI DATA_2023H1'!D:D)</f>
        <v>1925.46</v>
      </c>
      <c r="F1734" s="7">
        <f t="shared" si="6"/>
        <v>0.23295212572580049</v>
      </c>
      <c r="G1734" s="8">
        <v>2374</v>
      </c>
      <c r="H1734" s="8">
        <v>2245</v>
      </c>
      <c r="I1734" s="8">
        <v>2204</v>
      </c>
      <c r="J1734" s="8">
        <v>2297</v>
      </c>
      <c r="K1734" s="8">
        <v>2314</v>
      </c>
      <c r="L1734" s="8">
        <v>2136</v>
      </c>
      <c r="M1734" s="8"/>
      <c r="N1734" s="8"/>
      <c r="O1734" s="8"/>
      <c r="P1734" s="8"/>
      <c r="Q1734" s="9">
        <f ca="1">IFERROR(__xludf.DUMMYFUNCTION("GOOGLEFINANCE(C1734,""changepct"")"),2.37)</f>
        <v>2.37</v>
      </c>
      <c r="R1734" s="8"/>
      <c r="S1734" s="8"/>
      <c r="T1734" s="8"/>
      <c r="U1734" s="8"/>
      <c r="V1734" s="8"/>
      <c r="W1734" s="8"/>
    </row>
    <row r="1735" spans="1:23" ht="14.4">
      <c r="A1735" s="3">
        <f>LOOKUP(D1735,'AMFI DATA_2023H1'!B:C,'AMFI DATA_2023H1'!C:C)</f>
        <v>643</v>
      </c>
      <c r="B1735" s="4" t="s">
        <v>1731</v>
      </c>
      <c r="C1735" s="4" t="s">
        <v>1732</v>
      </c>
      <c r="D1735" s="5" t="s">
        <v>1733</v>
      </c>
      <c r="E1735" s="5">
        <f>LOOKUP(D1735,'AMFI DATA_2023H1'!B:D,'AMFI DATA_2023H1'!D:D)</f>
        <v>3145.42</v>
      </c>
      <c r="F1735" s="7">
        <f t="shared" si="6"/>
        <v>1.0722192902696617</v>
      </c>
      <c r="G1735" s="8">
        <v>6518</v>
      </c>
      <c r="H1735" s="8">
        <v>6407</v>
      </c>
      <c r="I1735" s="8">
        <v>6499</v>
      </c>
      <c r="J1735" s="8">
        <v>6482</v>
      </c>
      <c r="K1735" s="8">
        <v>6590</v>
      </c>
      <c r="L1735" s="8">
        <v>6579</v>
      </c>
      <c r="M1735" s="8"/>
      <c r="N1735" s="8"/>
      <c r="O1735" s="8"/>
      <c r="P1735" s="8"/>
      <c r="Q1735" s="9">
        <f ca="1">IFERROR(__xludf.DUMMYFUNCTION("GOOGLEFINANCE(C1735,""changepct"")"),4.47)</f>
        <v>4.47</v>
      </c>
      <c r="R1735" s="8"/>
      <c r="S1735" s="8"/>
      <c r="T1735" s="8"/>
      <c r="U1735" s="8"/>
      <c r="V1735" s="8"/>
      <c r="W1735" s="8"/>
    </row>
    <row r="1736" spans="1:23" ht="14.4">
      <c r="A1736" s="3">
        <f>LOOKUP(D1736,'AMFI DATA_2023H1'!B:C,'AMFI DATA_2023H1'!C:C)</f>
        <v>3132</v>
      </c>
      <c r="B1736" s="4" t="s">
        <v>5281</v>
      </c>
      <c r="C1736" s="4" t="s">
        <v>5282</v>
      </c>
      <c r="D1736" s="5" t="s">
        <v>5283</v>
      </c>
      <c r="E1736" s="5">
        <f>LOOKUP(D1736,'AMFI DATA_2023H1'!B:D,'AMFI DATA_2023H1'!D:D)</f>
        <v>25.04</v>
      </c>
      <c r="F1736" s="7">
        <f t="shared" si="6"/>
        <v>5.4696485623003195</v>
      </c>
      <c r="G1736" s="9">
        <v>162</v>
      </c>
      <c r="H1736" s="9">
        <v>159</v>
      </c>
      <c r="I1736" s="9">
        <v>155</v>
      </c>
      <c r="J1736" s="9">
        <v>154</v>
      </c>
      <c r="K1736" s="9">
        <v>153</v>
      </c>
      <c r="L1736" s="9">
        <v>158</v>
      </c>
      <c r="M1736" s="9"/>
      <c r="N1736" s="9"/>
      <c r="O1736" s="9"/>
      <c r="P1736" s="9"/>
      <c r="Q1736" s="9">
        <f ca="1">IFERROR(__xludf.DUMMYFUNCTION("GOOGLEFINANCE(C1736,""changepct"")"),4.03)</f>
        <v>4.03</v>
      </c>
      <c r="R1736" s="9"/>
      <c r="S1736" s="9"/>
      <c r="T1736" s="9"/>
      <c r="U1736" s="9"/>
      <c r="V1736" s="9"/>
      <c r="W1736" s="9"/>
    </row>
    <row r="1737" spans="1:23" ht="14.4">
      <c r="A1737" s="3">
        <f>LOOKUP(D1737,'AMFI DATA_2023H1'!B:C,'AMFI DATA_2023H1'!C:C)</f>
        <v>700</v>
      </c>
      <c r="B1737" s="4" t="s">
        <v>2294</v>
      </c>
      <c r="C1737" s="4" t="s">
        <v>2295</v>
      </c>
      <c r="D1737" s="5" t="s">
        <v>2296</v>
      </c>
      <c r="E1737" s="5">
        <f>LOOKUP(D1737,'AMFI DATA_2023H1'!B:D,'AMFI DATA_2023H1'!D:D)</f>
        <v>2575.5100000000002</v>
      </c>
      <c r="F1737" s="7">
        <f t="shared" si="6"/>
        <v>0.33915224557466273</v>
      </c>
      <c r="G1737" s="8">
        <v>3449</v>
      </c>
      <c r="H1737" s="8">
        <v>3410</v>
      </c>
      <c r="I1737" s="8">
        <v>3484</v>
      </c>
      <c r="J1737" s="8">
        <v>3454</v>
      </c>
      <c r="K1737" s="8">
        <v>3526</v>
      </c>
      <c r="L1737" s="8">
        <v>3578</v>
      </c>
      <c r="M1737" s="8"/>
      <c r="N1737" s="8"/>
      <c r="O1737" s="8"/>
      <c r="P1737" s="8"/>
      <c r="Q1737" s="9">
        <f ca="1">IFERROR(__xludf.DUMMYFUNCTION("GOOGLEFINANCE(C1737,""changepct"")"),1.06)</f>
        <v>1.06</v>
      </c>
      <c r="R1737" s="8"/>
      <c r="S1737" s="8"/>
      <c r="T1737" s="8"/>
      <c r="U1737" s="8"/>
      <c r="V1737" s="8"/>
      <c r="W1737" s="8"/>
    </row>
    <row r="1738" spans="1:23" ht="14.4">
      <c r="A1738" s="3">
        <f>LOOKUP(D1738,'AMFI DATA_2023H1'!B:C,'AMFI DATA_2023H1'!C:C)</f>
        <v>873</v>
      </c>
      <c r="B1738" s="4" t="s">
        <v>2657</v>
      </c>
      <c r="C1738" s="4" t="s">
        <v>2658</v>
      </c>
      <c r="D1738" s="5" t="s">
        <v>2659</v>
      </c>
      <c r="E1738" s="5">
        <f>LOOKUP(D1738,'AMFI DATA_2023H1'!B:D,'AMFI DATA_2023H1'!D:D)</f>
        <v>1600.24</v>
      </c>
      <c r="F1738" s="7">
        <f t="shared" si="6"/>
        <v>0.53539469079638047</v>
      </c>
      <c r="G1738" s="8">
        <v>2457</v>
      </c>
      <c r="H1738" s="8">
        <v>2464</v>
      </c>
      <c r="I1738" s="8">
        <v>2474</v>
      </c>
      <c r="J1738" s="8">
        <v>2484</v>
      </c>
      <c r="K1738" s="8">
        <v>2453</v>
      </c>
      <c r="L1738" s="8">
        <v>2350</v>
      </c>
      <c r="M1738" s="8"/>
      <c r="N1738" s="8"/>
      <c r="O1738" s="8"/>
      <c r="P1738" s="8"/>
      <c r="Q1738" s="9">
        <f ca="1">IFERROR(__xludf.DUMMYFUNCTION("GOOGLEFINANCE(C1738,""changepct"")"),5.41)</f>
        <v>5.41</v>
      </c>
      <c r="R1738" s="8"/>
      <c r="S1738" s="8"/>
      <c r="T1738" s="8"/>
      <c r="U1738" s="8"/>
      <c r="V1738" s="8"/>
      <c r="W1738" s="8"/>
    </row>
    <row r="1739" spans="1:23" ht="14.4">
      <c r="A1739" s="3">
        <f>LOOKUP(D1739,'AMFI DATA_2023H1'!B:C,'AMFI DATA_2023H1'!C:C)</f>
        <v>3380</v>
      </c>
      <c r="B1739" s="4" t="s">
        <v>5701</v>
      </c>
      <c r="C1739" s="4" t="s">
        <v>5702</v>
      </c>
      <c r="D1739" s="5" t="s">
        <v>5703</v>
      </c>
      <c r="E1739" s="5">
        <f>LOOKUP(D1739,'AMFI DATA_2023H1'!B:D,'AMFI DATA_2023H1'!D:D)</f>
        <v>17.46</v>
      </c>
      <c r="F1739" s="7">
        <f t="shared" si="6"/>
        <v>8.247422680412364E-2</v>
      </c>
      <c r="G1739" s="9">
        <v>18.899999999999999</v>
      </c>
      <c r="H1739" s="9">
        <v>18.3</v>
      </c>
      <c r="I1739" s="9">
        <v>18.399999999999999</v>
      </c>
      <c r="J1739" s="9">
        <v>17.899999999999999</v>
      </c>
      <c r="K1739" s="9">
        <v>18.399999999999999</v>
      </c>
      <c r="L1739" s="9">
        <v>18.2</v>
      </c>
      <c r="M1739" s="9"/>
      <c r="N1739" s="9"/>
      <c r="O1739" s="9"/>
      <c r="P1739" s="9"/>
      <c r="Q1739" s="9">
        <f ca="1">IFERROR(__xludf.DUMMYFUNCTION("GOOGLEFINANCE(C1739,""changepct"")"),-0.81)</f>
        <v>-0.81</v>
      </c>
      <c r="R1739" s="9"/>
      <c r="S1739" s="9"/>
      <c r="T1739" s="9"/>
      <c r="U1739" s="9"/>
      <c r="V1739" s="9"/>
      <c r="W1739" s="9"/>
    </row>
    <row r="1740" spans="1:23" ht="14.4">
      <c r="A1740" s="3">
        <f>LOOKUP(D1740,'AMFI DATA_2023H1'!B:C,'AMFI DATA_2023H1'!C:C)</f>
        <v>1991</v>
      </c>
      <c r="B1740" s="4" t="s">
        <v>4418</v>
      </c>
      <c r="C1740" s="4" t="s">
        <v>4419</v>
      </c>
      <c r="D1740" s="5" t="s">
        <v>4420</v>
      </c>
      <c r="E1740" s="5">
        <f>LOOKUP(D1740,'AMFI DATA_2023H1'!B:D,'AMFI DATA_2023H1'!D:D)</f>
        <v>145.91999999999999</v>
      </c>
      <c r="F1740" s="7">
        <f t="shared" si="6"/>
        <v>1.4739583333333335</v>
      </c>
      <c r="G1740" s="9">
        <v>361</v>
      </c>
      <c r="H1740" s="9">
        <v>344</v>
      </c>
      <c r="I1740" s="9">
        <v>349</v>
      </c>
      <c r="J1740" s="9">
        <v>355</v>
      </c>
      <c r="K1740" s="9">
        <v>392</v>
      </c>
      <c r="L1740" s="9">
        <v>400</v>
      </c>
      <c r="M1740" s="9"/>
      <c r="N1740" s="9"/>
      <c r="O1740" s="9"/>
      <c r="P1740" s="9"/>
      <c r="Q1740" s="9">
        <f ca="1">IFERROR(__xludf.DUMMYFUNCTION("GOOGLEFINANCE(C1740,""changepct"")"),7.4)</f>
        <v>7.4</v>
      </c>
      <c r="R1740" s="9"/>
      <c r="S1740" s="9"/>
      <c r="T1740" s="9"/>
      <c r="U1740" s="9"/>
      <c r="V1740" s="9"/>
      <c r="W1740" s="9"/>
    </row>
    <row r="1741" spans="1:23" ht="14.4">
      <c r="A1741" s="3">
        <f>LOOKUP(D1741,'AMFI DATA_2023H1'!B:C,'AMFI DATA_2023H1'!C:C)</f>
        <v>736</v>
      </c>
      <c r="B1741" s="4" t="s">
        <v>1980</v>
      </c>
      <c r="C1741" s="4" t="s">
        <v>1981</v>
      </c>
      <c r="D1741" s="5" t="s">
        <v>1982</v>
      </c>
      <c r="E1741" s="5">
        <f>LOOKUP(D1741,'AMFI DATA_2023H1'!B:D,'AMFI DATA_2023H1'!D:D)</f>
        <v>2289.98</v>
      </c>
      <c r="F1741" s="7">
        <f t="shared" si="6"/>
        <v>1.0231617743386403</v>
      </c>
      <c r="G1741" s="8">
        <v>4633</v>
      </c>
      <c r="H1741" s="8">
        <v>4636</v>
      </c>
      <c r="I1741" s="8">
        <v>4695</v>
      </c>
      <c r="J1741" s="8">
        <v>4623</v>
      </c>
      <c r="K1741" s="8">
        <v>4628</v>
      </c>
      <c r="L1741" s="8">
        <v>4577</v>
      </c>
      <c r="M1741" s="8"/>
      <c r="N1741" s="8"/>
      <c r="O1741" s="8"/>
      <c r="P1741" s="8"/>
      <c r="Q1741" s="9">
        <f ca="1">IFERROR(__xludf.DUMMYFUNCTION("GOOGLEFINANCE(C1741,""changepct"")"),-0.35)</f>
        <v>-0.35</v>
      </c>
      <c r="R1741" s="8"/>
      <c r="S1741" s="8"/>
      <c r="T1741" s="8"/>
      <c r="U1741" s="8"/>
      <c r="V1741" s="8"/>
      <c r="W1741" s="8"/>
    </row>
    <row r="1742" spans="1:23" ht="14.4">
      <c r="A1742" s="3">
        <f>LOOKUP(D1742,'AMFI DATA_2023H1'!B:C,'AMFI DATA_2023H1'!C:C)</f>
        <v>787</v>
      </c>
      <c r="B1742" s="4" t="s">
        <v>2147</v>
      </c>
      <c r="C1742" s="4" t="s">
        <v>2148</v>
      </c>
      <c r="D1742" s="5" t="s">
        <v>2149</v>
      </c>
      <c r="E1742" s="5">
        <f>LOOKUP(D1742,'AMFI DATA_2023H1'!B:D,'AMFI DATA_2023H1'!D:D)</f>
        <v>2003.69</v>
      </c>
      <c r="F1742" s="7">
        <f t="shared" si="6"/>
        <v>1.09713079368565</v>
      </c>
      <c r="G1742" s="8">
        <v>4202</v>
      </c>
      <c r="H1742" s="8">
        <v>4010</v>
      </c>
      <c r="I1742" s="8">
        <v>3985</v>
      </c>
      <c r="J1742" s="8">
        <v>4057</v>
      </c>
      <c r="K1742" s="8">
        <v>4088</v>
      </c>
      <c r="L1742" s="8">
        <v>3984</v>
      </c>
      <c r="M1742" s="8"/>
      <c r="N1742" s="8"/>
      <c r="O1742" s="8"/>
      <c r="P1742" s="8"/>
      <c r="Q1742" s="9">
        <f ca="1">IFERROR(__xludf.DUMMYFUNCTION("GOOGLEFINANCE(C1742,""changepct"")"),0.58)</f>
        <v>0.57999999999999996</v>
      </c>
      <c r="R1742" s="8"/>
      <c r="S1742" s="8"/>
      <c r="T1742" s="8"/>
      <c r="U1742" s="8"/>
      <c r="V1742" s="8"/>
      <c r="W1742" s="8"/>
    </row>
    <row r="1743" spans="1:23" ht="14.4">
      <c r="A1743" s="3">
        <f>LOOKUP(D1743,'AMFI DATA_2023H1'!B:C,'AMFI DATA_2023H1'!C:C)</f>
        <v>2678</v>
      </c>
      <c r="B1743" s="4" t="s">
        <v>5404</v>
      </c>
      <c r="C1743" s="4" t="s">
        <v>5405</v>
      </c>
      <c r="D1743" s="5" t="s">
        <v>5406</v>
      </c>
      <c r="E1743" s="5">
        <f>LOOKUP(D1743,'AMFI DATA_2023H1'!B:D,'AMFI DATA_2023H1'!D:D)</f>
        <v>47.57</v>
      </c>
      <c r="F1743" s="7">
        <f t="shared" si="6"/>
        <v>1.6907714946394785</v>
      </c>
      <c r="G1743" s="9">
        <v>128</v>
      </c>
      <c r="H1743" s="9">
        <v>122</v>
      </c>
      <c r="I1743" s="9">
        <v>129</v>
      </c>
      <c r="J1743" s="9">
        <v>134</v>
      </c>
      <c r="K1743" s="9">
        <v>140</v>
      </c>
      <c r="L1743" s="9">
        <v>135</v>
      </c>
      <c r="M1743" s="9"/>
      <c r="N1743" s="9"/>
      <c r="O1743" s="9"/>
      <c r="P1743" s="9"/>
      <c r="Q1743" s="9">
        <f ca="1">IFERROR(__xludf.DUMMYFUNCTION("GOOGLEFINANCE(C1743,""changepct"")"),-2.44)</f>
        <v>-2.44</v>
      </c>
      <c r="R1743" s="9"/>
      <c r="S1743" s="9"/>
      <c r="T1743" s="9"/>
      <c r="U1743" s="9"/>
      <c r="V1743" s="9"/>
      <c r="W1743" s="9"/>
    </row>
    <row r="1744" spans="1:23" ht="14.4">
      <c r="A1744" s="3">
        <f>LOOKUP(D1744,'AMFI DATA_2023H1'!B:C,'AMFI DATA_2023H1'!C:C)</f>
        <v>204</v>
      </c>
      <c r="B1744" s="4" t="s">
        <v>717</v>
      </c>
      <c r="C1744" s="4" t="s">
        <v>718</v>
      </c>
      <c r="D1744" s="5" t="s">
        <v>719</v>
      </c>
      <c r="E1744" s="5">
        <f>LOOKUP(D1744,'AMFI DATA_2023H1'!B:D,'AMFI DATA_2023H1'!D:D)</f>
        <v>23110.39</v>
      </c>
      <c r="F1744" s="7">
        <f t="shared" si="6"/>
        <v>5.3249209554663501E-2</v>
      </c>
      <c r="G1744" s="8">
        <v>24341</v>
      </c>
      <c r="H1744" s="8">
        <v>24469</v>
      </c>
      <c r="I1744" s="8">
        <v>24385</v>
      </c>
      <c r="J1744" s="8">
        <v>24329</v>
      </c>
      <c r="K1744" s="8">
        <v>24132</v>
      </c>
      <c r="L1744" s="8">
        <v>24058</v>
      </c>
      <c r="M1744" s="8"/>
      <c r="N1744" s="8"/>
      <c r="O1744" s="8"/>
      <c r="P1744" s="8"/>
      <c r="Q1744" s="9">
        <f ca="1">IFERROR(__xludf.DUMMYFUNCTION("GOOGLEFINANCE(C1744,""changepct"")"),4.24)</f>
        <v>4.24</v>
      </c>
      <c r="R1744" s="8"/>
      <c r="S1744" s="8"/>
      <c r="T1744" s="8"/>
      <c r="U1744" s="8"/>
      <c r="V1744" s="8"/>
      <c r="W1744" s="8"/>
    </row>
    <row r="1745" spans="1:23" ht="14.4">
      <c r="A1745" s="3">
        <f>LOOKUP(D1745,'AMFI DATA_2023H1'!B:C,'AMFI DATA_2023H1'!C:C)</f>
        <v>1821</v>
      </c>
      <c r="B1745" s="4" t="s">
        <v>4529</v>
      </c>
      <c r="C1745" s="4" t="s">
        <v>4530</v>
      </c>
      <c r="D1745" s="5" t="s">
        <v>4531</v>
      </c>
      <c r="E1745" s="5">
        <f>LOOKUP(D1745,'AMFI DATA_2023H1'!B:D,'AMFI DATA_2023H1'!D:D)</f>
        <v>189.02</v>
      </c>
      <c r="F1745" s="7">
        <f t="shared" si="6"/>
        <v>0.87281769124960307</v>
      </c>
      <c r="G1745" s="9">
        <v>354</v>
      </c>
      <c r="H1745" s="9">
        <v>341</v>
      </c>
      <c r="I1745" s="9">
        <v>338</v>
      </c>
      <c r="J1745" s="9">
        <v>338</v>
      </c>
      <c r="K1745" s="9">
        <v>339</v>
      </c>
      <c r="L1745" s="9">
        <v>319</v>
      </c>
      <c r="M1745" s="9"/>
      <c r="N1745" s="9"/>
      <c r="O1745" s="9"/>
      <c r="P1745" s="9"/>
      <c r="Q1745" s="9">
        <f ca="1">IFERROR(__xludf.DUMMYFUNCTION("GOOGLEFINANCE(C1745,""changepct"")"),3.52)</f>
        <v>3.52</v>
      </c>
      <c r="R1745" s="9"/>
      <c r="S1745" s="9"/>
      <c r="T1745" s="9"/>
      <c r="U1745" s="9"/>
      <c r="V1745" s="9"/>
      <c r="W1745" s="9"/>
    </row>
    <row r="1746" spans="1:23" ht="14.4">
      <c r="A1746" s="3">
        <f>LOOKUP(D1746,'AMFI DATA_2023H1'!B:C,'AMFI DATA_2023H1'!C:C)</f>
        <v>747</v>
      </c>
      <c r="B1746" s="4" t="s">
        <v>1965</v>
      </c>
      <c r="C1746" s="4" t="s">
        <v>1966</v>
      </c>
      <c r="D1746" s="5" t="s">
        <v>1967</v>
      </c>
      <c r="E1746" s="5">
        <f>LOOKUP(D1746,'AMFI DATA_2023H1'!B:D,'AMFI DATA_2023H1'!D:D)</f>
        <v>2209.64</v>
      </c>
      <c r="F1746" s="7">
        <f t="shared" si="6"/>
        <v>1.0550858963451062</v>
      </c>
      <c r="G1746" s="8">
        <v>4541</v>
      </c>
      <c r="H1746" s="8">
        <v>4382</v>
      </c>
      <c r="I1746" s="8">
        <v>4391</v>
      </c>
      <c r="J1746" s="8">
        <v>4457</v>
      </c>
      <c r="K1746" s="8">
        <v>4525</v>
      </c>
      <c r="L1746" s="8">
        <v>4512</v>
      </c>
      <c r="M1746" s="8"/>
      <c r="N1746" s="8"/>
      <c r="O1746" s="8"/>
      <c r="P1746" s="8"/>
      <c r="Q1746" s="9">
        <f ca="1">IFERROR(__xludf.DUMMYFUNCTION("GOOGLEFINANCE(C1746,""changepct"")"),-0.58)</f>
        <v>-0.57999999999999996</v>
      </c>
      <c r="R1746" s="8"/>
      <c r="S1746" s="8"/>
      <c r="T1746" s="8"/>
      <c r="U1746" s="8"/>
      <c r="V1746" s="8"/>
      <c r="W1746" s="8"/>
    </row>
    <row r="1747" spans="1:23" ht="14.4">
      <c r="A1747" s="3">
        <f>LOOKUP(D1747,'AMFI DATA_2023H1'!B:C,'AMFI DATA_2023H1'!C:C)</f>
        <v>2115</v>
      </c>
      <c r="B1747" s="4" t="s">
        <v>5186</v>
      </c>
      <c r="C1747" s="4" t="s">
        <v>5187</v>
      </c>
      <c r="D1747" s="5" t="s">
        <v>5188</v>
      </c>
      <c r="E1747" s="5">
        <f>LOOKUP(D1747,'AMFI DATA_2023H1'!B:D,'AMFI DATA_2023H1'!D:D)</f>
        <v>118.87</v>
      </c>
      <c r="F1747" s="7">
        <f t="shared" si="6"/>
        <v>0.36283334735425243</v>
      </c>
      <c r="G1747" s="9">
        <v>162</v>
      </c>
      <c r="H1747" s="9">
        <v>155</v>
      </c>
      <c r="I1747" s="9">
        <v>147</v>
      </c>
      <c r="J1747" s="9">
        <v>141</v>
      </c>
      <c r="K1747" s="9">
        <v>134</v>
      </c>
      <c r="L1747" s="9">
        <v>128</v>
      </c>
      <c r="M1747" s="9"/>
      <c r="N1747" s="9"/>
      <c r="O1747" s="9"/>
      <c r="P1747" s="9"/>
      <c r="Q1747" s="9">
        <f ca="1">IFERROR(__xludf.DUMMYFUNCTION("GOOGLEFINANCE(C1747,""changepct"")"),-0.6)</f>
        <v>-0.6</v>
      </c>
      <c r="R1747" s="9"/>
      <c r="S1747" s="9"/>
      <c r="T1747" s="9"/>
      <c r="U1747" s="9"/>
      <c r="V1747" s="9"/>
      <c r="W1747" s="9"/>
    </row>
    <row r="1748" spans="1:23" ht="14.4">
      <c r="A1748" s="3">
        <f>LOOKUP(D1748,'AMFI DATA_2023H1'!B:C,'AMFI DATA_2023H1'!C:C)</f>
        <v>613</v>
      </c>
      <c r="B1748" s="4" t="s">
        <v>1227</v>
      </c>
      <c r="C1748" s="4" t="s">
        <v>1228</v>
      </c>
      <c r="D1748" s="5" t="s">
        <v>1229</v>
      </c>
      <c r="E1748" s="5">
        <f>LOOKUP(D1748,'AMFI DATA_2023H1'!B:D,'AMFI DATA_2023H1'!D:D)</f>
        <v>3509.17</v>
      </c>
      <c r="F1748" s="7">
        <f t="shared" si="6"/>
        <v>3.0092101551079029</v>
      </c>
      <c r="G1748" s="8">
        <v>14069</v>
      </c>
      <c r="H1748" s="8">
        <v>14049</v>
      </c>
      <c r="I1748" s="8">
        <v>13727</v>
      </c>
      <c r="J1748" s="8">
        <v>13958</v>
      </c>
      <c r="K1748" s="8">
        <v>13995</v>
      </c>
      <c r="L1748" s="8">
        <v>14112</v>
      </c>
      <c r="M1748" s="8"/>
      <c r="N1748" s="8"/>
      <c r="O1748" s="8"/>
      <c r="P1748" s="8"/>
      <c r="Q1748" s="9">
        <f ca="1">IFERROR(__xludf.DUMMYFUNCTION("GOOGLEFINANCE(C1748,""changepct"")"),11.43)</f>
        <v>11.43</v>
      </c>
      <c r="R1748" s="8"/>
      <c r="S1748" s="8"/>
      <c r="T1748" s="8"/>
      <c r="U1748" s="8"/>
      <c r="V1748" s="8"/>
      <c r="W1748" s="8"/>
    </row>
    <row r="1749" spans="1:23" ht="14.4">
      <c r="A1749" s="3">
        <f>LOOKUP(D1749,'AMFI DATA_2023H1'!B:C,'AMFI DATA_2023H1'!C:C)</f>
        <v>22</v>
      </c>
      <c r="B1749" s="4" t="s">
        <v>58</v>
      </c>
      <c r="C1749" s="4" t="s">
        <v>59</v>
      </c>
      <c r="D1749" s="5" t="s">
        <v>60</v>
      </c>
      <c r="E1749" s="5">
        <f>LOOKUP(D1749,'AMFI DATA_2023H1'!B:D,'AMFI DATA_2023H1'!D:D)</f>
        <v>230809.34</v>
      </c>
      <c r="F1749" s="7">
        <f t="shared" si="6"/>
        <v>0.41547564756261601</v>
      </c>
      <c r="G1749" s="8">
        <v>326705</v>
      </c>
      <c r="H1749" s="8">
        <v>326346</v>
      </c>
      <c r="I1749" s="8">
        <v>329941</v>
      </c>
      <c r="J1749" s="8">
        <v>327527</v>
      </c>
      <c r="K1749" s="8">
        <v>324914</v>
      </c>
      <c r="L1749" s="8">
        <v>322031</v>
      </c>
      <c r="M1749" s="8"/>
      <c r="N1749" s="8"/>
      <c r="O1749" s="8"/>
      <c r="P1749" s="8"/>
      <c r="Q1749" s="9">
        <f ca="1">IFERROR(__xludf.DUMMYFUNCTION("GOOGLEFINANCE(C1749,""changepct"")"),1.37)</f>
        <v>1.37</v>
      </c>
      <c r="R1749" s="8"/>
      <c r="S1749" s="8"/>
      <c r="T1749" s="8"/>
      <c r="U1749" s="8"/>
      <c r="V1749" s="8"/>
      <c r="W1749" s="8"/>
    </row>
    <row r="1750" spans="1:23" ht="14.4">
      <c r="A1750" s="3">
        <f>LOOKUP(D1750,'AMFI DATA_2023H1'!B:C,'AMFI DATA_2023H1'!C:C)</f>
        <v>2278</v>
      </c>
      <c r="B1750" s="4" t="s">
        <v>5195</v>
      </c>
      <c r="C1750" s="4" t="s">
        <v>5196</v>
      </c>
      <c r="D1750" s="5" t="s">
        <v>5197</v>
      </c>
      <c r="E1750" s="5">
        <f>LOOKUP(D1750,'AMFI DATA_2023H1'!B:D,'AMFI DATA_2023H1'!D:D)</f>
        <v>90.45</v>
      </c>
      <c r="F1750" s="7">
        <f t="shared" si="6"/>
        <v>0.22719734660033164</v>
      </c>
      <c r="G1750" s="9">
        <v>111</v>
      </c>
      <c r="H1750" s="9">
        <v>111</v>
      </c>
      <c r="I1750" s="9">
        <v>114</v>
      </c>
      <c r="J1750" s="9">
        <v>115</v>
      </c>
      <c r="K1750" s="9">
        <v>105</v>
      </c>
      <c r="L1750" s="9">
        <v>107</v>
      </c>
      <c r="M1750" s="9"/>
      <c r="N1750" s="9"/>
      <c r="O1750" s="9"/>
      <c r="P1750" s="9"/>
      <c r="Q1750" s="9">
        <f ca="1">IFERROR(__xludf.DUMMYFUNCTION("GOOGLEFINANCE(C1750,""changepct"")"),3.45)</f>
        <v>3.45</v>
      </c>
      <c r="R1750" s="9"/>
      <c r="S1750" s="9"/>
      <c r="T1750" s="9"/>
      <c r="U1750" s="9"/>
      <c r="V1750" s="9"/>
      <c r="W1750" s="9"/>
    </row>
    <row r="1751" spans="1:23" ht="14.4">
      <c r="A1751" s="3">
        <f>LOOKUP(D1751,'AMFI DATA_2023H1'!B:C,'AMFI DATA_2023H1'!C:C)</f>
        <v>89</v>
      </c>
      <c r="B1751" s="4" t="s">
        <v>312</v>
      </c>
      <c r="C1751" s="4" t="s">
        <v>313</v>
      </c>
      <c r="D1751" s="5" t="s">
        <v>314</v>
      </c>
      <c r="E1751" s="5">
        <f>LOOKUP(D1751,'AMFI DATA_2023H1'!B:D,'AMFI DATA_2023H1'!D:D)</f>
        <v>54799.49</v>
      </c>
      <c r="F1751" s="7">
        <f t="shared" si="6"/>
        <v>0.4193562750310269</v>
      </c>
      <c r="G1751" s="8">
        <v>77780</v>
      </c>
      <c r="H1751" s="8">
        <v>78030</v>
      </c>
      <c r="I1751" s="8">
        <v>76695</v>
      </c>
      <c r="J1751" s="8">
        <v>76616</v>
      </c>
      <c r="K1751" s="8">
        <v>77500</v>
      </c>
      <c r="L1751" s="8">
        <v>75220</v>
      </c>
      <c r="M1751" s="8"/>
      <c r="N1751" s="8"/>
      <c r="O1751" s="8"/>
      <c r="P1751" s="8"/>
      <c r="Q1751" s="9">
        <f ca="1">IFERROR(__xludf.DUMMYFUNCTION("GOOGLEFINANCE(C1751,""changepct"")"),2.39)</f>
        <v>2.39</v>
      </c>
      <c r="R1751" s="8"/>
      <c r="S1751" s="8"/>
      <c r="T1751" s="8"/>
      <c r="U1751" s="8"/>
      <c r="V1751" s="8"/>
      <c r="W1751" s="8"/>
    </row>
    <row r="1752" spans="1:23" ht="14.4">
      <c r="A1752" s="3">
        <f>LOOKUP(D1752,'AMFI DATA_2023H1'!B:C,'AMFI DATA_2023H1'!C:C)</f>
        <v>188</v>
      </c>
      <c r="B1752" s="4" t="s">
        <v>528</v>
      </c>
      <c r="C1752" s="4" t="s">
        <v>529</v>
      </c>
      <c r="D1752" s="5" t="s">
        <v>530</v>
      </c>
      <c r="E1752" s="5">
        <f>LOOKUP(D1752,'AMFI DATA_2023H1'!B:D,'AMFI DATA_2023H1'!D:D)</f>
        <v>25596.36</v>
      </c>
      <c r="F1752" s="7">
        <f t="shared" si="6"/>
        <v>0.76923593823496783</v>
      </c>
      <c r="G1752" s="8">
        <v>45286</v>
      </c>
      <c r="H1752" s="8">
        <v>44890</v>
      </c>
      <c r="I1752" s="8">
        <v>44169</v>
      </c>
      <c r="J1752" s="8">
        <v>43195</v>
      </c>
      <c r="K1752" s="8">
        <v>43808</v>
      </c>
      <c r="L1752" s="8">
        <v>43904</v>
      </c>
      <c r="M1752" s="8"/>
      <c r="N1752" s="8"/>
      <c r="O1752" s="8"/>
      <c r="P1752" s="8"/>
      <c r="Q1752" s="9">
        <f ca="1">IFERROR(__xludf.DUMMYFUNCTION("GOOGLEFINANCE(C1752,""changepct"")"),-1.91)</f>
        <v>-1.91</v>
      </c>
      <c r="R1752" s="8"/>
      <c r="S1752" s="8"/>
      <c r="T1752" s="8"/>
      <c r="U1752" s="8"/>
      <c r="V1752" s="8"/>
      <c r="W1752" s="8"/>
    </row>
    <row r="1753" spans="1:23" ht="14.4">
      <c r="A1753" s="3">
        <f>LOOKUP(D1753,'AMFI DATA_2023H1'!B:C,'AMFI DATA_2023H1'!C:C)</f>
        <v>1728</v>
      </c>
      <c r="B1753" s="4" t="s">
        <v>4640</v>
      </c>
      <c r="C1753" s="4" t="s">
        <v>4641</v>
      </c>
      <c r="D1753" s="5" t="s">
        <v>4642</v>
      </c>
      <c r="E1753" s="5">
        <f>LOOKUP(D1753,'AMFI DATA_2023H1'!B:D,'AMFI DATA_2023H1'!D:D)</f>
        <v>227.09</v>
      </c>
      <c r="F1753" s="7">
        <f t="shared" si="6"/>
        <v>-5.3238803998414741E-2</v>
      </c>
      <c r="G1753" s="9">
        <v>215</v>
      </c>
      <c r="H1753" s="9">
        <v>209</v>
      </c>
      <c r="I1753" s="9">
        <v>202</v>
      </c>
      <c r="J1753" s="9">
        <v>194</v>
      </c>
      <c r="K1753" s="9">
        <v>198</v>
      </c>
      <c r="L1753" s="9">
        <v>193</v>
      </c>
      <c r="M1753" s="9"/>
      <c r="N1753" s="9"/>
      <c r="O1753" s="9"/>
      <c r="P1753" s="9"/>
      <c r="Q1753" s="9">
        <f ca="1">IFERROR(__xludf.DUMMYFUNCTION("GOOGLEFINANCE(C1753,""changepct"")"),-3.97)</f>
        <v>-3.97</v>
      </c>
      <c r="R1753" s="9"/>
      <c r="S1753" s="9"/>
      <c r="T1753" s="9"/>
      <c r="U1753" s="9"/>
      <c r="V1753" s="9"/>
      <c r="W1753" s="9"/>
    </row>
    <row r="1754" spans="1:23" ht="14.4">
      <c r="A1754" s="3">
        <f>LOOKUP(D1754,'AMFI DATA_2023H1'!B:C,'AMFI DATA_2023H1'!C:C)</f>
        <v>1892</v>
      </c>
      <c r="B1754" s="4" t="s">
        <v>4793</v>
      </c>
      <c r="C1754" s="4" t="s">
        <v>4794</v>
      </c>
      <c r="D1754" s="5" t="s">
        <v>4795</v>
      </c>
      <c r="E1754" s="5">
        <f>LOOKUP(D1754,'AMFI DATA_2023H1'!B:D,'AMFI DATA_2023H1'!D:D)</f>
        <v>167.22</v>
      </c>
      <c r="F1754" s="7">
        <f t="shared" si="6"/>
        <v>9.4366702547542092E-2</v>
      </c>
      <c r="G1754" s="9">
        <v>183</v>
      </c>
      <c r="H1754" s="9">
        <v>183</v>
      </c>
      <c r="I1754" s="9">
        <v>189</v>
      </c>
      <c r="J1754" s="9">
        <v>189</v>
      </c>
      <c r="K1754" s="9">
        <v>186</v>
      </c>
      <c r="L1754" s="9">
        <v>194</v>
      </c>
      <c r="M1754" s="9"/>
      <c r="N1754" s="9"/>
      <c r="O1754" s="9"/>
      <c r="P1754" s="9"/>
      <c r="Q1754" s="9">
        <f ca="1">IFERROR(__xludf.DUMMYFUNCTION("GOOGLEFINANCE(C1754,""changepct"")"),-4.86)</f>
        <v>-4.8600000000000003</v>
      </c>
      <c r="R1754" s="9"/>
      <c r="S1754" s="9"/>
      <c r="T1754" s="9"/>
      <c r="U1754" s="9"/>
      <c r="V1754" s="9"/>
      <c r="W1754" s="9"/>
    </row>
    <row r="1755" spans="1:23" ht="14.4">
      <c r="A1755" s="3">
        <f>LOOKUP(D1755,'AMFI DATA_2023H1'!B:C,'AMFI DATA_2023H1'!C:C)</f>
        <v>1213</v>
      </c>
      <c r="B1755" s="4" t="s">
        <v>3446</v>
      </c>
      <c r="C1755" s="4" t="s">
        <v>3447</v>
      </c>
      <c r="D1755" s="5" t="s">
        <v>3448</v>
      </c>
      <c r="E1755" s="5">
        <f>LOOKUP(D1755,'AMFI DATA_2023H1'!B:D,'AMFI DATA_2023H1'!D:D)</f>
        <v>675.47</v>
      </c>
      <c r="F1755" s="7">
        <f t="shared" si="6"/>
        <v>0.80466934134750612</v>
      </c>
      <c r="G1755" s="8">
        <v>1219</v>
      </c>
      <c r="H1755" s="8">
        <v>1148</v>
      </c>
      <c r="I1755" s="8">
        <v>1155</v>
      </c>
      <c r="J1755" s="8">
        <v>1191</v>
      </c>
      <c r="K1755" s="8">
        <v>1221</v>
      </c>
      <c r="L1755" s="8">
        <v>1248</v>
      </c>
      <c r="M1755" s="8"/>
      <c r="N1755" s="8"/>
      <c r="O1755" s="8"/>
      <c r="P1755" s="8"/>
      <c r="Q1755" s="9">
        <f ca="1">IFERROR(__xludf.DUMMYFUNCTION("GOOGLEFINANCE(C1755,""changepct"")"),11.37)</f>
        <v>11.37</v>
      </c>
      <c r="R1755" s="8"/>
      <c r="S1755" s="8"/>
      <c r="T1755" s="8"/>
      <c r="U1755" s="8"/>
      <c r="V1755" s="8"/>
      <c r="W1755" s="8"/>
    </row>
    <row r="1756" spans="1:23" ht="14.4">
      <c r="A1756" s="3">
        <f>LOOKUP(D1756,'AMFI DATA_2023H1'!B:C,'AMFI DATA_2023H1'!C:C)</f>
        <v>1626</v>
      </c>
      <c r="B1756" s="4" t="s">
        <v>4244</v>
      </c>
      <c r="C1756" s="4" t="s">
        <v>4245</v>
      </c>
      <c r="D1756" s="5" t="s">
        <v>4246</v>
      </c>
      <c r="E1756" s="5">
        <f>LOOKUP(D1756,'AMFI DATA_2023H1'!B:D,'AMFI DATA_2023H1'!D:D)</f>
        <v>271.38</v>
      </c>
      <c r="F1756" s="7">
        <f t="shared" si="6"/>
        <v>0.48131770948485531</v>
      </c>
      <c r="G1756" s="9">
        <v>402</v>
      </c>
      <c r="H1756" s="9">
        <v>401</v>
      </c>
      <c r="I1756" s="9">
        <v>401</v>
      </c>
      <c r="J1756" s="9">
        <v>405</v>
      </c>
      <c r="K1756" s="9">
        <v>418</v>
      </c>
      <c r="L1756" s="9">
        <v>417</v>
      </c>
      <c r="M1756" s="9"/>
      <c r="N1756" s="9"/>
      <c r="O1756" s="9"/>
      <c r="P1756" s="9"/>
      <c r="Q1756" s="9">
        <f ca="1">IFERROR(__xludf.DUMMYFUNCTION("GOOGLEFINANCE(C1756,""changepct"")"),-3.69)</f>
        <v>-3.69</v>
      </c>
      <c r="R1756" s="9"/>
      <c r="S1756" s="9"/>
      <c r="T1756" s="9"/>
      <c r="U1756" s="9"/>
      <c r="V1756" s="9"/>
      <c r="W1756" s="9"/>
    </row>
    <row r="1757" spans="1:23" ht="14.4">
      <c r="A1757" s="3">
        <f>LOOKUP(D1757,'AMFI DATA_2023H1'!B:C,'AMFI DATA_2023H1'!C:C)</f>
        <v>1161</v>
      </c>
      <c r="B1757" s="4" t="s">
        <v>3521</v>
      </c>
      <c r="C1757" s="4" t="s">
        <v>3522</v>
      </c>
      <c r="D1757" s="5" t="s">
        <v>3523</v>
      </c>
      <c r="E1757" s="5">
        <f>LOOKUP(D1757,'AMFI DATA_2023H1'!B:D,'AMFI DATA_2023H1'!D:D)</f>
        <v>771.21</v>
      </c>
      <c r="F1757" s="7">
        <f t="shared" si="6"/>
        <v>0.45874664488271666</v>
      </c>
      <c r="G1757" s="8">
        <v>1125</v>
      </c>
      <c r="H1757" s="8">
        <v>1126</v>
      </c>
      <c r="I1757" s="8">
        <v>1119</v>
      </c>
      <c r="J1757" s="8">
        <v>1150</v>
      </c>
      <c r="K1757" s="8">
        <v>1153</v>
      </c>
      <c r="L1757" s="8">
        <v>1198</v>
      </c>
      <c r="M1757" s="8"/>
      <c r="N1757" s="8"/>
      <c r="O1757" s="8"/>
      <c r="P1757" s="8"/>
      <c r="Q1757" s="9">
        <f ca="1">IFERROR(__xludf.DUMMYFUNCTION("GOOGLEFINANCE(C1757,""changepct"")"),2.27)</f>
        <v>2.27</v>
      </c>
      <c r="R1757" s="8"/>
      <c r="S1757" s="8"/>
      <c r="T1757" s="8"/>
      <c r="U1757" s="8"/>
      <c r="V1757" s="8"/>
      <c r="W1757" s="8"/>
    </row>
    <row r="1758" spans="1:23" ht="14.4">
      <c r="A1758" s="3">
        <f>LOOKUP(D1758,'AMFI DATA_2023H1'!B:C,'AMFI DATA_2023H1'!C:C)</f>
        <v>1087</v>
      </c>
      <c r="B1758" s="4" t="s">
        <v>2717</v>
      </c>
      <c r="C1758" s="4" t="s">
        <v>2718</v>
      </c>
      <c r="D1758" s="5" t="s">
        <v>2719</v>
      </c>
      <c r="E1758" s="5">
        <f>LOOKUP(D1758,'AMFI DATA_2023H1'!B:D,'AMFI DATA_2023H1'!D:D)</f>
        <v>911.92</v>
      </c>
      <c r="F1758" s="7">
        <f t="shared" si="6"/>
        <v>2.7316869900868497</v>
      </c>
      <c r="G1758" s="8">
        <v>3403</v>
      </c>
      <c r="H1758" s="8">
        <v>3306</v>
      </c>
      <c r="I1758" s="8">
        <v>3058</v>
      </c>
      <c r="J1758" s="8">
        <v>3122</v>
      </c>
      <c r="K1758" s="8">
        <v>3096</v>
      </c>
      <c r="L1758" s="8">
        <v>3194</v>
      </c>
      <c r="M1758" s="8"/>
      <c r="N1758" s="8"/>
      <c r="O1758" s="8"/>
      <c r="P1758" s="8"/>
      <c r="Q1758" s="9">
        <f ca="1">IFERROR(__xludf.DUMMYFUNCTION("GOOGLEFINANCE(C1758,""changepct"")"),2.42)</f>
        <v>2.42</v>
      </c>
      <c r="R1758" s="8"/>
      <c r="S1758" s="8"/>
      <c r="T1758" s="8"/>
      <c r="U1758" s="8"/>
      <c r="V1758" s="8"/>
      <c r="W1758" s="8"/>
    </row>
    <row r="1759" spans="1:23" ht="14.4">
      <c r="A1759" s="3">
        <f>LOOKUP(D1759,'AMFI DATA_2023H1'!B:C,'AMFI DATA_2023H1'!C:C)</f>
        <v>2367</v>
      </c>
      <c r="B1759" s="4" t="s">
        <v>3374</v>
      </c>
      <c r="C1759" s="4" t="s">
        <v>3375</v>
      </c>
      <c r="D1759" s="5" t="s">
        <v>3376</v>
      </c>
      <c r="E1759" s="5">
        <f>LOOKUP(D1759,'AMFI DATA_2023H1'!B:D,'AMFI DATA_2023H1'!D:D)</f>
        <v>76.959999999999994</v>
      </c>
      <c r="F1759" s="7">
        <f t="shared" si="6"/>
        <v>13.280145530145532</v>
      </c>
      <c r="G1759" s="8">
        <v>1099</v>
      </c>
      <c r="H1759" s="8">
        <v>1118</v>
      </c>
      <c r="I1759" s="8">
        <v>1144</v>
      </c>
      <c r="J1759" s="8">
        <v>1166</v>
      </c>
      <c r="K1759" s="8">
        <v>1098</v>
      </c>
      <c r="L1759" s="8">
        <v>1088</v>
      </c>
      <c r="M1759" s="8"/>
      <c r="N1759" s="8"/>
      <c r="O1759" s="8"/>
      <c r="P1759" s="8"/>
      <c r="Q1759" s="9">
        <f ca="1">IFERROR(__xludf.DUMMYFUNCTION("GOOGLEFINANCE(C1759,""changepct"")"),6.45)</f>
        <v>6.45</v>
      </c>
      <c r="R1759" s="8"/>
      <c r="S1759" s="8"/>
      <c r="T1759" s="8"/>
      <c r="U1759" s="8"/>
      <c r="V1759" s="8"/>
      <c r="W1759" s="8"/>
    </row>
    <row r="1760" spans="1:23" ht="14.4">
      <c r="A1760" s="3">
        <f>LOOKUP(D1760,'AMFI DATA_2023H1'!B:C,'AMFI DATA_2023H1'!C:C)</f>
        <v>512</v>
      </c>
      <c r="B1760" s="4" t="s">
        <v>1644</v>
      </c>
      <c r="C1760" s="4" t="s">
        <v>1645</v>
      </c>
      <c r="D1760" s="5" t="s">
        <v>1646</v>
      </c>
      <c r="E1760" s="5">
        <f>LOOKUP(D1760,'AMFI DATA_2023H1'!B:D,'AMFI DATA_2023H1'!D:D)</f>
        <v>5013.53</v>
      </c>
      <c r="F1760" s="7">
        <f t="shared" si="6"/>
        <v>0.2839256970637456</v>
      </c>
      <c r="G1760" s="8">
        <v>6437</v>
      </c>
      <c r="H1760" s="8">
        <v>6404</v>
      </c>
      <c r="I1760" s="8">
        <v>6310</v>
      </c>
      <c r="J1760" s="8">
        <v>6242</v>
      </c>
      <c r="K1760" s="8">
        <v>6364</v>
      </c>
      <c r="L1760" s="8">
        <v>6341</v>
      </c>
      <c r="M1760" s="8"/>
      <c r="N1760" s="8"/>
      <c r="O1760" s="8"/>
      <c r="P1760" s="8"/>
      <c r="Q1760" s="9">
        <f ca="1">IFERROR(__xludf.DUMMYFUNCTION("GOOGLEFINANCE(C1760,""changepct"")"),1.21)</f>
        <v>1.21</v>
      </c>
      <c r="R1760" s="8"/>
      <c r="S1760" s="8"/>
      <c r="T1760" s="8"/>
      <c r="U1760" s="8"/>
      <c r="V1760" s="8"/>
      <c r="W1760" s="8"/>
    </row>
    <row r="1761" spans="1:23" ht="14.4">
      <c r="A1761" s="3">
        <f>LOOKUP(D1761,'AMFI DATA_2023H1'!B:C,'AMFI DATA_2023H1'!C:C)</f>
        <v>2943</v>
      </c>
      <c r="B1761" s="4" t="s">
        <v>5452</v>
      </c>
      <c r="C1761" s="4" t="s">
        <v>5453</v>
      </c>
      <c r="D1761" s="5" t="s">
        <v>5454</v>
      </c>
      <c r="E1761" s="5">
        <f>LOOKUP(D1761,'AMFI DATA_2023H1'!B:D,'AMFI DATA_2023H1'!D:D)</f>
        <v>32.64</v>
      </c>
      <c r="F1761" s="7">
        <f t="shared" si="6"/>
        <v>0.84129901960784315</v>
      </c>
      <c r="G1761" s="9">
        <v>60.1</v>
      </c>
      <c r="H1761" s="9">
        <v>61.4</v>
      </c>
      <c r="I1761" s="9">
        <v>59.8</v>
      </c>
      <c r="J1761" s="9">
        <v>59.5</v>
      </c>
      <c r="K1761" s="9">
        <v>58.1</v>
      </c>
      <c r="L1761" s="9">
        <v>60.5</v>
      </c>
      <c r="M1761" s="9"/>
      <c r="N1761" s="9"/>
      <c r="O1761" s="9"/>
      <c r="P1761" s="9"/>
      <c r="Q1761" s="9">
        <f ca="1">IFERROR(__xludf.DUMMYFUNCTION("GOOGLEFINANCE(C1761,""changepct"")"),3.1)</f>
        <v>3.1</v>
      </c>
      <c r="R1761" s="9"/>
      <c r="S1761" s="9"/>
      <c r="T1761" s="9"/>
      <c r="U1761" s="9"/>
      <c r="V1761" s="9"/>
      <c r="W1761" s="9"/>
    </row>
    <row r="1762" spans="1:23" ht="14.4">
      <c r="A1762" s="3">
        <f>LOOKUP(D1762,'AMFI DATA_2023H1'!B:C,'AMFI DATA_2023H1'!C:C)</f>
        <v>2443</v>
      </c>
      <c r="B1762" s="4" t="s">
        <v>5314</v>
      </c>
      <c r="C1762" s="4" t="s">
        <v>5315</v>
      </c>
      <c r="D1762" s="5" t="s">
        <v>5316</v>
      </c>
      <c r="E1762" s="5">
        <f>LOOKUP(D1762,'AMFI DATA_2023H1'!B:D,'AMFI DATA_2023H1'!D:D)</f>
        <v>69.08</v>
      </c>
      <c r="F1762" s="7">
        <f t="shared" si="6"/>
        <v>0.29704690214244356</v>
      </c>
      <c r="G1762" s="9">
        <v>89.6</v>
      </c>
      <c r="H1762" s="9">
        <v>90.3</v>
      </c>
      <c r="I1762" s="9">
        <v>87.6</v>
      </c>
      <c r="J1762" s="9">
        <v>86.7</v>
      </c>
      <c r="K1762" s="9">
        <v>90.2</v>
      </c>
      <c r="L1762" s="9">
        <v>87</v>
      </c>
      <c r="M1762" s="9"/>
      <c r="N1762" s="9"/>
      <c r="O1762" s="9"/>
      <c r="P1762" s="9"/>
      <c r="Q1762" s="9">
        <f ca="1">IFERROR(__xludf.DUMMYFUNCTION("GOOGLEFINANCE(C1762,""changepct"")"),-2.32)</f>
        <v>-2.3199999999999998</v>
      </c>
      <c r="R1762" s="9"/>
      <c r="S1762" s="9"/>
      <c r="T1762" s="9"/>
      <c r="U1762" s="9"/>
      <c r="V1762" s="9"/>
      <c r="W1762" s="9"/>
    </row>
    <row r="1763" spans="1:23" ht="14.4">
      <c r="A1763" s="3">
        <f>LOOKUP(D1763,'AMFI DATA_2023H1'!B:C,'AMFI DATA_2023H1'!C:C)</f>
        <v>2367</v>
      </c>
      <c r="B1763" s="4" t="s">
        <v>4952</v>
      </c>
      <c r="C1763" s="4" t="s">
        <v>4953</v>
      </c>
      <c r="D1763" s="5" t="s">
        <v>4954</v>
      </c>
      <c r="E1763" s="5">
        <f>LOOKUP(D1763,'AMFI DATA_2023H1'!B:D,'AMFI DATA_2023H1'!D:D)</f>
        <v>76.959999999999994</v>
      </c>
      <c r="F1763" s="7">
        <f t="shared" si="6"/>
        <v>1.81964656964657</v>
      </c>
      <c r="G1763" s="9">
        <v>217</v>
      </c>
      <c r="H1763" s="9">
        <v>213</v>
      </c>
      <c r="I1763" s="9">
        <v>216</v>
      </c>
      <c r="J1763" s="9">
        <v>220</v>
      </c>
      <c r="K1763" s="9">
        <v>223</v>
      </c>
      <c r="L1763" s="9">
        <v>228</v>
      </c>
      <c r="M1763" s="9"/>
      <c r="N1763" s="9"/>
      <c r="O1763" s="9"/>
      <c r="P1763" s="9"/>
      <c r="Q1763" s="9">
        <f ca="1">IFERROR(__xludf.DUMMYFUNCTION("GOOGLEFINANCE(C1763,""changepct"")"),2.56)</f>
        <v>2.56</v>
      </c>
      <c r="R1763" s="9"/>
      <c r="S1763" s="9"/>
      <c r="T1763" s="9"/>
      <c r="U1763" s="9"/>
      <c r="V1763" s="9"/>
      <c r="W1763" s="9"/>
    </row>
    <row r="1764" spans="1:23" ht="14.4">
      <c r="A1764" s="3">
        <f>LOOKUP(D1764,'AMFI DATA_2023H1'!B:C,'AMFI DATA_2023H1'!C:C)</f>
        <v>100</v>
      </c>
      <c r="B1764" s="4" t="s">
        <v>252</v>
      </c>
      <c r="C1764" s="4" t="s">
        <v>253</v>
      </c>
      <c r="D1764" s="5" t="s">
        <v>254</v>
      </c>
      <c r="E1764" s="5">
        <f>LOOKUP(D1764,'AMFI DATA_2023H1'!B:D,'AMFI DATA_2023H1'!D:D)</f>
        <v>49686.95</v>
      </c>
      <c r="F1764" s="7">
        <f t="shared" si="6"/>
        <v>1.1464992316896088</v>
      </c>
      <c r="G1764" s="8">
        <v>106653</v>
      </c>
      <c r="H1764" s="8">
        <v>108626</v>
      </c>
      <c r="I1764" s="8">
        <v>107482</v>
      </c>
      <c r="J1764" s="8">
        <v>107119</v>
      </c>
      <c r="K1764" s="8">
        <v>105626</v>
      </c>
      <c r="L1764" s="8">
        <v>105420</v>
      </c>
      <c r="M1764" s="8"/>
      <c r="N1764" s="8"/>
      <c r="O1764" s="8"/>
      <c r="P1764" s="8"/>
      <c r="Q1764" s="9">
        <f ca="1">IFERROR(__xludf.DUMMYFUNCTION("GOOGLEFINANCE(C1764,""changepct"")"),1.12)</f>
        <v>1.1200000000000001</v>
      </c>
      <c r="R1764" s="8"/>
      <c r="S1764" s="8"/>
      <c r="T1764" s="8"/>
      <c r="U1764" s="8"/>
      <c r="V1764" s="8"/>
      <c r="W1764" s="8"/>
    </row>
    <row r="1765" spans="1:23" ht="14.4">
      <c r="A1765" s="3">
        <f>LOOKUP(D1765,'AMFI DATA_2023H1'!B:C,'AMFI DATA_2023H1'!C:C)</f>
        <v>1834</v>
      </c>
      <c r="B1765" s="4" t="s">
        <v>4520</v>
      </c>
      <c r="C1765" s="4" t="s">
        <v>4521</v>
      </c>
      <c r="D1765" s="5" t="s">
        <v>4522</v>
      </c>
      <c r="E1765" s="5">
        <f>LOOKUP(D1765,'AMFI DATA_2023H1'!B:D,'AMFI DATA_2023H1'!D:D)</f>
        <v>184.97</v>
      </c>
      <c r="F1765" s="7">
        <f t="shared" si="6"/>
        <v>0.50294642374439102</v>
      </c>
      <c r="G1765" s="9">
        <v>278</v>
      </c>
      <c r="H1765" s="9">
        <v>281</v>
      </c>
      <c r="I1765" s="9">
        <v>276</v>
      </c>
      <c r="J1765" s="9">
        <v>277</v>
      </c>
      <c r="K1765" s="9">
        <v>280</v>
      </c>
      <c r="L1765" s="9">
        <v>274</v>
      </c>
      <c r="M1765" s="9"/>
      <c r="N1765" s="9"/>
      <c r="O1765" s="9"/>
      <c r="P1765" s="9"/>
      <c r="Q1765" s="9">
        <f ca="1">IFERROR(__xludf.DUMMYFUNCTION("GOOGLEFINANCE(C1765,""changepct"")"),-0.81)</f>
        <v>-0.81</v>
      </c>
      <c r="R1765" s="9"/>
      <c r="S1765" s="9"/>
      <c r="T1765" s="9"/>
      <c r="U1765" s="9"/>
      <c r="V1765" s="9"/>
      <c r="W1765" s="9"/>
    </row>
    <row r="1766" spans="1:23" ht="14.4">
      <c r="A1766" s="3">
        <f>LOOKUP(D1766,'AMFI DATA_2023H1'!B:C,'AMFI DATA_2023H1'!C:C)</f>
        <v>1324</v>
      </c>
      <c r="B1766" s="4" t="s">
        <v>3629</v>
      </c>
      <c r="C1766" s="4" t="s">
        <v>3630</v>
      </c>
      <c r="D1766" s="5" t="s">
        <v>3631</v>
      </c>
      <c r="E1766" s="5">
        <f>LOOKUP(D1766,'AMFI DATA_2023H1'!B:D,'AMFI DATA_2023H1'!D:D)</f>
        <v>487.15</v>
      </c>
      <c r="F1766" s="7">
        <f t="shared" si="6"/>
        <v>0.73663142769167611</v>
      </c>
      <c r="G1766" s="9">
        <v>846</v>
      </c>
      <c r="H1766" s="9">
        <v>852</v>
      </c>
      <c r="I1766" s="9">
        <v>848</v>
      </c>
      <c r="J1766" s="9">
        <v>867</v>
      </c>
      <c r="K1766" s="9">
        <v>874</v>
      </c>
      <c r="L1766" s="9">
        <v>912</v>
      </c>
      <c r="M1766" s="9"/>
      <c r="N1766" s="9"/>
      <c r="O1766" s="9"/>
      <c r="P1766" s="9"/>
      <c r="Q1766" s="9">
        <f ca="1">IFERROR(__xludf.DUMMYFUNCTION("GOOGLEFINANCE(C1766,""changepct"")"),3.61)</f>
        <v>3.61</v>
      </c>
      <c r="R1766" s="9"/>
      <c r="S1766" s="9"/>
      <c r="T1766" s="9"/>
      <c r="U1766" s="9"/>
      <c r="V1766" s="9"/>
      <c r="W1766" s="9"/>
    </row>
    <row r="1767" spans="1:23" ht="14.4">
      <c r="A1767" s="3">
        <f>LOOKUP(D1767,'AMFI DATA_2023H1'!B:C,'AMFI DATA_2023H1'!C:C)</f>
        <v>256</v>
      </c>
      <c r="B1767" s="4" t="s">
        <v>861</v>
      </c>
      <c r="C1767" s="4" t="s">
        <v>862</v>
      </c>
      <c r="D1767" s="5" t="s">
        <v>863</v>
      </c>
      <c r="E1767" s="5">
        <f>LOOKUP(D1767,'AMFI DATA_2023H1'!B:D,'AMFI DATA_2023H1'!D:D)</f>
        <v>16254.6</v>
      </c>
      <c r="F1767" s="7">
        <f t="shared" si="6"/>
        <v>0.146506219777786</v>
      </c>
      <c r="G1767" s="8">
        <v>18636</v>
      </c>
      <c r="H1767" s="8">
        <v>18488</v>
      </c>
      <c r="I1767" s="8">
        <v>18294</v>
      </c>
      <c r="J1767" s="8">
        <v>18412</v>
      </c>
      <c r="K1767" s="8">
        <v>18381</v>
      </c>
      <c r="L1767" s="8">
        <v>18422</v>
      </c>
      <c r="M1767" s="8"/>
      <c r="N1767" s="8"/>
      <c r="O1767" s="8"/>
      <c r="P1767" s="8"/>
      <c r="Q1767" s="9">
        <f ca="1">IFERROR(__xludf.DUMMYFUNCTION("GOOGLEFINANCE(C1767,""changepct"")"),-1.09)</f>
        <v>-1.0900000000000001</v>
      </c>
      <c r="R1767" s="8"/>
      <c r="S1767" s="8"/>
      <c r="T1767" s="8"/>
      <c r="U1767" s="8"/>
      <c r="V1767" s="8"/>
      <c r="W1767" s="8"/>
    </row>
    <row r="1768" spans="1:23" ht="14.4">
      <c r="A1768" s="3">
        <f>LOOKUP(D1768,'AMFI DATA_2023H1'!B:C,'AMFI DATA_2023H1'!C:C)</f>
        <v>1576</v>
      </c>
      <c r="B1768" s="4" t="s">
        <v>4208</v>
      </c>
      <c r="C1768" s="4" t="s">
        <v>4209</v>
      </c>
      <c r="D1768" s="5" t="s">
        <v>4210</v>
      </c>
      <c r="E1768" s="5">
        <f>LOOKUP(D1768,'AMFI DATA_2023H1'!B:D,'AMFI DATA_2023H1'!D:D)</f>
        <v>301.55</v>
      </c>
      <c r="F1768" s="7">
        <f t="shared" si="6"/>
        <v>0.36295805007461435</v>
      </c>
      <c r="G1768" s="9">
        <v>411</v>
      </c>
      <c r="H1768" s="9">
        <v>409</v>
      </c>
      <c r="I1768" s="9">
        <v>421</v>
      </c>
      <c r="J1768" s="9">
        <v>425</v>
      </c>
      <c r="K1768" s="9">
        <v>434</v>
      </c>
      <c r="L1768" s="9">
        <v>416</v>
      </c>
      <c r="M1768" s="9"/>
      <c r="N1768" s="9"/>
      <c r="O1768" s="9"/>
      <c r="P1768" s="9"/>
      <c r="Q1768" s="9">
        <f ca="1">IFERROR(__xludf.DUMMYFUNCTION("GOOGLEFINANCE(C1768,""changepct"")"),-0.81)</f>
        <v>-0.81</v>
      </c>
      <c r="R1768" s="9"/>
      <c r="S1768" s="9"/>
      <c r="T1768" s="9"/>
      <c r="U1768" s="9"/>
      <c r="V1768" s="9"/>
      <c r="W1768" s="9"/>
    </row>
    <row r="1769" spans="1:23" ht="14.4">
      <c r="A1769" s="3">
        <f>LOOKUP(D1769,'AMFI DATA_2023H1'!B:C,'AMFI DATA_2023H1'!C:C)</f>
        <v>447</v>
      </c>
      <c r="B1769" s="4" t="s">
        <v>1470</v>
      </c>
      <c r="C1769" s="4" t="s">
        <v>1471</v>
      </c>
      <c r="D1769" s="5" t="s">
        <v>1472</v>
      </c>
      <c r="E1769" s="5">
        <f>LOOKUP(D1769,'AMFI DATA_2023H1'!B:D,'AMFI DATA_2023H1'!D:D)</f>
        <v>6378.13</v>
      </c>
      <c r="F1769" s="7">
        <f t="shared" si="6"/>
        <v>0.18483003638997642</v>
      </c>
      <c r="G1769" s="8">
        <v>7557</v>
      </c>
      <c r="H1769" s="8">
        <v>7560</v>
      </c>
      <c r="I1769" s="8">
        <v>7574</v>
      </c>
      <c r="J1769" s="8">
        <v>7365</v>
      </c>
      <c r="K1769" s="8">
        <v>7324</v>
      </c>
      <c r="L1769" s="8">
        <v>7249</v>
      </c>
      <c r="M1769" s="8"/>
      <c r="N1769" s="8"/>
      <c r="O1769" s="8"/>
      <c r="P1769" s="8"/>
      <c r="Q1769" s="9">
        <f ca="1">IFERROR(__xludf.DUMMYFUNCTION("GOOGLEFINANCE(C1769,""changepct"")"),0.06)</f>
        <v>0.06</v>
      </c>
      <c r="R1769" s="8"/>
      <c r="S1769" s="8"/>
      <c r="T1769" s="8"/>
      <c r="U1769" s="8"/>
      <c r="V1769" s="8"/>
      <c r="W1769" s="8"/>
    </row>
    <row r="1770" spans="1:23" ht="14.4">
      <c r="A1770" s="3">
        <f>LOOKUP(D1770,'AMFI DATA_2023H1'!B:C,'AMFI DATA_2023H1'!C:C)</f>
        <v>331</v>
      </c>
      <c r="B1770" s="4" t="s">
        <v>1050</v>
      </c>
      <c r="C1770" s="4" t="s">
        <v>1051</v>
      </c>
      <c r="D1770" s="5" t="s">
        <v>1052</v>
      </c>
      <c r="E1770" s="5">
        <f>LOOKUP(D1770,'AMFI DATA_2023H1'!B:D,'AMFI DATA_2023H1'!D:D)</f>
        <v>10712.1</v>
      </c>
      <c r="F1770" s="7">
        <f t="shared" si="6"/>
        <v>0.2460675311096796</v>
      </c>
      <c r="G1770" s="8">
        <v>13348</v>
      </c>
      <c r="H1770" s="8">
        <v>13451</v>
      </c>
      <c r="I1770" s="8">
        <v>13476</v>
      </c>
      <c r="J1770" s="8">
        <v>13192</v>
      </c>
      <c r="K1770" s="8">
        <v>12974</v>
      </c>
      <c r="L1770" s="8">
        <v>12775</v>
      </c>
      <c r="M1770" s="8"/>
      <c r="N1770" s="8"/>
      <c r="O1770" s="8"/>
      <c r="P1770" s="8"/>
      <c r="Q1770" s="9">
        <f ca="1">IFERROR(__xludf.DUMMYFUNCTION("GOOGLEFINANCE(C1770,""changepct"")"),1.77)</f>
        <v>1.77</v>
      </c>
      <c r="R1770" s="8"/>
      <c r="S1770" s="8"/>
      <c r="T1770" s="8"/>
      <c r="U1770" s="8"/>
      <c r="V1770" s="8"/>
      <c r="W1770" s="8"/>
    </row>
    <row r="1771" spans="1:23" ht="14.4">
      <c r="A1771" s="3">
        <f>LOOKUP(D1771,'AMFI DATA_2023H1'!B:C,'AMFI DATA_2023H1'!C:C)</f>
        <v>1209</v>
      </c>
      <c r="B1771" s="4" t="s">
        <v>3644</v>
      </c>
      <c r="C1771" s="4" t="s">
        <v>3645</v>
      </c>
      <c r="D1771" s="5" t="s">
        <v>3646</v>
      </c>
      <c r="E1771" s="5">
        <f>LOOKUP(D1771,'AMFI DATA_2023H1'!B:D,'AMFI DATA_2023H1'!D:D)</f>
        <v>680.23</v>
      </c>
      <c r="F1771" s="7">
        <f t="shared" si="6"/>
        <v>0.37894535671758067</v>
      </c>
      <c r="G1771" s="9">
        <v>938</v>
      </c>
      <c r="H1771" s="9">
        <v>904</v>
      </c>
      <c r="I1771" s="9">
        <v>838</v>
      </c>
      <c r="J1771" s="9">
        <v>835</v>
      </c>
      <c r="K1771" s="9">
        <v>868</v>
      </c>
      <c r="L1771" s="9">
        <v>883</v>
      </c>
      <c r="M1771" s="9"/>
      <c r="N1771" s="9"/>
      <c r="O1771" s="9"/>
      <c r="P1771" s="9"/>
      <c r="Q1771" s="9">
        <f ca="1">IFERROR(__xludf.DUMMYFUNCTION("GOOGLEFINANCE(C1771,""changepct"")"),0.9)</f>
        <v>0.9</v>
      </c>
      <c r="R1771" s="9"/>
      <c r="S1771" s="9"/>
      <c r="T1771" s="9"/>
      <c r="U1771" s="9"/>
      <c r="V1771" s="9"/>
      <c r="W1771" s="9"/>
    </row>
    <row r="1772" spans="1:23" ht="14.4">
      <c r="A1772" s="3">
        <f>LOOKUP(D1772,'AMFI DATA_2023H1'!B:C,'AMFI DATA_2023H1'!C:C)</f>
        <v>882</v>
      </c>
      <c r="B1772" s="4" t="s">
        <v>2831</v>
      </c>
      <c r="C1772" s="4" t="s">
        <v>2832</v>
      </c>
      <c r="D1772" s="5" t="s">
        <v>2833</v>
      </c>
      <c r="E1772" s="5">
        <f>LOOKUP(D1772,'AMFI DATA_2023H1'!B:D,'AMFI DATA_2023H1'!D:D)</f>
        <v>1561.62</v>
      </c>
      <c r="F1772" s="7">
        <f t="shared" si="6"/>
        <v>0.25382615489043436</v>
      </c>
      <c r="G1772" s="8">
        <v>1958</v>
      </c>
      <c r="H1772" s="8">
        <v>2001</v>
      </c>
      <c r="I1772" s="8">
        <v>1985</v>
      </c>
      <c r="J1772" s="8">
        <v>1994</v>
      </c>
      <c r="K1772" s="8">
        <v>1958</v>
      </c>
      <c r="L1772" s="8">
        <v>1981</v>
      </c>
      <c r="M1772" s="8"/>
      <c r="N1772" s="8"/>
      <c r="O1772" s="8"/>
      <c r="P1772" s="8"/>
      <c r="Q1772" s="9">
        <f ca="1">IFERROR(__xludf.DUMMYFUNCTION("GOOGLEFINANCE(C1772,""changepct"")"),-1.81)</f>
        <v>-1.81</v>
      </c>
      <c r="R1772" s="8"/>
      <c r="S1772" s="8"/>
      <c r="T1772" s="8"/>
      <c r="U1772" s="8"/>
      <c r="V1772" s="8"/>
      <c r="W1772" s="8"/>
    </row>
    <row r="1773" spans="1:23" ht="14.4">
      <c r="A1773" s="3">
        <f>LOOKUP(D1773,'AMFI DATA_2023H1'!B:C,'AMFI DATA_2023H1'!C:C)</f>
        <v>343</v>
      </c>
      <c r="B1773" s="4" t="s">
        <v>1164</v>
      </c>
      <c r="C1773" s="4" t="s">
        <v>1165</v>
      </c>
      <c r="D1773" s="5" t="s">
        <v>1166</v>
      </c>
      <c r="E1773" s="5">
        <f>LOOKUP(D1773,'AMFI DATA_2023H1'!B:D,'AMFI DATA_2023H1'!D:D)</f>
        <v>10228.379999999999</v>
      </c>
      <c r="F1773" s="7">
        <f t="shared" si="6"/>
        <v>1.1597144415831373E-2</v>
      </c>
      <c r="G1773" s="8">
        <v>10347</v>
      </c>
      <c r="H1773" s="8">
        <v>10252</v>
      </c>
      <c r="I1773" s="8">
        <v>10262</v>
      </c>
      <c r="J1773" s="8">
        <v>10243</v>
      </c>
      <c r="K1773" s="8">
        <v>10290</v>
      </c>
      <c r="L1773" s="8">
        <v>10253</v>
      </c>
      <c r="M1773" s="8"/>
      <c r="N1773" s="8"/>
      <c r="O1773" s="8"/>
      <c r="P1773" s="8"/>
      <c r="Q1773" s="9">
        <f ca="1">IFERROR(__xludf.DUMMYFUNCTION("GOOGLEFINANCE(C1773,""changepct"")"),-0.58)</f>
        <v>-0.57999999999999996</v>
      </c>
      <c r="R1773" s="8"/>
      <c r="S1773" s="8"/>
      <c r="T1773" s="8"/>
      <c r="U1773" s="8"/>
      <c r="V1773" s="8"/>
      <c r="W1773" s="8"/>
    </row>
    <row r="1774" spans="1:23" ht="14.4">
      <c r="A1774" s="3">
        <f>LOOKUP(D1774,'AMFI DATA_2023H1'!B:C,'AMFI DATA_2023H1'!C:C)</f>
        <v>95</v>
      </c>
      <c r="B1774" s="4" t="s">
        <v>330</v>
      </c>
      <c r="C1774" s="4" t="s">
        <v>331</v>
      </c>
      <c r="D1774" s="5" t="s">
        <v>332</v>
      </c>
      <c r="E1774" s="5">
        <f>LOOKUP(D1774,'AMFI DATA_2023H1'!B:D,'AMFI DATA_2023H1'!D:D)</f>
        <v>52078.89</v>
      </c>
      <c r="F1774" s="7">
        <f t="shared" si="6"/>
        <v>0.32760126031872039</v>
      </c>
      <c r="G1774" s="8">
        <v>69140</v>
      </c>
      <c r="H1774" s="8">
        <v>68435</v>
      </c>
      <c r="I1774" s="8">
        <v>68448</v>
      </c>
      <c r="J1774" s="8">
        <v>70594</v>
      </c>
      <c r="K1774" s="8">
        <v>69978</v>
      </c>
      <c r="L1774" s="8">
        <v>69384</v>
      </c>
      <c r="M1774" s="8"/>
      <c r="N1774" s="8"/>
      <c r="O1774" s="8"/>
      <c r="P1774" s="8"/>
      <c r="Q1774" s="9">
        <f ca="1">IFERROR(__xludf.DUMMYFUNCTION("GOOGLEFINANCE(C1774,""changepct"")"),6.51)</f>
        <v>6.51</v>
      </c>
      <c r="R1774" s="8"/>
      <c r="S1774" s="8"/>
      <c r="T1774" s="8"/>
      <c r="U1774" s="8"/>
      <c r="V1774" s="8"/>
      <c r="W1774" s="8"/>
    </row>
    <row r="1775" spans="1:23" ht="14.4">
      <c r="A1775" s="3">
        <f>LOOKUP(D1775,'AMFI DATA_2023H1'!B:C,'AMFI DATA_2023H1'!C:C)</f>
        <v>967</v>
      </c>
      <c r="B1775" s="4" t="s">
        <v>3170</v>
      </c>
      <c r="C1775" s="4" t="s">
        <v>3171</v>
      </c>
      <c r="D1775" s="5" t="s">
        <v>3172</v>
      </c>
      <c r="E1775" s="5">
        <f>LOOKUP(D1775,'AMFI DATA_2023H1'!B:D,'AMFI DATA_2023H1'!D:D)</f>
        <v>1270.42</v>
      </c>
      <c r="F1775" s="7">
        <f t="shared" si="6"/>
        <v>2.0135073440279427E-2</v>
      </c>
      <c r="G1775" s="8">
        <v>1296</v>
      </c>
      <c r="H1775" s="8">
        <v>1278</v>
      </c>
      <c r="I1775" s="8">
        <v>1271</v>
      </c>
      <c r="J1775" s="8">
        <v>1268</v>
      </c>
      <c r="K1775" s="8">
        <v>1286</v>
      </c>
      <c r="L1775" s="8">
        <v>1274</v>
      </c>
      <c r="M1775" s="8"/>
      <c r="N1775" s="8"/>
      <c r="O1775" s="8"/>
      <c r="P1775" s="8"/>
      <c r="Q1775" s="9">
        <f ca="1">IFERROR(__xludf.DUMMYFUNCTION("GOOGLEFINANCE(C1775,""changepct"")"),0.89)</f>
        <v>0.89</v>
      </c>
      <c r="R1775" s="8"/>
      <c r="S1775" s="8"/>
      <c r="T1775" s="8"/>
      <c r="U1775" s="8"/>
      <c r="V1775" s="8"/>
      <c r="W1775" s="8"/>
    </row>
    <row r="1776" spans="1:23" ht="14.4">
      <c r="A1776" s="3">
        <f>LOOKUP(D1776,'AMFI DATA_2023H1'!B:C,'AMFI DATA_2023H1'!C:C)</f>
        <v>3847</v>
      </c>
      <c r="B1776" s="4" t="s">
        <v>5722</v>
      </c>
      <c r="C1776" s="4" t="s">
        <v>5723</v>
      </c>
      <c r="D1776" s="5" t="s">
        <v>5724</v>
      </c>
      <c r="E1776" s="5">
        <f>LOOKUP(D1776,'AMFI DATA_2023H1'!B:D,'AMFI DATA_2023H1'!D:D)</f>
        <v>8.68</v>
      </c>
      <c r="F1776" s="7">
        <f t="shared" si="6"/>
        <v>0.76267281105990792</v>
      </c>
      <c r="G1776" s="9">
        <v>15.3</v>
      </c>
      <c r="H1776" s="9">
        <v>15</v>
      </c>
      <c r="I1776" s="9">
        <v>15.3</v>
      </c>
      <c r="J1776" s="9">
        <v>15</v>
      </c>
      <c r="K1776" s="9">
        <v>15.5</v>
      </c>
      <c r="L1776" s="9">
        <v>15.3</v>
      </c>
      <c r="M1776" s="9"/>
      <c r="N1776" s="9"/>
      <c r="O1776" s="9"/>
      <c r="P1776" s="9"/>
      <c r="Q1776" s="9">
        <f ca="1">IFERROR(__xludf.DUMMYFUNCTION("GOOGLEFINANCE(C1776,""changepct"")"),4.6)</f>
        <v>4.5999999999999996</v>
      </c>
      <c r="R1776" s="9"/>
      <c r="S1776" s="9"/>
      <c r="T1776" s="9"/>
      <c r="U1776" s="9"/>
      <c r="V1776" s="9"/>
      <c r="W1776" s="9"/>
    </row>
    <row r="1777" spans="1:23" ht="14.4">
      <c r="A1777" s="3">
        <f>LOOKUP(D1777,'AMFI DATA_2023H1'!B:C,'AMFI DATA_2023H1'!C:C)</f>
        <v>470</v>
      </c>
      <c r="B1777" s="4" t="s">
        <v>1440</v>
      </c>
      <c r="C1777" s="4" t="s">
        <v>1441</v>
      </c>
      <c r="D1777" s="5" t="s">
        <v>1442</v>
      </c>
      <c r="E1777" s="5">
        <f>LOOKUP(D1777,'AMFI DATA_2023H1'!B:D,'AMFI DATA_2023H1'!D:D)</f>
        <v>5711.41</v>
      </c>
      <c r="F1777" s="7">
        <f t="shared" si="6"/>
        <v>0.5630115855804434</v>
      </c>
      <c r="G1777" s="8">
        <v>8927</v>
      </c>
      <c r="H1777" s="8">
        <v>8652</v>
      </c>
      <c r="I1777" s="8">
        <v>8687</v>
      </c>
      <c r="J1777" s="8">
        <v>8829</v>
      </c>
      <c r="K1777" s="8">
        <v>8946</v>
      </c>
      <c r="L1777" s="8">
        <v>8743</v>
      </c>
      <c r="M1777" s="8"/>
      <c r="N1777" s="8"/>
      <c r="O1777" s="8"/>
      <c r="P1777" s="8"/>
      <c r="Q1777" s="9">
        <f ca="1">IFERROR(__xludf.DUMMYFUNCTION("GOOGLEFINANCE(C1777,""changepct"")"),2.18)</f>
        <v>2.1800000000000002</v>
      </c>
      <c r="R1777" s="8"/>
      <c r="S1777" s="8"/>
      <c r="T1777" s="8"/>
      <c r="U1777" s="8"/>
      <c r="V1777" s="8"/>
      <c r="W1777" s="8"/>
    </row>
    <row r="1778" spans="1:23" ht="14.4">
      <c r="A1778" s="3">
        <f>LOOKUP(D1778,'AMFI DATA_2023H1'!B:C,'AMFI DATA_2023H1'!C:C)</f>
        <v>1211</v>
      </c>
      <c r="B1778" s="4" t="s">
        <v>3716</v>
      </c>
      <c r="C1778" s="4" t="s">
        <v>3717</v>
      </c>
      <c r="D1778" s="5" t="s">
        <v>3718</v>
      </c>
      <c r="E1778" s="5">
        <f>LOOKUP(D1778,'AMFI DATA_2023H1'!B:D,'AMFI DATA_2023H1'!D:D)</f>
        <v>676.62</v>
      </c>
      <c r="F1778" s="7">
        <f t="shared" si="6"/>
        <v>-8.3059915462150302E-3</v>
      </c>
      <c r="G1778" s="9">
        <v>671</v>
      </c>
      <c r="H1778" s="9">
        <v>663</v>
      </c>
      <c r="I1778" s="9">
        <v>663</v>
      </c>
      <c r="J1778" s="9">
        <v>661</v>
      </c>
      <c r="K1778" s="9">
        <v>664</v>
      </c>
      <c r="L1778" s="9">
        <v>659</v>
      </c>
      <c r="M1778" s="9"/>
      <c r="N1778" s="9"/>
      <c r="O1778" s="9"/>
      <c r="P1778" s="9"/>
      <c r="Q1778" s="9">
        <f ca="1">IFERROR(__xludf.DUMMYFUNCTION("GOOGLEFINANCE(C1778,""changepct"")"),0.73)</f>
        <v>0.73</v>
      </c>
      <c r="R1778" s="9"/>
      <c r="S1778" s="9"/>
      <c r="T1778" s="9"/>
      <c r="U1778" s="9"/>
      <c r="V1778" s="9"/>
      <c r="W1778" s="9"/>
    </row>
    <row r="1779" spans="1:23" ht="14.4">
      <c r="A1779" s="3">
        <f>LOOKUP(D1779,'AMFI DATA_2023H1'!B:C,'AMFI DATA_2023H1'!C:C)</f>
        <v>1211</v>
      </c>
      <c r="B1779" s="4" t="s">
        <v>1122</v>
      </c>
      <c r="C1779" s="4" t="s">
        <v>1123</v>
      </c>
      <c r="D1779" s="5" t="s">
        <v>1124</v>
      </c>
      <c r="E1779" s="5">
        <f>LOOKUP(D1779,'AMFI DATA_2023H1'!B:D,'AMFI DATA_2023H1'!D:D)</f>
        <v>676.62</v>
      </c>
      <c r="F1779" s="7">
        <f t="shared" si="6"/>
        <v>22.915935089119447</v>
      </c>
      <c r="G1779" s="8">
        <v>16182</v>
      </c>
      <c r="H1779" s="8">
        <v>15726</v>
      </c>
      <c r="I1779" s="8">
        <v>14665</v>
      </c>
      <c r="J1779" s="8">
        <v>14860</v>
      </c>
      <c r="K1779" s="8">
        <v>14805</v>
      </c>
      <c r="L1779" s="8">
        <v>15253</v>
      </c>
      <c r="M1779" s="8"/>
      <c r="N1779" s="8"/>
      <c r="O1779" s="8"/>
      <c r="P1779" s="8"/>
      <c r="Q1779" s="9">
        <f ca="1">IFERROR(__xludf.DUMMYFUNCTION("GOOGLEFINANCE(C1779,""changepct"")"),-1.73)</f>
        <v>-1.73</v>
      </c>
      <c r="R1779" s="8"/>
      <c r="S1779" s="8"/>
      <c r="T1779" s="8"/>
      <c r="U1779" s="8"/>
      <c r="V1779" s="8"/>
      <c r="W1779" s="8"/>
    </row>
    <row r="1780" spans="1:23" ht="14.4">
      <c r="A1780" s="3">
        <f>LOOKUP(D1780,'AMFI DATA_2023H1'!B:C,'AMFI DATA_2023H1'!C:C)</f>
        <v>91</v>
      </c>
      <c r="B1780" s="4" t="s">
        <v>270</v>
      </c>
      <c r="C1780" s="4" t="s">
        <v>271</v>
      </c>
      <c r="D1780" s="5" t="s">
        <v>272</v>
      </c>
      <c r="E1780" s="5">
        <f>LOOKUP(D1780,'AMFI DATA_2023H1'!B:D,'AMFI DATA_2023H1'!D:D)</f>
        <v>54308.97</v>
      </c>
      <c r="F1780" s="7">
        <f t="shared" si="6"/>
        <v>0.762434456039214</v>
      </c>
      <c r="G1780" s="8">
        <v>95716</v>
      </c>
      <c r="H1780" s="8">
        <v>96398</v>
      </c>
      <c r="I1780" s="8">
        <v>95590</v>
      </c>
      <c r="J1780" s="8">
        <v>95657</v>
      </c>
      <c r="K1780" s="8">
        <v>94813</v>
      </c>
      <c r="L1780" s="8">
        <v>93476</v>
      </c>
      <c r="M1780" s="8"/>
      <c r="N1780" s="8"/>
      <c r="O1780" s="8"/>
      <c r="P1780" s="8"/>
      <c r="Q1780" s="9">
        <f ca="1">IFERROR(__xludf.DUMMYFUNCTION("GOOGLEFINANCE(C1780,""changepct"")"),0.12)</f>
        <v>0.12</v>
      </c>
      <c r="R1780" s="8"/>
      <c r="S1780" s="8"/>
      <c r="T1780" s="8"/>
      <c r="U1780" s="8"/>
      <c r="V1780" s="8"/>
      <c r="W1780" s="8"/>
    </row>
    <row r="1781" spans="1:23" ht="14.4">
      <c r="A1781" s="3">
        <f>LOOKUP(D1781,'AMFI DATA_2023H1'!B:C,'AMFI DATA_2023H1'!C:C)</f>
        <v>738</v>
      </c>
      <c r="B1781" s="4" t="s">
        <v>2354</v>
      </c>
      <c r="C1781" s="4" t="s">
        <v>2355</v>
      </c>
      <c r="D1781" s="5" t="s">
        <v>2356</v>
      </c>
      <c r="E1781" s="5">
        <f>LOOKUP(D1781,'AMFI DATA_2023H1'!B:D,'AMFI DATA_2023H1'!D:D)</f>
        <v>2271.5300000000002</v>
      </c>
      <c r="F1781" s="7">
        <f t="shared" si="6"/>
        <v>0.51924033580890394</v>
      </c>
      <c r="G1781" s="8">
        <v>3451</v>
      </c>
      <c r="H1781" s="8">
        <v>3464</v>
      </c>
      <c r="I1781" s="8">
        <v>3511</v>
      </c>
      <c r="J1781" s="8">
        <v>3527</v>
      </c>
      <c r="K1781" s="8">
        <v>3564</v>
      </c>
      <c r="L1781" s="8">
        <v>3485</v>
      </c>
      <c r="M1781" s="8"/>
      <c r="N1781" s="8"/>
      <c r="O1781" s="8"/>
      <c r="P1781" s="8"/>
      <c r="Q1781" s="9">
        <f ca="1">IFERROR(__xludf.DUMMYFUNCTION("GOOGLEFINANCE(C1781,""changepct"")"),4.87)</f>
        <v>4.87</v>
      </c>
      <c r="R1781" s="8"/>
      <c r="S1781" s="8"/>
      <c r="T1781" s="8"/>
      <c r="U1781" s="8"/>
      <c r="V1781" s="8"/>
      <c r="W1781" s="8"/>
    </row>
    <row r="1782" spans="1:23" ht="14.4">
      <c r="A1782" s="3">
        <f>LOOKUP(D1782,'AMFI DATA_2023H1'!B:C,'AMFI DATA_2023H1'!C:C)</f>
        <v>91</v>
      </c>
      <c r="B1782" s="4" t="s">
        <v>1299</v>
      </c>
      <c r="C1782" s="4" t="s">
        <v>1300</v>
      </c>
      <c r="D1782" s="5" t="s">
        <v>1301</v>
      </c>
      <c r="E1782" s="5">
        <f>LOOKUP(D1782,'AMFI DATA_2023H1'!B:D,'AMFI DATA_2023H1'!D:D)</f>
        <v>54308.97</v>
      </c>
      <c r="F1782" s="7">
        <f t="shared" si="6"/>
        <v>-0.83905052885370501</v>
      </c>
      <c r="G1782" s="8">
        <v>8741</v>
      </c>
      <c r="H1782" s="8">
        <v>8710</v>
      </c>
      <c r="I1782" s="8">
        <v>8776</v>
      </c>
      <c r="J1782" s="8">
        <v>8774</v>
      </c>
      <c r="K1782" s="8">
        <v>8864</v>
      </c>
      <c r="L1782" s="8">
        <v>8752</v>
      </c>
      <c r="M1782" s="8"/>
      <c r="N1782" s="8"/>
      <c r="O1782" s="8"/>
      <c r="P1782" s="8"/>
      <c r="Q1782" s="9">
        <f ca="1">IFERROR(__xludf.DUMMYFUNCTION("GOOGLEFINANCE(C1782,""changepct"")"),-0.03)</f>
        <v>-0.03</v>
      </c>
      <c r="R1782" s="8"/>
      <c r="S1782" s="8"/>
      <c r="T1782" s="8"/>
      <c r="U1782" s="8"/>
      <c r="V1782" s="8"/>
      <c r="W1782" s="8"/>
    </row>
    <row r="1783" spans="1:23" ht="14.4">
      <c r="A1783" s="3">
        <f>LOOKUP(D1783,'AMFI DATA_2023H1'!B:C,'AMFI DATA_2023H1'!C:C)</f>
        <v>132</v>
      </c>
      <c r="B1783" s="4" t="s">
        <v>4388</v>
      </c>
      <c r="C1783" s="4" t="s">
        <v>4389</v>
      </c>
      <c r="D1783" s="5" t="s">
        <v>4390</v>
      </c>
      <c r="E1783" s="5">
        <f>LOOKUP(D1783,'AMFI DATA_2023H1'!B:D,'AMFI DATA_2023H1'!D:D)</f>
        <v>39237.620000000003</v>
      </c>
      <c r="F1783" s="7">
        <f t="shared" si="6"/>
        <v>-0.99166616119937956</v>
      </c>
      <c r="G1783" s="9">
        <v>327</v>
      </c>
      <c r="H1783" s="9">
        <v>323</v>
      </c>
      <c r="I1783" s="9">
        <v>318</v>
      </c>
      <c r="J1783" s="9">
        <v>323</v>
      </c>
      <c r="K1783" s="9">
        <v>312</v>
      </c>
      <c r="L1783" s="9">
        <v>310</v>
      </c>
      <c r="M1783" s="9"/>
      <c r="N1783" s="9"/>
      <c r="O1783" s="9"/>
      <c r="P1783" s="9"/>
      <c r="Q1783" s="9">
        <f ca="1">IFERROR(__xludf.DUMMYFUNCTION("GOOGLEFINANCE(C1783,""changepct"")"),0.22)</f>
        <v>0.22</v>
      </c>
      <c r="R1783" s="9"/>
      <c r="S1783" s="9"/>
      <c r="T1783" s="9"/>
      <c r="U1783" s="9"/>
      <c r="V1783" s="9"/>
      <c r="W1783" s="9"/>
    </row>
    <row r="1784" spans="1:23" ht="14.4">
      <c r="A1784" s="3">
        <f>LOOKUP(D1784,'AMFI DATA_2023H1'!B:C,'AMFI DATA_2023H1'!C:C)</f>
        <v>162</v>
      </c>
      <c r="B1784" s="4" t="s">
        <v>480</v>
      </c>
      <c r="C1784" s="4" t="s">
        <v>481</v>
      </c>
      <c r="D1784" s="5" t="s">
        <v>482</v>
      </c>
      <c r="E1784" s="5">
        <f>LOOKUP(D1784,'AMFI DATA_2023H1'!B:D,'AMFI DATA_2023H1'!D:D)</f>
        <v>32657.99</v>
      </c>
      <c r="F1784" s="7">
        <f t="shared" si="6"/>
        <v>0.46438895963897342</v>
      </c>
      <c r="G1784" s="8">
        <v>47824</v>
      </c>
      <c r="H1784" s="8">
        <v>47513</v>
      </c>
      <c r="I1784" s="8">
        <v>47537</v>
      </c>
      <c r="J1784" s="8">
        <v>47704</v>
      </c>
      <c r="K1784" s="8">
        <v>46844</v>
      </c>
      <c r="L1784" s="8">
        <v>47226</v>
      </c>
      <c r="M1784" s="8"/>
      <c r="N1784" s="8"/>
      <c r="O1784" s="8"/>
      <c r="P1784" s="8"/>
      <c r="Q1784" s="9">
        <f ca="1">IFERROR(__xludf.DUMMYFUNCTION("GOOGLEFINANCE(C1784,""changepct"")"),3.02)</f>
        <v>3.02</v>
      </c>
      <c r="R1784" s="8"/>
      <c r="S1784" s="8"/>
      <c r="T1784" s="8"/>
      <c r="U1784" s="8"/>
      <c r="V1784" s="8"/>
      <c r="W1784" s="8"/>
    </row>
    <row r="1785" spans="1:23" ht="14.4">
      <c r="A1785" s="3">
        <f>LOOKUP(D1785,'AMFI DATA_2023H1'!B:C,'AMFI DATA_2023H1'!C:C)</f>
        <v>1876</v>
      </c>
      <c r="B1785" s="4" t="s">
        <v>4700</v>
      </c>
      <c r="C1785" s="4" t="s">
        <v>4701</v>
      </c>
      <c r="D1785" s="5" t="s">
        <v>4702</v>
      </c>
      <c r="E1785" s="5">
        <f>LOOKUP(D1785,'AMFI DATA_2023H1'!B:D,'AMFI DATA_2023H1'!D:D)</f>
        <v>171.16</v>
      </c>
      <c r="F1785" s="7">
        <f t="shared" si="6"/>
        <v>0.31455947651320404</v>
      </c>
      <c r="G1785" s="9">
        <v>225</v>
      </c>
      <c r="H1785" s="9">
        <v>214</v>
      </c>
      <c r="I1785" s="9">
        <v>214</v>
      </c>
      <c r="J1785" s="9">
        <v>215</v>
      </c>
      <c r="K1785" s="9">
        <v>217</v>
      </c>
      <c r="L1785" s="9">
        <v>215</v>
      </c>
      <c r="M1785" s="9"/>
      <c r="N1785" s="9"/>
      <c r="O1785" s="9"/>
      <c r="P1785" s="9"/>
      <c r="Q1785" s="9">
        <f ca="1">IFERROR(__xludf.DUMMYFUNCTION("GOOGLEFINANCE(C1785,""changepct"")"),-1.33)</f>
        <v>-1.33</v>
      </c>
      <c r="R1785" s="9"/>
      <c r="S1785" s="9"/>
      <c r="T1785" s="9"/>
      <c r="U1785" s="9"/>
      <c r="V1785" s="9"/>
      <c r="W1785" s="9"/>
    </row>
    <row r="1786" spans="1:23" ht="14.4">
      <c r="A1786" s="3">
        <f>LOOKUP(D1786,'AMFI DATA_2023H1'!B:C,'AMFI DATA_2023H1'!C:C)</f>
        <v>640</v>
      </c>
      <c r="B1786" s="4" t="s">
        <v>2237</v>
      </c>
      <c r="C1786" s="4" t="s">
        <v>2238</v>
      </c>
      <c r="D1786" s="5" t="s">
        <v>2239</v>
      </c>
      <c r="E1786" s="5">
        <f>LOOKUP(D1786,'AMFI DATA_2023H1'!B:D,'AMFI DATA_2023H1'!D:D)</f>
        <v>3180.28</v>
      </c>
      <c r="F1786" s="7">
        <f t="shared" si="6"/>
        <v>0.10021759090394555</v>
      </c>
      <c r="G1786" s="8">
        <v>3499</v>
      </c>
      <c r="H1786" s="8">
        <v>3492</v>
      </c>
      <c r="I1786" s="8">
        <v>3482</v>
      </c>
      <c r="J1786" s="8">
        <v>3483</v>
      </c>
      <c r="K1786" s="8">
        <v>3365</v>
      </c>
      <c r="L1786" s="8">
        <v>3336</v>
      </c>
      <c r="M1786" s="8"/>
      <c r="N1786" s="8"/>
      <c r="O1786" s="8"/>
      <c r="P1786" s="8"/>
      <c r="Q1786" s="9">
        <f ca="1">IFERROR(__xludf.DUMMYFUNCTION("GOOGLEFINANCE(C1786,""changepct"")"),0.71)</f>
        <v>0.71</v>
      </c>
      <c r="R1786" s="8"/>
      <c r="S1786" s="8"/>
      <c r="T1786" s="8"/>
      <c r="U1786" s="8"/>
      <c r="V1786" s="8"/>
      <c r="W1786" s="8"/>
    </row>
    <row r="1787" spans="1:23" ht="14.4">
      <c r="A1787" s="3">
        <f>LOOKUP(D1787,'AMFI DATA_2023H1'!B:C,'AMFI DATA_2023H1'!C:C)</f>
        <v>1587</v>
      </c>
      <c r="B1787" s="4" t="s">
        <v>4175</v>
      </c>
      <c r="C1787" s="4" t="s">
        <v>4176</v>
      </c>
      <c r="D1787" s="5" t="s">
        <v>4177</v>
      </c>
      <c r="E1787" s="5">
        <f>LOOKUP(D1787,'AMFI DATA_2023H1'!B:D,'AMFI DATA_2023H1'!D:D)</f>
        <v>293.48</v>
      </c>
      <c r="F1787" s="7">
        <f t="shared" ref="F1787:F1928" si="7">G1787/E1787-1</f>
        <v>0.49243560038162726</v>
      </c>
      <c r="G1787" s="9">
        <v>438</v>
      </c>
      <c r="H1787" s="9">
        <v>434</v>
      </c>
      <c r="I1787" s="9">
        <v>430</v>
      </c>
      <c r="J1787" s="9">
        <v>431</v>
      </c>
      <c r="K1787" s="9">
        <v>425</v>
      </c>
      <c r="L1787" s="9">
        <v>424</v>
      </c>
      <c r="M1787" s="9"/>
      <c r="N1787" s="9"/>
      <c r="O1787" s="9"/>
      <c r="P1787" s="9"/>
      <c r="Q1787" s="9">
        <f ca="1">IFERROR(__xludf.DUMMYFUNCTION("GOOGLEFINANCE(C1787,""changepct"")"),2.96)</f>
        <v>2.96</v>
      </c>
      <c r="R1787" s="9"/>
      <c r="S1787" s="9"/>
      <c r="T1787" s="9"/>
      <c r="U1787" s="9"/>
      <c r="V1787" s="9"/>
      <c r="W1787" s="9"/>
    </row>
    <row r="1788" spans="1:23" ht="14.4">
      <c r="A1788" s="3">
        <f>LOOKUP(D1788,'AMFI DATA_2023H1'!B:C,'AMFI DATA_2023H1'!C:C)</f>
        <v>931</v>
      </c>
      <c r="B1788" s="4" t="s">
        <v>2444</v>
      </c>
      <c r="C1788" s="4" t="s">
        <v>2445</v>
      </c>
      <c r="D1788" s="5" t="s">
        <v>2446</v>
      </c>
      <c r="E1788" s="5">
        <f>LOOKUP(D1788,'AMFI DATA_2023H1'!B:D,'AMFI DATA_2023H1'!D:D)</f>
        <v>1373.7</v>
      </c>
      <c r="F1788" s="7">
        <f t="shared" si="7"/>
        <v>0.83518963383562639</v>
      </c>
      <c r="G1788" s="8">
        <v>2521</v>
      </c>
      <c r="H1788" s="8">
        <v>2499</v>
      </c>
      <c r="I1788" s="8">
        <v>2473</v>
      </c>
      <c r="J1788" s="8">
        <v>2514</v>
      </c>
      <c r="K1788" s="8">
        <v>2498</v>
      </c>
      <c r="L1788" s="8">
        <v>2498</v>
      </c>
      <c r="M1788" s="8"/>
      <c r="N1788" s="8"/>
      <c r="O1788" s="8"/>
      <c r="P1788" s="8"/>
      <c r="Q1788" s="9">
        <f ca="1">IFERROR(__xludf.DUMMYFUNCTION("GOOGLEFINANCE(C1788,""changepct"")"),1.99)</f>
        <v>1.99</v>
      </c>
      <c r="R1788" s="8"/>
      <c r="S1788" s="8"/>
      <c r="T1788" s="8"/>
      <c r="U1788" s="8"/>
      <c r="V1788" s="8"/>
      <c r="W1788" s="8"/>
    </row>
    <row r="1789" spans="1:23" ht="14.4">
      <c r="A1789" s="3">
        <f>LOOKUP(D1789,'AMFI DATA_2023H1'!B:C,'AMFI DATA_2023H1'!C:C)</f>
        <v>608</v>
      </c>
      <c r="B1789" s="4" t="s">
        <v>1632</v>
      </c>
      <c r="C1789" s="4" t="s">
        <v>1633</v>
      </c>
      <c r="D1789" s="5" t="s">
        <v>1634</v>
      </c>
      <c r="E1789" s="5">
        <f>LOOKUP(D1789,'AMFI DATA_2023H1'!B:D,'AMFI DATA_2023H1'!D:D)</f>
        <v>3608.64</v>
      </c>
      <c r="F1789" s="7">
        <f t="shared" si="7"/>
        <v>0.90625831338121854</v>
      </c>
      <c r="G1789" s="8">
        <v>6879</v>
      </c>
      <c r="H1789" s="8">
        <v>6890</v>
      </c>
      <c r="I1789" s="8">
        <v>6928</v>
      </c>
      <c r="J1789" s="8">
        <v>6924</v>
      </c>
      <c r="K1789" s="8">
        <v>6895</v>
      </c>
      <c r="L1789" s="8">
        <v>7039</v>
      </c>
      <c r="M1789" s="8"/>
      <c r="N1789" s="8"/>
      <c r="O1789" s="8"/>
      <c r="P1789" s="8"/>
      <c r="Q1789" s="9">
        <f ca="1">IFERROR(__xludf.DUMMYFUNCTION("GOOGLEFINANCE(C1789,""changepct"")"),0.93)</f>
        <v>0.93</v>
      </c>
      <c r="R1789" s="8"/>
      <c r="S1789" s="8"/>
      <c r="T1789" s="8"/>
      <c r="U1789" s="8"/>
      <c r="V1789" s="8"/>
      <c r="W1789" s="8"/>
    </row>
    <row r="1790" spans="1:23" ht="14.4">
      <c r="A1790" s="3">
        <f>LOOKUP(D1790,'AMFI DATA_2023H1'!B:C,'AMFI DATA_2023H1'!C:C)</f>
        <v>463</v>
      </c>
      <c r="B1790" s="4" t="s">
        <v>1206</v>
      </c>
      <c r="C1790" s="4" t="s">
        <v>1207</v>
      </c>
      <c r="D1790" s="5" t="s">
        <v>1208</v>
      </c>
      <c r="E1790" s="5">
        <f>LOOKUP(D1790,'AMFI DATA_2023H1'!B:D,'AMFI DATA_2023H1'!D:D)</f>
        <v>5842.09</v>
      </c>
      <c r="F1790" s="7">
        <f t="shared" si="7"/>
        <v>0.91095994755301612</v>
      </c>
      <c r="G1790" s="8">
        <v>11164</v>
      </c>
      <c r="H1790" s="8">
        <v>11121</v>
      </c>
      <c r="I1790" s="8">
        <v>11097</v>
      </c>
      <c r="J1790" s="8">
        <v>11094</v>
      </c>
      <c r="K1790" s="8">
        <v>11180</v>
      </c>
      <c r="L1790" s="8">
        <v>11289</v>
      </c>
      <c r="M1790" s="8"/>
      <c r="N1790" s="8"/>
      <c r="O1790" s="8"/>
      <c r="P1790" s="8"/>
      <c r="Q1790" s="9">
        <f ca="1">IFERROR(__xludf.DUMMYFUNCTION("GOOGLEFINANCE(C1790,""changepct"")"),1.11)</f>
        <v>1.1100000000000001</v>
      </c>
      <c r="R1790" s="8"/>
      <c r="S1790" s="8"/>
      <c r="T1790" s="8"/>
      <c r="U1790" s="8"/>
      <c r="V1790" s="8"/>
      <c r="W1790" s="8"/>
    </row>
    <row r="1791" spans="1:23" ht="14.4">
      <c r="A1791" s="3">
        <f>LOOKUP(D1791,'AMFI DATA_2023H1'!B:C,'AMFI DATA_2023H1'!C:C)</f>
        <v>24</v>
      </c>
      <c r="B1791" s="4" t="s">
        <v>70</v>
      </c>
      <c r="C1791" s="4" t="s">
        <v>71</v>
      </c>
      <c r="D1791" s="5" t="s">
        <v>72</v>
      </c>
      <c r="E1791" s="5">
        <f>LOOKUP(D1791,'AMFI DATA_2023H1'!B:D,'AMFI DATA_2023H1'!D:D)</f>
        <v>216431.84</v>
      </c>
      <c r="F1791" s="7">
        <f t="shared" si="7"/>
        <v>0.39537694638644671</v>
      </c>
      <c r="G1791" s="8">
        <v>302004</v>
      </c>
      <c r="H1791" s="8">
        <v>302796</v>
      </c>
      <c r="I1791" s="8">
        <v>300661</v>
      </c>
      <c r="J1791" s="8">
        <v>301538</v>
      </c>
      <c r="K1791" s="8">
        <v>289367</v>
      </c>
      <c r="L1791" s="8">
        <v>287792</v>
      </c>
      <c r="M1791" s="8"/>
      <c r="N1791" s="8"/>
      <c r="O1791" s="8"/>
      <c r="P1791" s="8"/>
      <c r="Q1791" s="9">
        <f ca="1">IFERROR(__xludf.DUMMYFUNCTION("GOOGLEFINANCE(C1791,""changepct"")"),1.14)</f>
        <v>1.1399999999999999</v>
      </c>
      <c r="R1791" s="8"/>
      <c r="S1791" s="8"/>
      <c r="T1791" s="8"/>
      <c r="U1791" s="8"/>
      <c r="V1791" s="8"/>
      <c r="W1791" s="8"/>
    </row>
    <row r="1792" spans="1:23" ht="14.4">
      <c r="A1792" s="3">
        <f>LOOKUP(D1792,'AMFI DATA_2023H1'!B:C,'AMFI DATA_2023H1'!C:C)</f>
        <v>1942</v>
      </c>
      <c r="B1792" s="4" t="s">
        <v>4832</v>
      </c>
      <c r="C1792" s="4" t="s">
        <v>4833</v>
      </c>
      <c r="D1792" s="5" t="s">
        <v>4834</v>
      </c>
      <c r="E1792" s="5">
        <f>LOOKUP(D1792,'AMFI DATA_2023H1'!B:D,'AMFI DATA_2023H1'!D:D)</f>
        <v>156.88999999999999</v>
      </c>
      <c r="F1792" s="7">
        <f t="shared" si="7"/>
        <v>0.19829179680030595</v>
      </c>
      <c r="G1792" s="9">
        <v>188</v>
      </c>
      <c r="H1792" s="9">
        <v>182</v>
      </c>
      <c r="I1792" s="9">
        <v>182</v>
      </c>
      <c r="J1792" s="9">
        <v>182</v>
      </c>
      <c r="K1792" s="9">
        <v>171</v>
      </c>
      <c r="L1792" s="9">
        <v>174</v>
      </c>
      <c r="M1792" s="9"/>
      <c r="N1792" s="9"/>
      <c r="O1792" s="9"/>
      <c r="P1792" s="9"/>
      <c r="Q1792" s="9">
        <f ca="1">IFERROR(__xludf.DUMMYFUNCTION("GOOGLEFINANCE(C1792,""changepct"")"),1.4)</f>
        <v>1.4</v>
      </c>
      <c r="R1792" s="9"/>
      <c r="S1792" s="9"/>
      <c r="T1792" s="9"/>
      <c r="U1792" s="9"/>
      <c r="V1792" s="9"/>
      <c r="W1792" s="9"/>
    </row>
    <row r="1793" spans="1:23" ht="14.4">
      <c r="A1793" s="3">
        <f>LOOKUP(D1793,'AMFI DATA_2023H1'!B:C,'AMFI DATA_2023H1'!C:C)</f>
        <v>2050</v>
      </c>
      <c r="B1793" s="4" t="s">
        <v>4910</v>
      </c>
      <c r="C1793" s="4" t="s">
        <v>4911</v>
      </c>
      <c r="D1793" s="5" t="s">
        <v>4912</v>
      </c>
      <c r="E1793" s="5">
        <f>LOOKUP(D1793,'AMFI DATA_2023H1'!B:D,'AMFI DATA_2023H1'!D:D)</f>
        <v>131.41</v>
      </c>
      <c r="F1793" s="7">
        <f t="shared" si="7"/>
        <v>0.28605128985617534</v>
      </c>
      <c r="G1793" s="9">
        <v>169</v>
      </c>
      <c r="H1793" s="9">
        <v>168</v>
      </c>
      <c r="I1793" s="9">
        <v>166</v>
      </c>
      <c r="J1793" s="9">
        <v>167</v>
      </c>
      <c r="K1793" s="9">
        <v>170</v>
      </c>
      <c r="L1793" s="9">
        <v>164</v>
      </c>
      <c r="M1793" s="9"/>
      <c r="N1793" s="9"/>
      <c r="O1793" s="9"/>
      <c r="P1793" s="9"/>
      <c r="Q1793" s="9">
        <f ca="1">IFERROR(__xludf.DUMMYFUNCTION("GOOGLEFINANCE(C1793,""changepct"")"),13.9)</f>
        <v>13.9</v>
      </c>
      <c r="R1793" s="9"/>
      <c r="S1793" s="9"/>
      <c r="T1793" s="9"/>
      <c r="U1793" s="9"/>
      <c r="V1793" s="9"/>
      <c r="W1793" s="9"/>
    </row>
    <row r="1794" spans="1:23" ht="14.4">
      <c r="A1794" s="3">
        <f>LOOKUP(D1794,'AMFI DATA_2023H1'!B:C,'AMFI DATA_2023H1'!C:C)</f>
        <v>727</v>
      </c>
      <c r="B1794" s="4" t="s">
        <v>2318</v>
      </c>
      <c r="C1794" s="4" t="s">
        <v>2319</v>
      </c>
      <c r="D1794" s="5" t="s">
        <v>2320</v>
      </c>
      <c r="E1794" s="5">
        <f>LOOKUP(D1794,'AMFI DATA_2023H1'!B:D,'AMFI DATA_2023H1'!D:D)</f>
        <v>2366.9899999999998</v>
      </c>
      <c r="F1794" s="7">
        <f t="shared" si="7"/>
        <v>0.23109941317876292</v>
      </c>
      <c r="G1794" s="8">
        <v>2914</v>
      </c>
      <c r="H1794" s="8">
        <v>2882</v>
      </c>
      <c r="I1794" s="8">
        <v>2851</v>
      </c>
      <c r="J1794" s="8">
        <v>2901</v>
      </c>
      <c r="K1794" s="8">
        <v>2920</v>
      </c>
      <c r="L1794" s="8">
        <v>2933</v>
      </c>
      <c r="M1794" s="8"/>
      <c r="N1794" s="8"/>
      <c r="O1794" s="8"/>
      <c r="P1794" s="8"/>
      <c r="Q1794" s="9">
        <f ca="1">IFERROR(__xludf.DUMMYFUNCTION("GOOGLEFINANCE(C1794,""changepct"")"),-0.94)</f>
        <v>-0.94</v>
      </c>
      <c r="R1794" s="8"/>
      <c r="S1794" s="8"/>
      <c r="T1794" s="8"/>
      <c r="U1794" s="8"/>
      <c r="V1794" s="8"/>
      <c r="W1794" s="8"/>
    </row>
    <row r="1795" spans="1:23" ht="14.4">
      <c r="A1795" s="3">
        <f>LOOKUP(D1795,'AMFI DATA_2023H1'!B:C,'AMFI DATA_2023H1'!C:C)</f>
        <v>3189</v>
      </c>
      <c r="B1795" s="4" t="s">
        <v>5614</v>
      </c>
      <c r="C1795" s="4" t="s">
        <v>5615</v>
      </c>
      <c r="D1795" s="5" t="s">
        <v>5616</v>
      </c>
      <c r="E1795" s="5">
        <f>LOOKUP(D1795,'AMFI DATA_2023H1'!B:D,'AMFI DATA_2023H1'!D:D)</f>
        <v>23.06</v>
      </c>
      <c r="F1795" s="7">
        <f t="shared" si="7"/>
        <v>0.24457935819601051</v>
      </c>
      <c r="G1795" s="9">
        <v>28.7</v>
      </c>
      <c r="H1795" s="9">
        <v>29</v>
      </c>
      <c r="I1795" s="9">
        <v>29.6</v>
      </c>
      <c r="J1795" s="9">
        <v>30.2</v>
      </c>
      <c r="K1795" s="9">
        <v>30.2</v>
      </c>
      <c r="L1795" s="9">
        <v>30.3</v>
      </c>
      <c r="M1795" s="9"/>
      <c r="N1795" s="9"/>
      <c r="O1795" s="9"/>
      <c r="P1795" s="9"/>
      <c r="Q1795" s="9">
        <f ca="1">IFERROR(__xludf.DUMMYFUNCTION("GOOGLEFINANCE(C1795,""changepct"")"),5.66)</f>
        <v>5.66</v>
      </c>
      <c r="R1795" s="9"/>
      <c r="S1795" s="9"/>
      <c r="T1795" s="9"/>
      <c r="U1795" s="9"/>
      <c r="V1795" s="9"/>
      <c r="W1795" s="9"/>
    </row>
    <row r="1796" spans="1:23" ht="14.4">
      <c r="A1796" s="3">
        <f>LOOKUP(D1796,'AMFI DATA_2023H1'!B:C,'AMFI DATA_2023H1'!C:C)</f>
        <v>102</v>
      </c>
      <c r="B1796" s="4" t="s">
        <v>285</v>
      </c>
      <c r="C1796" s="4" t="s">
        <v>286</v>
      </c>
      <c r="D1796" s="5" t="s">
        <v>287</v>
      </c>
      <c r="E1796" s="5">
        <f>LOOKUP(D1796,'AMFI DATA_2023H1'!B:D,'AMFI DATA_2023H1'!D:D)</f>
        <v>49232.7</v>
      </c>
      <c r="F1796" s="7">
        <f t="shared" si="7"/>
        <v>0.818750545877029</v>
      </c>
      <c r="G1796" s="8">
        <v>89542</v>
      </c>
      <c r="H1796" s="8">
        <v>88282</v>
      </c>
      <c r="I1796" s="8">
        <v>87430</v>
      </c>
      <c r="J1796" s="8">
        <v>88208</v>
      </c>
      <c r="K1796" s="8">
        <v>86837</v>
      </c>
      <c r="L1796" s="8">
        <v>87652</v>
      </c>
      <c r="M1796" s="8"/>
      <c r="N1796" s="8"/>
      <c r="O1796" s="8"/>
      <c r="P1796" s="8"/>
      <c r="Q1796" s="9">
        <f ca="1">IFERROR(__xludf.DUMMYFUNCTION("GOOGLEFINANCE(C1796,""changepct"")"),6.66)</f>
        <v>6.66</v>
      </c>
      <c r="R1796" s="8"/>
      <c r="S1796" s="8"/>
      <c r="T1796" s="8"/>
      <c r="U1796" s="8"/>
      <c r="V1796" s="8"/>
      <c r="W1796" s="8"/>
    </row>
    <row r="1797" spans="1:23" ht="14.4">
      <c r="A1797" s="3">
        <f>LOOKUP(D1797,'AMFI DATA_2023H1'!B:C,'AMFI DATA_2023H1'!C:C)</f>
        <v>709</v>
      </c>
      <c r="B1797" s="4" t="s">
        <v>2417</v>
      </c>
      <c r="C1797" s="4" t="s">
        <v>2418</v>
      </c>
      <c r="D1797" s="5" t="s">
        <v>2419</v>
      </c>
      <c r="E1797" s="5">
        <f>LOOKUP(D1797,'AMFI DATA_2023H1'!B:D,'AMFI DATA_2023H1'!D:D)</f>
        <v>2498.5</v>
      </c>
      <c r="F1797" s="7">
        <f t="shared" si="7"/>
        <v>3.9423654192515478E-2</v>
      </c>
      <c r="G1797" s="8">
        <v>2597</v>
      </c>
      <c r="H1797" s="8">
        <v>2617</v>
      </c>
      <c r="I1797" s="8">
        <v>2609</v>
      </c>
      <c r="J1797" s="8">
        <v>2584</v>
      </c>
      <c r="K1797" s="8">
        <v>2458</v>
      </c>
      <c r="L1797" s="8">
        <v>2420</v>
      </c>
      <c r="M1797" s="8"/>
      <c r="N1797" s="8"/>
      <c r="O1797" s="8"/>
      <c r="P1797" s="8"/>
      <c r="Q1797" s="9">
        <f ca="1">IFERROR(__xludf.DUMMYFUNCTION("GOOGLEFINANCE(C1797,""changepct"")"),-2.27)</f>
        <v>-2.27</v>
      </c>
      <c r="R1797" s="8"/>
      <c r="S1797" s="8"/>
      <c r="T1797" s="8"/>
      <c r="U1797" s="8"/>
      <c r="V1797" s="8"/>
      <c r="W1797" s="8"/>
    </row>
    <row r="1798" spans="1:23" ht="14.4">
      <c r="A1798" s="3">
        <f>LOOKUP(D1798,'AMFI DATA_2023H1'!B:C,'AMFI DATA_2023H1'!C:C)</f>
        <v>1047</v>
      </c>
      <c r="B1798" s="4" t="s">
        <v>3263</v>
      </c>
      <c r="C1798" s="4" t="s">
        <v>3264</v>
      </c>
      <c r="D1798" s="5" t="s">
        <v>3265</v>
      </c>
      <c r="E1798" s="5">
        <f>LOOKUP(D1798,'AMFI DATA_2023H1'!B:D,'AMFI DATA_2023H1'!D:D)</f>
        <v>1043.54</v>
      </c>
      <c r="F1798" s="7">
        <f t="shared" si="7"/>
        <v>7.7102938076163863E-2</v>
      </c>
      <c r="G1798" s="8">
        <v>1124</v>
      </c>
      <c r="H1798" s="8">
        <v>1112</v>
      </c>
      <c r="I1798" s="8">
        <v>1113</v>
      </c>
      <c r="J1798" s="8">
        <v>1129</v>
      </c>
      <c r="K1798" s="8">
        <v>1143</v>
      </c>
      <c r="L1798" s="8">
        <v>1099</v>
      </c>
      <c r="M1798" s="8"/>
      <c r="N1798" s="8"/>
      <c r="O1798" s="8"/>
      <c r="P1798" s="8"/>
      <c r="Q1798" s="9">
        <f ca="1">IFERROR(__xludf.DUMMYFUNCTION("GOOGLEFINANCE(C1798,""changepct"")"),-1.56)</f>
        <v>-1.56</v>
      </c>
      <c r="R1798" s="8"/>
      <c r="S1798" s="8"/>
      <c r="T1798" s="8"/>
      <c r="U1798" s="8"/>
      <c r="V1798" s="8"/>
      <c r="W1798" s="8"/>
    </row>
    <row r="1799" spans="1:23" ht="14.4">
      <c r="A1799" s="3">
        <f>LOOKUP(D1799,'AMFI DATA_2023H1'!B:C,'AMFI DATA_2023H1'!C:C)</f>
        <v>1438</v>
      </c>
      <c r="B1799" s="4" t="s">
        <v>3524</v>
      </c>
      <c r="C1799" s="4" t="s">
        <v>3525</v>
      </c>
      <c r="D1799" s="5" t="s">
        <v>3526</v>
      </c>
      <c r="E1799" s="5">
        <f>LOOKUP(D1799,'AMFI DATA_2023H1'!B:D,'AMFI DATA_2023H1'!D:D)</f>
        <v>388.61</v>
      </c>
      <c r="F1799" s="7">
        <f t="shared" si="7"/>
        <v>3.8274619798769978</v>
      </c>
      <c r="G1799" s="8">
        <v>1876</v>
      </c>
      <c r="H1799" s="8">
        <v>1787</v>
      </c>
      <c r="I1799" s="8">
        <v>1703</v>
      </c>
      <c r="J1799" s="8">
        <v>1622</v>
      </c>
      <c r="K1799" s="8">
        <v>1635</v>
      </c>
      <c r="L1799" s="8">
        <v>1753</v>
      </c>
      <c r="M1799" s="8"/>
      <c r="N1799" s="8"/>
      <c r="O1799" s="8"/>
      <c r="P1799" s="8"/>
      <c r="Q1799" s="9" t="str">
        <f ca="1">IFERROR(__xludf.DUMMYFUNCTION("GOOGLEFINANCE(C1799,""changepct"")"),"#N/A")</f>
        <v>#N/A</v>
      </c>
      <c r="R1799" s="8"/>
      <c r="S1799" s="8"/>
      <c r="T1799" s="8"/>
      <c r="U1799" s="8"/>
      <c r="V1799" s="8"/>
      <c r="W1799" s="8"/>
    </row>
    <row r="1800" spans="1:23" ht="14.4">
      <c r="A1800" s="3">
        <f>LOOKUP(D1800,'AMFI DATA_2023H1'!B:C,'AMFI DATA_2023H1'!C:C)</f>
        <v>132</v>
      </c>
      <c r="B1800" s="4" t="s">
        <v>483</v>
      </c>
      <c r="C1800" s="4" t="s">
        <v>484</v>
      </c>
      <c r="D1800" s="5" t="s">
        <v>485</v>
      </c>
      <c r="E1800" s="5">
        <f>LOOKUP(D1800,'AMFI DATA_2023H1'!B:D,'AMFI DATA_2023H1'!D:D)</f>
        <v>39237.620000000003</v>
      </c>
      <c r="F1800" s="7">
        <f t="shared" si="7"/>
        <v>0.20741268201282326</v>
      </c>
      <c r="G1800" s="8">
        <v>47376</v>
      </c>
      <c r="H1800" s="8">
        <v>47248</v>
      </c>
      <c r="I1800" s="8">
        <v>46349</v>
      </c>
      <c r="J1800" s="8">
        <v>45096</v>
      </c>
      <c r="K1800" s="8">
        <v>45279</v>
      </c>
      <c r="L1800" s="8">
        <v>44541</v>
      </c>
      <c r="M1800" s="8"/>
      <c r="N1800" s="8"/>
      <c r="O1800" s="8"/>
      <c r="P1800" s="8"/>
      <c r="Q1800" s="9">
        <f ca="1">IFERROR(__xludf.DUMMYFUNCTION("GOOGLEFINANCE(C1800,""changepct"")"),-0.04)</f>
        <v>-0.04</v>
      </c>
      <c r="R1800" s="8"/>
      <c r="S1800" s="8"/>
      <c r="T1800" s="8"/>
      <c r="U1800" s="8"/>
      <c r="V1800" s="8"/>
      <c r="W1800" s="8"/>
    </row>
    <row r="1801" spans="1:23" ht="14.4">
      <c r="A1801" s="3">
        <f>LOOKUP(D1801,'AMFI DATA_2023H1'!B:C,'AMFI DATA_2023H1'!C:C)</f>
        <v>1354</v>
      </c>
      <c r="B1801" s="4" t="s">
        <v>4019</v>
      </c>
      <c r="C1801" s="4" t="s">
        <v>4020</v>
      </c>
      <c r="D1801" s="5" t="s">
        <v>4021</v>
      </c>
      <c r="E1801" s="5">
        <f>LOOKUP(D1801,'AMFI DATA_2023H1'!B:D,'AMFI DATA_2023H1'!D:D)</f>
        <v>451.8</v>
      </c>
      <c r="F1801" s="7">
        <f t="shared" si="7"/>
        <v>0.29703408587870728</v>
      </c>
      <c r="G1801" s="9">
        <v>586</v>
      </c>
      <c r="H1801" s="9">
        <v>548</v>
      </c>
      <c r="I1801" s="9">
        <v>550</v>
      </c>
      <c r="J1801" s="9">
        <v>562</v>
      </c>
      <c r="K1801" s="9">
        <v>579</v>
      </c>
      <c r="L1801" s="9">
        <v>580</v>
      </c>
      <c r="M1801" s="9"/>
      <c r="N1801" s="9"/>
      <c r="O1801" s="9"/>
      <c r="P1801" s="9"/>
      <c r="Q1801" s="9">
        <f ca="1">IFERROR(__xludf.DUMMYFUNCTION("GOOGLEFINANCE(C1801,""changepct"")"),-0.56)</f>
        <v>-0.56000000000000005</v>
      </c>
      <c r="R1801" s="9"/>
      <c r="S1801" s="9"/>
      <c r="T1801" s="9"/>
      <c r="U1801" s="9"/>
      <c r="V1801" s="9"/>
      <c r="W1801" s="9"/>
    </row>
    <row r="1802" spans="1:23" ht="14.4">
      <c r="A1802" s="3">
        <f>LOOKUP(D1802,'AMFI DATA_2023H1'!B:C,'AMFI DATA_2023H1'!C:C)</f>
        <v>1759</v>
      </c>
      <c r="B1802" s="4" t="s">
        <v>4658</v>
      </c>
      <c r="C1802" s="4" t="s">
        <v>4659</v>
      </c>
      <c r="D1802" s="5" t="s">
        <v>4660</v>
      </c>
      <c r="E1802" s="5">
        <f>LOOKUP(D1802,'AMFI DATA_2023H1'!B:D,'AMFI DATA_2023H1'!D:D)</f>
        <v>210.5</v>
      </c>
      <c r="F1802" s="7">
        <f t="shared" si="7"/>
        <v>-2.1377672209026088E-2</v>
      </c>
      <c r="G1802" s="9">
        <v>206</v>
      </c>
      <c r="H1802" s="9">
        <v>197</v>
      </c>
      <c r="I1802" s="9">
        <v>197</v>
      </c>
      <c r="J1802" s="9">
        <v>195</v>
      </c>
      <c r="K1802" s="9">
        <v>196</v>
      </c>
      <c r="L1802" s="9">
        <v>201</v>
      </c>
      <c r="M1802" s="9"/>
      <c r="N1802" s="9"/>
      <c r="O1802" s="9"/>
      <c r="P1802" s="9"/>
      <c r="Q1802" s="9">
        <f ca="1">IFERROR(__xludf.DUMMYFUNCTION("GOOGLEFINANCE(C1802,""changepct"")"),-0.05)</f>
        <v>-0.05</v>
      </c>
      <c r="R1802" s="9"/>
      <c r="S1802" s="9"/>
      <c r="T1802" s="9"/>
      <c r="U1802" s="9"/>
      <c r="V1802" s="9"/>
      <c r="W1802" s="9"/>
    </row>
    <row r="1803" spans="1:23" ht="14.4">
      <c r="A1803" s="3">
        <f>LOOKUP(D1803,'AMFI DATA_2023H1'!B:C,'AMFI DATA_2023H1'!C:C)</f>
        <v>82</v>
      </c>
      <c r="B1803" s="4" t="s">
        <v>267</v>
      </c>
      <c r="C1803" s="4" t="s">
        <v>268</v>
      </c>
      <c r="D1803" s="5" t="s">
        <v>269</v>
      </c>
      <c r="E1803" s="5">
        <f>LOOKUP(D1803,'AMFI DATA_2023H1'!B:D,'AMFI DATA_2023H1'!D:D)</f>
        <v>58627.13</v>
      </c>
      <c r="F1803" s="7">
        <f t="shared" si="7"/>
        <v>0.37078175240711952</v>
      </c>
      <c r="G1803" s="8">
        <v>80365</v>
      </c>
      <c r="H1803" s="8">
        <v>81282</v>
      </c>
      <c r="I1803" s="8">
        <v>79427</v>
      </c>
      <c r="J1803" s="8">
        <v>78765</v>
      </c>
      <c r="K1803" s="8">
        <v>78358</v>
      </c>
      <c r="L1803" s="8">
        <v>78263</v>
      </c>
      <c r="M1803" s="8"/>
      <c r="N1803" s="8"/>
      <c r="O1803" s="8"/>
      <c r="P1803" s="8"/>
      <c r="Q1803" s="9">
        <f ca="1">IFERROR(__xludf.DUMMYFUNCTION("GOOGLEFINANCE(C1803,""changepct"")"),3.46)</f>
        <v>3.46</v>
      </c>
      <c r="R1803" s="8"/>
      <c r="S1803" s="8"/>
      <c r="T1803" s="8"/>
      <c r="U1803" s="8"/>
      <c r="V1803" s="8"/>
      <c r="W1803" s="8"/>
    </row>
    <row r="1804" spans="1:23" ht="14.4">
      <c r="A1804" s="3">
        <f>LOOKUP(D1804,'AMFI DATA_2023H1'!B:C,'AMFI DATA_2023H1'!C:C)</f>
        <v>3835</v>
      </c>
      <c r="B1804" s="4" t="s">
        <v>5764</v>
      </c>
      <c r="C1804" s="4" t="s">
        <v>5765</v>
      </c>
      <c r="D1804" s="5" t="s">
        <v>5766</v>
      </c>
      <c r="E1804" s="5">
        <f>LOOKUP(D1804,'AMFI DATA_2023H1'!B:D,'AMFI DATA_2023H1'!D:D)</f>
        <v>8.7799999999999994</v>
      </c>
      <c r="F1804" s="7">
        <f t="shared" si="7"/>
        <v>-0.27334851936218674</v>
      </c>
      <c r="G1804" s="9">
        <v>6.38</v>
      </c>
      <c r="H1804" s="9">
        <v>6.67</v>
      </c>
      <c r="I1804" s="9">
        <v>6.65</v>
      </c>
      <c r="J1804" s="9">
        <v>6.96</v>
      </c>
      <c r="K1804" s="9">
        <v>8.9600000000000009</v>
      </c>
      <c r="L1804" s="9">
        <v>8.4499999999999993</v>
      </c>
      <c r="M1804" s="9"/>
      <c r="N1804" s="9"/>
      <c r="O1804" s="9"/>
      <c r="P1804" s="9"/>
      <c r="Q1804" s="9">
        <f ca="1">IFERROR(__xludf.DUMMYFUNCTION("GOOGLEFINANCE(C1804,""changepct"")"),9.32)</f>
        <v>9.32</v>
      </c>
      <c r="R1804" s="9"/>
      <c r="S1804" s="9"/>
      <c r="T1804" s="9"/>
      <c r="U1804" s="9"/>
      <c r="V1804" s="9"/>
      <c r="W1804" s="9"/>
    </row>
    <row r="1805" spans="1:23" ht="14.4">
      <c r="A1805" s="3">
        <f>LOOKUP(D1805,'AMFI DATA_2023H1'!B:C,'AMFI DATA_2023H1'!C:C)</f>
        <v>2206</v>
      </c>
      <c r="B1805" s="4" t="s">
        <v>5090</v>
      </c>
      <c r="C1805" s="4" t="s">
        <v>5091</v>
      </c>
      <c r="D1805" s="5" t="s">
        <v>5092</v>
      </c>
      <c r="E1805" s="5">
        <f>LOOKUP(D1805,'AMFI DATA_2023H1'!B:D,'AMFI DATA_2023H1'!D:D)</f>
        <v>102.65</v>
      </c>
      <c r="F1805" s="7">
        <f t="shared" si="7"/>
        <v>0.1690209449585971</v>
      </c>
      <c r="G1805" s="9">
        <v>120</v>
      </c>
      <c r="H1805" s="9">
        <v>117</v>
      </c>
      <c r="I1805" s="9">
        <v>117</v>
      </c>
      <c r="J1805" s="9">
        <v>116</v>
      </c>
      <c r="K1805" s="9">
        <v>117</v>
      </c>
      <c r="L1805" s="9">
        <v>117</v>
      </c>
      <c r="M1805" s="9"/>
      <c r="N1805" s="9"/>
      <c r="O1805" s="9"/>
      <c r="P1805" s="9"/>
      <c r="Q1805" s="9">
        <f ca="1">IFERROR(__xludf.DUMMYFUNCTION("GOOGLEFINANCE(C1805,""changepct"")"),3.03)</f>
        <v>3.03</v>
      </c>
      <c r="R1805" s="9"/>
      <c r="S1805" s="9"/>
      <c r="T1805" s="9"/>
      <c r="U1805" s="9"/>
      <c r="V1805" s="9"/>
      <c r="W1805" s="9"/>
    </row>
    <row r="1806" spans="1:23" ht="14.4">
      <c r="A1806" s="3">
        <f>LOOKUP(D1806,'AMFI DATA_2023H1'!B:C,'AMFI DATA_2023H1'!C:C)</f>
        <v>989</v>
      </c>
      <c r="B1806" s="4" t="s">
        <v>2939</v>
      </c>
      <c r="C1806" s="4" t="s">
        <v>2940</v>
      </c>
      <c r="D1806" s="5" t="s">
        <v>2941</v>
      </c>
      <c r="E1806" s="5">
        <f>LOOKUP(D1806,'AMFI DATA_2023H1'!B:D,'AMFI DATA_2023H1'!D:D)</f>
        <v>1202.9000000000001</v>
      </c>
      <c r="F1806" s="7">
        <f t="shared" si="7"/>
        <v>0.49970903649513665</v>
      </c>
      <c r="G1806" s="8">
        <v>1804</v>
      </c>
      <c r="H1806" s="8">
        <v>1795</v>
      </c>
      <c r="I1806" s="8">
        <v>1757</v>
      </c>
      <c r="J1806" s="8">
        <v>1744</v>
      </c>
      <c r="K1806" s="8">
        <v>1747</v>
      </c>
      <c r="L1806" s="8">
        <v>1746</v>
      </c>
      <c r="M1806" s="8"/>
      <c r="N1806" s="8"/>
      <c r="O1806" s="8"/>
      <c r="P1806" s="8"/>
      <c r="Q1806" s="9">
        <f ca="1">IFERROR(__xludf.DUMMYFUNCTION("GOOGLEFINANCE(C1806,""changepct"")"),1.74)</f>
        <v>1.74</v>
      </c>
      <c r="R1806" s="8"/>
      <c r="S1806" s="8"/>
      <c r="T1806" s="8"/>
      <c r="U1806" s="8"/>
      <c r="V1806" s="8"/>
      <c r="W1806" s="8"/>
    </row>
    <row r="1807" spans="1:23" ht="14.4">
      <c r="A1807" s="3">
        <f>LOOKUP(D1807,'AMFI DATA_2023H1'!B:C,'AMFI DATA_2023H1'!C:C)</f>
        <v>1347</v>
      </c>
      <c r="B1807" s="4" t="s">
        <v>4079</v>
      </c>
      <c r="C1807" s="4" t="s">
        <v>4080</v>
      </c>
      <c r="D1807" s="5" t="s">
        <v>4081</v>
      </c>
      <c r="E1807" s="5">
        <f>LOOKUP(D1807,'AMFI DATA_2023H1'!B:D,'AMFI DATA_2023H1'!D:D)</f>
        <v>457.59</v>
      </c>
      <c r="F1807" s="7">
        <f t="shared" si="7"/>
        <v>7.4520859284512575E-3</v>
      </c>
      <c r="G1807" s="9">
        <v>461</v>
      </c>
      <c r="H1807" s="9">
        <v>470</v>
      </c>
      <c r="I1807" s="9">
        <v>516</v>
      </c>
      <c r="J1807" s="9">
        <v>434</v>
      </c>
      <c r="K1807" s="9">
        <v>433</v>
      </c>
      <c r="L1807" s="9">
        <v>433</v>
      </c>
      <c r="M1807" s="9"/>
      <c r="N1807" s="9"/>
      <c r="O1807" s="9"/>
      <c r="P1807" s="9"/>
      <c r="Q1807" s="9">
        <f ca="1">IFERROR(__xludf.DUMMYFUNCTION("GOOGLEFINANCE(C1807,""changepct"")"),1.43)</f>
        <v>1.43</v>
      </c>
      <c r="R1807" s="9"/>
      <c r="S1807" s="9"/>
      <c r="T1807" s="9"/>
      <c r="U1807" s="9"/>
      <c r="V1807" s="9"/>
      <c r="W1807" s="9"/>
    </row>
    <row r="1808" spans="1:23" ht="14.4">
      <c r="A1808" s="3">
        <f>LOOKUP(D1808,'AMFI DATA_2023H1'!B:C,'AMFI DATA_2023H1'!C:C)</f>
        <v>172</v>
      </c>
      <c r="B1808" s="4" t="s">
        <v>531</v>
      </c>
      <c r="C1808" s="4" t="s">
        <v>532</v>
      </c>
      <c r="D1808" s="5" t="s">
        <v>533</v>
      </c>
      <c r="E1808" s="5">
        <f>LOOKUP(D1808,'AMFI DATA_2023H1'!B:D,'AMFI DATA_2023H1'!D:D)</f>
        <v>29857.88</v>
      </c>
      <c r="F1808" s="7">
        <f t="shared" si="7"/>
        <v>0.31479529022154273</v>
      </c>
      <c r="G1808" s="8">
        <v>39257</v>
      </c>
      <c r="H1808" s="8">
        <v>39354</v>
      </c>
      <c r="I1808" s="8">
        <v>38509</v>
      </c>
      <c r="J1808" s="8">
        <v>38515</v>
      </c>
      <c r="K1808" s="8">
        <v>38084</v>
      </c>
      <c r="L1808" s="8">
        <v>38351</v>
      </c>
      <c r="M1808" s="8"/>
      <c r="N1808" s="8"/>
      <c r="O1808" s="8"/>
      <c r="P1808" s="8"/>
      <c r="Q1808" s="9">
        <f ca="1">IFERROR(__xludf.DUMMYFUNCTION("GOOGLEFINANCE(C1808,""changepct"")"),1.22)</f>
        <v>1.22</v>
      </c>
      <c r="R1808" s="8"/>
      <c r="S1808" s="8"/>
      <c r="T1808" s="8"/>
      <c r="U1808" s="8"/>
      <c r="V1808" s="8"/>
      <c r="W1808" s="8"/>
    </row>
    <row r="1809" spans="1:23" ht="14.4">
      <c r="A1809" s="3">
        <f>LOOKUP(D1809,'AMFI DATA_2023H1'!B:C,'AMFI DATA_2023H1'!C:C)</f>
        <v>162</v>
      </c>
      <c r="B1809" s="4" t="s">
        <v>2762</v>
      </c>
      <c r="C1809" s="4" t="s">
        <v>2763</v>
      </c>
      <c r="D1809" s="5" t="s">
        <v>2764</v>
      </c>
      <c r="E1809" s="5">
        <f>LOOKUP(D1809,'AMFI DATA_2023H1'!B:D,'AMFI DATA_2023H1'!D:D)</f>
        <v>32657.99</v>
      </c>
      <c r="F1809" s="7">
        <f t="shared" si="7"/>
        <v>-0.93318633510513049</v>
      </c>
      <c r="G1809" s="8">
        <v>2182</v>
      </c>
      <c r="H1809" s="8">
        <v>2250</v>
      </c>
      <c r="I1809" s="8">
        <v>2325</v>
      </c>
      <c r="J1809" s="8">
        <v>2304</v>
      </c>
      <c r="K1809" s="8">
        <v>2334</v>
      </c>
      <c r="L1809" s="8">
        <v>2366</v>
      </c>
      <c r="M1809" s="8"/>
      <c r="N1809" s="8"/>
      <c r="O1809" s="8"/>
      <c r="P1809" s="8"/>
      <c r="Q1809" s="9">
        <f ca="1">IFERROR(__xludf.DUMMYFUNCTION("GOOGLEFINANCE(C1809,""changepct"")"),3.58)</f>
        <v>3.58</v>
      </c>
      <c r="R1809" s="8"/>
      <c r="S1809" s="8"/>
      <c r="T1809" s="8"/>
      <c r="U1809" s="8"/>
      <c r="V1809" s="8"/>
      <c r="W1809" s="8"/>
    </row>
    <row r="1810" spans="1:23" ht="14.4">
      <c r="A1810" s="3">
        <f>LOOKUP(D1810,'AMFI DATA_2023H1'!B:C,'AMFI DATA_2023H1'!C:C)</f>
        <v>93</v>
      </c>
      <c r="B1810" s="4" t="s">
        <v>450</v>
      </c>
      <c r="C1810" s="4" t="s">
        <v>451</v>
      </c>
      <c r="D1810" s="5" t="s">
        <v>452</v>
      </c>
      <c r="E1810" s="5">
        <f>LOOKUP(D1810,'AMFI DATA_2023H1'!B:D,'AMFI DATA_2023H1'!D:D)</f>
        <v>53947.53</v>
      </c>
      <c r="F1810" s="7">
        <f t="shared" si="7"/>
        <v>-0.1761810040237245</v>
      </c>
      <c r="G1810" s="8">
        <v>44443</v>
      </c>
      <c r="H1810" s="8">
        <v>44106</v>
      </c>
      <c r="I1810" s="8">
        <v>44233</v>
      </c>
      <c r="J1810" s="8">
        <v>43775</v>
      </c>
      <c r="K1810" s="8">
        <v>43989</v>
      </c>
      <c r="L1810" s="8">
        <v>43659</v>
      </c>
      <c r="M1810" s="8"/>
      <c r="N1810" s="8"/>
      <c r="O1810" s="8"/>
      <c r="P1810" s="8"/>
      <c r="Q1810" s="9">
        <f ca="1">IFERROR(__xludf.DUMMYFUNCTION("GOOGLEFINANCE(C1810,""changepct"")"),1.48)</f>
        <v>1.48</v>
      </c>
      <c r="R1810" s="8"/>
      <c r="S1810" s="8"/>
      <c r="T1810" s="8"/>
      <c r="U1810" s="8"/>
      <c r="V1810" s="8"/>
      <c r="W1810" s="8"/>
    </row>
    <row r="1811" spans="1:23" ht="14.4">
      <c r="A1811" s="3">
        <f>LOOKUP(D1811,'AMFI DATA_2023H1'!B:C,'AMFI DATA_2023H1'!C:C)</f>
        <v>93</v>
      </c>
      <c r="B1811" s="4" t="s">
        <v>4403</v>
      </c>
      <c r="C1811" s="4" t="s">
        <v>4404</v>
      </c>
      <c r="D1811" s="5" t="s">
        <v>4405</v>
      </c>
      <c r="E1811" s="5">
        <f>LOOKUP(D1811,'AMFI DATA_2023H1'!B:D,'AMFI DATA_2023H1'!D:D)</f>
        <v>53947.53</v>
      </c>
      <c r="F1811" s="7">
        <f t="shared" si="7"/>
        <v>-0.99351221455365979</v>
      </c>
      <c r="G1811" s="9">
        <v>350</v>
      </c>
      <c r="H1811" s="9">
        <v>355</v>
      </c>
      <c r="I1811" s="9">
        <v>351</v>
      </c>
      <c r="J1811" s="9">
        <v>352</v>
      </c>
      <c r="K1811" s="9">
        <v>339</v>
      </c>
      <c r="L1811" s="9">
        <v>328</v>
      </c>
      <c r="M1811" s="9"/>
      <c r="N1811" s="9"/>
      <c r="O1811" s="9"/>
      <c r="P1811" s="9"/>
      <c r="Q1811" s="9">
        <f ca="1">IFERROR(__xludf.DUMMYFUNCTION("GOOGLEFINANCE(C1811,""changepct"")"),-0.75)</f>
        <v>-0.75</v>
      </c>
      <c r="R1811" s="9"/>
      <c r="S1811" s="9"/>
      <c r="T1811" s="9"/>
      <c r="U1811" s="9"/>
      <c r="V1811" s="9"/>
      <c r="W1811" s="9"/>
    </row>
    <row r="1812" spans="1:23" ht="14.4">
      <c r="A1812" s="3">
        <f>LOOKUP(D1812,'AMFI DATA_2023H1'!B:C,'AMFI DATA_2023H1'!C:C)</f>
        <v>1355</v>
      </c>
      <c r="B1812" s="4" t="s">
        <v>3869</v>
      </c>
      <c r="C1812" s="4" t="s">
        <v>3870</v>
      </c>
      <c r="D1812" s="5" t="s">
        <v>3871</v>
      </c>
      <c r="E1812" s="5">
        <f>LOOKUP(D1812,'AMFI DATA_2023H1'!B:D,'AMFI DATA_2023H1'!D:D)</f>
        <v>451.53</v>
      </c>
      <c r="F1812" s="7">
        <f t="shared" si="7"/>
        <v>0.72967466170575612</v>
      </c>
      <c r="G1812" s="9">
        <v>781</v>
      </c>
      <c r="H1812" s="9">
        <v>771</v>
      </c>
      <c r="I1812" s="9">
        <v>767</v>
      </c>
      <c r="J1812" s="9">
        <v>786</v>
      </c>
      <c r="K1812" s="9">
        <v>801</v>
      </c>
      <c r="L1812" s="9">
        <v>736</v>
      </c>
      <c r="M1812" s="9"/>
      <c r="N1812" s="9"/>
      <c r="O1812" s="9"/>
      <c r="P1812" s="9"/>
      <c r="Q1812" s="9">
        <f ca="1">IFERROR(__xludf.DUMMYFUNCTION("GOOGLEFINANCE(C1812,""changepct"")"),0.56)</f>
        <v>0.56000000000000005</v>
      </c>
      <c r="R1812" s="9"/>
      <c r="S1812" s="9"/>
      <c r="T1812" s="9"/>
      <c r="U1812" s="9"/>
      <c r="V1812" s="9"/>
      <c r="W1812" s="9"/>
    </row>
    <row r="1813" spans="1:23" ht="14.4">
      <c r="A1813" s="3">
        <f>LOOKUP(D1813,'AMFI DATA_2023H1'!B:C,'AMFI DATA_2023H1'!C:C)</f>
        <v>3699</v>
      </c>
      <c r="B1813" s="4" t="s">
        <v>5719</v>
      </c>
      <c r="C1813" s="4" t="s">
        <v>5720</v>
      </c>
      <c r="D1813" s="5" t="s">
        <v>5721</v>
      </c>
      <c r="E1813" s="5">
        <f>LOOKUP(D1813,'AMFI DATA_2023H1'!B:D,'AMFI DATA_2023H1'!D:D)</f>
        <v>10.5</v>
      </c>
      <c r="F1813" s="7">
        <f t="shared" si="7"/>
        <v>0.51428571428571423</v>
      </c>
      <c r="G1813" s="9">
        <v>15.9</v>
      </c>
      <c r="H1813" s="9">
        <v>16.2</v>
      </c>
      <c r="I1813" s="9">
        <v>16.2</v>
      </c>
      <c r="J1813" s="9">
        <v>15.4</v>
      </c>
      <c r="K1813" s="9">
        <v>14.9</v>
      </c>
      <c r="L1813" s="9">
        <v>14.1</v>
      </c>
      <c r="M1813" s="9"/>
      <c r="N1813" s="9"/>
      <c r="O1813" s="9"/>
      <c r="P1813" s="9"/>
      <c r="Q1813" s="9">
        <f ca="1">IFERROR(__xludf.DUMMYFUNCTION("GOOGLEFINANCE(C1813,""changepct"")"),2.46)</f>
        <v>2.46</v>
      </c>
      <c r="R1813" s="9"/>
      <c r="S1813" s="9"/>
      <c r="T1813" s="9"/>
      <c r="U1813" s="9"/>
      <c r="V1813" s="9"/>
      <c r="W1813" s="9"/>
    </row>
    <row r="1814" spans="1:23" ht="14.4">
      <c r="A1814" s="3">
        <f>LOOKUP(D1814,'AMFI DATA_2023H1'!B:C,'AMFI DATA_2023H1'!C:C)</f>
        <v>439</v>
      </c>
      <c r="B1814" s="4" t="s">
        <v>1239</v>
      </c>
      <c r="C1814" s="4" t="s">
        <v>1240</v>
      </c>
      <c r="D1814" s="5" t="s">
        <v>1241</v>
      </c>
      <c r="E1814" s="5">
        <f>LOOKUP(D1814,'AMFI DATA_2023H1'!B:D,'AMFI DATA_2023H1'!D:D)</f>
        <v>6540.6</v>
      </c>
      <c r="F1814" s="7">
        <f t="shared" si="7"/>
        <v>0.35981408433477036</v>
      </c>
      <c r="G1814" s="8">
        <v>8894</v>
      </c>
      <c r="H1814" s="8">
        <v>9060</v>
      </c>
      <c r="I1814" s="8">
        <v>9060</v>
      </c>
      <c r="J1814" s="8">
        <v>9226</v>
      </c>
      <c r="K1814" s="8">
        <v>9415</v>
      </c>
      <c r="L1814" s="8">
        <v>9438</v>
      </c>
      <c r="M1814" s="8"/>
      <c r="N1814" s="8"/>
      <c r="O1814" s="8"/>
      <c r="P1814" s="8"/>
      <c r="Q1814" s="9">
        <f ca="1">IFERROR(__xludf.DUMMYFUNCTION("GOOGLEFINANCE(C1814,""changepct"")"),12.95)</f>
        <v>12.95</v>
      </c>
      <c r="R1814" s="8"/>
      <c r="S1814" s="8"/>
      <c r="T1814" s="8"/>
      <c r="U1814" s="8"/>
      <c r="V1814" s="8"/>
      <c r="W1814" s="8"/>
    </row>
    <row r="1815" spans="1:23" ht="14.4">
      <c r="A1815" s="3">
        <f>LOOKUP(D1815,'AMFI DATA_2023H1'!B:C,'AMFI DATA_2023H1'!C:C)</f>
        <v>369</v>
      </c>
      <c r="B1815" s="4" t="s">
        <v>1215</v>
      </c>
      <c r="C1815" s="4" t="s">
        <v>1216</v>
      </c>
      <c r="D1815" s="5" t="s">
        <v>1217</v>
      </c>
      <c r="E1815" s="5">
        <f>LOOKUP(D1815,'AMFI DATA_2023H1'!B:D,'AMFI DATA_2023H1'!D:D)</f>
        <v>8864.76</v>
      </c>
      <c r="F1815" s="7">
        <f t="shared" si="7"/>
        <v>0.25068247758540552</v>
      </c>
      <c r="G1815" s="8">
        <v>11087</v>
      </c>
      <c r="H1815" s="8">
        <v>11020</v>
      </c>
      <c r="I1815" s="8">
        <v>10946</v>
      </c>
      <c r="J1815" s="8">
        <v>10776</v>
      </c>
      <c r="K1815" s="8">
        <v>10803</v>
      </c>
      <c r="L1815" s="8">
        <v>10913</v>
      </c>
      <c r="M1815" s="8"/>
      <c r="N1815" s="8"/>
      <c r="O1815" s="8"/>
      <c r="P1815" s="8"/>
      <c r="Q1815" s="9">
        <f ca="1">IFERROR(__xludf.DUMMYFUNCTION("GOOGLEFINANCE(C1815,""changepct"")"),-0.18)</f>
        <v>-0.18</v>
      </c>
      <c r="R1815" s="8"/>
      <c r="S1815" s="8"/>
      <c r="T1815" s="8"/>
      <c r="U1815" s="8"/>
      <c r="V1815" s="8"/>
      <c r="W1815" s="8"/>
    </row>
    <row r="1816" spans="1:23" ht="14.4">
      <c r="A1816" s="3">
        <f>LOOKUP(D1816,'AMFI DATA_2023H1'!B:C,'AMFI DATA_2023H1'!C:C)</f>
        <v>369</v>
      </c>
      <c r="B1816" s="4" t="s">
        <v>1746</v>
      </c>
      <c r="C1816" s="4" t="s">
        <v>1747</v>
      </c>
      <c r="D1816" s="5" t="s">
        <v>1748</v>
      </c>
      <c r="E1816" s="5">
        <f>LOOKUP(D1816,'AMFI DATA_2023H1'!B:D,'AMFI DATA_2023H1'!D:D)</f>
        <v>8864.76</v>
      </c>
      <c r="F1816" s="7">
        <f t="shared" si="7"/>
        <v>-0.33997085087469936</v>
      </c>
      <c r="G1816" s="8">
        <v>5851</v>
      </c>
      <c r="H1816" s="8">
        <v>5935</v>
      </c>
      <c r="I1816" s="8">
        <v>5766</v>
      </c>
      <c r="J1816" s="8">
        <v>5721</v>
      </c>
      <c r="K1816" s="8">
        <v>5815</v>
      </c>
      <c r="L1816" s="8">
        <v>5752</v>
      </c>
      <c r="M1816" s="8"/>
      <c r="N1816" s="8"/>
      <c r="O1816" s="8"/>
      <c r="P1816" s="8"/>
      <c r="Q1816" s="9">
        <f ca="1">IFERROR(__xludf.DUMMYFUNCTION("GOOGLEFINANCE(C1816,""changepct"")"),-0.74)</f>
        <v>-0.74</v>
      </c>
      <c r="R1816" s="8"/>
      <c r="S1816" s="8"/>
      <c r="T1816" s="8"/>
      <c r="U1816" s="8"/>
      <c r="V1816" s="8"/>
      <c r="W1816" s="8"/>
    </row>
    <row r="1817" spans="1:23" ht="14.4">
      <c r="A1817" s="3">
        <f>LOOKUP(D1817,'AMFI DATA_2023H1'!B:C,'AMFI DATA_2023H1'!C:C)</f>
        <v>1054</v>
      </c>
      <c r="B1817" s="4" t="s">
        <v>2960</v>
      </c>
      <c r="C1817" s="4" t="s">
        <v>2961</v>
      </c>
      <c r="D1817" s="5" t="s">
        <v>2962</v>
      </c>
      <c r="E1817" s="5">
        <f>LOOKUP(D1817,'AMFI DATA_2023H1'!B:D,'AMFI DATA_2023H1'!D:D)</f>
        <v>1022.28</v>
      </c>
      <c r="F1817" s="7">
        <f t="shared" si="7"/>
        <v>0.54263019916265609</v>
      </c>
      <c r="G1817" s="8">
        <v>1577</v>
      </c>
      <c r="H1817" s="8">
        <v>1541</v>
      </c>
      <c r="I1817" s="8">
        <v>1494</v>
      </c>
      <c r="J1817" s="8">
        <v>1501</v>
      </c>
      <c r="K1817" s="8">
        <v>1502</v>
      </c>
      <c r="L1817" s="8">
        <v>1520</v>
      </c>
      <c r="M1817" s="8"/>
      <c r="N1817" s="8"/>
      <c r="O1817" s="8"/>
      <c r="P1817" s="8"/>
      <c r="Q1817" s="9">
        <f ca="1">IFERROR(__xludf.DUMMYFUNCTION("GOOGLEFINANCE(C1817,""changepct"")"),-2.9)</f>
        <v>-2.9</v>
      </c>
      <c r="R1817" s="8"/>
      <c r="S1817" s="8"/>
      <c r="T1817" s="8"/>
      <c r="U1817" s="8"/>
      <c r="V1817" s="8"/>
      <c r="W1817" s="8"/>
    </row>
    <row r="1818" spans="1:23" ht="14.4">
      <c r="A1818" s="3">
        <f>LOOKUP(D1818,'AMFI DATA_2023H1'!B:C,'AMFI DATA_2023H1'!C:C)</f>
        <v>763</v>
      </c>
      <c r="B1818" s="4" t="s">
        <v>2273</v>
      </c>
      <c r="C1818" s="4" t="s">
        <v>2274</v>
      </c>
      <c r="D1818" s="5" t="s">
        <v>2275</v>
      </c>
      <c r="E1818" s="5">
        <f>LOOKUP(D1818,'AMFI DATA_2023H1'!B:D,'AMFI DATA_2023H1'!D:D)</f>
        <v>2108.6999999999998</v>
      </c>
      <c r="F1818" s="7">
        <f t="shared" si="7"/>
        <v>0.5194195475885619</v>
      </c>
      <c r="G1818" s="8">
        <v>3204</v>
      </c>
      <c r="H1818" s="8">
        <v>3258</v>
      </c>
      <c r="I1818" s="8">
        <v>3262</v>
      </c>
      <c r="J1818" s="8">
        <v>3258</v>
      </c>
      <c r="K1818" s="8">
        <v>3284</v>
      </c>
      <c r="L1818" s="8">
        <v>3311</v>
      </c>
      <c r="M1818" s="8"/>
      <c r="N1818" s="8"/>
      <c r="O1818" s="8"/>
      <c r="P1818" s="8"/>
      <c r="Q1818" s="9">
        <f ca="1">IFERROR(__xludf.DUMMYFUNCTION("GOOGLEFINANCE(C1818,""changepct"")"),-0.5)</f>
        <v>-0.5</v>
      </c>
      <c r="R1818" s="8"/>
      <c r="S1818" s="8"/>
      <c r="T1818" s="8"/>
      <c r="U1818" s="8"/>
      <c r="V1818" s="8"/>
      <c r="W1818" s="8"/>
    </row>
    <row r="1819" spans="1:23" ht="14.4">
      <c r="A1819" s="3">
        <f>LOOKUP(D1819,'AMFI DATA_2023H1'!B:C,'AMFI DATA_2023H1'!C:C)</f>
        <v>1559</v>
      </c>
      <c r="B1819" s="4" t="s">
        <v>3812</v>
      </c>
      <c r="C1819" s="4" t="s">
        <v>3813</v>
      </c>
      <c r="D1819" s="5" t="s">
        <v>3814</v>
      </c>
      <c r="E1819" s="5">
        <f>LOOKUP(D1819,'AMFI DATA_2023H1'!B:D,'AMFI DATA_2023H1'!D:D)</f>
        <v>309.07</v>
      </c>
      <c r="F1819" s="7">
        <f t="shared" si="7"/>
        <v>2.5299446727278609</v>
      </c>
      <c r="G1819" s="9">
        <v>1091</v>
      </c>
      <c r="H1819" s="9">
        <v>1047</v>
      </c>
      <c r="I1819" s="9">
        <v>1042</v>
      </c>
      <c r="J1819" s="9">
        <v>1061</v>
      </c>
      <c r="K1819" s="9">
        <v>998</v>
      </c>
      <c r="L1819" s="9">
        <v>956</v>
      </c>
      <c r="M1819" s="9"/>
      <c r="N1819" s="9"/>
      <c r="O1819" s="9"/>
      <c r="P1819" s="9"/>
      <c r="Q1819" s="9">
        <f ca="1">IFERROR(__xludf.DUMMYFUNCTION("GOOGLEFINANCE(C1819,""changepct"")"),0.08)</f>
        <v>0.08</v>
      </c>
      <c r="R1819" s="9"/>
      <c r="S1819" s="9"/>
      <c r="T1819" s="9"/>
      <c r="U1819" s="9"/>
      <c r="V1819" s="9"/>
      <c r="W1819" s="9"/>
    </row>
    <row r="1820" spans="1:23" ht="14.4">
      <c r="A1820" s="3">
        <f>LOOKUP(D1820,'AMFI DATA_2023H1'!B:C,'AMFI DATA_2023H1'!C:C)</f>
        <v>730</v>
      </c>
      <c r="B1820" s="4" t="s">
        <v>2225</v>
      </c>
      <c r="C1820" s="4" t="s">
        <v>2226</v>
      </c>
      <c r="D1820" s="5" t="s">
        <v>2227</v>
      </c>
      <c r="E1820" s="5">
        <f>LOOKUP(D1820,'AMFI DATA_2023H1'!B:D,'AMFI DATA_2023H1'!D:D)</f>
        <v>2351.08</v>
      </c>
      <c r="F1820" s="7">
        <f t="shared" si="7"/>
        <v>0.68773499838372154</v>
      </c>
      <c r="G1820" s="8">
        <v>3968</v>
      </c>
      <c r="H1820" s="8">
        <v>3908</v>
      </c>
      <c r="I1820" s="8">
        <v>3981</v>
      </c>
      <c r="J1820" s="8">
        <v>3792</v>
      </c>
      <c r="K1820" s="8">
        <v>3720</v>
      </c>
      <c r="L1820" s="8">
        <v>3736</v>
      </c>
      <c r="M1820" s="8"/>
      <c r="N1820" s="8"/>
      <c r="O1820" s="8"/>
      <c r="P1820" s="8"/>
      <c r="Q1820" s="9">
        <f ca="1">IFERROR(__xludf.DUMMYFUNCTION("GOOGLEFINANCE(C1820,""changepct"")"),-1.37)</f>
        <v>-1.37</v>
      </c>
      <c r="R1820" s="8"/>
      <c r="S1820" s="8"/>
      <c r="T1820" s="8"/>
      <c r="U1820" s="8"/>
      <c r="V1820" s="8"/>
      <c r="W1820" s="8"/>
    </row>
    <row r="1821" spans="1:23" ht="14.4">
      <c r="A1821" s="3">
        <f>LOOKUP(D1821,'AMFI DATA_2023H1'!B:C,'AMFI DATA_2023H1'!C:C)</f>
        <v>833</v>
      </c>
      <c r="B1821" s="4" t="s">
        <v>2777</v>
      </c>
      <c r="C1821" s="4" t="s">
        <v>2778</v>
      </c>
      <c r="D1821" s="5" t="s">
        <v>2779</v>
      </c>
      <c r="E1821" s="5">
        <f>LOOKUP(D1821,'AMFI DATA_2023H1'!B:D,'AMFI DATA_2023H1'!D:D)</f>
        <v>1759.37</v>
      </c>
      <c r="F1821" s="7">
        <f t="shared" si="7"/>
        <v>2.5935420065136938E-2</v>
      </c>
      <c r="G1821" s="8">
        <v>1805</v>
      </c>
      <c r="H1821" s="8">
        <v>1803</v>
      </c>
      <c r="I1821" s="8">
        <v>1747</v>
      </c>
      <c r="J1821" s="8">
        <v>1619</v>
      </c>
      <c r="K1821" s="8">
        <v>1598</v>
      </c>
      <c r="L1821" s="8">
        <v>1618</v>
      </c>
      <c r="M1821" s="8"/>
      <c r="N1821" s="8"/>
      <c r="O1821" s="8"/>
      <c r="P1821" s="8"/>
      <c r="Q1821" s="9">
        <f ca="1">IFERROR(__xludf.DUMMYFUNCTION("GOOGLEFINANCE(C1821,""changepct"")"),0.98)</f>
        <v>0.98</v>
      </c>
      <c r="R1821" s="8"/>
      <c r="S1821" s="8"/>
      <c r="T1821" s="8"/>
      <c r="U1821" s="8"/>
      <c r="V1821" s="8"/>
      <c r="W1821" s="8"/>
    </row>
    <row r="1822" spans="1:23" ht="14.4">
      <c r="A1822" s="3">
        <f>LOOKUP(D1822,'AMFI DATA_2023H1'!B:C,'AMFI DATA_2023H1'!C:C)</f>
        <v>510</v>
      </c>
      <c r="B1822" s="4" t="s">
        <v>1593</v>
      </c>
      <c r="C1822" s="4" t="s">
        <v>1594</v>
      </c>
      <c r="D1822" s="5" t="s">
        <v>1595</v>
      </c>
      <c r="E1822" s="5">
        <f>LOOKUP(D1822,'AMFI DATA_2023H1'!B:D,'AMFI DATA_2023H1'!D:D)</f>
        <v>5050.8999999999996</v>
      </c>
      <c r="F1822" s="7">
        <f t="shared" si="7"/>
        <v>0.28769130254014152</v>
      </c>
      <c r="G1822" s="8">
        <v>6504</v>
      </c>
      <c r="H1822" s="8">
        <v>6566</v>
      </c>
      <c r="I1822" s="8">
        <v>6606</v>
      </c>
      <c r="J1822" s="8">
        <v>6659</v>
      </c>
      <c r="K1822" s="8">
        <v>6693</v>
      </c>
      <c r="L1822" s="8">
        <v>6700</v>
      </c>
      <c r="M1822" s="8"/>
      <c r="N1822" s="8"/>
      <c r="O1822" s="8"/>
      <c r="P1822" s="8"/>
      <c r="Q1822" s="9">
        <f ca="1">IFERROR(__xludf.DUMMYFUNCTION("GOOGLEFINANCE(C1822,""changepct"")"),3.37)</f>
        <v>3.37</v>
      </c>
      <c r="R1822" s="8"/>
      <c r="S1822" s="8"/>
      <c r="T1822" s="8"/>
      <c r="U1822" s="8"/>
      <c r="V1822" s="8"/>
      <c r="W1822" s="8"/>
    </row>
    <row r="1823" spans="1:23" ht="14.4">
      <c r="A1823" s="3">
        <f>LOOKUP(D1823,'AMFI DATA_2023H1'!B:C,'AMFI DATA_2023H1'!C:C)</f>
        <v>1961</v>
      </c>
      <c r="B1823" s="4" t="s">
        <v>4955</v>
      </c>
      <c r="C1823" s="4" t="s">
        <v>4956</v>
      </c>
      <c r="D1823" s="5" t="s">
        <v>4957</v>
      </c>
      <c r="E1823" s="5">
        <f>LOOKUP(D1823,'AMFI DATA_2023H1'!B:D,'AMFI DATA_2023H1'!D:D)</f>
        <v>151.49</v>
      </c>
      <c r="F1823" s="7">
        <f t="shared" si="7"/>
        <v>0.30701696481615937</v>
      </c>
      <c r="G1823" s="9">
        <v>198</v>
      </c>
      <c r="H1823" s="9">
        <v>193</v>
      </c>
      <c r="I1823" s="9">
        <v>190</v>
      </c>
      <c r="J1823" s="9">
        <v>191</v>
      </c>
      <c r="K1823" s="9">
        <v>190</v>
      </c>
      <c r="L1823" s="9">
        <v>190</v>
      </c>
      <c r="M1823" s="9"/>
      <c r="N1823" s="9"/>
      <c r="O1823" s="9"/>
      <c r="P1823" s="9"/>
      <c r="Q1823" s="9">
        <f ca="1">IFERROR(__xludf.DUMMYFUNCTION("GOOGLEFINANCE(C1823,""changepct"")"),0.43)</f>
        <v>0.43</v>
      </c>
      <c r="R1823" s="9"/>
      <c r="S1823" s="9"/>
      <c r="T1823" s="9"/>
      <c r="U1823" s="9"/>
      <c r="V1823" s="9"/>
      <c r="W1823" s="9"/>
    </row>
    <row r="1824" spans="1:23" ht="14.4">
      <c r="A1824" s="3">
        <f>LOOKUP(D1824,'AMFI DATA_2023H1'!B:C,'AMFI DATA_2023H1'!C:C)</f>
        <v>843</v>
      </c>
      <c r="B1824" s="4" t="s">
        <v>2786</v>
      </c>
      <c r="C1824" s="4" t="s">
        <v>2787</v>
      </c>
      <c r="D1824" s="5" t="s">
        <v>2788</v>
      </c>
      <c r="E1824" s="5">
        <f>LOOKUP(D1824,'AMFI DATA_2023H1'!B:D,'AMFI DATA_2023H1'!D:D)</f>
        <v>1737.2</v>
      </c>
      <c r="F1824" s="7">
        <f t="shared" si="7"/>
        <v>0.17430347685931391</v>
      </c>
      <c r="G1824" s="8">
        <v>2040</v>
      </c>
      <c r="H1824" s="8">
        <v>2011</v>
      </c>
      <c r="I1824" s="8">
        <v>1995</v>
      </c>
      <c r="J1824" s="8">
        <v>1999</v>
      </c>
      <c r="K1824" s="8">
        <v>2031</v>
      </c>
      <c r="L1824" s="8">
        <v>2045</v>
      </c>
      <c r="M1824" s="8"/>
      <c r="N1824" s="8"/>
      <c r="O1824" s="8"/>
      <c r="P1824" s="8"/>
      <c r="Q1824" s="9">
        <f ca="1">IFERROR(__xludf.DUMMYFUNCTION("GOOGLEFINANCE(C1824,""changepct"")"),-1.42)</f>
        <v>-1.42</v>
      </c>
      <c r="R1824" s="8"/>
      <c r="S1824" s="8"/>
      <c r="T1824" s="8"/>
      <c r="U1824" s="8"/>
      <c r="V1824" s="8"/>
      <c r="W1824" s="8"/>
    </row>
    <row r="1825" spans="1:23" ht="14.4">
      <c r="A1825" s="3">
        <f>LOOKUP(D1825,'AMFI DATA_2023H1'!B:C,'AMFI DATA_2023H1'!C:C)</f>
        <v>843</v>
      </c>
      <c r="B1825" s="4" t="s">
        <v>3605</v>
      </c>
      <c r="C1825" s="4" t="s">
        <v>3606</v>
      </c>
      <c r="D1825" s="5" t="s">
        <v>3607</v>
      </c>
      <c r="E1825" s="5">
        <f>LOOKUP(D1825,'AMFI DATA_2023H1'!B:D,'AMFI DATA_2023H1'!D:D)</f>
        <v>1737.2</v>
      </c>
      <c r="F1825" s="7">
        <f t="shared" si="7"/>
        <v>-0.56078747409624685</v>
      </c>
      <c r="G1825" s="9">
        <v>763</v>
      </c>
      <c r="H1825" s="9">
        <v>752</v>
      </c>
      <c r="I1825" s="9">
        <v>764</v>
      </c>
      <c r="J1825" s="9">
        <v>760</v>
      </c>
      <c r="K1825" s="9">
        <v>762</v>
      </c>
      <c r="L1825" s="9">
        <v>769</v>
      </c>
      <c r="M1825" s="9"/>
      <c r="N1825" s="9"/>
      <c r="O1825" s="9"/>
      <c r="P1825" s="9"/>
      <c r="Q1825" s="9">
        <f ca="1">IFERROR(__xludf.DUMMYFUNCTION("GOOGLEFINANCE(C1825,""changepct"")"),9.89)</f>
        <v>9.89</v>
      </c>
      <c r="R1825" s="9"/>
      <c r="S1825" s="9"/>
      <c r="T1825" s="9"/>
      <c r="U1825" s="9"/>
      <c r="V1825" s="9"/>
      <c r="W1825" s="9"/>
    </row>
    <row r="1826" spans="1:23" ht="14.4">
      <c r="A1826" s="3">
        <f>LOOKUP(D1826,'AMFI DATA_2023H1'!B:C,'AMFI DATA_2023H1'!C:C)</f>
        <v>944</v>
      </c>
      <c r="B1826" s="4" t="s">
        <v>3122</v>
      </c>
      <c r="C1826" s="4" t="s">
        <v>3123</v>
      </c>
      <c r="D1826" s="5" t="s">
        <v>3124</v>
      </c>
      <c r="E1826" s="5">
        <f>LOOKUP(D1826,'AMFI DATA_2023H1'!B:D,'AMFI DATA_2023H1'!D:D)</f>
        <v>1337.62</v>
      </c>
      <c r="F1826" s="7">
        <f t="shared" si="7"/>
        <v>4.7382664732883883E-2</v>
      </c>
      <c r="G1826" s="8">
        <v>1401</v>
      </c>
      <c r="H1826" s="8">
        <v>1396</v>
      </c>
      <c r="I1826" s="8">
        <v>1388</v>
      </c>
      <c r="J1826" s="8">
        <v>1411</v>
      </c>
      <c r="K1826" s="8">
        <v>1359</v>
      </c>
      <c r="L1826" s="8">
        <v>1315</v>
      </c>
      <c r="M1826" s="8"/>
      <c r="N1826" s="8"/>
      <c r="O1826" s="8"/>
      <c r="P1826" s="8"/>
      <c r="Q1826" s="9">
        <f ca="1">IFERROR(__xludf.DUMMYFUNCTION("GOOGLEFINANCE(C1826,""changepct"")"),1.01)</f>
        <v>1.01</v>
      </c>
      <c r="R1826" s="8"/>
      <c r="S1826" s="8"/>
      <c r="T1826" s="8"/>
      <c r="U1826" s="8"/>
      <c r="V1826" s="8"/>
      <c r="W1826" s="8"/>
    </row>
    <row r="1827" spans="1:23" ht="14.4">
      <c r="A1827" s="3">
        <f>LOOKUP(D1827,'AMFI DATA_2023H1'!B:C,'AMFI DATA_2023H1'!C:C)</f>
        <v>1403</v>
      </c>
      <c r="B1827" s="4" t="s">
        <v>4088</v>
      </c>
      <c r="C1827" s="4" t="s">
        <v>4089</v>
      </c>
      <c r="D1827" s="5" t="s">
        <v>4090</v>
      </c>
      <c r="E1827" s="5">
        <f>LOOKUP(D1827,'AMFI DATA_2023H1'!B:D,'AMFI DATA_2023H1'!D:D)</f>
        <v>405.41</v>
      </c>
      <c r="F1827" s="7">
        <f t="shared" si="7"/>
        <v>0.21358624602254506</v>
      </c>
      <c r="G1827" s="9">
        <v>492</v>
      </c>
      <c r="H1827" s="9">
        <v>477</v>
      </c>
      <c r="I1827" s="9">
        <v>481</v>
      </c>
      <c r="J1827" s="9">
        <v>479</v>
      </c>
      <c r="K1827" s="9">
        <v>483</v>
      </c>
      <c r="L1827" s="9">
        <v>476</v>
      </c>
      <c r="M1827" s="9"/>
      <c r="N1827" s="9"/>
      <c r="O1827" s="9"/>
      <c r="P1827" s="9"/>
      <c r="Q1827" s="9">
        <f ca="1">IFERROR(__xludf.DUMMYFUNCTION("GOOGLEFINANCE(C1827,""changepct"")"),-0.93)</f>
        <v>-0.93</v>
      </c>
      <c r="R1827" s="9"/>
      <c r="S1827" s="9"/>
      <c r="T1827" s="9"/>
      <c r="U1827" s="9"/>
      <c r="V1827" s="9"/>
      <c r="W1827" s="9"/>
    </row>
    <row r="1828" spans="1:23" ht="14.4">
      <c r="A1828" s="3">
        <f>LOOKUP(D1828,'AMFI DATA_2023H1'!B:C,'AMFI DATA_2023H1'!C:C)</f>
        <v>1099</v>
      </c>
      <c r="B1828" s="4" t="s">
        <v>3437</v>
      </c>
      <c r="C1828" s="4" t="s">
        <v>3438</v>
      </c>
      <c r="D1828" s="5" t="s">
        <v>3439</v>
      </c>
      <c r="E1828" s="5">
        <f>LOOKUP(D1828,'AMFI DATA_2023H1'!B:D,'AMFI DATA_2023H1'!D:D)</f>
        <v>870.35</v>
      </c>
      <c r="F1828" s="7">
        <f t="shared" si="7"/>
        <v>0.15355891308094449</v>
      </c>
      <c r="G1828" s="9">
        <v>1004</v>
      </c>
      <c r="H1828" s="9">
        <v>1009</v>
      </c>
      <c r="I1828" s="9">
        <v>1003</v>
      </c>
      <c r="J1828" s="9">
        <v>1008</v>
      </c>
      <c r="K1828" s="9">
        <v>1024</v>
      </c>
      <c r="L1828" s="9">
        <v>970</v>
      </c>
      <c r="M1828" s="9"/>
      <c r="N1828" s="9"/>
      <c r="O1828" s="9"/>
      <c r="P1828" s="9"/>
      <c r="Q1828" s="9">
        <f ca="1">IFERROR(__xludf.DUMMYFUNCTION("GOOGLEFINANCE(C1828,""changepct"")"),2.5)</f>
        <v>2.5</v>
      </c>
      <c r="R1828" s="9"/>
      <c r="S1828" s="9"/>
      <c r="T1828" s="9"/>
      <c r="U1828" s="9"/>
      <c r="V1828" s="9"/>
      <c r="W1828" s="9"/>
    </row>
    <row r="1829" spans="1:23" ht="14.4">
      <c r="A1829" s="3">
        <f>LOOKUP(D1829,'AMFI DATA_2023H1'!B:C,'AMFI DATA_2023H1'!C:C)</f>
        <v>2425</v>
      </c>
      <c r="B1829" s="4" t="s">
        <v>4979</v>
      </c>
      <c r="C1829" s="4" t="s">
        <v>4980</v>
      </c>
      <c r="D1829" s="5" t="s">
        <v>4981</v>
      </c>
      <c r="E1829" s="5">
        <f>LOOKUP(D1829,'AMFI DATA_2023H1'!B:D,'AMFI DATA_2023H1'!D:D)</f>
        <v>70.98</v>
      </c>
      <c r="F1829" s="7">
        <f t="shared" si="7"/>
        <v>1.2259791490560721</v>
      </c>
      <c r="G1829" s="9">
        <v>158</v>
      </c>
      <c r="H1829" s="9">
        <v>158</v>
      </c>
      <c r="I1829" s="9">
        <v>155</v>
      </c>
      <c r="J1829" s="9">
        <v>155</v>
      </c>
      <c r="K1829" s="9">
        <v>152</v>
      </c>
      <c r="L1829" s="9">
        <v>152</v>
      </c>
      <c r="M1829" s="9"/>
      <c r="N1829" s="9"/>
      <c r="O1829" s="9"/>
      <c r="P1829" s="9"/>
      <c r="Q1829" s="9">
        <f ca="1">IFERROR(__xludf.DUMMYFUNCTION("GOOGLEFINANCE(C1829,""changepct"")"),7)</f>
        <v>7</v>
      </c>
      <c r="R1829" s="9"/>
      <c r="S1829" s="9"/>
      <c r="T1829" s="9"/>
      <c r="U1829" s="9"/>
      <c r="V1829" s="9"/>
      <c r="W1829" s="9"/>
    </row>
    <row r="1830" spans="1:23" ht="14.4">
      <c r="A1830" s="3">
        <f>LOOKUP(D1830,'AMFI DATA_2023H1'!B:C,'AMFI DATA_2023H1'!C:C)</f>
        <v>890</v>
      </c>
      <c r="B1830" s="4" t="s">
        <v>2879</v>
      </c>
      <c r="C1830" s="4" t="s">
        <v>2880</v>
      </c>
      <c r="D1830" s="5" t="s">
        <v>2881</v>
      </c>
      <c r="E1830" s="5">
        <f>LOOKUP(D1830,'AMFI DATA_2023H1'!B:D,'AMFI DATA_2023H1'!D:D)</f>
        <v>1498.98</v>
      </c>
      <c r="F1830" s="7">
        <f t="shared" si="7"/>
        <v>0.20882199895929232</v>
      </c>
      <c r="G1830" s="8">
        <v>1812</v>
      </c>
      <c r="H1830" s="8">
        <v>1780</v>
      </c>
      <c r="I1830" s="8">
        <v>1811</v>
      </c>
      <c r="J1830" s="8">
        <v>1776</v>
      </c>
      <c r="K1830" s="8">
        <v>1785</v>
      </c>
      <c r="L1830" s="8">
        <v>1797</v>
      </c>
      <c r="M1830" s="8"/>
      <c r="N1830" s="8"/>
      <c r="O1830" s="8"/>
      <c r="P1830" s="8"/>
      <c r="Q1830" s="9">
        <f ca="1">IFERROR(__xludf.DUMMYFUNCTION("GOOGLEFINANCE(C1830,""changepct"")"),4.05)</f>
        <v>4.05</v>
      </c>
      <c r="R1830" s="8"/>
      <c r="S1830" s="8"/>
      <c r="T1830" s="8"/>
      <c r="U1830" s="8"/>
      <c r="V1830" s="8"/>
      <c r="W1830" s="8"/>
    </row>
    <row r="1831" spans="1:23" ht="14.4">
      <c r="A1831" s="3">
        <f>LOOKUP(D1831,'AMFI DATA_2023H1'!B:C,'AMFI DATA_2023H1'!C:C)</f>
        <v>362</v>
      </c>
      <c r="B1831" s="4" t="s">
        <v>1155</v>
      </c>
      <c r="C1831" s="4" t="s">
        <v>1156</v>
      </c>
      <c r="D1831" s="5" t="s">
        <v>1157</v>
      </c>
      <c r="E1831" s="5">
        <f>LOOKUP(D1831,'AMFI DATA_2023H1'!B:D,'AMFI DATA_2023H1'!D:D)</f>
        <v>9219.56</v>
      </c>
      <c r="F1831" s="7">
        <f t="shared" si="7"/>
        <v>0.23574226969616774</v>
      </c>
      <c r="G1831" s="8">
        <v>11393</v>
      </c>
      <c r="H1831" s="8">
        <v>11140</v>
      </c>
      <c r="I1831" s="8">
        <v>10917</v>
      </c>
      <c r="J1831" s="8">
        <v>11198</v>
      </c>
      <c r="K1831" s="8">
        <v>11296</v>
      </c>
      <c r="L1831" s="8">
        <v>11354</v>
      </c>
      <c r="M1831" s="8"/>
      <c r="N1831" s="8"/>
      <c r="O1831" s="8"/>
      <c r="P1831" s="8"/>
      <c r="Q1831" s="9">
        <f ca="1">IFERROR(__xludf.DUMMYFUNCTION("GOOGLEFINANCE(C1831,""changepct"")"),-0.15)</f>
        <v>-0.15</v>
      </c>
      <c r="R1831" s="8"/>
      <c r="S1831" s="8"/>
      <c r="T1831" s="8"/>
      <c r="U1831" s="8"/>
      <c r="V1831" s="8"/>
      <c r="W1831" s="8"/>
    </row>
    <row r="1832" spans="1:23" ht="14.4">
      <c r="A1832" s="3">
        <f>LOOKUP(D1832,'AMFI DATA_2023H1'!B:C,'AMFI DATA_2023H1'!C:C)</f>
        <v>549</v>
      </c>
      <c r="B1832" s="4" t="s">
        <v>1563</v>
      </c>
      <c r="C1832" s="4" t="s">
        <v>1564</v>
      </c>
      <c r="D1832" s="5" t="s">
        <v>1565</v>
      </c>
      <c r="E1832" s="5">
        <f>LOOKUP(D1832,'AMFI DATA_2023H1'!B:D,'AMFI DATA_2023H1'!D:D)</f>
        <v>4345.24</v>
      </c>
      <c r="F1832" s="7">
        <f t="shared" si="7"/>
        <v>0.96214708508620927</v>
      </c>
      <c r="G1832" s="8">
        <v>8526</v>
      </c>
      <c r="H1832" s="8">
        <v>8487</v>
      </c>
      <c r="I1832" s="8">
        <v>8457</v>
      </c>
      <c r="J1832" s="8">
        <v>8403</v>
      </c>
      <c r="K1832" s="8">
        <v>8353</v>
      </c>
      <c r="L1832" s="8">
        <v>8312</v>
      </c>
      <c r="M1832" s="8"/>
      <c r="N1832" s="8"/>
      <c r="O1832" s="8"/>
      <c r="P1832" s="8"/>
      <c r="Q1832" s="9">
        <f ca="1">IFERROR(__xludf.DUMMYFUNCTION("GOOGLEFINANCE(C1832,""changepct"")"),2.8)</f>
        <v>2.8</v>
      </c>
      <c r="R1832" s="8"/>
      <c r="S1832" s="8"/>
      <c r="T1832" s="8"/>
      <c r="U1832" s="8"/>
      <c r="V1832" s="8"/>
      <c r="W1832" s="8"/>
    </row>
    <row r="1833" spans="1:23" ht="14.4">
      <c r="A1833" s="3">
        <f>LOOKUP(D1833,'AMFI DATA_2023H1'!B:C,'AMFI DATA_2023H1'!C:C)</f>
        <v>56</v>
      </c>
      <c r="B1833" s="4" t="s">
        <v>156</v>
      </c>
      <c r="C1833" s="4" t="s">
        <v>157</v>
      </c>
      <c r="D1833" s="5" t="s">
        <v>158</v>
      </c>
      <c r="E1833" s="5">
        <f>LOOKUP(D1833,'AMFI DATA_2023H1'!B:D,'AMFI DATA_2023H1'!D:D)</f>
        <v>91870.51</v>
      </c>
      <c r="F1833" s="7">
        <f t="shared" si="7"/>
        <v>0.75640692535613452</v>
      </c>
      <c r="G1833" s="8">
        <v>161362</v>
      </c>
      <c r="H1833" s="8">
        <v>160713</v>
      </c>
      <c r="I1833" s="8">
        <v>161096</v>
      </c>
      <c r="J1833" s="8">
        <v>160654</v>
      </c>
      <c r="K1833" s="8">
        <v>162599</v>
      </c>
      <c r="L1833" s="8">
        <v>160921</v>
      </c>
      <c r="M1833" s="8"/>
      <c r="N1833" s="8"/>
      <c r="O1833" s="8"/>
      <c r="P1833" s="8"/>
      <c r="Q1833" s="9">
        <f ca="1">IFERROR(__xludf.DUMMYFUNCTION("GOOGLEFINANCE(C1833,""changepct"")"),2.59)</f>
        <v>2.59</v>
      </c>
      <c r="R1833" s="8"/>
      <c r="S1833" s="8"/>
      <c r="T1833" s="8"/>
      <c r="U1833" s="8"/>
      <c r="V1833" s="8"/>
      <c r="W1833" s="8"/>
    </row>
    <row r="1834" spans="1:23" ht="14.4">
      <c r="A1834" s="3">
        <f>LOOKUP(D1834,'AMFI DATA_2023H1'!B:C,'AMFI DATA_2023H1'!C:C)</f>
        <v>1180</v>
      </c>
      <c r="B1834" s="4" t="s">
        <v>3077</v>
      </c>
      <c r="C1834" s="4" t="s">
        <v>3078</v>
      </c>
      <c r="D1834" s="5" t="s">
        <v>3079</v>
      </c>
      <c r="E1834" s="5">
        <f>LOOKUP(D1834,'AMFI DATA_2023H1'!B:D,'AMFI DATA_2023H1'!D:D)</f>
        <v>725.56</v>
      </c>
      <c r="F1834" s="7">
        <f t="shared" si="7"/>
        <v>1.2410276200452066</v>
      </c>
      <c r="G1834" s="8">
        <v>1626</v>
      </c>
      <c r="H1834" s="8">
        <v>1523</v>
      </c>
      <c r="I1834" s="8">
        <v>1518</v>
      </c>
      <c r="J1834" s="8">
        <v>1541</v>
      </c>
      <c r="K1834" s="8">
        <v>1589</v>
      </c>
      <c r="L1834" s="8">
        <v>1578</v>
      </c>
      <c r="M1834" s="8"/>
      <c r="N1834" s="8"/>
      <c r="O1834" s="8"/>
      <c r="P1834" s="8"/>
      <c r="Q1834" s="9">
        <f ca="1">IFERROR(__xludf.DUMMYFUNCTION("GOOGLEFINANCE(C1834,""changepct"")"),2.61)</f>
        <v>2.61</v>
      </c>
      <c r="R1834" s="8"/>
      <c r="S1834" s="8"/>
      <c r="T1834" s="8"/>
      <c r="U1834" s="8"/>
      <c r="V1834" s="8"/>
      <c r="W1834" s="8"/>
    </row>
    <row r="1835" spans="1:23" ht="14.4">
      <c r="A1835" s="3">
        <f>LOOKUP(D1835,'AMFI DATA_2023H1'!B:C,'AMFI DATA_2023H1'!C:C)</f>
        <v>2489</v>
      </c>
      <c r="B1835" s="4" t="s">
        <v>5341</v>
      </c>
      <c r="C1835" s="4" t="s">
        <v>5342</v>
      </c>
      <c r="D1835" s="5" t="s">
        <v>5343</v>
      </c>
      <c r="E1835" s="5">
        <f>LOOKUP(D1835,'AMFI DATA_2023H1'!B:D,'AMFI DATA_2023H1'!D:D)</f>
        <v>65.31</v>
      </c>
      <c r="F1835" s="7">
        <f t="shared" si="7"/>
        <v>0.40101056499770316</v>
      </c>
      <c r="G1835" s="9">
        <v>91.5</v>
      </c>
      <c r="H1835" s="9">
        <v>86.1</v>
      </c>
      <c r="I1835" s="9">
        <v>82</v>
      </c>
      <c r="J1835" s="9">
        <v>80</v>
      </c>
      <c r="K1835" s="9">
        <v>78.3</v>
      </c>
      <c r="L1835" s="9">
        <v>75.400000000000006</v>
      </c>
      <c r="M1835" s="9"/>
      <c r="N1835" s="9"/>
      <c r="O1835" s="9"/>
      <c r="P1835" s="9"/>
      <c r="Q1835" s="9">
        <f ca="1">IFERROR(__xludf.DUMMYFUNCTION("GOOGLEFINANCE(C1835,""changepct"")"),0.32)</f>
        <v>0.32</v>
      </c>
      <c r="R1835" s="9"/>
      <c r="S1835" s="9"/>
      <c r="T1835" s="9"/>
      <c r="U1835" s="9"/>
      <c r="V1835" s="9"/>
      <c r="W1835" s="9"/>
    </row>
    <row r="1836" spans="1:23" ht="14.4">
      <c r="A1836" s="3">
        <f>LOOKUP(D1836,'AMFI DATA_2023H1'!B:C,'AMFI DATA_2023H1'!C:C)</f>
        <v>3042</v>
      </c>
      <c r="B1836" s="4" t="s">
        <v>5575</v>
      </c>
      <c r="C1836" s="4" t="s">
        <v>5576</v>
      </c>
      <c r="D1836" s="5" t="s">
        <v>5577</v>
      </c>
      <c r="E1836" s="5">
        <f>LOOKUP(D1836,'AMFI DATA_2023H1'!B:D,'AMFI DATA_2023H1'!D:D)</f>
        <v>28.58</v>
      </c>
      <c r="F1836" s="7">
        <f t="shared" si="7"/>
        <v>-6.9279216235129337E-2</v>
      </c>
      <c r="G1836" s="9">
        <v>26.6</v>
      </c>
      <c r="H1836" s="9">
        <v>26.6</v>
      </c>
      <c r="I1836" s="9">
        <v>25.7</v>
      </c>
      <c r="J1836" s="9">
        <v>26.6</v>
      </c>
      <c r="K1836" s="9">
        <v>26.6</v>
      </c>
      <c r="L1836" s="9">
        <v>26.6</v>
      </c>
      <c r="M1836" s="9"/>
      <c r="N1836" s="9"/>
      <c r="O1836" s="9"/>
      <c r="P1836" s="9"/>
      <c r="Q1836" s="9">
        <f ca="1">IFERROR(__xludf.DUMMYFUNCTION("GOOGLEFINANCE(C1836,""changepct"")"),-3.45)</f>
        <v>-3.45</v>
      </c>
      <c r="R1836" s="9"/>
      <c r="S1836" s="9"/>
      <c r="T1836" s="9"/>
      <c r="U1836" s="9"/>
      <c r="V1836" s="9"/>
      <c r="W1836" s="9"/>
    </row>
    <row r="1837" spans="1:23" ht="14.4">
      <c r="A1837" s="3">
        <f>LOOKUP(D1837,'AMFI DATA_2023H1'!B:C,'AMFI DATA_2023H1'!C:C)</f>
        <v>171</v>
      </c>
      <c r="B1837" s="4" t="s">
        <v>603</v>
      </c>
      <c r="C1837" s="4" t="s">
        <v>604</v>
      </c>
      <c r="D1837" s="5" t="s">
        <v>605</v>
      </c>
      <c r="E1837" s="5">
        <f>LOOKUP(D1837,'AMFI DATA_2023H1'!B:D,'AMFI DATA_2023H1'!D:D)</f>
        <v>29960</v>
      </c>
      <c r="F1837" s="7">
        <f t="shared" si="7"/>
        <v>3.5280373831775735E-2</v>
      </c>
      <c r="G1837" s="8">
        <v>31017</v>
      </c>
      <c r="H1837" s="8">
        <v>30951</v>
      </c>
      <c r="I1837" s="8">
        <v>30642</v>
      </c>
      <c r="J1837" s="8">
        <v>31422</v>
      </c>
      <c r="K1837" s="8">
        <v>31220</v>
      </c>
      <c r="L1837" s="8">
        <v>31042</v>
      </c>
      <c r="M1837" s="8"/>
      <c r="N1837" s="8"/>
      <c r="O1837" s="8"/>
      <c r="P1837" s="8"/>
      <c r="Q1837" s="9">
        <f ca="1">IFERROR(__xludf.DUMMYFUNCTION("GOOGLEFINANCE(C1837,""changepct"")"),-2.09)</f>
        <v>-2.09</v>
      </c>
      <c r="R1837" s="8"/>
      <c r="S1837" s="8"/>
      <c r="T1837" s="8"/>
      <c r="U1837" s="8"/>
      <c r="V1837" s="8"/>
      <c r="W1837" s="8"/>
    </row>
    <row r="1838" spans="1:23" ht="14.4">
      <c r="A1838" s="3">
        <f>LOOKUP(D1838,'AMFI DATA_2023H1'!B:C,'AMFI DATA_2023H1'!C:C)</f>
        <v>49</v>
      </c>
      <c r="B1838" s="4" t="s">
        <v>213</v>
      </c>
      <c r="C1838" s="4" t="s">
        <v>214</v>
      </c>
      <c r="D1838" s="5" t="s">
        <v>215</v>
      </c>
      <c r="E1838" s="5">
        <f>LOOKUP(D1838,'AMFI DATA_2023H1'!B:D,'AMFI DATA_2023H1'!D:D)</f>
        <v>108408.8</v>
      </c>
      <c r="F1838" s="7">
        <f t="shared" si="7"/>
        <v>-0.1182634620067744</v>
      </c>
      <c r="G1838" s="8">
        <v>95588</v>
      </c>
      <c r="H1838" s="8">
        <v>96090</v>
      </c>
      <c r="I1838" s="8">
        <v>95718</v>
      </c>
      <c r="J1838" s="8">
        <v>93822</v>
      </c>
      <c r="K1838" s="8">
        <v>97279</v>
      </c>
      <c r="L1838" s="8">
        <v>96554</v>
      </c>
      <c r="M1838" s="8"/>
      <c r="N1838" s="8"/>
      <c r="O1838" s="8"/>
      <c r="P1838" s="8"/>
      <c r="Q1838" s="9">
        <f ca="1">IFERROR(__xludf.DUMMYFUNCTION("GOOGLEFINANCE(C1838,""changepct"")"),-1.05)</f>
        <v>-1.05</v>
      </c>
      <c r="R1838" s="8"/>
      <c r="S1838" s="8"/>
      <c r="T1838" s="8"/>
      <c r="U1838" s="8"/>
      <c r="V1838" s="8"/>
      <c r="W1838" s="8"/>
    </row>
    <row r="1839" spans="1:23" ht="14.4">
      <c r="A1839" s="3">
        <f>LOOKUP(D1839,'AMFI DATA_2023H1'!B:C,'AMFI DATA_2023H1'!C:C)</f>
        <v>728</v>
      </c>
      <c r="B1839" s="4" t="s">
        <v>2369</v>
      </c>
      <c r="C1839" s="4" t="s">
        <v>2370</v>
      </c>
      <c r="D1839" s="5" t="s">
        <v>2371</v>
      </c>
      <c r="E1839" s="5">
        <f>LOOKUP(D1839,'AMFI DATA_2023H1'!B:D,'AMFI DATA_2023H1'!D:D)</f>
        <v>2362.35</v>
      </c>
      <c r="F1839" s="7">
        <f t="shared" si="7"/>
        <v>0.1679048405189747</v>
      </c>
      <c r="G1839" s="8">
        <v>2759</v>
      </c>
      <c r="H1839" s="8">
        <v>2749</v>
      </c>
      <c r="I1839" s="8">
        <v>2768</v>
      </c>
      <c r="J1839" s="8">
        <v>2753</v>
      </c>
      <c r="K1839" s="8">
        <v>2738</v>
      </c>
      <c r="L1839" s="8">
        <v>2727</v>
      </c>
      <c r="M1839" s="8"/>
      <c r="N1839" s="8"/>
      <c r="O1839" s="8"/>
      <c r="P1839" s="8"/>
      <c r="Q1839" s="9">
        <f ca="1">IFERROR(__xludf.DUMMYFUNCTION("GOOGLEFINANCE(C1839,""changepct"")"),-0.55)</f>
        <v>-0.55000000000000004</v>
      </c>
      <c r="R1839" s="8"/>
      <c r="S1839" s="8"/>
      <c r="T1839" s="8"/>
      <c r="U1839" s="8"/>
      <c r="V1839" s="8"/>
      <c r="W1839" s="8"/>
    </row>
    <row r="1840" spans="1:23" ht="14.4">
      <c r="A1840" s="3">
        <f>LOOKUP(D1840,'AMFI DATA_2023H1'!B:C,'AMFI DATA_2023H1'!C:C)</f>
        <v>851</v>
      </c>
      <c r="B1840" s="4" t="s">
        <v>2372</v>
      </c>
      <c r="C1840" s="4" t="s">
        <v>2373</v>
      </c>
      <c r="D1840" s="5" t="s">
        <v>2374</v>
      </c>
      <c r="E1840" s="5">
        <f>LOOKUP(D1840,'AMFI DATA_2023H1'!B:D,'AMFI DATA_2023H1'!D:D)</f>
        <v>1724.58</v>
      </c>
      <c r="F1840" s="7">
        <f t="shared" si="7"/>
        <v>0.67577033248675056</v>
      </c>
      <c r="G1840" s="8">
        <v>2890</v>
      </c>
      <c r="H1840" s="8">
        <v>2843</v>
      </c>
      <c r="I1840" s="8">
        <v>2757</v>
      </c>
      <c r="J1840" s="8">
        <v>2770</v>
      </c>
      <c r="K1840" s="8">
        <v>2786</v>
      </c>
      <c r="L1840" s="8">
        <v>2787</v>
      </c>
      <c r="M1840" s="8"/>
      <c r="N1840" s="8"/>
      <c r="O1840" s="8"/>
      <c r="P1840" s="8"/>
      <c r="Q1840" s="9">
        <f ca="1">IFERROR(__xludf.DUMMYFUNCTION("GOOGLEFINANCE(C1840,""changepct"")"),1.84)</f>
        <v>1.84</v>
      </c>
      <c r="R1840" s="8"/>
      <c r="S1840" s="8"/>
      <c r="T1840" s="8"/>
      <c r="U1840" s="8"/>
      <c r="V1840" s="8"/>
      <c r="W1840" s="8"/>
    </row>
    <row r="1841" spans="1:23" ht="14.4">
      <c r="A1841" s="3">
        <f>LOOKUP(D1841,'AMFI DATA_2023H1'!B:C,'AMFI DATA_2023H1'!C:C)</f>
        <v>1670</v>
      </c>
      <c r="B1841" s="4" t="s">
        <v>4202</v>
      </c>
      <c r="C1841" s="4" t="s">
        <v>4203</v>
      </c>
      <c r="D1841" s="5" t="s">
        <v>4204</v>
      </c>
      <c r="E1841" s="5">
        <f>LOOKUP(D1841,'AMFI DATA_2023H1'!B:D,'AMFI DATA_2023H1'!D:D)</f>
        <v>251.36</v>
      </c>
      <c r="F1841" s="7">
        <f t="shared" si="7"/>
        <v>1.1443348185868873</v>
      </c>
      <c r="G1841" s="9">
        <v>539</v>
      </c>
      <c r="H1841" s="9">
        <v>542</v>
      </c>
      <c r="I1841" s="9">
        <v>551</v>
      </c>
      <c r="J1841" s="9">
        <v>529</v>
      </c>
      <c r="K1841" s="9">
        <v>528</v>
      </c>
      <c r="L1841" s="9">
        <v>521</v>
      </c>
      <c r="M1841" s="9"/>
      <c r="N1841" s="9"/>
      <c r="O1841" s="9"/>
      <c r="P1841" s="9"/>
      <c r="Q1841" s="9">
        <f ca="1">IFERROR(__xludf.DUMMYFUNCTION("GOOGLEFINANCE(C1841,""changepct"")"),0.04)</f>
        <v>0.04</v>
      </c>
      <c r="R1841" s="9"/>
      <c r="S1841" s="9"/>
      <c r="T1841" s="9"/>
      <c r="U1841" s="9"/>
      <c r="V1841" s="9"/>
      <c r="W1841" s="9"/>
    </row>
    <row r="1842" spans="1:23" ht="14.4">
      <c r="A1842" s="3">
        <f>LOOKUP(D1842,'AMFI DATA_2023H1'!B:C,'AMFI DATA_2023H1'!C:C)</f>
        <v>981</v>
      </c>
      <c r="B1842" s="4" t="s">
        <v>3032</v>
      </c>
      <c r="C1842" s="4" t="s">
        <v>3033</v>
      </c>
      <c r="D1842" s="5" t="s">
        <v>3034</v>
      </c>
      <c r="E1842" s="5">
        <f>LOOKUP(D1842,'AMFI DATA_2023H1'!B:D,'AMFI DATA_2023H1'!D:D)</f>
        <v>1240.8900000000001</v>
      </c>
      <c r="F1842" s="7">
        <f t="shared" si="7"/>
        <v>0.61577577383974402</v>
      </c>
      <c r="G1842" s="8">
        <v>2005</v>
      </c>
      <c r="H1842" s="8">
        <v>1986</v>
      </c>
      <c r="I1842" s="8">
        <v>2003</v>
      </c>
      <c r="J1842" s="8">
        <v>2063</v>
      </c>
      <c r="K1842" s="8">
        <v>1993</v>
      </c>
      <c r="L1842" s="8">
        <v>2076</v>
      </c>
      <c r="M1842" s="8"/>
      <c r="N1842" s="8"/>
      <c r="O1842" s="8"/>
      <c r="P1842" s="8"/>
      <c r="Q1842" s="9">
        <f ca="1">IFERROR(__xludf.DUMMYFUNCTION("GOOGLEFINANCE(C1842,""changepct"")"),2.15)</f>
        <v>2.15</v>
      </c>
      <c r="R1842" s="8"/>
      <c r="S1842" s="8"/>
      <c r="T1842" s="8"/>
      <c r="U1842" s="8"/>
      <c r="V1842" s="8"/>
      <c r="W1842" s="8"/>
    </row>
    <row r="1843" spans="1:23" ht="14.4">
      <c r="A1843" s="3">
        <f>LOOKUP(D1843,'AMFI DATA_2023H1'!B:C,'AMFI DATA_2023H1'!C:C)</f>
        <v>1625</v>
      </c>
      <c r="B1843" s="4" t="s">
        <v>4193</v>
      </c>
      <c r="C1843" s="4" t="s">
        <v>4194</v>
      </c>
      <c r="D1843" s="5" t="s">
        <v>4195</v>
      </c>
      <c r="E1843" s="5">
        <f>LOOKUP(D1843,'AMFI DATA_2023H1'!B:D,'AMFI DATA_2023H1'!D:D)</f>
        <v>271.64999999999998</v>
      </c>
      <c r="F1843" s="7">
        <f t="shared" si="7"/>
        <v>1.4111908706055587</v>
      </c>
      <c r="G1843" s="9">
        <v>655</v>
      </c>
      <c r="H1843" s="9">
        <v>652</v>
      </c>
      <c r="I1843" s="9">
        <v>658</v>
      </c>
      <c r="J1843" s="9">
        <v>655</v>
      </c>
      <c r="K1843" s="9">
        <v>662</v>
      </c>
      <c r="L1843" s="9">
        <v>685</v>
      </c>
      <c r="M1843" s="9"/>
      <c r="N1843" s="9"/>
      <c r="O1843" s="9"/>
      <c r="P1843" s="9"/>
      <c r="Q1843" s="9">
        <f ca="1">IFERROR(__xludf.DUMMYFUNCTION("GOOGLEFINANCE(C1843,""changepct"")"),3.76)</f>
        <v>3.76</v>
      </c>
      <c r="R1843" s="9"/>
      <c r="S1843" s="9"/>
      <c r="T1843" s="9"/>
      <c r="U1843" s="9"/>
      <c r="V1843" s="9"/>
      <c r="W1843" s="9"/>
    </row>
    <row r="1844" spans="1:23" ht="14.4">
      <c r="A1844" s="3">
        <f>LOOKUP(D1844,'AMFI DATA_2023H1'!B:C,'AMFI DATA_2023H1'!C:C)</f>
        <v>597</v>
      </c>
      <c r="B1844" s="4" t="s">
        <v>1581</v>
      </c>
      <c r="C1844" s="4" t="s">
        <v>1582</v>
      </c>
      <c r="D1844" s="5" t="s">
        <v>1583</v>
      </c>
      <c r="E1844" s="5">
        <f>LOOKUP(D1844,'AMFI DATA_2023H1'!B:D,'AMFI DATA_2023H1'!D:D)</f>
        <v>3740.32</v>
      </c>
      <c r="F1844" s="7">
        <f t="shared" si="7"/>
        <v>0.94903109894340587</v>
      </c>
      <c r="G1844" s="8">
        <v>7290</v>
      </c>
      <c r="H1844" s="8">
        <v>7283</v>
      </c>
      <c r="I1844" s="8">
        <v>7265</v>
      </c>
      <c r="J1844" s="8">
        <v>7267</v>
      </c>
      <c r="K1844" s="8">
        <v>7231</v>
      </c>
      <c r="L1844" s="8">
        <v>7283</v>
      </c>
      <c r="M1844" s="8"/>
      <c r="N1844" s="8"/>
      <c r="O1844" s="8"/>
      <c r="P1844" s="8"/>
      <c r="Q1844" s="9">
        <f ca="1">IFERROR(__xludf.DUMMYFUNCTION("GOOGLEFINANCE(C1844,""changepct"")"),-0.25)</f>
        <v>-0.25</v>
      </c>
      <c r="R1844" s="8"/>
      <c r="S1844" s="8"/>
      <c r="T1844" s="8"/>
      <c r="U1844" s="8"/>
      <c r="V1844" s="8"/>
      <c r="W1844" s="8"/>
    </row>
    <row r="1845" spans="1:23" ht="14.4">
      <c r="A1845" s="3">
        <f>LOOKUP(D1845,'AMFI DATA_2023H1'!B:C,'AMFI DATA_2023H1'!C:C)</f>
        <v>1835</v>
      </c>
      <c r="B1845" s="4" t="s">
        <v>4583</v>
      </c>
      <c r="C1845" s="4" t="s">
        <v>4584</v>
      </c>
      <c r="D1845" s="5" t="s">
        <v>4585</v>
      </c>
      <c r="E1845" s="5">
        <f>LOOKUP(D1845,'AMFI DATA_2023H1'!B:D,'AMFI DATA_2023H1'!D:D)</f>
        <v>184.83</v>
      </c>
      <c r="F1845" s="7">
        <f t="shared" si="7"/>
        <v>0.19569333982578585</v>
      </c>
      <c r="G1845" s="9">
        <v>221</v>
      </c>
      <c r="H1845" s="9">
        <v>220</v>
      </c>
      <c r="I1845" s="9">
        <v>222</v>
      </c>
      <c r="J1845" s="9">
        <v>223</v>
      </c>
      <c r="K1845" s="9">
        <v>222</v>
      </c>
      <c r="L1845" s="9">
        <v>223</v>
      </c>
      <c r="M1845" s="9"/>
      <c r="N1845" s="9"/>
      <c r="O1845" s="9"/>
      <c r="P1845" s="9"/>
      <c r="Q1845" s="9">
        <f ca="1">IFERROR(__xludf.DUMMYFUNCTION("GOOGLEFINANCE(C1845,""changepct"")"),4.2)</f>
        <v>4.2</v>
      </c>
      <c r="R1845" s="9"/>
      <c r="S1845" s="9"/>
      <c r="T1845" s="9"/>
      <c r="U1845" s="9"/>
      <c r="V1845" s="9"/>
      <c r="W1845" s="9"/>
    </row>
    <row r="1846" spans="1:23" ht="14.4">
      <c r="A1846" s="3">
        <f>LOOKUP(D1846,'AMFI DATA_2023H1'!B:C,'AMFI DATA_2023H1'!C:C)</f>
        <v>325</v>
      </c>
      <c r="B1846" s="4" t="s">
        <v>1032</v>
      </c>
      <c r="C1846" s="4" t="s">
        <v>1033</v>
      </c>
      <c r="D1846" s="5" t="s">
        <v>1034</v>
      </c>
      <c r="E1846" s="5">
        <f>LOOKUP(D1846,'AMFI DATA_2023H1'!B:D,'AMFI DATA_2023H1'!D:D)</f>
        <v>10901.71</v>
      </c>
      <c r="F1846" s="7">
        <f t="shared" si="7"/>
        <v>0.15945113197837779</v>
      </c>
      <c r="G1846" s="8">
        <v>12640</v>
      </c>
      <c r="H1846" s="8">
        <v>12663</v>
      </c>
      <c r="I1846" s="8">
        <v>12325</v>
      </c>
      <c r="J1846" s="8">
        <v>12535</v>
      </c>
      <c r="K1846" s="8">
        <v>12571</v>
      </c>
      <c r="L1846" s="8">
        <v>12715</v>
      </c>
      <c r="M1846" s="8"/>
      <c r="N1846" s="8"/>
      <c r="O1846" s="8"/>
      <c r="P1846" s="8"/>
      <c r="Q1846" s="9">
        <f ca="1">IFERROR(__xludf.DUMMYFUNCTION("GOOGLEFINANCE(C1846,""changepct"")"),0.34)</f>
        <v>0.34</v>
      </c>
      <c r="R1846" s="8"/>
      <c r="S1846" s="8"/>
      <c r="T1846" s="8"/>
      <c r="U1846" s="8"/>
      <c r="V1846" s="8"/>
      <c r="W1846" s="8"/>
    </row>
    <row r="1847" spans="1:23" ht="14.4">
      <c r="A1847" s="3">
        <f>LOOKUP(D1847,'AMFI DATA_2023H1'!B:C,'AMFI DATA_2023H1'!C:C)</f>
        <v>829</v>
      </c>
      <c r="B1847" s="4" t="s">
        <v>2660</v>
      </c>
      <c r="C1847" s="4" t="s">
        <v>2661</v>
      </c>
      <c r="D1847" s="5" t="s">
        <v>2662</v>
      </c>
      <c r="E1847" s="5">
        <f>LOOKUP(D1847,'AMFI DATA_2023H1'!B:D,'AMFI DATA_2023H1'!D:D)</f>
        <v>1778.87</v>
      </c>
      <c r="F1847" s="7">
        <f t="shared" si="7"/>
        <v>0.16028714858308923</v>
      </c>
      <c r="G1847" s="8">
        <v>2064</v>
      </c>
      <c r="H1847" s="8">
        <v>2085</v>
      </c>
      <c r="I1847" s="8">
        <v>2066</v>
      </c>
      <c r="J1847" s="8">
        <v>2063</v>
      </c>
      <c r="K1847" s="8">
        <v>2076</v>
      </c>
      <c r="L1847" s="8">
        <v>2049</v>
      </c>
      <c r="M1847" s="8"/>
      <c r="N1847" s="8"/>
      <c r="O1847" s="8"/>
      <c r="P1847" s="8"/>
      <c r="Q1847" s="9">
        <f ca="1">IFERROR(__xludf.DUMMYFUNCTION("GOOGLEFINANCE(C1847,""changepct"")"),0.58)</f>
        <v>0.57999999999999996</v>
      </c>
      <c r="R1847" s="8"/>
      <c r="S1847" s="8"/>
      <c r="T1847" s="8"/>
      <c r="U1847" s="8"/>
      <c r="V1847" s="8"/>
      <c r="W1847" s="8"/>
    </row>
    <row r="1848" spans="1:23" ht="14.4">
      <c r="A1848" s="3">
        <f>LOOKUP(D1848,'AMFI DATA_2023H1'!B:C,'AMFI DATA_2023H1'!C:C)</f>
        <v>568</v>
      </c>
      <c r="B1848" s="4" t="s">
        <v>1758</v>
      </c>
      <c r="C1848" s="4" t="s">
        <v>1759</v>
      </c>
      <c r="D1848" s="5" t="s">
        <v>1760</v>
      </c>
      <c r="E1848" s="5">
        <f>LOOKUP(D1848,'AMFI DATA_2023H1'!B:D,'AMFI DATA_2023H1'!D:D)</f>
        <v>4076.04</v>
      </c>
      <c r="F1848" s="7">
        <f t="shared" si="7"/>
        <v>0.69527286287671375</v>
      </c>
      <c r="G1848" s="8">
        <v>6910</v>
      </c>
      <c r="H1848" s="8">
        <v>6861</v>
      </c>
      <c r="I1848" s="8">
        <v>6716</v>
      </c>
      <c r="J1848" s="8">
        <v>6602</v>
      </c>
      <c r="K1848" s="8">
        <v>6459</v>
      </c>
      <c r="L1848" s="8">
        <v>6554</v>
      </c>
      <c r="M1848" s="8"/>
      <c r="N1848" s="8"/>
      <c r="O1848" s="8"/>
      <c r="P1848" s="8"/>
      <c r="Q1848" s="9">
        <f ca="1">IFERROR(__xludf.DUMMYFUNCTION("GOOGLEFINANCE(C1848,""changepct"")"),-2.18)</f>
        <v>-2.1800000000000002</v>
      </c>
      <c r="R1848" s="8"/>
      <c r="S1848" s="8"/>
      <c r="T1848" s="8"/>
      <c r="U1848" s="8"/>
      <c r="V1848" s="8"/>
      <c r="W1848" s="8"/>
    </row>
    <row r="1849" spans="1:23" ht="14.4">
      <c r="A1849" s="3">
        <f>LOOKUP(D1849,'AMFI DATA_2023H1'!B:C,'AMFI DATA_2023H1'!C:C)</f>
        <v>3290</v>
      </c>
      <c r="B1849" s="4" t="s">
        <v>5713</v>
      </c>
      <c r="C1849" s="4" t="s">
        <v>5714</v>
      </c>
      <c r="D1849" s="5" t="s">
        <v>5715</v>
      </c>
      <c r="E1849" s="5">
        <f>LOOKUP(D1849,'AMFI DATA_2023H1'!B:D,'AMFI DATA_2023H1'!D:D)</f>
        <v>19.93</v>
      </c>
      <c r="F1849" s="7">
        <f t="shared" si="7"/>
        <v>-0.18715504264927252</v>
      </c>
      <c r="G1849" s="9">
        <v>16.2</v>
      </c>
      <c r="H1849" s="9">
        <v>15.8</v>
      </c>
      <c r="I1849" s="9">
        <v>15.9</v>
      </c>
      <c r="J1849" s="9">
        <v>16.100000000000001</v>
      </c>
      <c r="K1849" s="9">
        <v>16.100000000000001</v>
      </c>
      <c r="L1849" s="9">
        <v>16.5</v>
      </c>
      <c r="M1849" s="9"/>
      <c r="N1849" s="9"/>
      <c r="O1849" s="9"/>
      <c r="P1849" s="9"/>
      <c r="Q1849" s="9">
        <f ca="1">IFERROR(__xludf.DUMMYFUNCTION("GOOGLEFINANCE(C1849,""changepct"")"),0)</f>
        <v>0</v>
      </c>
      <c r="R1849" s="9"/>
      <c r="S1849" s="9"/>
      <c r="T1849" s="9"/>
      <c r="U1849" s="9"/>
      <c r="V1849" s="9"/>
      <c r="W1849" s="9"/>
    </row>
    <row r="1850" spans="1:23" ht="14.4">
      <c r="A1850" s="3">
        <f>LOOKUP(D1850,'AMFI DATA_2023H1'!B:C,'AMFI DATA_2023H1'!C:C)</f>
        <v>1597</v>
      </c>
      <c r="B1850" s="4" t="s">
        <v>4145</v>
      </c>
      <c r="C1850" s="4" t="s">
        <v>4146</v>
      </c>
      <c r="D1850" s="5" t="s">
        <v>4147</v>
      </c>
      <c r="E1850" s="5">
        <f>LOOKUP(D1850,'AMFI DATA_2023H1'!B:D,'AMFI DATA_2023H1'!D:D)</f>
        <v>289.75</v>
      </c>
      <c r="F1850" s="7">
        <f t="shared" si="7"/>
        <v>0.71527178602243313</v>
      </c>
      <c r="G1850" s="9">
        <v>497</v>
      </c>
      <c r="H1850" s="9">
        <v>497</v>
      </c>
      <c r="I1850" s="9">
        <v>510</v>
      </c>
      <c r="J1850" s="9">
        <v>508</v>
      </c>
      <c r="K1850" s="9">
        <v>516</v>
      </c>
      <c r="L1850" s="9">
        <v>535</v>
      </c>
      <c r="M1850" s="9"/>
      <c r="N1850" s="9"/>
      <c r="O1850" s="9"/>
      <c r="P1850" s="9"/>
      <c r="Q1850" s="9">
        <f ca="1">IFERROR(__xludf.DUMMYFUNCTION("GOOGLEFINANCE(C1850,""changepct"")"),0)</f>
        <v>0</v>
      </c>
      <c r="R1850" s="9"/>
      <c r="S1850" s="9"/>
      <c r="T1850" s="9"/>
      <c r="U1850" s="9"/>
      <c r="V1850" s="9"/>
      <c r="W1850" s="9"/>
    </row>
    <row r="1851" spans="1:23" ht="14.4">
      <c r="A1851" s="3">
        <f>LOOKUP(D1851,'AMFI DATA_2023H1'!B:C,'AMFI DATA_2023H1'!C:C)</f>
        <v>1305</v>
      </c>
      <c r="B1851" s="4" t="s">
        <v>3743</v>
      </c>
      <c r="C1851" s="4" t="s">
        <v>3744</v>
      </c>
      <c r="D1851" s="5" t="s">
        <v>3745</v>
      </c>
      <c r="E1851" s="5">
        <f>LOOKUP(D1851,'AMFI DATA_2023H1'!B:D,'AMFI DATA_2023H1'!D:D)</f>
        <v>516.4</v>
      </c>
      <c r="F1851" s="7">
        <f t="shared" si="7"/>
        <v>0.38071262587141752</v>
      </c>
      <c r="G1851" s="9">
        <v>713</v>
      </c>
      <c r="H1851" s="9">
        <v>713</v>
      </c>
      <c r="I1851" s="9">
        <v>713</v>
      </c>
      <c r="J1851" s="9">
        <v>711</v>
      </c>
      <c r="K1851" s="9">
        <v>713</v>
      </c>
      <c r="L1851" s="9">
        <v>718</v>
      </c>
      <c r="M1851" s="9"/>
      <c r="N1851" s="9"/>
      <c r="O1851" s="9"/>
      <c r="P1851" s="9"/>
      <c r="Q1851" s="9">
        <f ca="1">IFERROR(__xludf.DUMMYFUNCTION("GOOGLEFINANCE(C1851,""changepct"")"),2.27)</f>
        <v>2.27</v>
      </c>
      <c r="R1851" s="9"/>
      <c r="S1851" s="9"/>
      <c r="T1851" s="9"/>
      <c r="U1851" s="9"/>
      <c r="V1851" s="9"/>
      <c r="W1851" s="9"/>
    </row>
    <row r="1852" spans="1:23" ht="14.4">
      <c r="A1852" s="3">
        <f>LOOKUP(D1852,'AMFI DATA_2023H1'!B:C,'AMFI DATA_2023H1'!C:C)</f>
        <v>1137</v>
      </c>
      <c r="B1852" s="4" t="s">
        <v>3326</v>
      </c>
      <c r="C1852" s="4" t="s">
        <v>3327</v>
      </c>
      <c r="D1852" s="5" t="s">
        <v>3328</v>
      </c>
      <c r="E1852" s="5">
        <f>LOOKUP(D1852,'AMFI DATA_2023H1'!B:D,'AMFI DATA_2023H1'!D:D)</f>
        <v>815.99</v>
      </c>
      <c r="F1852" s="7">
        <f t="shared" si="7"/>
        <v>0.10050368264316956</v>
      </c>
      <c r="G1852" s="9">
        <v>898</v>
      </c>
      <c r="H1852" s="9">
        <v>894</v>
      </c>
      <c r="I1852" s="9">
        <v>907</v>
      </c>
      <c r="J1852" s="9">
        <v>900</v>
      </c>
      <c r="K1852" s="9">
        <v>899</v>
      </c>
      <c r="L1852" s="9">
        <v>885</v>
      </c>
      <c r="M1852" s="9"/>
      <c r="N1852" s="9"/>
      <c r="O1852" s="9"/>
      <c r="P1852" s="9"/>
      <c r="Q1852" s="9">
        <f ca="1">IFERROR(__xludf.DUMMYFUNCTION("GOOGLEFINANCE(C1852,""changepct"")"),2.91)</f>
        <v>2.91</v>
      </c>
      <c r="R1852" s="9"/>
      <c r="S1852" s="9"/>
      <c r="T1852" s="9"/>
      <c r="U1852" s="9"/>
      <c r="V1852" s="9"/>
      <c r="W1852" s="9"/>
    </row>
    <row r="1853" spans="1:23" ht="14.4">
      <c r="A1853" s="3">
        <f>LOOKUP(D1853,'AMFI DATA_2023H1'!B:C,'AMFI DATA_2023H1'!C:C)</f>
        <v>232</v>
      </c>
      <c r="B1853" s="4" t="s">
        <v>858</v>
      </c>
      <c r="C1853" s="4" t="s">
        <v>859</v>
      </c>
      <c r="D1853" s="5" t="s">
        <v>860</v>
      </c>
      <c r="E1853" s="5">
        <f>LOOKUP(D1853,'AMFI DATA_2023H1'!B:D,'AMFI DATA_2023H1'!D:D)</f>
        <v>19367.240000000002</v>
      </c>
      <c r="F1853" s="7">
        <f t="shared" si="7"/>
        <v>-7.1266737026029592E-2</v>
      </c>
      <c r="G1853" s="8">
        <v>17987</v>
      </c>
      <c r="H1853" s="8">
        <v>17833</v>
      </c>
      <c r="I1853" s="8">
        <v>18013</v>
      </c>
      <c r="J1853" s="8">
        <v>18074</v>
      </c>
      <c r="K1853" s="8">
        <v>17823</v>
      </c>
      <c r="L1853" s="8">
        <v>17623</v>
      </c>
      <c r="M1853" s="8"/>
      <c r="N1853" s="8"/>
      <c r="O1853" s="8"/>
      <c r="P1853" s="8"/>
      <c r="Q1853" s="9">
        <f ca="1">IFERROR(__xludf.DUMMYFUNCTION("GOOGLEFINANCE(C1853,""changepct"")"),-0.62)</f>
        <v>-0.62</v>
      </c>
      <c r="R1853" s="8"/>
      <c r="S1853" s="8"/>
      <c r="T1853" s="8"/>
      <c r="U1853" s="8"/>
      <c r="V1853" s="8"/>
      <c r="W1853" s="8"/>
    </row>
    <row r="1854" spans="1:23" ht="14.4">
      <c r="A1854" s="3">
        <f>LOOKUP(D1854,'AMFI DATA_2023H1'!B:C,'AMFI DATA_2023H1'!C:C)</f>
        <v>768</v>
      </c>
      <c r="B1854" s="4" t="s">
        <v>2420</v>
      </c>
      <c r="C1854" s="4" t="s">
        <v>2421</v>
      </c>
      <c r="D1854" s="5" t="s">
        <v>2422</v>
      </c>
      <c r="E1854" s="5">
        <f>LOOKUP(D1854,'AMFI DATA_2023H1'!B:D,'AMFI DATA_2023H1'!D:D)</f>
        <v>2089.1799999999998</v>
      </c>
      <c r="F1854" s="7">
        <f t="shared" si="7"/>
        <v>0.26796159258656527</v>
      </c>
      <c r="G1854" s="8">
        <v>2649</v>
      </c>
      <c r="H1854" s="8">
        <v>2619</v>
      </c>
      <c r="I1854" s="8">
        <v>2592</v>
      </c>
      <c r="J1854" s="8">
        <v>2612</v>
      </c>
      <c r="K1854" s="8">
        <v>2640</v>
      </c>
      <c r="L1854" s="8">
        <v>2640</v>
      </c>
      <c r="M1854" s="8"/>
      <c r="N1854" s="8"/>
      <c r="O1854" s="8"/>
      <c r="P1854" s="8"/>
      <c r="Q1854" s="9">
        <f ca="1">IFERROR(__xludf.DUMMYFUNCTION("GOOGLEFINANCE(C1854,""changepct"")"),0.15)</f>
        <v>0.15</v>
      </c>
      <c r="R1854" s="8"/>
      <c r="S1854" s="8"/>
      <c r="T1854" s="8"/>
      <c r="U1854" s="8"/>
      <c r="V1854" s="8"/>
      <c r="W1854" s="8"/>
    </row>
    <row r="1855" spans="1:23" ht="14.4">
      <c r="A1855" s="3">
        <f>LOOKUP(D1855,'AMFI DATA_2023H1'!B:C,'AMFI DATA_2023H1'!C:C)</f>
        <v>2695</v>
      </c>
      <c r="B1855" s="4" t="s">
        <v>5458</v>
      </c>
      <c r="C1855" s="4" t="s">
        <v>5459</v>
      </c>
      <c r="D1855" s="5" t="s">
        <v>5460</v>
      </c>
      <c r="E1855" s="5">
        <f>LOOKUP(D1855,'AMFI DATA_2023H1'!B:D,'AMFI DATA_2023H1'!D:D)</f>
        <v>46.52</v>
      </c>
      <c r="F1855" s="7">
        <f t="shared" si="7"/>
        <v>0.61650902837489241</v>
      </c>
      <c r="G1855" s="9">
        <v>75.2</v>
      </c>
      <c r="H1855" s="9">
        <v>75</v>
      </c>
      <c r="I1855" s="9">
        <v>67.400000000000006</v>
      </c>
      <c r="J1855" s="9">
        <v>64.2</v>
      </c>
      <c r="K1855" s="9">
        <v>64.8</v>
      </c>
      <c r="L1855" s="9">
        <v>62</v>
      </c>
      <c r="M1855" s="9"/>
      <c r="N1855" s="9"/>
      <c r="O1855" s="9"/>
      <c r="P1855" s="9"/>
      <c r="Q1855" s="9">
        <f ca="1">IFERROR(__xludf.DUMMYFUNCTION("GOOGLEFINANCE(C1855,""changepct"")"),1.15)</f>
        <v>1.1499999999999999</v>
      </c>
      <c r="R1855" s="9"/>
      <c r="S1855" s="9"/>
      <c r="T1855" s="9"/>
      <c r="U1855" s="9"/>
      <c r="V1855" s="9"/>
      <c r="W1855" s="9"/>
    </row>
    <row r="1856" spans="1:23" ht="14.4">
      <c r="A1856" s="3">
        <f>LOOKUP(D1856,'AMFI DATA_2023H1'!B:C,'AMFI DATA_2023H1'!C:C)</f>
        <v>1778</v>
      </c>
      <c r="B1856" s="4" t="s">
        <v>5290</v>
      </c>
      <c r="C1856" s="4" t="s">
        <v>5291</v>
      </c>
      <c r="D1856" s="5" t="s">
        <v>5292</v>
      </c>
      <c r="E1856" s="5">
        <f>LOOKUP(D1856,'AMFI DATA_2023H1'!B:D,'AMFI DATA_2023H1'!D:D)</f>
        <v>202.83</v>
      </c>
      <c r="F1856" s="7">
        <f t="shared" si="7"/>
        <v>-0.55529260957452053</v>
      </c>
      <c r="G1856" s="9">
        <v>90.2</v>
      </c>
      <c r="H1856" s="9">
        <v>88.4</v>
      </c>
      <c r="I1856" s="9">
        <v>88.9</v>
      </c>
      <c r="J1856" s="9">
        <v>90.5</v>
      </c>
      <c r="K1856" s="9">
        <v>91.4</v>
      </c>
      <c r="L1856" s="9">
        <v>89.6</v>
      </c>
      <c r="M1856" s="9"/>
      <c r="N1856" s="9"/>
      <c r="O1856" s="9"/>
      <c r="P1856" s="9"/>
      <c r="Q1856" s="9">
        <f ca="1">IFERROR(__xludf.DUMMYFUNCTION("GOOGLEFINANCE(C1856,""changepct"")"),-2.44)</f>
        <v>-2.44</v>
      </c>
      <c r="R1856" s="9"/>
      <c r="S1856" s="9"/>
      <c r="T1856" s="9"/>
      <c r="U1856" s="9"/>
      <c r="V1856" s="9"/>
      <c r="W1856" s="9"/>
    </row>
    <row r="1857" spans="1:23" ht="14.4">
      <c r="A1857" s="3">
        <f>LOOKUP(D1857,'AMFI DATA_2023H1'!B:C,'AMFI DATA_2023H1'!C:C)</f>
        <v>1143</v>
      </c>
      <c r="B1857" s="4" t="s">
        <v>3533</v>
      </c>
      <c r="C1857" s="4" t="s">
        <v>3534</v>
      </c>
      <c r="D1857" s="5" t="s">
        <v>3535</v>
      </c>
      <c r="E1857" s="5">
        <f>LOOKUP(D1857,'AMFI DATA_2023H1'!B:D,'AMFI DATA_2023H1'!D:D)</f>
        <v>801.68</v>
      </c>
      <c r="F1857" s="7">
        <f t="shared" si="7"/>
        <v>4.0315337790639783E-2</v>
      </c>
      <c r="G1857" s="9">
        <v>834</v>
      </c>
      <c r="H1857" s="9">
        <v>834</v>
      </c>
      <c r="I1857" s="9">
        <v>834</v>
      </c>
      <c r="J1857" s="9">
        <v>842</v>
      </c>
      <c r="K1857" s="9">
        <v>844</v>
      </c>
      <c r="L1857" s="9">
        <v>849</v>
      </c>
      <c r="M1857" s="9"/>
      <c r="N1857" s="9"/>
      <c r="O1857" s="9"/>
      <c r="P1857" s="9"/>
      <c r="Q1857" s="9">
        <f ca="1">IFERROR(__xludf.DUMMYFUNCTION("GOOGLEFINANCE(C1857,""changepct"")"),1.47)</f>
        <v>1.47</v>
      </c>
      <c r="R1857" s="9"/>
      <c r="S1857" s="9"/>
      <c r="T1857" s="9"/>
      <c r="U1857" s="9"/>
      <c r="V1857" s="9"/>
      <c r="W1857" s="9"/>
    </row>
    <row r="1858" spans="1:23" ht="14.4">
      <c r="A1858" s="3">
        <f>LOOKUP(D1858,'AMFI DATA_2023H1'!B:C,'AMFI DATA_2023H1'!C:C)</f>
        <v>1466</v>
      </c>
      <c r="B1858" s="4" t="s">
        <v>4190</v>
      </c>
      <c r="C1858" s="4" t="s">
        <v>4191</v>
      </c>
      <c r="D1858" s="5" t="s">
        <v>4192</v>
      </c>
      <c r="E1858" s="5">
        <f>LOOKUP(D1858,'AMFI DATA_2023H1'!B:D,'AMFI DATA_2023H1'!D:D)</f>
        <v>370.19</v>
      </c>
      <c r="F1858" s="7">
        <f t="shared" si="7"/>
        <v>5.8915691941975767E-2</v>
      </c>
      <c r="G1858" s="9">
        <v>392</v>
      </c>
      <c r="H1858" s="9">
        <v>381</v>
      </c>
      <c r="I1858" s="9">
        <v>386</v>
      </c>
      <c r="J1858" s="9">
        <v>380</v>
      </c>
      <c r="K1858" s="9">
        <v>382</v>
      </c>
      <c r="L1858" s="9">
        <v>384</v>
      </c>
      <c r="M1858" s="9"/>
      <c r="N1858" s="9"/>
      <c r="O1858" s="9"/>
      <c r="P1858" s="9"/>
      <c r="Q1858" s="9">
        <f ca="1">IFERROR(__xludf.DUMMYFUNCTION("GOOGLEFINANCE(C1858,""changepct"")"),1.28)</f>
        <v>1.28</v>
      </c>
      <c r="R1858" s="9"/>
      <c r="S1858" s="9"/>
      <c r="T1858" s="9"/>
      <c r="U1858" s="9"/>
      <c r="V1858" s="9"/>
      <c r="W1858" s="9"/>
    </row>
    <row r="1859" spans="1:23" ht="14.4">
      <c r="A1859" s="3">
        <f>LOOKUP(D1859,'AMFI DATA_2023H1'!B:C,'AMFI DATA_2023H1'!C:C)</f>
        <v>368</v>
      </c>
      <c r="B1859" s="4" t="s">
        <v>1320</v>
      </c>
      <c r="C1859" s="4" t="s">
        <v>1321</v>
      </c>
      <c r="D1859" s="5" t="s">
        <v>1322</v>
      </c>
      <c r="E1859" s="5">
        <f>LOOKUP(D1859,'AMFI DATA_2023H1'!B:D,'AMFI DATA_2023H1'!D:D)</f>
        <v>8941.1200000000008</v>
      </c>
      <c r="F1859" s="7">
        <f t="shared" si="7"/>
        <v>-3.0210980279875566E-2</v>
      </c>
      <c r="G1859" s="8">
        <v>8671</v>
      </c>
      <c r="H1859" s="8">
        <v>8478</v>
      </c>
      <c r="I1859" s="8">
        <v>8479</v>
      </c>
      <c r="J1859" s="8">
        <v>8559</v>
      </c>
      <c r="K1859" s="8">
        <v>8652</v>
      </c>
      <c r="L1859" s="8">
        <v>8627</v>
      </c>
      <c r="M1859" s="8"/>
      <c r="N1859" s="8"/>
      <c r="O1859" s="8"/>
      <c r="P1859" s="8"/>
      <c r="Q1859" s="9">
        <f ca="1">IFERROR(__xludf.DUMMYFUNCTION("GOOGLEFINANCE(C1859,""changepct"")"),1.02)</f>
        <v>1.02</v>
      </c>
      <c r="R1859" s="8"/>
      <c r="S1859" s="8"/>
      <c r="T1859" s="8"/>
      <c r="U1859" s="8"/>
      <c r="V1859" s="8"/>
      <c r="W1859" s="8"/>
    </row>
    <row r="1860" spans="1:23" ht="14.4">
      <c r="A1860" s="3">
        <f>LOOKUP(D1860,'AMFI DATA_2023H1'!B:C,'AMFI DATA_2023H1'!C:C)</f>
        <v>1853</v>
      </c>
      <c r="B1860" s="4" t="s">
        <v>4697</v>
      </c>
      <c r="C1860" s="4" t="s">
        <v>4698</v>
      </c>
      <c r="D1860" s="5" t="s">
        <v>4699</v>
      </c>
      <c r="E1860" s="5">
        <f>LOOKUP(D1860,'AMFI DATA_2023H1'!B:D,'AMFI DATA_2023H1'!D:D)</f>
        <v>178.34</v>
      </c>
      <c r="F1860" s="7">
        <f t="shared" si="7"/>
        <v>0.18313334080968935</v>
      </c>
      <c r="G1860" s="9">
        <v>211</v>
      </c>
      <c r="H1860" s="9">
        <v>209</v>
      </c>
      <c r="I1860" s="9">
        <v>209</v>
      </c>
      <c r="J1860" s="9">
        <v>212</v>
      </c>
      <c r="K1860" s="9">
        <v>220</v>
      </c>
      <c r="L1860" s="9">
        <v>211</v>
      </c>
      <c r="M1860" s="9"/>
      <c r="N1860" s="9"/>
      <c r="O1860" s="9"/>
      <c r="P1860" s="9"/>
      <c r="Q1860" s="9">
        <f ca="1">IFERROR(__xludf.DUMMYFUNCTION("GOOGLEFINANCE(C1860,""changepct"")"),-3.37)</f>
        <v>-3.37</v>
      </c>
      <c r="R1860" s="9"/>
      <c r="S1860" s="9"/>
      <c r="T1860" s="9"/>
      <c r="U1860" s="9"/>
      <c r="V1860" s="9"/>
      <c r="W1860" s="9"/>
    </row>
    <row r="1861" spans="1:23" ht="14.4">
      <c r="A1861" s="3">
        <f>LOOKUP(D1861,'AMFI DATA_2023H1'!B:C,'AMFI DATA_2023H1'!C:C)</f>
        <v>1556</v>
      </c>
      <c r="B1861" s="4" t="s">
        <v>4397</v>
      </c>
      <c r="C1861" s="4" t="s">
        <v>4398</v>
      </c>
      <c r="D1861" s="5" t="s">
        <v>4399</v>
      </c>
      <c r="E1861" s="5">
        <f>LOOKUP(D1861,'AMFI DATA_2023H1'!B:D,'AMFI DATA_2023H1'!D:D)</f>
        <v>310.73</v>
      </c>
      <c r="F1861" s="7">
        <f t="shared" si="7"/>
        <v>-4.4186271039165836E-2</v>
      </c>
      <c r="G1861" s="9">
        <v>297</v>
      </c>
      <c r="H1861" s="9">
        <v>295</v>
      </c>
      <c r="I1861" s="9">
        <v>299</v>
      </c>
      <c r="J1861" s="9">
        <v>301</v>
      </c>
      <c r="K1861" s="9">
        <v>306</v>
      </c>
      <c r="L1861" s="9">
        <v>316</v>
      </c>
      <c r="M1861" s="9"/>
      <c r="N1861" s="9"/>
      <c r="O1861" s="9"/>
      <c r="P1861" s="9"/>
      <c r="Q1861" s="9">
        <f ca="1">IFERROR(__xludf.DUMMYFUNCTION("GOOGLEFINANCE(C1861,""changepct"")"),1.44)</f>
        <v>1.44</v>
      </c>
      <c r="R1861" s="9"/>
      <c r="S1861" s="9"/>
      <c r="T1861" s="9"/>
      <c r="U1861" s="9"/>
      <c r="V1861" s="9"/>
      <c r="W1861" s="9"/>
    </row>
    <row r="1862" spans="1:23" ht="14.4">
      <c r="A1862" s="3">
        <f>LOOKUP(D1862,'AMFI DATA_2023H1'!B:C,'AMFI DATA_2023H1'!C:C)</f>
        <v>3052</v>
      </c>
      <c r="B1862" s="4" t="s">
        <v>5617</v>
      </c>
      <c r="C1862" s="4" t="s">
        <v>5618</v>
      </c>
      <c r="D1862" s="5" t="s">
        <v>5619</v>
      </c>
      <c r="E1862" s="5">
        <f>LOOKUP(D1862,'AMFI DATA_2023H1'!B:D,'AMFI DATA_2023H1'!D:D)</f>
        <v>28.23</v>
      </c>
      <c r="F1862" s="7">
        <f t="shared" si="7"/>
        <v>0.15125752745306409</v>
      </c>
      <c r="G1862" s="9">
        <v>32.5</v>
      </c>
      <c r="H1862" s="9">
        <v>32.5</v>
      </c>
      <c r="I1862" s="9">
        <v>31.6</v>
      </c>
      <c r="J1862" s="9">
        <v>32.200000000000003</v>
      </c>
      <c r="K1862" s="9">
        <v>33.1</v>
      </c>
      <c r="L1862" s="9">
        <v>32.200000000000003</v>
      </c>
      <c r="M1862" s="9"/>
      <c r="N1862" s="9"/>
      <c r="O1862" s="9"/>
      <c r="P1862" s="9"/>
      <c r="Q1862" s="9">
        <f ca="1">IFERROR(__xludf.DUMMYFUNCTION("GOOGLEFINANCE(C1862,""changepct"")"),0)</f>
        <v>0</v>
      </c>
      <c r="R1862" s="9"/>
      <c r="S1862" s="9"/>
      <c r="T1862" s="9"/>
      <c r="U1862" s="9"/>
      <c r="V1862" s="9"/>
      <c r="W1862" s="9"/>
    </row>
    <row r="1863" spans="1:23" ht="14.4">
      <c r="A1863" s="3">
        <f>LOOKUP(D1863,'AMFI DATA_2023H1'!B:C,'AMFI DATA_2023H1'!C:C)</f>
        <v>1198</v>
      </c>
      <c r="B1863" s="4" t="s">
        <v>3635</v>
      </c>
      <c r="C1863" s="4" t="s">
        <v>3636</v>
      </c>
      <c r="D1863" s="5" t="s">
        <v>3637</v>
      </c>
      <c r="E1863" s="5">
        <f>LOOKUP(D1863,'AMFI DATA_2023H1'!B:D,'AMFI DATA_2023H1'!D:D)</f>
        <v>698</v>
      </c>
      <c r="F1863" s="7">
        <f t="shared" si="7"/>
        <v>9.5988538681948343E-2</v>
      </c>
      <c r="G1863" s="9">
        <v>765</v>
      </c>
      <c r="H1863" s="9">
        <v>748</v>
      </c>
      <c r="I1863" s="9">
        <v>748</v>
      </c>
      <c r="J1863" s="9">
        <v>745</v>
      </c>
      <c r="K1863" s="9">
        <v>738</v>
      </c>
      <c r="L1863" s="9">
        <v>733</v>
      </c>
      <c r="M1863" s="9"/>
      <c r="N1863" s="9"/>
      <c r="O1863" s="9"/>
      <c r="P1863" s="9"/>
      <c r="Q1863" s="9">
        <f ca="1">IFERROR(__xludf.DUMMYFUNCTION("GOOGLEFINANCE(C1863,""changepct"")"),-0.44)</f>
        <v>-0.44</v>
      </c>
      <c r="R1863" s="9"/>
      <c r="S1863" s="9"/>
      <c r="T1863" s="9"/>
      <c r="U1863" s="9"/>
      <c r="V1863" s="9"/>
      <c r="W1863" s="9"/>
    </row>
    <row r="1864" spans="1:23" ht="14.4">
      <c r="A1864" s="3">
        <f>LOOKUP(D1864,'AMFI DATA_2023H1'!B:C,'AMFI DATA_2023H1'!C:C)</f>
        <v>1859</v>
      </c>
      <c r="B1864" s="4" t="s">
        <v>4841</v>
      </c>
      <c r="C1864" s="4" t="s">
        <v>4842</v>
      </c>
      <c r="D1864" s="5" t="s">
        <v>4843</v>
      </c>
      <c r="E1864" s="5">
        <f>LOOKUP(D1864,'AMFI DATA_2023H1'!B:D,'AMFI DATA_2023H1'!D:D)</f>
        <v>176.92</v>
      </c>
      <c r="F1864" s="7">
        <f t="shared" si="7"/>
        <v>4.5670359484512923E-2</v>
      </c>
      <c r="G1864" s="9">
        <v>185</v>
      </c>
      <c r="H1864" s="9">
        <v>177</v>
      </c>
      <c r="I1864" s="9">
        <v>174</v>
      </c>
      <c r="J1864" s="9">
        <v>170</v>
      </c>
      <c r="K1864" s="9">
        <v>185</v>
      </c>
      <c r="L1864" s="9">
        <v>189</v>
      </c>
      <c r="M1864" s="9"/>
      <c r="N1864" s="9"/>
      <c r="O1864" s="9"/>
      <c r="P1864" s="9"/>
      <c r="Q1864" s="9">
        <f ca="1">IFERROR(__xludf.DUMMYFUNCTION("GOOGLEFINANCE(C1864,""changepct"")"),0)</f>
        <v>0</v>
      </c>
      <c r="R1864" s="9"/>
      <c r="S1864" s="9"/>
      <c r="T1864" s="9"/>
      <c r="U1864" s="9"/>
      <c r="V1864" s="9"/>
      <c r="W1864" s="9"/>
    </row>
    <row r="1865" spans="1:23" ht="14.4">
      <c r="A1865" s="3">
        <f>LOOKUP(D1865,'AMFI DATA_2023H1'!B:C,'AMFI DATA_2023H1'!C:C)</f>
        <v>1859</v>
      </c>
      <c r="B1865" s="4" t="s">
        <v>4844</v>
      </c>
      <c r="C1865" s="4" t="s">
        <v>4845</v>
      </c>
      <c r="D1865" s="5" t="s">
        <v>4846</v>
      </c>
      <c r="E1865" s="5">
        <f>LOOKUP(D1865,'AMFI DATA_2023H1'!B:D,'AMFI DATA_2023H1'!D:D)</f>
        <v>176.92</v>
      </c>
      <c r="F1865" s="7">
        <f t="shared" si="7"/>
        <v>1.419172507347954</v>
      </c>
      <c r="G1865" s="9">
        <v>428</v>
      </c>
      <c r="H1865" s="9">
        <v>438</v>
      </c>
      <c r="I1865" s="9">
        <v>438</v>
      </c>
      <c r="J1865" s="9">
        <v>447</v>
      </c>
      <c r="K1865" s="9">
        <v>450</v>
      </c>
      <c r="L1865" s="9">
        <v>442</v>
      </c>
      <c r="M1865" s="9"/>
      <c r="N1865" s="9"/>
      <c r="O1865" s="9"/>
      <c r="P1865" s="9"/>
      <c r="Q1865" s="9" t="str">
        <f ca="1">IFERROR(__xludf.DUMMYFUNCTION("GOOGLEFINANCE(C1865,""changepct"")"),"#N/A")</f>
        <v>#N/A</v>
      </c>
      <c r="R1865" s="9"/>
      <c r="S1865" s="9"/>
      <c r="T1865" s="9"/>
      <c r="U1865" s="9"/>
      <c r="V1865" s="9"/>
      <c r="W1865" s="9"/>
    </row>
    <row r="1866" spans="1:23" ht="14.4">
      <c r="A1866" s="3">
        <f>LOOKUP(D1866,'AMFI DATA_2023H1'!B:C,'AMFI DATA_2023H1'!C:C)</f>
        <v>830</v>
      </c>
      <c r="B1866" s="4" t="s">
        <v>2624</v>
      </c>
      <c r="C1866" s="4" t="s">
        <v>2625</v>
      </c>
      <c r="D1866" s="5" t="s">
        <v>2626</v>
      </c>
      <c r="E1866" s="5">
        <f>LOOKUP(D1866,'AMFI DATA_2023H1'!B:D,'AMFI DATA_2023H1'!D:D)</f>
        <v>1776.31</v>
      </c>
      <c r="F1866" s="7">
        <f t="shared" si="7"/>
        <v>0.28412270380733107</v>
      </c>
      <c r="G1866" s="8">
        <v>2281</v>
      </c>
      <c r="H1866" s="8">
        <v>2330</v>
      </c>
      <c r="I1866" s="8">
        <v>2346</v>
      </c>
      <c r="J1866" s="8">
        <v>2341</v>
      </c>
      <c r="K1866" s="8">
        <v>2310</v>
      </c>
      <c r="L1866" s="8">
        <v>2245</v>
      </c>
      <c r="M1866" s="8"/>
      <c r="N1866" s="8"/>
      <c r="O1866" s="8"/>
      <c r="P1866" s="8"/>
      <c r="Q1866" s="9">
        <f ca="1">IFERROR(__xludf.DUMMYFUNCTION("GOOGLEFINANCE(C1866,""changepct"")"),2.43)</f>
        <v>2.4300000000000002</v>
      </c>
      <c r="R1866" s="8"/>
      <c r="S1866" s="8"/>
      <c r="T1866" s="8"/>
      <c r="U1866" s="8"/>
      <c r="V1866" s="8"/>
      <c r="W1866" s="8"/>
    </row>
    <row r="1867" spans="1:23" ht="14.4">
      <c r="A1867" s="3">
        <f>LOOKUP(D1867,'AMFI DATA_2023H1'!B:C,'AMFI DATA_2023H1'!C:C)</f>
        <v>178</v>
      </c>
      <c r="B1867" s="4" t="s">
        <v>2504</v>
      </c>
      <c r="C1867" s="4" t="s">
        <v>2505</v>
      </c>
      <c r="D1867" s="5" t="s">
        <v>2506</v>
      </c>
      <c r="E1867" s="5">
        <f>LOOKUP(D1867,'AMFI DATA_2023H1'!B:D,'AMFI DATA_2023H1'!D:D)</f>
        <v>27277.58</v>
      </c>
      <c r="F1867" s="7">
        <f t="shared" si="7"/>
        <v>-0.90057769054292935</v>
      </c>
      <c r="G1867" s="8">
        <v>2712</v>
      </c>
      <c r="H1867" s="8">
        <v>2699</v>
      </c>
      <c r="I1867" s="8">
        <v>2768</v>
      </c>
      <c r="J1867" s="8">
        <v>2801</v>
      </c>
      <c r="K1867" s="8">
        <v>2707</v>
      </c>
      <c r="L1867" s="8">
        <v>2548</v>
      </c>
      <c r="M1867" s="8"/>
      <c r="N1867" s="8"/>
      <c r="O1867" s="8"/>
      <c r="P1867" s="8"/>
      <c r="Q1867" s="9">
        <f ca="1">IFERROR(__xludf.DUMMYFUNCTION("GOOGLEFINANCE(C1867,""changepct"")"),3.61)</f>
        <v>3.61</v>
      </c>
      <c r="R1867" s="8"/>
      <c r="S1867" s="8"/>
      <c r="T1867" s="8"/>
      <c r="U1867" s="8"/>
      <c r="V1867" s="8"/>
      <c r="W1867" s="8"/>
    </row>
    <row r="1868" spans="1:23" ht="14.4">
      <c r="A1868" s="3">
        <f>LOOKUP(D1868,'AMFI DATA_2023H1'!B:C,'AMFI DATA_2023H1'!C:C)</f>
        <v>1557</v>
      </c>
      <c r="B1868" s="4" t="s">
        <v>4361</v>
      </c>
      <c r="C1868" s="4" t="s">
        <v>4362</v>
      </c>
      <c r="D1868" s="5" t="s">
        <v>4363</v>
      </c>
      <c r="E1868" s="5">
        <f>LOOKUP(D1868,'AMFI DATA_2023H1'!B:D,'AMFI DATA_2023H1'!D:D)</f>
        <v>310.33</v>
      </c>
      <c r="F1868" s="7">
        <f t="shared" si="7"/>
        <v>1.8270872941707372E-2</v>
      </c>
      <c r="G1868" s="9">
        <v>316</v>
      </c>
      <c r="H1868" s="9">
        <v>312</v>
      </c>
      <c r="I1868" s="9">
        <v>311</v>
      </c>
      <c r="J1868" s="9">
        <v>311</v>
      </c>
      <c r="K1868" s="9">
        <v>312</v>
      </c>
      <c r="L1868" s="9">
        <v>310</v>
      </c>
      <c r="M1868" s="9"/>
      <c r="N1868" s="9"/>
      <c r="O1868" s="9"/>
      <c r="P1868" s="9"/>
      <c r="Q1868" s="9">
        <f ca="1">IFERROR(__xludf.DUMMYFUNCTION("GOOGLEFINANCE(C1868,""changepct"")"),-0.3)</f>
        <v>-0.3</v>
      </c>
      <c r="R1868" s="9"/>
      <c r="S1868" s="9"/>
      <c r="T1868" s="9"/>
      <c r="U1868" s="9"/>
      <c r="V1868" s="9"/>
      <c r="W1868" s="9"/>
    </row>
    <row r="1869" spans="1:23" ht="14.4">
      <c r="A1869" s="3">
        <f>LOOKUP(D1869,'AMFI DATA_2023H1'!B:C,'AMFI DATA_2023H1'!C:C)</f>
        <v>2510</v>
      </c>
      <c r="B1869" s="4" t="s">
        <v>4253</v>
      </c>
      <c r="C1869" s="4" t="s">
        <v>4254</v>
      </c>
      <c r="D1869" s="5" t="s">
        <v>4255</v>
      </c>
      <c r="E1869" s="5">
        <f>LOOKUP(D1869,'AMFI DATA_2023H1'!B:D,'AMFI DATA_2023H1'!D:D)</f>
        <v>62.29</v>
      </c>
      <c r="F1869" s="7">
        <f t="shared" si="7"/>
        <v>10.318028576015411</v>
      </c>
      <c r="G1869" s="9">
        <v>705</v>
      </c>
      <c r="H1869" s="9">
        <v>641</v>
      </c>
      <c r="I1869" s="9">
        <v>583</v>
      </c>
      <c r="J1869" s="9">
        <v>530</v>
      </c>
      <c r="K1869" s="9">
        <v>440</v>
      </c>
      <c r="L1869" s="9">
        <v>368</v>
      </c>
      <c r="M1869" s="9"/>
      <c r="N1869" s="9"/>
      <c r="O1869" s="9"/>
      <c r="P1869" s="9"/>
      <c r="Q1869" s="9">
        <f ca="1">IFERROR(__xludf.DUMMYFUNCTION("GOOGLEFINANCE(C1869,""changepct"")"),-0.5)</f>
        <v>-0.5</v>
      </c>
      <c r="R1869" s="9"/>
      <c r="S1869" s="9"/>
      <c r="T1869" s="9"/>
      <c r="U1869" s="9"/>
      <c r="V1869" s="9"/>
      <c r="W1869" s="9"/>
    </row>
    <row r="1870" spans="1:23" ht="14.4">
      <c r="A1870" s="3">
        <f>LOOKUP(D1870,'AMFI DATA_2023H1'!B:C,'AMFI DATA_2023H1'!C:C)</f>
        <v>1225</v>
      </c>
      <c r="B1870" s="4" t="s">
        <v>3674</v>
      </c>
      <c r="C1870" s="4" t="s">
        <v>3675</v>
      </c>
      <c r="D1870" s="5" t="s">
        <v>3676</v>
      </c>
      <c r="E1870" s="5">
        <f>LOOKUP(D1870,'AMFI DATA_2023H1'!B:D,'AMFI DATA_2023H1'!D:D)</f>
        <v>645.52</v>
      </c>
      <c r="F1870" s="7">
        <f t="shared" si="7"/>
        <v>0.10453587805180331</v>
      </c>
      <c r="G1870" s="9">
        <v>713</v>
      </c>
      <c r="H1870" s="9">
        <v>712</v>
      </c>
      <c r="I1870" s="9">
        <v>712</v>
      </c>
      <c r="J1870" s="9">
        <v>707</v>
      </c>
      <c r="K1870" s="9">
        <v>709</v>
      </c>
      <c r="L1870" s="9">
        <v>719</v>
      </c>
      <c r="M1870" s="9"/>
      <c r="N1870" s="9"/>
      <c r="O1870" s="9"/>
      <c r="P1870" s="9"/>
      <c r="Q1870" s="9">
        <f ca="1">IFERROR(__xludf.DUMMYFUNCTION("GOOGLEFINANCE(C1870,""changepct"")"),1.06)</f>
        <v>1.06</v>
      </c>
      <c r="R1870" s="9"/>
      <c r="S1870" s="9"/>
      <c r="T1870" s="9"/>
      <c r="U1870" s="9"/>
      <c r="V1870" s="9"/>
      <c r="W1870" s="9"/>
    </row>
    <row r="1871" spans="1:23" ht="14.4">
      <c r="A1871" s="3">
        <f>LOOKUP(D1871,'AMFI DATA_2023H1'!B:C,'AMFI DATA_2023H1'!C:C)</f>
        <v>529</v>
      </c>
      <c r="B1871" s="4" t="s">
        <v>2022</v>
      </c>
      <c r="C1871" s="4" t="s">
        <v>2023</v>
      </c>
      <c r="D1871" s="5" t="s">
        <v>2024</v>
      </c>
      <c r="E1871" s="5">
        <f>LOOKUP(D1871,'AMFI DATA_2023H1'!B:D,'AMFI DATA_2023H1'!D:D)</f>
        <v>4613.6099999999997</v>
      </c>
      <c r="F1871" s="7">
        <f t="shared" si="7"/>
        <v>-0.13516747189294276</v>
      </c>
      <c r="G1871" s="8">
        <v>3990</v>
      </c>
      <c r="H1871" s="8">
        <v>4009</v>
      </c>
      <c r="I1871" s="8">
        <v>4003</v>
      </c>
      <c r="J1871" s="8">
        <v>4033</v>
      </c>
      <c r="K1871" s="8">
        <v>4011</v>
      </c>
      <c r="L1871" s="8">
        <v>4162</v>
      </c>
      <c r="M1871" s="8"/>
      <c r="N1871" s="8"/>
      <c r="O1871" s="8"/>
      <c r="P1871" s="8"/>
      <c r="Q1871" s="9">
        <f ca="1">IFERROR(__xludf.DUMMYFUNCTION("GOOGLEFINANCE(C1871,""changepct"")"),-2.44)</f>
        <v>-2.44</v>
      </c>
      <c r="R1871" s="8"/>
      <c r="S1871" s="8"/>
      <c r="T1871" s="8"/>
      <c r="U1871" s="8"/>
      <c r="V1871" s="8"/>
      <c r="W1871" s="8"/>
    </row>
    <row r="1872" spans="1:23" ht="14.4">
      <c r="A1872" s="3">
        <f>LOOKUP(D1872,'AMFI DATA_2023H1'!B:C,'AMFI DATA_2023H1'!C:C)</f>
        <v>169</v>
      </c>
      <c r="B1872" s="4" t="s">
        <v>369</v>
      </c>
      <c r="C1872" s="4" t="s">
        <v>370</v>
      </c>
      <c r="D1872" s="5" t="s">
        <v>371</v>
      </c>
      <c r="E1872" s="5">
        <f>LOOKUP(D1872,'AMFI DATA_2023H1'!B:D,'AMFI DATA_2023H1'!D:D)</f>
        <v>30988.15</v>
      </c>
      <c r="F1872" s="7">
        <f t="shared" si="7"/>
        <v>1.6705369633230767</v>
      </c>
      <c r="G1872" s="8">
        <v>82755</v>
      </c>
      <c r="H1872" s="8">
        <v>77985</v>
      </c>
      <c r="I1872" s="8">
        <v>64452</v>
      </c>
      <c r="J1872" s="8">
        <v>65474</v>
      </c>
      <c r="K1872" s="8">
        <v>64940</v>
      </c>
      <c r="L1872" s="8">
        <v>66204</v>
      </c>
      <c r="M1872" s="8"/>
      <c r="N1872" s="8"/>
      <c r="O1872" s="8"/>
      <c r="P1872" s="8"/>
      <c r="Q1872" s="9">
        <f ca="1">IFERROR(__xludf.DUMMYFUNCTION("GOOGLEFINANCE(C1872,""changepct"")"),-0.33)</f>
        <v>-0.33</v>
      </c>
      <c r="R1872" s="8"/>
      <c r="S1872" s="8"/>
      <c r="T1872" s="8"/>
      <c r="U1872" s="8"/>
      <c r="V1872" s="8"/>
      <c r="W1872" s="8"/>
    </row>
    <row r="1873" spans="1:23" ht="14.4">
      <c r="A1873" s="3">
        <f>LOOKUP(D1873,'AMFI DATA_2023H1'!B:C,'AMFI DATA_2023H1'!C:C)</f>
        <v>644</v>
      </c>
      <c r="B1873" s="4" t="s">
        <v>1800</v>
      </c>
      <c r="C1873" s="4" t="s">
        <v>1801</v>
      </c>
      <c r="D1873" s="5" t="s">
        <v>1802</v>
      </c>
      <c r="E1873" s="5">
        <f>LOOKUP(D1873,'AMFI DATA_2023H1'!B:D,'AMFI DATA_2023H1'!D:D)</f>
        <v>3117.03</v>
      </c>
      <c r="F1873" s="7">
        <f t="shared" si="7"/>
        <v>1.1802805876106421</v>
      </c>
      <c r="G1873" s="8">
        <v>6796</v>
      </c>
      <c r="H1873" s="8">
        <v>6598</v>
      </c>
      <c r="I1873" s="8">
        <v>6497</v>
      </c>
      <c r="J1873" s="8">
        <v>6512</v>
      </c>
      <c r="K1873" s="8">
        <v>6329</v>
      </c>
      <c r="L1873" s="8">
        <v>6257</v>
      </c>
      <c r="M1873" s="8"/>
      <c r="N1873" s="8"/>
      <c r="O1873" s="8"/>
      <c r="P1873" s="8"/>
      <c r="Q1873" s="9">
        <f ca="1">IFERROR(__xludf.DUMMYFUNCTION("GOOGLEFINANCE(C1873,""changepct"")"),6.63)</f>
        <v>6.63</v>
      </c>
      <c r="R1873" s="8"/>
      <c r="S1873" s="8"/>
      <c r="T1873" s="8"/>
      <c r="U1873" s="8"/>
      <c r="V1873" s="8"/>
      <c r="W1873" s="8"/>
    </row>
    <row r="1874" spans="1:23" ht="14.4">
      <c r="A1874" s="3">
        <f>LOOKUP(D1874,'AMFI DATA_2023H1'!B:C,'AMFI DATA_2023H1'!C:C)</f>
        <v>178</v>
      </c>
      <c r="B1874" s="4" t="s">
        <v>648</v>
      </c>
      <c r="C1874" s="4" t="s">
        <v>649</v>
      </c>
      <c r="D1874" s="5" t="s">
        <v>650</v>
      </c>
      <c r="E1874" s="5">
        <f>LOOKUP(D1874,'AMFI DATA_2023H1'!B:D,'AMFI DATA_2023H1'!D:D)</f>
        <v>27277.58</v>
      </c>
      <c r="F1874" s="7">
        <f t="shared" si="7"/>
        <v>0.18342609571670199</v>
      </c>
      <c r="G1874" s="8">
        <v>32281</v>
      </c>
      <c r="H1874" s="8">
        <v>32375</v>
      </c>
      <c r="I1874" s="8">
        <v>32167</v>
      </c>
      <c r="J1874" s="8">
        <v>32600</v>
      </c>
      <c r="K1874" s="8">
        <v>31982</v>
      </c>
      <c r="L1874" s="8">
        <v>31355</v>
      </c>
      <c r="M1874" s="8"/>
      <c r="N1874" s="8"/>
      <c r="O1874" s="8"/>
      <c r="P1874" s="8"/>
      <c r="Q1874" s="9">
        <f ca="1">IFERROR(__xludf.DUMMYFUNCTION("GOOGLEFINANCE(C1874,""changepct"")"),-0.8)</f>
        <v>-0.8</v>
      </c>
      <c r="R1874" s="8"/>
      <c r="S1874" s="8"/>
      <c r="T1874" s="8"/>
      <c r="U1874" s="8"/>
      <c r="V1874" s="8"/>
      <c r="W1874" s="8"/>
    </row>
    <row r="1875" spans="1:23" ht="14.4">
      <c r="A1875" s="3">
        <f>LOOKUP(D1875,'AMFI DATA_2023H1'!B:C,'AMFI DATA_2023H1'!C:C)</f>
        <v>487</v>
      </c>
      <c r="B1875" s="4" t="s">
        <v>1653</v>
      </c>
      <c r="C1875" s="4" t="s">
        <v>1654</v>
      </c>
      <c r="D1875" s="5" t="s">
        <v>1655</v>
      </c>
      <c r="E1875" s="5">
        <f>LOOKUP(D1875,'AMFI DATA_2023H1'!B:D,'AMFI DATA_2023H1'!D:D)</f>
        <v>5431.23</v>
      </c>
      <c r="F1875" s="7">
        <f t="shared" si="7"/>
        <v>0.22145444033856054</v>
      </c>
      <c r="G1875" s="8">
        <v>6634</v>
      </c>
      <c r="H1875" s="8">
        <v>6711</v>
      </c>
      <c r="I1875" s="8">
        <v>6652</v>
      </c>
      <c r="J1875" s="8">
        <v>6582</v>
      </c>
      <c r="K1875" s="8">
        <v>6455</v>
      </c>
      <c r="L1875" s="8">
        <v>6463</v>
      </c>
      <c r="M1875" s="8"/>
      <c r="N1875" s="8"/>
      <c r="O1875" s="8"/>
      <c r="P1875" s="8"/>
      <c r="Q1875" s="9">
        <f ca="1">IFERROR(__xludf.DUMMYFUNCTION("GOOGLEFINANCE(C1875,""changepct"")"),-1.13)</f>
        <v>-1.1299999999999999</v>
      </c>
      <c r="R1875" s="8"/>
      <c r="S1875" s="8"/>
      <c r="T1875" s="8"/>
      <c r="U1875" s="8"/>
      <c r="V1875" s="8"/>
      <c r="W1875" s="8"/>
    </row>
    <row r="1876" spans="1:23" ht="14.4">
      <c r="A1876" s="3">
        <f>LOOKUP(D1876,'AMFI DATA_2023H1'!B:C,'AMFI DATA_2023H1'!C:C)</f>
        <v>515</v>
      </c>
      <c r="B1876" s="4" t="s">
        <v>1776</v>
      </c>
      <c r="C1876" s="4" t="s">
        <v>1777</v>
      </c>
      <c r="D1876" s="5" t="s">
        <v>1778</v>
      </c>
      <c r="E1876" s="5">
        <f>LOOKUP(D1876,'AMFI DATA_2023H1'!B:D,'AMFI DATA_2023H1'!D:D)</f>
        <v>4983.43</v>
      </c>
      <c r="F1876" s="7">
        <f t="shared" si="7"/>
        <v>4.7671984958151281E-2</v>
      </c>
      <c r="G1876" s="8">
        <v>5221</v>
      </c>
      <c r="H1876" s="8">
        <v>5248</v>
      </c>
      <c r="I1876" s="8">
        <v>5216</v>
      </c>
      <c r="J1876" s="8">
        <v>5223</v>
      </c>
      <c r="K1876" s="8">
        <v>5267</v>
      </c>
      <c r="L1876" s="8">
        <v>5248</v>
      </c>
      <c r="M1876" s="8"/>
      <c r="N1876" s="8"/>
      <c r="O1876" s="8"/>
      <c r="P1876" s="8"/>
      <c r="Q1876" s="9">
        <f ca="1">IFERROR(__xludf.DUMMYFUNCTION("GOOGLEFINANCE(C1876,""changepct"")"),1.77)</f>
        <v>1.77</v>
      </c>
      <c r="R1876" s="8"/>
      <c r="S1876" s="8"/>
      <c r="T1876" s="8"/>
      <c r="U1876" s="8"/>
      <c r="V1876" s="8"/>
      <c r="W1876" s="8"/>
    </row>
    <row r="1877" spans="1:23" ht="14.4">
      <c r="A1877" s="3">
        <f>LOOKUP(D1877,'AMFI DATA_2023H1'!B:C,'AMFI DATA_2023H1'!C:C)</f>
        <v>1845</v>
      </c>
      <c r="B1877" s="4" t="s">
        <v>3992</v>
      </c>
      <c r="C1877" s="4" t="s">
        <v>3993</v>
      </c>
      <c r="D1877" s="5" t="s">
        <v>3994</v>
      </c>
      <c r="E1877" s="5">
        <f>LOOKUP(D1877,'AMFI DATA_2023H1'!B:D,'AMFI DATA_2023H1'!D:D)</f>
        <v>182.84</v>
      </c>
      <c r="F1877" s="7">
        <f t="shared" si="7"/>
        <v>2.0299715598337342</v>
      </c>
      <c r="G1877" s="9">
        <v>554</v>
      </c>
      <c r="H1877" s="9">
        <v>531</v>
      </c>
      <c r="I1877" s="9">
        <v>524</v>
      </c>
      <c r="J1877" s="9">
        <v>536</v>
      </c>
      <c r="K1877" s="9">
        <v>538</v>
      </c>
      <c r="L1877" s="9">
        <v>517</v>
      </c>
      <c r="M1877" s="9"/>
      <c r="N1877" s="9"/>
      <c r="O1877" s="9"/>
      <c r="P1877" s="9"/>
      <c r="Q1877" s="9">
        <f ca="1">IFERROR(__xludf.DUMMYFUNCTION("GOOGLEFINANCE(C1877,""changepct"")"),0.81)</f>
        <v>0.81</v>
      </c>
      <c r="R1877" s="9"/>
      <c r="S1877" s="9"/>
      <c r="T1877" s="9"/>
      <c r="U1877" s="9"/>
      <c r="V1877" s="9"/>
      <c r="W1877" s="9"/>
    </row>
    <row r="1878" spans="1:23" ht="14.4">
      <c r="A1878" s="3">
        <f>LOOKUP(D1878,'AMFI DATA_2023H1'!B:C,'AMFI DATA_2023H1'!C:C)</f>
        <v>1553</v>
      </c>
      <c r="B1878" s="4" t="s">
        <v>3782</v>
      </c>
      <c r="C1878" s="4" t="s">
        <v>3783</v>
      </c>
      <c r="D1878" s="5" t="s">
        <v>3784</v>
      </c>
      <c r="E1878" s="5">
        <f>LOOKUP(D1878,'AMFI DATA_2023H1'!B:D,'AMFI DATA_2023H1'!D:D)</f>
        <v>314.89999999999998</v>
      </c>
      <c r="F1878" s="7">
        <f t="shared" si="7"/>
        <v>1.8072403937758019</v>
      </c>
      <c r="G1878" s="9">
        <v>884</v>
      </c>
      <c r="H1878" s="9">
        <v>867</v>
      </c>
      <c r="I1878" s="9">
        <v>864</v>
      </c>
      <c r="J1878" s="9">
        <v>898</v>
      </c>
      <c r="K1878" s="9">
        <v>908</v>
      </c>
      <c r="L1878" s="9">
        <v>862</v>
      </c>
      <c r="M1878" s="9"/>
      <c r="N1878" s="9"/>
      <c r="O1878" s="9"/>
      <c r="P1878" s="9"/>
      <c r="Q1878" s="9">
        <f ca="1">IFERROR(__xludf.DUMMYFUNCTION("GOOGLEFINANCE(C1878,""changepct"")"),1.44)</f>
        <v>1.44</v>
      </c>
      <c r="R1878" s="9"/>
      <c r="S1878" s="9"/>
      <c r="T1878" s="9"/>
      <c r="U1878" s="9"/>
      <c r="V1878" s="9"/>
      <c r="W1878" s="9"/>
    </row>
    <row r="1879" spans="1:23" ht="14.4">
      <c r="A1879" s="3">
        <f>LOOKUP(D1879,'AMFI DATA_2023H1'!B:C,'AMFI DATA_2023H1'!C:C)</f>
        <v>1995</v>
      </c>
      <c r="B1879" s="4" t="s">
        <v>4526</v>
      </c>
      <c r="C1879" s="4" t="s">
        <v>4527</v>
      </c>
      <c r="D1879" s="5" t="s">
        <v>4528</v>
      </c>
      <c r="E1879" s="5">
        <f>LOOKUP(D1879,'AMFI DATA_2023H1'!B:D,'AMFI DATA_2023H1'!D:D)</f>
        <v>145.24</v>
      </c>
      <c r="F1879" s="7">
        <f t="shared" si="7"/>
        <v>1.9193059763150644</v>
      </c>
      <c r="G1879" s="9">
        <v>424</v>
      </c>
      <c r="H1879" s="9">
        <v>432</v>
      </c>
      <c r="I1879" s="9">
        <v>426</v>
      </c>
      <c r="J1879" s="9">
        <v>435</v>
      </c>
      <c r="K1879" s="9">
        <v>425</v>
      </c>
      <c r="L1879" s="9">
        <v>429</v>
      </c>
      <c r="M1879" s="9"/>
      <c r="N1879" s="9"/>
      <c r="O1879" s="9"/>
      <c r="P1879" s="9"/>
      <c r="Q1879" s="9">
        <f ca="1">IFERROR(__xludf.DUMMYFUNCTION("GOOGLEFINANCE(C1879,""changepct"")"),2.58)</f>
        <v>2.58</v>
      </c>
      <c r="R1879" s="9"/>
      <c r="S1879" s="9"/>
      <c r="T1879" s="9"/>
      <c r="U1879" s="9"/>
      <c r="V1879" s="9"/>
      <c r="W1879" s="9"/>
    </row>
    <row r="1880" spans="1:23" ht="14.4">
      <c r="A1880" s="3">
        <f>LOOKUP(D1880,'AMFI DATA_2023H1'!B:C,'AMFI DATA_2023H1'!C:C)</f>
        <v>2746</v>
      </c>
      <c r="B1880" s="4" t="s">
        <v>5329</v>
      </c>
      <c r="C1880" s="4" t="s">
        <v>5330</v>
      </c>
      <c r="D1880" s="5" t="s">
        <v>5331</v>
      </c>
      <c r="E1880" s="5">
        <f>LOOKUP(D1880,'AMFI DATA_2023H1'!B:D,'AMFI DATA_2023H1'!D:D)</f>
        <v>43.29</v>
      </c>
      <c r="F1880" s="7">
        <f t="shared" si="7"/>
        <v>1.0466620466620467</v>
      </c>
      <c r="G1880" s="9">
        <v>88.6</v>
      </c>
      <c r="H1880" s="9">
        <v>90.4</v>
      </c>
      <c r="I1880" s="9">
        <v>92.3</v>
      </c>
      <c r="J1880" s="9">
        <v>94</v>
      </c>
      <c r="K1880" s="9">
        <v>89.8</v>
      </c>
      <c r="L1880" s="9">
        <v>86</v>
      </c>
      <c r="M1880" s="9"/>
      <c r="N1880" s="9"/>
      <c r="O1880" s="9"/>
      <c r="P1880" s="9"/>
      <c r="Q1880" s="9">
        <f ca="1">IFERROR(__xludf.DUMMYFUNCTION("GOOGLEFINANCE(C1880,""changepct"")"),-3.1)</f>
        <v>-3.1</v>
      </c>
      <c r="R1880" s="9"/>
      <c r="S1880" s="9"/>
      <c r="T1880" s="9"/>
      <c r="U1880" s="9"/>
      <c r="V1880" s="9"/>
      <c r="W1880" s="9"/>
    </row>
    <row r="1881" spans="1:23" ht="14.4">
      <c r="A1881" s="3">
        <f>LOOKUP(D1881,'AMFI DATA_2023H1'!B:C,'AMFI DATA_2023H1'!C:C)</f>
        <v>1518</v>
      </c>
      <c r="B1881" s="4" t="s">
        <v>4217</v>
      </c>
      <c r="C1881" s="4" t="s">
        <v>4218</v>
      </c>
      <c r="D1881" s="5" t="s">
        <v>4219</v>
      </c>
      <c r="E1881" s="5">
        <f>LOOKUP(D1881,'AMFI DATA_2023H1'!B:D,'AMFI DATA_2023H1'!D:D)</f>
        <v>334.03</v>
      </c>
      <c r="F1881" s="7">
        <f t="shared" si="7"/>
        <v>0.44597790617609201</v>
      </c>
      <c r="G1881" s="9">
        <v>483</v>
      </c>
      <c r="H1881" s="9">
        <v>460</v>
      </c>
      <c r="I1881" s="9">
        <v>440</v>
      </c>
      <c r="J1881" s="9">
        <v>437</v>
      </c>
      <c r="K1881" s="9">
        <v>429</v>
      </c>
      <c r="L1881" s="9">
        <v>446</v>
      </c>
      <c r="M1881" s="9"/>
      <c r="N1881" s="9"/>
      <c r="O1881" s="9"/>
      <c r="P1881" s="9"/>
      <c r="Q1881" s="9">
        <f ca="1">IFERROR(__xludf.DUMMYFUNCTION("GOOGLEFINANCE(C1881,""changepct"")"),-0.3)</f>
        <v>-0.3</v>
      </c>
      <c r="R1881" s="9"/>
      <c r="S1881" s="9"/>
      <c r="T1881" s="9"/>
      <c r="U1881" s="9"/>
      <c r="V1881" s="9"/>
      <c r="W1881" s="9"/>
    </row>
    <row r="1882" spans="1:23" ht="14.4">
      <c r="A1882" s="3">
        <f>LOOKUP(D1882,'AMFI DATA_2023H1'!B:C,'AMFI DATA_2023H1'!C:C)</f>
        <v>1517</v>
      </c>
      <c r="B1882" s="4" t="s">
        <v>3824</v>
      </c>
      <c r="C1882" s="4" t="s">
        <v>3825</v>
      </c>
      <c r="D1882" s="5" t="s">
        <v>3826</v>
      </c>
      <c r="E1882" s="5">
        <f>LOOKUP(D1882,'AMFI DATA_2023H1'!B:D,'AMFI DATA_2023H1'!D:D)</f>
        <v>335.34</v>
      </c>
      <c r="F1882" s="7">
        <f t="shared" si="7"/>
        <v>2.1192222818631841</v>
      </c>
      <c r="G1882" s="9">
        <v>1046</v>
      </c>
      <c r="H1882" s="9">
        <v>1037</v>
      </c>
      <c r="I1882" s="9">
        <v>972</v>
      </c>
      <c r="J1882" s="9">
        <v>949</v>
      </c>
      <c r="K1882" s="9">
        <v>972</v>
      </c>
      <c r="L1882" s="9">
        <v>978</v>
      </c>
      <c r="M1882" s="9"/>
      <c r="N1882" s="9"/>
      <c r="O1882" s="9"/>
      <c r="P1882" s="9"/>
      <c r="Q1882" s="9">
        <f ca="1">IFERROR(__xludf.DUMMYFUNCTION("GOOGLEFINANCE(C1882,""changepct"")"),-1.39)</f>
        <v>-1.39</v>
      </c>
      <c r="R1882" s="9"/>
      <c r="S1882" s="9"/>
      <c r="T1882" s="9"/>
      <c r="U1882" s="9"/>
      <c r="V1882" s="9"/>
      <c r="W1882" s="9"/>
    </row>
    <row r="1883" spans="1:23" ht="14.4">
      <c r="A1883" s="3">
        <f>LOOKUP(D1883,'AMFI DATA_2023H1'!B:C,'AMFI DATA_2023H1'!C:C)</f>
        <v>1927</v>
      </c>
      <c r="B1883" s="4" t="s">
        <v>4820</v>
      </c>
      <c r="C1883" s="4" t="s">
        <v>4821</v>
      </c>
      <c r="D1883" s="5" t="s">
        <v>4822</v>
      </c>
      <c r="E1883" s="5">
        <f>LOOKUP(D1883,'AMFI DATA_2023H1'!B:D,'AMFI DATA_2023H1'!D:D)</f>
        <v>160.22</v>
      </c>
      <c r="F1883" s="7">
        <f t="shared" si="7"/>
        <v>0.15466233928348516</v>
      </c>
      <c r="G1883" s="9">
        <v>185</v>
      </c>
      <c r="H1883" s="9">
        <v>185</v>
      </c>
      <c r="I1883" s="9">
        <v>184</v>
      </c>
      <c r="J1883" s="9">
        <v>184</v>
      </c>
      <c r="K1883" s="9">
        <v>181</v>
      </c>
      <c r="L1883" s="9">
        <v>182</v>
      </c>
      <c r="M1883" s="9"/>
      <c r="N1883" s="9"/>
      <c r="O1883" s="9"/>
      <c r="P1883" s="9"/>
      <c r="Q1883" s="9">
        <f ca="1">IFERROR(__xludf.DUMMYFUNCTION("GOOGLEFINANCE(C1883,""changepct"")"),-0.56)</f>
        <v>-0.56000000000000005</v>
      </c>
      <c r="R1883" s="9"/>
      <c r="S1883" s="9"/>
      <c r="T1883" s="9"/>
      <c r="U1883" s="9"/>
      <c r="V1883" s="9"/>
      <c r="W1883" s="9"/>
    </row>
    <row r="1884" spans="1:23" ht="14.4">
      <c r="A1884" s="3">
        <f>LOOKUP(D1884,'AMFI DATA_2023H1'!B:C,'AMFI DATA_2023H1'!C:C)</f>
        <v>464</v>
      </c>
      <c r="B1884" s="4" t="s">
        <v>1173</v>
      </c>
      <c r="C1884" s="4" t="s">
        <v>1174</v>
      </c>
      <c r="D1884" s="5" t="s">
        <v>1175</v>
      </c>
      <c r="E1884" s="5">
        <f>LOOKUP(D1884,'AMFI DATA_2023H1'!B:D,'AMFI DATA_2023H1'!D:D)</f>
        <v>5833.73</v>
      </c>
      <c r="F1884" s="7">
        <f t="shared" si="7"/>
        <v>1.561482962015726</v>
      </c>
      <c r="G1884" s="8">
        <v>14943</v>
      </c>
      <c r="H1884" s="8">
        <v>14366</v>
      </c>
      <c r="I1884" s="8">
        <v>14345</v>
      </c>
      <c r="J1884" s="8">
        <v>14445</v>
      </c>
      <c r="K1884" s="8">
        <v>14262</v>
      </c>
      <c r="L1884" s="8">
        <v>13883</v>
      </c>
      <c r="M1884" s="8"/>
      <c r="N1884" s="8"/>
      <c r="O1884" s="8"/>
      <c r="P1884" s="8"/>
      <c r="Q1884" s="9">
        <f ca="1">IFERROR(__xludf.DUMMYFUNCTION("GOOGLEFINANCE(C1884,""changepct"")"),-1.91)</f>
        <v>-1.91</v>
      </c>
      <c r="R1884" s="8"/>
      <c r="S1884" s="8"/>
      <c r="T1884" s="8"/>
      <c r="U1884" s="8"/>
      <c r="V1884" s="8"/>
      <c r="W1884" s="8"/>
    </row>
    <row r="1885" spans="1:23" ht="14.4">
      <c r="A1885" s="3">
        <f>LOOKUP(D1885,'AMFI DATA_2023H1'!B:C,'AMFI DATA_2023H1'!C:C)</f>
        <v>752</v>
      </c>
      <c r="B1885" s="4" t="s">
        <v>2037</v>
      </c>
      <c r="C1885" s="4" t="s">
        <v>2038</v>
      </c>
      <c r="D1885" s="5" t="s">
        <v>2039</v>
      </c>
      <c r="E1885" s="5">
        <f>LOOKUP(D1885,'AMFI DATA_2023H1'!B:D,'AMFI DATA_2023H1'!D:D)</f>
        <v>2166.67</v>
      </c>
      <c r="F1885" s="7">
        <f t="shared" si="7"/>
        <v>1.0750737306557991</v>
      </c>
      <c r="G1885" s="8">
        <v>4496</v>
      </c>
      <c r="H1885" s="8">
        <v>4514</v>
      </c>
      <c r="I1885" s="8">
        <v>4496</v>
      </c>
      <c r="J1885" s="8">
        <v>4496</v>
      </c>
      <c r="K1885" s="8">
        <v>4505</v>
      </c>
      <c r="L1885" s="8">
        <v>4566</v>
      </c>
      <c r="M1885" s="8"/>
      <c r="N1885" s="8"/>
      <c r="O1885" s="8"/>
      <c r="P1885" s="8"/>
      <c r="Q1885" s="9">
        <f ca="1">IFERROR(__xludf.DUMMYFUNCTION("GOOGLEFINANCE(C1885,""changepct"")"),0.65)</f>
        <v>0.65</v>
      </c>
      <c r="R1885" s="8"/>
      <c r="S1885" s="8"/>
      <c r="T1885" s="8"/>
      <c r="U1885" s="8"/>
      <c r="V1885" s="8"/>
      <c r="W1885" s="8"/>
    </row>
    <row r="1886" spans="1:23" ht="14.4">
      <c r="A1886" s="3">
        <f>LOOKUP(D1886,'AMFI DATA_2023H1'!B:C,'AMFI DATA_2023H1'!C:C)</f>
        <v>403</v>
      </c>
      <c r="B1886" s="4" t="s">
        <v>4721</v>
      </c>
      <c r="C1886" s="4" t="s">
        <v>4722</v>
      </c>
      <c r="D1886" s="5" t="s">
        <v>4723</v>
      </c>
      <c r="E1886" s="5">
        <f>LOOKUP(D1886,'AMFI DATA_2023H1'!B:D,'AMFI DATA_2023H1'!D:D)</f>
        <v>7547.59</v>
      </c>
      <c r="F1886" s="7">
        <f t="shared" si="7"/>
        <v>-1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/>
      <c r="N1886" s="9"/>
      <c r="O1886" s="9"/>
      <c r="P1886" s="9"/>
      <c r="Q1886" s="9" t="str">
        <f ca="1">IFERROR(__xludf.DUMMYFUNCTION("GOOGLEFINANCE(C1886,""changepct"")"),"#N/A")</f>
        <v>#N/A</v>
      </c>
      <c r="R1886" s="9"/>
      <c r="S1886" s="9"/>
      <c r="T1886" s="9"/>
      <c r="U1886" s="9"/>
      <c r="V1886" s="9"/>
      <c r="W1886" s="9"/>
    </row>
    <row r="1887" spans="1:23" ht="14.4">
      <c r="A1887" s="3">
        <f>LOOKUP(D1887,'AMFI DATA_2023H1'!B:C,'AMFI DATA_2023H1'!C:C)</f>
        <v>2170</v>
      </c>
      <c r="B1887" s="4" t="s">
        <v>4724</v>
      </c>
      <c r="C1887" s="4" t="s">
        <v>4725</v>
      </c>
      <c r="D1887" s="5" t="s">
        <v>4726</v>
      </c>
      <c r="E1887" s="5">
        <f>LOOKUP(D1887,'AMFI DATA_2023H1'!B:D,'AMFI DATA_2023H1'!D:D)</f>
        <v>108.7</v>
      </c>
      <c r="F1887" s="7">
        <f t="shared" si="7"/>
        <v>1.1343146274149034</v>
      </c>
      <c r="G1887" s="9">
        <v>232</v>
      </c>
      <c r="H1887" s="9">
        <v>227</v>
      </c>
      <c r="I1887" s="9">
        <v>222</v>
      </c>
      <c r="J1887" s="9">
        <v>223</v>
      </c>
      <c r="K1887" s="9">
        <v>229</v>
      </c>
      <c r="L1887" s="9">
        <v>230</v>
      </c>
      <c r="M1887" s="9"/>
      <c r="N1887" s="9"/>
      <c r="O1887" s="9"/>
      <c r="P1887" s="9"/>
      <c r="Q1887" s="9">
        <f ca="1">IFERROR(__xludf.DUMMYFUNCTION("GOOGLEFINANCE(C1887,""changepct"")"),1.28)</f>
        <v>1.28</v>
      </c>
      <c r="R1887" s="9"/>
      <c r="S1887" s="9"/>
      <c r="T1887" s="9"/>
      <c r="U1887" s="9"/>
      <c r="V1887" s="9"/>
      <c r="W1887" s="9"/>
    </row>
    <row r="1888" spans="1:23" ht="14.4">
      <c r="A1888" s="3">
        <f>LOOKUP(D1888,'AMFI DATA_2023H1'!B:C,'AMFI DATA_2023H1'!C:C)</f>
        <v>847</v>
      </c>
      <c r="B1888" s="4" t="s">
        <v>2408</v>
      </c>
      <c r="C1888" s="4" t="s">
        <v>2409</v>
      </c>
      <c r="D1888" s="5" t="s">
        <v>2410</v>
      </c>
      <c r="E1888" s="5">
        <f>LOOKUP(D1888,'AMFI DATA_2023H1'!B:D,'AMFI DATA_2023H1'!D:D)</f>
        <v>1730.19</v>
      </c>
      <c r="F1888" s="7">
        <f t="shared" si="7"/>
        <v>0.6466399643969738</v>
      </c>
      <c r="G1888" s="8">
        <v>2849</v>
      </c>
      <c r="H1888" s="8">
        <v>2948</v>
      </c>
      <c r="I1888" s="8">
        <v>2789</v>
      </c>
      <c r="J1888" s="8">
        <v>2820</v>
      </c>
      <c r="K1888" s="8">
        <v>2866</v>
      </c>
      <c r="L1888" s="8">
        <v>2784</v>
      </c>
      <c r="M1888" s="8"/>
      <c r="N1888" s="8"/>
      <c r="O1888" s="8"/>
      <c r="P1888" s="8"/>
      <c r="Q1888" s="9">
        <f ca="1">IFERROR(__xludf.DUMMYFUNCTION("GOOGLEFINANCE(C1888,""changepct"")"),-3.1)</f>
        <v>-3.1</v>
      </c>
      <c r="R1888" s="8"/>
      <c r="S1888" s="8"/>
      <c r="T1888" s="8"/>
      <c r="U1888" s="8"/>
      <c r="V1888" s="8"/>
      <c r="W1888" s="8"/>
    </row>
    <row r="1889" spans="1:23" ht="14.4">
      <c r="A1889" s="3">
        <f>LOOKUP(D1889,'AMFI DATA_2023H1'!B:C,'AMFI DATA_2023H1'!C:C)</f>
        <v>618</v>
      </c>
      <c r="B1889" s="4" t="s">
        <v>1959</v>
      </c>
      <c r="C1889" s="4" t="s">
        <v>1960</v>
      </c>
      <c r="D1889" s="5" t="s">
        <v>1961</v>
      </c>
      <c r="E1889" s="5">
        <f>LOOKUP(D1889,'AMFI DATA_2023H1'!B:D,'AMFI DATA_2023H1'!D:D)</f>
        <v>3480.45</v>
      </c>
      <c r="F1889" s="7">
        <f t="shared" si="7"/>
        <v>0.37568417876998672</v>
      </c>
      <c r="G1889" s="8">
        <v>4788</v>
      </c>
      <c r="H1889" s="8">
        <v>4834</v>
      </c>
      <c r="I1889" s="8">
        <v>4768</v>
      </c>
      <c r="J1889" s="8">
        <v>4837</v>
      </c>
      <c r="K1889" s="8">
        <v>4862</v>
      </c>
      <c r="L1889" s="8">
        <v>4803</v>
      </c>
      <c r="M1889" s="8"/>
      <c r="N1889" s="8"/>
      <c r="O1889" s="8"/>
      <c r="P1889" s="8"/>
      <c r="Q1889" s="9">
        <f ca="1">IFERROR(__xludf.DUMMYFUNCTION("GOOGLEFINANCE(C1889,""changepct"")"),3.68)</f>
        <v>3.68</v>
      </c>
      <c r="R1889" s="8"/>
      <c r="S1889" s="8"/>
      <c r="T1889" s="8"/>
      <c r="U1889" s="8"/>
      <c r="V1889" s="8"/>
      <c r="W1889" s="8"/>
    </row>
    <row r="1890" spans="1:23" ht="14.4">
      <c r="A1890" s="3">
        <f>LOOKUP(D1890,'AMFI DATA_2023H1'!B:C,'AMFI DATA_2023H1'!C:C)</f>
        <v>316</v>
      </c>
      <c r="B1890" s="4" t="s">
        <v>1005</v>
      </c>
      <c r="C1890" s="4" t="s">
        <v>1006</v>
      </c>
      <c r="D1890" s="5" t="s">
        <v>1007</v>
      </c>
      <c r="E1890" s="5">
        <f>LOOKUP(D1890,'AMFI DATA_2023H1'!B:D,'AMFI DATA_2023H1'!D:D)</f>
        <v>11472.54</v>
      </c>
      <c r="F1890" s="7">
        <f t="shared" si="7"/>
        <v>0.11736372241892368</v>
      </c>
      <c r="G1890" s="8">
        <v>12819</v>
      </c>
      <c r="H1890" s="8">
        <v>12650</v>
      </c>
      <c r="I1890" s="8">
        <v>12732</v>
      </c>
      <c r="J1890" s="8">
        <v>12532</v>
      </c>
      <c r="K1890" s="8">
        <v>12828</v>
      </c>
      <c r="L1890" s="8">
        <v>12806</v>
      </c>
      <c r="M1890" s="8"/>
      <c r="N1890" s="8"/>
      <c r="O1890" s="8"/>
      <c r="P1890" s="8"/>
      <c r="Q1890" s="9">
        <f ca="1">IFERROR(__xludf.DUMMYFUNCTION("GOOGLEFINANCE(C1890,""changepct"")"),-2.06)</f>
        <v>-2.06</v>
      </c>
      <c r="R1890" s="8"/>
      <c r="S1890" s="8"/>
      <c r="T1890" s="8"/>
      <c r="U1890" s="8"/>
      <c r="V1890" s="8"/>
      <c r="W1890" s="8"/>
    </row>
    <row r="1891" spans="1:23" ht="14.4">
      <c r="A1891" s="3">
        <f>LOOKUP(D1891,'AMFI DATA_2023H1'!B:C,'AMFI DATA_2023H1'!C:C)</f>
        <v>943</v>
      </c>
      <c r="B1891" s="4" t="s">
        <v>2834</v>
      </c>
      <c r="C1891" s="4" t="s">
        <v>2835</v>
      </c>
      <c r="D1891" s="5" t="s">
        <v>2836</v>
      </c>
      <c r="E1891" s="5">
        <f>LOOKUP(D1891,'AMFI DATA_2023H1'!B:D,'AMFI DATA_2023H1'!D:D)</f>
        <v>1339.46</v>
      </c>
      <c r="F1891" s="7">
        <f t="shared" si="7"/>
        <v>0.23258626610723732</v>
      </c>
      <c r="G1891" s="8">
        <v>1651</v>
      </c>
      <c r="H1891" s="8">
        <v>1675</v>
      </c>
      <c r="I1891" s="8">
        <v>1666</v>
      </c>
      <c r="J1891" s="8">
        <v>1698</v>
      </c>
      <c r="K1891" s="8">
        <v>1676</v>
      </c>
      <c r="L1891" s="8">
        <v>1639</v>
      </c>
      <c r="M1891" s="8"/>
      <c r="N1891" s="8"/>
      <c r="O1891" s="8"/>
      <c r="P1891" s="8"/>
      <c r="Q1891" s="9">
        <f ca="1">IFERROR(__xludf.DUMMYFUNCTION("GOOGLEFINANCE(C1891,""changepct"")"),-0.7)</f>
        <v>-0.7</v>
      </c>
      <c r="R1891" s="8"/>
      <c r="S1891" s="8"/>
      <c r="T1891" s="8"/>
      <c r="U1891" s="8"/>
      <c r="V1891" s="8"/>
      <c r="W1891" s="8"/>
    </row>
    <row r="1892" spans="1:23" ht="14.4">
      <c r="A1892" s="3">
        <f>LOOKUP(D1892,'AMFI DATA_2023H1'!B:C,'AMFI DATA_2023H1'!C:C)</f>
        <v>250</v>
      </c>
      <c r="B1892" s="4" t="s">
        <v>819</v>
      </c>
      <c r="C1892" s="4" t="s">
        <v>820</v>
      </c>
      <c r="D1892" s="5" t="s">
        <v>821</v>
      </c>
      <c r="E1892" s="5">
        <f>LOOKUP(D1892,'AMFI DATA_2023H1'!B:D,'AMFI DATA_2023H1'!D:D)</f>
        <v>17409.32</v>
      </c>
      <c r="F1892" s="7">
        <f t="shared" si="7"/>
        <v>-6.6814786562600093E-3</v>
      </c>
      <c r="G1892" s="8">
        <v>17293</v>
      </c>
      <c r="H1892" s="8">
        <v>17255</v>
      </c>
      <c r="I1892" s="8">
        <v>17241</v>
      </c>
      <c r="J1892" s="8">
        <v>17204</v>
      </c>
      <c r="K1892" s="8">
        <v>17320</v>
      </c>
      <c r="L1892" s="8">
        <v>17245</v>
      </c>
      <c r="M1892" s="8"/>
      <c r="N1892" s="8"/>
      <c r="O1892" s="8"/>
      <c r="P1892" s="8"/>
      <c r="Q1892" s="9">
        <f ca="1">IFERROR(__xludf.DUMMYFUNCTION("GOOGLEFINANCE(C1892,""changepct"")"),-2.01)</f>
        <v>-2.0099999999999998</v>
      </c>
      <c r="R1892" s="8"/>
      <c r="S1892" s="8"/>
      <c r="T1892" s="8"/>
      <c r="U1892" s="8"/>
      <c r="V1892" s="8"/>
      <c r="W1892" s="8"/>
    </row>
    <row r="1893" spans="1:23" ht="14.4">
      <c r="A1893" s="3">
        <f>LOOKUP(D1893,'AMFI DATA_2023H1'!B:C,'AMFI DATA_2023H1'!C:C)</f>
        <v>3198</v>
      </c>
      <c r="B1893" s="4" t="s">
        <v>5611</v>
      </c>
      <c r="C1893" s="4" t="s">
        <v>5612</v>
      </c>
      <c r="D1893" s="5" t="s">
        <v>5613</v>
      </c>
      <c r="E1893" s="5">
        <f>LOOKUP(D1893,'AMFI DATA_2023H1'!B:D,'AMFI DATA_2023H1'!D:D)</f>
        <v>22.64</v>
      </c>
      <c r="F1893" s="7">
        <f t="shared" si="7"/>
        <v>0.7446996466431095</v>
      </c>
      <c r="G1893" s="9">
        <v>39.5</v>
      </c>
      <c r="H1893" s="9">
        <v>38.6</v>
      </c>
      <c r="I1893" s="9">
        <v>38.799999999999997</v>
      </c>
      <c r="J1893" s="9">
        <v>40.200000000000003</v>
      </c>
      <c r="K1893" s="9">
        <v>39.4</v>
      </c>
      <c r="L1893" s="9">
        <v>38.4</v>
      </c>
      <c r="M1893" s="9"/>
      <c r="N1893" s="9"/>
      <c r="O1893" s="9"/>
      <c r="P1893" s="9"/>
      <c r="Q1893" s="9">
        <f ca="1">IFERROR(__xludf.DUMMYFUNCTION("GOOGLEFINANCE(C1893,""changepct"")"),-1.29)</f>
        <v>-1.29</v>
      </c>
      <c r="R1893" s="9"/>
      <c r="S1893" s="9"/>
      <c r="T1893" s="9"/>
      <c r="U1893" s="9"/>
      <c r="V1893" s="9"/>
      <c r="W1893" s="9"/>
    </row>
    <row r="1894" spans="1:23" ht="14.4">
      <c r="A1894" s="3">
        <f>LOOKUP(D1894,'AMFI DATA_2023H1'!B:C,'AMFI DATA_2023H1'!C:C)</f>
        <v>1274</v>
      </c>
      <c r="B1894" s="4" t="s">
        <v>3596</v>
      </c>
      <c r="C1894" s="4" t="s">
        <v>3597</v>
      </c>
      <c r="D1894" s="5" t="s">
        <v>3598</v>
      </c>
      <c r="E1894" s="5">
        <f>LOOKUP(D1894,'AMFI DATA_2023H1'!B:D,'AMFI DATA_2023H1'!D:D)</f>
        <v>557.01</v>
      </c>
      <c r="F1894" s="7">
        <f t="shared" si="7"/>
        <v>0.78093750561031228</v>
      </c>
      <c r="G1894" s="9">
        <v>992</v>
      </c>
      <c r="H1894" s="9">
        <v>893</v>
      </c>
      <c r="I1894" s="9">
        <v>900</v>
      </c>
      <c r="J1894" s="9">
        <v>891</v>
      </c>
      <c r="K1894" s="9">
        <v>900</v>
      </c>
      <c r="L1894" s="9">
        <v>892</v>
      </c>
      <c r="M1894" s="9"/>
      <c r="N1894" s="9"/>
      <c r="O1894" s="9"/>
      <c r="P1894" s="9"/>
      <c r="Q1894" s="9">
        <f ca="1">IFERROR(__xludf.DUMMYFUNCTION("GOOGLEFINANCE(C1894,""changepct"")"),-0.69)</f>
        <v>-0.69</v>
      </c>
      <c r="R1894" s="9"/>
      <c r="S1894" s="9"/>
      <c r="T1894" s="9"/>
      <c r="U1894" s="9"/>
      <c r="V1894" s="9"/>
      <c r="W1894" s="9"/>
    </row>
    <row r="1895" spans="1:23" ht="14.4">
      <c r="A1895" s="3">
        <f>LOOKUP(D1895,'AMFI DATA_2023H1'!B:C,'AMFI DATA_2023H1'!C:C)</f>
        <v>1580</v>
      </c>
      <c r="B1895" s="4" t="s">
        <v>4028</v>
      </c>
      <c r="C1895" s="4" t="s">
        <v>4029</v>
      </c>
      <c r="D1895" s="5" t="s">
        <v>4030</v>
      </c>
      <c r="E1895" s="5">
        <f>LOOKUP(D1895,'AMFI DATA_2023H1'!B:D,'AMFI DATA_2023H1'!D:D)</f>
        <v>297.63</v>
      </c>
      <c r="F1895" s="7">
        <f t="shared" si="7"/>
        <v>0.89833014145079471</v>
      </c>
      <c r="G1895" s="9">
        <v>565</v>
      </c>
      <c r="H1895" s="9">
        <v>562</v>
      </c>
      <c r="I1895" s="9">
        <v>557</v>
      </c>
      <c r="J1895" s="9">
        <v>564</v>
      </c>
      <c r="K1895" s="9">
        <v>574</v>
      </c>
      <c r="L1895" s="9">
        <v>589</v>
      </c>
      <c r="M1895" s="9"/>
      <c r="N1895" s="9"/>
      <c r="O1895" s="9"/>
      <c r="P1895" s="9"/>
      <c r="Q1895" s="9">
        <f ca="1">IFERROR(__xludf.DUMMYFUNCTION("GOOGLEFINANCE(C1895,""changepct"")"),-4.31)</f>
        <v>-4.3099999999999996</v>
      </c>
      <c r="R1895" s="9"/>
      <c r="S1895" s="9"/>
      <c r="T1895" s="9"/>
      <c r="U1895" s="9"/>
      <c r="V1895" s="9"/>
      <c r="W1895" s="9"/>
    </row>
    <row r="1896" spans="1:23" ht="14.4">
      <c r="A1896" s="3">
        <f>LOOKUP(D1896,'AMFI DATA_2023H1'!B:C,'AMFI DATA_2023H1'!C:C)</f>
        <v>1580</v>
      </c>
      <c r="B1896" s="4" t="s">
        <v>5560</v>
      </c>
      <c r="C1896" s="4" t="s">
        <v>5561</v>
      </c>
      <c r="D1896" s="5" t="s">
        <v>5562</v>
      </c>
      <c r="E1896" s="5">
        <f>LOOKUP(D1896,'AMFI DATA_2023H1'!B:D,'AMFI DATA_2023H1'!D:D)</f>
        <v>297.63</v>
      </c>
      <c r="F1896" s="7">
        <f t="shared" si="7"/>
        <v>-0.91768302926452305</v>
      </c>
      <c r="G1896" s="9">
        <v>24.5</v>
      </c>
      <c r="H1896" s="9">
        <v>24</v>
      </c>
      <c r="I1896" s="9">
        <v>24.5</v>
      </c>
      <c r="J1896" s="9">
        <v>25</v>
      </c>
      <c r="K1896" s="9">
        <v>24.6</v>
      </c>
      <c r="L1896" s="9">
        <v>25.5</v>
      </c>
      <c r="M1896" s="9"/>
      <c r="N1896" s="9"/>
      <c r="O1896" s="9"/>
      <c r="P1896" s="9"/>
      <c r="Q1896" s="9">
        <f ca="1">IFERROR(__xludf.DUMMYFUNCTION("GOOGLEFINANCE(C1896,""changepct"")"),2.63)</f>
        <v>2.63</v>
      </c>
      <c r="R1896" s="9"/>
      <c r="S1896" s="9"/>
      <c r="T1896" s="9"/>
      <c r="U1896" s="9"/>
      <c r="V1896" s="9"/>
      <c r="W1896" s="9"/>
    </row>
    <row r="1897" spans="1:23" ht="14.4">
      <c r="A1897" s="3">
        <f>LOOKUP(D1897,'AMFI DATA_2023H1'!B:C,'AMFI DATA_2023H1'!C:C)</f>
        <v>25</v>
      </c>
      <c r="B1897" s="4" t="s">
        <v>90</v>
      </c>
      <c r="C1897" s="4" t="s">
        <v>91</v>
      </c>
      <c r="D1897" s="5" t="s">
        <v>92</v>
      </c>
      <c r="E1897" s="5">
        <f>LOOKUP(D1897,'AMFI DATA_2023H1'!B:D,'AMFI DATA_2023H1'!D:D)</f>
        <v>212996.82</v>
      </c>
      <c r="F1897" s="7">
        <f t="shared" si="7"/>
        <v>0.17031794183593907</v>
      </c>
      <c r="G1897" s="8">
        <v>249274</v>
      </c>
      <c r="H1897" s="8">
        <v>246427</v>
      </c>
      <c r="I1897" s="8">
        <v>245121</v>
      </c>
      <c r="J1897" s="8">
        <v>246035</v>
      </c>
      <c r="K1897" s="8">
        <v>245538</v>
      </c>
      <c r="L1897" s="8">
        <v>241673</v>
      </c>
      <c r="M1897" s="8"/>
      <c r="N1897" s="8"/>
      <c r="O1897" s="8"/>
      <c r="P1897" s="8"/>
      <c r="Q1897" s="9">
        <f ca="1">IFERROR(__xludf.DUMMYFUNCTION("GOOGLEFINANCE(C1897,""changepct"")"),-0.9)</f>
        <v>-0.9</v>
      </c>
      <c r="R1897" s="8"/>
      <c r="S1897" s="8"/>
      <c r="T1897" s="8"/>
      <c r="U1897" s="8"/>
      <c r="V1897" s="8"/>
      <c r="W1897" s="8"/>
    </row>
    <row r="1898" spans="1:23" ht="14.4">
      <c r="A1898" s="3">
        <f>LOOKUP(D1898,'AMFI DATA_2023H1'!B:C,'AMFI DATA_2023H1'!C:C)</f>
        <v>684</v>
      </c>
      <c r="B1898" s="4" t="s">
        <v>2040</v>
      </c>
      <c r="C1898" s="4" t="s">
        <v>2041</v>
      </c>
      <c r="D1898" s="5" t="s">
        <v>2042</v>
      </c>
      <c r="E1898" s="5">
        <f>LOOKUP(D1898,'AMFI DATA_2023H1'!B:D,'AMFI DATA_2023H1'!D:D)</f>
        <v>2714.14</v>
      </c>
      <c r="F1898" s="7">
        <f t="shared" si="7"/>
        <v>1.4950813148916415</v>
      </c>
      <c r="G1898" s="8">
        <v>6772</v>
      </c>
      <c r="H1898" s="8">
        <v>6108</v>
      </c>
      <c r="I1898" s="8">
        <v>5926</v>
      </c>
      <c r="J1898" s="8">
        <v>6017</v>
      </c>
      <c r="K1898" s="8">
        <v>6039</v>
      </c>
      <c r="L1898" s="8">
        <v>5918</v>
      </c>
      <c r="M1898" s="8"/>
      <c r="N1898" s="8"/>
      <c r="O1898" s="8"/>
      <c r="P1898" s="8"/>
      <c r="Q1898" s="9">
        <f ca="1">IFERROR(__xludf.DUMMYFUNCTION("GOOGLEFINANCE(C1898,""changepct"")"),-1.76)</f>
        <v>-1.76</v>
      </c>
      <c r="R1898" s="8"/>
      <c r="S1898" s="8"/>
      <c r="T1898" s="8"/>
      <c r="U1898" s="8"/>
      <c r="V1898" s="8"/>
      <c r="W1898" s="8"/>
    </row>
    <row r="1899" spans="1:23" ht="14.4">
      <c r="A1899" s="3">
        <f>LOOKUP(D1899,'AMFI DATA_2023H1'!B:C,'AMFI DATA_2023H1'!C:C)</f>
        <v>1562</v>
      </c>
      <c r="B1899" s="4" t="s">
        <v>4241</v>
      </c>
      <c r="C1899" s="4" t="s">
        <v>4242</v>
      </c>
      <c r="D1899" s="5" t="s">
        <v>4243</v>
      </c>
      <c r="E1899" s="5">
        <f>LOOKUP(D1899,'AMFI DATA_2023H1'!B:D,'AMFI DATA_2023H1'!D:D)</f>
        <v>308.16000000000003</v>
      </c>
      <c r="F1899" s="7">
        <f t="shared" si="7"/>
        <v>0.73935617860851499</v>
      </c>
      <c r="G1899" s="9">
        <v>536</v>
      </c>
      <c r="H1899" s="9">
        <v>545</v>
      </c>
      <c r="I1899" s="9">
        <v>543</v>
      </c>
      <c r="J1899" s="9">
        <v>585</v>
      </c>
      <c r="K1899" s="9">
        <v>502</v>
      </c>
      <c r="L1899" s="9">
        <v>413</v>
      </c>
      <c r="M1899" s="9"/>
      <c r="N1899" s="9"/>
      <c r="O1899" s="9"/>
      <c r="P1899" s="9"/>
      <c r="Q1899" s="9">
        <f ca="1">IFERROR(__xludf.DUMMYFUNCTION("GOOGLEFINANCE(C1899,""changepct"")"),1.88)</f>
        <v>1.88</v>
      </c>
      <c r="R1899" s="9"/>
      <c r="S1899" s="9"/>
      <c r="T1899" s="9"/>
      <c r="U1899" s="9"/>
      <c r="V1899" s="9"/>
      <c r="W1899" s="9"/>
    </row>
    <row r="1900" spans="1:23" ht="14.4">
      <c r="A1900" s="3">
        <f>LOOKUP(D1900,'AMFI DATA_2023H1'!B:C,'AMFI DATA_2023H1'!C:C)</f>
        <v>712</v>
      </c>
      <c r="B1900" s="4" t="s">
        <v>1962</v>
      </c>
      <c r="C1900" s="4" t="s">
        <v>1963</v>
      </c>
      <c r="D1900" s="5" t="s">
        <v>1964</v>
      </c>
      <c r="E1900" s="5">
        <f>LOOKUP(D1900,'AMFI DATA_2023H1'!B:D,'AMFI DATA_2023H1'!D:D)</f>
        <v>2487.46</v>
      </c>
      <c r="F1900" s="7">
        <f t="shared" si="7"/>
        <v>0.96063454286702088</v>
      </c>
      <c r="G1900" s="8">
        <v>4877</v>
      </c>
      <c r="H1900" s="8">
        <v>4747</v>
      </c>
      <c r="I1900" s="8">
        <v>4752</v>
      </c>
      <c r="J1900" s="8">
        <v>4764</v>
      </c>
      <c r="K1900" s="8">
        <v>4746</v>
      </c>
      <c r="L1900" s="8">
        <v>4775</v>
      </c>
      <c r="M1900" s="8"/>
      <c r="N1900" s="8"/>
      <c r="O1900" s="8"/>
      <c r="P1900" s="8"/>
      <c r="Q1900" s="9">
        <f ca="1">IFERROR(__xludf.DUMMYFUNCTION("GOOGLEFINANCE(C1900,""changepct"")"),-0.42)</f>
        <v>-0.42</v>
      </c>
      <c r="R1900" s="8"/>
      <c r="S1900" s="8"/>
      <c r="T1900" s="8"/>
      <c r="U1900" s="8"/>
      <c r="V1900" s="8"/>
      <c r="W1900" s="8"/>
    </row>
    <row r="1901" spans="1:23" ht="14.4">
      <c r="A1901" s="3">
        <f>LOOKUP(D1901,'AMFI DATA_2023H1'!B:C,'AMFI DATA_2023H1'!C:C)</f>
        <v>1931</v>
      </c>
      <c r="B1901" s="4" t="s">
        <v>4835</v>
      </c>
      <c r="C1901" s="4" t="s">
        <v>4836</v>
      </c>
      <c r="D1901" s="5" t="s">
        <v>4837</v>
      </c>
      <c r="E1901" s="5">
        <f>LOOKUP(D1901,'AMFI DATA_2023H1'!B:D,'AMFI DATA_2023H1'!D:D)</f>
        <v>159.21</v>
      </c>
      <c r="F1901" s="7">
        <f t="shared" si="7"/>
        <v>0.11173921236103257</v>
      </c>
      <c r="G1901" s="9">
        <v>177</v>
      </c>
      <c r="H1901" s="9">
        <v>172</v>
      </c>
      <c r="I1901" s="9">
        <v>173</v>
      </c>
      <c r="J1901" s="9">
        <v>176</v>
      </c>
      <c r="K1901" s="9">
        <v>177</v>
      </c>
      <c r="L1901" s="9">
        <v>175</v>
      </c>
      <c r="M1901" s="9"/>
      <c r="N1901" s="9"/>
      <c r="O1901" s="9"/>
      <c r="P1901" s="9"/>
      <c r="Q1901" s="9">
        <f ca="1">IFERROR(__xludf.DUMMYFUNCTION("GOOGLEFINANCE(C1901,""changepct"")"),0.04)</f>
        <v>0.04</v>
      </c>
      <c r="R1901" s="9"/>
      <c r="S1901" s="9"/>
      <c r="T1901" s="9"/>
      <c r="U1901" s="9"/>
      <c r="V1901" s="9"/>
      <c r="W1901" s="9"/>
    </row>
    <row r="1902" spans="1:23" ht="14.4">
      <c r="A1902" s="3">
        <f>LOOKUP(D1902,'AMFI DATA_2023H1'!B:C,'AMFI DATA_2023H1'!C:C)</f>
        <v>1199</v>
      </c>
      <c r="B1902" s="4" t="s">
        <v>3287</v>
      </c>
      <c r="C1902" s="4" t="s">
        <v>3288</v>
      </c>
      <c r="D1902" s="5" t="s">
        <v>3289</v>
      </c>
      <c r="E1902" s="5">
        <f>LOOKUP(D1902,'AMFI DATA_2023H1'!B:D,'AMFI DATA_2023H1'!D:D)</f>
        <v>697.82</v>
      </c>
      <c r="F1902" s="7">
        <f t="shared" si="7"/>
        <v>0.75403399157375817</v>
      </c>
      <c r="G1902" s="8">
        <v>1224</v>
      </c>
      <c r="H1902" s="8">
        <v>1205</v>
      </c>
      <c r="I1902" s="8">
        <v>1228</v>
      </c>
      <c r="J1902" s="8">
        <v>1229</v>
      </c>
      <c r="K1902" s="8">
        <v>1240</v>
      </c>
      <c r="L1902" s="8">
        <v>1260</v>
      </c>
      <c r="M1902" s="8"/>
      <c r="N1902" s="8"/>
      <c r="O1902" s="8"/>
      <c r="P1902" s="8"/>
      <c r="Q1902" s="9">
        <f ca="1">IFERROR(__xludf.DUMMYFUNCTION("GOOGLEFINANCE(C1902,""changepct"")"),0.49)</f>
        <v>0.49</v>
      </c>
      <c r="R1902" s="8"/>
      <c r="S1902" s="8"/>
      <c r="T1902" s="8"/>
      <c r="U1902" s="8"/>
      <c r="V1902" s="8"/>
      <c r="W1902" s="8"/>
    </row>
    <row r="1903" spans="1:23" ht="14.4">
      <c r="A1903" s="3">
        <f>LOOKUP(D1903,'AMFI DATA_2023H1'!B:C,'AMFI DATA_2023H1'!C:C)</f>
        <v>1888</v>
      </c>
      <c r="B1903" s="4" t="s">
        <v>5018</v>
      </c>
      <c r="C1903" s="4" t="s">
        <v>5019</v>
      </c>
      <c r="D1903" s="5" t="s">
        <v>5020</v>
      </c>
      <c r="E1903" s="5">
        <f>LOOKUP(D1903,'AMFI DATA_2023H1'!B:D,'AMFI DATA_2023H1'!D:D)</f>
        <v>167.37</v>
      </c>
      <c r="F1903" s="7">
        <f t="shared" si="7"/>
        <v>-3.8059389376829844E-2</v>
      </c>
      <c r="G1903" s="9">
        <v>161</v>
      </c>
      <c r="H1903" s="9">
        <v>169</v>
      </c>
      <c r="I1903" s="9">
        <v>166</v>
      </c>
      <c r="J1903" s="9">
        <v>175</v>
      </c>
      <c r="K1903" s="9">
        <v>146</v>
      </c>
      <c r="L1903" s="9">
        <v>147</v>
      </c>
      <c r="M1903" s="9"/>
      <c r="N1903" s="9"/>
      <c r="O1903" s="9"/>
      <c r="P1903" s="9"/>
      <c r="Q1903" s="9">
        <f ca="1">IFERROR(__xludf.DUMMYFUNCTION("GOOGLEFINANCE(C1903,""changepct"")"),-1.23)</f>
        <v>-1.23</v>
      </c>
      <c r="R1903" s="9"/>
      <c r="S1903" s="9"/>
      <c r="T1903" s="9"/>
      <c r="U1903" s="9"/>
      <c r="V1903" s="9"/>
      <c r="W1903" s="9"/>
    </row>
    <row r="1904" spans="1:23" ht="14.4">
      <c r="A1904" s="3">
        <f>LOOKUP(D1904,'AMFI DATA_2023H1'!B:C,'AMFI DATA_2023H1'!C:C)</f>
        <v>985</v>
      </c>
      <c r="B1904" s="4" t="s">
        <v>2798</v>
      </c>
      <c r="C1904" s="4" t="s">
        <v>2799</v>
      </c>
      <c r="D1904" s="5" t="s">
        <v>2800</v>
      </c>
      <c r="E1904" s="5">
        <f>LOOKUP(D1904,'AMFI DATA_2023H1'!B:D,'AMFI DATA_2023H1'!D:D)</f>
        <v>1229.17</v>
      </c>
      <c r="F1904" s="7">
        <f t="shared" si="7"/>
        <v>0.75484269873166432</v>
      </c>
      <c r="G1904" s="8">
        <v>2157</v>
      </c>
      <c r="H1904" s="8">
        <v>2150</v>
      </c>
      <c r="I1904" s="8">
        <v>2136</v>
      </c>
      <c r="J1904" s="8">
        <v>2164</v>
      </c>
      <c r="K1904" s="8">
        <v>2298</v>
      </c>
      <c r="L1904" s="8">
        <v>2351</v>
      </c>
      <c r="M1904" s="8"/>
      <c r="N1904" s="8"/>
      <c r="O1904" s="8"/>
      <c r="P1904" s="8"/>
      <c r="Q1904" s="9">
        <f ca="1">IFERROR(__xludf.DUMMYFUNCTION("GOOGLEFINANCE(C1904,""changepct"")"),7.46)</f>
        <v>7.46</v>
      </c>
      <c r="R1904" s="8"/>
      <c r="S1904" s="8"/>
      <c r="T1904" s="8"/>
      <c r="U1904" s="8"/>
      <c r="V1904" s="8"/>
      <c r="W1904" s="8"/>
    </row>
    <row r="1905" spans="1:23" ht="14.4">
      <c r="A1905" s="3">
        <f>LOOKUP(D1905,'AMFI DATA_2023H1'!B:C,'AMFI DATA_2023H1'!C:C)</f>
        <v>2035</v>
      </c>
      <c r="B1905" s="4" t="s">
        <v>5138</v>
      </c>
      <c r="C1905" s="4" t="s">
        <v>5139</v>
      </c>
      <c r="D1905" s="5" t="s">
        <v>5140</v>
      </c>
      <c r="E1905" s="5">
        <f>LOOKUP(D1905,'AMFI DATA_2023H1'!B:D,'AMFI DATA_2023H1'!D:D)</f>
        <v>133.1</v>
      </c>
      <c r="F1905" s="7">
        <f t="shared" si="7"/>
        <v>-0.16604057099924863</v>
      </c>
      <c r="G1905" s="9">
        <v>111</v>
      </c>
      <c r="H1905" s="9">
        <v>106</v>
      </c>
      <c r="I1905" s="9">
        <v>107</v>
      </c>
      <c r="J1905" s="9">
        <v>109</v>
      </c>
      <c r="K1905" s="9">
        <v>109</v>
      </c>
      <c r="L1905" s="9">
        <v>112</v>
      </c>
      <c r="M1905" s="9"/>
      <c r="N1905" s="9"/>
      <c r="O1905" s="9"/>
      <c r="P1905" s="9"/>
      <c r="Q1905" s="9">
        <f ca="1">IFERROR(__xludf.DUMMYFUNCTION("GOOGLEFINANCE(C1905,""changepct"")"),-0.37)</f>
        <v>-0.37</v>
      </c>
      <c r="R1905" s="9"/>
      <c r="S1905" s="9"/>
      <c r="T1905" s="9"/>
      <c r="U1905" s="9"/>
      <c r="V1905" s="9"/>
      <c r="W1905" s="9"/>
    </row>
    <row r="1906" spans="1:23" ht="14.4">
      <c r="A1906" s="3">
        <f>LOOKUP(D1906,'AMFI DATA_2023H1'!B:C,'AMFI DATA_2023H1'!C:C)</f>
        <v>2035</v>
      </c>
      <c r="B1906" s="4" t="s">
        <v>2738</v>
      </c>
      <c r="C1906" s="4" t="s">
        <v>2739</v>
      </c>
      <c r="D1906" s="5" t="s">
        <v>2740</v>
      </c>
      <c r="E1906" s="5">
        <f>LOOKUP(D1906,'AMFI DATA_2023H1'!B:D,'AMFI DATA_2023H1'!D:D)</f>
        <v>133.1</v>
      </c>
      <c r="F1906" s="7">
        <f t="shared" si="7"/>
        <v>13.733283245679941</v>
      </c>
      <c r="G1906" s="8">
        <v>1961</v>
      </c>
      <c r="H1906" s="8">
        <v>1863</v>
      </c>
      <c r="I1906" s="8">
        <v>1843</v>
      </c>
      <c r="J1906" s="8">
        <v>1850</v>
      </c>
      <c r="K1906" s="8">
        <v>1886</v>
      </c>
      <c r="L1906" s="8">
        <v>1811</v>
      </c>
      <c r="M1906" s="8"/>
      <c r="N1906" s="8"/>
      <c r="O1906" s="8"/>
      <c r="P1906" s="8"/>
      <c r="Q1906" s="9">
        <f ca="1">IFERROR(__xludf.DUMMYFUNCTION("GOOGLEFINANCE(C1906,""changepct"")"),0.29)</f>
        <v>0.28999999999999998</v>
      </c>
      <c r="R1906" s="8"/>
      <c r="S1906" s="8"/>
      <c r="T1906" s="8"/>
      <c r="U1906" s="8"/>
      <c r="V1906" s="8"/>
      <c r="W1906" s="8"/>
    </row>
    <row r="1907" spans="1:23" ht="14.4">
      <c r="A1907" s="3">
        <f>LOOKUP(D1907,'AMFI DATA_2023H1'!B:C,'AMFI DATA_2023H1'!C:C)</f>
        <v>2035</v>
      </c>
      <c r="B1907" s="4" t="s">
        <v>2228</v>
      </c>
      <c r="C1907" s="4" t="s">
        <v>2229</v>
      </c>
      <c r="D1907" s="5" t="s">
        <v>2230</v>
      </c>
      <c r="E1907" s="5">
        <f>LOOKUP(D1907,'AMFI DATA_2023H1'!B:D,'AMFI DATA_2023H1'!D:D)</f>
        <v>133.1</v>
      </c>
      <c r="F1907" s="7">
        <f t="shared" si="7"/>
        <v>23.184823441021788</v>
      </c>
      <c r="G1907" s="8">
        <v>3219</v>
      </c>
      <c r="H1907" s="8">
        <v>3228</v>
      </c>
      <c r="I1907" s="8">
        <v>3222</v>
      </c>
      <c r="J1907" s="8">
        <v>3267</v>
      </c>
      <c r="K1907" s="8">
        <v>3258</v>
      </c>
      <c r="L1907" s="8">
        <v>3265</v>
      </c>
      <c r="M1907" s="8"/>
      <c r="N1907" s="8"/>
      <c r="O1907" s="8"/>
      <c r="P1907" s="8"/>
      <c r="Q1907" s="9">
        <f ca="1">IFERROR(__xludf.DUMMYFUNCTION("GOOGLEFINANCE(C1907,""changepct"")"),3.55)</f>
        <v>3.55</v>
      </c>
      <c r="R1907" s="8"/>
      <c r="S1907" s="8"/>
      <c r="T1907" s="8"/>
      <c r="U1907" s="8"/>
      <c r="V1907" s="8"/>
      <c r="W1907" s="8"/>
    </row>
    <row r="1908" spans="1:23" ht="14.4">
      <c r="A1908" s="3">
        <f>LOOKUP(D1908,'AMFI DATA_2023H1'!B:C,'AMFI DATA_2023H1'!C:C)</f>
        <v>2035</v>
      </c>
      <c r="B1908" s="4" t="s">
        <v>2636</v>
      </c>
      <c r="C1908" s="4" t="s">
        <v>2637</v>
      </c>
      <c r="D1908" s="5" t="s">
        <v>2638</v>
      </c>
      <c r="E1908" s="5">
        <f>LOOKUP(D1908,'AMFI DATA_2023H1'!B:D,'AMFI DATA_2023H1'!D:D)</f>
        <v>133.1</v>
      </c>
      <c r="F1908" s="7">
        <f t="shared" si="7"/>
        <v>16.54320060105184</v>
      </c>
      <c r="G1908" s="8">
        <v>2335</v>
      </c>
      <c r="H1908" s="8">
        <v>2260</v>
      </c>
      <c r="I1908" s="8">
        <v>2275</v>
      </c>
      <c r="J1908" s="8">
        <v>2246</v>
      </c>
      <c r="K1908" s="8">
        <v>2220</v>
      </c>
      <c r="L1908" s="8">
        <v>2201</v>
      </c>
      <c r="M1908" s="8"/>
      <c r="N1908" s="8"/>
      <c r="O1908" s="8"/>
      <c r="P1908" s="8"/>
      <c r="Q1908" s="9">
        <f ca="1">IFERROR(__xludf.DUMMYFUNCTION("GOOGLEFINANCE(C1908,""changepct"")"),-0.23)</f>
        <v>-0.23</v>
      </c>
      <c r="R1908" s="8"/>
      <c r="S1908" s="8"/>
      <c r="T1908" s="8"/>
      <c r="U1908" s="8"/>
      <c r="V1908" s="8"/>
      <c r="W1908" s="8"/>
    </row>
    <row r="1909" spans="1:23" ht="14.4">
      <c r="A1909" s="3">
        <f>LOOKUP(D1909,'AMFI DATA_2023H1'!B:C,'AMFI DATA_2023H1'!C:C)</f>
        <v>109</v>
      </c>
      <c r="B1909" s="4" t="s">
        <v>384</v>
      </c>
      <c r="C1909" s="4" t="s">
        <v>385</v>
      </c>
      <c r="D1909" s="5" t="s">
        <v>386</v>
      </c>
      <c r="E1909" s="5">
        <f>LOOKUP(D1909,'AMFI DATA_2023H1'!B:D,'AMFI DATA_2023H1'!D:D)</f>
        <v>48018.99</v>
      </c>
      <c r="F1909" s="7">
        <f t="shared" si="7"/>
        <v>0.35665077503712594</v>
      </c>
      <c r="G1909" s="8">
        <v>65145</v>
      </c>
      <c r="H1909" s="8">
        <v>61722</v>
      </c>
      <c r="I1909" s="8">
        <v>60054</v>
      </c>
      <c r="J1909" s="8">
        <v>60256</v>
      </c>
      <c r="K1909" s="8">
        <v>60227</v>
      </c>
      <c r="L1909" s="8">
        <v>60543</v>
      </c>
      <c r="M1909" s="8"/>
      <c r="N1909" s="8"/>
      <c r="O1909" s="8"/>
      <c r="P1909" s="8"/>
      <c r="Q1909" s="9">
        <f ca="1">IFERROR(__xludf.DUMMYFUNCTION("GOOGLEFINANCE(C1909,""changepct"")"),1)</f>
        <v>1</v>
      </c>
      <c r="R1909" s="8"/>
      <c r="S1909" s="8"/>
      <c r="T1909" s="8"/>
      <c r="U1909" s="8"/>
      <c r="V1909" s="8"/>
      <c r="W1909" s="8"/>
    </row>
    <row r="1910" spans="1:23" ht="14.4">
      <c r="A1910" s="3">
        <f>LOOKUP(D1910,'AMFI DATA_2023H1'!B:C,'AMFI DATA_2023H1'!C:C)</f>
        <v>1218</v>
      </c>
      <c r="B1910" s="4" t="s">
        <v>3500</v>
      </c>
      <c r="C1910" s="4" t="s">
        <v>3501</v>
      </c>
      <c r="D1910" s="5" t="s">
        <v>3502</v>
      </c>
      <c r="E1910" s="5">
        <f>LOOKUP(D1910,'AMFI DATA_2023H1'!B:D,'AMFI DATA_2023H1'!D:D)</f>
        <v>667.93</v>
      </c>
      <c r="F1910" s="7">
        <f t="shared" si="7"/>
        <v>0.34744658871438627</v>
      </c>
      <c r="G1910" s="9">
        <v>900</v>
      </c>
      <c r="H1910" s="9">
        <v>930</v>
      </c>
      <c r="I1910" s="9">
        <v>932</v>
      </c>
      <c r="J1910" s="9">
        <v>927</v>
      </c>
      <c r="K1910" s="9">
        <v>916</v>
      </c>
      <c r="L1910" s="9">
        <v>848</v>
      </c>
      <c r="M1910" s="9"/>
      <c r="N1910" s="9"/>
      <c r="O1910" s="9"/>
      <c r="P1910" s="9"/>
      <c r="Q1910" s="9">
        <f ca="1">IFERROR(__xludf.DUMMYFUNCTION("GOOGLEFINANCE(C1910,""changepct"")"),1.04)</f>
        <v>1.04</v>
      </c>
      <c r="R1910" s="9"/>
      <c r="S1910" s="9"/>
      <c r="T1910" s="9"/>
      <c r="U1910" s="9"/>
      <c r="V1910" s="9"/>
      <c r="W1910" s="9"/>
    </row>
    <row r="1911" spans="1:23" ht="14.4">
      <c r="A1911" s="3">
        <f>LOOKUP(D1911,'AMFI DATA_2023H1'!B:C,'AMFI DATA_2023H1'!C:C)</f>
        <v>1218</v>
      </c>
      <c r="B1911" s="4" t="s">
        <v>2375</v>
      </c>
      <c r="C1911" s="4" t="s">
        <v>2376</v>
      </c>
      <c r="D1911" s="5" t="s">
        <v>2377</v>
      </c>
      <c r="E1911" s="5">
        <f>LOOKUP(D1911,'AMFI DATA_2023H1'!B:D,'AMFI DATA_2023H1'!D:D)</f>
        <v>667.93</v>
      </c>
      <c r="F1911" s="7">
        <f t="shared" si="7"/>
        <v>2.9689787852020424</v>
      </c>
      <c r="G1911" s="8">
        <v>2651</v>
      </c>
      <c r="H1911" s="8">
        <v>2721</v>
      </c>
      <c r="I1911" s="8">
        <v>2662</v>
      </c>
      <c r="J1911" s="8">
        <v>2697</v>
      </c>
      <c r="K1911" s="8">
        <v>2712</v>
      </c>
      <c r="L1911" s="8">
        <v>2740</v>
      </c>
      <c r="M1911" s="8"/>
      <c r="N1911" s="8"/>
      <c r="O1911" s="8"/>
      <c r="P1911" s="8"/>
      <c r="Q1911" s="9">
        <f ca="1">IFERROR(__xludf.DUMMYFUNCTION("GOOGLEFINANCE(C1911,""changepct"")"),2.28)</f>
        <v>2.2799999999999998</v>
      </c>
      <c r="R1911" s="8"/>
      <c r="S1911" s="8"/>
      <c r="T1911" s="8"/>
      <c r="U1911" s="8"/>
      <c r="V1911" s="8"/>
      <c r="W1911" s="8"/>
    </row>
    <row r="1912" spans="1:23" ht="14.4">
      <c r="A1912" s="3">
        <f>LOOKUP(D1912,'AMFI DATA_2023H1'!B:C,'AMFI DATA_2023H1'!C:C)</f>
        <v>226</v>
      </c>
      <c r="B1912" s="4" t="s">
        <v>702</v>
      </c>
      <c r="C1912" s="4" t="s">
        <v>703</v>
      </c>
      <c r="D1912" s="5" t="s">
        <v>704</v>
      </c>
      <c r="E1912" s="5">
        <f>LOOKUP(D1912,'AMFI DATA_2023H1'!B:D,'AMFI DATA_2023H1'!D:D)</f>
        <v>19602.349999999999</v>
      </c>
      <c r="F1912" s="7">
        <f t="shared" si="7"/>
        <v>0.39651623402296154</v>
      </c>
      <c r="G1912" s="8">
        <v>27375</v>
      </c>
      <c r="H1912" s="8">
        <v>26381</v>
      </c>
      <c r="I1912" s="8">
        <v>26035</v>
      </c>
      <c r="J1912" s="8">
        <v>25559</v>
      </c>
      <c r="K1912" s="8">
        <v>25415</v>
      </c>
      <c r="L1912" s="8">
        <v>25699</v>
      </c>
      <c r="M1912" s="8"/>
      <c r="N1912" s="8"/>
      <c r="O1912" s="8"/>
      <c r="P1912" s="8"/>
      <c r="Q1912" s="9">
        <f ca="1">IFERROR(__xludf.DUMMYFUNCTION("GOOGLEFINANCE(C1912,""changepct"")"),-6.93)</f>
        <v>-6.93</v>
      </c>
      <c r="R1912" s="8"/>
      <c r="S1912" s="8"/>
      <c r="T1912" s="8"/>
      <c r="U1912" s="8"/>
      <c r="V1912" s="8"/>
      <c r="W1912" s="8"/>
    </row>
    <row r="1913" spans="1:23" ht="14.4">
      <c r="A1913" s="3">
        <f>LOOKUP(D1913,'AMFI DATA_2023H1'!B:C,'AMFI DATA_2023H1'!C:C)</f>
        <v>2013</v>
      </c>
      <c r="B1913" s="4" t="s">
        <v>4823</v>
      </c>
      <c r="C1913" s="4" t="s">
        <v>4824</v>
      </c>
      <c r="D1913" s="5" t="s">
        <v>4825</v>
      </c>
      <c r="E1913" s="5">
        <f>LOOKUP(D1913,'AMFI DATA_2023H1'!B:D,'AMFI DATA_2023H1'!D:D)</f>
        <v>141.13</v>
      </c>
      <c r="F1913" s="7">
        <f t="shared" si="7"/>
        <v>0.58010345071919511</v>
      </c>
      <c r="G1913" s="9">
        <v>223</v>
      </c>
      <c r="H1913" s="9">
        <v>214</v>
      </c>
      <c r="I1913" s="9">
        <v>204</v>
      </c>
      <c r="J1913" s="9">
        <v>215</v>
      </c>
      <c r="K1913" s="9">
        <v>219</v>
      </c>
      <c r="L1913" s="9">
        <v>202</v>
      </c>
      <c r="M1913" s="9"/>
      <c r="N1913" s="9"/>
      <c r="O1913" s="9"/>
      <c r="P1913" s="9"/>
      <c r="Q1913" s="9">
        <f ca="1">IFERROR(__xludf.DUMMYFUNCTION("GOOGLEFINANCE(C1913,""changepct"")"),-3.77)</f>
        <v>-3.77</v>
      </c>
      <c r="R1913" s="9"/>
      <c r="S1913" s="9"/>
      <c r="T1913" s="9"/>
      <c r="U1913" s="9"/>
      <c r="V1913" s="9"/>
      <c r="W1913" s="9"/>
    </row>
    <row r="1914" spans="1:23" ht="14.4">
      <c r="A1914" s="3">
        <f>LOOKUP(D1914,'AMFI DATA_2023H1'!B:C,'AMFI DATA_2023H1'!C:C)</f>
        <v>1242</v>
      </c>
      <c r="B1914" s="4" t="s">
        <v>3545</v>
      </c>
      <c r="C1914" s="4" t="s">
        <v>3546</v>
      </c>
      <c r="D1914" s="5" t="s">
        <v>3547</v>
      </c>
      <c r="E1914" s="5">
        <f>LOOKUP(D1914,'AMFI DATA_2023H1'!B:D,'AMFI DATA_2023H1'!D:D)</f>
        <v>618.22</v>
      </c>
      <c r="F1914" s="7">
        <f t="shared" si="7"/>
        <v>0.63372262301446081</v>
      </c>
      <c r="G1914" s="9">
        <v>1010</v>
      </c>
      <c r="H1914" s="9">
        <v>946</v>
      </c>
      <c r="I1914" s="9">
        <v>951</v>
      </c>
      <c r="J1914" s="9">
        <v>964</v>
      </c>
      <c r="K1914" s="9">
        <v>960</v>
      </c>
      <c r="L1914" s="9">
        <v>982</v>
      </c>
      <c r="M1914" s="9"/>
      <c r="N1914" s="9"/>
      <c r="O1914" s="9"/>
      <c r="P1914" s="9"/>
      <c r="Q1914" s="9">
        <f ca="1">IFERROR(__xludf.DUMMYFUNCTION("GOOGLEFINANCE(C1914,""changepct"")"),-2.11)</f>
        <v>-2.11</v>
      </c>
      <c r="R1914" s="9"/>
      <c r="S1914" s="9"/>
      <c r="T1914" s="9"/>
      <c r="U1914" s="9"/>
      <c r="V1914" s="9"/>
      <c r="W1914" s="9"/>
    </row>
    <row r="1915" spans="1:23" ht="14.4">
      <c r="A1915" s="3">
        <f>LOOKUP(D1915,'AMFI DATA_2023H1'!B:C,'AMFI DATA_2023H1'!C:C)</f>
        <v>734</v>
      </c>
      <c r="B1915" s="4" t="s">
        <v>1692</v>
      </c>
      <c r="C1915" s="4" t="s">
        <v>1693</v>
      </c>
      <c r="D1915" s="5" t="s">
        <v>1694</v>
      </c>
      <c r="E1915" s="5">
        <f>LOOKUP(D1915,'AMFI DATA_2023H1'!B:D,'AMFI DATA_2023H1'!D:D)</f>
        <v>2327.2800000000002</v>
      </c>
      <c r="F1915" s="7">
        <f t="shared" si="7"/>
        <v>1.8492489085971604</v>
      </c>
      <c r="G1915" s="8">
        <v>6631</v>
      </c>
      <c r="H1915" s="8">
        <v>6692</v>
      </c>
      <c r="I1915" s="8">
        <v>6779</v>
      </c>
      <c r="J1915" s="8">
        <v>6803</v>
      </c>
      <c r="K1915" s="8">
        <v>6477</v>
      </c>
      <c r="L1915" s="8">
        <v>6277</v>
      </c>
      <c r="M1915" s="8"/>
      <c r="N1915" s="8"/>
      <c r="O1915" s="8"/>
      <c r="P1915" s="8"/>
      <c r="Q1915" s="9">
        <f ca="1">IFERROR(__xludf.DUMMYFUNCTION("GOOGLEFINANCE(C1915,""changepct"")"),-0.73)</f>
        <v>-0.73</v>
      </c>
      <c r="R1915" s="8"/>
      <c r="S1915" s="8"/>
      <c r="T1915" s="8"/>
      <c r="U1915" s="8"/>
      <c r="V1915" s="8"/>
      <c r="W1915" s="8"/>
    </row>
    <row r="1916" spans="1:23" ht="14.4">
      <c r="A1916" s="3">
        <f>LOOKUP(D1916,'AMFI DATA_2023H1'!B:C,'AMFI DATA_2023H1'!C:C)</f>
        <v>2633</v>
      </c>
      <c r="B1916" s="4" t="s">
        <v>5395</v>
      </c>
      <c r="C1916" s="4" t="s">
        <v>5396</v>
      </c>
      <c r="D1916" s="5" t="s">
        <v>5397</v>
      </c>
      <c r="E1916" s="5">
        <f>LOOKUP(D1916,'AMFI DATA_2023H1'!B:D,'AMFI DATA_2023H1'!D:D)</f>
        <v>50.67</v>
      </c>
      <c r="F1916" s="7">
        <f t="shared" si="7"/>
        <v>0.71896585750937425</v>
      </c>
      <c r="G1916" s="9">
        <v>87.1</v>
      </c>
      <c r="H1916" s="9">
        <v>86.4</v>
      </c>
      <c r="I1916" s="9">
        <v>89.4</v>
      </c>
      <c r="J1916" s="9">
        <v>89.2</v>
      </c>
      <c r="K1916" s="9">
        <v>84.7</v>
      </c>
      <c r="L1916" s="9">
        <v>85.2</v>
      </c>
      <c r="M1916" s="9"/>
      <c r="N1916" s="9"/>
      <c r="O1916" s="9"/>
      <c r="P1916" s="9"/>
      <c r="Q1916" s="9">
        <f ca="1">IFERROR(__xludf.DUMMYFUNCTION("GOOGLEFINANCE(C1916,""changepct"")"),0.69)</f>
        <v>0.69</v>
      </c>
      <c r="R1916" s="9"/>
      <c r="S1916" s="9"/>
      <c r="T1916" s="9"/>
      <c r="U1916" s="9"/>
      <c r="V1916" s="9"/>
      <c r="W1916" s="9"/>
    </row>
    <row r="1917" spans="1:23" ht="14.4">
      <c r="A1917" s="3">
        <f>LOOKUP(D1917,'AMFI DATA_2023H1'!B:C,'AMFI DATA_2023H1'!C:C)</f>
        <v>2504</v>
      </c>
      <c r="B1917" s="4" t="s">
        <v>5359</v>
      </c>
      <c r="C1917" s="4" t="s">
        <v>5360</v>
      </c>
      <c r="D1917" s="5" t="s">
        <v>5361</v>
      </c>
      <c r="E1917" s="5">
        <f>LOOKUP(D1917,'AMFI DATA_2023H1'!B:D,'AMFI DATA_2023H1'!D:D)</f>
        <v>63.53</v>
      </c>
      <c r="F1917" s="7">
        <f t="shared" si="7"/>
        <v>0.74720604438847782</v>
      </c>
      <c r="G1917" s="9">
        <v>111</v>
      </c>
      <c r="H1917" s="9">
        <v>113</v>
      </c>
      <c r="I1917" s="9">
        <v>108</v>
      </c>
      <c r="J1917" s="9">
        <v>103</v>
      </c>
      <c r="K1917" s="9">
        <v>97.3</v>
      </c>
      <c r="L1917" s="9">
        <v>93.2</v>
      </c>
      <c r="M1917" s="9"/>
      <c r="N1917" s="9"/>
      <c r="O1917" s="9"/>
      <c r="P1917" s="9"/>
      <c r="Q1917" s="9">
        <f ca="1">IFERROR(__xludf.DUMMYFUNCTION("GOOGLEFINANCE(C1917,""changepct"")"),-2.88)</f>
        <v>-2.88</v>
      </c>
      <c r="R1917" s="9"/>
      <c r="S1917" s="9"/>
      <c r="T1917" s="9"/>
      <c r="U1917" s="9"/>
      <c r="V1917" s="9"/>
      <c r="W1917" s="9"/>
    </row>
    <row r="1918" spans="1:23" ht="14.4">
      <c r="A1918" s="3">
        <f>LOOKUP(D1918,'AMFI DATA_2023H1'!B:C,'AMFI DATA_2023H1'!C:C)</f>
        <v>432</v>
      </c>
      <c r="B1918" s="4" t="s">
        <v>1125</v>
      </c>
      <c r="C1918" s="4" t="s">
        <v>1126</v>
      </c>
      <c r="D1918" s="5" t="s">
        <v>1127</v>
      </c>
      <c r="E1918" s="5">
        <f>LOOKUP(D1918,'AMFI DATA_2023H1'!B:D,'AMFI DATA_2023H1'!D:D)</f>
        <v>6659.72</v>
      </c>
      <c r="F1918" s="7">
        <f t="shared" si="7"/>
        <v>1.0678046524478506</v>
      </c>
      <c r="G1918" s="8">
        <v>13771</v>
      </c>
      <c r="H1918" s="8">
        <v>13830</v>
      </c>
      <c r="I1918" s="8">
        <v>14044</v>
      </c>
      <c r="J1918" s="8">
        <v>14209</v>
      </c>
      <c r="K1918" s="8">
        <v>14028</v>
      </c>
      <c r="L1918" s="8">
        <v>14045</v>
      </c>
      <c r="M1918" s="8"/>
      <c r="N1918" s="8"/>
      <c r="O1918" s="8"/>
      <c r="P1918" s="8"/>
      <c r="Q1918" s="9">
        <f ca="1">IFERROR(__xludf.DUMMYFUNCTION("GOOGLEFINANCE(C1918,""changepct"")"),0.71)</f>
        <v>0.71</v>
      </c>
      <c r="R1918" s="8"/>
      <c r="S1918" s="8"/>
      <c r="T1918" s="8"/>
      <c r="U1918" s="8"/>
      <c r="V1918" s="8"/>
      <c r="W1918" s="8"/>
    </row>
    <row r="1919" spans="1:23" ht="14.4">
      <c r="A1919" s="3">
        <f>LOOKUP(D1919,'AMFI DATA_2023H1'!B:C,'AMFI DATA_2023H1'!C:C)</f>
        <v>228</v>
      </c>
      <c r="B1919" s="4" t="s">
        <v>645</v>
      </c>
      <c r="C1919" s="4" t="s">
        <v>646</v>
      </c>
      <c r="D1919" s="5" t="s">
        <v>647</v>
      </c>
      <c r="E1919" s="5">
        <f>LOOKUP(D1919,'AMFI DATA_2023H1'!B:D,'AMFI DATA_2023H1'!D:D)</f>
        <v>19506.11</v>
      </c>
      <c r="F1919" s="7">
        <f t="shared" si="7"/>
        <v>0.58806650839147312</v>
      </c>
      <c r="G1919" s="8">
        <v>30977</v>
      </c>
      <c r="H1919" s="8">
        <v>30374</v>
      </c>
      <c r="I1919" s="8">
        <v>29388</v>
      </c>
      <c r="J1919" s="8">
        <v>29113</v>
      </c>
      <c r="K1919" s="8">
        <v>28977</v>
      </c>
      <c r="L1919" s="8">
        <v>29457</v>
      </c>
      <c r="M1919" s="8"/>
      <c r="N1919" s="8"/>
      <c r="O1919" s="8"/>
      <c r="P1919" s="8"/>
      <c r="Q1919" s="9">
        <f ca="1">IFERROR(__xludf.DUMMYFUNCTION("GOOGLEFINANCE(C1919,""changepct"")"),0.78)</f>
        <v>0.78</v>
      </c>
      <c r="R1919" s="8"/>
      <c r="S1919" s="8"/>
      <c r="T1919" s="8"/>
      <c r="U1919" s="8"/>
      <c r="V1919" s="8"/>
      <c r="W1919" s="8"/>
    </row>
    <row r="1920" spans="1:23" ht="14.4">
      <c r="A1920" s="3">
        <f>LOOKUP(D1920,'AMFI DATA_2023H1'!B:C,'AMFI DATA_2023H1'!C:C)</f>
        <v>1378</v>
      </c>
      <c r="B1920" s="4" t="s">
        <v>3845</v>
      </c>
      <c r="C1920" s="4" t="s">
        <v>3846</v>
      </c>
      <c r="D1920" s="5" t="s">
        <v>3847</v>
      </c>
      <c r="E1920" s="5">
        <f>LOOKUP(D1920,'AMFI DATA_2023H1'!B:D,'AMFI DATA_2023H1'!D:D)</f>
        <v>431.79</v>
      </c>
      <c r="F1920" s="7">
        <f t="shared" si="7"/>
        <v>0.33398179670673245</v>
      </c>
      <c r="G1920" s="9">
        <v>576</v>
      </c>
      <c r="H1920" s="9">
        <v>565</v>
      </c>
      <c r="I1920" s="9">
        <v>562</v>
      </c>
      <c r="J1920" s="9">
        <v>584</v>
      </c>
      <c r="K1920" s="9">
        <v>559</v>
      </c>
      <c r="L1920" s="9">
        <v>567</v>
      </c>
      <c r="M1920" s="9"/>
      <c r="N1920" s="9"/>
      <c r="O1920" s="9"/>
      <c r="P1920" s="9"/>
      <c r="Q1920" s="9">
        <f ca="1">IFERROR(__xludf.DUMMYFUNCTION("GOOGLEFINANCE(C1920,""changepct"")"),-1.57)</f>
        <v>-1.57</v>
      </c>
      <c r="R1920" s="9"/>
      <c r="S1920" s="9"/>
      <c r="T1920" s="9"/>
      <c r="U1920" s="9"/>
      <c r="V1920" s="9"/>
      <c r="W1920" s="9"/>
    </row>
    <row r="1921" spans="1:23" ht="14.4">
      <c r="A1921" s="3">
        <f>LOOKUP(D1921,'AMFI DATA_2023H1'!B:C,'AMFI DATA_2023H1'!C:C)</f>
        <v>1699</v>
      </c>
      <c r="B1921" s="4" t="s">
        <v>4367</v>
      </c>
      <c r="C1921" s="4" t="s">
        <v>4368</v>
      </c>
      <c r="D1921" s="5" t="s">
        <v>4369</v>
      </c>
      <c r="E1921" s="5">
        <f>LOOKUP(D1921,'AMFI DATA_2023H1'!B:D,'AMFI DATA_2023H1'!D:D)</f>
        <v>240.82</v>
      </c>
      <c r="F1921" s="7">
        <f t="shared" si="7"/>
        <v>0.39108047504360099</v>
      </c>
      <c r="G1921" s="9">
        <v>335</v>
      </c>
      <c r="H1921" s="9">
        <v>328</v>
      </c>
      <c r="I1921" s="9">
        <v>333</v>
      </c>
      <c r="J1921" s="9">
        <v>333</v>
      </c>
      <c r="K1921" s="9">
        <v>335</v>
      </c>
      <c r="L1921" s="9">
        <v>335</v>
      </c>
      <c r="M1921" s="9"/>
      <c r="N1921" s="9"/>
      <c r="O1921" s="9"/>
      <c r="P1921" s="9"/>
      <c r="Q1921" s="9">
        <f ca="1">IFERROR(__xludf.DUMMYFUNCTION("GOOGLEFINANCE(C1921,""changepct"")"),0.61)</f>
        <v>0.61</v>
      </c>
      <c r="R1921" s="9"/>
      <c r="S1921" s="9"/>
      <c r="T1921" s="9"/>
      <c r="U1921" s="9"/>
      <c r="V1921" s="9"/>
      <c r="W1921" s="9"/>
    </row>
    <row r="1922" spans="1:23" ht="14.4">
      <c r="A1922" s="3">
        <f>LOOKUP(D1922,'AMFI DATA_2023H1'!B:C,'AMFI DATA_2023H1'!C:C)</f>
        <v>1906</v>
      </c>
      <c r="B1922" s="4" t="s">
        <v>4652</v>
      </c>
      <c r="C1922" s="4" t="s">
        <v>4653</v>
      </c>
      <c r="D1922" s="5" t="s">
        <v>4654</v>
      </c>
      <c r="E1922" s="5">
        <f>LOOKUP(D1922,'AMFI DATA_2023H1'!B:D,'AMFI DATA_2023H1'!D:D)</f>
        <v>164.84</v>
      </c>
      <c r="F1922" s="7">
        <f t="shared" si="7"/>
        <v>0.85634554719728206</v>
      </c>
      <c r="G1922" s="9">
        <v>306</v>
      </c>
      <c r="H1922" s="9">
        <v>291</v>
      </c>
      <c r="I1922" s="9">
        <v>278</v>
      </c>
      <c r="J1922" s="9">
        <v>264</v>
      </c>
      <c r="K1922" s="9">
        <v>250</v>
      </c>
      <c r="L1922" s="9">
        <v>239</v>
      </c>
      <c r="M1922" s="9"/>
      <c r="N1922" s="9"/>
      <c r="O1922" s="9"/>
      <c r="P1922" s="9"/>
      <c r="Q1922" s="9">
        <f ca="1">IFERROR(__xludf.DUMMYFUNCTION("GOOGLEFINANCE(C1922,""changepct"")"),-3.95)</f>
        <v>-3.95</v>
      </c>
      <c r="R1922" s="9"/>
      <c r="S1922" s="9"/>
      <c r="T1922" s="9"/>
      <c r="U1922" s="9"/>
      <c r="V1922" s="9"/>
      <c r="W1922" s="9"/>
    </row>
    <row r="1923" spans="1:23" ht="14.4">
      <c r="A1923" s="3">
        <f>LOOKUP(D1923,'AMFI DATA_2023H1'!B:C,'AMFI DATA_2023H1'!C:C)</f>
        <v>97</v>
      </c>
      <c r="B1923" s="4" t="s">
        <v>216</v>
      </c>
      <c r="C1923" s="4" t="s">
        <v>217</v>
      </c>
      <c r="D1923" s="5" t="s">
        <v>218</v>
      </c>
      <c r="E1923" s="5">
        <f>LOOKUP(D1923,'AMFI DATA_2023H1'!B:D,'AMFI DATA_2023H1'!D:D)</f>
        <v>50363.01</v>
      </c>
      <c r="F1923" s="7">
        <f t="shared" si="7"/>
        <v>1.1533859870567702</v>
      </c>
      <c r="G1923" s="8">
        <v>108451</v>
      </c>
      <c r="H1923" s="8">
        <v>107754</v>
      </c>
      <c r="I1923" s="8">
        <v>107318</v>
      </c>
      <c r="J1923" s="8">
        <v>110672</v>
      </c>
      <c r="K1923" s="8">
        <v>108929</v>
      </c>
      <c r="L1923" s="8">
        <v>111935</v>
      </c>
      <c r="M1923" s="8"/>
      <c r="N1923" s="8"/>
      <c r="O1923" s="8"/>
      <c r="P1923" s="8"/>
      <c r="Q1923" s="9">
        <f ca="1">IFERROR(__xludf.DUMMYFUNCTION("GOOGLEFINANCE(C1923,""changepct"")"),3.51)</f>
        <v>3.51</v>
      </c>
      <c r="R1923" s="8"/>
      <c r="S1923" s="8"/>
      <c r="T1923" s="8"/>
      <c r="U1923" s="8"/>
      <c r="V1923" s="8"/>
      <c r="W1923" s="8"/>
    </row>
    <row r="1924" spans="1:23" ht="14.4">
      <c r="A1924" s="3">
        <f>LOOKUP(D1924,'AMFI DATA_2023H1'!B:C,'AMFI DATA_2023H1'!C:C)</f>
        <v>1157</v>
      </c>
      <c r="B1924" s="4" t="s">
        <v>3293</v>
      </c>
      <c r="C1924" s="4" t="s">
        <v>3294</v>
      </c>
      <c r="D1924" s="5" t="s">
        <v>3295</v>
      </c>
      <c r="E1924" s="5">
        <f>LOOKUP(D1924,'AMFI DATA_2023H1'!B:D,'AMFI DATA_2023H1'!D:D)</f>
        <v>779.7</v>
      </c>
      <c r="F1924" s="7">
        <f t="shared" si="7"/>
        <v>0.5929203539823007</v>
      </c>
      <c r="G1924" s="8">
        <v>1242</v>
      </c>
      <c r="H1924" s="8">
        <v>1221</v>
      </c>
      <c r="I1924" s="8">
        <v>1244</v>
      </c>
      <c r="J1924" s="8">
        <v>1220</v>
      </c>
      <c r="K1924" s="8">
        <v>1247</v>
      </c>
      <c r="L1924" s="8">
        <v>1230</v>
      </c>
      <c r="M1924" s="8"/>
      <c r="N1924" s="8"/>
      <c r="O1924" s="8"/>
      <c r="P1924" s="8"/>
      <c r="Q1924" s="9">
        <f ca="1">IFERROR(__xludf.DUMMYFUNCTION("GOOGLEFINANCE(C1924,""changepct"")"),-0.96)</f>
        <v>-0.96</v>
      </c>
      <c r="R1924" s="8"/>
      <c r="S1924" s="8"/>
      <c r="T1924" s="8"/>
      <c r="U1924" s="8"/>
      <c r="V1924" s="8"/>
      <c r="W1924" s="8"/>
    </row>
    <row r="1925" spans="1:23" ht="14.4">
      <c r="A1925" s="3">
        <f>LOOKUP(D1925,'AMFI DATA_2023H1'!B:C,'AMFI DATA_2023H1'!C:C)</f>
        <v>1257</v>
      </c>
      <c r="B1925" s="4" t="s">
        <v>3710</v>
      </c>
      <c r="C1925" s="4" t="s">
        <v>3711</v>
      </c>
      <c r="D1925" s="5" t="s">
        <v>3712</v>
      </c>
      <c r="E1925" s="5">
        <f>LOOKUP(D1925,'AMFI DATA_2023H1'!B:D,'AMFI DATA_2023H1'!D:D)</f>
        <v>593.12</v>
      </c>
      <c r="F1925" s="7">
        <f t="shared" si="7"/>
        <v>0.39600755327758286</v>
      </c>
      <c r="G1925" s="9">
        <v>828</v>
      </c>
      <c r="H1925" s="9">
        <v>794</v>
      </c>
      <c r="I1925" s="9">
        <v>773</v>
      </c>
      <c r="J1925" s="9">
        <v>786</v>
      </c>
      <c r="K1925" s="9">
        <v>810</v>
      </c>
      <c r="L1925" s="9">
        <v>793</v>
      </c>
      <c r="M1925" s="9"/>
      <c r="N1925" s="9"/>
      <c r="O1925" s="9"/>
      <c r="P1925" s="9"/>
      <c r="Q1925" s="9">
        <f ca="1">IFERROR(__xludf.DUMMYFUNCTION("GOOGLEFINANCE(C1925,""changepct"")"),9.07)</f>
        <v>9.07</v>
      </c>
      <c r="R1925" s="9"/>
      <c r="S1925" s="9"/>
      <c r="T1925" s="9"/>
      <c r="U1925" s="9"/>
      <c r="V1925" s="9"/>
      <c r="W1925" s="9"/>
    </row>
    <row r="1926" spans="1:23" ht="14.4">
      <c r="A1926" s="3">
        <f>LOOKUP(D1926,'AMFI DATA_2023H1'!B:C,'AMFI DATA_2023H1'!C:C)</f>
        <v>1443</v>
      </c>
      <c r="B1926" s="4" t="s">
        <v>4043</v>
      </c>
      <c r="C1926" s="4" t="s">
        <v>4044</v>
      </c>
      <c r="D1926" s="5" t="s">
        <v>4045</v>
      </c>
      <c r="E1926" s="5">
        <f>LOOKUP(D1926,'AMFI DATA_2023H1'!B:D,'AMFI DATA_2023H1'!D:D)</f>
        <v>384.75</v>
      </c>
      <c r="F1926" s="7">
        <f t="shared" si="7"/>
        <v>0.56465237166991544</v>
      </c>
      <c r="G1926" s="9">
        <v>602</v>
      </c>
      <c r="H1926" s="9">
        <v>587</v>
      </c>
      <c r="I1926" s="9">
        <v>584</v>
      </c>
      <c r="J1926" s="9">
        <v>585</v>
      </c>
      <c r="K1926" s="9">
        <v>607</v>
      </c>
      <c r="L1926" s="9">
        <v>606</v>
      </c>
      <c r="M1926" s="9"/>
      <c r="N1926" s="9"/>
      <c r="O1926" s="9"/>
      <c r="P1926" s="9"/>
      <c r="Q1926" s="9">
        <f ca="1">IFERROR(__xludf.DUMMYFUNCTION("GOOGLEFINANCE(C1926,""changepct"")"),11.94)</f>
        <v>11.94</v>
      </c>
      <c r="R1926" s="9"/>
      <c r="S1926" s="9"/>
      <c r="T1926" s="9"/>
      <c r="U1926" s="9"/>
      <c r="V1926" s="9"/>
      <c r="W1926" s="9"/>
    </row>
    <row r="1927" spans="1:23" ht="14.4">
      <c r="A1927" s="3">
        <f>LOOKUP(D1927,'AMFI DATA_2023H1'!B:C,'AMFI DATA_2023H1'!C:C)</f>
        <v>101</v>
      </c>
      <c r="B1927" s="4" t="s">
        <v>324</v>
      </c>
      <c r="C1927" s="4" t="s">
        <v>325</v>
      </c>
      <c r="D1927" s="5" t="s">
        <v>326</v>
      </c>
      <c r="E1927" s="5">
        <f>LOOKUP(D1927,'AMFI DATA_2023H1'!B:D,'AMFI DATA_2023H1'!D:D)</f>
        <v>49546.83</v>
      </c>
      <c r="F1927" s="7">
        <f t="shared" si="7"/>
        <v>0.42422835123861602</v>
      </c>
      <c r="G1927" s="8">
        <v>70566</v>
      </c>
      <c r="H1927" s="8">
        <v>69726</v>
      </c>
      <c r="I1927" s="8">
        <v>69533</v>
      </c>
      <c r="J1927" s="8">
        <v>69711</v>
      </c>
      <c r="K1927" s="8">
        <v>68445</v>
      </c>
      <c r="L1927" s="8">
        <v>68825</v>
      </c>
      <c r="M1927" s="8"/>
      <c r="N1927" s="8"/>
      <c r="O1927" s="8"/>
      <c r="P1927" s="8"/>
      <c r="Q1927" s="9">
        <f ca="1">IFERROR(__xludf.DUMMYFUNCTION("GOOGLEFINANCE(C1927,""changepct"")"),-0.14)</f>
        <v>-0.14000000000000001</v>
      </c>
      <c r="R1927" s="8"/>
      <c r="S1927" s="8"/>
      <c r="T1927" s="8"/>
      <c r="U1927" s="8"/>
      <c r="V1927" s="8"/>
      <c r="W1927" s="8"/>
    </row>
    <row r="1928" spans="1:23" ht="14.4">
      <c r="A1928" s="3">
        <f>LOOKUP(D1928,'AMFI DATA_2023H1'!B:C,'AMFI DATA_2023H1'!C:C)</f>
        <v>358</v>
      </c>
      <c r="B1928" s="4" t="s">
        <v>1233</v>
      </c>
      <c r="C1928" s="4" t="s">
        <v>1234</v>
      </c>
      <c r="D1928" s="5" t="s">
        <v>1235</v>
      </c>
      <c r="E1928" s="5">
        <f>LOOKUP(D1928,'AMFI DATA_2023H1'!B:D,'AMFI DATA_2023H1'!D:D)</f>
        <v>9445.32</v>
      </c>
      <c r="F1928" s="7">
        <f t="shared" si="7"/>
        <v>0.12606031346741031</v>
      </c>
      <c r="G1928" s="8">
        <v>10636</v>
      </c>
      <c r="H1928" s="8">
        <v>10704</v>
      </c>
      <c r="I1928" s="8">
        <v>10415</v>
      </c>
      <c r="J1928" s="8">
        <v>10383</v>
      </c>
      <c r="K1928" s="8">
        <v>10203</v>
      </c>
      <c r="L1928" s="8">
        <v>10118</v>
      </c>
      <c r="M1928" s="8"/>
      <c r="N1928" s="8"/>
      <c r="O1928" s="8"/>
      <c r="P1928" s="8"/>
      <c r="Q1928" s="9">
        <f ca="1">IFERROR(__xludf.DUMMYFUNCTION("GOOGLEFINANCE(C1928,""changepct"")"),-0.15)</f>
        <v>-0.15</v>
      </c>
      <c r="R1928" s="8"/>
      <c r="S1928" s="8"/>
      <c r="T1928" s="8"/>
      <c r="U1928" s="8"/>
      <c r="V1928" s="8"/>
      <c r="W1928" s="8"/>
    </row>
  </sheetData>
  <conditionalFormatting sqref="F1:F1928">
    <cfRule type="cellIs" dxfId="1" priority="1" operator="greaterThan">
      <formula>"0%"</formula>
    </cfRule>
    <cfRule type="cellIs" dxfId="0" priority="2" operator="lessThan">
      <formula>"0%"</formula>
    </cfRule>
  </conditionalFormatting>
  <dataValidations count="1">
    <dataValidation type="custom" allowBlank="1" showDropDown="1" showInputMessage="1" prompt="Enter a valid date" sqref="G1:W1" xr:uid="{00000000-0002-0000-0300-000000000000}">
      <formula1>OR(NOT(ISERROR(DATEVALUE(G1))), AND(ISNUMBER(G1), LEFT(CELL("format", G1))="D"))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5065"/>
  <sheetViews>
    <sheetView workbookViewId="0"/>
  </sheetViews>
  <sheetFormatPr defaultColWidth="12.6640625" defaultRowHeight="15.75" customHeight="1"/>
  <cols>
    <col min="1" max="1" width="50.77734375" customWidth="1"/>
  </cols>
  <sheetData>
    <row r="1" spans="1:9">
      <c r="A1" s="16"/>
      <c r="B1" s="16"/>
      <c r="C1" s="16" t="s">
        <v>5790</v>
      </c>
      <c r="D1" s="16"/>
      <c r="E1" s="16"/>
      <c r="F1" s="17"/>
      <c r="G1" s="17"/>
      <c r="H1" s="17"/>
      <c r="I1" s="17"/>
    </row>
    <row r="2" spans="1:9">
      <c r="A2" s="18" t="s">
        <v>5791</v>
      </c>
      <c r="B2" s="18" t="s">
        <v>5792</v>
      </c>
      <c r="C2" s="19" t="s">
        <v>5793</v>
      </c>
      <c r="D2" s="18" t="s">
        <v>5794</v>
      </c>
      <c r="E2" s="18" t="s">
        <v>5795</v>
      </c>
      <c r="F2" s="20"/>
      <c r="G2" s="20"/>
      <c r="H2" s="20"/>
      <c r="I2" s="20"/>
    </row>
    <row r="3" spans="1:9">
      <c r="A3" s="21" t="s">
        <v>4004</v>
      </c>
      <c r="B3" s="21" t="s">
        <v>4006</v>
      </c>
      <c r="C3" s="22">
        <v>1594</v>
      </c>
      <c r="D3" s="21">
        <v>291.66000000000003</v>
      </c>
      <c r="E3" s="21" t="s">
        <v>5796</v>
      </c>
      <c r="F3" s="23"/>
      <c r="G3" s="23">
        <f t="shared" ref="G3:G257" si="0">VALUE(SUBSTITUTE(D3, ",", ""))</f>
        <v>291.66000000000003</v>
      </c>
      <c r="H3" s="23"/>
      <c r="I3" s="23"/>
    </row>
    <row r="4" spans="1:9">
      <c r="A4" s="21" t="s">
        <v>5797</v>
      </c>
      <c r="B4" s="21" t="s">
        <v>5664</v>
      </c>
      <c r="C4" s="22">
        <v>3263</v>
      </c>
      <c r="D4" s="21">
        <v>20.69</v>
      </c>
      <c r="E4" s="21" t="s">
        <v>5796</v>
      </c>
      <c r="F4" s="23"/>
      <c r="G4" s="23">
        <f t="shared" si="0"/>
        <v>20.69</v>
      </c>
      <c r="H4" s="23"/>
      <c r="I4" s="23"/>
    </row>
    <row r="5" spans="1:9">
      <c r="A5" s="21" t="s">
        <v>831</v>
      </c>
      <c r="B5" s="21" t="s">
        <v>833</v>
      </c>
      <c r="C5" s="22">
        <v>267</v>
      </c>
      <c r="D5" s="21">
        <v>15520.14</v>
      </c>
      <c r="E5" s="21" t="s">
        <v>5796</v>
      </c>
      <c r="F5" s="23"/>
      <c r="G5" s="23">
        <f t="shared" si="0"/>
        <v>15520.14</v>
      </c>
      <c r="H5" s="23"/>
      <c r="I5" s="23"/>
    </row>
    <row r="6" spans="1:9">
      <c r="A6" s="21" t="s">
        <v>5798</v>
      </c>
      <c r="B6" s="21" t="s">
        <v>3781</v>
      </c>
      <c r="C6" s="22">
        <v>1263</v>
      </c>
      <c r="D6" s="21">
        <v>579.62</v>
      </c>
      <c r="E6" s="21" t="s">
        <v>5796</v>
      </c>
      <c r="F6" s="23"/>
      <c r="G6" s="23">
        <f t="shared" si="0"/>
        <v>579.62</v>
      </c>
      <c r="H6" s="23"/>
      <c r="I6" s="23"/>
    </row>
    <row r="7" spans="1:9">
      <c r="A7" s="24" t="s">
        <v>5799</v>
      </c>
      <c r="B7" s="24" t="s">
        <v>557</v>
      </c>
      <c r="C7" s="25">
        <v>184</v>
      </c>
      <c r="D7" s="24">
        <v>26633.53</v>
      </c>
      <c r="E7" s="24" t="s">
        <v>5800</v>
      </c>
      <c r="F7" s="26"/>
      <c r="G7" s="23">
        <f t="shared" si="0"/>
        <v>26633.53</v>
      </c>
      <c r="H7" s="26"/>
      <c r="I7" s="26"/>
    </row>
    <row r="8" spans="1:9">
      <c r="A8" s="21" t="s">
        <v>5801</v>
      </c>
      <c r="B8" s="21" t="s">
        <v>5514</v>
      </c>
      <c r="C8" s="22">
        <v>2798</v>
      </c>
      <c r="D8" s="21">
        <v>40.590000000000003</v>
      </c>
      <c r="E8" s="21" t="s">
        <v>5796</v>
      </c>
      <c r="F8" s="23"/>
      <c r="G8" s="23">
        <f t="shared" si="0"/>
        <v>40.590000000000003</v>
      </c>
      <c r="H8" s="23"/>
      <c r="I8" s="23"/>
    </row>
    <row r="9" spans="1:9">
      <c r="A9" s="21" t="s">
        <v>5802</v>
      </c>
      <c r="B9" s="21" t="s">
        <v>5803</v>
      </c>
      <c r="C9" s="22">
        <v>1350</v>
      </c>
      <c r="D9" s="21">
        <v>454.6</v>
      </c>
      <c r="E9" s="21" t="s">
        <v>5796</v>
      </c>
      <c r="F9" s="23"/>
      <c r="G9" s="23">
        <f t="shared" si="0"/>
        <v>454.6</v>
      </c>
      <c r="H9" s="23"/>
      <c r="I9" s="23"/>
    </row>
    <row r="10" spans="1:9">
      <c r="A10" s="21" t="s">
        <v>5804</v>
      </c>
      <c r="B10" s="21" t="s">
        <v>3058</v>
      </c>
      <c r="C10" s="22">
        <v>1075</v>
      </c>
      <c r="D10" s="21">
        <v>954.15</v>
      </c>
      <c r="E10" s="21" t="s">
        <v>5796</v>
      </c>
      <c r="F10" s="23"/>
      <c r="G10" s="23">
        <f t="shared" si="0"/>
        <v>954.15</v>
      </c>
      <c r="H10" s="23"/>
      <c r="I10" s="23"/>
    </row>
    <row r="11" spans="1:9">
      <c r="A11" s="21" t="s">
        <v>5805</v>
      </c>
      <c r="B11" s="21" t="s">
        <v>2977</v>
      </c>
      <c r="C11" s="22">
        <v>1136</v>
      </c>
      <c r="D11" s="21">
        <v>816.3</v>
      </c>
      <c r="E11" s="21" t="s">
        <v>5796</v>
      </c>
      <c r="F11" s="23"/>
      <c r="G11" s="23">
        <f t="shared" si="0"/>
        <v>816.3</v>
      </c>
      <c r="H11" s="23"/>
      <c r="I11" s="23"/>
    </row>
    <row r="12" spans="1:9">
      <c r="A12" s="21" t="s">
        <v>4865</v>
      </c>
      <c r="B12" s="21" t="s">
        <v>4867</v>
      </c>
      <c r="C12" s="22">
        <v>2032</v>
      </c>
      <c r="D12" s="21">
        <v>134.02000000000001</v>
      </c>
      <c r="E12" s="21" t="s">
        <v>5796</v>
      </c>
      <c r="F12" s="23"/>
      <c r="G12" s="23">
        <f t="shared" si="0"/>
        <v>134.02000000000001</v>
      </c>
      <c r="H12" s="23"/>
      <c r="I12" s="23"/>
    </row>
    <row r="13" spans="1:9">
      <c r="A13" s="21" t="s">
        <v>5806</v>
      </c>
      <c r="B13" s="21" t="s">
        <v>5295</v>
      </c>
      <c r="C13" s="22">
        <v>2396</v>
      </c>
      <c r="D13" s="21">
        <v>73.459999999999994</v>
      </c>
      <c r="E13" s="21" t="s">
        <v>5796</v>
      </c>
      <c r="F13" s="23"/>
      <c r="G13" s="23">
        <f t="shared" si="0"/>
        <v>73.459999999999994</v>
      </c>
      <c r="H13" s="23"/>
      <c r="I13" s="23"/>
    </row>
    <row r="14" spans="1:9">
      <c r="A14" s="21" t="s">
        <v>5807</v>
      </c>
      <c r="B14" s="21" t="s">
        <v>5373</v>
      </c>
      <c r="C14" s="22">
        <v>2474</v>
      </c>
      <c r="D14" s="21">
        <v>66.489999999999995</v>
      </c>
      <c r="E14" s="21" t="s">
        <v>5796</v>
      </c>
      <c r="F14" s="23"/>
      <c r="G14" s="23">
        <f t="shared" si="0"/>
        <v>66.489999999999995</v>
      </c>
      <c r="H14" s="23"/>
      <c r="I14" s="23"/>
    </row>
    <row r="15" spans="1:9">
      <c r="A15" s="21" t="s">
        <v>5808</v>
      </c>
      <c r="B15" s="21" t="s">
        <v>5131</v>
      </c>
      <c r="C15" s="22">
        <v>2357</v>
      </c>
      <c r="D15" s="21">
        <v>77.62</v>
      </c>
      <c r="E15" s="21" t="s">
        <v>5796</v>
      </c>
      <c r="F15" s="23"/>
      <c r="G15" s="23">
        <f t="shared" si="0"/>
        <v>77.62</v>
      </c>
      <c r="H15" s="23"/>
      <c r="I15" s="23"/>
    </row>
    <row r="16" spans="1:9">
      <c r="A16" s="21" t="s">
        <v>5809</v>
      </c>
      <c r="B16" s="21" t="s">
        <v>4495</v>
      </c>
      <c r="C16" s="22">
        <v>1785</v>
      </c>
      <c r="D16" s="21">
        <v>200.75</v>
      </c>
      <c r="E16" s="21" t="s">
        <v>5796</v>
      </c>
      <c r="F16" s="23"/>
      <c r="G16" s="23">
        <f t="shared" si="0"/>
        <v>200.75</v>
      </c>
      <c r="H16" s="23"/>
      <c r="I16" s="23"/>
    </row>
    <row r="17" spans="1:9">
      <c r="A17" s="21" t="s">
        <v>1848</v>
      </c>
      <c r="B17" s="21" t="s">
        <v>1850</v>
      </c>
      <c r="C17" s="22">
        <v>591</v>
      </c>
      <c r="D17" s="21">
        <v>3849.55</v>
      </c>
      <c r="E17" s="21" t="s">
        <v>5796</v>
      </c>
      <c r="F17" s="23"/>
      <c r="G17" s="23">
        <f t="shared" si="0"/>
        <v>3849.55</v>
      </c>
      <c r="H17" s="23"/>
      <c r="I17" s="23"/>
    </row>
    <row r="18" spans="1:9">
      <c r="A18" s="24" t="s">
        <v>5810</v>
      </c>
      <c r="B18" s="24" t="s">
        <v>869</v>
      </c>
      <c r="C18" s="25">
        <v>231</v>
      </c>
      <c r="D18" s="24">
        <v>19410.27</v>
      </c>
      <c r="E18" s="24" t="s">
        <v>5800</v>
      </c>
      <c r="F18" s="26"/>
      <c r="G18" s="23">
        <f t="shared" si="0"/>
        <v>19410.27</v>
      </c>
      <c r="H18" s="26"/>
      <c r="I18" s="26"/>
    </row>
    <row r="19" spans="1:9">
      <c r="A19" s="21" t="s">
        <v>2087</v>
      </c>
      <c r="B19" s="21" t="s">
        <v>2089</v>
      </c>
      <c r="C19" s="22">
        <v>646</v>
      </c>
      <c r="D19" s="21">
        <v>3067.34</v>
      </c>
      <c r="E19" s="21" t="s">
        <v>5796</v>
      </c>
      <c r="F19" s="23"/>
      <c r="G19" s="23">
        <f t="shared" si="0"/>
        <v>3067.34</v>
      </c>
      <c r="H19" s="23"/>
      <c r="I19" s="23"/>
    </row>
    <row r="20" spans="1:9">
      <c r="A20" s="21" t="s">
        <v>3977</v>
      </c>
      <c r="B20" s="21" t="s">
        <v>3979</v>
      </c>
      <c r="C20" s="22">
        <v>1342</v>
      </c>
      <c r="D20" s="21">
        <v>463.23</v>
      </c>
      <c r="E20" s="21" t="s">
        <v>5796</v>
      </c>
      <c r="F20" s="23"/>
      <c r="G20" s="23">
        <f t="shared" si="0"/>
        <v>463.23</v>
      </c>
      <c r="H20" s="23"/>
      <c r="I20" s="23"/>
    </row>
    <row r="21" spans="1:9">
      <c r="A21" s="21" t="s">
        <v>5811</v>
      </c>
      <c r="B21" s="21" t="s">
        <v>5439</v>
      </c>
      <c r="C21" s="22">
        <v>2618</v>
      </c>
      <c r="D21" s="21">
        <v>51.78</v>
      </c>
      <c r="E21" s="21" t="s">
        <v>5796</v>
      </c>
      <c r="F21" s="23"/>
      <c r="G21" s="23">
        <f t="shared" si="0"/>
        <v>51.78</v>
      </c>
      <c r="H21" s="23"/>
      <c r="I21" s="23"/>
    </row>
    <row r="22" spans="1:9">
      <c r="A22" s="21" t="s">
        <v>5812</v>
      </c>
      <c r="B22" s="21" t="s">
        <v>4687</v>
      </c>
      <c r="C22" s="22">
        <v>1783</v>
      </c>
      <c r="D22" s="21">
        <v>201.17</v>
      </c>
      <c r="E22" s="21" t="s">
        <v>5796</v>
      </c>
      <c r="F22" s="23"/>
      <c r="G22" s="23">
        <f t="shared" si="0"/>
        <v>201.17</v>
      </c>
      <c r="H22" s="23"/>
      <c r="I22" s="23"/>
    </row>
    <row r="23" spans="1:9">
      <c r="A23" s="21" t="s">
        <v>5813</v>
      </c>
      <c r="B23" s="21" t="s">
        <v>1061</v>
      </c>
      <c r="C23" s="22">
        <v>293</v>
      </c>
      <c r="D23" s="21">
        <v>13058.14</v>
      </c>
      <c r="E23" s="21" t="s">
        <v>5796</v>
      </c>
      <c r="F23" s="23"/>
      <c r="G23" s="23">
        <f t="shared" si="0"/>
        <v>13058.14</v>
      </c>
      <c r="H23" s="23"/>
      <c r="I23" s="23"/>
    </row>
    <row r="24" spans="1:9">
      <c r="A24" s="21" t="s">
        <v>5814</v>
      </c>
      <c r="B24" s="21" t="s">
        <v>4465</v>
      </c>
      <c r="C24" s="22">
        <v>1708</v>
      </c>
      <c r="D24" s="21">
        <v>238.51</v>
      </c>
      <c r="E24" s="21" t="s">
        <v>5796</v>
      </c>
      <c r="F24" s="23"/>
      <c r="G24" s="23">
        <f t="shared" si="0"/>
        <v>238.51</v>
      </c>
      <c r="H24" s="23"/>
      <c r="I24" s="23"/>
    </row>
    <row r="25" spans="1:9">
      <c r="A25" s="27" t="s">
        <v>207</v>
      </c>
      <c r="B25" s="27" t="s">
        <v>209</v>
      </c>
      <c r="C25" s="28">
        <v>71</v>
      </c>
      <c r="D25" s="27">
        <v>73163.05</v>
      </c>
      <c r="E25" s="27" t="s">
        <v>5815</v>
      </c>
      <c r="F25" s="29"/>
      <c r="G25" s="23">
        <f t="shared" si="0"/>
        <v>73163.05</v>
      </c>
      <c r="H25" s="29"/>
      <c r="I25" s="29"/>
    </row>
    <row r="26" spans="1:9">
      <c r="A26" s="24" t="s">
        <v>5816</v>
      </c>
      <c r="B26" s="24" t="s">
        <v>443</v>
      </c>
      <c r="C26" s="25">
        <v>138</v>
      </c>
      <c r="D26" s="24">
        <v>38151.32</v>
      </c>
      <c r="E26" s="24" t="s">
        <v>5800</v>
      </c>
      <c r="F26" s="26"/>
      <c r="G26" s="23">
        <f t="shared" si="0"/>
        <v>38151.32</v>
      </c>
      <c r="H26" s="26"/>
      <c r="I26" s="26"/>
    </row>
    <row r="27" spans="1:9">
      <c r="A27" s="24" t="s">
        <v>789</v>
      </c>
      <c r="B27" s="24" t="s">
        <v>791</v>
      </c>
      <c r="C27" s="25">
        <v>213</v>
      </c>
      <c r="D27" s="24">
        <v>21611.25</v>
      </c>
      <c r="E27" s="24" t="s">
        <v>5800</v>
      </c>
      <c r="F27" s="26"/>
      <c r="G27" s="23">
        <f t="shared" si="0"/>
        <v>21611.25</v>
      </c>
      <c r="H27" s="26"/>
      <c r="I27" s="26"/>
    </row>
    <row r="28" spans="1:9">
      <c r="A28" s="21" t="s">
        <v>5817</v>
      </c>
      <c r="B28" s="21" t="s">
        <v>5529</v>
      </c>
      <c r="C28" s="22">
        <v>2637</v>
      </c>
      <c r="D28" s="21">
        <v>50.19</v>
      </c>
      <c r="E28" s="21" t="s">
        <v>5796</v>
      </c>
      <c r="F28" s="23"/>
      <c r="G28" s="23">
        <f t="shared" si="0"/>
        <v>50.19</v>
      </c>
      <c r="H28" s="23"/>
      <c r="I28" s="23"/>
    </row>
    <row r="29" spans="1:9">
      <c r="A29" s="21" t="s">
        <v>1074</v>
      </c>
      <c r="B29" s="21" t="s">
        <v>1076</v>
      </c>
      <c r="C29" s="22">
        <v>326</v>
      </c>
      <c r="D29" s="21">
        <v>10893.34</v>
      </c>
      <c r="E29" s="21" t="s">
        <v>5796</v>
      </c>
      <c r="F29" s="23"/>
      <c r="G29" s="23">
        <f t="shared" si="0"/>
        <v>10893.34</v>
      </c>
      <c r="H29" s="23"/>
      <c r="I29" s="23"/>
    </row>
    <row r="30" spans="1:9">
      <c r="A30" s="24" t="s">
        <v>5818</v>
      </c>
      <c r="B30" s="24" t="s">
        <v>521</v>
      </c>
      <c r="C30" s="25">
        <v>147</v>
      </c>
      <c r="D30" s="24">
        <v>35284.449999999997</v>
      </c>
      <c r="E30" s="24" t="s">
        <v>5800</v>
      </c>
      <c r="F30" s="26"/>
      <c r="G30" s="23">
        <f t="shared" si="0"/>
        <v>35284.449999999997</v>
      </c>
      <c r="H30" s="26"/>
      <c r="I30" s="26"/>
    </row>
    <row r="31" spans="1:9">
      <c r="A31" s="21" t="s">
        <v>5819</v>
      </c>
      <c r="B31" s="21" t="s">
        <v>2599</v>
      </c>
      <c r="C31" s="22">
        <v>793</v>
      </c>
      <c r="D31" s="21">
        <v>1957.06</v>
      </c>
      <c r="E31" s="21" t="s">
        <v>5796</v>
      </c>
      <c r="F31" s="23"/>
      <c r="G31" s="23">
        <f t="shared" si="0"/>
        <v>1957.06</v>
      </c>
      <c r="H31" s="23"/>
      <c r="I31" s="23"/>
    </row>
    <row r="32" spans="1:9">
      <c r="A32" s="21" t="s">
        <v>5820</v>
      </c>
      <c r="B32" s="21" t="s">
        <v>4990</v>
      </c>
      <c r="C32" s="22">
        <v>1731</v>
      </c>
      <c r="D32" s="21">
        <v>224.86</v>
      </c>
      <c r="E32" s="21" t="s">
        <v>5796</v>
      </c>
      <c r="F32" s="23"/>
      <c r="G32" s="23">
        <f t="shared" si="0"/>
        <v>224.86</v>
      </c>
      <c r="H32" s="23"/>
      <c r="I32" s="23"/>
    </row>
    <row r="33" spans="1:9">
      <c r="A33" s="21" t="s">
        <v>5821</v>
      </c>
      <c r="B33" s="21" t="s">
        <v>1337</v>
      </c>
      <c r="C33" s="22">
        <v>522</v>
      </c>
      <c r="D33" s="21">
        <v>4773.5600000000004</v>
      </c>
      <c r="E33" s="21" t="s">
        <v>5796</v>
      </c>
      <c r="F33" s="23"/>
      <c r="G33" s="23">
        <f t="shared" si="0"/>
        <v>4773.5600000000004</v>
      </c>
      <c r="H33" s="23"/>
      <c r="I33" s="23"/>
    </row>
    <row r="34" spans="1:9">
      <c r="A34" s="21" t="s">
        <v>5822</v>
      </c>
      <c r="B34" s="21" t="s">
        <v>5556</v>
      </c>
      <c r="C34" s="22">
        <v>2686</v>
      </c>
      <c r="D34" s="21">
        <v>47.2</v>
      </c>
      <c r="E34" s="21" t="s">
        <v>5796</v>
      </c>
      <c r="F34" s="23"/>
      <c r="G34" s="23">
        <f t="shared" si="0"/>
        <v>47.2</v>
      </c>
      <c r="H34" s="23"/>
      <c r="I34" s="23"/>
    </row>
    <row r="35" spans="1:9">
      <c r="A35" s="21" t="s">
        <v>1524</v>
      </c>
      <c r="B35" s="21" t="s">
        <v>1526</v>
      </c>
      <c r="C35" s="22">
        <v>409</v>
      </c>
      <c r="D35" s="21">
        <v>7263.66</v>
      </c>
      <c r="E35" s="21" t="s">
        <v>5796</v>
      </c>
      <c r="F35" s="23"/>
      <c r="G35" s="23">
        <f t="shared" si="0"/>
        <v>7263.66</v>
      </c>
      <c r="H35" s="23"/>
      <c r="I35" s="23"/>
    </row>
    <row r="36" spans="1:9">
      <c r="A36" s="21" t="s">
        <v>5823</v>
      </c>
      <c r="B36" s="21" t="s">
        <v>3469</v>
      </c>
      <c r="C36" s="22">
        <v>1314</v>
      </c>
      <c r="D36" s="21">
        <v>494.76</v>
      </c>
      <c r="E36" s="21" t="s">
        <v>5796</v>
      </c>
      <c r="F36" s="23"/>
      <c r="G36" s="23">
        <f t="shared" si="0"/>
        <v>494.76</v>
      </c>
      <c r="H36" s="23"/>
      <c r="I36" s="23"/>
    </row>
    <row r="37" spans="1:9">
      <c r="A37" s="27" t="s">
        <v>5824</v>
      </c>
      <c r="B37" s="27" t="s">
        <v>63</v>
      </c>
      <c r="C37" s="28">
        <v>19</v>
      </c>
      <c r="D37" s="27">
        <v>255987.28</v>
      </c>
      <c r="E37" s="27" t="s">
        <v>5815</v>
      </c>
      <c r="F37" s="29"/>
      <c r="G37" s="23">
        <f t="shared" si="0"/>
        <v>255987.28</v>
      </c>
      <c r="H37" s="29"/>
      <c r="I37" s="29"/>
    </row>
    <row r="38" spans="1:9">
      <c r="A38" s="27" t="s">
        <v>108</v>
      </c>
      <c r="B38" s="27" t="s">
        <v>110</v>
      </c>
      <c r="C38" s="28">
        <v>31</v>
      </c>
      <c r="D38" s="27">
        <v>162786.70000000001</v>
      </c>
      <c r="E38" s="27" t="s">
        <v>5815</v>
      </c>
      <c r="F38" s="29"/>
      <c r="G38" s="23">
        <f t="shared" si="0"/>
        <v>162786.70000000001</v>
      </c>
      <c r="H38" s="29"/>
      <c r="I38" s="29"/>
    </row>
    <row r="39" spans="1:9">
      <c r="A39" s="27" t="s">
        <v>5825</v>
      </c>
      <c r="B39" s="27" t="s">
        <v>104</v>
      </c>
      <c r="C39" s="28">
        <v>34</v>
      </c>
      <c r="D39" s="27">
        <v>147253.79999999999</v>
      </c>
      <c r="E39" s="27" t="s">
        <v>5815</v>
      </c>
      <c r="F39" s="29"/>
      <c r="G39" s="23">
        <f t="shared" si="0"/>
        <v>147253.79999999999</v>
      </c>
      <c r="H39" s="29"/>
      <c r="I39" s="29"/>
    </row>
    <row r="40" spans="1:9">
      <c r="A40" s="27" t="s">
        <v>132</v>
      </c>
      <c r="B40" s="27" t="s">
        <v>134</v>
      </c>
      <c r="C40" s="28">
        <v>61</v>
      </c>
      <c r="D40" s="27">
        <v>86184.17</v>
      </c>
      <c r="E40" s="27" t="s">
        <v>5815</v>
      </c>
      <c r="F40" s="29"/>
      <c r="G40" s="23">
        <f t="shared" si="0"/>
        <v>86184.17</v>
      </c>
      <c r="H40" s="29"/>
      <c r="I40" s="29"/>
    </row>
    <row r="41" spans="1:9">
      <c r="A41" s="27" t="s">
        <v>5826</v>
      </c>
      <c r="B41" s="27" t="s">
        <v>5827</v>
      </c>
      <c r="C41" s="28">
        <v>39</v>
      </c>
      <c r="D41" s="27">
        <v>134625.66</v>
      </c>
      <c r="E41" s="27" t="s">
        <v>5815</v>
      </c>
      <c r="F41" s="29"/>
      <c r="G41" s="23">
        <f t="shared" si="0"/>
        <v>134625.66</v>
      </c>
      <c r="H41" s="29"/>
      <c r="I41" s="29"/>
    </row>
    <row r="42" spans="1:9">
      <c r="A42" s="21" t="s">
        <v>5828</v>
      </c>
      <c r="B42" s="21" t="s">
        <v>2518</v>
      </c>
      <c r="C42" s="22">
        <v>846</v>
      </c>
      <c r="D42" s="21">
        <v>1731.47</v>
      </c>
      <c r="E42" s="21" t="s">
        <v>5796</v>
      </c>
      <c r="F42" s="23"/>
      <c r="G42" s="23">
        <f t="shared" si="0"/>
        <v>1731.47</v>
      </c>
      <c r="H42" s="23"/>
      <c r="I42" s="23"/>
    </row>
    <row r="43" spans="1:9">
      <c r="A43" s="21" t="s">
        <v>5497</v>
      </c>
      <c r="B43" s="21" t="s">
        <v>5499</v>
      </c>
      <c r="C43" s="22">
        <v>2865</v>
      </c>
      <c r="D43" s="21">
        <v>36.6</v>
      </c>
      <c r="E43" s="21" t="s">
        <v>5796</v>
      </c>
      <c r="F43" s="23"/>
      <c r="G43" s="23">
        <f t="shared" si="0"/>
        <v>36.6</v>
      </c>
      <c r="H43" s="23"/>
      <c r="I43" s="23"/>
    </row>
    <row r="44" spans="1:9">
      <c r="A44" s="21" t="s">
        <v>5829</v>
      </c>
      <c r="B44" s="21" t="s">
        <v>2857</v>
      </c>
      <c r="C44" s="22">
        <v>946</v>
      </c>
      <c r="D44" s="21">
        <v>1325.64</v>
      </c>
      <c r="E44" s="21" t="s">
        <v>5796</v>
      </c>
      <c r="F44" s="23"/>
      <c r="G44" s="23">
        <f t="shared" si="0"/>
        <v>1325.64</v>
      </c>
      <c r="H44" s="23"/>
      <c r="I44" s="23"/>
    </row>
    <row r="45" spans="1:9">
      <c r="A45" s="21" t="s">
        <v>5521</v>
      </c>
      <c r="B45" s="21" t="s">
        <v>5523</v>
      </c>
      <c r="C45" s="22">
        <v>2808</v>
      </c>
      <c r="D45" s="21">
        <v>39.93</v>
      </c>
      <c r="E45" s="21" t="s">
        <v>5796</v>
      </c>
      <c r="F45" s="23"/>
      <c r="G45" s="23">
        <f t="shared" si="0"/>
        <v>39.93</v>
      </c>
      <c r="H45" s="23"/>
      <c r="I45" s="23"/>
    </row>
    <row r="46" spans="1:9">
      <c r="A46" s="21" t="s">
        <v>3683</v>
      </c>
      <c r="B46" s="21" t="s">
        <v>3685</v>
      </c>
      <c r="C46" s="22">
        <v>1311</v>
      </c>
      <c r="D46" s="21">
        <v>502.41</v>
      </c>
      <c r="E46" s="21" t="s">
        <v>5796</v>
      </c>
      <c r="F46" s="23"/>
      <c r="G46" s="23">
        <f t="shared" si="0"/>
        <v>502.41</v>
      </c>
      <c r="H46" s="23"/>
      <c r="I46" s="23"/>
    </row>
    <row r="47" spans="1:9">
      <c r="A47" s="21" t="s">
        <v>5830</v>
      </c>
      <c r="B47" s="21" t="s">
        <v>4075</v>
      </c>
      <c r="C47" s="22">
        <v>1468</v>
      </c>
      <c r="D47" s="21">
        <v>368.23</v>
      </c>
      <c r="E47" s="21" t="s">
        <v>5796</v>
      </c>
      <c r="F47" s="23"/>
      <c r="G47" s="23">
        <f t="shared" si="0"/>
        <v>368.23</v>
      </c>
      <c r="H47" s="23"/>
      <c r="I47" s="23"/>
    </row>
    <row r="48" spans="1:9">
      <c r="A48" s="21" t="s">
        <v>2093</v>
      </c>
      <c r="B48" s="21" t="s">
        <v>2095</v>
      </c>
      <c r="C48" s="22">
        <v>652</v>
      </c>
      <c r="D48" s="21">
        <v>3012.33</v>
      </c>
      <c r="E48" s="21" t="s">
        <v>5796</v>
      </c>
      <c r="F48" s="23"/>
      <c r="G48" s="23">
        <f t="shared" si="0"/>
        <v>3012.33</v>
      </c>
      <c r="H48" s="23"/>
      <c r="I48" s="23"/>
    </row>
    <row r="49" spans="1:9">
      <c r="A49" s="21" t="s">
        <v>5831</v>
      </c>
      <c r="B49" s="21" t="s">
        <v>1094</v>
      </c>
      <c r="C49" s="22">
        <v>297</v>
      </c>
      <c r="D49" s="21">
        <v>12769.12</v>
      </c>
      <c r="E49" s="21" t="s">
        <v>5796</v>
      </c>
      <c r="F49" s="23"/>
      <c r="G49" s="23">
        <f t="shared" si="0"/>
        <v>12769.12</v>
      </c>
      <c r="H49" s="23"/>
      <c r="I49" s="23"/>
    </row>
    <row r="50" spans="1:9">
      <c r="A50" s="21" t="s">
        <v>1044</v>
      </c>
      <c r="B50" s="21" t="s">
        <v>1046</v>
      </c>
      <c r="C50" s="22">
        <v>318</v>
      </c>
      <c r="D50" s="21">
        <v>11451.22</v>
      </c>
      <c r="E50" s="21" t="s">
        <v>5796</v>
      </c>
      <c r="F50" s="23"/>
      <c r="G50" s="23">
        <f t="shared" si="0"/>
        <v>11451.22</v>
      </c>
      <c r="H50" s="23"/>
      <c r="I50" s="23"/>
    </row>
    <row r="51" spans="1:9">
      <c r="A51" s="21" t="s">
        <v>966</v>
      </c>
      <c r="B51" s="21" t="s">
        <v>968</v>
      </c>
      <c r="C51" s="22">
        <v>290</v>
      </c>
      <c r="D51" s="21">
        <v>13235.88</v>
      </c>
      <c r="E51" s="21" t="s">
        <v>5796</v>
      </c>
      <c r="F51" s="23"/>
      <c r="G51" s="23">
        <f t="shared" si="0"/>
        <v>13235.88</v>
      </c>
      <c r="H51" s="23"/>
      <c r="I51" s="23"/>
    </row>
    <row r="52" spans="1:9">
      <c r="A52" s="21" t="s">
        <v>3113</v>
      </c>
      <c r="B52" s="21" t="s">
        <v>3115</v>
      </c>
      <c r="C52" s="22">
        <v>1084</v>
      </c>
      <c r="D52" s="21">
        <v>923.52</v>
      </c>
      <c r="E52" s="21" t="s">
        <v>5796</v>
      </c>
      <c r="F52" s="23"/>
      <c r="G52" s="23">
        <f t="shared" si="0"/>
        <v>923.52</v>
      </c>
      <c r="H52" s="23"/>
      <c r="I52" s="23"/>
    </row>
    <row r="53" spans="1:9">
      <c r="A53" s="21" t="s">
        <v>5832</v>
      </c>
      <c r="B53" s="21" t="s">
        <v>1793</v>
      </c>
      <c r="C53" s="22">
        <v>681</v>
      </c>
      <c r="D53" s="21">
        <v>2742.02</v>
      </c>
      <c r="E53" s="21" t="s">
        <v>5796</v>
      </c>
      <c r="F53" s="23"/>
      <c r="G53" s="23">
        <f t="shared" si="0"/>
        <v>2742.02</v>
      </c>
      <c r="H53" s="23"/>
      <c r="I53" s="23"/>
    </row>
    <row r="54" spans="1:9">
      <c r="A54" s="21" t="s">
        <v>5833</v>
      </c>
      <c r="B54" s="21" t="s">
        <v>5173</v>
      </c>
      <c r="C54" s="22">
        <v>2532</v>
      </c>
      <c r="D54" s="21">
        <v>59.91</v>
      </c>
      <c r="E54" s="21" t="s">
        <v>5796</v>
      </c>
      <c r="F54" s="23"/>
      <c r="G54" s="23">
        <f t="shared" si="0"/>
        <v>59.91</v>
      </c>
      <c r="H54" s="23"/>
      <c r="I54" s="23"/>
    </row>
    <row r="55" spans="1:9">
      <c r="A55" s="21" t="s">
        <v>5834</v>
      </c>
      <c r="B55" s="21" t="s">
        <v>5334</v>
      </c>
      <c r="C55" s="22">
        <v>2387</v>
      </c>
      <c r="D55" s="21">
        <v>74.55</v>
      </c>
      <c r="E55" s="21" t="s">
        <v>5796</v>
      </c>
      <c r="F55" s="23"/>
      <c r="G55" s="23">
        <f t="shared" si="0"/>
        <v>74.55</v>
      </c>
      <c r="H55" s="23"/>
      <c r="I55" s="23"/>
    </row>
    <row r="56" spans="1:9">
      <c r="A56" s="21" t="s">
        <v>5835</v>
      </c>
      <c r="B56" s="21" t="s">
        <v>3532</v>
      </c>
      <c r="C56" s="22">
        <v>1208</v>
      </c>
      <c r="D56" s="21">
        <v>686.24</v>
      </c>
      <c r="E56" s="21" t="s">
        <v>5796</v>
      </c>
      <c r="F56" s="23"/>
      <c r="G56" s="23">
        <f t="shared" si="0"/>
        <v>686.24</v>
      </c>
      <c r="H56" s="23"/>
      <c r="I56" s="23"/>
    </row>
    <row r="57" spans="1:9">
      <c r="A57" s="21" t="s">
        <v>2954</v>
      </c>
      <c r="B57" s="21" t="s">
        <v>2956</v>
      </c>
      <c r="C57" s="22">
        <v>984</v>
      </c>
      <c r="D57" s="21">
        <v>1237.1099999999999</v>
      </c>
      <c r="E57" s="21" t="s">
        <v>5796</v>
      </c>
      <c r="F57" s="23"/>
      <c r="G57" s="23">
        <f t="shared" si="0"/>
        <v>1237.1099999999999</v>
      </c>
      <c r="H57" s="23"/>
      <c r="I57" s="23"/>
    </row>
    <row r="58" spans="1:9">
      <c r="A58" s="21" t="s">
        <v>5836</v>
      </c>
      <c r="B58" s="21" t="s">
        <v>4960</v>
      </c>
      <c r="C58" s="22">
        <v>2058</v>
      </c>
      <c r="D58" s="21">
        <v>130.32</v>
      </c>
      <c r="E58" s="21" t="s">
        <v>5796</v>
      </c>
      <c r="F58" s="23"/>
      <c r="G58" s="23">
        <f t="shared" si="0"/>
        <v>130.32</v>
      </c>
      <c r="H58" s="23"/>
      <c r="I58" s="23"/>
    </row>
    <row r="59" spans="1:9">
      <c r="A59" s="21" t="s">
        <v>4571</v>
      </c>
      <c r="B59" s="21" t="s">
        <v>4573</v>
      </c>
      <c r="C59" s="22">
        <v>1770</v>
      </c>
      <c r="D59" s="21">
        <v>205.52</v>
      </c>
      <c r="E59" s="21" t="s">
        <v>5796</v>
      </c>
      <c r="F59" s="23"/>
      <c r="G59" s="23">
        <f t="shared" si="0"/>
        <v>205.52</v>
      </c>
      <c r="H59" s="23"/>
      <c r="I59" s="23"/>
    </row>
    <row r="60" spans="1:9">
      <c r="A60" s="21" t="s">
        <v>5837</v>
      </c>
      <c r="B60" s="21" t="s">
        <v>1826</v>
      </c>
      <c r="C60" s="22">
        <v>611</v>
      </c>
      <c r="D60" s="21">
        <v>3534.57</v>
      </c>
      <c r="E60" s="21" t="s">
        <v>5796</v>
      </c>
      <c r="F60" s="23"/>
      <c r="G60" s="23">
        <f t="shared" si="0"/>
        <v>3534.57</v>
      </c>
      <c r="H60" s="23"/>
      <c r="I60" s="23"/>
    </row>
    <row r="61" spans="1:9">
      <c r="A61" s="24" t="s">
        <v>5838</v>
      </c>
      <c r="B61" s="24" t="s">
        <v>572</v>
      </c>
      <c r="C61" s="25">
        <v>183</v>
      </c>
      <c r="D61" s="24">
        <v>26683.72</v>
      </c>
      <c r="E61" s="24" t="s">
        <v>5800</v>
      </c>
      <c r="F61" s="26"/>
      <c r="G61" s="23">
        <f t="shared" si="0"/>
        <v>26683.72</v>
      </c>
      <c r="H61" s="26"/>
      <c r="I61" s="26"/>
    </row>
    <row r="62" spans="1:9">
      <c r="A62" s="21" t="s">
        <v>5839</v>
      </c>
      <c r="B62" s="21" t="s">
        <v>4453</v>
      </c>
      <c r="C62" s="22">
        <v>1792</v>
      </c>
      <c r="D62" s="21">
        <v>198.89</v>
      </c>
      <c r="E62" s="21" t="s">
        <v>5796</v>
      </c>
      <c r="F62" s="23"/>
      <c r="G62" s="23">
        <f t="shared" si="0"/>
        <v>198.89</v>
      </c>
      <c r="H62" s="23"/>
      <c r="I62" s="23"/>
    </row>
    <row r="63" spans="1:9">
      <c r="A63" s="21" t="s">
        <v>5840</v>
      </c>
      <c r="B63" s="21" t="s">
        <v>4828</v>
      </c>
      <c r="C63" s="22">
        <v>2144</v>
      </c>
      <c r="D63" s="21">
        <v>113.84</v>
      </c>
      <c r="E63" s="21" t="s">
        <v>5796</v>
      </c>
      <c r="F63" s="23"/>
      <c r="G63" s="23">
        <f t="shared" si="0"/>
        <v>113.84</v>
      </c>
      <c r="H63" s="23"/>
      <c r="I63" s="23"/>
    </row>
    <row r="64" spans="1:9">
      <c r="A64" s="21" t="s">
        <v>5841</v>
      </c>
      <c r="B64" s="21" t="s">
        <v>749</v>
      </c>
      <c r="C64" s="22">
        <v>259</v>
      </c>
      <c r="D64" s="21">
        <v>16178.33</v>
      </c>
      <c r="E64" s="21" t="s">
        <v>5796</v>
      </c>
      <c r="F64" s="23"/>
      <c r="G64" s="23">
        <f t="shared" si="0"/>
        <v>16178.33</v>
      </c>
      <c r="H64" s="23"/>
      <c r="I64" s="23"/>
    </row>
    <row r="65" spans="1:9">
      <c r="A65" s="21" t="s">
        <v>3053</v>
      </c>
      <c r="B65" s="21" t="s">
        <v>3055</v>
      </c>
      <c r="C65" s="22">
        <v>1024</v>
      </c>
      <c r="D65" s="21">
        <v>1082.57</v>
      </c>
      <c r="E65" s="21" t="s">
        <v>5796</v>
      </c>
      <c r="F65" s="23"/>
      <c r="G65" s="23">
        <f t="shared" si="0"/>
        <v>1082.57</v>
      </c>
      <c r="H65" s="23"/>
      <c r="I65" s="23"/>
    </row>
    <row r="66" spans="1:9">
      <c r="A66" s="21" t="s">
        <v>5842</v>
      </c>
      <c r="B66" s="21" t="s">
        <v>5532</v>
      </c>
      <c r="C66" s="22">
        <v>2703</v>
      </c>
      <c r="D66" s="21">
        <v>45.92</v>
      </c>
      <c r="E66" s="21" t="s">
        <v>5796</v>
      </c>
      <c r="F66" s="23"/>
      <c r="G66" s="23">
        <f t="shared" si="0"/>
        <v>45.92</v>
      </c>
      <c r="H66" s="23"/>
      <c r="I66" s="23"/>
    </row>
    <row r="67" spans="1:9">
      <c r="A67" s="21" t="s">
        <v>5843</v>
      </c>
      <c r="B67" s="21" t="s">
        <v>5844</v>
      </c>
      <c r="C67" s="22">
        <v>2310</v>
      </c>
      <c r="D67" s="21">
        <v>85.84</v>
      </c>
      <c r="E67" s="21" t="s">
        <v>5796</v>
      </c>
      <c r="F67" s="23"/>
      <c r="G67" s="23">
        <f t="shared" si="0"/>
        <v>85.84</v>
      </c>
      <c r="H67" s="23"/>
      <c r="I67" s="23"/>
    </row>
    <row r="68" spans="1:9">
      <c r="A68" s="21" t="s">
        <v>5845</v>
      </c>
      <c r="B68" s="21" t="s">
        <v>5475</v>
      </c>
      <c r="C68" s="22">
        <v>2692</v>
      </c>
      <c r="D68" s="21">
        <v>46.81</v>
      </c>
      <c r="E68" s="21" t="s">
        <v>5796</v>
      </c>
      <c r="F68" s="23"/>
      <c r="G68" s="23">
        <f t="shared" si="0"/>
        <v>46.81</v>
      </c>
      <c r="H68" s="23"/>
      <c r="I68" s="23"/>
    </row>
    <row r="69" spans="1:9">
      <c r="A69" s="21" t="s">
        <v>5846</v>
      </c>
      <c r="B69" s="21" t="s">
        <v>5286</v>
      </c>
      <c r="C69" s="22">
        <v>2229</v>
      </c>
      <c r="D69" s="21">
        <v>97.85</v>
      </c>
      <c r="E69" s="21" t="s">
        <v>5796</v>
      </c>
      <c r="F69" s="23"/>
      <c r="G69" s="23">
        <f t="shared" si="0"/>
        <v>97.85</v>
      </c>
      <c r="H69" s="23"/>
      <c r="I69" s="23"/>
    </row>
    <row r="70" spans="1:9">
      <c r="A70" s="21" t="s">
        <v>5039</v>
      </c>
      <c r="B70" s="21" t="s">
        <v>5041</v>
      </c>
      <c r="C70" s="22">
        <v>2016</v>
      </c>
      <c r="D70" s="21">
        <v>140.36000000000001</v>
      </c>
      <c r="E70" s="21" t="s">
        <v>5796</v>
      </c>
      <c r="F70" s="23"/>
      <c r="G70" s="23">
        <f t="shared" si="0"/>
        <v>140.36000000000001</v>
      </c>
      <c r="H70" s="23"/>
      <c r="I70" s="23"/>
    </row>
    <row r="71" spans="1:9">
      <c r="A71" s="21" t="s">
        <v>4799</v>
      </c>
      <c r="B71" s="21" t="s">
        <v>4801</v>
      </c>
      <c r="C71" s="22">
        <v>1918</v>
      </c>
      <c r="D71" s="21">
        <v>162.32</v>
      </c>
      <c r="E71" s="21" t="s">
        <v>5796</v>
      </c>
      <c r="F71" s="23"/>
      <c r="G71" s="23">
        <f t="shared" si="0"/>
        <v>162.32</v>
      </c>
      <c r="H71" s="23"/>
      <c r="I71" s="23"/>
    </row>
    <row r="72" spans="1:9">
      <c r="A72" s="21" t="s">
        <v>5847</v>
      </c>
      <c r="B72" s="21" t="s">
        <v>4636</v>
      </c>
      <c r="C72" s="22">
        <v>1823</v>
      </c>
      <c r="D72" s="21">
        <v>188.57</v>
      </c>
      <c r="E72" s="21" t="s">
        <v>5796</v>
      </c>
      <c r="F72" s="23"/>
      <c r="G72" s="23">
        <f t="shared" si="0"/>
        <v>188.57</v>
      </c>
      <c r="H72" s="23"/>
      <c r="I72" s="23"/>
    </row>
    <row r="73" spans="1:9">
      <c r="A73" s="21" t="s">
        <v>5848</v>
      </c>
      <c r="B73" s="21" t="s">
        <v>4816</v>
      </c>
      <c r="C73" s="22">
        <v>1966</v>
      </c>
      <c r="D73" s="21">
        <v>149.97</v>
      </c>
      <c r="E73" s="21" t="s">
        <v>5796</v>
      </c>
      <c r="F73" s="23"/>
      <c r="G73" s="23">
        <f t="shared" si="0"/>
        <v>149.97</v>
      </c>
      <c r="H73" s="23"/>
      <c r="I73" s="23"/>
    </row>
    <row r="74" spans="1:9">
      <c r="A74" s="21" t="s">
        <v>1107</v>
      </c>
      <c r="B74" s="21" t="s">
        <v>1109</v>
      </c>
      <c r="C74" s="22">
        <v>337</v>
      </c>
      <c r="D74" s="21">
        <v>10542.95</v>
      </c>
      <c r="E74" s="21" t="s">
        <v>5796</v>
      </c>
      <c r="F74" s="23"/>
      <c r="G74" s="23">
        <f t="shared" si="0"/>
        <v>10542.95</v>
      </c>
      <c r="H74" s="23"/>
      <c r="I74" s="23"/>
    </row>
    <row r="75" spans="1:9">
      <c r="A75" s="21" t="s">
        <v>4478</v>
      </c>
      <c r="B75" s="21" t="s">
        <v>4480</v>
      </c>
      <c r="C75" s="22">
        <v>1828</v>
      </c>
      <c r="D75" s="21">
        <v>187.39</v>
      </c>
      <c r="E75" s="21" t="s">
        <v>5796</v>
      </c>
      <c r="F75" s="23"/>
      <c r="G75" s="23">
        <f t="shared" si="0"/>
        <v>187.39</v>
      </c>
      <c r="H75" s="23"/>
      <c r="I75" s="23"/>
    </row>
    <row r="76" spans="1:9">
      <c r="A76" s="21" t="s">
        <v>5849</v>
      </c>
      <c r="B76" s="21" t="s">
        <v>4024</v>
      </c>
      <c r="C76" s="22">
        <v>1535</v>
      </c>
      <c r="D76" s="21">
        <v>324.45999999999998</v>
      </c>
      <c r="E76" s="21" t="s">
        <v>5796</v>
      </c>
      <c r="F76" s="23"/>
      <c r="G76" s="23">
        <f t="shared" si="0"/>
        <v>324.45999999999998</v>
      </c>
      <c r="H76" s="23"/>
      <c r="I76" s="23"/>
    </row>
    <row r="77" spans="1:9">
      <c r="A77" s="21" t="s">
        <v>5850</v>
      </c>
      <c r="B77" s="21" t="s">
        <v>2653</v>
      </c>
      <c r="C77" s="22">
        <v>855</v>
      </c>
      <c r="D77" s="21">
        <v>1695.89</v>
      </c>
      <c r="E77" s="21" t="s">
        <v>5796</v>
      </c>
      <c r="F77" s="23"/>
      <c r="G77" s="23">
        <f t="shared" si="0"/>
        <v>1695.89</v>
      </c>
      <c r="H77" s="23"/>
      <c r="I77" s="23"/>
    </row>
    <row r="78" spans="1:9">
      <c r="A78" s="21" t="s">
        <v>3083</v>
      </c>
      <c r="B78" s="21" t="s">
        <v>3085</v>
      </c>
      <c r="C78" s="22">
        <v>956</v>
      </c>
      <c r="D78" s="21">
        <v>1300.54</v>
      </c>
      <c r="E78" s="21" t="s">
        <v>5796</v>
      </c>
      <c r="F78" s="23"/>
      <c r="G78" s="23">
        <f t="shared" si="0"/>
        <v>1300.54</v>
      </c>
      <c r="H78" s="23"/>
      <c r="I78" s="23"/>
    </row>
    <row r="79" spans="1:9">
      <c r="A79" s="21" t="s">
        <v>5075</v>
      </c>
      <c r="B79" s="21" t="s">
        <v>5077</v>
      </c>
      <c r="C79" s="22">
        <v>2130</v>
      </c>
      <c r="D79" s="21">
        <v>116.22</v>
      </c>
      <c r="E79" s="21" t="s">
        <v>5796</v>
      </c>
      <c r="F79" s="23"/>
      <c r="G79" s="23">
        <f t="shared" si="0"/>
        <v>116.22</v>
      </c>
      <c r="H79" s="23"/>
      <c r="I79" s="23"/>
    </row>
    <row r="80" spans="1:9">
      <c r="A80" s="24" t="s">
        <v>429</v>
      </c>
      <c r="B80" s="24" t="s">
        <v>431</v>
      </c>
      <c r="C80" s="25">
        <v>133</v>
      </c>
      <c r="D80" s="24">
        <v>39033.769999999997</v>
      </c>
      <c r="E80" s="24" t="s">
        <v>5800</v>
      </c>
      <c r="F80" s="26"/>
      <c r="G80" s="23">
        <f t="shared" si="0"/>
        <v>39033.769999999997</v>
      </c>
      <c r="H80" s="26"/>
      <c r="I80" s="26"/>
    </row>
    <row r="81" spans="1:9">
      <c r="A81" s="21" t="s">
        <v>5851</v>
      </c>
      <c r="B81" s="21" t="s">
        <v>1103</v>
      </c>
      <c r="C81" s="22">
        <v>296</v>
      </c>
      <c r="D81" s="21">
        <v>12870.96</v>
      </c>
      <c r="E81" s="21" t="s">
        <v>5796</v>
      </c>
      <c r="F81" s="23"/>
      <c r="G81" s="23">
        <f t="shared" si="0"/>
        <v>12870.96</v>
      </c>
      <c r="H81" s="23"/>
      <c r="I81" s="23"/>
    </row>
    <row r="82" spans="1:9">
      <c r="A82" s="21" t="s">
        <v>5852</v>
      </c>
      <c r="B82" s="21" t="s">
        <v>1568</v>
      </c>
      <c r="C82" s="22">
        <v>420</v>
      </c>
      <c r="D82" s="21">
        <v>7009.41</v>
      </c>
      <c r="E82" s="21" t="s">
        <v>5796</v>
      </c>
      <c r="F82" s="23"/>
      <c r="G82" s="23">
        <f t="shared" si="0"/>
        <v>7009.41</v>
      </c>
      <c r="H82" s="23"/>
      <c r="I82" s="23"/>
    </row>
    <row r="83" spans="1:9">
      <c r="A83" s="21" t="s">
        <v>5853</v>
      </c>
      <c r="B83" s="21" t="s">
        <v>3442</v>
      </c>
      <c r="C83" s="22">
        <v>1172</v>
      </c>
      <c r="D83" s="21">
        <v>744.82</v>
      </c>
      <c r="E83" s="21" t="s">
        <v>5796</v>
      </c>
      <c r="F83" s="23"/>
      <c r="G83" s="23">
        <f t="shared" si="0"/>
        <v>744.82</v>
      </c>
      <c r="H83" s="23"/>
      <c r="I83" s="23"/>
    </row>
    <row r="84" spans="1:9">
      <c r="A84" s="21" t="s">
        <v>4577</v>
      </c>
      <c r="B84" s="21" t="s">
        <v>4579</v>
      </c>
      <c r="C84" s="22">
        <v>1863</v>
      </c>
      <c r="D84" s="21">
        <v>175.68</v>
      </c>
      <c r="E84" s="21" t="s">
        <v>5796</v>
      </c>
      <c r="F84" s="23"/>
      <c r="G84" s="23">
        <f t="shared" si="0"/>
        <v>175.68</v>
      </c>
      <c r="H84" s="23"/>
      <c r="I84" s="23"/>
    </row>
    <row r="85" spans="1:9">
      <c r="A85" s="21" t="s">
        <v>5854</v>
      </c>
      <c r="B85" s="21" t="s">
        <v>1304</v>
      </c>
      <c r="C85" s="22">
        <v>429</v>
      </c>
      <c r="D85" s="21">
        <v>6707.84</v>
      </c>
      <c r="E85" s="21" t="s">
        <v>5796</v>
      </c>
      <c r="F85" s="23"/>
      <c r="G85" s="23">
        <f t="shared" si="0"/>
        <v>6707.84</v>
      </c>
      <c r="H85" s="23"/>
      <c r="I85" s="23"/>
    </row>
    <row r="86" spans="1:9">
      <c r="A86" s="21" t="s">
        <v>4838</v>
      </c>
      <c r="B86" s="21" t="s">
        <v>4840</v>
      </c>
      <c r="C86" s="22">
        <v>2063</v>
      </c>
      <c r="D86" s="21">
        <v>128.59</v>
      </c>
      <c r="E86" s="21" t="s">
        <v>5796</v>
      </c>
      <c r="F86" s="23"/>
      <c r="G86" s="23">
        <f t="shared" si="0"/>
        <v>128.59</v>
      </c>
      <c r="H86" s="23"/>
      <c r="I86" s="23"/>
    </row>
    <row r="87" spans="1:9">
      <c r="A87" s="21" t="s">
        <v>5855</v>
      </c>
      <c r="B87" s="21" t="s">
        <v>4768</v>
      </c>
      <c r="C87" s="22">
        <v>1941</v>
      </c>
      <c r="D87" s="21">
        <v>156.94999999999999</v>
      </c>
      <c r="E87" s="21" t="s">
        <v>5796</v>
      </c>
      <c r="F87" s="23"/>
      <c r="G87" s="23">
        <f t="shared" si="0"/>
        <v>156.94999999999999</v>
      </c>
      <c r="H87" s="23"/>
      <c r="I87" s="23"/>
    </row>
    <row r="88" spans="1:9">
      <c r="A88" s="21" t="s">
        <v>5856</v>
      </c>
      <c r="B88" s="21" t="s">
        <v>5760</v>
      </c>
      <c r="C88" s="22">
        <v>3992</v>
      </c>
      <c r="D88" s="21">
        <v>7.07</v>
      </c>
      <c r="E88" s="21" t="s">
        <v>5796</v>
      </c>
      <c r="F88" s="23"/>
      <c r="G88" s="23">
        <f t="shared" si="0"/>
        <v>7.07</v>
      </c>
      <c r="H88" s="23"/>
      <c r="I88" s="23"/>
    </row>
    <row r="89" spans="1:9">
      <c r="A89" s="21" t="s">
        <v>5857</v>
      </c>
      <c r="B89" s="21" t="s">
        <v>5858</v>
      </c>
      <c r="C89" s="22">
        <v>345</v>
      </c>
      <c r="D89" s="21">
        <v>10200.290000000001</v>
      </c>
      <c r="E89" s="21" t="s">
        <v>5796</v>
      </c>
      <c r="F89" s="23"/>
      <c r="G89" s="23">
        <f t="shared" si="0"/>
        <v>10200.290000000001</v>
      </c>
      <c r="H89" s="23"/>
      <c r="I89" s="23"/>
    </row>
    <row r="90" spans="1:9">
      <c r="A90" s="21" t="s">
        <v>1269</v>
      </c>
      <c r="B90" s="21" t="s">
        <v>1271</v>
      </c>
      <c r="C90" s="22">
        <v>437</v>
      </c>
      <c r="D90" s="21">
        <v>6596.88</v>
      </c>
      <c r="E90" s="21" t="s">
        <v>5796</v>
      </c>
      <c r="F90" s="23"/>
      <c r="G90" s="23">
        <f t="shared" si="0"/>
        <v>6596.88</v>
      </c>
      <c r="H90" s="23"/>
      <c r="I90" s="23"/>
    </row>
    <row r="91" spans="1:9">
      <c r="A91" s="21" t="s">
        <v>5859</v>
      </c>
      <c r="B91" s="21" t="s">
        <v>5430</v>
      </c>
      <c r="C91" s="22">
        <v>2748</v>
      </c>
      <c r="D91" s="21">
        <v>43.21</v>
      </c>
      <c r="E91" s="21" t="s">
        <v>5796</v>
      </c>
      <c r="F91" s="23"/>
      <c r="G91" s="23">
        <f t="shared" si="0"/>
        <v>43.21</v>
      </c>
      <c r="H91" s="23"/>
      <c r="I91" s="23"/>
    </row>
    <row r="92" spans="1:9">
      <c r="A92" s="21" t="s">
        <v>5860</v>
      </c>
      <c r="B92" s="21" t="s">
        <v>3463</v>
      </c>
      <c r="C92" s="22">
        <v>1104</v>
      </c>
      <c r="D92" s="21">
        <v>863.44</v>
      </c>
      <c r="E92" s="21" t="s">
        <v>5796</v>
      </c>
      <c r="F92" s="23"/>
      <c r="G92" s="23">
        <f t="shared" si="0"/>
        <v>863.44</v>
      </c>
      <c r="H92" s="23"/>
      <c r="I92" s="23"/>
    </row>
    <row r="93" spans="1:9">
      <c r="A93" s="27" t="s">
        <v>5861</v>
      </c>
      <c r="B93" s="27" t="s">
        <v>221</v>
      </c>
      <c r="C93" s="28">
        <v>63</v>
      </c>
      <c r="D93" s="27">
        <v>81731.11</v>
      </c>
      <c r="E93" s="27" t="s">
        <v>5815</v>
      </c>
      <c r="F93" s="29"/>
      <c r="G93" s="23">
        <f t="shared" si="0"/>
        <v>81731.11</v>
      </c>
      <c r="H93" s="29"/>
      <c r="I93" s="29"/>
    </row>
    <row r="94" spans="1:9">
      <c r="A94" s="21" t="s">
        <v>5862</v>
      </c>
      <c r="B94" s="21" t="s">
        <v>5038</v>
      </c>
      <c r="C94" s="22">
        <v>2169</v>
      </c>
      <c r="D94" s="21">
        <v>108.9</v>
      </c>
      <c r="E94" s="21" t="s">
        <v>5796</v>
      </c>
      <c r="F94" s="23"/>
      <c r="G94" s="23">
        <f t="shared" si="0"/>
        <v>108.9</v>
      </c>
      <c r="H94" s="23"/>
      <c r="I94" s="23"/>
    </row>
    <row r="95" spans="1:9">
      <c r="A95" s="21" t="s">
        <v>1929</v>
      </c>
      <c r="B95" s="21" t="s">
        <v>1931</v>
      </c>
      <c r="C95" s="22">
        <v>599</v>
      </c>
      <c r="D95" s="21">
        <v>3733.25</v>
      </c>
      <c r="E95" s="21" t="s">
        <v>5796</v>
      </c>
      <c r="F95" s="23"/>
      <c r="G95" s="23">
        <f t="shared" si="0"/>
        <v>3733.25</v>
      </c>
      <c r="H95" s="23"/>
      <c r="I95" s="23"/>
    </row>
    <row r="96" spans="1:9">
      <c r="A96" s="21" t="s">
        <v>5863</v>
      </c>
      <c r="B96" s="21" t="s">
        <v>5005</v>
      </c>
      <c r="C96" s="22">
        <v>2198</v>
      </c>
      <c r="D96" s="21">
        <v>103.8</v>
      </c>
      <c r="E96" s="21" t="s">
        <v>5796</v>
      </c>
      <c r="F96" s="23"/>
      <c r="G96" s="23">
        <f t="shared" si="0"/>
        <v>103.8</v>
      </c>
      <c r="H96" s="23"/>
      <c r="I96" s="23"/>
    </row>
    <row r="97" spans="1:9">
      <c r="A97" s="21" t="s">
        <v>2795</v>
      </c>
      <c r="B97" s="21" t="s">
        <v>2797</v>
      </c>
      <c r="C97" s="22">
        <v>815</v>
      </c>
      <c r="D97" s="21">
        <v>1866.9</v>
      </c>
      <c r="E97" s="21" t="s">
        <v>5796</v>
      </c>
      <c r="F97" s="23"/>
      <c r="G97" s="23">
        <f t="shared" si="0"/>
        <v>1866.9</v>
      </c>
      <c r="H97" s="23"/>
      <c r="I97" s="23"/>
    </row>
    <row r="98" spans="1:9">
      <c r="A98" s="21" t="s">
        <v>1494</v>
      </c>
      <c r="B98" s="21" t="s">
        <v>1496</v>
      </c>
      <c r="C98" s="22">
        <v>622</v>
      </c>
      <c r="D98" s="21">
        <v>3427.72</v>
      </c>
      <c r="E98" s="21" t="s">
        <v>5796</v>
      </c>
      <c r="F98" s="23"/>
      <c r="G98" s="23">
        <f t="shared" si="0"/>
        <v>3427.72</v>
      </c>
      <c r="H98" s="23"/>
      <c r="I98" s="23"/>
    </row>
    <row r="99" spans="1:9">
      <c r="A99" s="21" t="s">
        <v>1473</v>
      </c>
      <c r="B99" s="21" t="s">
        <v>1475</v>
      </c>
      <c r="C99" s="22">
        <v>559</v>
      </c>
      <c r="D99" s="21">
        <v>4243.3100000000004</v>
      </c>
      <c r="E99" s="21" t="s">
        <v>5796</v>
      </c>
      <c r="F99" s="23"/>
      <c r="G99" s="23">
        <f t="shared" si="0"/>
        <v>4243.3100000000004</v>
      </c>
      <c r="H99" s="23"/>
      <c r="I99" s="23"/>
    </row>
    <row r="100" spans="1:9">
      <c r="A100" s="21" t="s">
        <v>2663</v>
      </c>
      <c r="B100" s="21" t="s">
        <v>2665</v>
      </c>
      <c r="C100" s="22">
        <v>849</v>
      </c>
      <c r="D100" s="21">
        <v>1726.49</v>
      </c>
      <c r="E100" s="21" t="s">
        <v>5796</v>
      </c>
      <c r="F100" s="23"/>
      <c r="G100" s="23">
        <f t="shared" si="0"/>
        <v>1726.49</v>
      </c>
      <c r="H100" s="23"/>
      <c r="I100" s="23"/>
    </row>
    <row r="101" spans="1:9">
      <c r="A101" s="21" t="s">
        <v>5864</v>
      </c>
      <c r="B101" s="21" t="s">
        <v>2971</v>
      </c>
      <c r="C101" s="22">
        <v>868</v>
      </c>
      <c r="D101" s="21">
        <v>1616.05</v>
      </c>
      <c r="E101" s="21" t="s">
        <v>5796</v>
      </c>
      <c r="F101" s="23"/>
      <c r="G101" s="23">
        <f t="shared" si="0"/>
        <v>1616.05</v>
      </c>
      <c r="H101" s="23"/>
      <c r="I101" s="23"/>
    </row>
    <row r="102" spans="1:9">
      <c r="A102" s="21" t="s">
        <v>5865</v>
      </c>
      <c r="B102" s="21" t="s">
        <v>854</v>
      </c>
      <c r="C102" s="22">
        <v>338</v>
      </c>
      <c r="D102" s="21">
        <v>10521.55</v>
      </c>
      <c r="E102" s="21" t="s">
        <v>5796</v>
      </c>
      <c r="F102" s="23"/>
      <c r="G102" s="23">
        <f t="shared" si="0"/>
        <v>10521.55</v>
      </c>
      <c r="H102" s="23"/>
      <c r="I102" s="23"/>
    </row>
    <row r="103" spans="1:9">
      <c r="A103" s="21" t="s">
        <v>5111</v>
      </c>
      <c r="B103" s="21" t="s">
        <v>5113</v>
      </c>
      <c r="C103" s="22">
        <v>2252</v>
      </c>
      <c r="D103" s="21">
        <v>94.18</v>
      </c>
      <c r="E103" s="21" t="s">
        <v>5796</v>
      </c>
      <c r="F103" s="23"/>
      <c r="G103" s="23">
        <f t="shared" si="0"/>
        <v>94.18</v>
      </c>
      <c r="H103" s="23"/>
      <c r="I103" s="23"/>
    </row>
    <row r="104" spans="1:9">
      <c r="A104" s="21" t="s">
        <v>5446</v>
      </c>
      <c r="B104" s="21" t="s">
        <v>5448</v>
      </c>
      <c r="C104" s="22">
        <v>2503</v>
      </c>
      <c r="D104" s="21">
        <v>63.53</v>
      </c>
      <c r="E104" s="21" t="s">
        <v>5796</v>
      </c>
      <c r="F104" s="23"/>
      <c r="G104" s="23">
        <f t="shared" si="0"/>
        <v>63.53</v>
      </c>
      <c r="H104" s="23"/>
      <c r="I104" s="23"/>
    </row>
    <row r="105" spans="1:9">
      <c r="A105" s="21" t="s">
        <v>4424</v>
      </c>
      <c r="B105" s="21" t="s">
        <v>4426</v>
      </c>
      <c r="C105" s="22">
        <v>1738</v>
      </c>
      <c r="D105" s="21">
        <v>220.16</v>
      </c>
      <c r="E105" s="21" t="s">
        <v>5796</v>
      </c>
      <c r="F105" s="23"/>
      <c r="G105" s="23">
        <f t="shared" si="0"/>
        <v>220.16</v>
      </c>
      <c r="H105" s="23"/>
      <c r="I105" s="23"/>
    </row>
    <row r="106" spans="1:9">
      <c r="A106" s="21" t="s">
        <v>5866</v>
      </c>
      <c r="B106" s="21" t="s">
        <v>5867</v>
      </c>
      <c r="C106" s="22">
        <v>1867</v>
      </c>
      <c r="D106" s="21">
        <v>174.46</v>
      </c>
      <c r="E106" s="21" t="s">
        <v>5796</v>
      </c>
      <c r="F106" s="23"/>
      <c r="G106" s="23">
        <f t="shared" si="0"/>
        <v>174.46</v>
      </c>
      <c r="H106" s="23"/>
      <c r="I106" s="23"/>
    </row>
    <row r="107" spans="1:9">
      <c r="A107" s="21" t="s">
        <v>5868</v>
      </c>
      <c r="B107" s="21" t="s">
        <v>5718</v>
      </c>
      <c r="C107" s="22">
        <v>3682</v>
      </c>
      <c r="D107" s="21">
        <v>10.81</v>
      </c>
      <c r="E107" s="21" t="s">
        <v>5796</v>
      </c>
      <c r="F107" s="23"/>
      <c r="G107" s="23">
        <f t="shared" si="0"/>
        <v>10.81</v>
      </c>
      <c r="H107" s="23"/>
      <c r="I107" s="23"/>
    </row>
    <row r="108" spans="1:9">
      <c r="A108" s="21" t="s">
        <v>5869</v>
      </c>
      <c r="B108" s="21" t="s">
        <v>2569</v>
      </c>
      <c r="C108" s="22">
        <v>997</v>
      </c>
      <c r="D108" s="21">
        <v>1183.6099999999999</v>
      </c>
      <c r="E108" s="21" t="s">
        <v>5796</v>
      </c>
      <c r="F108" s="23"/>
      <c r="G108" s="23">
        <f t="shared" si="0"/>
        <v>1183.6099999999999</v>
      </c>
      <c r="H108" s="23"/>
      <c r="I108" s="23"/>
    </row>
    <row r="109" spans="1:9">
      <c r="A109" s="21" t="s">
        <v>1197</v>
      </c>
      <c r="B109" s="21" t="s">
        <v>1199</v>
      </c>
      <c r="C109" s="22">
        <v>356</v>
      </c>
      <c r="D109" s="21">
        <v>9506.11</v>
      </c>
      <c r="E109" s="21" t="s">
        <v>5796</v>
      </c>
      <c r="F109" s="23"/>
      <c r="G109" s="23">
        <f t="shared" si="0"/>
        <v>9506.11</v>
      </c>
      <c r="H109" s="23"/>
      <c r="I109" s="23"/>
    </row>
    <row r="110" spans="1:9">
      <c r="A110" s="21" t="s">
        <v>5870</v>
      </c>
      <c r="B110" s="21" t="s">
        <v>851</v>
      </c>
      <c r="C110" s="22">
        <v>359</v>
      </c>
      <c r="D110" s="21">
        <v>9421.4699999999993</v>
      </c>
      <c r="E110" s="21" t="s">
        <v>5796</v>
      </c>
      <c r="F110" s="23"/>
      <c r="G110" s="23">
        <f t="shared" si="0"/>
        <v>9421.4699999999993</v>
      </c>
      <c r="H110" s="23"/>
      <c r="I110" s="23"/>
    </row>
    <row r="111" spans="1:9">
      <c r="A111" s="21" t="s">
        <v>5871</v>
      </c>
      <c r="B111" s="21" t="s">
        <v>3850</v>
      </c>
      <c r="C111" s="22">
        <v>1289</v>
      </c>
      <c r="D111" s="21">
        <v>545.16</v>
      </c>
      <c r="E111" s="21" t="s">
        <v>5796</v>
      </c>
      <c r="F111" s="23"/>
      <c r="G111" s="23">
        <f t="shared" si="0"/>
        <v>545.16</v>
      </c>
      <c r="H111" s="23"/>
      <c r="I111" s="23"/>
    </row>
    <row r="112" spans="1:9">
      <c r="A112" s="21" t="s">
        <v>2396</v>
      </c>
      <c r="B112" s="21" t="s">
        <v>2398</v>
      </c>
      <c r="C112" s="22">
        <v>714</v>
      </c>
      <c r="D112" s="21">
        <v>2471.04</v>
      </c>
      <c r="E112" s="21" t="s">
        <v>5796</v>
      </c>
      <c r="F112" s="23"/>
      <c r="G112" s="23">
        <f t="shared" si="0"/>
        <v>2471.04</v>
      </c>
      <c r="H112" s="23"/>
      <c r="I112" s="23"/>
    </row>
    <row r="113" spans="1:9">
      <c r="A113" s="21" t="s">
        <v>3698</v>
      </c>
      <c r="B113" s="21" t="s">
        <v>3700</v>
      </c>
      <c r="C113" s="22">
        <v>1217</v>
      </c>
      <c r="D113" s="21">
        <v>668.55</v>
      </c>
      <c r="E113" s="21" t="s">
        <v>5796</v>
      </c>
      <c r="F113" s="23"/>
      <c r="G113" s="23">
        <f t="shared" si="0"/>
        <v>668.55</v>
      </c>
      <c r="H113" s="23"/>
      <c r="I113" s="23"/>
    </row>
    <row r="114" spans="1:9">
      <c r="A114" s="24" t="s">
        <v>465</v>
      </c>
      <c r="B114" s="24" t="s">
        <v>467</v>
      </c>
      <c r="C114" s="25">
        <v>158</v>
      </c>
      <c r="D114" s="24">
        <v>33286.589999999997</v>
      </c>
      <c r="E114" s="24" t="s">
        <v>5800</v>
      </c>
      <c r="F114" s="26"/>
      <c r="G114" s="23">
        <f t="shared" si="0"/>
        <v>33286.589999999997</v>
      </c>
      <c r="H114" s="26"/>
      <c r="I114" s="26"/>
    </row>
    <row r="115" spans="1:9">
      <c r="A115" s="21" t="s">
        <v>5872</v>
      </c>
      <c r="B115" s="21" t="s">
        <v>962</v>
      </c>
      <c r="C115" s="22">
        <v>332</v>
      </c>
      <c r="D115" s="21">
        <v>10678.2</v>
      </c>
      <c r="E115" s="21" t="s">
        <v>5796</v>
      </c>
      <c r="F115" s="23"/>
      <c r="G115" s="23">
        <f t="shared" si="0"/>
        <v>10678.2</v>
      </c>
      <c r="H115" s="23"/>
      <c r="I115" s="23"/>
    </row>
    <row r="116" spans="1:9">
      <c r="A116" s="21" t="s">
        <v>2765</v>
      </c>
      <c r="B116" s="21" t="s">
        <v>2767</v>
      </c>
      <c r="C116" s="22">
        <v>1200</v>
      </c>
      <c r="D116" s="21">
        <v>697.43</v>
      </c>
      <c r="E116" s="21" t="s">
        <v>5796</v>
      </c>
      <c r="F116" s="23"/>
      <c r="G116" s="23">
        <f t="shared" si="0"/>
        <v>697.43</v>
      </c>
      <c r="H116" s="23"/>
      <c r="I116" s="23"/>
    </row>
    <row r="117" spans="1:9">
      <c r="A117" s="27" t="s">
        <v>5873</v>
      </c>
      <c r="B117" s="27" t="s">
        <v>275</v>
      </c>
      <c r="C117" s="28">
        <v>80</v>
      </c>
      <c r="D117" s="27">
        <v>64907.67</v>
      </c>
      <c r="E117" s="27" t="s">
        <v>5815</v>
      </c>
      <c r="F117" s="29"/>
      <c r="G117" s="23">
        <f t="shared" si="0"/>
        <v>64907.67</v>
      </c>
      <c r="H117" s="29"/>
      <c r="I117" s="29"/>
    </row>
    <row r="118" spans="1:9">
      <c r="A118" s="21" t="s">
        <v>5874</v>
      </c>
      <c r="B118" s="21" t="s">
        <v>2383</v>
      </c>
      <c r="C118" s="22">
        <v>740</v>
      </c>
      <c r="D118" s="21">
        <v>2270.2199999999998</v>
      </c>
      <c r="E118" s="21" t="s">
        <v>5796</v>
      </c>
      <c r="F118" s="23"/>
      <c r="G118" s="23">
        <f t="shared" si="0"/>
        <v>2270.2199999999998</v>
      </c>
      <c r="H118" s="23"/>
      <c r="I118" s="23"/>
    </row>
    <row r="119" spans="1:9">
      <c r="A119" s="24" t="s">
        <v>5875</v>
      </c>
      <c r="B119" s="24" t="s">
        <v>680</v>
      </c>
      <c r="C119" s="25">
        <v>209</v>
      </c>
      <c r="D119" s="24">
        <v>21953.16</v>
      </c>
      <c r="E119" s="24" t="s">
        <v>5800</v>
      </c>
      <c r="F119" s="26"/>
      <c r="G119" s="23">
        <f t="shared" si="0"/>
        <v>21953.16</v>
      </c>
      <c r="H119" s="26"/>
      <c r="I119" s="26"/>
    </row>
    <row r="120" spans="1:9">
      <c r="A120" s="21" t="s">
        <v>5876</v>
      </c>
      <c r="B120" s="21" t="s">
        <v>4171</v>
      </c>
      <c r="C120" s="22">
        <v>1532</v>
      </c>
      <c r="D120" s="21">
        <v>326.60000000000002</v>
      </c>
      <c r="E120" s="21" t="s">
        <v>5796</v>
      </c>
      <c r="F120" s="23"/>
      <c r="G120" s="23">
        <f t="shared" si="0"/>
        <v>326.60000000000002</v>
      </c>
      <c r="H120" s="23"/>
      <c r="I120" s="23"/>
    </row>
    <row r="121" spans="1:9">
      <c r="A121" s="21" t="s">
        <v>5877</v>
      </c>
      <c r="B121" s="21" t="s">
        <v>2872</v>
      </c>
      <c r="C121" s="22">
        <v>857</v>
      </c>
      <c r="D121" s="21">
        <v>1688.81</v>
      </c>
      <c r="E121" s="21" t="s">
        <v>5796</v>
      </c>
      <c r="F121" s="23"/>
      <c r="G121" s="23">
        <f t="shared" si="0"/>
        <v>1688.81</v>
      </c>
      <c r="H121" s="23"/>
      <c r="I121" s="23"/>
    </row>
    <row r="122" spans="1:9">
      <c r="A122" s="21" t="s">
        <v>990</v>
      </c>
      <c r="B122" s="21" t="s">
        <v>992</v>
      </c>
      <c r="C122" s="22">
        <v>292</v>
      </c>
      <c r="D122" s="21">
        <v>13099.18</v>
      </c>
      <c r="E122" s="21" t="s">
        <v>5796</v>
      </c>
      <c r="F122" s="23"/>
      <c r="G122" s="23">
        <f t="shared" si="0"/>
        <v>13099.18</v>
      </c>
      <c r="H122" s="23"/>
      <c r="I122" s="23"/>
    </row>
    <row r="123" spans="1:9">
      <c r="A123" s="21" t="s">
        <v>4919</v>
      </c>
      <c r="B123" s="21" t="s">
        <v>4921</v>
      </c>
      <c r="C123" s="22">
        <v>2056</v>
      </c>
      <c r="D123" s="21">
        <v>130.49</v>
      </c>
      <c r="E123" s="21" t="s">
        <v>5796</v>
      </c>
      <c r="F123" s="23"/>
      <c r="G123" s="23">
        <f t="shared" si="0"/>
        <v>130.49</v>
      </c>
      <c r="H123" s="23"/>
      <c r="I123" s="23"/>
    </row>
    <row r="124" spans="1:9">
      <c r="A124" s="21" t="s">
        <v>5878</v>
      </c>
      <c r="B124" s="21" t="s">
        <v>5265</v>
      </c>
      <c r="C124" s="22">
        <v>2399</v>
      </c>
      <c r="D124" s="21">
        <v>73.06</v>
      </c>
      <c r="E124" s="21" t="s">
        <v>5796</v>
      </c>
      <c r="F124" s="23"/>
      <c r="G124" s="23">
        <f t="shared" si="0"/>
        <v>73.06</v>
      </c>
      <c r="H124" s="23"/>
      <c r="I124" s="23"/>
    </row>
    <row r="125" spans="1:9">
      <c r="A125" s="21" t="s">
        <v>5879</v>
      </c>
      <c r="B125" s="21" t="s">
        <v>5733</v>
      </c>
      <c r="C125" s="22">
        <v>3676</v>
      </c>
      <c r="D125" s="21">
        <v>10.89</v>
      </c>
      <c r="E125" s="21" t="s">
        <v>5796</v>
      </c>
      <c r="F125" s="23"/>
      <c r="G125" s="23">
        <f t="shared" si="0"/>
        <v>10.89</v>
      </c>
      <c r="H125" s="23"/>
      <c r="I125" s="23"/>
    </row>
    <row r="126" spans="1:9">
      <c r="A126" s="21" t="s">
        <v>5880</v>
      </c>
      <c r="B126" s="21" t="s">
        <v>4558</v>
      </c>
      <c r="C126" s="22">
        <v>1730</v>
      </c>
      <c r="D126" s="21">
        <v>225.12</v>
      </c>
      <c r="E126" s="21" t="s">
        <v>5796</v>
      </c>
      <c r="F126" s="23"/>
      <c r="G126" s="23">
        <f t="shared" si="0"/>
        <v>225.12</v>
      </c>
      <c r="H126" s="23"/>
      <c r="I126" s="23"/>
    </row>
    <row r="127" spans="1:9">
      <c r="A127" s="21" t="s">
        <v>5881</v>
      </c>
      <c r="B127" s="21" t="s">
        <v>3760</v>
      </c>
      <c r="C127" s="22">
        <v>1346</v>
      </c>
      <c r="D127" s="21">
        <v>460.58</v>
      </c>
      <c r="E127" s="21" t="s">
        <v>5796</v>
      </c>
      <c r="F127" s="23"/>
      <c r="G127" s="23">
        <f t="shared" si="0"/>
        <v>460.58</v>
      </c>
      <c r="H127" s="23"/>
      <c r="I127" s="23"/>
    </row>
    <row r="128" spans="1:9">
      <c r="A128" s="21" t="s">
        <v>3536</v>
      </c>
      <c r="B128" s="21" t="s">
        <v>3538</v>
      </c>
      <c r="C128" s="22">
        <v>1123</v>
      </c>
      <c r="D128" s="21">
        <v>836.52</v>
      </c>
      <c r="E128" s="21" t="s">
        <v>5796</v>
      </c>
      <c r="F128" s="23"/>
      <c r="G128" s="23">
        <f t="shared" si="0"/>
        <v>836.52</v>
      </c>
      <c r="H128" s="23"/>
      <c r="I128" s="23"/>
    </row>
    <row r="129" spans="1:9">
      <c r="A129" s="21" t="s">
        <v>2735</v>
      </c>
      <c r="B129" s="21" t="s">
        <v>2737</v>
      </c>
      <c r="C129" s="22">
        <v>952</v>
      </c>
      <c r="D129" s="21">
        <v>1307.08</v>
      </c>
      <c r="E129" s="21" t="s">
        <v>5796</v>
      </c>
      <c r="F129" s="23"/>
      <c r="G129" s="23">
        <f t="shared" si="0"/>
        <v>1307.08</v>
      </c>
      <c r="H129" s="23"/>
      <c r="I129" s="23"/>
    </row>
    <row r="130" spans="1:9">
      <c r="A130" s="21" t="s">
        <v>5882</v>
      </c>
      <c r="B130" s="21" t="s">
        <v>5322</v>
      </c>
      <c r="C130" s="22">
        <v>2486</v>
      </c>
      <c r="D130" s="21">
        <v>65.47</v>
      </c>
      <c r="E130" s="21" t="s">
        <v>5796</v>
      </c>
      <c r="F130" s="23"/>
      <c r="G130" s="23">
        <f t="shared" si="0"/>
        <v>65.47</v>
      </c>
      <c r="H130" s="23"/>
      <c r="I130" s="23"/>
    </row>
    <row r="131" spans="1:9">
      <c r="A131" s="21" t="s">
        <v>3860</v>
      </c>
      <c r="B131" s="21" t="s">
        <v>3862</v>
      </c>
      <c r="C131" s="22">
        <v>1461</v>
      </c>
      <c r="D131" s="21">
        <v>373.35</v>
      </c>
      <c r="E131" s="21" t="s">
        <v>5796</v>
      </c>
      <c r="F131" s="23"/>
      <c r="G131" s="23">
        <f t="shared" si="0"/>
        <v>373.35</v>
      </c>
      <c r="H131" s="23"/>
      <c r="I131" s="23"/>
    </row>
    <row r="132" spans="1:9">
      <c r="A132" s="21" t="s">
        <v>5054</v>
      </c>
      <c r="B132" s="21" t="s">
        <v>5056</v>
      </c>
      <c r="C132" s="22">
        <v>1891</v>
      </c>
      <c r="D132" s="21">
        <v>167.29</v>
      </c>
      <c r="E132" s="21" t="s">
        <v>5796</v>
      </c>
      <c r="F132" s="23"/>
      <c r="G132" s="23">
        <f t="shared" si="0"/>
        <v>167.29</v>
      </c>
      <c r="H132" s="23"/>
      <c r="I132" s="23"/>
    </row>
    <row r="133" spans="1:9">
      <c r="A133" s="21" t="s">
        <v>5883</v>
      </c>
      <c r="B133" s="21" t="s">
        <v>5884</v>
      </c>
      <c r="C133" s="22">
        <v>2649</v>
      </c>
      <c r="D133" s="21">
        <v>49.31</v>
      </c>
      <c r="E133" s="21" t="s">
        <v>5796</v>
      </c>
      <c r="F133" s="23"/>
      <c r="G133" s="23">
        <f t="shared" si="0"/>
        <v>49.31</v>
      </c>
      <c r="H133" s="23"/>
      <c r="I133" s="23"/>
    </row>
    <row r="134" spans="1:9">
      <c r="A134" s="21" t="s">
        <v>2723</v>
      </c>
      <c r="B134" s="21" t="s">
        <v>2725</v>
      </c>
      <c r="C134" s="22">
        <v>1045</v>
      </c>
      <c r="D134" s="21">
        <v>1043.9000000000001</v>
      </c>
      <c r="E134" s="21" t="s">
        <v>5796</v>
      </c>
      <c r="F134" s="23"/>
      <c r="G134" s="23">
        <f t="shared" si="0"/>
        <v>1043.9000000000001</v>
      </c>
      <c r="H134" s="23"/>
      <c r="I134" s="23"/>
    </row>
    <row r="135" spans="1:9">
      <c r="A135" s="21" t="s">
        <v>5885</v>
      </c>
      <c r="B135" s="21" t="s">
        <v>5035</v>
      </c>
      <c r="C135" s="22">
        <v>1969</v>
      </c>
      <c r="D135" s="21">
        <v>149.72</v>
      </c>
      <c r="E135" s="21" t="s">
        <v>5796</v>
      </c>
      <c r="F135" s="23"/>
      <c r="G135" s="23">
        <f t="shared" si="0"/>
        <v>149.72</v>
      </c>
      <c r="H135" s="23"/>
      <c r="I135" s="23"/>
    </row>
    <row r="136" spans="1:9">
      <c r="A136" s="21" t="s">
        <v>5886</v>
      </c>
      <c r="B136" s="21" t="s">
        <v>5002</v>
      </c>
      <c r="C136" s="22">
        <v>2111</v>
      </c>
      <c r="D136" s="21">
        <v>119.33</v>
      </c>
      <c r="E136" s="21" t="s">
        <v>5796</v>
      </c>
      <c r="F136" s="23"/>
      <c r="G136" s="23">
        <f t="shared" si="0"/>
        <v>119.33</v>
      </c>
      <c r="H136" s="23"/>
      <c r="I136" s="23"/>
    </row>
    <row r="137" spans="1:9">
      <c r="A137" s="21" t="s">
        <v>5887</v>
      </c>
      <c r="B137" s="21" t="s">
        <v>1859</v>
      </c>
      <c r="C137" s="22">
        <v>694</v>
      </c>
      <c r="D137" s="21">
        <v>2604.35</v>
      </c>
      <c r="E137" s="21" t="s">
        <v>5796</v>
      </c>
      <c r="F137" s="23"/>
      <c r="G137" s="23">
        <f t="shared" si="0"/>
        <v>2604.35</v>
      </c>
      <c r="H137" s="23"/>
      <c r="I137" s="23"/>
    </row>
    <row r="138" spans="1:9">
      <c r="A138" s="21" t="s">
        <v>1863</v>
      </c>
      <c r="B138" s="21" t="s">
        <v>1865</v>
      </c>
      <c r="C138" s="22">
        <v>579</v>
      </c>
      <c r="D138" s="21">
        <v>3972.1</v>
      </c>
      <c r="E138" s="21" t="s">
        <v>5796</v>
      </c>
      <c r="F138" s="23"/>
      <c r="G138" s="23">
        <f t="shared" si="0"/>
        <v>3972.1</v>
      </c>
      <c r="H138" s="23"/>
      <c r="I138" s="23"/>
    </row>
    <row r="139" spans="1:9">
      <c r="A139" s="21" t="s">
        <v>2909</v>
      </c>
      <c r="B139" s="21" t="s">
        <v>2911</v>
      </c>
      <c r="C139" s="22">
        <v>930</v>
      </c>
      <c r="D139" s="21">
        <v>1373.8</v>
      </c>
      <c r="E139" s="21" t="s">
        <v>5796</v>
      </c>
      <c r="F139" s="23"/>
      <c r="G139" s="23">
        <f t="shared" si="0"/>
        <v>1373.8</v>
      </c>
      <c r="H139" s="23"/>
      <c r="I139" s="23"/>
    </row>
    <row r="140" spans="1:9">
      <c r="A140" s="21" t="s">
        <v>5888</v>
      </c>
      <c r="B140" s="21" t="s">
        <v>1016</v>
      </c>
      <c r="C140" s="22">
        <v>311</v>
      </c>
      <c r="D140" s="21">
        <v>11745.9</v>
      </c>
      <c r="E140" s="21" t="s">
        <v>5796</v>
      </c>
      <c r="F140" s="23"/>
      <c r="G140" s="23">
        <f t="shared" si="0"/>
        <v>11745.9</v>
      </c>
      <c r="H140" s="23"/>
      <c r="I140" s="23"/>
    </row>
    <row r="141" spans="1:9">
      <c r="A141" s="21" t="s">
        <v>5889</v>
      </c>
      <c r="B141" s="21" t="s">
        <v>4402</v>
      </c>
      <c r="C141" s="22">
        <v>1665</v>
      </c>
      <c r="D141" s="21">
        <v>254.66</v>
      </c>
      <c r="E141" s="21" t="s">
        <v>5796</v>
      </c>
      <c r="F141" s="23"/>
      <c r="G141" s="23">
        <f t="shared" si="0"/>
        <v>254.66</v>
      </c>
      <c r="H141" s="23"/>
      <c r="I141" s="23"/>
    </row>
    <row r="142" spans="1:9">
      <c r="A142" s="21" t="s">
        <v>5890</v>
      </c>
      <c r="B142" s="21" t="s">
        <v>3772</v>
      </c>
      <c r="C142" s="22">
        <v>1307</v>
      </c>
      <c r="D142" s="21">
        <v>510.3</v>
      </c>
      <c r="E142" s="21" t="s">
        <v>5796</v>
      </c>
      <c r="F142" s="23"/>
      <c r="G142" s="23">
        <f t="shared" si="0"/>
        <v>510.3</v>
      </c>
      <c r="H142" s="23"/>
      <c r="I142" s="23"/>
    </row>
    <row r="143" spans="1:9">
      <c r="A143" s="21" t="s">
        <v>5891</v>
      </c>
      <c r="B143" s="21" t="s">
        <v>3553</v>
      </c>
      <c r="C143" s="22">
        <v>1206</v>
      </c>
      <c r="D143" s="21">
        <v>688.28</v>
      </c>
      <c r="E143" s="21" t="s">
        <v>5796</v>
      </c>
      <c r="F143" s="23"/>
      <c r="G143" s="23">
        <f t="shared" si="0"/>
        <v>688.28</v>
      </c>
      <c r="H143" s="23"/>
      <c r="I143" s="23"/>
    </row>
    <row r="144" spans="1:9">
      <c r="A144" s="21" t="s">
        <v>5892</v>
      </c>
      <c r="B144" s="21" t="s">
        <v>2434</v>
      </c>
      <c r="C144" s="22">
        <v>1022</v>
      </c>
      <c r="D144" s="21">
        <v>1087.9000000000001</v>
      </c>
      <c r="E144" s="21" t="s">
        <v>5796</v>
      </c>
      <c r="F144" s="23"/>
      <c r="G144" s="23">
        <f t="shared" si="0"/>
        <v>1087.9000000000001</v>
      </c>
      <c r="H144" s="23"/>
      <c r="I144" s="23"/>
    </row>
    <row r="145" spans="1:9">
      <c r="A145" s="21" t="s">
        <v>2552</v>
      </c>
      <c r="B145" s="21" t="s">
        <v>2554</v>
      </c>
      <c r="C145" s="22">
        <v>861</v>
      </c>
      <c r="D145" s="21">
        <v>1671.25</v>
      </c>
      <c r="E145" s="21" t="s">
        <v>5796</v>
      </c>
      <c r="F145" s="23"/>
      <c r="G145" s="23">
        <f t="shared" si="0"/>
        <v>1671.25</v>
      </c>
      <c r="H145" s="23"/>
      <c r="I145" s="23"/>
    </row>
    <row r="146" spans="1:9">
      <c r="A146" s="21" t="s">
        <v>5893</v>
      </c>
      <c r="B146" s="21" t="s">
        <v>4450</v>
      </c>
      <c r="C146" s="22">
        <v>1614</v>
      </c>
      <c r="D146" s="21">
        <v>279.12</v>
      </c>
      <c r="E146" s="21" t="s">
        <v>5796</v>
      </c>
      <c r="F146" s="23"/>
      <c r="G146" s="23">
        <f t="shared" si="0"/>
        <v>279.12</v>
      </c>
      <c r="H146" s="23"/>
      <c r="I146" s="23"/>
    </row>
    <row r="147" spans="1:9">
      <c r="A147" s="21" t="s">
        <v>2201</v>
      </c>
      <c r="B147" s="21" t="s">
        <v>2203</v>
      </c>
      <c r="C147" s="22">
        <v>737</v>
      </c>
      <c r="D147" s="21">
        <v>2277.75</v>
      </c>
      <c r="E147" s="21" t="s">
        <v>5796</v>
      </c>
      <c r="F147" s="23"/>
      <c r="G147" s="23">
        <f t="shared" si="0"/>
        <v>2277.75</v>
      </c>
      <c r="H147" s="23"/>
      <c r="I147" s="23"/>
    </row>
    <row r="148" spans="1:9">
      <c r="A148" s="21" t="s">
        <v>5464</v>
      </c>
      <c r="B148" s="21" t="s">
        <v>5466</v>
      </c>
      <c r="C148" s="22">
        <v>2764</v>
      </c>
      <c r="D148" s="21">
        <v>42.11</v>
      </c>
      <c r="E148" s="21" t="s">
        <v>5796</v>
      </c>
      <c r="F148" s="23"/>
      <c r="G148" s="23">
        <f t="shared" si="0"/>
        <v>42.11</v>
      </c>
      <c r="H148" s="23"/>
      <c r="I148" s="23"/>
    </row>
    <row r="149" spans="1:9">
      <c r="A149" s="24" t="s">
        <v>5894</v>
      </c>
      <c r="B149" s="24" t="s">
        <v>383</v>
      </c>
      <c r="C149" s="25">
        <v>119</v>
      </c>
      <c r="D149" s="24">
        <v>43197.71</v>
      </c>
      <c r="E149" s="24" t="s">
        <v>5800</v>
      </c>
      <c r="F149" s="26"/>
      <c r="G149" s="23">
        <f t="shared" si="0"/>
        <v>43197.71</v>
      </c>
      <c r="H149" s="26"/>
      <c r="I149" s="26"/>
    </row>
    <row r="150" spans="1:9">
      <c r="A150" s="21" t="s">
        <v>5895</v>
      </c>
      <c r="B150" s="21" t="s">
        <v>3721</v>
      </c>
      <c r="C150" s="22">
        <v>1502</v>
      </c>
      <c r="D150" s="21">
        <v>344.24</v>
      </c>
      <c r="E150" s="21" t="s">
        <v>5796</v>
      </c>
      <c r="F150" s="23"/>
      <c r="G150" s="23">
        <f t="shared" si="0"/>
        <v>344.24</v>
      </c>
      <c r="H150" s="23"/>
      <c r="I150" s="23"/>
    </row>
    <row r="151" spans="1:9">
      <c r="A151" s="21" t="s">
        <v>4310</v>
      </c>
      <c r="B151" s="21" t="s">
        <v>4312</v>
      </c>
      <c r="C151" s="22">
        <v>1717</v>
      </c>
      <c r="D151" s="21">
        <v>235.03</v>
      </c>
      <c r="E151" s="21" t="s">
        <v>5796</v>
      </c>
      <c r="F151" s="23"/>
      <c r="G151" s="23">
        <f t="shared" si="0"/>
        <v>235.03</v>
      </c>
      <c r="H151" s="23"/>
      <c r="I151" s="23"/>
    </row>
    <row r="152" spans="1:9">
      <c r="A152" s="27" t="s">
        <v>5896</v>
      </c>
      <c r="B152" s="27" t="s">
        <v>54</v>
      </c>
      <c r="C152" s="28">
        <v>16</v>
      </c>
      <c r="D152" s="27">
        <v>283339.38</v>
      </c>
      <c r="E152" s="27" t="s">
        <v>5815</v>
      </c>
      <c r="F152" s="29"/>
      <c r="G152" s="23">
        <f t="shared" si="0"/>
        <v>283339.38</v>
      </c>
      <c r="H152" s="29"/>
      <c r="I152" s="29"/>
    </row>
    <row r="153" spans="1:9">
      <c r="A153" s="21" t="s">
        <v>5897</v>
      </c>
      <c r="B153" s="21" t="s">
        <v>3541</v>
      </c>
      <c r="C153" s="22">
        <v>1268</v>
      </c>
      <c r="D153" s="21">
        <v>569.99</v>
      </c>
      <c r="E153" s="21" t="s">
        <v>5796</v>
      </c>
      <c r="F153" s="23"/>
      <c r="G153" s="23">
        <f t="shared" si="0"/>
        <v>569.99</v>
      </c>
      <c r="H153" s="23"/>
      <c r="I153" s="23"/>
    </row>
    <row r="154" spans="1:9">
      <c r="A154" s="21" t="s">
        <v>5898</v>
      </c>
      <c r="B154" s="21" t="s">
        <v>4126</v>
      </c>
      <c r="C154" s="22">
        <v>2307</v>
      </c>
      <c r="D154" s="21">
        <v>86.1</v>
      </c>
      <c r="E154" s="21" t="s">
        <v>5796</v>
      </c>
      <c r="F154" s="23"/>
      <c r="G154" s="23">
        <f t="shared" si="0"/>
        <v>86.1</v>
      </c>
      <c r="H154" s="23"/>
      <c r="I154" s="23"/>
    </row>
    <row r="155" spans="1:9">
      <c r="A155" s="21" t="s">
        <v>5899</v>
      </c>
      <c r="B155" s="21" t="s">
        <v>4729</v>
      </c>
      <c r="C155" s="22">
        <v>1878</v>
      </c>
      <c r="D155" s="21">
        <v>171.11</v>
      </c>
      <c r="E155" s="21" t="s">
        <v>5796</v>
      </c>
      <c r="F155" s="23"/>
      <c r="G155" s="23">
        <f t="shared" si="0"/>
        <v>171.11</v>
      </c>
      <c r="H155" s="23"/>
      <c r="I155" s="23"/>
    </row>
    <row r="156" spans="1:9">
      <c r="A156" s="21" t="s">
        <v>5900</v>
      </c>
      <c r="B156" s="21" t="s">
        <v>2467</v>
      </c>
      <c r="C156" s="22">
        <v>677</v>
      </c>
      <c r="D156" s="21">
        <v>2780.42</v>
      </c>
      <c r="E156" s="21" t="s">
        <v>5796</v>
      </c>
      <c r="F156" s="23"/>
      <c r="G156" s="23">
        <f t="shared" si="0"/>
        <v>2780.42</v>
      </c>
      <c r="H156" s="23"/>
      <c r="I156" s="23"/>
    </row>
    <row r="157" spans="1:9">
      <c r="A157" s="21" t="s">
        <v>900</v>
      </c>
      <c r="B157" s="21" t="s">
        <v>902</v>
      </c>
      <c r="C157" s="22">
        <v>304</v>
      </c>
      <c r="D157" s="21">
        <v>12170.69</v>
      </c>
      <c r="E157" s="21" t="s">
        <v>5796</v>
      </c>
      <c r="F157" s="23"/>
      <c r="G157" s="23">
        <f t="shared" si="0"/>
        <v>12170.69</v>
      </c>
      <c r="H157" s="23"/>
      <c r="I157" s="23"/>
    </row>
    <row r="158" spans="1:9">
      <c r="A158" s="24" t="s">
        <v>5901</v>
      </c>
      <c r="B158" s="24" t="s">
        <v>389</v>
      </c>
      <c r="C158" s="25">
        <v>124</v>
      </c>
      <c r="D158" s="24">
        <v>42036.83</v>
      </c>
      <c r="E158" s="24" t="s">
        <v>5800</v>
      </c>
      <c r="F158" s="26"/>
      <c r="G158" s="23">
        <f t="shared" si="0"/>
        <v>42036.83</v>
      </c>
      <c r="H158" s="26"/>
      <c r="I158" s="26"/>
    </row>
    <row r="159" spans="1:9">
      <c r="A159" s="21" t="s">
        <v>5902</v>
      </c>
      <c r="B159" s="21" t="s">
        <v>1949</v>
      </c>
      <c r="C159" s="22">
        <v>697</v>
      </c>
      <c r="D159" s="21">
        <v>2602.13</v>
      </c>
      <c r="E159" s="21" t="s">
        <v>5796</v>
      </c>
      <c r="F159" s="23"/>
      <c r="G159" s="23">
        <f t="shared" si="0"/>
        <v>2602.13</v>
      </c>
      <c r="H159" s="23"/>
      <c r="I159" s="23"/>
    </row>
    <row r="160" spans="1:9">
      <c r="A160" s="21" t="s">
        <v>5903</v>
      </c>
      <c r="B160" s="21" t="s">
        <v>1154</v>
      </c>
      <c r="C160" s="22">
        <v>380</v>
      </c>
      <c r="D160" s="21">
        <v>8391.5499999999993</v>
      </c>
      <c r="E160" s="21" t="s">
        <v>5796</v>
      </c>
      <c r="F160" s="23"/>
      <c r="G160" s="23">
        <f t="shared" si="0"/>
        <v>8391.5499999999993</v>
      </c>
      <c r="H160" s="23"/>
      <c r="I160" s="23"/>
    </row>
    <row r="161" spans="1:9">
      <c r="A161" s="21" t="s">
        <v>4982</v>
      </c>
      <c r="B161" s="21" t="s">
        <v>4984</v>
      </c>
      <c r="C161" s="22">
        <v>2084</v>
      </c>
      <c r="D161" s="21">
        <v>124.1</v>
      </c>
      <c r="E161" s="21" t="s">
        <v>5796</v>
      </c>
      <c r="F161" s="23"/>
      <c r="G161" s="23">
        <f t="shared" si="0"/>
        <v>124.1</v>
      </c>
      <c r="H161" s="23"/>
      <c r="I161" s="23"/>
    </row>
    <row r="162" spans="1:9">
      <c r="A162" s="21" t="s">
        <v>4991</v>
      </c>
      <c r="B162" s="21" t="s">
        <v>4993</v>
      </c>
      <c r="C162" s="22">
        <v>1881</v>
      </c>
      <c r="D162" s="21">
        <v>169.99</v>
      </c>
      <c r="E162" s="21" t="s">
        <v>5796</v>
      </c>
      <c r="F162" s="23"/>
      <c r="G162" s="23">
        <f t="shared" si="0"/>
        <v>169.99</v>
      </c>
      <c r="H162" s="23"/>
      <c r="I162" s="23"/>
    </row>
    <row r="163" spans="1:9">
      <c r="A163" s="21" t="s">
        <v>4676</v>
      </c>
      <c r="B163" s="21" t="s">
        <v>4678</v>
      </c>
      <c r="C163" s="22">
        <v>1740</v>
      </c>
      <c r="D163" s="21">
        <v>218.85</v>
      </c>
      <c r="E163" s="21" t="s">
        <v>5796</v>
      </c>
      <c r="F163" s="23"/>
      <c r="G163" s="23">
        <f t="shared" si="0"/>
        <v>218.85</v>
      </c>
      <c r="H163" s="23"/>
      <c r="I163" s="23"/>
    </row>
    <row r="164" spans="1:9">
      <c r="A164" s="21" t="s">
        <v>5904</v>
      </c>
      <c r="B164" s="21" t="s">
        <v>2686</v>
      </c>
      <c r="C164" s="22">
        <v>782</v>
      </c>
      <c r="D164" s="21">
        <v>2043.83</v>
      </c>
      <c r="E164" s="21" t="s">
        <v>5796</v>
      </c>
      <c r="F164" s="23"/>
      <c r="G164" s="23">
        <f t="shared" si="0"/>
        <v>2043.83</v>
      </c>
      <c r="H164" s="23"/>
      <c r="I164" s="23"/>
    </row>
    <row r="165" spans="1:9">
      <c r="A165" s="27" t="s">
        <v>5905</v>
      </c>
      <c r="B165" s="27" t="s">
        <v>266</v>
      </c>
      <c r="C165" s="28">
        <v>35</v>
      </c>
      <c r="D165" s="27">
        <v>146818.6</v>
      </c>
      <c r="E165" s="27" t="s">
        <v>5815</v>
      </c>
      <c r="F165" s="29"/>
      <c r="G165" s="23">
        <f t="shared" si="0"/>
        <v>146818.6</v>
      </c>
      <c r="H165" s="29"/>
      <c r="I165" s="29"/>
    </row>
    <row r="166" spans="1:9">
      <c r="A166" s="21" t="s">
        <v>3359</v>
      </c>
      <c r="B166" s="21" t="s">
        <v>3361</v>
      </c>
      <c r="C166" s="22">
        <v>2091</v>
      </c>
      <c r="D166" s="21">
        <v>122.64</v>
      </c>
      <c r="E166" s="21" t="s">
        <v>5796</v>
      </c>
      <c r="F166" s="23"/>
      <c r="G166" s="23">
        <f t="shared" si="0"/>
        <v>122.64</v>
      </c>
      <c r="H166" s="23"/>
      <c r="I166" s="23"/>
    </row>
    <row r="167" spans="1:9">
      <c r="A167" s="24" t="s">
        <v>5906</v>
      </c>
      <c r="B167" s="24" t="s">
        <v>806</v>
      </c>
      <c r="C167" s="25">
        <v>216</v>
      </c>
      <c r="D167" s="24">
        <v>20883.560000000001</v>
      </c>
      <c r="E167" s="24" t="s">
        <v>5800</v>
      </c>
      <c r="F167" s="26"/>
      <c r="G167" s="23">
        <f t="shared" si="0"/>
        <v>20883.560000000001</v>
      </c>
      <c r="H167" s="26"/>
      <c r="I167" s="26"/>
    </row>
    <row r="168" spans="1:9">
      <c r="A168" s="21" t="s">
        <v>3074</v>
      </c>
      <c r="B168" s="21" t="s">
        <v>3076</v>
      </c>
      <c r="C168" s="22">
        <v>1154</v>
      </c>
      <c r="D168" s="21">
        <v>782.6</v>
      </c>
      <c r="E168" s="21" t="s">
        <v>5796</v>
      </c>
      <c r="F168" s="23"/>
      <c r="G168" s="23">
        <f t="shared" si="0"/>
        <v>782.6</v>
      </c>
      <c r="H168" s="23"/>
      <c r="I168" s="23"/>
    </row>
    <row r="169" spans="1:9">
      <c r="A169" s="24" t="s">
        <v>405</v>
      </c>
      <c r="B169" s="24" t="s">
        <v>407</v>
      </c>
      <c r="C169" s="25">
        <v>116</v>
      </c>
      <c r="D169" s="24">
        <v>44179.95</v>
      </c>
      <c r="E169" s="24" t="s">
        <v>5800</v>
      </c>
      <c r="F169" s="26"/>
      <c r="G169" s="23">
        <f t="shared" si="0"/>
        <v>44179.95</v>
      </c>
      <c r="H169" s="26"/>
      <c r="I169" s="26"/>
    </row>
    <row r="170" spans="1:9">
      <c r="A170" s="21" t="s">
        <v>5907</v>
      </c>
      <c r="B170" s="21" t="s">
        <v>2185</v>
      </c>
      <c r="C170" s="22">
        <v>1008</v>
      </c>
      <c r="D170" s="21">
        <v>1123.27</v>
      </c>
      <c r="E170" s="21" t="s">
        <v>5796</v>
      </c>
      <c r="F170" s="23"/>
      <c r="G170" s="23">
        <f t="shared" si="0"/>
        <v>1123.27</v>
      </c>
      <c r="H170" s="23"/>
      <c r="I170" s="23"/>
    </row>
    <row r="171" spans="1:9">
      <c r="A171" s="24" t="s">
        <v>5908</v>
      </c>
      <c r="B171" s="24" t="s">
        <v>380</v>
      </c>
      <c r="C171" s="25">
        <v>168</v>
      </c>
      <c r="D171" s="24">
        <v>31609.88</v>
      </c>
      <c r="E171" s="24" t="s">
        <v>5800</v>
      </c>
      <c r="F171" s="26"/>
      <c r="G171" s="23">
        <f t="shared" si="0"/>
        <v>31609.88</v>
      </c>
      <c r="H171" s="26"/>
      <c r="I171" s="26"/>
    </row>
    <row r="172" spans="1:9">
      <c r="A172" s="21" t="s">
        <v>3950</v>
      </c>
      <c r="B172" s="21" t="s">
        <v>3952</v>
      </c>
      <c r="C172" s="22">
        <v>1262</v>
      </c>
      <c r="D172" s="21">
        <v>580.36</v>
      </c>
      <c r="E172" s="21" t="s">
        <v>5796</v>
      </c>
      <c r="F172" s="23"/>
      <c r="G172" s="23">
        <f t="shared" si="0"/>
        <v>580.36</v>
      </c>
      <c r="H172" s="23"/>
      <c r="I172" s="23"/>
    </row>
    <row r="173" spans="1:9">
      <c r="A173" s="21" t="s">
        <v>5909</v>
      </c>
      <c r="B173" s="21" t="s">
        <v>5206</v>
      </c>
      <c r="C173" s="22">
        <v>2301</v>
      </c>
      <c r="D173" s="21">
        <v>87.03</v>
      </c>
      <c r="E173" s="21" t="s">
        <v>5796</v>
      </c>
      <c r="F173" s="23"/>
      <c r="G173" s="23">
        <f t="shared" si="0"/>
        <v>87.03</v>
      </c>
      <c r="H173" s="23"/>
      <c r="I173" s="23"/>
    </row>
    <row r="174" spans="1:9">
      <c r="A174" s="21" t="s">
        <v>5910</v>
      </c>
      <c r="B174" s="21" t="s">
        <v>2188</v>
      </c>
      <c r="C174" s="22">
        <v>615</v>
      </c>
      <c r="D174" s="21">
        <v>3503.04</v>
      </c>
      <c r="E174" s="21" t="s">
        <v>5796</v>
      </c>
      <c r="F174" s="23"/>
      <c r="G174" s="23">
        <f t="shared" si="0"/>
        <v>3503.04</v>
      </c>
      <c r="H174" s="23"/>
      <c r="I174" s="23"/>
    </row>
    <row r="175" spans="1:9">
      <c r="A175" s="21" t="s">
        <v>5911</v>
      </c>
      <c r="B175" s="21" t="s">
        <v>4213</v>
      </c>
      <c r="C175" s="22">
        <v>1618</v>
      </c>
      <c r="D175" s="21">
        <v>277.24</v>
      </c>
      <c r="E175" s="21" t="s">
        <v>5796</v>
      </c>
      <c r="F175" s="23"/>
      <c r="G175" s="23">
        <f t="shared" si="0"/>
        <v>277.24</v>
      </c>
      <c r="H175" s="23"/>
      <c r="I175" s="23"/>
    </row>
    <row r="176" spans="1:9">
      <c r="A176" s="21" t="s">
        <v>5912</v>
      </c>
      <c r="B176" s="21" t="s">
        <v>3142</v>
      </c>
      <c r="C176" s="22">
        <v>1071</v>
      </c>
      <c r="D176" s="21">
        <v>963.33</v>
      </c>
      <c r="E176" s="21" t="s">
        <v>5796</v>
      </c>
      <c r="F176" s="23"/>
      <c r="G176" s="23">
        <f t="shared" si="0"/>
        <v>963.33</v>
      </c>
      <c r="H176" s="23"/>
      <c r="I176" s="23"/>
    </row>
    <row r="177" spans="1:9">
      <c r="A177" s="21" t="s">
        <v>2114</v>
      </c>
      <c r="B177" s="21" t="s">
        <v>2116</v>
      </c>
      <c r="C177" s="22">
        <v>666</v>
      </c>
      <c r="D177" s="21">
        <v>2852.8</v>
      </c>
      <c r="E177" s="21" t="s">
        <v>5796</v>
      </c>
      <c r="F177" s="23"/>
      <c r="G177" s="23">
        <f t="shared" si="0"/>
        <v>2852.8</v>
      </c>
      <c r="H177" s="23"/>
      <c r="I177" s="23"/>
    </row>
    <row r="178" spans="1:9">
      <c r="A178" s="21" t="s">
        <v>5913</v>
      </c>
      <c r="B178" s="21" t="s">
        <v>1745</v>
      </c>
      <c r="C178" s="22">
        <v>508</v>
      </c>
      <c r="D178" s="21">
        <v>5093.22</v>
      </c>
      <c r="E178" s="21" t="s">
        <v>5796</v>
      </c>
      <c r="F178" s="23"/>
      <c r="G178" s="23">
        <f t="shared" si="0"/>
        <v>5093.22</v>
      </c>
      <c r="H178" s="23"/>
      <c r="I178" s="23"/>
    </row>
    <row r="179" spans="1:9">
      <c r="A179" s="21" t="s">
        <v>4313</v>
      </c>
      <c r="B179" s="21" t="s">
        <v>4315</v>
      </c>
      <c r="C179" s="22">
        <v>1612</v>
      </c>
      <c r="D179" s="21">
        <v>279.70999999999998</v>
      </c>
      <c r="E179" s="21" t="s">
        <v>5796</v>
      </c>
      <c r="F179" s="23"/>
      <c r="G179" s="23">
        <f t="shared" si="0"/>
        <v>279.70999999999998</v>
      </c>
      <c r="H179" s="23"/>
      <c r="I179" s="23"/>
    </row>
    <row r="180" spans="1:9">
      <c r="A180" s="21" t="s">
        <v>4763</v>
      </c>
      <c r="B180" s="21" t="s">
        <v>4765</v>
      </c>
      <c r="C180" s="22">
        <v>1943</v>
      </c>
      <c r="D180" s="21">
        <v>156.81</v>
      </c>
      <c r="E180" s="21" t="s">
        <v>5796</v>
      </c>
      <c r="F180" s="23"/>
      <c r="G180" s="23">
        <f t="shared" si="0"/>
        <v>156.81</v>
      </c>
      <c r="H180" s="23"/>
      <c r="I180" s="23"/>
    </row>
    <row r="181" spans="1:9">
      <c r="A181" s="21" t="s">
        <v>5914</v>
      </c>
      <c r="B181" s="21" t="s">
        <v>5119</v>
      </c>
      <c r="C181" s="22">
        <v>2046</v>
      </c>
      <c r="D181" s="21">
        <v>132.18</v>
      </c>
      <c r="E181" s="21" t="s">
        <v>5796</v>
      </c>
      <c r="F181" s="23"/>
      <c r="G181" s="23">
        <f t="shared" si="0"/>
        <v>132.18</v>
      </c>
      <c r="H181" s="23"/>
      <c r="I181" s="23"/>
    </row>
    <row r="182" spans="1:9">
      <c r="A182" s="21" t="s">
        <v>5915</v>
      </c>
      <c r="B182" s="21" t="s">
        <v>3127</v>
      </c>
      <c r="C182" s="22">
        <v>920</v>
      </c>
      <c r="D182" s="21">
        <v>1400.57</v>
      </c>
      <c r="E182" s="21" t="s">
        <v>5796</v>
      </c>
      <c r="F182" s="23"/>
      <c r="G182" s="23">
        <f t="shared" si="0"/>
        <v>1400.57</v>
      </c>
      <c r="H182" s="23"/>
      <c r="I182" s="23"/>
    </row>
    <row r="183" spans="1:9">
      <c r="A183" s="21" t="s">
        <v>3302</v>
      </c>
      <c r="B183" s="21" t="s">
        <v>3304</v>
      </c>
      <c r="C183" s="22">
        <v>1164</v>
      </c>
      <c r="D183" s="21">
        <v>767.36</v>
      </c>
      <c r="E183" s="21" t="s">
        <v>5796</v>
      </c>
      <c r="F183" s="23"/>
      <c r="G183" s="23">
        <f t="shared" si="0"/>
        <v>767.36</v>
      </c>
      <c r="H183" s="23"/>
      <c r="I183" s="23"/>
    </row>
    <row r="184" spans="1:9">
      <c r="A184" s="27" t="s">
        <v>438</v>
      </c>
      <c r="B184" s="27" t="s">
        <v>440</v>
      </c>
      <c r="C184" s="28">
        <v>85</v>
      </c>
      <c r="D184" s="27">
        <v>57003.72</v>
      </c>
      <c r="E184" s="27" t="s">
        <v>5815</v>
      </c>
      <c r="F184" s="29"/>
      <c r="G184" s="23">
        <f t="shared" si="0"/>
        <v>57003.72</v>
      </c>
      <c r="H184" s="29"/>
      <c r="I184" s="29"/>
    </row>
    <row r="185" spans="1:9">
      <c r="A185" s="27" t="s">
        <v>5916</v>
      </c>
      <c r="B185" s="27" t="s">
        <v>51</v>
      </c>
      <c r="C185" s="28">
        <v>17</v>
      </c>
      <c r="D185" s="27">
        <v>275693.59000000003</v>
      </c>
      <c r="E185" s="27" t="s">
        <v>5815</v>
      </c>
      <c r="F185" s="29"/>
      <c r="G185" s="23">
        <f t="shared" si="0"/>
        <v>275693.59000000003</v>
      </c>
      <c r="H185" s="29"/>
      <c r="I185" s="29"/>
    </row>
    <row r="186" spans="1:9">
      <c r="A186" s="21" t="s">
        <v>5917</v>
      </c>
      <c r="B186" s="21" t="s">
        <v>2680</v>
      </c>
      <c r="C186" s="22">
        <v>968</v>
      </c>
      <c r="D186" s="21">
        <v>1266.18</v>
      </c>
      <c r="E186" s="21" t="s">
        <v>5796</v>
      </c>
      <c r="F186" s="23"/>
      <c r="G186" s="23">
        <f t="shared" si="0"/>
        <v>1266.18</v>
      </c>
      <c r="H186" s="23"/>
      <c r="I186" s="23"/>
    </row>
    <row r="187" spans="1:9">
      <c r="A187" s="21" t="s">
        <v>3893</v>
      </c>
      <c r="B187" s="21" t="s">
        <v>3895</v>
      </c>
      <c r="C187" s="22">
        <v>1074</v>
      </c>
      <c r="D187" s="21">
        <v>954.61</v>
      </c>
      <c r="E187" s="21" t="s">
        <v>5796</v>
      </c>
      <c r="F187" s="23"/>
      <c r="G187" s="23">
        <f t="shared" si="0"/>
        <v>954.61</v>
      </c>
      <c r="H187" s="23"/>
      <c r="I187" s="23"/>
    </row>
    <row r="188" spans="1:9">
      <c r="A188" s="21" t="s">
        <v>4283</v>
      </c>
      <c r="B188" s="21" t="s">
        <v>4285</v>
      </c>
      <c r="C188" s="22">
        <v>1498</v>
      </c>
      <c r="D188" s="21">
        <v>348.54</v>
      </c>
      <c r="E188" s="21" t="s">
        <v>5796</v>
      </c>
      <c r="F188" s="23"/>
      <c r="G188" s="23">
        <f t="shared" si="0"/>
        <v>348.54</v>
      </c>
      <c r="H188" s="23"/>
      <c r="I188" s="23"/>
    </row>
    <row r="189" spans="1:9">
      <c r="A189" s="21" t="s">
        <v>4598</v>
      </c>
      <c r="B189" s="21" t="s">
        <v>4600</v>
      </c>
      <c r="C189" s="22">
        <v>1727</v>
      </c>
      <c r="D189" s="21">
        <v>227.12</v>
      </c>
      <c r="E189" s="21" t="s">
        <v>5796</v>
      </c>
      <c r="F189" s="23"/>
      <c r="G189" s="23">
        <f t="shared" si="0"/>
        <v>227.12</v>
      </c>
      <c r="H189" s="23"/>
      <c r="I189" s="23"/>
    </row>
    <row r="190" spans="1:9">
      <c r="A190" s="21" t="s">
        <v>5918</v>
      </c>
      <c r="B190" s="21" t="s">
        <v>5098</v>
      </c>
      <c r="C190" s="22">
        <v>2302</v>
      </c>
      <c r="D190" s="21">
        <v>86.98</v>
      </c>
      <c r="E190" s="21" t="s">
        <v>5796</v>
      </c>
      <c r="F190" s="23"/>
      <c r="G190" s="23">
        <f t="shared" si="0"/>
        <v>86.98</v>
      </c>
      <c r="H190" s="23"/>
      <c r="I190" s="23"/>
    </row>
    <row r="191" spans="1:9">
      <c r="A191" s="21" t="s">
        <v>5919</v>
      </c>
      <c r="B191" s="21" t="s">
        <v>4249</v>
      </c>
      <c r="C191" s="22">
        <v>1390</v>
      </c>
      <c r="D191" s="21">
        <v>423</v>
      </c>
      <c r="E191" s="21" t="s">
        <v>5796</v>
      </c>
      <c r="F191" s="23"/>
      <c r="G191" s="23">
        <f t="shared" si="0"/>
        <v>423</v>
      </c>
      <c r="H191" s="23"/>
      <c r="I191" s="23"/>
    </row>
    <row r="192" spans="1:9">
      <c r="A192" s="27" t="s">
        <v>117</v>
      </c>
      <c r="B192" s="27" t="s">
        <v>119</v>
      </c>
      <c r="C192" s="28">
        <v>45</v>
      </c>
      <c r="D192" s="27">
        <v>117150.65</v>
      </c>
      <c r="E192" s="27" t="s">
        <v>5815</v>
      </c>
      <c r="F192" s="29"/>
      <c r="G192" s="23">
        <f t="shared" si="0"/>
        <v>117150.65</v>
      </c>
      <c r="H192" s="29"/>
      <c r="I192" s="29"/>
    </row>
    <row r="193" spans="1:9">
      <c r="A193" s="21" t="s">
        <v>5920</v>
      </c>
      <c r="B193" s="21" t="s">
        <v>2218</v>
      </c>
      <c r="C193" s="22">
        <v>710</v>
      </c>
      <c r="D193" s="21">
        <v>2495.4699999999998</v>
      </c>
      <c r="E193" s="21" t="s">
        <v>5796</v>
      </c>
      <c r="F193" s="23"/>
      <c r="G193" s="23">
        <f t="shared" si="0"/>
        <v>2495.4699999999998</v>
      </c>
      <c r="H193" s="23"/>
      <c r="I193" s="23"/>
    </row>
    <row r="194" spans="1:9">
      <c r="A194" s="21" t="s">
        <v>5921</v>
      </c>
      <c r="B194" s="21" t="s">
        <v>1064</v>
      </c>
      <c r="C194" s="22">
        <v>291</v>
      </c>
      <c r="D194" s="21">
        <v>13117.66</v>
      </c>
      <c r="E194" s="21" t="s">
        <v>5796</v>
      </c>
      <c r="F194" s="23"/>
      <c r="G194" s="23">
        <f t="shared" si="0"/>
        <v>13117.66</v>
      </c>
      <c r="H194" s="23"/>
      <c r="I194" s="23"/>
    </row>
    <row r="195" spans="1:9">
      <c r="A195" s="27" t="s">
        <v>67</v>
      </c>
      <c r="B195" s="27" t="s">
        <v>69</v>
      </c>
      <c r="C195" s="28">
        <v>23</v>
      </c>
      <c r="D195" s="27">
        <v>220562.71</v>
      </c>
      <c r="E195" s="27" t="s">
        <v>5815</v>
      </c>
      <c r="F195" s="29"/>
      <c r="G195" s="23">
        <f t="shared" si="0"/>
        <v>220562.71</v>
      </c>
      <c r="H195" s="29"/>
      <c r="I195" s="29"/>
    </row>
    <row r="196" spans="1:9">
      <c r="A196" s="21" t="s">
        <v>3335</v>
      </c>
      <c r="B196" s="21" t="s">
        <v>3337</v>
      </c>
      <c r="C196" s="22">
        <v>1079</v>
      </c>
      <c r="D196" s="21">
        <v>938.32</v>
      </c>
      <c r="E196" s="21" t="s">
        <v>5796</v>
      </c>
      <c r="F196" s="23"/>
      <c r="G196" s="23">
        <f t="shared" si="0"/>
        <v>938.32</v>
      </c>
      <c r="H196" s="23"/>
      <c r="I196" s="23"/>
    </row>
    <row r="197" spans="1:9">
      <c r="A197" s="21" t="s">
        <v>2231</v>
      </c>
      <c r="B197" s="21" t="s">
        <v>2233</v>
      </c>
      <c r="C197" s="22">
        <v>821</v>
      </c>
      <c r="D197" s="21">
        <v>1832.42</v>
      </c>
      <c r="E197" s="21" t="s">
        <v>5796</v>
      </c>
      <c r="F197" s="23"/>
      <c r="G197" s="23">
        <f t="shared" si="0"/>
        <v>1832.42</v>
      </c>
      <c r="H197" s="23"/>
      <c r="I197" s="23"/>
    </row>
    <row r="198" spans="1:9">
      <c r="A198" s="27" t="s">
        <v>243</v>
      </c>
      <c r="B198" s="27" t="s">
        <v>245</v>
      </c>
      <c r="C198" s="28">
        <v>73</v>
      </c>
      <c r="D198" s="27">
        <v>70421.59</v>
      </c>
      <c r="E198" s="27" t="s">
        <v>5815</v>
      </c>
      <c r="F198" s="29"/>
      <c r="G198" s="23">
        <f t="shared" si="0"/>
        <v>70421.59</v>
      </c>
      <c r="H198" s="29"/>
      <c r="I198" s="29"/>
    </row>
    <row r="199" spans="1:9">
      <c r="A199" s="27" t="s">
        <v>34</v>
      </c>
      <c r="B199" s="27" t="s">
        <v>36</v>
      </c>
      <c r="C199" s="28">
        <v>11</v>
      </c>
      <c r="D199" s="27">
        <v>382541.49</v>
      </c>
      <c r="E199" s="27" t="s">
        <v>5815</v>
      </c>
      <c r="F199" s="29"/>
      <c r="G199" s="23">
        <f t="shared" si="0"/>
        <v>382541.49</v>
      </c>
      <c r="H199" s="29"/>
      <c r="I199" s="29"/>
    </row>
    <row r="200" spans="1:9">
      <c r="A200" s="21" t="s">
        <v>5922</v>
      </c>
      <c r="B200" s="21" t="s">
        <v>3766</v>
      </c>
      <c r="C200" s="22">
        <v>1387</v>
      </c>
      <c r="D200" s="21">
        <v>426</v>
      </c>
      <c r="E200" s="21" t="s">
        <v>5796</v>
      </c>
      <c r="F200" s="23"/>
      <c r="G200" s="23">
        <f t="shared" si="0"/>
        <v>426</v>
      </c>
      <c r="H200" s="23"/>
      <c r="I200" s="23"/>
    </row>
    <row r="201" spans="1:9">
      <c r="A201" s="21" t="s">
        <v>5923</v>
      </c>
      <c r="B201" s="21" t="s">
        <v>1535</v>
      </c>
      <c r="C201" s="22">
        <v>408</v>
      </c>
      <c r="D201" s="21">
        <v>7312.37</v>
      </c>
      <c r="E201" s="21" t="s">
        <v>5796</v>
      </c>
      <c r="F201" s="23"/>
      <c r="G201" s="23">
        <f t="shared" si="0"/>
        <v>7312.37</v>
      </c>
      <c r="H201" s="23"/>
      <c r="I201" s="23"/>
    </row>
    <row r="202" spans="1:9">
      <c r="A202" s="21" t="s">
        <v>5924</v>
      </c>
      <c r="B202" s="21" t="s">
        <v>4042</v>
      </c>
      <c r="C202" s="22">
        <v>1284</v>
      </c>
      <c r="D202" s="21">
        <v>550.26</v>
      </c>
      <c r="E202" s="21" t="s">
        <v>5796</v>
      </c>
      <c r="F202" s="23"/>
      <c r="G202" s="23">
        <f t="shared" si="0"/>
        <v>550.26</v>
      </c>
      <c r="H202" s="23"/>
      <c r="I202" s="23"/>
    </row>
    <row r="203" spans="1:9">
      <c r="A203" s="21" t="s">
        <v>5925</v>
      </c>
      <c r="B203" s="21" t="s">
        <v>5589</v>
      </c>
      <c r="C203" s="22">
        <v>2929</v>
      </c>
      <c r="D203" s="21">
        <v>33.58</v>
      </c>
      <c r="E203" s="21" t="s">
        <v>5796</v>
      </c>
      <c r="F203" s="23"/>
      <c r="G203" s="23">
        <f t="shared" si="0"/>
        <v>33.58</v>
      </c>
      <c r="H203" s="23"/>
      <c r="I203" s="23"/>
    </row>
    <row r="204" spans="1:9">
      <c r="A204" s="24" t="s">
        <v>5926</v>
      </c>
      <c r="B204" s="24" t="s">
        <v>419</v>
      </c>
      <c r="C204" s="25">
        <v>126</v>
      </c>
      <c r="D204" s="24">
        <v>41798.050000000003</v>
      </c>
      <c r="E204" s="24" t="s">
        <v>5800</v>
      </c>
      <c r="F204" s="26"/>
      <c r="G204" s="23">
        <f t="shared" si="0"/>
        <v>41798.050000000003</v>
      </c>
      <c r="H204" s="26"/>
      <c r="I204" s="26"/>
    </row>
    <row r="205" spans="1:9">
      <c r="A205" s="21" t="s">
        <v>5927</v>
      </c>
      <c r="B205" s="21" t="s">
        <v>2407</v>
      </c>
      <c r="C205" s="22">
        <v>770</v>
      </c>
      <c r="D205" s="21">
        <v>2083.2600000000002</v>
      </c>
      <c r="E205" s="21" t="s">
        <v>5796</v>
      </c>
      <c r="F205" s="23"/>
      <c r="G205" s="23">
        <f t="shared" si="0"/>
        <v>2083.2600000000002</v>
      </c>
      <c r="H205" s="23"/>
      <c r="I205" s="23"/>
    </row>
    <row r="206" spans="1:9">
      <c r="A206" s="21" t="s">
        <v>5928</v>
      </c>
      <c r="B206" s="21" t="s">
        <v>4924</v>
      </c>
      <c r="C206" s="22">
        <v>2070</v>
      </c>
      <c r="D206" s="21">
        <v>127.25</v>
      </c>
      <c r="E206" s="21" t="s">
        <v>5796</v>
      </c>
      <c r="F206" s="23"/>
      <c r="G206" s="23">
        <f t="shared" si="0"/>
        <v>127.25</v>
      </c>
      <c r="H206" s="23"/>
      <c r="I206" s="23"/>
    </row>
    <row r="207" spans="1:9">
      <c r="A207" s="21" t="s">
        <v>5929</v>
      </c>
      <c r="B207" s="21" t="s">
        <v>1373</v>
      </c>
      <c r="C207" s="22">
        <v>394</v>
      </c>
      <c r="D207" s="21">
        <v>7912.35</v>
      </c>
      <c r="E207" s="21" t="s">
        <v>5796</v>
      </c>
      <c r="F207" s="23"/>
      <c r="G207" s="23">
        <f t="shared" si="0"/>
        <v>7912.35</v>
      </c>
      <c r="H207" s="23"/>
      <c r="I207" s="23"/>
    </row>
    <row r="208" spans="1:9">
      <c r="A208" s="21" t="s">
        <v>5930</v>
      </c>
      <c r="B208" s="21" t="s">
        <v>5427</v>
      </c>
      <c r="C208" s="22">
        <v>2587</v>
      </c>
      <c r="D208" s="21">
        <v>54.02</v>
      </c>
      <c r="E208" s="21" t="s">
        <v>5796</v>
      </c>
      <c r="F208" s="23"/>
      <c r="G208" s="23">
        <f t="shared" si="0"/>
        <v>54.02</v>
      </c>
      <c r="H208" s="23"/>
      <c r="I208" s="23"/>
    </row>
    <row r="209" spans="1:9">
      <c r="A209" s="21" t="s">
        <v>5931</v>
      </c>
      <c r="B209" s="21" t="s">
        <v>2197</v>
      </c>
      <c r="C209" s="22">
        <v>616</v>
      </c>
      <c r="D209" s="21">
        <v>3485.17</v>
      </c>
      <c r="E209" s="21" t="s">
        <v>5796</v>
      </c>
      <c r="F209" s="23"/>
      <c r="G209" s="23">
        <f t="shared" si="0"/>
        <v>3485.17</v>
      </c>
      <c r="H209" s="23"/>
      <c r="I209" s="23"/>
    </row>
    <row r="210" spans="1:9">
      <c r="A210" s="21" t="s">
        <v>5932</v>
      </c>
      <c r="B210" s="21" t="s">
        <v>2176</v>
      </c>
      <c r="C210" s="22">
        <v>844</v>
      </c>
      <c r="D210" s="21">
        <v>1736.69</v>
      </c>
      <c r="E210" s="21" t="s">
        <v>5796</v>
      </c>
      <c r="F210" s="23"/>
      <c r="G210" s="23">
        <f t="shared" si="0"/>
        <v>1736.69</v>
      </c>
      <c r="H210" s="23"/>
      <c r="I210" s="23"/>
    </row>
    <row r="211" spans="1:9">
      <c r="A211" s="24" t="s">
        <v>516</v>
      </c>
      <c r="B211" s="24" t="s">
        <v>518</v>
      </c>
      <c r="C211" s="25">
        <v>140</v>
      </c>
      <c r="D211" s="24">
        <v>37710.589999999997</v>
      </c>
      <c r="E211" s="24" t="s">
        <v>5800</v>
      </c>
      <c r="F211" s="26"/>
      <c r="G211" s="23">
        <f t="shared" si="0"/>
        <v>37710.589999999997</v>
      </c>
      <c r="H211" s="26"/>
      <c r="I211" s="26"/>
    </row>
    <row r="212" spans="1:9">
      <c r="A212" s="21" t="s">
        <v>5933</v>
      </c>
      <c r="B212" s="21" t="s">
        <v>5391</v>
      </c>
      <c r="C212" s="22">
        <v>2571</v>
      </c>
      <c r="D212" s="21">
        <v>55.69</v>
      </c>
      <c r="E212" s="21" t="s">
        <v>5796</v>
      </c>
      <c r="F212" s="23"/>
      <c r="G212" s="23">
        <f t="shared" si="0"/>
        <v>55.69</v>
      </c>
      <c r="H212" s="23"/>
      <c r="I212" s="23"/>
    </row>
    <row r="213" spans="1:9">
      <c r="A213" s="21" t="s">
        <v>5934</v>
      </c>
      <c r="B213" s="21" t="s">
        <v>5319</v>
      </c>
      <c r="C213" s="22">
        <v>2332</v>
      </c>
      <c r="D213" s="21">
        <v>82.15</v>
      </c>
      <c r="E213" s="21" t="s">
        <v>5796</v>
      </c>
      <c r="F213" s="23"/>
      <c r="G213" s="23">
        <f t="shared" si="0"/>
        <v>82.15</v>
      </c>
      <c r="H213" s="23"/>
      <c r="I213" s="23"/>
    </row>
    <row r="214" spans="1:9">
      <c r="A214" s="27" t="s">
        <v>5935</v>
      </c>
      <c r="B214" s="27" t="s">
        <v>173</v>
      </c>
      <c r="C214" s="28">
        <v>57</v>
      </c>
      <c r="D214" s="27">
        <v>90957.8</v>
      </c>
      <c r="E214" s="27" t="s">
        <v>5815</v>
      </c>
      <c r="F214" s="29"/>
      <c r="G214" s="23">
        <f t="shared" si="0"/>
        <v>90957.8</v>
      </c>
      <c r="H214" s="29"/>
      <c r="I214" s="29"/>
    </row>
    <row r="215" spans="1:9">
      <c r="A215" s="24" t="s">
        <v>498</v>
      </c>
      <c r="B215" s="24" t="s">
        <v>500</v>
      </c>
      <c r="C215" s="25">
        <v>166</v>
      </c>
      <c r="D215" s="24">
        <v>32197.77</v>
      </c>
      <c r="E215" s="24" t="s">
        <v>5800</v>
      </c>
      <c r="F215" s="26"/>
      <c r="G215" s="23">
        <f t="shared" si="0"/>
        <v>32197.77</v>
      </c>
      <c r="H215" s="26"/>
      <c r="I215" s="26"/>
    </row>
    <row r="216" spans="1:9">
      <c r="A216" s="21" t="s">
        <v>5936</v>
      </c>
      <c r="B216" s="21" t="s">
        <v>3949</v>
      </c>
      <c r="C216" s="22">
        <v>1316</v>
      </c>
      <c r="D216" s="21">
        <v>494.13</v>
      </c>
      <c r="E216" s="21" t="s">
        <v>5796</v>
      </c>
      <c r="F216" s="23"/>
      <c r="G216" s="23">
        <f t="shared" si="0"/>
        <v>494.13</v>
      </c>
      <c r="H216" s="23"/>
      <c r="I216" s="23"/>
    </row>
    <row r="217" spans="1:9">
      <c r="A217" s="21" t="s">
        <v>5937</v>
      </c>
      <c r="B217" s="21" t="s">
        <v>2413</v>
      </c>
      <c r="C217" s="22">
        <v>679</v>
      </c>
      <c r="D217" s="21">
        <v>2775.74</v>
      </c>
      <c r="E217" s="21" t="s">
        <v>5796</v>
      </c>
      <c r="F217" s="23"/>
      <c r="G217" s="23">
        <f t="shared" si="0"/>
        <v>2775.74</v>
      </c>
      <c r="H217" s="23"/>
      <c r="I217" s="23"/>
    </row>
    <row r="218" spans="1:9">
      <c r="A218" s="21" t="s">
        <v>5938</v>
      </c>
      <c r="B218" s="21" t="s">
        <v>1121</v>
      </c>
      <c r="C218" s="22">
        <v>334</v>
      </c>
      <c r="D218" s="21">
        <v>10618.61</v>
      </c>
      <c r="E218" s="21" t="s">
        <v>5796</v>
      </c>
      <c r="F218" s="23"/>
      <c r="G218" s="23">
        <f t="shared" si="0"/>
        <v>10618.61</v>
      </c>
      <c r="H218" s="23"/>
      <c r="I218" s="23"/>
    </row>
    <row r="219" spans="1:9">
      <c r="A219" s="21" t="s">
        <v>5939</v>
      </c>
      <c r="B219" s="21" t="s">
        <v>4387</v>
      </c>
      <c r="C219" s="22">
        <v>1599</v>
      </c>
      <c r="D219" s="21">
        <v>289.41000000000003</v>
      </c>
      <c r="E219" s="21" t="s">
        <v>5796</v>
      </c>
      <c r="F219" s="23"/>
      <c r="G219" s="23">
        <f t="shared" si="0"/>
        <v>289.41000000000003</v>
      </c>
      <c r="H219" s="23"/>
      <c r="I219" s="23"/>
    </row>
    <row r="220" spans="1:9">
      <c r="A220" s="24" t="s">
        <v>774</v>
      </c>
      <c r="B220" s="24" t="s">
        <v>776</v>
      </c>
      <c r="C220" s="25">
        <v>230</v>
      </c>
      <c r="D220" s="24">
        <v>19432.2</v>
      </c>
      <c r="E220" s="24" t="s">
        <v>5800</v>
      </c>
      <c r="F220" s="26"/>
      <c r="G220" s="23">
        <f t="shared" si="0"/>
        <v>19432.2</v>
      </c>
      <c r="H220" s="26"/>
      <c r="I220" s="26"/>
    </row>
    <row r="221" spans="1:9">
      <c r="A221" s="21" t="s">
        <v>5940</v>
      </c>
      <c r="B221" s="21" t="s">
        <v>2620</v>
      </c>
      <c r="C221" s="22">
        <v>886</v>
      </c>
      <c r="D221" s="21">
        <v>1540.43</v>
      </c>
      <c r="E221" s="21" t="s">
        <v>5796</v>
      </c>
      <c r="F221" s="23"/>
      <c r="G221" s="23">
        <f t="shared" si="0"/>
        <v>1540.43</v>
      </c>
      <c r="H221" s="23"/>
      <c r="I221" s="23"/>
    </row>
    <row r="222" spans="1:9">
      <c r="A222" s="21" t="s">
        <v>5941</v>
      </c>
      <c r="B222" s="21" t="s">
        <v>2086</v>
      </c>
      <c r="C222" s="22">
        <v>772</v>
      </c>
      <c r="D222" s="21">
        <v>2076.4</v>
      </c>
      <c r="E222" s="21" t="s">
        <v>5796</v>
      </c>
      <c r="F222" s="23"/>
      <c r="G222" s="23">
        <f t="shared" si="0"/>
        <v>2076.4</v>
      </c>
      <c r="H222" s="23"/>
      <c r="I222" s="23"/>
    </row>
    <row r="223" spans="1:9">
      <c r="A223" s="21" t="s">
        <v>5942</v>
      </c>
      <c r="B223" s="21" t="s">
        <v>1358</v>
      </c>
      <c r="C223" s="22">
        <v>443</v>
      </c>
      <c r="D223" s="21">
        <v>6461.48</v>
      </c>
      <c r="E223" s="21" t="s">
        <v>5796</v>
      </c>
      <c r="F223" s="23"/>
      <c r="G223" s="23">
        <f t="shared" si="0"/>
        <v>6461.48</v>
      </c>
      <c r="H223" s="23"/>
      <c r="I223" s="23"/>
    </row>
    <row r="224" spans="1:9">
      <c r="A224" s="21" t="s">
        <v>3965</v>
      </c>
      <c r="B224" s="21" t="s">
        <v>3967</v>
      </c>
      <c r="C224" s="22">
        <v>1330</v>
      </c>
      <c r="D224" s="21">
        <v>483.51</v>
      </c>
      <c r="E224" s="21" t="s">
        <v>5796</v>
      </c>
      <c r="F224" s="23"/>
      <c r="G224" s="23">
        <f t="shared" si="0"/>
        <v>483.51</v>
      </c>
      <c r="H224" s="23"/>
      <c r="I224" s="23"/>
    </row>
    <row r="225" spans="1:9">
      <c r="A225" s="21" t="s">
        <v>5943</v>
      </c>
      <c r="B225" s="21" t="s">
        <v>1985</v>
      </c>
      <c r="C225" s="22">
        <v>553</v>
      </c>
      <c r="D225" s="21">
        <v>4335.12</v>
      </c>
      <c r="E225" s="21" t="s">
        <v>5796</v>
      </c>
      <c r="F225" s="23"/>
      <c r="G225" s="23">
        <f t="shared" si="0"/>
        <v>4335.12</v>
      </c>
      <c r="H225" s="23"/>
      <c r="I225" s="23"/>
    </row>
    <row r="226" spans="1:9">
      <c r="A226" s="21" t="s">
        <v>5944</v>
      </c>
      <c r="B226" s="21" t="s">
        <v>3148</v>
      </c>
      <c r="C226" s="22">
        <v>1039</v>
      </c>
      <c r="D226" s="21">
        <v>1050.94</v>
      </c>
      <c r="E226" s="21" t="s">
        <v>5796</v>
      </c>
      <c r="F226" s="23"/>
      <c r="G226" s="23">
        <f t="shared" si="0"/>
        <v>1050.94</v>
      </c>
      <c r="H226" s="23"/>
      <c r="I226" s="23"/>
    </row>
    <row r="227" spans="1:9">
      <c r="A227" s="21" t="s">
        <v>3920</v>
      </c>
      <c r="B227" s="21" t="s">
        <v>3922</v>
      </c>
      <c r="C227" s="22">
        <v>1640</v>
      </c>
      <c r="D227" s="21">
        <v>267.52</v>
      </c>
      <c r="E227" s="21" t="s">
        <v>5796</v>
      </c>
      <c r="F227" s="23"/>
      <c r="G227" s="23">
        <f t="shared" si="0"/>
        <v>267.52</v>
      </c>
      <c r="H227" s="23"/>
      <c r="I227" s="23"/>
    </row>
    <row r="228" spans="1:9">
      <c r="A228" s="24" t="s">
        <v>780</v>
      </c>
      <c r="B228" s="24" t="s">
        <v>782</v>
      </c>
      <c r="C228" s="25">
        <v>244</v>
      </c>
      <c r="D228" s="24">
        <v>18097.91</v>
      </c>
      <c r="E228" s="24" t="s">
        <v>5800</v>
      </c>
      <c r="F228" s="26"/>
      <c r="G228" s="23">
        <f t="shared" si="0"/>
        <v>18097.91</v>
      </c>
      <c r="H228" s="26"/>
      <c r="I228" s="26"/>
    </row>
    <row r="229" spans="1:9">
      <c r="A229" s="21" t="s">
        <v>5945</v>
      </c>
      <c r="B229" s="21" t="s">
        <v>4936</v>
      </c>
      <c r="C229" s="22">
        <v>2281</v>
      </c>
      <c r="D229" s="21">
        <v>90.37</v>
      </c>
      <c r="E229" s="21" t="s">
        <v>5796</v>
      </c>
      <c r="F229" s="23"/>
      <c r="G229" s="23">
        <f t="shared" si="0"/>
        <v>90.37</v>
      </c>
      <c r="H229" s="23"/>
      <c r="I229" s="23"/>
    </row>
    <row r="230" spans="1:9">
      <c r="A230" s="21" t="s">
        <v>1647</v>
      </c>
      <c r="B230" s="21" t="s">
        <v>1649</v>
      </c>
      <c r="C230" s="22">
        <v>617</v>
      </c>
      <c r="D230" s="21">
        <v>3483.6</v>
      </c>
      <c r="E230" s="21" t="s">
        <v>5796</v>
      </c>
      <c r="F230" s="23"/>
      <c r="G230" s="23">
        <f t="shared" si="0"/>
        <v>3483.6</v>
      </c>
      <c r="H230" s="23"/>
      <c r="I230" s="23"/>
    </row>
    <row r="231" spans="1:9">
      <c r="A231" s="21" t="s">
        <v>4262</v>
      </c>
      <c r="B231" s="21" t="s">
        <v>4264</v>
      </c>
      <c r="C231" s="22">
        <v>1841</v>
      </c>
      <c r="D231" s="21">
        <v>183.47</v>
      </c>
      <c r="E231" s="21" t="s">
        <v>5796</v>
      </c>
      <c r="F231" s="23"/>
      <c r="G231" s="23">
        <f t="shared" si="0"/>
        <v>183.47</v>
      </c>
      <c r="H231" s="23"/>
      <c r="I231" s="23"/>
    </row>
    <row r="232" spans="1:9">
      <c r="A232" s="27" t="s">
        <v>5946</v>
      </c>
      <c r="B232" s="27" t="s">
        <v>179</v>
      </c>
      <c r="C232" s="28">
        <v>68</v>
      </c>
      <c r="D232" s="27">
        <v>75404.289999999994</v>
      </c>
      <c r="E232" s="27" t="s">
        <v>5815</v>
      </c>
      <c r="F232" s="29"/>
      <c r="G232" s="23">
        <f t="shared" si="0"/>
        <v>75404.289999999994</v>
      </c>
      <c r="H232" s="29"/>
      <c r="I232" s="29"/>
    </row>
    <row r="233" spans="1:9">
      <c r="A233" s="21" t="s">
        <v>5947</v>
      </c>
      <c r="B233" s="21" t="s">
        <v>1313</v>
      </c>
      <c r="C233" s="22">
        <v>468</v>
      </c>
      <c r="D233" s="21">
        <v>5763.53</v>
      </c>
      <c r="E233" s="21" t="s">
        <v>5796</v>
      </c>
      <c r="F233" s="23"/>
      <c r="G233" s="23">
        <f t="shared" si="0"/>
        <v>5763.53</v>
      </c>
      <c r="H233" s="23"/>
      <c r="I233" s="23"/>
    </row>
    <row r="234" spans="1:9">
      <c r="A234" s="21" t="s">
        <v>5948</v>
      </c>
      <c r="B234" s="21" t="s">
        <v>2545</v>
      </c>
      <c r="C234" s="22">
        <v>802</v>
      </c>
      <c r="D234" s="21">
        <v>1923.71</v>
      </c>
      <c r="E234" s="21" t="s">
        <v>5796</v>
      </c>
      <c r="F234" s="23"/>
      <c r="G234" s="23">
        <f t="shared" si="0"/>
        <v>1923.71</v>
      </c>
      <c r="H234" s="23"/>
      <c r="I234" s="23"/>
    </row>
    <row r="235" spans="1:9">
      <c r="A235" s="27" t="s">
        <v>5949</v>
      </c>
      <c r="B235" s="27" t="s">
        <v>305</v>
      </c>
      <c r="C235" s="28">
        <v>83</v>
      </c>
      <c r="D235" s="27">
        <v>58273</v>
      </c>
      <c r="E235" s="27" t="s">
        <v>5815</v>
      </c>
      <c r="F235" s="29"/>
      <c r="G235" s="23">
        <f t="shared" si="0"/>
        <v>58273</v>
      </c>
      <c r="H235" s="29"/>
      <c r="I235" s="29"/>
    </row>
    <row r="236" spans="1:9">
      <c r="A236" s="21" t="s">
        <v>2813</v>
      </c>
      <c r="B236" s="21" t="s">
        <v>2815</v>
      </c>
      <c r="C236" s="22">
        <v>904</v>
      </c>
      <c r="D236" s="21">
        <v>1458.19</v>
      </c>
      <c r="E236" s="21" t="s">
        <v>5796</v>
      </c>
      <c r="F236" s="23"/>
      <c r="G236" s="23">
        <f t="shared" si="0"/>
        <v>1458.19</v>
      </c>
      <c r="H236" s="23"/>
      <c r="I236" s="23"/>
    </row>
    <row r="237" spans="1:9">
      <c r="A237" s="21" t="s">
        <v>5950</v>
      </c>
      <c r="B237" s="21" t="s">
        <v>2596</v>
      </c>
      <c r="C237" s="22">
        <v>945</v>
      </c>
      <c r="D237" s="21">
        <v>1326.33</v>
      </c>
      <c r="E237" s="21" t="s">
        <v>5796</v>
      </c>
      <c r="F237" s="23"/>
      <c r="G237" s="23">
        <f t="shared" si="0"/>
        <v>1326.33</v>
      </c>
      <c r="H237" s="23"/>
      <c r="I237" s="23"/>
    </row>
    <row r="238" spans="1:9">
      <c r="A238" s="21" t="s">
        <v>5951</v>
      </c>
      <c r="B238" s="21" t="s">
        <v>5952</v>
      </c>
      <c r="C238" s="22">
        <v>4277</v>
      </c>
      <c r="D238" s="21">
        <v>4.76</v>
      </c>
      <c r="E238" s="21" t="s">
        <v>5796</v>
      </c>
      <c r="F238" s="23"/>
      <c r="G238" s="23">
        <f t="shared" si="0"/>
        <v>4.76</v>
      </c>
      <c r="H238" s="23"/>
      <c r="I238" s="23"/>
    </row>
    <row r="239" spans="1:9">
      <c r="A239" s="21" t="s">
        <v>5953</v>
      </c>
      <c r="B239" s="21" t="s">
        <v>3931</v>
      </c>
      <c r="C239" s="22">
        <v>1442</v>
      </c>
      <c r="D239" s="21">
        <v>387.39</v>
      </c>
      <c r="E239" s="21" t="s">
        <v>5796</v>
      </c>
      <c r="F239" s="23"/>
      <c r="G239" s="23">
        <f t="shared" si="0"/>
        <v>387.39</v>
      </c>
      <c r="H239" s="23"/>
      <c r="I239" s="23"/>
    </row>
    <row r="240" spans="1:9">
      <c r="A240" s="21" t="s">
        <v>5954</v>
      </c>
      <c r="B240" s="21" t="s">
        <v>3010</v>
      </c>
      <c r="C240" s="22">
        <v>924</v>
      </c>
      <c r="D240" s="21">
        <v>1390.18</v>
      </c>
      <c r="E240" s="21" t="s">
        <v>5796</v>
      </c>
      <c r="F240" s="23"/>
      <c r="G240" s="23">
        <f t="shared" si="0"/>
        <v>1390.18</v>
      </c>
      <c r="H240" s="23"/>
      <c r="I240" s="23"/>
    </row>
    <row r="241" spans="1:9">
      <c r="A241" s="21" t="s">
        <v>3701</v>
      </c>
      <c r="B241" s="21" t="s">
        <v>3703</v>
      </c>
      <c r="C241" s="22">
        <v>1256</v>
      </c>
      <c r="D241" s="21">
        <v>594.79999999999995</v>
      </c>
      <c r="E241" s="21" t="s">
        <v>5796</v>
      </c>
      <c r="F241" s="23"/>
      <c r="G241" s="23">
        <f t="shared" si="0"/>
        <v>594.79999999999995</v>
      </c>
      <c r="H241" s="23"/>
      <c r="I241" s="23"/>
    </row>
    <row r="242" spans="1:9">
      <c r="A242" s="21" t="s">
        <v>4601</v>
      </c>
      <c r="B242" s="21" t="s">
        <v>4603</v>
      </c>
      <c r="C242" s="22">
        <v>1939</v>
      </c>
      <c r="D242" s="21">
        <v>157.52000000000001</v>
      </c>
      <c r="E242" s="21" t="s">
        <v>5796</v>
      </c>
      <c r="F242" s="23"/>
      <c r="G242" s="23">
        <f t="shared" si="0"/>
        <v>157.52000000000001</v>
      </c>
      <c r="H242" s="23"/>
      <c r="I242" s="23"/>
    </row>
    <row r="243" spans="1:9">
      <c r="A243" s="21" t="s">
        <v>5955</v>
      </c>
      <c r="B243" s="21" t="s">
        <v>5241</v>
      </c>
      <c r="C243" s="22">
        <v>2410</v>
      </c>
      <c r="D243" s="21">
        <v>72.180000000000007</v>
      </c>
      <c r="E243" s="21" t="s">
        <v>5796</v>
      </c>
      <c r="F243" s="23"/>
      <c r="G243" s="23">
        <f t="shared" si="0"/>
        <v>72.180000000000007</v>
      </c>
      <c r="H243" s="23"/>
      <c r="I243" s="23"/>
    </row>
    <row r="244" spans="1:9">
      <c r="A244" s="24" t="s">
        <v>5956</v>
      </c>
      <c r="B244" s="24" t="s">
        <v>413</v>
      </c>
      <c r="C244" s="25">
        <v>139</v>
      </c>
      <c r="D244" s="24">
        <v>37953.019999999997</v>
      </c>
      <c r="E244" s="24" t="s">
        <v>5800</v>
      </c>
      <c r="F244" s="26"/>
      <c r="G244" s="23">
        <f t="shared" si="0"/>
        <v>37953.019999999997</v>
      </c>
      <c r="H244" s="26"/>
      <c r="I244" s="26"/>
    </row>
    <row r="245" spans="1:9">
      <c r="A245" s="21" t="s">
        <v>5957</v>
      </c>
      <c r="B245" s="21" t="s">
        <v>4750</v>
      </c>
      <c r="C245" s="22">
        <v>1827</v>
      </c>
      <c r="D245" s="21">
        <v>187.46</v>
      </c>
      <c r="E245" s="21" t="s">
        <v>5796</v>
      </c>
      <c r="F245" s="23"/>
      <c r="G245" s="23">
        <f t="shared" si="0"/>
        <v>187.46</v>
      </c>
      <c r="H245" s="23"/>
      <c r="I245" s="23"/>
    </row>
    <row r="246" spans="1:9">
      <c r="A246" s="21" t="s">
        <v>2064</v>
      </c>
      <c r="B246" s="21" t="s">
        <v>2066</v>
      </c>
      <c r="C246" s="22">
        <v>580</v>
      </c>
      <c r="D246" s="21">
        <v>3970.55</v>
      </c>
      <c r="E246" s="21" t="s">
        <v>5796</v>
      </c>
      <c r="F246" s="23"/>
      <c r="G246" s="23">
        <f t="shared" si="0"/>
        <v>3970.55</v>
      </c>
      <c r="H246" s="23"/>
      <c r="I246" s="23"/>
    </row>
    <row r="247" spans="1:9">
      <c r="A247" s="21" t="s">
        <v>2852</v>
      </c>
      <c r="B247" s="21" t="s">
        <v>2854</v>
      </c>
      <c r="C247" s="22">
        <v>1089</v>
      </c>
      <c r="D247" s="21">
        <v>901.19</v>
      </c>
      <c r="E247" s="21" t="s">
        <v>5796</v>
      </c>
      <c r="F247" s="23"/>
      <c r="G247" s="23">
        <f t="shared" si="0"/>
        <v>901.19</v>
      </c>
      <c r="H247" s="23"/>
      <c r="I247" s="23"/>
    </row>
    <row r="248" spans="1:9">
      <c r="A248" s="27" t="s">
        <v>5958</v>
      </c>
      <c r="B248" s="27" t="s">
        <v>30</v>
      </c>
      <c r="C248" s="28">
        <v>10</v>
      </c>
      <c r="D248" s="27">
        <v>455232.75</v>
      </c>
      <c r="E248" s="27" t="s">
        <v>5815</v>
      </c>
      <c r="F248" s="29"/>
      <c r="G248" s="23">
        <f t="shared" si="0"/>
        <v>455232.75</v>
      </c>
      <c r="H248" s="29"/>
      <c r="I248" s="29"/>
    </row>
    <row r="249" spans="1:9">
      <c r="A249" s="24" t="s">
        <v>5959</v>
      </c>
      <c r="B249" s="24" t="s">
        <v>455</v>
      </c>
      <c r="C249" s="25">
        <v>179</v>
      </c>
      <c r="D249" s="24">
        <v>27150.32</v>
      </c>
      <c r="E249" s="24" t="s">
        <v>5800</v>
      </c>
      <c r="F249" s="26"/>
      <c r="G249" s="23">
        <f t="shared" si="0"/>
        <v>27150.32</v>
      </c>
      <c r="H249" s="26"/>
      <c r="I249" s="26"/>
    </row>
    <row r="250" spans="1:9">
      <c r="A250" s="21" t="s">
        <v>3266</v>
      </c>
      <c r="B250" s="21" t="s">
        <v>3268</v>
      </c>
      <c r="C250" s="22">
        <v>1056</v>
      </c>
      <c r="D250" s="21">
        <v>1012.78</v>
      </c>
      <c r="E250" s="21" t="s">
        <v>5796</v>
      </c>
      <c r="F250" s="23"/>
      <c r="G250" s="23">
        <f t="shared" si="0"/>
        <v>1012.78</v>
      </c>
      <c r="H250" s="23"/>
      <c r="I250" s="23"/>
    </row>
    <row r="251" spans="1:9">
      <c r="A251" s="21" t="s">
        <v>1068</v>
      </c>
      <c r="B251" s="21" t="s">
        <v>1070</v>
      </c>
      <c r="C251" s="22">
        <v>352</v>
      </c>
      <c r="D251" s="21">
        <v>9568.2099999999991</v>
      </c>
      <c r="E251" s="21" t="s">
        <v>5796</v>
      </c>
      <c r="F251" s="23"/>
      <c r="G251" s="23">
        <f t="shared" si="0"/>
        <v>9568.2099999999991</v>
      </c>
      <c r="H251" s="23"/>
      <c r="I251" s="23"/>
    </row>
    <row r="252" spans="1:9">
      <c r="A252" s="21" t="s">
        <v>5960</v>
      </c>
      <c r="B252" s="21" t="s">
        <v>4429</v>
      </c>
      <c r="C252" s="22">
        <v>1705</v>
      </c>
      <c r="D252" s="21">
        <v>239.9</v>
      </c>
      <c r="E252" s="21" t="s">
        <v>5796</v>
      </c>
      <c r="F252" s="23"/>
      <c r="G252" s="23">
        <f t="shared" si="0"/>
        <v>239.9</v>
      </c>
      <c r="H252" s="23"/>
      <c r="I252" s="23"/>
    </row>
    <row r="253" spans="1:9">
      <c r="A253" s="21" t="s">
        <v>5479</v>
      </c>
      <c r="B253" s="21" t="s">
        <v>5481</v>
      </c>
      <c r="C253" s="22">
        <v>2528</v>
      </c>
      <c r="D253" s="21">
        <v>60.61</v>
      </c>
      <c r="E253" s="21" t="s">
        <v>5796</v>
      </c>
      <c r="F253" s="23"/>
      <c r="G253" s="23">
        <f t="shared" si="0"/>
        <v>60.61</v>
      </c>
      <c r="H253" s="23"/>
      <c r="I253" s="23"/>
    </row>
    <row r="254" spans="1:9">
      <c r="A254" s="24" t="s">
        <v>5961</v>
      </c>
      <c r="B254" s="24" t="s">
        <v>623</v>
      </c>
      <c r="C254" s="25">
        <v>175</v>
      </c>
      <c r="D254" s="24">
        <v>28236.02</v>
      </c>
      <c r="E254" s="24" t="s">
        <v>5800</v>
      </c>
      <c r="F254" s="26"/>
      <c r="G254" s="23">
        <f t="shared" si="0"/>
        <v>28236.02</v>
      </c>
      <c r="H254" s="26"/>
      <c r="I254" s="26"/>
    </row>
    <row r="255" spans="1:9">
      <c r="A255" s="21" t="s">
        <v>5962</v>
      </c>
      <c r="B255" s="21" t="s">
        <v>5298</v>
      </c>
      <c r="C255" s="22">
        <v>2379</v>
      </c>
      <c r="D255" s="21">
        <v>75.349999999999994</v>
      </c>
      <c r="E255" s="21" t="s">
        <v>5796</v>
      </c>
      <c r="F255" s="23"/>
      <c r="G255" s="23">
        <f t="shared" si="0"/>
        <v>75.349999999999994</v>
      </c>
      <c r="H255" s="23"/>
      <c r="I255" s="23"/>
    </row>
    <row r="256" spans="1:9">
      <c r="A256" s="21" t="s">
        <v>3542</v>
      </c>
      <c r="B256" s="21" t="s">
        <v>3544</v>
      </c>
      <c r="C256" s="22">
        <v>1362</v>
      </c>
      <c r="D256" s="21">
        <v>442.84</v>
      </c>
      <c r="E256" s="21" t="s">
        <v>5796</v>
      </c>
      <c r="F256" s="23"/>
      <c r="G256" s="23">
        <f t="shared" si="0"/>
        <v>442.84</v>
      </c>
      <c r="H256" s="23"/>
      <c r="I256" s="23"/>
    </row>
    <row r="257" spans="1:9">
      <c r="A257" s="21" t="s">
        <v>5963</v>
      </c>
      <c r="B257" s="21" t="s">
        <v>1262</v>
      </c>
      <c r="C257" s="22">
        <v>404</v>
      </c>
      <c r="D257" s="21">
        <v>7542.15</v>
      </c>
      <c r="E257" s="21" t="s">
        <v>5796</v>
      </c>
      <c r="F257" s="23"/>
      <c r="G257" s="23">
        <f t="shared" si="0"/>
        <v>7542.15</v>
      </c>
      <c r="H257" s="23"/>
      <c r="I257" s="23"/>
    </row>
    <row r="258" spans="1:9">
      <c r="A258" s="21" t="s">
        <v>5964</v>
      </c>
      <c r="B258" s="21" t="s">
        <v>4018</v>
      </c>
      <c r="C258" s="22">
        <v>1573</v>
      </c>
      <c r="D258" s="21">
        <v>303.69</v>
      </c>
      <c r="E258" s="21" t="s">
        <v>5796</v>
      </c>
      <c r="F258" s="23"/>
      <c r="G258" s="23">
        <f t="shared" ref="G258:G512" si="1">VALUE(SUBSTITUTE(D258, ",", ""))</f>
        <v>303.69</v>
      </c>
      <c r="H258" s="23"/>
      <c r="I258" s="23"/>
    </row>
    <row r="259" spans="1:9">
      <c r="A259" s="21" t="s">
        <v>5965</v>
      </c>
      <c r="B259" s="21" t="s">
        <v>5966</v>
      </c>
      <c r="C259" s="22">
        <v>2491</v>
      </c>
      <c r="D259" s="21">
        <v>65.19</v>
      </c>
      <c r="E259" s="21" t="s">
        <v>5796</v>
      </c>
      <c r="F259" s="23"/>
      <c r="G259" s="23">
        <f t="shared" si="1"/>
        <v>65.19</v>
      </c>
      <c r="H259" s="23"/>
      <c r="I259" s="23"/>
    </row>
    <row r="260" spans="1:9">
      <c r="A260" s="21" t="s">
        <v>5967</v>
      </c>
      <c r="B260" s="21" t="s">
        <v>5775</v>
      </c>
      <c r="C260" s="22">
        <v>4086</v>
      </c>
      <c r="D260" s="21">
        <v>6.35</v>
      </c>
      <c r="E260" s="21" t="s">
        <v>5796</v>
      </c>
      <c r="F260" s="23"/>
      <c r="G260" s="23">
        <f t="shared" si="1"/>
        <v>6.35</v>
      </c>
      <c r="H260" s="23"/>
      <c r="I260" s="23"/>
    </row>
    <row r="261" spans="1:9">
      <c r="A261" s="21" t="s">
        <v>3695</v>
      </c>
      <c r="B261" s="21" t="s">
        <v>3697</v>
      </c>
      <c r="C261" s="22">
        <v>1175</v>
      </c>
      <c r="D261" s="21">
        <v>733.35</v>
      </c>
      <c r="E261" s="21" t="s">
        <v>5796</v>
      </c>
      <c r="F261" s="23"/>
      <c r="G261" s="23">
        <f t="shared" si="1"/>
        <v>733.35</v>
      </c>
      <c r="H261" s="23"/>
      <c r="I261" s="23"/>
    </row>
    <row r="262" spans="1:9">
      <c r="A262" s="21" t="s">
        <v>5126</v>
      </c>
      <c r="B262" s="21" t="s">
        <v>5128</v>
      </c>
      <c r="C262" s="22">
        <v>2085</v>
      </c>
      <c r="D262" s="21">
        <v>123.86</v>
      </c>
      <c r="E262" s="21" t="s">
        <v>5796</v>
      </c>
      <c r="F262" s="23"/>
      <c r="G262" s="23">
        <f t="shared" si="1"/>
        <v>123.86</v>
      </c>
      <c r="H262" s="23"/>
      <c r="I262" s="23"/>
    </row>
    <row r="263" spans="1:9">
      <c r="A263" s="21" t="s">
        <v>3314</v>
      </c>
      <c r="B263" s="21" t="s">
        <v>3316</v>
      </c>
      <c r="C263" s="22">
        <v>1150</v>
      </c>
      <c r="D263" s="21">
        <v>787.56</v>
      </c>
      <c r="E263" s="21" t="s">
        <v>5796</v>
      </c>
      <c r="F263" s="23"/>
      <c r="G263" s="23">
        <f t="shared" si="1"/>
        <v>787.56</v>
      </c>
      <c r="H263" s="23"/>
      <c r="I263" s="23"/>
    </row>
    <row r="264" spans="1:9">
      <c r="A264" s="21" t="s">
        <v>5968</v>
      </c>
      <c r="B264" s="21" t="s">
        <v>3157</v>
      </c>
      <c r="C264" s="22">
        <v>1156</v>
      </c>
      <c r="D264" s="21">
        <v>781.57</v>
      </c>
      <c r="E264" s="21" t="s">
        <v>5796</v>
      </c>
      <c r="F264" s="23"/>
      <c r="G264" s="23">
        <f t="shared" si="1"/>
        <v>781.57</v>
      </c>
      <c r="H264" s="23"/>
      <c r="I264" s="23"/>
    </row>
    <row r="265" spans="1:9">
      <c r="A265" s="21" t="s">
        <v>5969</v>
      </c>
      <c r="B265" s="21" t="s">
        <v>1169</v>
      </c>
      <c r="C265" s="22">
        <v>412</v>
      </c>
      <c r="D265" s="21">
        <v>7178.2</v>
      </c>
      <c r="E265" s="21" t="s">
        <v>5796</v>
      </c>
      <c r="F265" s="23"/>
      <c r="G265" s="23">
        <f t="shared" si="1"/>
        <v>7178.2</v>
      </c>
      <c r="H265" s="23"/>
      <c r="I265" s="23"/>
    </row>
    <row r="266" spans="1:9">
      <c r="A266" s="21" t="s">
        <v>5970</v>
      </c>
      <c r="B266" s="21" t="s">
        <v>5772</v>
      </c>
      <c r="C266" s="22">
        <v>4638</v>
      </c>
      <c r="D266" s="21">
        <v>2.38</v>
      </c>
      <c r="E266" s="21" t="s">
        <v>5796</v>
      </c>
      <c r="F266" s="23"/>
      <c r="G266" s="23">
        <f t="shared" si="1"/>
        <v>2.38</v>
      </c>
      <c r="H266" s="23"/>
      <c r="I266" s="23"/>
    </row>
    <row r="267" spans="1:9">
      <c r="A267" s="21" t="s">
        <v>5971</v>
      </c>
      <c r="B267" s="21" t="s">
        <v>5972</v>
      </c>
      <c r="C267" s="22">
        <v>3988</v>
      </c>
      <c r="D267" s="21">
        <v>7.13</v>
      </c>
      <c r="E267" s="21" t="s">
        <v>5796</v>
      </c>
      <c r="F267" s="23"/>
      <c r="G267" s="23">
        <f t="shared" si="1"/>
        <v>7.13</v>
      </c>
      <c r="H267" s="23"/>
      <c r="I267" s="23"/>
    </row>
    <row r="268" spans="1:9">
      <c r="A268" s="21" t="s">
        <v>5973</v>
      </c>
      <c r="B268" s="21" t="s">
        <v>917</v>
      </c>
      <c r="C268" s="22">
        <v>270</v>
      </c>
      <c r="D268" s="21">
        <v>15207.12</v>
      </c>
      <c r="E268" s="21" t="s">
        <v>5796</v>
      </c>
      <c r="F268" s="23"/>
      <c r="G268" s="23">
        <f t="shared" si="1"/>
        <v>15207.12</v>
      </c>
      <c r="H268" s="23"/>
      <c r="I268" s="23"/>
    </row>
    <row r="269" spans="1:9">
      <c r="A269" s="21" t="s">
        <v>5974</v>
      </c>
      <c r="B269" s="21" t="s">
        <v>893</v>
      </c>
      <c r="C269" s="22">
        <v>287</v>
      </c>
      <c r="D269" s="21">
        <v>13588.19</v>
      </c>
      <c r="E269" s="21" t="s">
        <v>5796</v>
      </c>
      <c r="F269" s="23"/>
      <c r="G269" s="23">
        <f t="shared" si="1"/>
        <v>13588.19</v>
      </c>
      <c r="H269" s="23"/>
      <c r="I269" s="23"/>
    </row>
    <row r="270" spans="1:9">
      <c r="A270" s="21" t="s">
        <v>5975</v>
      </c>
      <c r="B270" s="21" t="s">
        <v>3427</v>
      </c>
      <c r="C270" s="22">
        <v>1107</v>
      </c>
      <c r="D270" s="21">
        <v>857.48</v>
      </c>
      <c r="E270" s="21" t="s">
        <v>5796</v>
      </c>
      <c r="F270" s="23"/>
      <c r="G270" s="23">
        <f t="shared" si="1"/>
        <v>857.48</v>
      </c>
      <c r="H270" s="23"/>
      <c r="I270" s="23"/>
    </row>
    <row r="271" spans="1:9">
      <c r="A271" s="21" t="s">
        <v>5976</v>
      </c>
      <c r="B271" s="21" t="s">
        <v>5382</v>
      </c>
      <c r="C271" s="22">
        <v>1960</v>
      </c>
      <c r="D271" s="21">
        <v>151.94999999999999</v>
      </c>
      <c r="E271" s="21" t="s">
        <v>5796</v>
      </c>
      <c r="F271" s="23"/>
      <c r="G271" s="23">
        <f t="shared" si="1"/>
        <v>151.94999999999999</v>
      </c>
      <c r="H271" s="23"/>
      <c r="I271" s="23"/>
    </row>
    <row r="272" spans="1:9">
      <c r="A272" s="21" t="s">
        <v>5977</v>
      </c>
      <c r="B272" s="21" t="s">
        <v>2314</v>
      </c>
      <c r="C272" s="22">
        <v>870</v>
      </c>
      <c r="D272" s="21">
        <v>1612.07</v>
      </c>
      <c r="E272" s="21" t="s">
        <v>5796</v>
      </c>
      <c r="F272" s="23"/>
      <c r="G272" s="23">
        <f t="shared" si="1"/>
        <v>1612.07</v>
      </c>
      <c r="H272" s="23"/>
      <c r="I272" s="23"/>
    </row>
    <row r="273" spans="1:9">
      <c r="A273" s="21" t="s">
        <v>1950</v>
      </c>
      <c r="B273" s="21" t="s">
        <v>1952</v>
      </c>
      <c r="C273" s="22">
        <v>555</v>
      </c>
      <c r="D273" s="21">
        <v>4265.58</v>
      </c>
      <c r="E273" s="21" t="s">
        <v>5796</v>
      </c>
      <c r="F273" s="23"/>
      <c r="G273" s="23">
        <f t="shared" si="1"/>
        <v>4265.58</v>
      </c>
      <c r="H273" s="23"/>
      <c r="I273" s="23"/>
    </row>
    <row r="274" spans="1:9">
      <c r="A274" s="21" t="s">
        <v>1716</v>
      </c>
      <c r="B274" s="21" t="s">
        <v>1718</v>
      </c>
      <c r="C274" s="22">
        <v>448</v>
      </c>
      <c r="D274" s="21">
        <v>6355.28</v>
      </c>
      <c r="E274" s="21" t="s">
        <v>5796</v>
      </c>
      <c r="F274" s="23"/>
      <c r="G274" s="23">
        <f t="shared" si="1"/>
        <v>6355.28</v>
      </c>
      <c r="H274" s="23"/>
      <c r="I274" s="23"/>
    </row>
    <row r="275" spans="1:9">
      <c r="A275" s="27" t="s">
        <v>5978</v>
      </c>
      <c r="B275" s="27" t="s">
        <v>338</v>
      </c>
      <c r="C275" s="28">
        <v>92</v>
      </c>
      <c r="D275" s="27">
        <v>54021.440000000002</v>
      </c>
      <c r="E275" s="27" t="s">
        <v>5815</v>
      </c>
      <c r="F275" s="29"/>
      <c r="G275" s="23">
        <f t="shared" si="1"/>
        <v>54021.440000000002</v>
      </c>
      <c r="H275" s="29"/>
      <c r="I275" s="29"/>
    </row>
    <row r="276" spans="1:9">
      <c r="A276" s="27" t="s">
        <v>5979</v>
      </c>
      <c r="B276" s="27" t="s">
        <v>236</v>
      </c>
      <c r="C276" s="28">
        <v>70</v>
      </c>
      <c r="D276" s="27">
        <v>75336.19</v>
      </c>
      <c r="E276" s="27" t="s">
        <v>5815</v>
      </c>
      <c r="F276" s="29"/>
      <c r="G276" s="23">
        <f t="shared" si="1"/>
        <v>75336.19</v>
      </c>
      <c r="H276" s="29"/>
      <c r="I276" s="29"/>
    </row>
    <row r="277" spans="1:9">
      <c r="A277" s="21" t="s">
        <v>5980</v>
      </c>
      <c r="B277" s="21" t="s">
        <v>4225</v>
      </c>
      <c r="C277" s="22">
        <v>1579</v>
      </c>
      <c r="D277" s="21">
        <v>298.87</v>
      </c>
      <c r="E277" s="21" t="s">
        <v>5796</v>
      </c>
      <c r="F277" s="23"/>
      <c r="G277" s="23">
        <f t="shared" si="1"/>
        <v>298.87</v>
      </c>
      <c r="H277" s="23"/>
      <c r="I277" s="23"/>
    </row>
    <row r="278" spans="1:9">
      <c r="A278" s="21" t="s">
        <v>942</v>
      </c>
      <c r="B278" s="21" t="s">
        <v>944</v>
      </c>
      <c r="C278" s="22">
        <v>315</v>
      </c>
      <c r="D278" s="21">
        <v>11570.84</v>
      </c>
      <c r="E278" s="21" t="s">
        <v>5796</v>
      </c>
      <c r="F278" s="23"/>
      <c r="G278" s="23">
        <f t="shared" si="1"/>
        <v>11570.84</v>
      </c>
      <c r="H278" s="23"/>
      <c r="I278" s="23"/>
    </row>
    <row r="279" spans="1:9">
      <c r="A279" s="27" t="s">
        <v>5981</v>
      </c>
      <c r="B279" s="27" t="s">
        <v>164</v>
      </c>
      <c r="C279" s="28">
        <v>48</v>
      </c>
      <c r="D279" s="27">
        <v>108510.48</v>
      </c>
      <c r="E279" s="27" t="s">
        <v>5815</v>
      </c>
      <c r="F279" s="29"/>
      <c r="G279" s="23">
        <f t="shared" si="1"/>
        <v>108510.48</v>
      </c>
      <c r="H279" s="29"/>
      <c r="I279" s="29"/>
    </row>
    <row r="280" spans="1:9">
      <c r="A280" s="21" t="s">
        <v>4346</v>
      </c>
      <c r="B280" s="21" t="s">
        <v>4348</v>
      </c>
      <c r="C280" s="22">
        <v>1646</v>
      </c>
      <c r="D280" s="21">
        <v>265.44</v>
      </c>
      <c r="E280" s="21" t="s">
        <v>5796</v>
      </c>
      <c r="F280" s="23"/>
      <c r="G280" s="23">
        <f t="shared" si="1"/>
        <v>265.44</v>
      </c>
      <c r="H280" s="23"/>
      <c r="I280" s="23"/>
    </row>
    <row r="281" spans="1:9">
      <c r="A281" s="21" t="s">
        <v>5982</v>
      </c>
      <c r="B281" s="21" t="s">
        <v>4462</v>
      </c>
      <c r="C281" s="22">
        <v>1800</v>
      </c>
      <c r="D281" s="21">
        <v>196.19</v>
      </c>
      <c r="E281" s="21" t="s">
        <v>5796</v>
      </c>
      <c r="F281" s="23"/>
      <c r="G281" s="23">
        <f t="shared" si="1"/>
        <v>196.19</v>
      </c>
      <c r="H281" s="23"/>
      <c r="I281" s="23"/>
    </row>
    <row r="282" spans="1:9">
      <c r="A282" s="21" t="s">
        <v>5983</v>
      </c>
      <c r="B282" s="21" t="s">
        <v>815</v>
      </c>
      <c r="C282" s="22">
        <v>424</v>
      </c>
      <c r="D282" s="21">
        <v>6869.73</v>
      </c>
      <c r="E282" s="21" t="s">
        <v>5796</v>
      </c>
      <c r="F282" s="23"/>
      <c r="G282" s="23">
        <f t="shared" si="1"/>
        <v>6869.73</v>
      </c>
      <c r="H282" s="23"/>
      <c r="I282" s="23"/>
    </row>
    <row r="283" spans="1:9">
      <c r="A283" s="21" t="s">
        <v>5984</v>
      </c>
      <c r="B283" s="21" t="s">
        <v>2404</v>
      </c>
      <c r="C283" s="22">
        <v>600</v>
      </c>
      <c r="D283" s="21">
        <v>3732.01</v>
      </c>
      <c r="E283" s="21" t="s">
        <v>5796</v>
      </c>
      <c r="F283" s="23"/>
      <c r="G283" s="23">
        <f t="shared" si="1"/>
        <v>3732.01</v>
      </c>
      <c r="H283" s="23"/>
      <c r="I283" s="23"/>
    </row>
    <row r="284" spans="1:9">
      <c r="A284" s="21" t="s">
        <v>5985</v>
      </c>
      <c r="B284" s="21" t="s">
        <v>4756</v>
      </c>
      <c r="C284" s="22">
        <v>1831</v>
      </c>
      <c r="D284" s="21">
        <v>186.31</v>
      </c>
      <c r="E284" s="21" t="s">
        <v>5796</v>
      </c>
      <c r="F284" s="23"/>
      <c r="G284" s="23">
        <f t="shared" si="1"/>
        <v>186.31</v>
      </c>
      <c r="H284" s="23"/>
      <c r="I284" s="23"/>
    </row>
    <row r="285" spans="1:9">
      <c r="A285" s="21" t="s">
        <v>975</v>
      </c>
      <c r="B285" s="21" t="s">
        <v>977</v>
      </c>
      <c r="C285" s="22">
        <v>389</v>
      </c>
      <c r="D285" s="21">
        <v>8149.12</v>
      </c>
      <c r="E285" s="21" t="s">
        <v>5796</v>
      </c>
      <c r="F285" s="23"/>
      <c r="G285" s="23">
        <f t="shared" si="1"/>
        <v>8149.12</v>
      </c>
      <c r="H285" s="23"/>
      <c r="I285" s="23"/>
    </row>
    <row r="286" spans="1:9">
      <c r="A286" s="21" t="s">
        <v>5986</v>
      </c>
      <c r="B286" s="21" t="s">
        <v>4741</v>
      </c>
      <c r="C286" s="22">
        <v>1751</v>
      </c>
      <c r="D286" s="21">
        <v>214.53</v>
      </c>
      <c r="E286" s="21" t="s">
        <v>5796</v>
      </c>
      <c r="F286" s="23"/>
      <c r="G286" s="23">
        <f t="shared" si="1"/>
        <v>214.53</v>
      </c>
      <c r="H286" s="23"/>
      <c r="I286" s="23"/>
    </row>
    <row r="287" spans="1:9">
      <c r="A287" s="21" t="s">
        <v>5482</v>
      </c>
      <c r="B287" s="21" t="s">
        <v>5484</v>
      </c>
      <c r="C287" s="22">
        <v>2779</v>
      </c>
      <c r="D287" s="21">
        <v>41.5</v>
      </c>
      <c r="E287" s="21" t="s">
        <v>5796</v>
      </c>
      <c r="F287" s="23"/>
      <c r="G287" s="23">
        <f t="shared" si="1"/>
        <v>41.5</v>
      </c>
      <c r="H287" s="23"/>
      <c r="I287" s="23"/>
    </row>
    <row r="288" spans="1:9">
      <c r="A288" s="21" t="s">
        <v>2675</v>
      </c>
      <c r="B288" s="21" t="s">
        <v>2677</v>
      </c>
      <c r="C288" s="22">
        <v>742</v>
      </c>
      <c r="D288" s="21">
        <v>2262.9299999999998</v>
      </c>
      <c r="E288" s="21" t="s">
        <v>5796</v>
      </c>
      <c r="F288" s="23"/>
      <c r="G288" s="23">
        <f t="shared" si="1"/>
        <v>2262.9299999999998</v>
      </c>
      <c r="H288" s="23"/>
      <c r="I288" s="23"/>
    </row>
    <row r="289" spans="1:9">
      <c r="A289" s="21" t="s">
        <v>5987</v>
      </c>
      <c r="B289" s="21" t="s">
        <v>5256</v>
      </c>
      <c r="C289" s="22">
        <v>2473</v>
      </c>
      <c r="D289" s="21">
        <v>66.53</v>
      </c>
      <c r="E289" s="21" t="s">
        <v>5796</v>
      </c>
      <c r="F289" s="23"/>
      <c r="G289" s="23">
        <f t="shared" si="1"/>
        <v>66.53</v>
      </c>
      <c r="H289" s="23"/>
      <c r="I289" s="23"/>
    </row>
    <row r="290" spans="1:9">
      <c r="A290" s="21" t="s">
        <v>4769</v>
      </c>
      <c r="B290" s="21" t="s">
        <v>4771</v>
      </c>
      <c r="C290" s="22">
        <v>1916</v>
      </c>
      <c r="D290" s="21">
        <v>162.33000000000001</v>
      </c>
      <c r="E290" s="21" t="s">
        <v>5796</v>
      </c>
      <c r="F290" s="23"/>
      <c r="G290" s="23">
        <f t="shared" si="1"/>
        <v>162.33000000000001</v>
      </c>
      <c r="H290" s="23"/>
      <c r="I290" s="23"/>
    </row>
    <row r="291" spans="1:9">
      <c r="A291" s="21" t="s">
        <v>5988</v>
      </c>
      <c r="B291" s="21" t="s">
        <v>5655</v>
      </c>
      <c r="C291" s="22">
        <v>3147</v>
      </c>
      <c r="D291" s="21">
        <v>24.45</v>
      </c>
      <c r="E291" s="21" t="s">
        <v>5796</v>
      </c>
      <c r="F291" s="23"/>
      <c r="G291" s="23">
        <f t="shared" si="1"/>
        <v>24.45</v>
      </c>
      <c r="H291" s="23"/>
      <c r="I291" s="23"/>
    </row>
    <row r="292" spans="1:9">
      <c r="A292" s="21" t="s">
        <v>5989</v>
      </c>
      <c r="B292" s="21" t="s">
        <v>2461</v>
      </c>
      <c r="C292" s="22">
        <v>713</v>
      </c>
      <c r="D292" s="21">
        <v>2478.75</v>
      </c>
      <c r="E292" s="21" t="s">
        <v>5796</v>
      </c>
      <c r="F292" s="23"/>
      <c r="G292" s="23">
        <f t="shared" si="1"/>
        <v>2478.75</v>
      </c>
      <c r="H292" s="23"/>
      <c r="I292" s="23"/>
    </row>
    <row r="293" spans="1:9">
      <c r="A293" s="21" t="s">
        <v>1341</v>
      </c>
      <c r="B293" s="21" t="s">
        <v>1343</v>
      </c>
      <c r="C293" s="22">
        <v>322</v>
      </c>
      <c r="D293" s="21">
        <v>11043.56</v>
      </c>
      <c r="E293" s="21" t="s">
        <v>5796</v>
      </c>
      <c r="F293" s="23"/>
      <c r="G293" s="23">
        <f t="shared" si="1"/>
        <v>11043.56</v>
      </c>
      <c r="H293" s="23"/>
      <c r="I293" s="23"/>
    </row>
    <row r="294" spans="1:9">
      <c r="A294" s="21" t="s">
        <v>1080</v>
      </c>
      <c r="B294" s="21" t="s">
        <v>1082</v>
      </c>
      <c r="C294" s="22">
        <v>330</v>
      </c>
      <c r="D294" s="21">
        <v>10719.15</v>
      </c>
      <c r="E294" s="21" t="s">
        <v>5796</v>
      </c>
      <c r="F294" s="23"/>
      <c r="G294" s="23">
        <f t="shared" si="1"/>
        <v>10719.15</v>
      </c>
      <c r="H294" s="23"/>
      <c r="I294" s="23"/>
    </row>
    <row r="295" spans="1:9">
      <c r="A295" s="27" t="s">
        <v>309</v>
      </c>
      <c r="B295" s="27" t="s">
        <v>311</v>
      </c>
      <c r="C295" s="28">
        <v>90</v>
      </c>
      <c r="D295" s="27">
        <v>54523.72</v>
      </c>
      <c r="E295" s="27" t="s">
        <v>5815</v>
      </c>
      <c r="F295" s="29"/>
      <c r="G295" s="23">
        <f t="shared" si="1"/>
        <v>54523.72</v>
      </c>
      <c r="H295" s="29"/>
      <c r="I295" s="29"/>
    </row>
    <row r="296" spans="1:9">
      <c r="A296" s="21" t="s">
        <v>5990</v>
      </c>
      <c r="B296" s="21" t="s">
        <v>1205</v>
      </c>
      <c r="C296" s="22">
        <v>391</v>
      </c>
      <c r="D296" s="21">
        <v>8113.39</v>
      </c>
      <c r="E296" s="21" t="s">
        <v>5796</v>
      </c>
      <c r="F296" s="23"/>
      <c r="G296" s="23">
        <f t="shared" si="1"/>
        <v>8113.39</v>
      </c>
      <c r="H296" s="23"/>
      <c r="I296" s="23"/>
    </row>
    <row r="297" spans="1:9">
      <c r="A297" s="21" t="s">
        <v>5991</v>
      </c>
      <c r="B297" s="21" t="s">
        <v>2827</v>
      </c>
      <c r="C297" s="22">
        <v>858</v>
      </c>
      <c r="D297" s="21">
        <v>1683.5</v>
      </c>
      <c r="E297" s="21" t="s">
        <v>5796</v>
      </c>
      <c r="F297" s="23"/>
      <c r="G297" s="23">
        <f t="shared" si="1"/>
        <v>1683.5</v>
      </c>
      <c r="H297" s="23"/>
      <c r="I297" s="23"/>
    </row>
    <row r="298" spans="1:9">
      <c r="A298" s="21" t="s">
        <v>2912</v>
      </c>
      <c r="B298" s="21" t="s">
        <v>2914</v>
      </c>
      <c r="C298" s="22">
        <v>1055</v>
      </c>
      <c r="D298" s="21">
        <v>1017.25</v>
      </c>
      <c r="E298" s="21" t="s">
        <v>5796</v>
      </c>
      <c r="F298" s="23"/>
      <c r="G298" s="23">
        <f t="shared" si="1"/>
        <v>1017.25</v>
      </c>
      <c r="H298" s="23"/>
      <c r="I298" s="23"/>
    </row>
    <row r="299" spans="1:9">
      <c r="A299" s="21" t="s">
        <v>5992</v>
      </c>
      <c r="B299" s="21" t="s">
        <v>1394</v>
      </c>
      <c r="C299" s="22">
        <v>497</v>
      </c>
      <c r="D299" s="21">
        <v>5291.94</v>
      </c>
      <c r="E299" s="21" t="s">
        <v>5796</v>
      </c>
      <c r="F299" s="23"/>
      <c r="G299" s="23">
        <f t="shared" si="1"/>
        <v>5291.94</v>
      </c>
      <c r="H299" s="23"/>
      <c r="I299" s="23"/>
    </row>
    <row r="300" spans="1:9">
      <c r="A300" s="21" t="s">
        <v>5993</v>
      </c>
      <c r="B300" s="21" t="s">
        <v>4885</v>
      </c>
      <c r="C300" s="22">
        <v>2114</v>
      </c>
      <c r="D300" s="21">
        <v>118.88</v>
      </c>
      <c r="E300" s="21" t="s">
        <v>5796</v>
      </c>
      <c r="F300" s="23"/>
      <c r="G300" s="23">
        <f t="shared" si="1"/>
        <v>118.88</v>
      </c>
      <c r="H300" s="23"/>
      <c r="I300" s="23"/>
    </row>
    <row r="301" spans="1:9">
      <c r="A301" s="24" t="s">
        <v>5994</v>
      </c>
      <c r="B301" s="24" t="s">
        <v>764</v>
      </c>
      <c r="C301" s="25">
        <v>224</v>
      </c>
      <c r="D301" s="24">
        <v>19804.919999999998</v>
      </c>
      <c r="E301" s="24" t="s">
        <v>5800</v>
      </c>
      <c r="F301" s="26"/>
      <c r="G301" s="23">
        <f t="shared" si="1"/>
        <v>19804.919999999998</v>
      </c>
      <c r="H301" s="26"/>
      <c r="I301" s="26"/>
    </row>
    <row r="302" spans="1:9">
      <c r="A302" s="21" t="s">
        <v>4232</v>
      </c>
      <c r="B302" s="21" t="s">
        <v>4234</v>
      </c>
      <c r="C302" s="22">
        <v>1510</v>
      </c>
      <c r="D302" s="21">
        <v>338.75</v>
      </c>
      <c r="E302" s="21" t="s">
        <v>5796</v>
      </c>
      <c r="F302" s="23"/>
      <c r="G302" s="23">
        <f t="shared" si="1"/>
        <v>338.75</v>
      </c>
      <c r="H302" s="23"/>
      <c r="I302" s="23"/>
    </row>
    <row r="303" spans="1:9">
      <c r="A303" s="21" t="s">
        <v>2468</v>
      </c>
      <c r="B303" s="21" t="s">
        <v>2470</v>
      </c>
      <c r="C303" s="22">
        <v>798</v>
      </c>
      <c r="D303" s="21">
        <v>1936.64</v>
      </c>
      <c r="E303" s="21" t="s">
        <v>5796</v>
      </c>
      <c r="F303" s="23"/>
      <c r="G303" s="23">
        <f t="shared" si="1"/>
        <v>1936.64</v>
      </c>
      <c r="H303" s="23"/>
      <c r="I303" s="23"/>
    </row>
    <row r="304" spans="1:9">
      <c r="A304" s="21" t="s">
        <v>5995</v>
      </c>
      <c r="B304" s="21" t="s">
        <v>2311</v>
      </c>
      <c r="C304" s="22">
        <v>760</v>
      </c>
      <c r="D304" s="21">
        <v>2124.2800000000002</v>
      </c>
      <c r="E304" s="21" t="s">
        <v>5796</v>
      </c>
      <c r="F304" s="23"/>
      <c r="G304" s="23">
        <f t="shared" si="1"/>
        <v>2124.2800000000002</v>
      </c>
      <c r="H304" s="23"/>
      <c r="I304" s="23"/>
    </row>
    <row r="305" spans="1:9">
      <c r="A305" s="21" t="s">
        <v>2744</v>
      </c>
      <c r="B305" s="21" t="s">
        <v>2746</v>
      </c>
      <c r="C305" s="22">
        <v>899</v>
      </c>
      <c r="D305" s="21">
        <v>1472.44</v>
      </c>
      <c r="E305" s="21" t="s">
        <v>5796</v>
      </c>
      <c r="F305" s="23"/>
      <c r="G305" s="23">
        <f t="shared" si="1"/>
        <v>1472.44</v>
      </c>
      <c r="H305" s="23"/>
      <c r="I305" s="23"/>
    </row>
    <row r="306" spans="1:9">
      <c r="A306" s="21" t="s">
        <v>5996</v>
      </c>
      <c r="B306" s="21" t="s">
        <v>1001</v>
      </c>
      <c r="C306" s="22">
        <v>314</v>
      </c>
      <c r="D306" s="21">
        <v>11585.75</v>
      </c>
      <c r="E306" s="21" t="s">
        <v>5796</v>
      </c>
      <c r="F306" s="23"/>
      <c r="G306" s="23">
        <f t="shared" si="1"/>
        <v>11585.75</v>
      </c>
      <c r="H306" s="23"/>
      <c r="I306" s="23"/>
    </row>
    <row r="307" spans="1:9">
      <c r="A307" s="21" t="s">
        <v>5997</v>
      </c>
      <c r="B307" s="21" t="s">
        <v>4903</v>
      </c>
      <c r="C307" s="22">
        <v>2118</v>
      </c>
      <c r="D307" s="21">
        <v>118.56</v>
      </c>
      <c r="E307" s="21" t="s">
        <v>5796</v>
      </c>
      <c r="F307" s="23"/>
      <c r="G307" s="23">
        <f t="shared" si="1"/>
        <v>118.56</v>
      </c>
      <c r="H307" s="23"/>
      <c r="I307" s="23"/>
    </row>
    <row r="308" spans="1:9">
      <c r="A308" s="21" t="s">
        <v>5998</v>
      </c>
      <c r="B308" s="21" t="s">
        <v>1364</v>
      </c>
      <c r="C308" s="22">
        <v>401</v>
      </c>
      <c r="D308" s="21">
        <v>7661.19</v>
      </c>
      <c r="E308" s="21" t="s">
        <v>5796</v>
      </c>
      <c r="F308" s="23"/>
      <c r="G308" s="23">
        <f t="shared" si="1"/>
        <v>7661.19</v>
      </c>
      <c r="H308" s="23"/>
      <c r="I308" s="23"/>
    </row>
    <row r="309" spans="1:9">
      <c r="A309" s="21" t="s">
        <v>5999</v>
      </c>
      <c r="B309" s="21" t="s">
        <v>950</v>
      </c>
      <c r="C309" s="22">
        <v>335</v>
      </c>
      <c r="D309" s="21">
        <v>10580.2</v>
      </c>
      <c r="E309" s="21" t="s">
        <v>5796</v>
      </c>
      <c r="F309" s="23"/>
      <c r="G309" s="23">
        <f t="shared" si="1"/>
        <v>10580.2</v>
      </c>
      <c r="H309" s="23"/>
      <c r="I309" s="23"/>
    </row>
    <row r="310" spans="1:9">
      <c r="A310" s="21" t="s">
        <v>6000</v>
      </c>
      <c r="B310" s="21" t="s">
        <v>1316</v>
      </c>
      <c r="C310" s="22">
        <v>431</v>
      </c>
      <c r="D310" s="21">
        <v>6670.58</v>
      </c>
      <c r="E310" s="21" t="s">
        <v>5796</v>
      </c>
      <c r="F310" s="23"/>
      <c r="G310" s="23">
        <f t="shared" si="1"/>
        <v>6670.58</v>
      </c>
      <c r="H310" s="23"/>
      <c r="I310" s="23"/>
    </row>
    <row r="311" spans="1:9">
      <c r="A311" s="21" t="s">
        <v>6001</v>
      </c>
      <c r="B311" s="21" t="s">
        <v>5250</v>
      </c>
      <c r="C311" s="22">
        <v>2363</v>
      </c>
      <c r="D311" s="21">
        <v>77.19</v>
      </c>
      <c r="E311" s="21" t="s">
        <v>5796</v>
      </c>
      <c r="F311" s="23"/>
      <c r="G311" s="23">
        <f t="shared" si="1"/>
        <v>77.19</v>
      </c>
      <c r="H311" s="23"/>
      <c r="I311" s="23"/>
    </row>
    <row r="312" spans="1:9">
      <c r="A312" s="21" t="s">
        <v>6002</v>
      </c>
      <c r="B312" s="21" t="s">
        <v>3436</v>
      </c>
      <c r="C312" s="22">
        <v>1110</v>
      </c>
      <c r="D312" s="21">
        <v>854.24</v>
      </c>
      <c r="E312" s="21" t="s">
        <v>5796</v>
      </c>
      <c r="F312" s="23"/>
      <c r="G312" s="23">
        <f t="shared" si="1"/>
        <v>854.24</v>
      </c>
      <c r="H312" s="23"/>
      <c r="I312" s="23"/>
    </row>
    <row r="313" spans="1:9">
      <c r="A313" s="21" t="s">
        <v>6003</v>
      </c>
      <c r="B313" s="21" t="s">
        <v>5086</v>
      </c>
      <c r="C313" s="22">
        <v>2370</v>
      </c>
      <c r="D313" s="21">
        <v>76.75</v>
      </c>
      <c r="E313" s="21" t="s">
        <v>5796</v>
      </c>
      <c r="F313" s="23"/>
      <c r="G313" s="23">
        <f t="shared" si="1"/>
        <v>76.75</v>
      </c>
      <c r="H313" s="23"/>
      <c r="I313" s="23"/>
    </row>
    <row r="314" spans="1:9">
      <c r="A314" s="24" t="s">
        <v>522</v>
      </c>
      <c r="B314" s="24" t="s">
        <v>524</v>
      </c>
      <c r="C314" s="25">
        <v>200</v>
      </c>
      <c r="D314" s="24">
        <v>23809.93</v>
      </c>
      <c r="E314" s="24" t="s">
        <v>5800</v>
      </c>
      <c r="F314" s="26"/>
      <c r="G314" s="23">
        <f t="shared" si="1"/>
        <v>23809.93</v>
      </c>
      <c r="H314" s="26"/>
      <c r="I314" s="26"/>
    </row>
    <row r="315" spans="1:9">
      <c r="A315" s="21" t="s">
        <v>3341</v>
      </c>
      <c r="B315" s="21" t="s">
        <v>3343</v>
      </c>
      <c r="C315" s="22">
        <v>1111</v>
      </c>
      <c r="D315" s="21">
        <v>854.19</v>
      </c>
      <c r="E315" s="21" t="s">
        <v>5796</v>
      </c>
      <c r="F315" s="23"/>
      <c r="G315" s="23">
        <f t="shared" si="1"/>
        <v>854.19</v>
      </c>
      <c r="H315" s="23"/>
      <c r="I315" s="23"/>
    </row>
    <row r="316" spans="1:9">
      <c r="A316" s="21" t="s">
        <v>6004</v>
      </c>
      <c r="B316" s="21" t="s">
        <v>2785</v>
      </c>
      <c r="C316" s="22">
        <v>1058</v>
      </c>
      <c r="D316" s="21">
        <v>1006.65</v>
      </c>
      <c r="E316" s="21" t="s">
        <v>5796</v>
      </c>
      <c r="F316" s="23"/>
      <c r="G316" s="23">
        <f t="shared" si="1"/>
        <v>1006.65</v>
      </c>
      <c r="H316" s="23"/>
      <c r="I316" s="23"/>
    </row>
    <row r="317" spans="1:9">
      <c r="A317" s="21" t="s">
        <v>6005</v>
      </c>
      <c r="B317" s="21" t="s">
        <v>956</v>
      </c>
      <c r="C317" s="22">
        <v>310</v>
      </c>
      <c r="D317" s="21">
        <v>11763.72</v>
      </c>
      <c r="E317" s="21" t="s">
        <v>5796</v>
      </c>
      <c r="F317" s="23"/>
      <c r="G317" s="23">
        <f t="shared" si="1"/>
        <v>11763.72</v>
      </c>
      <c r="H317" s="23"/>
      <c r="I317" s="23"/>
    </row>
    <row r="318" spans="1:9">
      <c r="A318" s="21" t="s">
        <v>6006</v>
      </c>
      <c r="B318" s="21" t="s">
        <v>1073</v>
      </c>
      <c r="C318" s="22">
        <v>395</v>
      </c>
      <c r="D318" s="21">
        <v>7901.76</v>
      </c>
      <c r="E318" s="21" t="s">
        <v>5796</v>
      </c>
      <c r="F318" s="23"/>
      <c r="G318" s="23">
        <f t="shared" si="1"/>
        <v>7901.76</v>
      </c>
      <c r="H318" s="23"/>
      <c r="I318" s="23"/>
    </row>
    <row r="319" spans="1:9">
      <c r="A319" s="21" t="s">
        <v>6007</v>
      </c>
      <c r="B319" s="21" t="s">
        <v>1160</v>
      </c>
      <c r="C319" s="22">
        <v>379</v>
      </c>
      <c r="D319" s="21">
        <v>8445.43</v>
      </c>
      <c r="E319" s="21" t="s">
        <v>5796</v>
      </c>
      <c r="F319" s="23"/>
      <c r="G319" s="23">
        <f t="shared" si="1"/>
        <v>8445.43</v>
      </c>
      <c r="H319" s="23"/>
      <c r="I319" s="23"/>
    </row>
    <row r="320" spans="1:9">
      <c r="A320" s="21" t="s">
        <v>6008</v>
      </c>
      <c r="B320" s="21" t="s">
        <v>5340</v>
      </c>
      <c r="C320" s="22">
        <v>2186</v>
      </c>
      <c r="D320" s="21">
        <v>105.96</v>
      </c>
      <c r="E320" s="21" t="s">
        <v>5796</v>
      </c>
      <c r="F320" s="23"/>
      <c r="G320" s="23">
        <f t="shared" si="1"/>
        <v>105.96</v>
      </c>
      <c r="H320" s="23"/>
      <c r="I320" s="23"/>
    </row>
    <row r="321" spans="1:9">
      <c r="A321" s="21" t="s">
        <v>6009</v>
      </c>
      <c r="B321" s="21" t="s">
        <v>1097</v>
      </c>
      <c r="C321" s="22">
        <v>364</v>
      </c>
      <c r="D321" s="21">
        <v>9193.07</v>
      </c>
      <c r="E321" s="21" t="s">
        <v>5796</v>
      </c>
      <c r="F321" s="23"/>
      <c r="G321" s="23">
        <f t="shared" si="1"/>
        <v>9193.07</v>
      </c>
      <c r="H321" s="23"/>
      <c r="I321" s="23"/>
    </row>
    <row r="322" spans="1:9">
      <c r="A322" s="21" t="s">
        <v>927</v>
      </c>
      <c r="B322" s="21" t="s">
        <v>929</v>
      </c>
      <c r="C322" s="22">
        <v>285</v>
      </c>
      <c r="D322" s="21">
        <v>13752.11</v>
      </c>
      <c r="E322" s="21" t="s">
        <v>5796</v>
      </c>
      <c r="F322" s="23"/>
      <c r="G322" s="23">
        <f t="shared" si="1"/>
        <v>13752.11</v>
      </c>
      <c r="H322" s="23"/>
      <c r="I322" s="23"/>
    </row>
    <row r="323" spans="1:9">
      <c r="A323" s="24" t="s">
        <v>321</v>
      </c>
      <c r="B323" s="24" t="s">
        <v>323</v>
      </c>
      <c r="C323" s="25">
        <v>103</v>
      </c>
      <c r="D323" s="24">
        <v>49110.36</v>
      </c>
      <c r="E323" s="24" t="s">
        <v>5800</v>
      </c>
      <c r="F323" s="26"/>
      <c r="G323" s="23">
        <f t="shared" si="1"/>
        <v>49110.36</v>
      </c>
      <c r="H323" s="26"/>
      <c r="I323" s="26"/>
    </row>
    <row r="324" spans="1:9">
      <c r="A324" s="21" t="s">
        <v>1143</v>
      </c>
      <c r="B324" s="21" t="s">
        <v>1145</v>
      </c>
      <c r="C324" s="22">
        <v>398</v>
      </c>
      <c r="D324" s="21">
        <v>7801.53</v>
      </c>
      <c r="E324" s="21" t="s">
        <v>5796</v>
      </c>
      <c r="F324" s="23"/>
      <c r="G324" s="23">
        <f t="shared" si="1"/>
        <v>7801.53</v>
      </c>
      <c r="H324" s="23"/>
      <c r="I324" s="23"/>
    </row>
    <row r="325" spans="1:9">
      <c r="A325" s="21" t="s">
        <v>6010</v>
      </c>
      <c r="B325" s="21" t="s">
        <v>1085</v>
      </c>
      <c r="C325" s="22">
        <v>308</v>
      </c>
      <c r="D325" s="21">
        <v>11943.91</v>
      </c>
      <c r="E325" s="21" t="s">
        <v>5796</v>
      </c>
      <c r="F325" s="23"/>
      <c r="G325" s="23">
        <f t="shared" si="1"/>
        <v>11943.91</v>
      </c>
      <c r="H325" s="23"/>
      <c r="I325" s="23"/>
    </row>
    <row r="326" spans="1:9">
      <c r="A326" s="21" t="s">
        <v>6011</v>
      </c>
      <c r="B326" s="21" t="s">
        <v>3868</v>
      </c>
      <c r="C326" s="22">
        <v>1421</v>
      </c>
      <c r="D326" s="21">
        <v>397.76</v>
      </c>
      <c r="E326" s="21" t="s">
        <v>5796</v>
      </c>
      <c r="F326" s="23"/>
      <c r="G326" s="23">
        <f t="shared" si="1"/>
        <v>397.76</v>
      </c>
      <c r="H326" s="23"/>
      <c r="I326" s="23"/>
    </row>
    <row r="327" spans="1:9">
      <c r="A327" s="21" t="s">
        <v>3395</v>
      </c>
      <c r="B327" s="21" t="s">
        <v>3397</v>
      </c>
      <c r="C327" s="22">
        <v>1063</v>
      </c>
      <c r="D327" s="21">
        <v>989.35</v>
      </c>
      <c r="E327" s="21" t="s">
        <v>5796</v>
      </c>
      <c r="F327" s="23"/>
      <c r="G327" s="23">
        <f t="shared" si="1"/>
        <v>989.35</v>
      </c>
      <c r="H327" s="23"/>
      <c r="I327" s="23"/>
    </row>
    <row r="328" spans="1:9">
      <c r="A328" s="21" t="s">
        <v>6012</v>
      </c>
      <c r="B328" s="21" t="s">
        <v>3964</v>
      </c>
      <c r="C328" s="22">
        <v>1414</v>
      </c>
      <c r="D328" s="21">
        <v>399.58</v>
      </c>
      <c r="E328" s="21" t="s">
        <v>5796</v>
      </c>
      <c r="F328" s="23"/>
      <c r="G328" s="23">
        <f t="shared" si="1"/>
        <v>399.58</v>
      </c>
      <c r="H328" s="23"/>
      <c r="I328" s="23"/>
    </row>
    <row r="329" spans="1:9">
      <c r="A329" s="21" t="s">
        <v>1476</v>
      </c>
      <c r="B329" s="21" t="s">
        <v>1478</v>
      </c>
      <c r="C329" s="22">
        <v>428</v>
      </c>
      <c r="D329" s="21">
        <v>6713.78</v>
      </c>
      <c r="E329" s="21" t="s">
        <v>5796</v>
      </c>
      <c r="F329" s="23"/>
      <c r="G329" s="23">
        <f t="shared" si="1"/>
        <v>6713.78</v>
      </c>
      <c r="H329" s="23"/>
      <c r="I329" s="23"/>
    </row>
    <row r="330" spans="1:9">
      <c r="A330" s="21" t="s">
        <v>6013</v>
      </c>
      <c r="B330" s="21" t="s">
        <v>1433</v>
      </c>
      <c r="C330" s="22">
        <v>562</v>
      </c>
      <c r="D330" s="21">
        <v>4207.1499999999996</v>
      </c>
      <c r="E330" s="21" t="s">
        <v>5796</v>
      </c>
      <c r="F330" s="23"/>
      <c r="G330" s="23">
        <f t="shared" si="1"/>
        <v>4207.1499999999996</v>
      </c>
      <c r="H330" s="23"/>
      <c r="I330" s="23"/>
    </row>
    <row r="331" spans="1:9">
      <c r="A331" s="21" t="s">
        <v>6014</v>
      </c>
      <c r="B331" s="21" t="s">
        <v>3640</v>
      </c>
      <c r="C331" s="22">
        <v>1216</v>
      </c>
      <c r="D331" s="21">
        <v>669.7</v>
      </c>
      <c r="E331" s="21" t="s">
        <v>5796</v>
      </c>
      <c r="F331" s="23"/>
      <c r="G331" s="23">
        <f t="shared" si="1"/>
        <v>669.7</v>
      </c>
      <c r="H331" s="23"/>
      <c r="I331" s="23"/>
    </row>
    <row r="332" spans="1:9">
      <c r="A332" s="21" t="s">
        <v>6015</v>
      </c>
      <c r="B332" s="21" t="s">
        <v>2018</v>
      </c>
      <c r="C332" s="22">
        <v>648</v>
      </c>
      <c r="D332" s="21">
        <v>3029.8</v>
      </c>
      <c r="E332" s="21" t="s">
        <v>5796</v>
      </c>
      <c r="F332" s="23"/>
      <c r="G332" s="23">
        <f t="shared" si="1"/>
        <v>3029.8</v>
      </c>
      <c r="H332" s="23"/>
      <c r="I332" s="23"/>
    </row>
    <row r="333" spans="1:9">
      <c r="A333" s="27" t="s">
        <v>6016</v>
      </c>
      <c r="B333" s="27" t="s">
        <v>197</v>
      </c>
      <c r="C333" s="28">
        <v>72</v>
      </c>
      <c r="D333" s="27">
        <v>70890.12</v>
      </c>
      <c r="E333" s="27" t="s">
        <v>5815</v>
      </c>
      <c r="F333" s="29"/>
      <c r="G333" s="23">
        <f t="shared" si="1"/>
        <v>70890.12</v>
      </c>
      <c r="H333" s="29"/>
      <c r="I333" s="29"/>
    </row>
    <row r="334" spans="1:9">
      <c r="A334" s="21" t="s">
        <v>6017</v>
      </c>
      <c r="B334" s="21" t="s">
        <v>824</v>
      </c>
      <c r="C334" s="22">
        <v>301</v>
      </c>
      <c r="D334" s="21">
        <v>12502.68</v>
      </c>
      <c r="E334" s="21" t="s">
        <v>5796</v>
      </c>
      <c r="F334" s="23"/>
      <c r="G334" s="23">
        <f t="shared" si="1"/>
        <v>12502.68</v>
      </c>
      <c r="H334" s="23"/>
      <c r="I334" s="23"/>
    </row>
    <row r="335" spans="1:9">
      <c r="A335" s="21" t="s">
        <v>855</v>
      </c>
      <c r="B335" s="21" t="s">
        <v>857</v>
      </c>
      <c r="C335" s="22">
        <v>266</v>
      </c>
      <c r="D335" s="21">
        <v>15563.82</v>
      </c>
      <c r="E335" s="21" t="s">
        <v>5796</v>
      </c>
      <c r="F335" s="23"/>
      <c r="G335" s="23">
        <f t="shared" si="1"/>
        <v>15563.82</v>
      </c>
      <c r="H335" s="23"/>
      <c r="I335" s="23"/>
    </row>
    <row r="336" spans="1:9">
      <c r="A336" s="21" t="s">
        <v>6018</v>
      </c>
      <c r="B336" s="21" t="s">
        <v>2476</v>
      </c>
      <c r="C336" s="22">
        <v>779</v>
      </c>
      <c r="D336" s="21">
        <v>2058.81</v>
      </c>
      <c r="E336" s="21" t="s">
        <v>5796</v>
      </c>
      <c r="F336" s="23"/>
      <c r="G336" s="23">
        <f t="shared" si="1"/>
        <v>2058.81</v>
      </c>
      <c r="H336" s="23"/>
      <c r="I336" s="23"/>
    </row>
    <row r="337" spans="1:9">
      <c r="A337" s="21" t="s">
        <v>4271</v>
      </c>
      <c r="B337" s="21" t="s">
        <v>4273</v>
      </c>
      <c r="C337" s="22">
        <v>1567</v>
      </c>
      <c r="D337" s="21">
        <v>306.23</v>
      </c>
      <c r="E337" s="21" t="s">
        <v>5796</v>
      </c>
      <c r="F337" s="23"/>
      <c r="G337" s="23">
        <f t="shared" si="1"/>
        <v>306.23</v>
      </c>
      <c r="H337" s="23"/>
      <c r="I337" s="23"/>
    </row>
    <row r="338" spans="1:9">
      <c r="A338" s="21" t="s">
        <v>5242</v>
      </c>
      <c r="B338" s="21" t="s">
        <v>5244</v>
      </c>
      <c r="C338" s="22">
        <v>2449</v>
      </c>
      <c r="D338" s="21">
        <v>68.64</v>
      </c>
      <c r="E338" s="21" t="s">
        <v>5796</v>
      </c>
      <c r="F338" s="23"/>
      <c r="G338" s="23">
        <f t="shared" si="1"/>
        <v>68.64</v>
      </c>
      <c r="H338" s="23"/>
      <c r="I338" s="23"/>
    </row>
    <row r="339" spans="1:9">
      <c r="A339" s="27" t="s">
        <v>6019</v>
      </c>
      <c r="B339" s="27" t="s">
        <v>194</v>
      </c>
      <c r="C339" s="28">
        <v>65</v>
      </c>
      <c r="D339" s="27">
        <v>77782.45</v>
      </c>
      <c r="E339" s="27" t="s">
        <v>5815</v>
      </c>
      <c r="F339" s="29"/>
      <c r="G339" s="23">
        <f t="shared" si="1"/>
        <v>77782.45</v>
      </c>
      <c r="H339" s="29"/>
      <c r="I339" s="29"/>
    </row>
    <row r="340" spans="1:9">
      <c r="A340" s="21" t="s">
        <v>957</v>
      </c>
      <c r="B340" s="21" t="s">
        <v>959</v>
      </c>
      <c r="C340" s="22">
        <v>272</v>
      </c>
      <c r="D340" s="21">
        <v>15073.34</v>
      </c>
      <c r="E340" s="21" t="s">
        <v>5796</v>
      </c>
      <c r="F340" s="23"/>
      <c r="G340" s="23">
        <f t="shared" si="1"/>
        <v>15073.34</v>
      </c>
      <c r="H340" s="23"/>
      <c r="I340" s="23"/>
    </row>
    <row r="341" spans="1:9">
      <c r="A341" s="21" t="s">
        <v>4106</v>
      </c>
      <c r="B341" s="21" t="s">
        <v>4108</v>
      </c>
      <c r="C341" s="22">
        <v>1528</v>
      </c>
      <c r="D341" s="21">
        <v>327.43</v>
      </c>
      <c r="E341" s="21" t="s">
        <v>5796</v>
      </c>
      <c r="F341" s="23"/>
      <c r="G341" s="23">
        <f t="shared" si="1"/>
        <v>327.43</v>
      </c>
      <c r="H341" s="23"/>
      <c r="I341" s="23"/>
    </row>
    <row r="342" spans="1:9">
      <c r="A342" s="21" t="s">
        <v>6020</v>
      </c>
      <c r="B342" s="21" t="s">
        <v>3292</v>
      </c>
      <c r="C342" s="22">
        <v>1105</v>
      </c>
      <c r="D342" s="21">
        <v>860.17</v>
      </c>
      <c r="E342" s="21" t="s">
        <v>5796</v>
      </c>
      <c r="F342" s="23"/>
      <c r="G342" s="23">
        <f t="shared" si="1"/>
        <v>860.17</v>
      </c>
      <c r="H342" s="23"/>
      <c r="I342" s="23"/>
    </row>
    <row r="343" spans="1:9">
      <c r="A343" s="21" t="s">
        <v>6021</v>
      </c>
      <c r="B343" s="21" t="s">
        <v>6022</v>
      </c>
      <c r="C343" s="22">
        <v>3202</v>
      </c>
      <c r="D343" s="21">
        <v>22.47</v>
      </c>
      <c r="E343" s="21" t="s">
        <v>5796</v>
      </c>
      <c r="F343" s="23"/>
      <c r="G343" s="23">
        <f t="shared" si="1"/>
        <v>22.47</v>
      </c>
      <c r="H343" s="23"/>
      <c r="I343" s="23"/>
    </row>
    <row r="344" spans="1:9">
      <c r="A344" s="21" t="s">
        <v>1713</v>
      </c>
      <c r="B344" s="21" t="s">
        <v>1715</v>
      </c>
      <c r="C344" s="22">
        <v>527</v>
      </c>
      <c r="D344" s="21">
        <v>4691.92</v>
      </c>
      <c r="E344" s="21" t="s">
        <v>5796</v>
      </c>
      <c r="F344" s="23"/>
      <c r="G344" s="23">
        <f t="shared" si="1"/>
        <v>4691.92</v>
      </c>
      <c r="H344" s="23"/>
      <c r="I344" s="23"/>
    </row>
    <row r="345" spans="1:9">
      <c r="A345" s="27" t="s">
        <v>105</v>
      </c>
      <c r="B345" s="27" t="s">
        <v>107</v>
      </c>
      <c r="C345" s="28">
        <v>36</v>
      </c>
      <c r="D345" s="27">
        <v>138621.73000000001</v>
      </c>
      <c r="E345" s="27" t="s">
        <v>5815</v>
      </c>
      <c r="F345" s="29"/>
      <c r="G345" s="23">
        <f t="shared" si="1"/>
        <v>138621.73000000001</v>
      </c>
      <c r="H345" s="29"/>
      <c r="I345" s="29"/>
    </row>
    <row r="346" spans="1:9">
      <c r="A346" s="21" t="s">
        <v>4349</v>
      </c>
      <c r="B346" s="21" t="s">
        <v>4351</v>
      </c>
      <c r="C346" s="22">
        <v>1649</v>
      </c>
      <c r="D346" s="21">
        <v>264.22000000000003</v>
      </c>
      <c r="E346" s="21" t="s">
        <v>5796</v>
      </c>
      <c r="F346" s="23"/>
      <c r="G346" s="23">
        <f t="shared" si="1"/>
        <v>264.22000000000003</v>
      </c>
      <c r="H346" s="23"/>
      <c r="I346" s="23"/>
    </row>
    <row r="347" spans="1:9">
      <c r="A347" s="21" t="s">
        <v>1047</v>
      </c>
      <c r="B347" s="21" t="s">
        <v>1049</v>
      </c>
      <c r="C347" s="22">
        <v>435</v>
      </c>
      <c r="D347" s="21">
        <v>6606.96</v>
      </c>
      <c r="E347" s="21" t="s">
        <v>5796</v>
      </c>
      <c r="F347" s="23"/>
      <c r="G347" s="23">
        <f t="shared" si="1"/>
        <v>6606.96</v>
      </c>
      <c r="H347" s="23"/>
      <c r="I347" s="23"/>
    </row>
    <row r="348" spans="1:9">
      <c r="A348" s="21" t="s">
        <v>3407</v>
      </c>
      <c r="B348" s="21" t="s">
        <v>3409</v>
      </c>
      <c r="C348" s="22">
        <v>1152</v>
      </c>
      <c r="D348" s="21">
        <v>785.28</v>
      </c>
      <c r="E348" s="21" t="s">
        <v>5796</v>
      </c>
      <c r="F348" s="23"/>
      <c r="G348" s="23">
        <f t="shared" si="1"/>
        <v>785.28</v>
      </c>
      <c r="H348" s="23"/>
      <c r="I348" s="23"/>
    </row>
    <row r="349" spans="1:9">
      <c r="A349" s="24" t="s">
        <v>6023</v>
      </c>
      <c r="B349" s="24" t="s">
        <v>590</v>
      </c>
      <c r="C349" s="25">
        <v>189</v>
      </c>
      <c r="D349" s="24">
        <v>25549.81</v>
      </c>
      <c r="E349" s="24" t="s">
        <v>5800</v>
      </c>
      <c r="F349" s="26"/>
      <c r="G349" s="23">
        <f t="shared" si="1"/>
        <v>25549.81</v>
      </c>
      <c r="H349" s="26"/>
      <c r="I349" s="26"/>
    </row>
    <row r="350" spans="1:9">
      <c r="A350" s="24" t="s">
        <v>6024</v>
      </c>
      <c r="B350" s="24" t="s">
        <v>353</v>
      </c>
      <c r="C350" s="25">
        <v>125</v>
      </c>
      <c r="D350" s="24">
        <v>41955.5</v>
      </c>
      <c r="E350" s="24" t="s">
        <v>5800</v>
      </c>
      <c r="F350" s="26"/>
      <c r="G350" s="23">
        <f t="shared" si="1"/>
        <v>41955.5</v>
      </c>
      <c r="H350" s="26"/>
      <c r="I350" s="26"/>
    </row>
    <row r="351" spans="1:9">
      <c r="A351" s="21" t="s">
        <v>6025</v>
      </c>
      <c r="B351" s="21" t="s">
        <v>5200</v>
      </c>
      <c r="C351" s="22">
        <v>2040</v>
      </c>
      <c r="D351" s="21">
        <v>132.55000000000001</v>
      </c>
      <c r="E351" s="21" t="s">
        <v>5796</v>
      </c>
      <c r="F351" s="23"/>
      <c r="G351" s="23">
        <f t="shared" si="1"/>
        <v>132.55000000000001</v>
      </c>
      <c r="H351" s="23"/>
      <c r="I351" s="23"/>
    </row>
    <row r="352" spans="1:9">
      <c r="A352" s="21" t="s">
        <v>6026</v>
      </c>
      <c r="B352" s="21" t="s">
        <v>4735</v>
      </c>
      <c r="C352" s="22">
        <v>1981</v>
      </c>
      <c r="D352" s="21">
        <v>147.25</v>
      </c>
      <c r="E352" s="21" t="s">
        <v>5796</v>
      </c>
      <c r="F352" s="23"/>
      <c r="G352" s="23">
        <f t="shared" si="1"/>
        <v>147.25</v>
      </c>
      <c r="H352" s="23"/>
      <c r="I352" s="23"/>
    </row>
    <row r="353" spans="1:9">
      <c r="A353" s="24" t="s">
        <v>6027</v>
      </c>
      <c r="B353" s="24" t="s">
        <v>461</v>
      </c>
      <c r="C353" s="25">
        <v>135</v>
      </c>
      <c r="D353" s="24">
        <v>38709.919999999998</v>
      </c>
      <c r="E353" s="24" t="s">
        <v>5800</v>
      </c>
      <c r="F353" s="26"/>
      <c r="G353" s="23">
        <f t="shared" si="1"/>
        <v>38709.919999999998</v>
      </c>
      <c r="H353" s="26"/>
      <c r="I353" s="26"/>
    </row>
    <row r="354" spans="1:9">
      <c r="A354" s="21" t="s">
        <v>2507</v>
      </c>
      <c r="B354" s="21" t="s">
        <v>2509</v>
      </c>
      <c r="C354" s="22">
        <v>812</v>
      </c>
      <c r="D354" s="21">
        <v>1883.92</v>
      </c>
      <c r="E354" s="21" t="s">
        <v>5796</v>
      </c>
      <c r="F354" s="23"/>
      <c r="G354" s="23">
        <f t="shared" si="1"/>
        <v>1883.92</v>
      </c>
      <c r="H354" s="23"/>
      <c r="I354" s="23"/>
    </row>
    <row r="355" spans="1:9">
      <c r="A355" s="21" t="s">
        <v>6028</v>
      </c>
      <c r="B355" s="21" t="s">
        <v>3865</v>
      </c>
      <c r="C355" s="22">
        <v>1423</v>
      </c>
      <c r="D355" s="21">
        <v>397.26</v>
      </c>
      <c r="E355" s="21" t="s">
        <v>5796</v>
      </c>
      <c r="F355" s="23"/>
      <c r="G355" s="23">
        <f t="shared" si="1"/>
        <v>397.26</v>
      </c>
      <c r="H355" s="23"/>
      <c r="I355" s="23"/>
    </row>
    <row r="356" spans="1:9">
      <c r="A356" s="21" t="s">
        <v>6029</v>
      </c>
      <c r="B356" s="21" t="s">
        <v>3154</v>
      </c>
      <c r="C356" s="22">
        <v>1103</v>
      </c>
      <c r="D356" s="21">
        <v>863.79</v>
      </c>
      <c r="E356" s="21" t="s">
        <v>5796</v>
      </c>
      <c r="F356" s="23"/>
      <c r="G356" s="23">
        <f t="shared" si="1"/>
        <v>863.79</v>
      </c>
      <c r="H356" s="23"/>
      <c r="I356" s="23"/>
    </row>
    <row r="357" spans="1:9">
      <c r="A357" s="21" t="s">
        <v>6030</v>
      </c>
      <c r="B357" s="21" t="s">
        <v>4819</v>
      </c>
      <c r="C357" s="22">
        <v>2043</v>
      </c>
      <c r="D357" s="21">
        <v>132.47999999999999</v>
      </c>
      <c r="E357" s="21" t="s">
        <v>5796</v>
      </c>
      <c r="F357" s="23"/>
      <c r="G357" s="23">
        <f t="shared" si="1"/>
        <v>132.47999999999999</v>
      </c>
      <c r="H357" s="23"/>
      <c r="I357" s="23"/>
    </row>
    <row r="358" spans="1:9">
      <c r="A358" s="21" t="s">
        <v>5009</v>
      </c>
      <c r="B358" s="21" t="s">
        <v>5011</v>
      </c>
      <c r="C358" s="22">
        <v>2225</v>
      </c>
      <c r="D358" s="21">
        <v>98.91</v>
      </c>
      <c r="E358" s="21" t="s">
        <v>5796</v>
      </c>
      <c r="F358" s="23"/>
      <c r="G358" s="23">
        <f t="shared" si="1"/>
        <v>98.91</v>
      </c>
      <c r="H358" s="23"/>
      <c r="I358" s="23"/>
    </row>
    <row r="359" spans="1:9">
      <c r="A359" s="24" t="s">
        <v>585</v>
      </c>
      <c r="B359" s="24" t="s">
        <v>587</v>
      </c>
      <c r="C359" s="25">
        <v>182</v>
      </c>
      <c r="D359" s="24">
        <v>26930.95</v>
      </c>
      <c r="E359" s="24" t="s">
        <v>5800</v>
      </c>
      <c r="F359" s="26"/>
      <c r="G359" s="23">
        <f t="shared" si="1"/>
        <v>26930.95</v>
      </c>
      <c r="H359" s="26"/>
      <c r="I359" s="26"/>
    </row>
    <row r="360" spans="1:9">
      <c r="A360" s="21" t="s">
        <v>6031</v>
      </c>
      <c r="B360" s="21" t="s">
        <v>2869</v>
      </c>
      <c r="C360" s="22">
        <v>831</v>
      </c>
      <c r="D360" s="21">
        <v>1768.87</v>
      </c>
      <c r="E360" s="21" t="s">
        <v>5796</v>
      </c>
      <c r="F360" s="23"/>
      <c r="G360" s="23">
        <f t="shared" si="1"/>
        <v>1768.87</v>
      </c>
      <c r="H360" s="23"/>
      <c r="I360" s="23"/>
    </row>
    <row r="361" spans="1:9">
      <c r="A361" s="21" t="s">
        <v>6032</v>
      </c>
      <c r="B361" s="21" t="s">
        <v>5565</v>
      </c>
      <c r="C361" s="22">
        <v>2961</v>
      </c>
      <c r="D361" s="21">
        <v>31.98</v>
      </c>
      <c r="E361" s="21" t="s">
        <v>5796</v>
      </c>
      <c r="F361" s="23"/>
      <c r="G361" s="23">
        <f t="shared" si="1"/>
        <v>31.98</v>
      </c>
      <c r="H361" s="23"/>
      <c r="I361" s="23"/>
    </row>
    <row r="362" spans="1:9">
      <c r="A362" s="21" t="s">
        <v>1209</v>
      </c>
      <c r="B362" s="21" t="s">
        <v>1211</v>
      </c>
      <c r="C362" s="22">
        <v>410</v>
      </c>
      <c r="D362" s="21">
        <v>7196.94</v>
      </c>
      <c r="E362" s="21" t="s">
        <v>5796</v>
      </c>
      <c r="F362" s="23"/>
      <c r="G362" s="23">
        <f t="shared" si="1"/>
        <v>7196.94</v>
      </c>
      <c r="H362" s="23"/>
      <c r="I362" s="23"/>
    </row>
    <row r="363" spans="1:9">
      <c r="A363" s="21" t="s">
        <v>6033</v>
      </c>
      <c r="B363" s="21" t="s">
        <v>3574</v>
      </c>
      <c r="C363" s="22">
        <v>1270</v>
      </c>
      <c r="D363" s="21">
        <v>568.46</v>
      </c>
      <c r="E363" s="21" t="s">
        <v>5796</v>
      </c>
      <c r="F363" s="23"/>
      <c r="G363" s="23">
        <f t="shared" si="1"/>
        <v>568.46</v>
      </c>
      <c r="H363" s="23"/>
      <c r="I363" s="23"/>
    </row>
    <row r="364" spans="1:9">
      <c r="A364" s="21" t="s">
        <v>6034</v>
      </c>
      <c r="B364" s="21" t="s">
        <v>5763</v>
      </c>
      <c r="C364" s="22">
        <v>3855</v>
      </c>
      <c r="D364" s="21">
        <v>8.6199999999999992</v>
      </c>
      <c r="E364" s="21" t="s">
        <v>5796</v>
      </c>
      <c r="F364" s="23"/>
      <c r="G364" s="23">
        <f t="shared" si="1"/>
        <v>8.6199999999999992</v>
      </c>
      <c r="H364" s="23"/>
      <c r="I364" s="23"/>
    </row>
    <row r="365" spans="1:9">
      <c r="A365" s="21" t="s">
        <v>6035</v>
      </c>
      <c r="B365" s="21" t="s">
        <v>728</v>
      </c>
      <c r="C365" s="22">
        <v>261</v>
      </c>
      <c r="D365" s="21">
        <v>15994.88</v>
      </c>
      <c r="E365" s="21" t="s">
        <v>5796</v>
      </c>
      <c r="F365" s="23"/>
      <c r="G365" s="23">
        <f t="shared" si="1"/>
        <v>15994.88</v>
      </c>
      <c r="H365" s="23"/>
      <c r="I365" s="23"/>
    </row>
    <row r="366" spans="1:9">
      <c r="A366" s="21" t="s">
        <v>6036</v>
      </c>
      <c r="B366" s="21" t="s">
        <v>3664</v>
      </c>
      <c r="C366" s="22">
        <v>1310</v>
      </c>
      <c r="D366" s="21">
        <v>506.94</v>
      </c>
      <c r="E366" s="21" t="s">
        <v>5796</v>
      </c>
      <c r="F366" s="23"/>
      <c r="G366" s="23">
        <f t="shared" si="1"/>
        <v>506.94</v>
      </c>
      <c r="H366" s="23"/>
      <c r="I366" s="23"/>
    </row>
    <row r="367" spans="1:9">
      <c r="A367" s="24" t="s">
        <v>6037</v>
      </c>
      <c r="B367" s="24" t="s">
        <v>638</v>
      </c>
      <c r="C367" s="25">
        <v>196</v>
      </c>
      <c r="D367" s="24">
        <v>24715.11</v>
      </c>
      <c r="E367" s="24" t="s">
        <v>5800</v>
      </c>
      <c r="F367" s="26"/>
      <c r="G367" s="23">
        <f t="shared" si="1"/>
        <v>24715.11</v>
      </c>
      <c r="H367" s="26"/>
      <c r="I367" s="26"/>
    </row>
    <row r="368" spans="1:9">
      <c r="A368" s="24" t="s">
        <v>843</v>
      </c>
      <c r="B368" s="24" t="s">
        <v>845</v>
      </c>
      <c r="C368" s="25">
        <v>237</v>
      </c>
      <c r="D368" s="24">
        <v>18774.3</v>
      </c>
      <c r="E368" s="24" t="s">
        <v>5800</v>
      </c>
      <c r="F368" s="26"/>
      <c r="G368" s="23">
        <f t="shared" si="1"/>
        <v>18774.3</v>
      </c>
      <c r="H368" s="26"/>
      <c r="I368" s="26"/>
    </row>
    <row r="369" spans="1:9">
      <c r="A369" s="21" t="s">
        <v>6038</v>
      </c>
      <c r="B369" s="21" t="s">
        <v>5385</v>
      </c>
      <c r="C369" s="22">
        <v>2835</v>
      </c>
      <c r="D369" s="21">
        <v>38.340000000000003</v>
      </c>
      <c r="E369" s="21" t="s">
        <v>5796</v>
      </c>
      <c r="F369" s="23"/>
      <c r="G369" s="23">
        <f t="shared" si="1"/>
        <v>38.340000000000003</v>
      </c>
      <c r="H369" s="23"/>
      <c r="I369" s="23"/>
    </row>
    <row r="370" spans="1:9">
      <c r="A370" s="21" t="s">
        <v>1710</v>
      </c>
      <c r="B370" s="21" t="s">
        <v>1712</v>
      </c>
      <c r="C370" s="22">
        <v>540</v>
      </c>
      <c r="D370" s="21">
        <v>4505.3599999999997</v>
      </c>
      <c r="E370" s="21" t="s">
        <v>5796</v>
      </c>
      <c r="F370" s="23"/>
      <c r="G370" s="23">
        <f t="shared" si="1"/>
        <v>4505.3599999999997</v>
      </c>
      <c r="H370" s="23"/>
      <c r="I370" s="23"/>
    </row>
    <row r="371" spans="1:9">
      <c r="A371" s="21" t="s">
        <v>3599</v>
      </c>
      <c r="B371" s="21" t="s">
        <v>3601</v>
      </c>
      <c r="C371" s="22">
        <v>1322</v>
      </c>
      <c r="D371" s="21">
        <v>488.36</v>
      </c>
      <c r="E371" s="21" t="s">
        <v>5796</v>
      </c>
      <c r="F371" s="23"/>
      <c r="G371" s="23">
        <f t="shared" si="1"/>
        <v>488.36</v>
      </c>
      <c r="H371" s="23"/>
      <c r="I371" s="23"/>
    </row>
    <row r="372" spans="1:9">
      <c r="A372" s="21" t="s">
        <v>6039</v>
      </c>
      <c r="B372" s="21" t="s">
        <v>5047</v>
      </c>
      <c r="C372" s="22">
        <v>2154</v>
      </c>
      <c r="D372" s="21">
        <v>112.2</v>
      </c>
      <c r="E372" s="21" t="s">
        <v>5796</v>
      </c>
      <c r="F372" s="23"/>
      <c r="G372" s="23">
        <f t="shared" si="1"/>
        <v>112.2</v>
      </c>
      <c r="H372" s="23"/>
      <c r="I372" s="23"/>
    </row>
    <row r="373" spans="1:9">
      <c r="A373" s="21" t="s">
        <v>6040</v>
      </c>
      <c r="B373" s="21" t="s">
        <v>1214</v>
      </c>
      <c r="C373" s="22">
        <v>341</v>
      </c>
      <c r="D373" s="21">
        <v>10308.049999999999</v>
      </c>
      <c r="E373" s="21" t="s">
        <v>5796</v>
      </c>
      <c r="F373" s="23"/>
      <c r="G373" s="23">
        <f t="shared" si="1"/>
        <v>10308.049999999999</v>
      </c>
      <c r="H373" s="23"/>
      <c r="I373" s="23"/>
    </row>
    <row r="374" spans="1:9">
      <c r="A374" s="21" t="s">
        <v>6041</v>
      </c>
      <c r="B374" s="21" t="s">
        <v>5376</v>
      </c>
      <c r="C374" s="22">
        <v>2638</v>
      </c>
      <c r="D374" s="21">
        <v>50.1</v>
      </c>
      <c r="E374" s="21" t="s">
        <v>5796</v>
      </c>
      <c r="F374" s="23"/>
      <c r="G374" s="23">
        <f t="shared" si="1"/>
        <v>50.1</v>
      </c>
      <c r="H374" s="23"/>
      <c r="I374" s="23"/>
    </row>
    <row r="375" spans="1:9">
      <c r="A375" s="24" t="s">
        <v>6042</v>
      </c>
      <c r="B375" s="24" t="s">
        <v>395</v>
      </c>
      <c r="C375" s="25">
        <v>115</v>
      </c>
      <c r="D375" s="24">
        <v>44734.54</v>
      </c>
      <c r="E375" s="24" t="s">
        <v>5800</v>
      </c>
      <c r="F375" s="26"/>
      <c r="G375" s="23">
        <f t="shared" si="1"/>
        <v>44734.54</v>
      </c>
      <c r="H375" s="26"/>
      <c r="I375" s="26"/>
    </row>
    <row r="376" spans="1:9">
      <c r="A376" s="21" t="s">
        <v>3677</v>
      </c>
      <c r="B376" s="21" t="s">
        <v>3679</v>
      </c>
      <c r="C376" s="22">
        <v>1495</v>
      </c>
      <c r="D376" s="21">
        <v>349.52</v>
      </c>
      <c r="E376" s="21" t="s">
        <v>5796</v>
      </c>
      <c r="F376" s="23"/>
      <c r="G376" s="23">
        <f t="shared" si="1"/>
        <v>349.52</v>
      </c>
      <c r="H376" s="23"/>
      <c r="I376" s="23"/>
    </row>
    <row r="377" spans="1:9">
      <c r="A377" s="21" t="s">
        <v>6043</v>
      </c>
      <c r="B377" s="21" t="s">
        <v>5604</v>
      </c>
      <c r="C377" s="22">
        <v>3085</v>
      </c>
      <c r="D377" s="21">
        <v>27.05</v>
      </c>
      <c r="E377" s="21" t="s">
        <v>5796</v>
      </c>
      <c r="F377" s="23"/>
      <c r="G377" s="23">
        <f t="shared" si="1"/>
        <v>27.05</v>
      </c>
      <c r="H377" s="23"/>
      <c r="I377" s="23"/>
    </row>
    <row r="378" spans="1:9">
      <c r="A378" s="21" t="s">
        <v>6044</v>
      </c>
      <c r="B378" s="21" t="s">
        <v>4150</v>
      </c>
      <c r="C378" s="22">
        <v>1480</v>
      </c>
      <c r="D378" s="21">
        <v>357.91</v>
      </c>
      <c r="E378" s="21" t="s">
        <v>5796</v>
      </c>
      <c r="F378" s="23"/>
      <c r="G378" s="23">
        <f t="shared" si="1"/>
        <v>357.91</v>
      </c>
      <c r="H378" s="23"/>
      <c r="I378" s="23"/>
    </row>
    <row r="379" spans="1:9">
      <c r="A379" s="21" t="s">
        <v>840</v>
      </c>
      <c r="B379" s="21" t="s">
        <v>842</v>
      </c>
      <c r="C379" s="22">
        <v>305</v>
      </c>
      <c r="D379" s="21">
        <v>12090.43</v>
      </c>
      <c r="E379" s="21" t="s">
        <v>5796</v>
      </c>
      <c r="F379" s="23"/>
      <c r="G379" s="23">
        <f t="shared" si="1"/>
        <v>12090.43</v>
      </c>
      <c r="H379" s="23"/>
      <c r="I379" s="23"/>
    </row>
    <row r="380" spans="1:9">
      <c r="A380" s="21" t="s">
        <v>1656</v>
      </c>
      <c r="B380" s="21" t="s">
        <v>6045</v>
      </c>
      <c r="C380" s="22">
        <v>604</v>
      </c>
      <c r="D380" s="21">
        <v>3670.76</v>
      </c>
      <c r="E380" s="21" t="s">
        <v>5796</v>
      </c>
      <c r="F380" s="23"/>
      <c r="G380" s="23">
        <f t="shared" si="1"/>
        <v>3670.76</v>
      </c>
      <c r="H380" s="23"/>
      <c r="I380" s="23"/>
    </row>
    <row r="381" spans="1:9">
      <c r="A381" s="27" t="s">
        <v>6046</v>
      </c>
      <c r="B381" s="27" t="s">
        <v>185</v>
      </c>
      <c r="C381" s="28">
        <v>54</v>
      </c>
      <c r="D381" s="27">
        <v>95932.51</v>
      </c>
      <c r="E381" s="27" t="s">
        <v>5815</v>
      </c>
      <c r="F381" s="29"/>
      <c r="G381" s="23">
        <f t="shared" si="1"/>
        <v>95932.51</v>
      </c>
      <c r="H381" s="29"/>
      <c r="I381" s="29"/>
    </row>
    <row r="382" spans="1:9">
      <c r="A382" s="24" t="s">
        <v>6047</v>
      </c>
      <c r="B382" s="24" t="s">
        <v>497</v>
      </c>
      <c r="C382" s="25">
        <v>142</v>
      </c>
      <c r="D382" s="24">
        <v>36850.86</v>
      </c>
      <c r="E382" s="24" t="s">
        <v>5800</v>
      </c>
      <c r="F382" s="26"/>
      <c r="G382" s="23">
        <f t="shared" si="1"/>
        <v>36850.86</v>
      </c>
      <c r="H382" s="26"/>
      <c r="I382" s="26"/>
    </row>
    <row r="383" spans="1:9">
      <c r="A383" s="21" t="s">
        <v>6048</v>
      </c>
      <c r="B383" s="21" t="s">
        <v>2194</v>
      </c>
      <c r="C383" s="22">
        <v>665</v>
      </c>
      <c r="D383" s="21">
        <v>2875.36</v>
      </c>
      <c r="E383" s="21" t="s">
        <v>5796</v>
      </c>
      <c r="F383" s="23"/>
      <c r="G383" s="23">
        <f t="shared" si="1"/>
        <v>2875.36</v>
      </c>
      <c r="H383" s="23"/>
      <c r="I383" s="23"/>
    </row>
    <row r="384" spans="1:9">
      <c r="A384" s="21" t="s">
        <v>5114</v>
      </c>
      <c r="B384" s="21" t="s">
        <v>5116</v>
      </c>
      <c r="C384" s="22">
        <v>2180</v>
      </c>
      <c r="D384" s="21">
        <v>106.78</v>
      </c>
      <c r="E384" s="21" t="s">
        <v>5796</v>
      </c>
      <c r="F384" s="23"/>
      <c r="G384" s="23">
        <f t="shared" si="1"/>
        <v>106.78</v>
      </c>
      <c r="H384" s="23"/>
      <c r="I384" s="23"/>
    </row>
    <row r="385" spans="1:9">
      <c r="A385" s="21" t="s">
        <v>6049</v>
      </c>
      <c r="B385" s="21" t="s">
        <v>4783</v>
      </c>
      <c r="C385" s="22">
        <v>1710</v>
      </c>
      <c r="D385" s="21">
        <v>237.9</v>
      </c>
      <c r="E385" s="21" t="s">
        <v>5796</v>
      </c>
      <c r="F385" s="23"/>
      <c r="G385" s="23">
        <f t="shared" si="1"/>
        <v>237.9</v>
      </c>
      <c r="H385" s="23"/>
      <c r="I385" s="23"/>
    </row>
    <row r="386" spans="1:9">
      <c r="A386" s="21" t="s">
        <v>2111</v>
      </c>
      <c r="B386" s="21" t="s">
        <v>2113</v>
      </c>
      <c r="C386" s="22">
        <v>750</v>
      </c>
      <c r="D386" s="21">
        <v>2182.3000000000002</v>
      </c>
      <c r="E386" s="21" t="s">
        <v>5796</v>
      </c>
      <c r="F386" s="23"/>
      <c r="G386" s="23">
        <f t="shared" si="1"/>
        <v>2182.3000000000002</v>
      </c>
      <c r="H386" s="23"/>
      <c r="I386" s="23"/>
    </row>
    <row r="387" spans="1:9">
      <c r="A387" s="21" t="s">
        <v>1131</v>
      </c>
      <c r="B387" s="21" t="s">
        <v>1133</v>
      </c>
      <c r="C387" s="22">
        <v>390</v>
      </c>
      <c r="D387" s="21">
        <v>8114.4</v>
      </c>
      <c r="E387" s="21" t="s">
        <v>5796</v>
      </c>
      <c r="F387" s="23"/>
      <c r="G387" s="23">
        <f t="shared" si="1"/>
        <v>8114.4</v>
      </c>
      <c r="H387" s="23"/>
      <c r="I387" s="23"/>
    </row>
    <row r="388" spans="1:9">
      <c r="A388" s="21" t="s">
        <v>1905</v>
      </c>
      <c r="B388" s="21" t="s">
        <v>1907</v>
      </c>
      <c r="C388" s="22">
        <v>774</v>
      </c>
      <c r="D388" s="21">
        <v>2072.4</v>
      </c>
      <c r="E388" s="21" t="s">
        <v>5796</v>
      </c>
      <c r="F388" s="23"/>
      <c r="G388" s="23">
        <f t="shared" si="1"/>
        <v>2072.4</v>
      </c>
      <c r="H388" s="23"/>
      <c r="I388" s="23"/>
    </row>
    <row r="389" spans="1:9">
      <c r="A389" s="21" t="s">
        <v>1851</v>
      </c>
      <c r="B389" s="21" t="s">
        <v>1853</v>
      </c>
      <c r="C389" s="22">
        <v>659</v>
      </c>
      <c r="D389" s="21">
        <v>2920.65</v>
      </c>
      <c r="E389" s="21" t="s">
        <v>5796</v>
      </c>
      <c r="F389" s="23"/>
      <c r="G389" s="23">
        <f t="shared" si="1"/>
        <v>2920.65</v>
      </c>
      <c r="H389" s="23"/>
      <c r="I389" s="23"/>
    </row>
    <row r="390" spans="1:9">
      <c r="A390" s="21" t="s">
        <v>3296</v>
      </c>
      <c r="B390" s="21" t="s">
        <v>3298</v>
      </c>
      <c r="C390" s="22">
        <v>1028</v>
      </c>
      <c r="D390" s="21">
        <v>1074.1400000000001</v>
      </c>
      <c r="E390" s="21" t="s">
        <v>5796</v>
      </c>
      <c r="F390" s="23"/>
      <c r="G390" s="23">
        <f t="shared" si="1"/>
        <v>1074.1400000000001</v>
      </c>
      <c r="H390" s="23"/>
      <c r="I390" s="23"/>
    </row>
    <row r="391" spans="1:9">
      <c r="A391" s="21" t="s">
        <v>6050</v>
      </c>
      <c r="B391" s="21" t="s">
        <v>1739</v>
      </c>
      <c r="C391" s="22">
        <v>686</v>
      </c>
      <c r="D391" s="21">
        <v>2655.4</v>
      </c>
      <c r="E391" s="21" t="s">
        <v>5796</v>
      </c>
      <c r="F391" s="23"/>
      <c r="G391" s="23">
        <f t="shared" si="1"/>
        <v>2655.4</v>
      </c>
      <c r="H391" s="23"/>
      <c r="I391" s="23"/>
    </row>
    <row r="392" spans="1:9">
      <c r="A392" s="21" t="s">
        <v>6051</v>
      </c>
      <c r="B392" s="21" t="s">
        <v>5146</v>
      </c>
      <c r="C392" s="22">
        <v>2305</v>
      </c>
      <c r="D392" s="21">
        <v>86.32</v>
      </c>
      <c r="E392" s="21" t="s">
        <v>5796</v>
      </c>
      <c r="F392" s="23"/>
      <c r="G392" s="23">
        <f t="shared" si="1"/>
        <v>86.32</v>
      </c>
      <c r="H392" s="23"/>
      <c r="I392" s="23"/>
    </row>
    <row r="393" spans="1:9">
      <c r="A393" s="21" t="s">
        <v>2498</v>
      </c>
      <c r="B393" s="21" t="s">
        <v>2500</v>
      </c>
      <c r="C393" s="22">
        <v>819</v>
      </c>
      <c r="D393" s="21">
        <v>1842.58</v>
      </c>
      <c r="E393" s="21" t="s">
        <v>5796</v>
      </c>
      <c r="F393" s="23"/>
      <c r="G393" s="23">
        <f t="shared" si="1"/>
        <v>1842.58</v>
      </c>
      <c r="H393" s="23"/>
      <c r="I393" s="23"/>
    </row>
    <row r="394" spans="1:9">
      <c r="A394" s="21" t="s">
        <v>2075</v>
      </c>
      <c r="B394" s="21" t="s">
        <v>2077</v>
      </c>
      <c r="C394" s="22">
        <v>610</v>
      </c>
      <c r="D394" s="21">
        <v>3536.31</v>
      </c>
      <c r="E394" s="21" t="s">
        <v>5796</v>
      </c>
      <c r="F394" s="23"/>
      <c r="G394" s="23">
        <f t="shared" si="1"/>
        <v>3536.31</v>
      </c>
      <c r="H394" s="23"/>
      <c r="I394" s="23"/>
    </row>
    <row r="395" spans="1:9">
      <c r="A395" s="21" t="s">
        <v>6052</v>
      </c>
      <c r="B395" s="21" t="s">
        <v>4669</v>
      </c>
      <c r="C395" s="22">
        <v>1915</v>
      </c>
      <c r="D395" s="21">
        <v>162.91999999999999</v>
      </c>
      <c r="E395" s="21" t="s">
        <v>5796</v>
      </c>
      <c r="F395" s="23"/>
      <c r="G395" s="23">
        <f t="shared" si="1"/>
        <v>162.91999999999999</v>
      </c>
      <c r="H395" s="23"/>
      <c r="I395" s="23"/>
    </row>
    <row r="396" spans="1:9">
      <c r="A396" s="21" t="s">
        <v>6053</v>
      </c>
      <c r="B396" s="21" t="s">
        <v>4972</v>
      </c>
      <c r="C396" s="22">
        <v>2025</v>
      </c>
      <c r="D396" s="21">
        <v>136.53</v>
      </c>
      <c r="E396" s="21" t="s">
        <v>5796</v>
      </c>
      <c r="F396" s="23"/>
      <c r="G396" s="23">
        <f t="shared" si="1"/>
        <v>136.53</v>
      </c>
      <c r="H396" s="23"/>
      <c r="I396" s="23"/>
    </row>
    <row r="397" spans="1:9">
      <c r="A397" s="21" t="s">
        <v>6054</v>
      </c>
      <c r="B397" s="21" t="s">
        <v>5751</v>
      </c>
      <c r="C397" s="22">
        <v>3826</v>
      </c>
      <c r="D397" s="21">
        <v>8.9</v>
      </c>
      <c r="E397" s="21" t="s">
        <v>5796</v>
      </c>
      <c r="F397" s="23"/>
      <c r="G397" s="23">
        <f t="shared" si="1"/>
        <v>8.9</v>
      </c>
      <c r="H397" s="23"/>
      <c r="I397" s="23"/>
    </row>
    <row r="398" spans="1:9">
      <c r="A398" s="21" t="s">
        <v>6055</v>
      </c>
      <c r="B398" s="21" t="s">
        <v>4378</v>
      </c>
      <c r="C398" s="22">
        <v>1605</v>
      </c>
      <c r="D398" s="21">
        <v>285.02</v>
      </c>
      <c r="E398" s="21" t="s">
        <v>5796</v>
      </c>
      <c r="F398" s="23"/>
      <c r="G398" s="23">
        <f t="shared" si="1"/>
        <v>285.02</v>
      </c>
      <c r="H398" s="23"/>
      <c r="I398" s="23"/>
    </row>
    <row r="399" spans="1:9">
      <c r="A399" s="21" t="s">
        <v>951</v>
      </c>
      <c r="B399" s="21" t="s">
        <v>953</v>
      </c>
      <c r="C399" s="22">
        <v>286</v>
      </c>
      <c r="D399" s="21">
        <v>13637.51</v>
      </c>
      <c r="E399" s="21" t="s">
        <v>5796</v>
      </c>
      <c r="F399" s="23"/>
      <c r="G399" s="23">
        <f t="shared" si="1"/>
        <v>13637.51</v>
      </c>
      <c r="H399" s="23"/>
      <c r="I399" s="23"/>
    </row>
    <row r="400" spans="1:9">
      <c r="A400" s="21" t="s">
        <v>6056</v>
      </c>
      <c r="B400" s="21" t="s">
        <v>3247</v>
      </c>
      <c r="C400" s="22">
        <v>1245</v>
      </c>
      <c r="D400" s="21">
        <v>615.05999999999995</v>
      </c>
      <c r="E400" s="21" t="s">
        <v>5796</v>
      </c>
      <c r="F400" s="23"/>
      <c r="G400" s="23">
        <f t="shared" si="1"/>
        <v>615.05999999999995</v>
      </c>
      <c r="H400" s="23"/>
      <c r="I400" s="23"/>
    </row>
    <row r="401" spans="1:9">
      <c r="A401" s="21" t="s">
        <v>6057</v>
      </c>
      <c r="B401" s="21" t="s">
        <v>2959</v>
      </c>
      <c r="C401" s="22">
        <v>926</v>
      </c>
      <c r="D401" s="21">
        <v>1386.39</v>
      </c>
      <c r="E401" s="21" t="s">
        <v>5796</v>
      </c>
      <c r="F401" s="23"/>
      <c r="G401" s="23">
        <f t="shared" si="1"/>
        <v>1386.39</v>
      </c>
      <c r="H401" s="23"/>
      <c r="I401" s="23"/>
    </row>
    <row r="402" spans="1:9">
      <c r="A402" s="21" t="s">
        <v>2303</v>
      </c>
      <c r="B402" s="21" t="s">
        <v>2305</v>
      </c>
      <c r="C402" s="22">
        <v>817</v>
      </c>
      <c r="D402" s="21">
        <v>1855.94</v>
      </c>
      <c r="E402" s="21" t="s">
        <v>5796</v>
      </c>
      <c r="F402" s="23"/>
      <c r="G402" s="23">
        <f t="shared" si="1"/>
        <v>1855.94</v>
      </c>
      <c r="H402" s="23"/>
      <c r="I402" s="23"/>
    </row>
    <row r="403" spans="1:9">
      <c r="A403" s="21" t="s">
        <v>6058</v>
      </c>
      <c r="B403" s="21" t="s">
        <v>3658</v>
      </c>
      <c r="C403" s="22">
        <v>1222</v>
      </c>
      <c r="D403" s="21">
        <v>648.03</v>
      </c>
      <c r="E403" s="21" t="s">
        <v>5796</v>
      </c>
      <c r="F403" s="23"/>
      <c r="G403" s="23">
        <f t="shared" si="1"/>
        <v>648.03</v>
      </c>
      <c r="H403" s="23"/>
      <c r="I403" s="23"/>
    </row>
    <row r="404" spans="1:9">
      <c r="A404" s="21" t="s">
        <v>6059</v>
      </c>
      <c r="B404" s="21" t="s">
        <v>1427</v>
      </c>
      <c r="C404" s="22">
        <v>400</v>
      </c>
      <c r="D404" s="21">
        <v>7672.92</v>
      </c>
      <c r="E404" s="21" t="s">
        <v>5796</v>
      </c>
      <c r="F404" s="23"/>
      <c r="G404" s="23">
        <f t="shared" si="1"/>
        <v>7672.92</v>
      </c>
      <c r="H404" s="23"/>
      <c r="I404" s="23"/>
    </row>
    <row r="405" spans="1:9">
      <c r="A405" s="24" t="s">
        <v>639</v>
      </c>
      <c r="B405" s="24" t="s">
        <v>641</v>
      </c>
      <c r="C405" s="25">
        <v>186</v>
      </c>
      <c r="D405" s="24">
        <v>26204.400000000001</v>
      </c>
      <c r="E405" s="24" t="s">
        <v>5800</v>
      </c>
      <c r="F405" s="26"/>
      <c r="G405" s="23">
        <f t="shared" si="1"/>
        <v>26204.400000000001</v>
      </c>
      <c r="H405" s="26"/>
      <c r="I405" s="26"/>
    </row>
    <row r="406" spans="1:9">
      <c r="A406" s="21" t="s">
        <v>4013</v>
      </c>
      <c r="B406" s="21" t="s">
        <v>4015</v>
      </c>
      <c r="C406" s="22">
        <v>1452</v>
      </c>
      <c r="D406" s="21">
        <v>378.02</v>
      </c>
      <c r="E406" s="21" t="s">
        <v>5796</v>
      </c>
      <c r="F406" s="23"/>
      <c r="G406" s="23">
        <f t="shared" si="1"/>
        <v>378.02</v>
      </c>
      <c r="H406" s="23"/>
      <c r="I406" s="23"/>
    </row>
    <row r="407" spans="1:9">
      <c r="A407" s="21" t="s">
        <v>2930</v>
      </c>
      <c r="B407" s="21" t="s">
        <v>2932</v>
      </c>
      <c r="C407" s="22">
        <v>1065</v>
      </c>
      <c r="D407" s="21">
        <v>980.02</v>
      </c>
      <c r="E407" s="21" t="s">
        <v>5796</v>
      </c>
      <c r="F407" s="23"/>
      <c r="G407" s="23">
        <f t="shared" si="1"/>
        <v>980.02</v>
      </c>
      <c r="H407" s="23"/>
      <c r="I407" s="23"/>
    </row>
    <row r="408" spans="1:9">
      <c r="A408" s="24" t="s">
        <v>627</v>
      </c>
      <c r="B408" s="24" t="s">
        <v>629</v>
      </c>
      <c r="C408" s="25">
        <v>194</v>
      </c>
      <c r="D408" s="24">
        <v>24967.26</v>
      </c>
      <c r="E408" s="24" t="s">
        <v>5800</v>
      </c>
      <c r="F408" s="26"/>
      <c r="G408" s="23">
        <f t="shared" si="1"/>
        <v>24967.26</v>
      </c>
      <c r="H408" s="26"/>
      <c r="I408" s="26"/>
    </row>
    <row r="409" spans="1:9">
      <c r="A409" s="21" t="s">
        <v>4151</v>
      </c>
      <c r="B409" s="21" t="s">
        <v>4153</v>
      </c>
      <c r="C409" s="22">
        <v>1459</v>
      </c>
      <c r="D409" s="21">
        <v>375.84</v>
      </c>
      <c r="E409" s="21" t="s">
        <v>5796</v>
      </c>
      <c r="F409" s="23"/>
      <c r="G409" s="23">
        <f t="shared" si="1"/>
        <v>375.84</v>
      </c>
      <c r="H409" s="23"/>
      <c r="I409" s="23"/>
    </row>
    <row r="410" spans="1:9">
      <c r="A410" s="21" t="s">
        <v>1923</v>
      </c>
      <c r="B410" s="21" t="s">
        <v>1925</v>
      </c>
      <c r="C410" s="22">
        <v>476</v>
      </c>
      <c r="D410" s="21">
        <v>5607.24</v>
      </c>
      <c r="E410" s="21" t="s">
        <v>5796</v>
      </c>
      <c r="F410" s="23"/>
      <c r="G410" s="23">
        <f t="shared" si="1"/>
        <v>5607.24</v>
      </c>
      <c r="H410" s="23"/>
      <c r="I410" s="23"/>
    </row>
    <row r="411" spans="1:9">
      <c r="A411" s="21" t="s">
        <v>6060</v>
      </c>
      <c r="B411" s="21" t="s">
        <v>5215</v>
      </c>
      <c r="C411" s="22">
        <v>2342</v>
      </c>
      <c r="D411" s="21">
        <v>79.86</v>
      </c>
      <c r="E411" s="21" t="s">
        <v>5796</v>
      </c>
      <c r="F411" s="23"/>
      <c r="G411" s="23">
        <f t="shared" si="1"/>
        <v>79.86</v>
      </c>
      <c r="H411" s="23"/>
      <c r="I411" s="23"/>
    </row>
    <row r="412" spans="1:9">
      <c r="A412" s="21" t="s">
        <v>6061</v>
      </c>
      <c r="B412" s="21" t="s">
        <v>2551</v>
      </c>
      <c r="C412" s="22">
        <v>892</v>
      </c>
      <c r="D412" s="21">
        <v>1496.4</v>
      </c>
      <c r="E412" s="21" t="s">
        <v>5796</v>
      </c>
      <c r="F412" s="23"/>
      <c r="G412" s="23">
        <f t="shared" si="1"/>
        <v>1496.4</v>
      </c>
      <c r="H412" s="23"/>
      <c r="I412" s="23"/>
    </row>
    <row r="413" spans="1:9">
      <c r="A413" s="21" t="s">
        <v>3473</v>
      </c>
      <c r="B413" s="21" t="s">
        <v>3475</v>
      </c>
      <c r="C413" s="22">
        <v>1258</v>
      </c>
      <c r="D413" s="21">
        <v>591.24</v>
      </c>
      <c r="E413" s="21" t="s">
        <v>5796</v>
      </c>
      <c r="F413" s="23"/>
      <c r="G413" s="23">
        <f t="shared" si="1"/>
        <v>591.24</v>
      </c>
      <c r="H413" s="23"/>
      <c r="I413" s="23"/>
    </row>
    <row r="414" spans="1:9">
      <c r="A414" s="21" t="s">
        <v>6062</v>
      </c>
      <c r="B414" s="21" t="s">
        <v>4414</v>
      </c>
      <c r="C414" s="22">
        <v>1685</v>
      </c>
      <c r="D414" s="21">
        <v>245.3</v>
      </c>
      <c r="E414" s="21" t="s">
        <v>5796</v>
      </c>
      <c r="F414" s="23"/>
      <c r="G414" s="23">
        <f t="shared" si="1"/>
        <v>245.3</v>
      </c>
      <c r="H414" s="23"/>
      <c r="I414" s="23"/>
    </row>
    <row r="415" spans="1:9">
      <c r="A415" s="24" t="s">
        <v>729</v>
      </c>
      <c r="B415" s="24" t="s">
        <v>731</v>
      </c>
      <c r="C415" s="25">
        <v>222</v>
      </c>
      <c r="D415" s="24">
        <v>19858.939999999999</v>
      </c>
      <c r="E415" s="24" t="s">
        <v>5800</v>
      </c>
      <c r="F415" s="26"/>
      <c r="G415" s="23">
        <f t="shared" si="1"/>
        <v>19858.939999999999</v>
      </c>
      <c r="H415" s="26"/>
      <c r="I415" s="26"/>
    </row>
    <row r="416" spans="1:9">
      <c r="A416" s="21" t="s">
        <v>5147</v>
      </c>
      <c r="B416" s="21" t="s">
        <v>5149</v>
      </c>
      <c r="C416" s="22">
        <v>2259</v>
      </c>
      <c r="D416" s="21">
        <v>93.35</v>
      </c>
      <c r="E416" s="21" t="s">
        <v>5796</v>
      </c>
      <c r="F416" s="23"/>
      <c r="G416" s="23">
        <f t="shared" si="1"/>
        <v>93.35</v>
      </c>
      <c r="H416" s="23"/>
      <c r="I416" s="23"/>
    </row>
    <row r="417" spans="1:9">
      <c r="A417" s="21" t="s">
        <v>6063</v>
      </c>
      <c r="B417" s="21" t="s">
        <v>2809</v>
      </c>
      <c r="C417" s="22">
        <v>881</v>
      </c>
      <c r="D417" s="21">
        <v>1579.14</v>
      </c>
      <c r="E417" s="21" t="s">
        <v>5796</v>
      </c>
      <c r="F417" s="23"/>
      <c r="G417" s="23">
        <f t="shared" si="1"/>
        <v>1579.14</v>
      </c>
      <c r="H417" s="23"/>
      <c r="I417" s="23"/>
    </row>
    <row r="418" spans="1:9">
      <c r="A418" s="21" t="s">
        <v>3731</v>
      </c>
      <c r="B418" s="21" t="s">
        <v>3733</v>
      </c>
      <c r="C418" s="22">
        <v>1385</v>
      </c>
      <c r="D418" s="21">
        <v>426.42</v>
      </c>
      <c r="E418" s="21" t="s">
        <v>5796</v>
      </c>
      <c r="F418" s="23"/>
      <c r="G418" s="23">
        <f t="shared" si="1"/>
        <v>426.42</v>
      </c>
      <c r="H418" s="23"/>
      <c r="I418" s="23"/>
    </row>
    <row r="419" spans="1:9">
      <c r="A419" s="21" t="s">
        <v>2489</v>
      </c>
      <c r="B419" s="21" t="s">
        <v>2491</v>
      </c>
      <c r="C419" s="22">
        <v>771</v>
      </c>
      <c r="D419" s="21">
        <v>2080.3200000000002</v>
      </c>
      <c r="E419" s="21" t="s">
        <v>5796</v>
      </c>
      <c r="F419" s="23"/>
      <c r="G419" s="23">
        <f t="shared" si="1"/>
        <v>2080.3200000000002</v>
      </c>
      <c r="H419" s="23"/>
      <c r="I419" s="23"/>
    </row>
    <row r="420" spans="1:9">
      <c r="A420" s="21" t="s">
        <v>6064</v>
      </c>
      <c r="B420" s="21" t="s">
        <v>2048</v>
      </c>
      <c r="C420" s="22">
        <v>637</v>
      </c>
      <c r="D420" s="21">
        <v>3194.5</v>
      </c>
      <c r="E420" s="21" t="s">
        <v>5796</v>
      </c>
      <c r="F420" s="23"/>
      <c r="G420" s="23">
        <f t="shared" si="1"/>
        <v>3194.5</v>
      </c>
      <c r="H420" s="23"/>
      <c r="I420" s="23"/>
    </row>
    <row r="421" spans="1:9">
      <c r="A421" s="21" t="s">
        <v>3626</v>
      </c>
      <c r="B421" s="21" t="s">
        <v>3628</v>
      </c>
      <c r="C421" s="22">
        <v>1260</v>
      </c>
      <c r="D421" s="21">
        <v>581.82000000000005</v>
      </c>
      <c r="E421" s="21" t="s">
        <v>5796</v>
      </c>
      <c r="F421" s="23"/>
      <c r="G421" s="23">
        <f t="shared" si="1"/>
        <v>581.82000000000005</v>
      </c>
      <c r="H421" s="23"/>
      <c r="I421" s="23"/>
    </row>
    <row r="422" spans="1:9">
      <c r="A422" s="21" t="s">
        <v>6065</v>
      </c>
      <c r="B422" s="21" t="s">
        <v>6066</v>
      </c>
      <c r="C422" s="22">
        <v>2976</v>
      </c>
      <c r="D422" s="21">
        <v>31.36</v>
      </c>
      <c r="E422" s="21" t="s">
        <v>5796</v>
      </c>
      <c r="F422" s="23"/>
      <c r="G422" s="23">
        <f t="shared" si="1"/>
        <v>31.36</v>
      </c>
      <c r="H422" s="23"/>
      <c r="I422" s="23"/>
    </row>
    <row r="423" spans="1:9">
      <c r="A423" s="21" t="s">
        <v>5278</v>
      </c>
      <c r="B423" s="21" t="s">
        <v>5280</v>
      </c>
      <c r="C423" s="22">
        <v>2339</v>
      </c>
      <c r="D423" s="21">
        <v>80.39</v>
      </c>
      <c r="E423" s="21" t="s">
        <v>5796</v>
      </c>
      <c r="F423" s="23"/>
      <c r="G423" s="23">
        <f t="shared" si="1"/>
        <v>80.39</v>
      </c>
      <c r="H423" s="23"/>
      <c r="I423" s="23"/>
    </row>
    <row r="424" spans="1:9">
      <c r="A424" s="21" t="s">
        <v>6067</v>
      </c>
      <c r="B424" s="21" t="s">
        <v>3925</v>
      </c>
      <c r="C424" s="22">
        <v>1417</v>
      </c>
      <c r="D424" s="21">
        <v>398.89</v>
      </c>
      <c r="E424" s="21" t="s">
        <v>5796</v>
      </c>
      <c r="F424" s="23"/>
      <c r="G424" s="23">
        <f t="shared" si="1"/>
        <v>398.89</v>
      </c>
      <c r="H424" s="23"/>
      <c r="I424" s="23"/>
    </row>
    <row r="425" spans="1:9">
      <c r="A425" s="21" t="s">
        <v>2630</v>
      </c>
      <c r="B425" s="21" t="s">
        <v>2632</v>
      </c>
      <c r="C425" s="22">
        <v>818</v>
      </c>
      <c r="D425" s="21">
        <v>1845.2</v>
      </c>
      <c r="E425" s="21" t="s">
        <v>5796</v>
      </c>
      <c r="F425" s="23"/>
      <c r="G425" s="23">
        <f t="shared" si="1"/>
        <v>1845.2</v>
      </c>
      <c r="H425" s="23"/>
      <c r="I425" s="23"/>
    </row>
    <row r="426" spans="1:9">
      <c r="A426" s="21" t="s">
        <v>6068</v>
      </c>
      <c r="B426" s="21" t="s">
        <v>4138</v>
      </c>
      <c r="C426" s="22">
        <v>1472</v>
      </c>
      <c r="D426" s="21">
        <v>364.29</v>
      </c>
      <c r="E426" s="21" t="s">
        <v>5796</v>
      </c>
      <c r="F426" s="23"/>
      <c r="G426" s="23">
        <f t="shared" si="1"/>
        <v>364.29</v>
      </c>
      <c r="H426" s="23"/>
      <c r="I426" s="23"/>
    </row>
    <row r="427" spans="1:9">
      <c r="A427" s="21" t="s">
        <v>6069</v>
      </c>
      <c r="B427" s="21" t="s">
        <v>3694</v>
      </c>
      <c r="C427" s="22">
        <v>1323</v>
      </c>
      <c r="D427" s="21">
        <v>487.52</v>
      </c>
      <c r="E427" s="21" t="s">
        <v>5796</v>
      </c>
      <c r="F427" s="23"/>
      <c r="G427" s="23">
        <f t="shared" si="1"/>
        <v>487.52</v>
      </c>
      <c r="H427" s="23"/>
      <c r="I427" s="23"/>
    </row>
    <row r="428" spans="1:9">
      <c r="A428" s="21" t="s">
        <v>6070</v>
      </c>
      <c r="B428" s="21" t="s">
        <v>5238</v>
      </c>
      <c r="C428" s="22">
        <v>2190</v>
      </c>
      <c r="D428" s="21">
        <v>105.37</v>
      </c>
      <c r="E428" s="21" t="s">
        <v>5796</v>
      </c>
      <c r="F428" s="23"/>
      <c r="G428" s="23">
        <f t="shared" si="1"/>
        <v>105.37</v>
      </c>
      <c r="H428" s="23"/>
      <c r="I428" s="23"/>
    </row>
    <row r="429" spans="1:9">
      <c r="A429" s="21" t="s">
        <v>6071</v>
      </c>
      <c r="B429" s="21" t="s">
        <v>5089</v>
      </c>
      <c r="C429" s="22">
        <v>2029</v>
      </c>
      <c r="D429" s="21">
        <v>135.33000000000001</v>
      </c>
      <c r="E429" s="21" t="s">
        <v>5796</v>
      </c>
      <c r="F429" s="23"/>
      <c r="G429" s="23">
        <f t="shared" si="1"/>
        <v>135.33000000000001</v>
      </c>
      <c r="H429" s="23"/>
      <c r="I429" s="23"/>
    </row>
    <row r="430" spans="1:9">
      <c r="A430" s="21" t="s">
        <v>2168</v>
      </c>
      <c r="B430" s="21" t="s">
        <v>2170</v>
      </c>
      <c r="C430" s="22">
        <v>676</v>
      </c>
      <c r="D430" s="21">
        <v>2782.07</v>
      </c>
      <c r="E430" s="21" t="s">
        <v>5796</v>
      </c>
      <c r="F430" s="23"/>
      <c r="G430" s="23">
        <f t="shared" si="1"/>
        <v>2782.07</v>
      </c>
      <c r="H430" s="23"/>
      <c r="I430" s="23"/>
    </row>
    <row r="431" spans="1:9">
      <c r="A431" s="21" t="s">
        <v>6072</v>
      </c>
      <c r="B431" s="21" t="s">
        <v>2290</v>
      </c>
      <c r="C431" s="22">
        <v>741</v>
      </c>
      <c r="D431" s="21">
        <v>2270.12</v>
      </c>
      <c r="E431" s="21" t="s">
        <v>5796</v>
      </c>
      <c r="F431" s="23"/>
      <c r="G431" s="23">
        <f t="shared" si="1"/>
        <v>2270.12</v>
      </c>
      <c r="H431" s="23"/>
      <c r="I431" s="23"/>
    </row>
    <row r="432" spans="1:9">
      <c r="A432" s="27" t="s">
        <v>6073</v>
      </c>
      <c r="B432" s="27" t="s">
        <v>188</v>
      </c>
      <c r="C432" s="28">
        <v>62</v>
      </c>
      <c r="D432" s="27">
        <v>84517.97</v>
      </c>
      <c r="E432" s="27" t="s">
        <v>5815</v>
      </c>
      <c r="F432" s="29"/>
      <c r="G432" s="23">
        <f t="shared" si="1"/>
        <v>84517.97</v>
      </c>
      <c r="H432" s="29"/>
      <c r="I432" s="29"/>
    </row>
    <row r="433" spans="1:9">
      <c r="A433" s="24" t="s">
        <v>612</v>
      </c>
      <c r="B433" s="24" t="s">
        <v>614</v>
      </c>
      <c r="C433" s="25">
        <v>229</v>
      </c>
      <c r="D433" s="24">
        <v>19447</v>
      </c>
      <c r="E433" s="24" t="s">
        <v>5800</v>
      </c>
      <c r="F433" s="26"/>
      <c r="G433" s="23">
        <f t="shared" si="1"/>
        <v>19447</v>
      </c>
      <c r="H433" s="26"/>
      <c r="I433" s="26"/>
    </row>
    <row r="434" spans="1:9">
      <c r="A434" s="21" t="s">
        <v>4856</v>
      </c>
      <c r="B434" s="21" t="s">
        <v>4858</v>
      </c>
      <c r="C434" s="22">
        <v>1917</v>
      </c>
      <c r="D434" s="21">
        <v>162.32</v>
      </c>
      <c r="E434" s="21" t="s">
        <v>5796</v>
      </c>
      <c r="F434" s="23"/>
      <c r="G434" s="23">
        <f t="shared" si="1"/>
        <v>162.32</v>
      </c>
      <c r="H434" s="23"/>
      <c r="I434" s="23"/>
    </row>
    <row r="435" spans="1:9">
      <c r="A435" s="27" t="s">
        <v>6074</v>
      </c>
      <c r="B435" s="27" t="s">
        <v>140</v>
      </c>
      <c r="C435" s="28">
        <v>51</v>
      </c>
      <c r="D435" s="27">
        <v>100573.3</v>
      </c>
      <c r="E435" s="27" t="s">
        <v>5815</v>
      </c>
      <c r="F435" s="29"/>
      <c r="G435" s="23">
        <f t="shared" si="1"/>
        <v>100573.3</v>
      </c>
      <c r="H435" s="29"/>
      <c r="I435" s="29"/>
    </row>
    <row r="436" spans="1:9">
      <c r="A436" s="21" t="s">
        <v>6075</v>
      </c>
      <c r="B436" s="21" t="s">
        <v>3271</v>
      </c>
      <c r="C436" s="22">
        <v>1121</v>
      </c>
      <c r="D436" s="21">
        <v>840.13</v>
      </c>
      <c r="E436" s="21" t="s">
        <v>5796</v>
      </c>
      <c r="F436" s="23"/>
      <c r="G436" s="23">
        <f t="shared" si="1"/>
        <v>840.13</v>
      </c>
      <c r="H436" s="23"/>
      <c r="I436" s="23"/>
    </row>
    <row r="437" spans="1:9">
      <c r="A437" s="27" t="s">
        <v>73</v>
      </c>
      <c r="B437" s="27" t="s">
        <v>75</v>
      </c>
      <c r="C437" s="28">
        <v>21</v>
      </c>
      <c r="D437" s="27">
        <v>231087.57</v>
      </c>
      <c r="E437" s="27" t="s">
        <v>5815</v>
      </c>
      <c r="F437" s="29"/>
      <c r="G437" s="23">
        <f t="shared" si="1"/>
        <v>231087.57</v>
      </c>
      <c r="H437" s="29"/>
      <c r="I437" s="29"/>
    </row>
    <row r="438" spans="1:9">
      <c r="A438" s="21" t="s">
        <v>3614</v>
      </c>
      <c r="B438" s="21" t="s">
        <v>3616</v>
      </c>
      <c r="C438" s="22">
        <v>1214</v>
      </c>
      <c r="D438" s="21">
        <v>674.78</v>
      </c>
      <c r="E438" s="21" t="s">
        <v>5796</v>
      </c>
      <c r="F438" s="23"/>
      <c r="G438" s="23">
        <f t="shared" si="1"/>
        <v>674.78</v>
      </c>
      <c r="H438" s="23"/>
      <c r="I438" s="23"/>
    </row>
    <row r="439" spans="1:9">
      <c r="A439" s="21" t="s">
        <v>5488</v>
      </c>
      <c r="B439" s="21" t="s">
        <v>5490</v>
      </c>
      <c r="C439" s="22">
        <v>2930</v>
      </c>
      <c r="D439" s="21">
        <v>33.56</v>
      </c>
      <c r="E439" s="21" t="s">
        <v>5796</v>
      </c>
      <c r="F439" s="23"/>
      <c r="G439" s="23">
        <f t="shared" si="1"/>
        <v>33.56</v>
      </c>
      <c r="H439" s="23"/>
      <c r="I439" s="23"/>
    </row>
    <row r="440" spans="1:9">
      <c r="A440" s="21" t="s">
        <v>1932</v>
      </c>
      <c r="B440" s="21" t="s">
        <v>1934</v>
      </c>
      <c r="C440" s="22">
        <v>656</v>
      </c>
      <c r="D440" s="21">
        <v>2977.92</v>
      </c>
      <c r="E440" s="21" t="s">
        <v>5796</v>
      </c>
      <c r="F440" s="23"/>
      <c r="G440" s="23">
        <f t="shared" si="1"/>
        <v>2977.92</v>
      </c>
      <c r="H440" s="23"/>
      <c r="I440" s="23"/>
    </row>
    <row r="441" spans="1:9">
      <c r="A441" s="21" t="s">
        <v>2513</v>
      </c>
      <c r="B441" s="21" t="s">
        <v>2515</v>
      </c>
      <c r="C441" s="22">
        <v>767</v>
      </c>
      <c r="D441" s="21">
        <v>2089.3200000000002</v>
      </c>
      <c r="E441" s="21" t="s">
        <v>5796</v>
      </c>
      <c r="F441" s="23"/>
      <c r="G441" s="23">
        <f t="shared" si="1"/>
        <v>2089.3200000000002</v>
      </c>
      <c r="H441" s="23"/>
      <c r="I441" s="23"/>
    </row>
    <row r="442" spans="1:9">
      <c r="A442" s="21" t="s">
        <v>6076</v>
      </c>
      <c r="B442" s="21" t="s">
        <v>3946</v>
      </c>
      <c r="C442" s="22">
        <v>1327</v>
      </c>
      <c r="D442" s="21">
        <v>486.42</v>
      </c>
      <c r="E442" s="21" t="s">
        <v>5796</v>
      </c>
      <c r="F442" s="23"/>
      <c r="G442" s="23">
        <f t="shared" si="1"/>
        <v>486.42</v>
      </c>
      <c r="H442" s="23"/>
      <c r="I442" s="23"/>
    </row>
    <row r="443" spans="1:9">
      <c r="A443" s="21" t="s">
        <v>6077</v>
      </c>
      <c r="B443" s="21" t="s">
        <v>3277</v>
      </c>
      <c r="C443" s="22">
        <v>1215</v>
      </c>
      <c r="D443" s="21">
        <v>671.24</v>
      </c>
      <c r="E443" s="21" t="s">
        <v>5796</v>
      </c>
      <c r="F443" s="23"/>
      <c r="G443" s="23">
        <f t="shared" si="1"/>
        <v>671.24</v>
      </c>
      <c r="H443" s="23"/>
      <c r="I443" s="23"/>
    </row>
    <row r="444" spans="1:9">
      <c r="A444" s="21" t="s">
        <v>6078</v>
      </c>
      <c r="B444" s="21" t="s">
        <v>2929</v>
      </c>
      <c r="C444" s="22">
        <v>1014</v>
      </c>
      <c r="D444" s="21">
        <v>1110.8900000000001</v>
      </c>
      <c r="E444" s="21" t="s">
        <v>5796</v>
      </c>
      <c r="F444" s="23"/>
      <c r="G444" s="23">
        <f t="shared" si="1"/>
        <v>1110.8900000000001</v>
      </c>
      <c r="H444" s="23"/>
      <c r="I444" s="23"/>
    </row>
    <row r="445" spans="1:9">
      <c r="A445" s="21" t="s">
        <v>6079</v>
      </c>
      <c r="B445" s="21" t="s">
        <v>3481</v>
      </c>
      <c r="C445" s="22">
        <v>1283</v>
      </c>
      <c r="D445" s="21">
        <v>550.80999999999995</v>
      </c>
      <c r="E445" s="21" t="s">
        <v>5796</v>
      </c>
      <c r="F445" s="23"/>
      <c r="G445" s="23">
        <f t="shared" si="1"/>
        <v>550.80999999999995</v>
      </c>
      <c r="H445" s="23"/>
      <c r="I445" s="23"/>
    </row>
    <row r="446" spans="1:9">
      <c r="A446" s="21" t="s">
        <v>4760</v>
      </c>
      <c r="B446" s="21" t="s">
        <v>4762</v>
      </c>
      <c r="C446" s="22">
        <v>1882</v>
      </c>
      <c r="D446" s="21">
        <v>169.87</v>
      </c>
      <c r="E446" s="21" t="s">
        <v>5796</v>
      </c>
      <c r="F446" s="23"/>
      <c r="G446" s="23">
        <f t="shared" si="1"/>
        <v>169.87</v>
      </c>
      <c r="H446" s="23"/>
      <c r="I446" s="23"/>
    </row>
    <row r="447" spans="1:9">
      <c r="A447" s="21" t="s">
        <v>6080</v>
      </c>
      <c r="B447" s="21" t="s">
        <v>2302</v>
      </c>
      <c r="C447" s="22">
        <v>721</v>
      </c>
      <c r="D447" s="21">
        <v>2395.83</v>
      </c>
      <c r="E447" s="21" t="s">
        <v>5796</v>
      </c>
      <c r="F447" s="23"/>
      <c r="G447" s="23">
        <f t="shared" si="1"/>
        <v>2395.83</v>
      </c>
      <c r="H447" s="23"/>
      <c r="I447" s="23"/>
    </row>
    <row r="448" spans="1:9">
      <c r="A448" s="21" t="s">
        <v>6081</v>
      </c>
      <c r="B448" s="21" t="s">
        <v>3121</v>
      </c>
      <c r="C448" s="22">
        <v>1082</v>
      </c>
      <c r="D448" s="21">
        <v>931.5</v>
      </c>
      <c r="E448" s="21" t="s">
        <v>5796</v>
      </c>
      <c r="F448" s="23"/>
      <c r="G448" s="23">
        <f t="shared" si="1"/>
        <v>931.5</v>
      </c>
      <c r="H448" s="23"/>
      <c r="I448" s="23"/>
    </row>
    <row r="449" spans="1:9">
      <c r="A449" s="27" t="s">
        <v>6082</v>
      </c>
      <c r="B449" s="27" t="s">
        <v>203</v>
      </c>
      <c r="C449" s="28">
        <v>67</v>
      </c>
      <c r="D449" s="27">
        <v>76108.83</v>
      </c>
      <c r="E449" s="27" t="s">
        <v>5815</v>
      </c>
      <c r="F449" s="29"/>
      <c r="G449" s="23">
        <f t="shared" si="1"/>
        <v>76108.83</v>
      </c>
      <c r="H449" s="29"/>
      <c r="I449" s="29"/>
    </row>
    <row r="450" spans="1:9">
      <c r="A450" s="21" t="s">
        <v>6083</v>
      </c>
      <c r="B450" s="21" t="s">
        <v>3568</v>
      </c>
      <c r="C450" s="22">
        <v>1306</v>
      </c>
      <c r="D450" s="21">
        <v>515.05999999999995</v>
      </c>
      <c r="E450" s="21" t="s">
        <v>5796</v>
      </c>
      <c r="F450" s="23"/>
      <c r="G450" s="23">
        <f t="shared" si="1"/>
        <v>515.05999999999995</v>
      </c>
      <c r="H450" s="23"/>
      <c r="I450" s="23"/>
    </row>
    <row r="451" spans="1:9">
      <c r="A451" s="21" t="s">
        <v>6084</v>
      </c>
      <c r="B451" s="21" t="s">
        <v>4594</v>
      </c>
      <c r="C451" s="22">
        <v>1739</v>
      </c>
      <c r="D451" s="21">
        <v>219.1</v>
      </c>
      <c r="E451" s="21" t="s">
        <v>5796</v>
      </c>
      <c r="F451" s="23"/>
      <c r="G451" s="23">
        <f t="shared" si="1"/>
        <v>219.1</v>
      </c>
      <c r="H451" s="23"/>
      <c r="I451" s="23"/>
    </row>
    <row r="452" spans="1:9">
      <c r="A452" s="21" t="s">
        <v>4694</v>
      </c>
      <c r="B452" s="21" t="s">
        <v>4696</v>
      </c>
      <c r="C452" s="22">
        <v>1757</v>
      </c>
      <c r="D452" s="21">
        <v>210.99</v>
      </c>
      <c r="E452" s="21" t="s">
        <v>5796</v>
      </c>
      <c r="F452" s="23"/>
      <c r="G452" s="23">
        <f t="shared" si="1"/>
        <v>210.99</v>
      </c>
      <c r="H452" s="23"/>
      <c r="I452" s="23"/>
    </row>
    <row r="453" spans="1:9">
      <c r="A453" s="21" t="s">
        <v>3383</v>
      </c>
      <c r="B453" s="21" t="s">
        <v>3385</v>
      </c>
      <c r="C453" s="22">
        <v>1128</v>
      </c>
      <c r="D453" s="21">
        <v>829.83</v>
      </c>
      <c r="E453" s="21" t="s">
        <v>5796</v>
      </c>
      <c r="F453" s="23"/>
      <c r="G453" s="23">
        <f t="shared" si="1"/>
        <v>829.83</v>
      </c>
      <c r="H453" s="23"/>
      <c r="I453" s="23"/>
    </row>
    <row r="454" spans="1:9">
      <c r="A454" s="21" t="s">
        <v>6085</v>
      </c>
      <c r="B454" s="21" t="s">
        <v>2845</v>
      </c>
      <c r="C454" s="22">
        <v>852</v>
      </c>
      <c r="D454" s="21">
        <v>1723.5</v>
      </c>
      <c r="E454" s="21" t="s">
        <v>5796</v>
      </c>
      <c r="F454" s="23"/>
      <c r="G454" s="23">
        <f t="shared" si="1"/>
        <v>1723.5</v>
      </c>
      <c r="H454" s="23"/>
      <c r="I454" s="23"/>
    </row>
    <row r="455" spans="1:9">
      <c r="A455" s="21" t="s">
        <v>3419</v>
      </c>
      <c r="B455" s="21" t="s">
        <v>3421</v>
      </c>
      <c r="C455" s="22">
        <v>1357</v>
      </c>
      <c r="D455" s="21">
        <v>449.25</v>
      </c>
      <c r="E455" s="21" t="s">
        <v>5796</v>
      </c>
      <c r="F455" s="23"/>
      <c r="G455" s="23">
        <f t="shared" si="1"/>
        <v>449.25</v>
      </c>
      <c r="H455" s="23"/>
      <c r="I455" s="23"/>
    </row>
    <row r="456" spans="1:9">
      <c r="A456" s="21" t="s">
        <v>6086</v>
      </c>
      <c r="B456" s="21" t="s">
        <v>2344</v>
      </c>
      <c r="C456" s="22">
        <v>807</v>
      </c>
      <c r="D456" s="21">
        <v>1907.89</v>
      </c>
      <c r="E456" s="21" t="s">
        <v>5796</v>
      </c>
      <c r="F456" s="23"/>
      <c r="G456" s="23">
        <f t="shared" si="1"/>
        <v>1907.89</v>
      </c>
      <c r="H456" s="23"/>
      <c r="I456" s="23"/>
    </row>
    <row r="457" spans="1:9">
      <c r="A457" s="21" t="s">
        <v>6087</v>
      </c>
      <c r="B457" s="21" t="s">
        <v>4231</v>
      </c>
      <c r="C457" s="22">
        <v>1505</v>
      </c>
      <c r="D457" s="21">
        <v>341.82</v>
      </c>
      <c r="E457" s="21" t="s">
        <v>5796</v>
      </c>
      <c r="F457" s="23"/>
      <c r="G457" s="23">
        <f t="shared" si="1"/>
        <v>341.82</v>
      </c>
      <c r="H457" s="23"/>
      <c r="I457" s="23"/>
    </row>
    <row r="458" spans="1:9">
      <c r="A458" s="21" t="s">
        <v>6088</v>
      </c>
      <c r="B458" s="21" t="s">
        <v>3805</v>
      </c>
      <c r="C458" s="22">
        <v>1686</v>
      </c>
      <c r="D458" s="21">
        <v>245.14</v>
      </c>
      <c r="E458" s="21" t="s">
        <v>5796</v>
      </c>
      <c r="F458" s="23"/>
      <c r="G458" s="23">
        <f t="shared" si="1"/>
        <v>245.14</v>
      </c>
      <c r="H458" s="23"/>
      <c r="I458" s="23"/>
    </row>
    <row r="459" spans="1:9">
      <c r="A459" s="21" t="s">
        <v>1542</v>
      </c>
      <c r="B459" s="21" t="s">
        <v>1544</v>
      </c>
      <c r="C459" s="22">
        <v>385</v>
      </c>
      <c r="D459" s="21">
        <v>8240.2000000000007</v>
      </c>
      <c r="E459" s="21" t="s">
        <v>5796</v>
      </c>
      <c r="F459" s="23"/>
      <c r="G459" s="23">
        <f t="shared" si="1"/>
        <v>8240.2000000000007</v>
      </c>
      <c r="H459" s="23"/>
      <c r="I459" s="23"/>
    </row>
    <row r="460" spans="1:9">
      <c r="A460" s="21" t="s">
        <v>5704</v>
      </c>
      <c r="B460" s="21" t="s">
        <v>5706</v>
      </c>
      <c r="C460" s="22">
        <v>3245</v>
      </c>
      <c r="D460" s="21">
        <v>21.05</v>
      </c>
      <c r="E460" s="21" t="s">
        <v>5796</v>
      </c>
      <c r="F460" s="23"/>
      <c r="G460" s="23">
        <f t="shared" si="1"/>
        <v>21.05</v>
      </c>
      <c r="H460" s="23"/>
      <c r="I460" s="23"/>
    </row>
    <row r="461" spans="1:9">
      <c r="A461" s="21" t="s">
        <v>1245</v>
      </c>
      <c r="B461" s="21" t="s">
        <v>1247</v>
      </c>
      <c r="C461" s="22">
        <v>411</v>
      </c>
      <c r="D461" s="21">
        <v>7193.71</v>
      </c>
      <c r="E461" s="21" t="s">
        <v>5796</v>
      </c>
      <c r="F461" s="23"/>
      <c r="G461" s="23">
        <f t="shared" si="1"/>
        <v>7193.71</v>
      </c>
      <c r="H461" s="23"/>
      <c r="I461" s="23"/>
    </row>
    <row r="462" spans="1:9">
      <c r="A462" s="21" t="s">
        <v>6089</v>
      </c>
      <c r="B462" s="21" t="s">
        <v>1736</v>
      </c>
      <c r="C462" s="22">
        <v>534</v>
      </c>
      <c r="D462" s="21">
        <v>4547.58</v>
      </c>
      <c r="E462" s="21" t="s">
        <v>5796</v>
      </c>
      <c r="F462" s="23"/>
      <c r="G462" s="23">
        <f t="shared" si="1"/>
        <v>4547.58</v>
      </c>
      <c r="H462" s="23"/>
      <c r="I462" s="23"/>
    </row>
    <row r="463" spans="1:9">
      <c r="A463" s="21" t="s">
        <v>6090</v>
      </c>
      <c r="B463" s="21" t="s">
        <v>5595</v>
      </c>
      <c r="C463" s="22">
        <v>3193</v>
      </c>
      <c r="D463" s="21">
        <v>22.98</v>
      </c>
      <c r="E463" s="21" t="s">
        <v>5796</v>
      </c>
      <c r="F463" s="23"/>
      <c r="G463" s="23">
        <f t="shared" si="1"/>
        <v>22.98</v>
      </c>
      <c r="H463" s="23"/>
      <c r="I463" s="23"/>
    </row>
    <row r="464" spans="1:9">
      <c r="A464" s="27" t="s">
        <v>6091</v>
      </c>
      <c r="B464" s="27" t="s">
        <v>191</v>
      </c>
      <c r="C464" s="28">
        <v>59</v>
      </c>
      <c r="D464" s="27">
        <v>90216</v>
      </c>
      <c r="E464" s="27" t="s">
        <v>5815</v>
      </c>
      <c r="F464" s="29"/>
      <c r="G464" s="23">
        <f t="shared" si="1"/>
        <v>90216</v>
      </c>
      <c r="H464" s="29"/>
      <c r="I464" s="29"/>
    </row>
    <row r="465" spans="1:9">
      <c r="A465" s="21" t="s">
        <v>6092</v>
      </c>
      <c r="B465" s="21" t="s">
        <v>1331</v>
      </c>
      <c r="C465" s="22">
        <v>366</v>
      </c>
      <c r="D465" s="21">
        <v>8992.2999999999993</v>
      </c>
      <c r="E465" s="21" t="s">
        <v>5796</v>
      </c>
      <c r="F465" s="23"/>
      <c r="G465" s="23">
        <f t="shared" si="1"/>
        <v>8992.2999999999993</v>
      </c>
      <c r="H465" s="23"/>
      <c r="I465" s="23"/>
    </row>
    <row r="466" spans="1:9">
      <c r="A466" s="21" t="s">
        <v>6093</v>
      </c>
      <c r="B466" s="21" t="s">
        <v>4258</v>
      </c>
      <c r="C466" s="22">
        <v>1457</v>
      </c>
      <c r="D466" s="21">
        <v>376.19</v>
      </c>
      <c r="E466" s="21" t="s">
        <v>5796</v>
      </c>
      <c r="F466" s="23"/>
      <c r="G466" s="23">
        <f t="shared" si="1"/>
        <v>376.19</v>
      </c>
      <c r="H466" s="23"/>
      <c r="I466" s="23"/>
    </row>
    <row r="467" spans="1:9">
      <c r="A467" s="21" t="s">
        <v>6094</v>
      </c>
      <c r="B467" s="21" t="s">
        <v>3022</v>
      </c>
      <c r="C467" s="22">
        <v>938</v>
      </c>
      <c r="D467" s="21">
        <v>1349.77</v>
      </c>
      <c r="E467" s="21" t="s">
        <v>5796</v>
      </c>
      <c r="F467" s="23"/>
      <c r="G467" s="23">
        <f t="shared" si="1"/>
        <v>1349.77</v>
      </c>
      <c r="H467" s="23"/>
      <c r="I467" s="23"/>
    </row>
    <row r="468" spans="1:9">
      <c r="A468" s="21" t="s">
        <v>6095</v>
      </c>
      <c r="B468" s="21" t="s">
        <v>980</v>
      </c>
      <c r="C468" s="22">
        <v>319</v>
      </c>
      <c r="D468" s="21">
        <v>11261.63</v>
      </c>
      <c r="E468" s="21" t="s">
        <v>5796</v>
      </c>
      <c r="F468" s="23"/>
      <c r="G468" s="23">
        <f t="shared" si="1"/>
        <v>11261.63</v>
      </c>
      <c r="H468" s="23"/>
      <c r="I468" s="23"/>
    </row>
    <row r="469" spans="1:9">
      <c r="A469" s="21" t="s">
        <v>6096</v>
      </c>
      <c r="B469" s="21" t="s">
        <v>3751</v>
      </c>
      <c r="C469" s="22">
        <v>1636</v>
      </c>
      <c r="D469" s="21">
        <v>268.95</v>
      </c>
      <c r="E469" s="21" t="s">
        <v>5796</v>
      </c>
      <c r="F469" s="23"/>
      <c r="G469" s="23">
        <f t="shared" si="1"/>
        <v>268.95</v>
      </c>
      <c r="H469" s="23"/>
      <c r="I469" s="23"/>
    </row>
    <row r="470" spans="1:9">
      <c r="A470" s="21" t="s">
        <v>6097</v>
      </c>
      <c r="B470" s="21" t="s">
        <v>3067</v>
      </c>
      <c r="C470" s="22">
        <v>1031</v>
      </c>
      <c r="D470" s="21">
        <v>1069.3399999999999</v>
      </c>
      <c r="E470" s="21" t="s">
        <v>5796</v>
      </c>
      <c r="F470" s="23"/>
      <c r="G470" s="23">
        <f t="shared" si="1"/>
        <v>1069.3399999999999</v>
      </c>
      <c r="H470" s="23"/>
      <c r="I470" s="23"/>
    </row>
    <row r="471" spans="1:9">
      <c r="A471" s="21" t="s">
        <v>6098</v>
      </c>
      <c r="B471" s="21" t="s">
        <v>3673</v>
      </c>
      <c r="C471" s="22">
        <v>1259</v>
      </c>
      <c r="D471" s="21">
        <v>588.91</v>
      </c>
      <c r="E471" s="21" t="s">
        <v>5796</v>
      </c>
      <c r="F471" s="23"/>
      <c r="G471" s="23">
        <f t="shared" si="1"/>
        <v>588.91</v>
      </c>
      <c r="H471" s="23"/>
      <c r="I471" s="23"/>
    </row>
    <row r="472" spans="1:9">
      <c r="A472" s="21" t="s">
        <v>6099</v>
      </c>
      <c r="B472" s="21" t="s">
        <v>1295</v>
      </c>
      <c r="C472" s="22">
        <v>516</v>
      </c>
      <c r="D472" s="21">
        <v>4982.04</v>
      </c>
      <c r="E472" s="21" t="s">
        <v>5796</v>
      </c>
      <c r="F472" s="23"/>
      <c r="G472" s="23">
        <f t="shared" si="1"/>
        <v>4982.04</v>
      </c>
      <c r="H472" s="23"/>
      <c r="I472" s="23"/>
    </row>
    <row r="473" spans="1:9">
      <c r="A473" s="21" t="s">
        <v>6100</v>
      </c>
      <c r="B473" s="21" t="s">
        <v>1856</v>
      </c>
      <c r="C473" s="22">
        <v>723</v>
      </c>
      <c r="D473" s="21">
        <v>2389.8200000000002</v>
      </c>
      <c r="E473" s="21" t="s">
        <v>5796</v>
      </c>
      <c r="F473" s="23"/>
      <c r="G473" s="23">
        <f t="shared" si="1"/>
        <v>2389.8200000000002</v>
      </c>
      <c r="H473" s="23"/>
      <c r="I473" s="23"/>
    </row>
    <row r="474" spans="1:9">
      <c r="A474" s="21" t="s">
        <v>6101</v>
      </c>
      <c r="B474" s="21" t="s">
        <v>4777</v>
      </c>
      <c r="C474" s="22">
        <v>2300</v>
      </c>
      <c r="D474" s="21">
        <v>87.65</v>
      </c>
      <c r="E474" s="21" t="s">
        <v>5796</v>
      </c>
      <c r="F474" s="23"/>
      <c r="G474" s="23">
        <f t="shared" si="1"/>
        <v>87.65</v>
      </c>
      <c r="H474" s="23"/>
      <c r="I474" s="23"/>
    </row>
    <row r="475" spans="1:9">
      <c r="A475" s="21" t="s">
        <v>6102</v>
      </c>
      <c r="B475" s="21" t="s">
        <v>908</v>
      </c>
      <c r="C475" s="22">
        <v>275</v>
      </c>
      <c r="D475" s="21">
        <v>14780.42</v>
      </c>
      <c r="E475" s="21" t="s">
        <v>5796</v>
      </c>
      <c r="F475" s="23"/>
      <c r="G475" s="23">
        <f t="shared" si="1"/>
        <v>14780.42</v>
      </c>
      <c r="H475" s="23"/>
      <c r="I475" s="23"/>
    </row>
    <row r="476" spans="1:9">
      <c r="A476" s="21" t="s">
        <v>6103</v>
      </c>
      <c r="B476" s="21" t="s">
        <v>4510</v>
      </c>
      <c r="C476" s="22">
        <v>1847</v>
      </c>
      <c r="D476" s="21">
        <v>181.52</v>
      </c>
      <c r="E476" s="21" t="s">
        <v>5796</v>
      </c>
      <c r="F476" s="23"/>
      <c r="G476" s="23">
        <f t="shared" si="1"/>
        <v>181.52</v>
      </c>
      <c r="H476" s="23"/>
      <c r="I476" s="23"/>
    </row>
    <row r="477" spans="1:9">
      <c r="A477" s="21" t="s">
        <v>3581</v>
      </c>
      <c r="B477" s="21" t="s">
        <v>3583</v>
      </c>
      <c r="C477" s="22">
        <v>1145</v>
      </c>
      <c r="D477" s="21">
        <v>799.74</v>
      </c>
      <c r="E477" s="21" t="s">
        <v>5796</v>
      </c>
      <c r="F477" s="23"/>
      <c r="G477" s="23">
        <f t="shared" si="1"/>
        <v>799.74</v>
      </c>
      <c r="H477" s="23"/>
      <c r="I477" s="23"/>
    </row>
    <row r="478" spans="1:9">
      <c r="A478" s="21" t="s">
        <v>6104</v>
      </c>
      <c r="B478" s="21" t="s">
        <v>761</v>
      </c>
      <c r="C478" s="22">
        <v>251</v>
      </c>
      <c r="D478" s="21">
        <v>17384.990000000002</v>
      </c>
      <c r="E478" s="21" t="s">
        <v>5796</v>
      </c>
      <c r="F478" s="23"/>
      <c r="G478" s="23">
        <f t="shared" si="1"/>
        <v>17384.990000000002</v>
      </c>
      <c r="H478" s="23"/>
      <c r="I478" s="23"/>
    </row>
    <row r="479" spans="1:9">
      <c r="A479" s="21" t="s">
        <v>6105</v>
      </c>
      <c r="B479" s="21" t="s">
        <v>3610</v>
      </c>
      <c r="C479" s="22">
        <v>1167</v>
      </c>
      <c r="D479" s="21">
        <v>761.8</v>
      </c>
      <c r="E479" s="21" t="s">
        <v>5796</v>
      </c>
      <c r="F479" s="23"/>
      <c r="G479" s="23">
        <f t="shared" si="1"/>
        <v>761.8</v>
      </c>
      <c r="H479" s="23"/>
      <c r="I479" s="23"/>
    </row>
    <row r="480" spans="1:9">
      <c r="A480" s="21" t="s">
        <v>6106</v>
      </c>
      <c r="B480" s="21" t="s">
        <v>4339</v>
      </c>
      <c r="C480" s="22">
        <v>1635</v>
      </c>
      <c r="D480" s="21">
        <v>269.10000000000002</v>
      </c>
      <c r="E480" s="21" t="s">
        <v>5796</v>
      </c>
      <c r="F480" s="23"/>
      <c r="G480" s="23">
        <f t="shared" si="1"/>
        <v>269.10000000000002</v>
      </c>
      <c r="H480" s="23"/>
      <c r="I480" s="23"/>
    </row>
    <row r="481" spans="1:9">
      <c r="A481" s="21" t="s">
        <v>1701</v>
      </c>
      <c r="B481" s="21" t="s">
        <v>1703</v>
      </c>
      <c r="C481" s="22">
        <v>663</v>
      </c>
      <c r="D481" s="21">
        <v>2889</v>
      </c>
      <c r="E481" s="21" t="s">
        <v>5796</v>
      </c>
      <c r="F481" s="23"/>
      <c r="G481" s="23">
        <f t="shared" si="1"/>
        <v>2889</v>
      </c>
      <c r="H481" s="23"/>
      <c r="I481" s="23"/>
    </row>
    <row r="482" spans="1:9">
      <c r="A482" s="21" t="s">
        <v>6107</v>
      </c>
      <c r="B482" s="21" t="s">
        <v>4570</v>
      </c>
      <c r="C482" s="22">
        <v>1862</v>
      </c>
      <c r="D482" s="21">
        <v>175.72</v>
      </c>
      <c r="E482" s="21" t="s">
        <v>5796</v>
      </c>
      <c r="F482" s="23"/>
      <c r="G482" s="23">
        <f t="shared" si="1"/>
        <v>175.72</v>
      </c>
      <c r="H482" s="23"/>
      <c r="I482" s="23"/>
    </row>
    <row r="483" spans="1:9">
      <c r="A483" s="21" t="s">
        <v>4790</v>
      </c>
      <c r="B483" s="21" t="s">
        <v>4792</v>
      </c>
      <c r="C483" s="22">
        <v>1933</v>
      </c>
      <c r="D483" s="21">
        <v>159.01</v>
      </c>
      <c r="E483" s="21" t="s">
        <v>5796</v>
      </c>
      <c r="F483" s="23"/>
      <c r="G483" s="23">
        <f t="shared" si="1"/>
        <v>159.01</v>
      </c>
      <c r="H483" s="23"/>
      <c r="I483" s="23"/>
    </row>
    <row r="484" spans="1:9">
      <c r="A484" s="21" t="s">
        <v>2099</v>
      </c>
      <c r="B484" s="21" t="s">
        <v>2101</v>
      </c>
      <c r="C484" s="22">
        <v>724</v>
      </c>
      <c r="D484" s="21">
        <v>2385.21</v>
      </c>
      <c r="E484" s="21" t="s">
        <v>5796</v>
      </c>
      <c r="F484" s="23"/>
      <c r="G484" s="23">
        <f t="shared" si="1"/>
        <v>2385.21</v>
      </c>
      <c r="H484" s="23"/>
      <c r="I484" s="23"/>
    </row>
    <row r="485" spans="1:9">
      <c r="A485" s="24" t="s">
        <v>732</v>
      </c>
      <c r="B485" s="24" t="s">
        <v>734</v>
      </c>
      <c r="C485" s="25">
        <v>234</v>
      </c>
      <c r="D485" s="24">
        <v>19319.919999999998</v>
      </c>
      <c r="E485" s="24" t="s">
        <v>5800</v>
      </c>
      <c r="F485" s="26"/>
      <c r="G485" s="23">
        <f t="shared" si="1"/>
        <v>19319.919999999998</v>
      </c>
      <c r="H485" s="26"/>
      <c r="I485" s="26"/>
    </row>
    <row r="486" spans="1:9">
      <c r="A486" s="21" t="s">
        <v>6108</v>
      </c>
      <c r="B486" s="21" t="s">
        <v>5235</v>
      </c>
      <c r="C486" s="22">
        <v>2314</v>
      </c>
      <c r="D486" s="21">
        <v>84.89</v>
      </c>
      <c r="E486" s="21" t="s">
        <v>5796</v>
      </c>
      <c r="F486" s="23"/>
      <c r="G486" s="23">
        <f t="shared" si="1"/>
        <v>84.89</v>
      </c>
      <c r="H486" s="23"/>
      <c r="I486" s="23"/>
    </row>
    <row r="487" spans="1:9">
      <c r="A487" s="21" t="s">
        <v>6109</v>
      </c>
      <c r="B487" s="21" t="s">
        <v>1385</v>
      </c>
      <c r="C487" s="22">
        <v>518</v>
      </c>
      <c r="D487" s="21">
        <v>4976.16</v>
      </c>
      <c r="E487" s="21" t="s">
        <v>5796</v>
      </c>
      <c r="F487" s="23"/>
      <c r="G487" s="23">
        <f t="shared" si="1"/>
        <v>4976.16</v>
      </c>
      <c r="H487" s="23"/>
      <c r="I487" s="23"/>
    </row>
    <row r="488" spans="1:9">
      <c r="A488" s="21" t="s">
        <v>6110</v>
      </c>
      <c r="B488" s="21" t="s">
        <v>3595</v>
      </c>
      <c r="C488" s="22">
        <v>1244</v>
      </c>
      <c r="D488" s="21">
        <v>615.66</v>
      </c>
      <c r="E488" s="21" t="s">
        <v>5796</v>
      </c>
      <c r="F488" s="23"/>
      <c r="G488" s="23">
        <f t="shared" si="1"/>
        <v>615.66</v>
      </c>
      <c r="H488" s="23"/>
      <c r="I488" s="23"/>
    </row>
    <row r="489" spans="1:9">
      <c r="A489" s="21" t="s">
        <v>6111</v>
      </c>
      <c r="B489" s="21" t="s">
        <v>1628</v>
      </c>
      <c r="C489" s="22">
        <v>482</v>
      </c>
      <c r="D489" s="21">
        <v>5496.03</v>
      </c>
      <c r="E489" s="21" t="s">
        <v>5796</v>
      </c>
      <c r="F489" s="23"/>
      <c r="G489" s="23">
        <f t="shared" si="1"/>
        <v>5496.03</v>
      </c>
      <c r="H489" s="23"/>
      <c r="I489" s="23"/>
    </row>
    <row r="490" spans="1:9">
      <c r="A490" s="21" t="s">
        <v>6112</v>
      </c>
      <c r="B490" s="21" t="s">
        <v>4432</v>
      </c>
      <c r="C490" s="22">
        <v>1460</v>
      </c>
      <c r="D490" s="21">
        <v>375.72</v>
      </c>
      <c r="E490" s="21" t="s">
        <v>5796</v>
      </c>
      <c r="F490" s="23"/>
      <c r="G490" s="23">
        <f t="shared" si="1"/>
        <v>375.72</v>
      </c>
      <c r="H490" s="23"/>
      <c r="I490" s="23"/>
    </row>
    <row r="491" spans="1:9">
      <c r="A491" s="21" t="s">
        <v>1188</v>
      </c>
      <c r="B491" s="21" t="s">
        <v>1190</v>
      </c>
      <c r="C491" s="22">
        <v>386</v>
      </c>
      <c r="D491" s="21">
        <v>8196.1</v>
      </c>
      <c r="E491" s="21" t="s">
        <v>5796</v>
      </c>
      <c r="F491" s="23"/>
      <c r="G491" s="23">
        <f t="shared" si="1"/>
        <v>8196.1</v>
      </c>
      <c r="H491" s="23"/>
      <c r="I491" s="23"/>
    </row>
    <row r="492" spans="1:9">
      <c r="A492" s="21" t="s">
        <v>1134</v>
      </c>
      <c r="B492" s="21" t="s">
        <v>1136</v>
      </c>
      <c r="C492" s="22">
        <v>376</v>
      </c>
      <c r="D492" s="21">
        <v>8541.15</v>
      </c>
      <c r="E492" s="21" t="s">
        <v>5796</v>
      </c>
      <c r="F492" s="23"/>
      <c r="G492" s="23">
        <f t="shared" si="1"/>
        <v>8541.15</v>
      </c>
      <c r="H492" s="23"/>
      <c r="I492" s="23"/>
    </row>
    <row r="493" spans="1:9">
      <c r="A493" s="21" t="s">
        <v>4730</v>
      </c>
      <c r="B493" s="21" t="s">
        <v>4732</v>
      </c>
      <c r="C493" s="22">
        <v>1691</v>
      </c>
      <c r="D493" s="21">
        <v>244.06</v>
      </c>
      <c r="E493" s="21" t="s">
        <v>5796</v>
      </c>
      <c r="F493" s="23"/>
      <c r="G493" s="23">
        <f t="shared" si="1"/>
        <v>244.06</v>
      </c>
      <c r="H493" s="23"/>
      <c r="I493" s="23"/>
    </row>
    <row r="494" spans="1:9">
      <c r="A494" s="21" t="s">
        <v>6113</v>
      </c>
      <c r="B494" s="21" t="s">
        <v>1382</v>
      </c>
      <c r="C494" s="22">
        <v>465</v>
      </c>
      <c r="D494" s="21">
        <v>5803.59</v>
      </c>
      <c r="E494" s="21" t="s">
        <v>5796</v>
      </c>
      <c r="F494" s="23"/>
      <c r="G494" s="23">
        <f t="shared" si="1"/>
        <v>5803.59</v>
      </c>
      <c r="H494" s="23"/>
      <c r="I494" s="23"/>
    </row>
    <row r="495" spans="1:9">
      <c r="A495" s="24" t="s">
        <v>549</v>
      </c>
      <c r="B495" s="24" t="s">
        <v>551</v>
      </c>
      <c r="C495" s="25">
        <v>180</v>
      </c>
      <c r="D495" s="24">
        <v>27057.94</v>
      </c>
      <c r="E495" s="24" t="s">
        <v>5800</v>
      </c>
      <c r="F495" s="26"/>
      <c r="G495" s="23">
        <f t="shared" si="1"/>
        <v>27057.94</v>
      </c>
      <c r="H495" s="26"/>
      <c r="I495" s="26"/>
    </row>
    <row r="496" spans="1:9">
      <c r="A496" s="21" t="s">
        <v>6114</v>
      </c>
      <c r="B496" s="21" t="s">
        <v>4291</v>
      </c>
      <c r="C496" s="22">
        <v>1806</v>
      </c>
      <c r="D496" s="21">
        <v>193.89</v>
      </c>
      <c r="E496" s="21" t="s">
        <v>5796</v>
      </c>
      <c r="F496" s="23"/>
      <c r="G496" s="23">
        <f t="shared" si="1"/>
        <v>193.89</v>
      </c>
      <c r="H496" s="23"/>
      <c r="I496" s="23"/>
    </row>
    <row r="497" spans="1:9">
      <c r="A497" s="21" t="s">
        <v>4442</v>
      </c>
      <c r="B497" s="21" t="s">
        <v>4444</v>
      </c>
      <c r="C497" s="22">
        <v>1543</v>
      </c>
      <c r="D497" s="21">
        <v>319.66000000000003</v>
      </c>
      <c r="E497" s="21" t="s">
        <v>5796</v>
      </c>
      <c r="F497" s="23"/>
      <c r="G497" s="23">
        <f t="shared" si="1"/>
        <v>319.66000000000003</v>
      </c>
      <c r="H497" s="23"/>
      <c r="I497" s="23"/>
    </row>
    <row r="498" spans="1:9">
      <c r="A498" s="21" t="s">
        <v>6115</v>
      </c>
      <c r="B498" s="21" t="s">
        <v>3589</v>
      </c>
      <c r="C498" s="22">
        <v>1081</v>
      </c>
      <c r="D498" s="21">
        <v>937.74</v>
      </c>
      <c r="E498" s="21" t="s">
        <v>5796</v>
      </c>
      <c r="F498" s="23"/>
      <c r="G498" s="23">
        <f t="shared" si="1"/>
        <v>937.74</v>
      </c>
      <c r="H498" s="23"/>
      <c r="I498" s="23"/>
    </row>
    <row r="499" spans="1:9">
      <c r="A499" s="21" t="s">
        <v>6116</v>
      </c>
      <c r="B499" s="21" t="s">
        <v>2006</v>
      </c>
      <c r="C499" s="22">
        <v>692</v>
      </c>
      <c r="D499" s="21">
        <v>2612.11</v>
      </c>
      <c r="E499" s="21" t="s">
        <v>5796</v>
      </c>
      <c r="F499" s="23"/>
      <c r="G499" s="23">
        <f t="shared" si="1"/>
        <v>2612.11</v>
      </c>
      <c r="H499" s="23"/>
      <c r="I499" s="23"/>
    </row>
    <row r="500" spans="1:9">
      <c r="A500" s="21" t="s">
        <v>6117</v>
      </c>
      <c r="B500" s="21" t="s">
        <v>5736</v>
      </c>
      <c r="C500" s="22">
        <v>3642</v>
      </c>
      <c r="D500" s="21">
        <v>11.61</v>
      </c>
      <c r="E500" s="21" t="s">
        <v>5796</v>
      </c>
      <c r="F500" s="23"/>
      <c r="G500" s="23">
        <f t="shared" si="1"/>
        <v>11.61</v>
      </c>
      <c r="H500" s="23"/>
      <c r="I500" s="23"/>
    </row>
    <row r="501" spans="1:9">
      <c r="A501" s="21" t="s">
        <v>6118</v>
      </c>
      <c r="B501" s="21" t="s">
        <v>2416</v>
      </c>
      <c r="C501" s="22">
        <v>732</v>
      </c>
      <c r="D501" s="21">
        <v>2343.48</v>
      </c>
      <c r="E501" s="21" t="s">
        <v>5796</v>
      </c>
      <c r="F501" s="23"/>
      <c r="G501" s="23">
        <f t="shared" si="1"/>
        <v>2343.48</v>
      </c>
      <c r="H501" s="23"/>
      <c r="I501" s="23"/>
    </row>
    <row r="502" spans="1:9">
      <c r="A502" s="21" t="s">
        <v>6119</v>
      </c>
      <c r="B502" s="21" t="s">
        <v>2839</v>
      </c>
      <c r="C502" s="22">
        <v>973</v>
      </c>
      <c r="D502" s="21">
        <v>1257.1500000000001</v>
      </c>
      <c r="E502" s="21" t="s">
        <v>5796</v>
      </c>
      <c r="F502" s="23"/>
      <c r="G502" s="23">
        <f t="shared" si="1"/>
        <v>1257.1500000000001</v>
      </c>
      <c r="H502" s="23"/>
      <c r="I502" s="23"/>
    </row>
    <row r="503" spans="1:9">
      <c r="A503" s="21" t="s">
        <v>5455</v>
      </c>
      <c r="B503" s="21" t="s">
        <v>5457</v>
      </c>
      <c r="C503" s="22">
        <v>2529</v>
      </c>
      <c r="D503" s="21">
        <v>60.18</v>
      </c>
      <c r="E503" s="21" t="s">
        <v>5796</v>
      </c>
      <c r="F503" s="23"/>
      <c r="G503" s="23">
        <f t="shared" si="1"/>
        <v>60.18</v>
      </c>
      <c r="H503" s="23"/>
      <c r="I503" s="23"/>
    </row>
    <row r="504" spans="1:9">
      <c r="A504" s="21" t="s">
        <v>6120</v>
      </c>
      <c r="B504" s="21" t="s">
        <v>3262</v>
      </c>
      <c r="C504" s="22">
        <v>993</v>
      </c>
      <c r="D504" s="21">
        <v>1190.1199999999999</v>
      </c>
      <c r="E504" s="21" t="s">
        <v>5796</v>
      </c>
      <c r="F504" s="23"/>
      <c r="G504" s="23">
        <f t="shared" si="1"/>
        <v>1190.1199999999999</v>
      </c>
      <c r="H504" s="23"/>
      <c r="I504" s="23"/>
    </row>
    <row r="505" spans="1:9">
      <c r="A505" s="21" t="s">
        <v>6121</v>
      </c>
      <c r="B505" s="21" t="s">
        <v>743</v>
      </c>
      <c r="C505" s="22">
        <v>258</v>
      </c>
      <c r="D505" s="21">
        <v>16223.82</v>
      </c>
      <c r="E505" s="21" t="s">
        <v>5796</v>
      </c>
      <c r="F505" s="23"/>
      <c r="G505" s="23">
        <f t="shared" si="1"/>
        <v>16223.82</v>
      </c>
      <c r="H505" s="23"/>
      <c r="I505" s="23"/>
    </row>
    <row r="506" spans="1:9">
      <c r="A506" s="21" t="s">
        <v>6122</v>
      </c>
      <c r="B506" s="21" t="s">
        <v>2650</v>
      </c>
      <c r="C506" s="22">
        <v>923</v>
      </c>
      <c r="D506" s="21">
        <v>1392.78</v>
      </c>
      <c r="E506" s="21" t="s">
        <v>5796</v>
      </c>
      <c r="F506" s="23"/>
      <c r="G506" s="23">
        <f t="shared" si="1"/>
        <v>1392.78</v>
      </c>
      <c r="H506" s="23"/>
      <c r="I506" s="23"/>
    </row>
    <row r="507" spans="1:9">
      <c r="A507" s="21" t="s">
        <v>3887</v>
      </c>
      <c r="B507" s="21" t="s">
        <v>3889</v>
      </c>
      <c r="C507" s="22">
        <v>1291</v>
      </c>
      <c r="D507" s="21">
        <v>539.14</v>
      </c>
      <c r="E507" s="21" t="s">
        <v>5796</v>
      </c>
      <c r="F507" s="23"/>
      <c r="G507" s="23">
        <f t="shared" si="1"/>
        <v>539.14</v>
      </c>
      <c r="H507" s="23"/>
      <c r="I507" s="23"/>
    </row>
    <row r="508" spans="1:9">
      <c r="A508" s="24" t="s">
        <v>504</v>
      </c>
      <c r="B508" s="24" t="s">
        <v>506</v>
      </c>
      <c r="C508" s="25">
        <v>233</v>
      </c>
      <c r="D508" s="24">
        <v>19335.21</v>
      </c>
      <c r="E508" s="24" t="s">
        <v>5800</v>
      </c>
      <c r="F508" s="26"/>
      <c r="G508" s="23">
        <f t="shared" si="1"/>
        <v>19335.21</v>
      </c>
      <c r="H508" s="26"/>
      <c r="I508" s="26"/>
    </row>
    <row r="509" spans="1:9">
      <c r="A509" s="21" t="s">
        <v>2987</v>
      </c>
      <c r="B509" s="21" t="s">
        <v>2989</v>
      </c>
      <c r="C509" s="22">
        <v>897</v>
      </c>
      <c r="D509" s="21">
        <v>1483.51</v>
      </c>
      <c r="E509" s="21" t="s">
        <v>5796</v>
      </c>
      <c r="F509" s="23"/>
      <c r="G509" s="23">
        <f t="shared" si="1"/>
        <v>1483.51</v>
      </c>
      <c r="H509" s="23"/>
      <c r="I509" s="23"/>
    </row>
    <row r="510" spans="1:9">
      <c r="A510" s="21" t="s">
        <v>6123</v>
      </c>
      <c r="B510" s="21" t="s">
        <v>3400</v>
      </c>
      <c r="C510" s="22">
        <v>1158</v>
      </c>
      <c r="D510" s="21">
        <v>779.6</v>
      </c>
      <c r="E510" s="21" t="s">
        <v>5796</v>
      </c>
      <c r="F510" s="23"/>
      <c r="G510" s="23">
        <f t="shared" si="1"/>
        <v>779.6</v>
      </c>
      <c r="H510" s="23"/>
      <c r="I510" s="23"/>
    </row>
    <row r="511" spans="1:9">
      <c r="A511" s="21" t="s">
        <v>2141</v>
      </c>
      <c r="B511" s="21" t="s">
        <v>2143</v>
      </c>
      <c r="C511" s="22">
        <v>671</v>
      </c>
      <c r="D511" s="21">
        <v>2835.48</v>
      </c>
      <c r="E511" s="21" t="s">
        <v>5796</v>
      </c>
      <c r="F511" s="23"/>
      <c r="G511" s="23">
        <f t="shared" si="1"/>
        <v>2835.48</v>
      </c>
      <c r="H511" s="23"/>
      <c r="I511" s="23"/>
    </row>
    <row r="512" spans="1:9">
      <c r="A512" s="21" t="s">
        <v>4847</v>
      </c>
      <c r="B512" s="21" t="s">
        <v>4849</v>
      </c>
      <c r="C512" s="22">
        <v>1781</v>
      </c>
      <c r="D512" s="21">
        <v>201.37</v>
      </c>
      <c r="E512" s="21" t="s">
        <v>5796</v>
      </c>
      <c r="F512" s="23"/>
      <c r="G512" s="23">
        <f t="shared" si="1"/>
        <v>201.37</v>
      </c>
      <c r="H512" s="23"/>
      <c r="I512" s="23"/>
    </row>
    <row r="513" spans="1:9">
      <c r="A513" s="21" t="s">
        <v>6124</v>
      </c>
      <c r="B513" s="21" t="s">
        <v>4009</v>
      </c>
      <c r="C513" s="22">
        <v>1424</v>
      </c>
      <c r="D513" s="21">
        <v>396.47</v>
      </c>
      <c r="E513" s="21" t="s">
        <v>5796</v>
      </c>
      <c r="F513" s="23"/>
      <c r="G513" s="23">
        <f t="shared" ref="G513:G767" si="2">VALUE(SUBSTITUTE(D513, ",", ""))</f>
        <v>396.47</v>
      </c>
      <c r="H513" s="23"/>
      <c r="I513" s="23"/>
    </row>
    <row r="514" spans="1:9">
      <c r="A514" s="21" t="s">
        <v>6125</v>
      </c>
      <c r="B514" s="21" t="s">
        <v>1643</v>
      </c>
      <c r="C514" s="22">
        <v>530</v>
      </c>
      <c r="D514" s="21">
        <v>4606.49</v>
      </c>
      <c r="E514" s="21" t="s">
        <v>5796</v>
      </c>
      <c r="F514" s="23"/>
      <c r="G514" s="23">
        <f t="shared" si="2"/>
        <v>4606.49</v>
      </c>
      <c r="H514" s="23"/>
      <c r="I514" s="23"/>
    </row>
    <row r="515" spans="1:9">
      <c r="A515" s="24" t="s">
        <v>6126</v>
      </c>
      <c r="B515" s="24" t="s">
        <v>569</v>
      </c>
      <c r="C515" s="25">
        <v>177</v>
      </c>
      <c r="D515" s="24">
        <v>27450.74</v>
      </c>
      <c r="E515" s="24" t="s">
        <v>5800</v>
      </c>
      <c r="F515" s="26"/>
      <c r="G515" s="23">
        <f t="shared" si="2"/>
        <v>27450.74</v>
      </c>
      <c r="H515" s="26"/>
      <c r="I515" s="26"/>
    </row>
    <row r="516" spans="1:9">
      <c r="A516" s="21" t="s">
        <v>6127</v>
      </c>
      <c r="B516" s="21" t="s">
        <v>6128</v>
      </c>
      <c r="C516" s="22">
        <v>2458</v>
      </c>
      <c r="D516" s="21">
        <v>68</v>
      </c>
      <c r="E516" s="21" t="s">
        <v>5796</v>
      </c>
      <c r="F516" s="23"/>
      <c r="G516" s="23">
        <f t="shared" si="2"/>
        <v>68</v>
      </c>
      <c r="H516" s="23"/>
      <c r="I516" s="23"/>
    </row>
    <row r="517" spans="1:9">
      <c r="A517" s="21" t="s">
        <v>6129</v>
      </c>
      <c r="B517" s="21" t="s">
        <v>5253</v>
      </c>
      <c r="C517" s="22">
        <v>2224</v>
      </c>
      <c r="D517" s="21">
        <v>99.02</v>
      </c>
      <c r="E517" s="21" t="s">
        <v>5796</v>
      </c>
      <c r="F517" s="23"/>
      <c r="G517" s="23">
        <f t="shared" si="2"/>
        <v>99.02</v>
      </c>
      <c r="H517" s="23"/>
      <c r="I517" s="23"/>
    </row>
    <row r="518" spans="1:9">
      <c r="A518" s="21" t="s">
        <v>6130</v>
      </c>
      <c r="B518" s="21" t="s">
        <v>2485</v>
      </c>
      <c r="C518" s="22">
        <v>746</v>
      </c>
      <c r="D518" s="21">
        <v>2221.6999999999998</v>
      </c>
      <c r="E518" s="21" t="s">
        <v>5796</v>
      </c>
      <c r="F518" s="23"/>
      <c r="G518" s="23">
        <f t="shared" si="2"/>
        <v>2221.6999999999998</v>
      </c>
      <c r="H518" s="23"/>
      <c r="I518" s="23"/>
    </row>
    <row r="519" spans="1:9">
      <c r="A519" s="21" t="s">
        <v>6131</v>
      </c>
      <c r="B519" s="21" t="s">
        <v>2695</v>
      </c>
      <c r="C519" s="22">
        <v>836</v>
      </c>
      <c r="D519" s="21">
        <v>1746.61</v>
      </c>
      <c r="E519" s="21" t="s">
        <v>5796</v>
      </c>
      <c r="F519" s="23"/>
      <c r="G519" s="23">
        <f t="shared" si="2"/>
        <v>1746.61</v>
      </c>
      <c r="H519" s="23"/>
      <c r="I519" s="23"/>
    </row>
    <row r="520" spans="1:9">
      <c r="A520" s="21" t="s">
        <v>6132</v>
      </c>
      <c r="B520" s="21" t="s">
        <v>938</v>
      </c>
      <c r="C520" s="22">
        <v>317</v>
      </c>
      <c r="D520" s="21">
        <v>11455.83</v>
      </c>
      <c r="E520" s="21" t="s">
        <v>5796</v>
      </c>
      <c r="F520" s="23"/>
      <c r="G520" s="23">
        <f t="shared" si="2"/>
        <v>11455.83</v>
      </c>
      <c r="H520" s="23"/>
      <c r="I520" s="23"/>
    </row>
    <row r="521" spans="1:9">
      <c r="A521" s="21" t="s">
        <v>987</v>
      </c>
      <c r="B521" s="21" t="s">
        <v>989</v>
      </c>
      <c r="C521" s="22">
        <v>278</v>
      </c>
      <c r="D521" s="21">
        <v>14529.35</v>
      </c>
      <c r="E521" s="21" t="s">
        <v>5796</v>
      </c>
      <c r="F521" s="23"/>
      <c r="G521" s="23">
        <f t="shared" si="2"/>
        <v>14529.35</v>
      </c>
      <c r="H521" s="23"/>
      <c r="I521" s="23"/>
    </row>
    <row r="522" spans="1:9">
      <c r="A522" s="21" t="s">
        <v>2453</v>
      </c>
      <c r="B522" s="21" t="s">
        <v>2455</v>
      </c>
      <c r="C522" s="22">
        <v>814</v>
      </c>
      <c r="D522" s="21">
        <v>1877.85</v>
      </c>
      <c r="E522" s="21" t="s">
        <v>5796</v>
      </c>
      <c r="F522" s="23"/>
      <c r="G522" s="23">
        <f t="shared" si="2"/>
        <v>1877.85</v>
      </c>
      <c r="H522" s="23"/>
      <c r="I522" s="23"/>
    </row>
    <row r="523" spans="1:9">
      <c r="A523" s="21" t="s">
        <v>6133</v>
      </c>
      <c r="B523" s="21" t="s">
        <v>1031</v>
      </c>
      <c r="C523" s="22">
        <v>329</v>
      </c>
      <c r="D523" s="21">
        <v>10733.97</v>
      </c>
      <c r="E523" s="21" t="s">
        <v>5796</v>
      </c>
      <c r="F523" s="23"/>
      <c r="G523" s="23">
        <f t="shared" si="2"/>
        <v>10733.97</v>
      </c>
      <c r="H523" s="23"/>
      <c r="I523" s="23"/>
    </row>
    <row r="524" spans="1:9">
      <c r="A524" s="21" t="s">
        <v>6134</v>
      </c>
      <c r="B524" s="21" t="s">
        <v>773</v>
      </c>
      <c r="C524" s="22">
        <v>254</v>
      </c>
      <c r="D524" s="21">
        <v>16476.38</v>
      </c>
      <c r="E524" s="21" t="s">
        <v>5796</v>
      </c>
      <c r="F524" s="23"/>
      <c r="G524" s="23">
        <f t="shared" si="2"/>
        <v>16476.38</v>
      </c>
      <c r="H524" s="23"/>
      <c r="I524" s="23"/>
    </row>
    <row r="525" spans="1:9">
      <c r="A525" s="21" t="s">
        <v>6135</v>
      </c>
      <c r="B525" s="21" t="s">
        <v>5161</v>
      </c>
      <c r="C525" s="22">
        <v>2389</v>
      </c>
      <c r="D525" s="21">
        <v>74.48</v>
      </c>
      <c r="E525" s="21" t="s">
        <v>5796</v>
      </c>
      <c r="F525" s="23"/>
      <c r="G525" s="23">
        <f t="shared" si="2"/>
        <v>74.48</v>
      </c>
      <c r="H525" s="23"/>
      <c r="I525" s="23"/>
    </row>
    <row r="526" spans="1:9">
      <c r="A526" s="21" t="s">
        <v>5299</v>
      </c>
      <c r="B526" s="21" t="s">
        <v>5301</v>
      </c>
      <c r="C526" s="22">
        <v>2089</v>
      </c>
      <c r="D526" s="21">
        <v>122.7</v>
      </c>
      <c r="E526" s="21" t="s">
        <v>5796</v>
      </c>
      <c r="F526" s="23"/>
      <c r="G526" s="23">
        <f t="shared" si="2"/>
        <v>122.7</v>
      </c>
      <c r="H526" s="23"/>
      <c r="I526" s="23"/>
    </row>
    <row r="527" spans="1:9">
      <c r="A527" s="24" t="s">
        <v>591</v>
      </c>
      <c r="B527" s="24" t="s">
        <v>593</v>
      </c>
      <c r="C527" s="25">
        <v>153</v>
      </c>
      <c r="D527" s="24">
        <v>33982.300000000003</v>
      </c>
      <c r="E527" s="24" t="s">
        <v>5800</v>
      </c>
      <c r="F527" s="26"/>
      <c r="G527" s="23">
        <f t="shared" si="2"/>
        <v>33982.300000000003</v>
      </c>
      <c r="H527" s="26"/>
      <c r="I527" s="26"/>
    </row>
    <row r="528" spans="1:9">
      <c r="A528" s="21" t="s">
        <v>6136</v>
      </c>
      <c r="B528" s="21" t="s">
        <v>2683</v>
      </c>
      <c r="C528" s="22">
        <v>828</v>
      </c>
      <c r="D528" s="21">
        <v>1779.52</v>
      </c>
      <c r="E528" s="21" t="s">
        <v>5796</v>
      </c>
      <c r="F528" s="23"/>
      <c r="G528" s="23">
        <f t="shared" si="2"/>
        <v>1779.52</v>
      </c>
      <c r="H528" s="23"/>
      <c r="I528" s="23"/>
    </row>
    <row r="529" spans="1:9">
      <c r="A529" s="21" t="s">
        <v>5581</v>
      </c>
      <c r="B529" s="21" t="s">
        <v>5583</v>
      </c>
      <c r="C529" s="22">
        <v>3046</v>
      </c>
      <c r="D529" s="21">
        <v>28.48</v>
      </c>
      <c r="E529" s="21" t="s">
        <v>5796</v>
      </c>
      <c r="F529" s="23"/>
      <c r="G529" s="23">
        <f t="shared" si="2"/>
        <v>28.48</v>
      </c>
      <c r="H529" s="23"/>
      <c r="I529" s="23"/>
    </row>
    <row r="530" spans="1:9">
      <c r="A530" s="21" t="s">
        <v>6137</v>
      </c>
      <c r="B530" s="21" t="s">
        <v>3322</v>
      </c>
      <c r="C530" s="22">
        <v>1236</v>
      </c>
      <c r="D530" s="21">
        <v>626.30999999999995</v>
      </c>
      <c r="E530" s="21" t="s">
        <v>5796</v>
      </c>
      <c r="F530" s="23"/>
      <c r="G530" s="23">
        <f t="shared" si="2"/>
        <v>626.30999999999995</v>
      </c>
      <c r="H530" s="23"/>
      <c r="I530" s="23"/>
    </row>
    <row r="531" spans="1:9">
      <c r="A531" s="21" t="s">
        <v>6138</v>
      </c>
      <c r="B531" s="21" t="s">
        <v>3430</v>
      </c>
      <c r="C531" s="22">
        <v>1181</v>
      </c>
      <c r="D531" s="21">
        <v>724.9</v>
      </c>
      <c r="E531" s="21" t="s">
        <v>5796</v>
      </c>
      <c r="F531" s="23"/>
      <c r="G531" s="23">
        <f t="shared" si="2"/>
        <v>724.9</v>
      </c>
      <c r="H531" s="23"/>
      <c r="I531" s="23"/>
    </row>
    <row r="532" spans="1:9">
      <c r="A532" s="24" t="s">
        <v>6139</v>
      </c>
      <c r="B532" s="24" t="s">
        <v>671</v>
      </c>
      <c r="C532" s="25">
        <v>217</v>
      </c>
      <c r="D532" s="24">
        <v>20856.169999999998</v>
      </c>
      <c r="E532" s="24" t="s">
        <v>5800</v>
      </c>
      <c r="F532" s="26"/>
      <c r="G532" s="23">
        <f t="shared" si="2"/>
        <v>20856.169999999998</v>
      </c>
      <c r="H532" s="26"/>
      <c r="I532" s="26"/>
    </row>
    <row r="533" spans="1:9">
      <c r="A533" s="21" t="s">
        <v>6140</v>
      </c>
      <c r="B533" s="21" t="s">
        <v>2614</v>
      </c>
      <c r="C533" s="22">
        <v>891</v>
      </c>
      <c r="D533" s="21">
        <v>1496.96</v>
      </c>
      <c r="E533" s="21" t="s">
        <v>5796</v>
      </c>
      <c r="F533" s="23"/>
      <c r="G533" s="23">
        <f t="shared" si="2"/>
        <v>1496.96</v>
      </c>
      <c r="H533" s="23"/>
      <c r="I533" s="23"/>
    </row>
    <row r="534" spans="1:9">
      <c r="A534" s="21" t="s">
        <v>6141</v>
      </c>
      <c r="B534" s="21" t="s">
        <v>4807</v>
      </c>
      <c r="C534" s="22">
        <v>1900</v>
      </c>
      <c r="D534" s="21">
        <v>165.84</v>
      </c>
      <c r="E534" s="21" t="s">
        <v>5796</v>
      </c>
      <c r="F534" s="23"/>
      <c r="G534" s="23">
        <f t="shared" si="2"/>
        <v>165.84</v>
      </c>
      <c r="H534" s="23"/>
      <c r="I534" s="23"/>
    </row>
    <row r="535" spans="1:9">
      <c r="A535" s="21" t="s">
        <v>5485</v>
      </c>
      <c r="B535" s="21" t="s">
        <v>5487</v>
      </c>
      <c r="C535" s="22">
        <v>2424</v>
      </c>
      <c r="D535" s="21">
        <v>71.05</v>
      </c>
      <c r="E535" s="21" t="s">
        <v>5796</v>
      </c>
      <c r="F535" s="23"/>
      <c r="G535" s="23">
        <f t="shared" si="2"/>
        <v>71.05</v>
      </c>
      <c r="H535" s="23"/>
      <c r="I535" s="23"/>
    </row>
    <row r="536" spans="1:9">
      <c r="A536" s="21" t="s">
        <v>6142</v>
      </c>
      <c r="B536" s="21" t="s">
        <v>1151</v>
      </c>
      <c r="C536" s="22">
        <v>387</v>
      </c>
      <c r="D536" s="21">
        <v>8182.9</v>
      </c>
      <c r="E536" s="21" t="s">
        <v>5796</v>
      </c>
      <c r="F536" s="23"/>
      <c r="G536" s="23">
        <f t="shared" si="2"/>
        <v>8182.9</v>
      </c>
      <c r="H536" s="23"/>
      <c r="I536" s="23"/>
    </row>
    <row r="537" spans="1:9">
      <c r="A537" s="21" t="s">
        <v>1689</v>
      </c>
      <c r="B537" s="21" t="s">
        <v>1691</v>
      </c>
      <c r="C537" s="22">
        <v>546</v>
      </c>
      <c r="D537" s="21">
        <v>4390.1099999999997</v>
      </c>
      <c r="E537" s="21" t="s">
        <v>5796</v>
      </c>
      <c r="F537" s="23"/>
      <c r="G537" s="23">
        <f t="shared" si="2"/>
        <v>4390.1099999999997</v>
      </c>
      <c r="H537" s="23"/>
      <c r="I537" s="23"/>
    </row>
    <row r="538" spans="1:9">
      <c r="A538" s="21" t="s">
        <v>6143</v>
      </c>
      <c r="B538" s="21" t="s">
        <v>1889</v>
      </c>
      <c r="C538" s="22">
        <v>725</v>
      </c>
      <c r="D538" s="21">
        <v>2383.96</v>
      </c>
      <c r="E538" s="21" t="s">
        <v>5796</v>
      </c>
      <c r="F538" s="23"/>
      <c r="G538" s="23">
        <f t="shared" si="2"/>
        <v>2383.96</v>
      </c>
      <c r="H538" s="23"/>
      <c r="I538" s="23"/>
    </row>
    <row r="539" spans="1:9">
      <c r="A539" s="21" t="s">
        <v>6144</v>
      </c>
      <c r="B539" s="21" t="s">
        <v>1529</v>
      </c>
      <c r="C539" s="22">
        <v>473</v>
      </c>
      <c r="D539" s="21">
        <v>5655.79</v>
      </c>
      <c r="E539" s="21" t="s">
        <v>5796</v>
      </c>
      <c r="F539" s="23"/>
      <c r="G539" s="23">
        <f t="shared" si="2"/>
        <v>5655.79</v>
      </c>
      <c r="H539" s="23"/>
      <c r="I539" s="23"/>
    </row>
    <row r="540" spans="1:9">
      <c r="A540" s="27" t="s">
        <v>6145</v>
      </c>
      <c r="B540" s="27" t="s">
        <v>242</v>
      </c>
      <c r="C540" s="28">
        <v>76</v>
      </c>
      <c r="D540" s="27">
        <v>68221.37</v>
      </c>
      <c r="E540" s="27" t="s">
        <v>5815</v>
      </c>
      <c r="F540" s="29"/>
      <c r="G540" s="23">
        <f t="shared" si="2"/>
        <v>68221.37</v>
      </c>
      <c r="H540" s="29"/>
      <c r="I540" s="29"/>
    </row>
    <row r="541" spans="1:9">
      <c r="A541" s="21" t="s">
        <v>6146</v>
      </c>
      <c r="B541" s="21" t="s">
        <v>6147</v>
      </c>
      <c r="C541" s="22">
        <v>2247</v>
      </c>
      <c r="D541" s="21">
        <v>94.98</v>
      </c>
      <c r="E541" s="21" t="s">
        <v>5796</v>
      </c>
      <c r="F541" s="23"/>
      <c r="G541" s="23">
        <f t="shared" si="2"/>
        <v>94.98</v>
      </c>
      <c r="H541" s="23"/>
      <c r="I541" s="23"/>
    </row>
    <row r="542" spans="1:9">
      <c r="A542" s="21" t="s">
        <v>1272</v>
      </c>
      <c r="B542" s="21" t="s">
        <v>1274</v>
      </c>
      <c r="C542" s="22">
        <v>372</v>
      </c>
      <c r="D542" s="21">
        <v>8762.02</v>
      </c>
      <c r="E542" s="21" t="s">
        <v>5796</v>
      </c>
      <c r="F542" s="23"/>
      <c r="G542" s="23">
        <f t="shared" si="2"/>
        <v>8762.02</v>
      </c>
      <c r="H542" s="23"/>
      <c r="I542" s="23"/>
    </row>
    <row r="543" spans="1:9">
      <c r="A543" s="21" t="s">
        <v>6148</v>
      </c>
      <c r="B543" s="21" t="s">
        <v>2560</v>
      </c>
      <c r="C543" s="22">
        <v>914</v>
      </c>
      <c r="D543" s="21">
        <v>1426.71</v>
      </c>
      <c r="E543" s="21" t="s">
        <v>5796</v>
      </c>
      <c r="F543" s="23"/>
      <c r="G543" s="23">
        <f t="shared" si="2"/>
        <v>1426.71</v>
      </c>
      <c r="H543" s="23"/>
      <c r="I543" s="23"/>
    </row>
    <row r="544" spans="1:9">
      <c r="A544" s="21" t="s">
        <v>6149</v>
      </c>
      <c r="B544" s="21" t="s">
        <v>3520</v>
      </c>
      <c r="C544" s="22">
        <v>1219</v>
      </c>
      <c r="D544" s="21">
        <v>662.28</v>
      </c>
      <c r="E544" s="21" t="s">
        <v>5796</v>
      </c>
      <c r="F544" s="23"/>
      <c r="G544" s="23">
        <f t="shared" si="2"/>
        <v>662.28</v>
      </c>
      <c r="H544" s="23"/>
      <c r="I544" s="23"/>
    </row>
    <row r="545" spans="1:9">
      <c r="A545" s="21" t="s">
        <v>2609</v>
      </c>
      <c r="B545" s="21" t="s">
        <v>2611</v>
      </c>
      <c r="C545" s="22">
        <v>780</v>
      </c>
      <c r="D545" s="21">
        <v>2055.09</v>
      </c>
      <c r="E545" s="21" t="s">
        <v>5796</v>
      </c>
      <c r="F545" s="23"/>
      <c r="G545" s="23">
        <f t="shared" si="2"/>
        <v>2055.09</v>
      </c>
      <c r="H545" s="23"/>
      <c r="I545" s="23"/>
    </row>
    <row r="546" spans="1:9">
      <c r="A546" s="21" t="s">
        <v>6150</v>
      </c>
      <c r="B546" s="21" t="s">
        <v>3367</v>
      </c>
      <c r="C546" s="22">
        <v>1061</v>
      </c>
      <c r="D546" s="21">
        <v>994.97</v>
      </c>
      <c r="E546" s="21" t="s">
        <v>5796</v>
      </c>
      <c r="F546" s="23"/>
      <c r="G546" s="23">
        <f t="shared" si="2"/>
        <v>994.97</v>
      </c>
      <c r="H546" s="23"/>
      <c r="I546" s="23"/>
    </row>
    <row r="547" spans="1:9">
      <c r="A547" s="21" t="s">
        <v>6151</v>
      </c>
      <c r="B547" s="21" t="s">
        <v>2155</v>
      </c>
      <c r="C547" s="22">
        <v>669</v>
      </c>
      <c r="D547" s="21">
        <v>2843.6</v>
      </c>
      <c r="E547" s="21" t="s">
        <v>5796</v>
      </c>
      <c r="F547" s="23"/>
      <c r="G547" s="23">
        <f t="shared" si="2"/>
        <v>2843.6</v>
      </c>
      <c r="H547" s="23"/>
      <c r="I547" s="23"/>
    </row>
    <row r="548" spans="1:9">
      <c r="A548" s="21" t="s">
        <v>6152</v>
      </c>
      <c r="B548" s="21" t="s">
        <v>5355</v>
      </c>
      <c r="C548" s="22">
        <v>2724</v>
      </c>
      <c r="D548" s="21">
        <v>44.8</v>
      </c>
      <c r="E548" s="21" t="s">
        <v>5796</v>
      </c>
      <c r="F548" s="23"/>
      <c r="G548" s="23">
        <f t="shared" si="2"/>
        <v>44.8</v>
      </c>
      <c r="H548" s="23"/>
      <c r="I548" s="23"/>
    </row>
    <row r="549" spans="1:9">
      <c r="A549" s="21" t="s">
        <v>6153</v>
      </c>
      <c r="B549" s="21" t="s">
        <v>5080</v>
      </c>
      <c r="C549" s="22">
        <v>2164</v>
      </c>
      <c r="D549" s="21">
        <v>109.65</v>
      </c>
      <c r="E549" s="21" t="s">
        <v>5796</v>
      </c>
      <c r="F549" s="23"/>
      <c r="G549" s="23">
        <f t="shared" si="2"/>
        <v>109.65</v>
      </c>
      <c r="H549" s="23"/>
      <c r="I549" s="23"/>
    </row>
    <row r="550" spans="1:9">
      <c r="A550" s="21" t="s">
        <v>6154</v>
      </c>
      <c r="B550" s="21" t="s">
        <v>6155</v>
      </c>
      <c r="C550" s="22">
        <v>4507</v>
      </c>
      <c r="D550" s="21">
        <v>3.18</v>
      </c>
      <c r="E550" s="21" t="s">
        <v>5796</v>
      </c>
      <c r="F550" s="23"/>
      <c r="G550" s="23">
        <f t="shared" si="2"/>
        <v>3.18</v>
      </c>
      <c r="H550" s="23"/>
      <c r="I550" s="23"/>
    </row>
    <row r="551" spans="1:9">
      <c r="A551" s="21" t="s">
        <v>6156</v>
      </c>
      <c r="B551" s="21" t="s">
        <v>1604</v>
      </c>
      <c r="C551" s="22">
        <v>455</v>
      </c>
      <c r="D551" s="21">
        <v>6092.58</v>
      </c>
      <c r="E551" s="21" t="s">
        <v>5796</v>
      </c>
      <c r="F551" s="23"/>
      <c r="G551" s="23">
        <f t="shared" si="2"/>
        <v>6092.58</v>
      </c>
      <c r="H551" s="23"/>
      <c r="I551" s="23"/>
    </row>
    <row r="552" spans="1:9">
      <c r="A552" s="21" t="s">
        <v>1911</v>
      </c>
      <c r="B552" s="21" t="s">
        <v>1913</v>
      </c>
      <c r="C552" s="22">
        <v>632</v>
      </c>
      <c r="D552" s="21">
        <v>3252.77</v>
      </c>
      <c r="E552" s="21" t="s">
        <v>5796</v>
      </c>
      <c r="F552" s="23"/>
      <c r="G552" s="23">
        <f t="shared" si="2"/>
        <v>3252.77</v>
      </c>
      <c r="H552" s="23"/>
      <c r="I552" s="23"/>
    </row>
    <row r="553" spans="1:9">
      <c r="A553" s="21" t="s">
        <v>6157</v>
      </c>
      <c r="B553" s="21" t="s">
        <v>6158</v>
      </c>
      <c r="C553" s="22">
        <v>875</v>
      </c>
      <c r="D553" s="21">
        <v>1598.04</v>
      </c>
      <c r="E553" s="21" t="s">
        <v>5796</v>
      </c>
      <c r="F553" s="23"/>
      <c r="G553" s="23">
        <f t="shared" si="2"/>
        <v>1598.04</v>
      </c>
      <c r="H553" s="23"/>
      <c r="I553" s="23"/>
    </row>
    <row r="554" spans="1:9">
      <c r="A554" s="21" t="s">
        <v>6159</v>
      </c>
      <c r="B554" s="21" t="s">
        <v>6160</v>
      </c>
      <c r="C554" s="22">
        <v>3313</v>
      </c>
      <c r="D554" s="21">
        <v>19.14</v>
      </c>
      <c r="E554" s="21" t="s">
        <v>5796</v>
      </c>
      <c r="F554" s="23"/>
      <c r="G554" s="23">
        <f t="shared" si="2"/>
        <v>19.14</v>
      </c>
      <c r="H554" s="23"/>
      <c r="I554" s="23"/>
    </row>
    <row r="555" spans="1:9">
      <c r="A555" s="21" t="s">
        <v>5042</v>
      </c>
      <c r="B555" s="21" t="s">
        <v>5044</v>
      </c>
      <c r="C555" s="22">
        <v>2105</v>
      </c>
      <c r="D555" s="21">
        <v>119.92</v>
      </c>
      <c r="E555" s="21" t="s">
        <v>5796</v>
      </c>
      <c r="F555" s="23"/>
      <c r="G555" s="23">
        <f t="shared" si="2"/>
        <v>119.92</v>
      </c>
      <c r="H555" s="23"/>
      <c r="I555" s="23"/>
    </row>
    <row r="556" spans="1:9">
      <c r="A556" s="21" t="s">
        <v>4157</v>
      </c>
      <c r="B556" s="21" t="s">
        <v>4159</v>
      </c>
      <c r="C556" s="22">
        <v>1566</v>
      </c>
      <c r="D556" s="21">
        <v>307.10000000000002</v>
      </c>
      <c r="E556" s="21" t="s">
        <v>5796</v>
      </c>
      <c r="F556" s="23"/>
      <c r="G556" s="23">
        <f t="shared" si="2"/>
        <v>307.10000000000002</v>
      </c>
      <c r="H556" s="23"/>
      <c r="I556" s="23"/>
    </row>
    <row r="557" spans="1:9">
      <c r="A557" s="21" t="s">
        <v>6161</v>
      </c>
      <c r="B557" s="21" t="s">
        <v>4282</v>
      </c>
      <c r="C557" s="22">
        <v>1932</v>
      </c>
      <c r="D557" s="21">
        <v>159.18</v>
      </c>
      <c r="E557" s="21" t="s">
        <v>5796</v>
      </c>
      <c r="F557" s="23"/>
      <c r="G557" s="23">
        <f t="shared" si="2"/>
        <v>159.18</v>
      </c>
      <c r="H557" s="23"/>
      <c r="I557" s="23"/>
    </row>
    <row r="558" spans="1:9">
      <c r="A558" s="21" t="s">
        <v>4562</v>
      </c>
      <c r="B558" s="21" t="s">
        <v>4564</v>
      </c>
      <c r="C558" s="22">
        <v>1659</v>
      </c>
      <c r="D558" s="21">
        <v>255.92</v>
      </c>
      <c r="E558" s="21" t="s">
        <v>5796</v>
      </c>
      <c r="F558" s="23"/>
      <c r="G558" s="23">
        <f t="shared" si="2"/>
        <v>255.92</v>
      </c>
      <c r="H558" s="23"/>
      <c r="I558" s="23"/>
    </row>
    <row r="559" spans="1:9">
      <c r="A559" s="21" t="s">
        <v>6162</v>
      </c>
      <c r="B559" s="21" t="s">
        <v>3151</v>
      </c>
      <c r="C559" s="22">
        <v>932</v>
      </c>
      <c r="D559" s="21">
        <v>1372.91</v>
      </c>
      <c r="E559" s="21" t="s">
        <v>5796</v>
      </c>
      <c r="F559" s="23"/>
      <c r="G559" s="23">
        <f t="shared" si="2"/>
        <v>1372.91</v>
      </c>
      <c r="H559" s="23"/>
      <c r="I559" s="23"/>
    </row>
    <row r="560" spans="1:9">
      <c r="A560" s="21" t="s">
        <v>6163</v>
      </c>
      <c r="B560" s="21" t="s">
        <v>3997</v>
      </c>
      <c r="C560" s="22">
        <v>1440</v>
      </c>
      <c r="D560" s="21">
        <v>387.92</v>
      </c>
      <c r="E560" s="21" t="s">
        <v>5796</v>
      </c>
      <c r="F560" s="23"/>
      <c r="G560" s="23">
        <f t="shared" si="2"/>
        <v>387.92</v>
      </c>
      <c r="H560" s="23"/>
      <c r="I560" s="23"/>
    </row>
    <row r="561" spans="1:9">
      <c r="A561" s="21" t="s">
        <v>6164</v>
      </c>
      <c r="B561" s="21" t="s">
        <v>1706</v>
      </c>
      <c r="C561" s="22">
        <v>729</v>
      </c>
      <c r="D561" s="21">
        <v>2352.62</v>
      </c>
      <c r="E561" s="21" t="s">
        <v>5796</v>
      </c>
      <c r="F561" s="23"/>
      <c r="G561" s="23">
        <f t="shared" si="2"/>
        <v>2352.62</v>
      </c>
      <c r="H561" s="23"/>
      <c r="I561" s="23"/>
    </row>
    <row r="562" spans="1:9">
      <c r="A562" s="21" t="s">
        <v>3080</v>
      </c>
      <c r="B562" s="21" t="s">
        <v>3082</v>
      </c>
      <c r="C562" s="22">
        <v>1032</v>
      </c>
      <c r="D562" s="21">
        <v>1068.18</v>
      </c>
      <c r="E562" s="21" t="s">
        <v>5796</v>
      </c>
      <c r="F562" s="23"/>
      <c r="G562" s="23">
        <f t="shared" si="2"/>
        <v>1068.18</v>
      </c>
      <c r="H562" s="23"/>
      <c r="I562" s="23"/>
    </row>
    <row r="563" spans="1:9">
      <c r="A563" s="21" t="s">
        <v>3203</v>
      </c>
      <c r="B563" s="21" t="s">
        <v>3205</v>
      </c>
      <c r="C563" s="22">
        <v>1100</v>
      </c>
      <c r="D563" s="21">
        <v>868.97</v>
      </c>
      <c r="E563" s="21" t="s">
        <v>5796</v>
      </c>
      <c r="F563" s="23"/>
      <c r="G563" s="23">
        <f t="shared" si="2"/>
        <v>868.97</v>
      </c>
      <c r="H563" s="23"/>
      <c r="I563" s="23"/>
    </row>
    <row r="564" spans="1:9">
      <c r="A564" s="21" t="s">
        <v>6165</v>
      </c>
      <c r="B564" s="21" t="s">
        <v>1106</v>
      </c>
      <c r="C564" s="22">
        <v>360</v>
      </c>
      <c r="D564" s="21">
        <v>9411.2000000000007</v>
      </c>
      <c r="E564" s="21" t="s">
        <v>5796</v>
      </c>
      <c r="F564" s="23"/>
      <c r="G564" s="23">
        <f t="shared" si="2"/>
        <v>9411.2000000000007</v>
      </c>
      <c r="H564" s="23"/>
      <c r="I564" s="23"/>
    </row>
    <row r="565" spans="1:9">
      <c r="A565" s="21" t="s">
        <v>1305</v>
      </c>
      <c r="B565" s="21" t="s">
        <v>1307</v>
      </c>
      <c r="C565" s="22">
        <v>589</v>
      </c>
      <c r="D565" s="21">
        <v>3862.49</v>
      </c>
      <c r="E565" s="21" t="s">
        <v>5796</v>
      </c>
      <c r="F565" s="23"/>
      <c r="G565" s="23">
        <f t="shared" si="2"/>
        <v>3862.49</v>
      </c>
      <c r="H565" s="23"/>
      <c r="I565" s="23"/>
    </row>
    <row r="566" spans="1:9">
      <c r="A566" s="21" t="s">
        <v>6166</v>
      </c>
      <c r="B566" s="21" t="s">
        <v>3451</v>
      </c>
      <c r="C566" s="22">
        <v>1227</v>
      </c>
      <c r="D566" s="21">
        <v>640.83000000000004</v>
      </c>
      <c r="E566" s="21" t="s">
        <v>5796</v>
      </c>
      <c r="F566" s="23"/>
      <c r="G566" s="23">
        <f t="shared" si="2"/>
        <v>640.83000000000004</v>
      </c>
      <c r="H566" s="23"/>
      <c r="I566" s="23"/>
    </row>
    <row r="567" spans="1:9">
      <c r="A567" s="21" t="s">
        <v>6167</v>
      </c>
      <c r="B567" s="21" t="s">
        <v>6168</v>
      </c>
      <c r="C567" s="22">
        <v>3322</v>
      </c>
      <c r="D567" s="21">
        <v>18.940000000000001</v>
      </c>
      <c r="E567" s="21" t="s">
        <v>5796</v>
      </c>
      <c r="F567" s="23"/>
      <c r="G567" s="23">
        <f t="shared" si="2"/>
        <v>18.940000000000001</v>
      </c>
      <c r="H567" s="23"/>
      <c r="I567" s="23"/>
    </row>
    <row r="568" spans="1:9">
      <c r="A568" s="21" t="s">
        <v>6169</v>
      </c>
      <c r="B568" s="21" t="s">
        <v>1766</v>
      </c>
      <c r="C568" s="22">
        <v>524</v>
      </c>
      <c r="D568" s="21">
        <v>4753.45</v>
      </c>
      <c r="E568" s="21" t="s">
        <v>5796</v>
      </c>
      <c r="F568" s="23"/>
      <c r="G568" s="23">
        <f t="shared" si="2"/>
        <v>4753.45</v>
      </c>
      <c r="H568" s="23"/>
      <c r="I568" s="23"/>
    </row>
    <row r="569" spans="1:9">
      <c r="A569" s="21" t="s">
        <v>3668</v>
      </c>
      <c r="B569" s="21" t="s">
        <v>3670</v>
      </c>
      <c r="C569" s="22">
        <v>1231</v>
      </c>
      <c r="D569" s="21">
        <v>632.79</v>
      </c>
      <c r="E569" s="21" t="s">
        <v>5796</v>
      </c>
      <c r="F569" s="23"/>
      <c r="G569" s="23">
        <f t="shared" si="2"/>
        <v>632.79</v>
      </c>
      <c r="H569" s="23"/>
      <c r="I569" s="23"/>
    </row>
    <row r="570" spans="1:9">
      <c r="A570" s="21" t="s">
        <v>6170</v>
      </c>
      <c r="B570" s="21" t="s">
        <v>3334</v>
      </c>
      <c r="C570" s="22">
        <v>1076</v>
      </c>
      <c r="D570" s="21">
        <v>953.74</v>
      </c>
      <c r="E570" s="21" t="s">
        <v>5796</v>
      </c>
      <c r="F570" s="23"/>
      <c r="G570" s="23">
        <f t="shared" si="2"/>
        <v>953.74</v>
      </c>
      <c r="H570" s="23"/>
      <c r="I570" s="23"/>
    </row>
    <row r="571" spans="1:9">
      <c r="A571" s="24" t="s">
        <v>492</v>
      </c>
      <c r="B571" s="24" t="s">
        <v>494</v>
      </c>
      <c r="C571" s="25">
        <v>174</v>
      </c>
      <c r="D571" s="24">
        <v>28773.64</v>
      </c>
      <c r="E571" s="24" t="s">
        <v>5800</v>
      </c>
      <c r="F571" s="26"/>
      <c r="G571" s="23">
        <f t="shared" si="2"/>
        <v>28773.64</v>
      </c>
      <c r="H571" s="26"/>
      <c r="I571" s="26"/>
    </row>
    <row r="572" spans="1:9">
      <c r="A572" s="21" t="s">
        <v>6171</v>
      </c>
      <c r="B572" s="21" t="s">
        <v>4744</v>
      </c>
      <c r="C572" s="22">
        <v>1989</v>
      </c>
      <c r="D572" s="21">
        <v>146.6</v>
      </c>
      <c r="E572" s="21" t="s">
        <v>5796</v>
      </c>
      <c r="F572" s="23"/>
      <c r="G572" s="23">
        <f t="shared" si="2"/>
        <v>146.6</v>
      </c>
      <c r="H572" s="23"/>
      <c r="I572" s="23"/>
    </row>
    <row r="573" spans="1:9">
      <c r="A573" s="21" t="s">
        <v>6172</v>
      </c>
      <c r="B573" s="21" t="s">
        <v>827</v>
      </c>
      <c r="C573" s="22">
        <v>271</v>
      </c>
      <c r="D573" s="21">
        <v>15077.71</v>
      </c>
      <c r="E573" s="21" t="s">
        <v>5796</v>
      </c>
      <c r="F573" s="23"/>
      <c r="G573" s="23">
        <f t="shared" si="2"/>
        <v>15077.71</v>
      </c>
      <c r="H573" s="23"/>
      <c r="I573" s="23"/>
    </row>
    <row r="574" spans="1:9">
      <c r="A574" s="21" t="s">
        <v>6173</v>
      </c>
      <c r="B574" s="21" t="s">
        <v>4612</v>
      </c>
      <c r="C574" s="22">
        <v>1790</v>
      </c>
      <c r="D574" s="21">
        <v>199.73</v>
      </c>
      <c r="E574" s="21" t="s">
        <v>5796</v>
      </c>
      <c r="F574" s="23"/>
      <c r="G574" s="23">
        <f t="shared" si="2"/>
        <v>199.73</v>
      </c>
      <c r="H574" s="23"/>
      <c r="I574" s="23"/>
    </row>
    <row r="575" spans="1:9">
      <c r="A575" s="21" t="s">
        <v>6174</v>
      </c>
      <c r="B575" s="21" t="s">
        <v>2635</v>
      </c>
      <c r="C575" s="22">
        <v>958</v>
      </c>
      <c r="D575" s="21">
        <v>1296.83</v>
      </c>
      <c r="E575" s="21" t="s">
        <v>5796</v>
      </c>
      <c r="F575" s="23"/>
      <c r="G575" s="23">
        <f t="shared" si="2"/>
        <v>1296.83</v>
      </c>
      <c r="H575" s="23"/>
      <c r="I575" s="23"/>
    </row>
    <row r="576" spans="1:9">
      <c r="A576" s="21" t="s">
        <v>6175</v>
      </c>
      <c r="B576" s="21" t="s">
        <v>6176</v>
      </c>
      <c r="C576" s="22">
        <v>2319</v>
      </c>
      <c r="D576" s="21">
        <v>84.36</v>
      </c>
      <c r="E576" s="21" t="s">
        <v>5796</v>
      </c>
      <c r="F576" s="23"/>
      <c r="G576" s="23">
        <f t="shared" si="2"/>
        <v>84.36</v>
      </c>
      <c r="H576" s="23"/>
      <c r="I576" s="23"/>
    </row>
    <row r="577" spans="1:9">
      <c r="A577" s="21" t="s">
        <v>6177</v>
      </c>
      <c r="B577" s="21" t="s">
        <v>3649</v>
      </c>
      <c r="C577" s="22">
        <v>1509</v>
      </c>
      <c r="D577" s="21">
        <v>339.66</v>
      </c>
      <c r="E577" s="21" t="s">
        <v>5796</v>
      </c>
      <c r="F577" s="23"/>
      <c r="G577" s="23">
        <f t="shared" si="2"/>
        <v>339.66</v>
      </c>
      <c r="H577" s="23"/>
      <c r="I577" s="23"/>
    </row>
    <row r="578" spans="1:9">
      <c r="A578" s="24" t="s">
        <v>675</v>
      </c>
      <c r="B578" s="24" t="s">
        <v>677</v>
      </c>
      <c r="C578" s="25">
        <v>218</v>
      </c>
      <c r="D578" s="24">
        <v>20506.939999999999</v>
      </c>
      <c r="E578" s="24" t="s">
        <v>5800</v>
      </c>
      <c r="F578" s="26"/>
      <c r="G578" s="23">
        <f t="shared" si="2"/>
        <v>20506.939999999999</v>
      </c>
      <c r="H578" s="26"/>
      <c r="I578" s="26"/>
    </row>
    <row r="579" spans="1:9">
      <c r="A579" s="24" t="s">
        <v>6178</v>
      </c>
      <c r="B579" s="24" t="s">
        <v>686</v>
      </c>
      <c r="C579" s="25">
        <v>207</v>
      </c>
      <c r="D579" s="24">
        <v>22053</v>
      </c>
      <c r="E579" s="24" t="s">
        <v>5800</v>
      </c>
      <c r="F579" s="26"/>
      <c r="G579" s="23">
        <f t="shared" si="2"/>
        <v>22053</v>
      </c>
      <c r="H579" s="26"/>
      <c r="I579" s="26"/>
    </row>
    <row r="580" spans="1:9">
      <c r="A580" s="21" t="s">
        <v>6179</v>
      </c>
      <c r="B580" s="21" t="s">
        <v>758</v>
      </c>
      <c r="C580" s="22">
        <v>280</v>
      </c>
      <c r="D580" s="21">
        <v>14149.37</v>
      </c>
      <c r="E580" s="21" t="s">
        <v>5796</v>
      </c>
      <c r="F580" s="23"/>
      <c r="G580" s="23">
        <f t="shared" si="2"/>
        <v>14149.37</v>
      </c>
      <c r="H580" s="23"/>
      <c r="I580" s="23"/>
    </row>
    <row r="581" spans="1:9">
      <c r="A581" s="21" t="s">
        <v>6180</v>
      </c>
      <c r="B581" s="21" t="s">
        <v>5739</v>
      </c>
      <c r="C581" s="22">
        <v>3943</v>
      </c>
      <c r="D581" s="21">
        <v>7.56</v>
      </c>
      <c r="E581" s="21" t="s">
        <v>5796</v>
      </c>
      <c r="F581" s="23"/>
      <c r="G581" s="23">
        <f t="shared" si="2"/>
        <v>7.56</v>
      </c>
      <c r="H581" s="23"/>
      <c r="I581" s="23"/>
    </row>
    <row r="582" spans="1:9">
      <c r="A582" s="21" t="s">
        <v>6181</v>
      </c>
      <c r="B582" s="21" t="s">
        <v>4102</v>
      </c>
      <c r="C582" s="22">
        <v>1430</v>
      </c>
      <c r="D582" s="21">
        <v>393.14</v>
      </c>
      <c r="E582" s="21" t="s">
        <v>5796</v>
      </c>
      <c r="F582" s="23"/>
      <c r="G582" s="23">
        <f t="shared" si="2"/>
        <v>393.14</v>
      </c>
      <c r="H582" s="23"/>
      <c r="I582" s="23"/>
    </row>
    <row r="583" spans="1:9">
      <c r="A583" s="21" t="s">
        <v>6182</v>
      </c>
      <c r="B583" s="21" t="s">
        <v>5071</v>
      </c>
      <c r="C583" s="22">
        <v>2341</v>
      </c>
      <c r="D583" s="21">
        <v>80.23</v>
      </c>
      <c r="E583" s="21" t="s">
        <v>5796</v>
      </c>
      <c r="F583" s="23"/>
      <c r="G583" s="23">
        <f t="shared" si="2"/>
        <v>80.23</v>
      </c>
      <c r="H583" s="23"/>
      <c r="I583" s="23"/>
    </row>
    <row r="584" spans="1:9">
      <c r="A584" s="21" t="s">
        <v>6183</v>
      </c>
      <c r="B584" s="21" t="s">
        <v>5445</v>
      </c>
      <c r="C584" s="22">
        <v>2643</v>
      </c>
      <c r="D584" s="21">
        <v>49.94</v>
      </c>
      <c r="E584" s="21" t="s">
        <v>5796</v>
      </c>
      <c r="F584" s="23"/>
      <c r="G584" s="23">
        <f t="shared" si="2"/>
        <v>49.94</v>
      </c>
      <c r="H584" s="23"/>
      <c r="I584" s="23"/>
    </row>
    <row r="585" spans="1:9">
      <c r="A585" s="21" t="s">
        <v>2393</v>
      </c>
      <c r="B585" s="21" t="s">
        <v>2395</v>
      </c>
      <c r="C585" s="22">
        <v>691</v>
      </c>
      <c r="D585" s="21">
        <v>2615.29</v>
      </c>
      <c r="E585" s="21" t="s">
        <v>5796</v>
      </c>
      <c r="F585" s="23"/>
      <c r="G585" s="23">
        <f t="shared" si="2"/>
        <v>2615.29</v>
      </c>
      <c r="H585" s="23"/>
      <c r="I585" s="23"/>
    </row>
    <row r="586" spans="1:9">
      <c r="A586" s="21" t="s">
        <v>1437</v>
      </c>
      <c r="B586" s="21" t="s">
        <v>1439</v>
      </c>
      <c r="C586" s="22">
        <v>479</v>
      </c>
      <c r="D586" s="21">
        <v>5574.9</v>
      </c>
      <c r="E586" s="21" t="s">
        <v>5796</v>
      </c>
      <c r="F586" s="23"/>
      <c r="G586" s="23">
        <f t="shared" si="2"/>
        <v>5574.9</v>
      </c>
      <c r="H586" s="23"/>
      <c r="I586" s="23"/>
    </row>
    <row r="587" spans="1:9">
      <c r="A587" s="21" t="s">
        <v>6184</v>
      </c>
      <c r="B587" s="21" t="s">
        <v>3232</v>
      </c>
      <c r="C587" s="22">
        <v>1042</v>
      </c>
      <c r="D587" s="21">
        <v>1045.67</v>
      </c>
      <c r="E587" s="21" t="s">
        <v>5796</v>
      </c>
      <c r="F587" s="23"/>
      <c r="G587" s="23">
        <f t="shared" si="2"/>
        <v>1045.67</v>
      </c>
      <c r="H587" s="23"/>
      <c r="I587" s="23"/>
    </row>
    <row r="588" spans="1:9">
      <c r="A588" s="21" t="s">
        <v>6185</v>
      </c>
      <c r="B588" s="21" t="s">
        <v>1280</v>
      </c>
      <c r="C588" s="22">
        <v>525</v>
      </c>
      <c r="D588" s="21">
        <v>4718.04</v>
      </c>
      <c r="E588" s="21" t="s">
        <v>5796</v>
      </c>
      <c r="F588" s="23"/>
      <c r="G588" s="23">
        <f t="shared" si="2"/>
        <v>4718.04</v>
      </c>
      <c r="H588" s="23"/>
      <c r="I588" s="23"/>
    </row>
    <row r="589" spans="1:9">
      <c r="A589" s="21" t="s">
        <v>6186</v>
      </c>
      <c r="B589" s="21" t="s">
        <v>1493</v>
      </c>
      <c r="C589" s="22">
        <v>427</v>
      </c>
      <c r="D589" s="21">
        <v>6826.55</v>
      </c>
      <c r="E589" s="21" t="s">
        <v>5796</v>
      </c>
      <c r="F589" s="23"/>
      <c r="G589" s="23">
        <f t="shared" si="2"/>
        <v>6826.55</v>
      </c>
      <c r="H589" s="23"/>
      <c r="I589" s="23"/>
    </row>
    <row r="590" spans="1:9">
      <c r="A590" s="24" t="s">
        <v>6187</v>
      </c>
      <c r="B590" s="24" t="s">
        <v>539</v>
      </c>
      <c r="C590" s="25">
        <v>193</v>
      </c>
      <c r="D590" s="24">
        <v>25068.89</v>
      </c>
      <c r="E590" s="24" t="s">
        <v>5800</v>
      </c>
      <c r="F590" s="26"/>
      <c r="G590" s="23">
        <f t="shared" si="2"/>
        <v>25068.89</v>
      </c>
      <c r="H590" s="26"/>
      <c r="I590" s="26"/>
    </row>
    <row r="591" spans="1:9">
      <c r="A591" s="21" t="s">
        <v>2708</v>
      </c>
      <c r="B591" s="21" t="s">
        <v>2710</v>
      </c>
      <c r="C591" s="22">
        <v>1011</v>
      </c>
      <c r="D591" s="21">
        <v>1115.48</v>
      </c>
      <c r="E591" s="21" t="s">
        <v>5796</v>
      </c>
      <c r="F591" s="23"/>
      <c r="G591" s="23">
        <f t="shared" si="2"/>
        <v>1115.48</v>
      </c>
      <c r="H591" s="23"/>
      <c r="I591" s="23"/>
    </row>
    <row r="592" spans="1:9">
      <c r="A592" s="21" t="s">
        <v>6188</v>
      </c>
      <c r="B592" s="21" t="s">
        <v>2728</v>
      </c>
      <c r="C592" s="22">
        <v>850</v>
      </c>
      <c r="D592" s="21">
        <v>1724.79</v>
      </c>
      <c r="E592" s="21" t="s">
        <v>5796</v>
      </c>
      <c r="F592" s="23"/>
      <c r="G592" s="23">
        <f t="shared" si="2"/>
        <v>1724.79</v>
      </c>
      <c r="H592" s="23"/>
      <c r="I592" s="23"/>
    </row>
    <row r="593" spans="1:9">
      <c r="A593" s="21" t="s">
        <v>6189</v>
      </c>
      <c r="B593" s="21" t="s">
        <v>1223</v>
      </c>
      <c r="C593" s="22">
        <v>374</v>
      </c>
      <c r="D593" s="21">
        <v>8735.33</v>
      </c>
      <c r="E593" s="21" t="s">
        <v>5796</v>
      </c>
      <c r="F593" s="23"/>
      <c r="G593" s="23">
        <f t="shared" si="2"/>
        <v>8735.33</v>
      </c>
      <c r="H593" s="23"/>
      <c r="I593" s="23"/>
    </row>
    <row r="594" spans="1:9">
      <c r="A594" s="21" t="s">
        <v>6190</v>
      </c>
      <c r="B594" s="21" t="s">
        <v>3991</v>
      </c>
      <c r="C594" s="22">
        <v>1353</v>
      </c>
      <c r="D594" s="21">
        <v>452.44</v>
      </c>
      <c r="E594" s="21" t="s">
        <v>5796</v>
      </c>
      <c r="F594" s="23"/>
      <c r="G594" s="23">
        <f t="shared" si="2"/>
        <v>452.44</v>
      </c>
      <c r="H594" s="23"/>
      <c r="I594" s="23"/>
    </row>
    <row r="595" spans="1:9">
      <c r="A595" s="21" t="s">
        <v>2531</v>
      </c>
      <c r="B595" s="21" t="s">
        <v>2533</v>
      </c>
      <c r="C595" s="22">
        <v>871</v>
      </c>
      <c r="D595" s="21">
        <v>1611.94</v>
      </c>
      <c r="E595" s="21" t="s">
        <v>5796</v>
      </c>
      <c r="F595" s="23"/>
      <c r="G595" s="23">
        <f t="shared" si="2"/>
        <v>1611.94</v>
      </c>
      <c r="H595" s="23"/>
      <c r="I595" s="23"/>
    </row>
    <row r="596" spans="1:9">
      <c r="A596" s="21" t="s">
        <v>1569</v>
      </c>
      <c r="B596" s="21" t="s">
        <v>1571</v>
      </c>
      <c r="C596" s="22">
        <v>469</v>
      </c>
      <c r="D596" s="21">
        <v>5746.6</v>
      </c>
      <c r="E596" s="21" t="s">
        <v>5796</v>
      </c>
      <c r="F596" s="23"/>
      <c r="G596" s="23">
        <f t="shared" si="2"/>
        <v>5746.6</v>
      </c>
      <c r="H596" s="23"/>
      <c r="I596" s="23"/>
    </row>
    <row r="597" spans="1:9">
      <c r="A597" s="21" t="s">
        <v>6191</v>
      </c>
      <c r="B597" s="21" t="s">
        <v>1184</v>
      </c>
      <c r="C597" s="22">
        <v>361</v>
      </c>
      <c r="D597" s="21">
        <v>9351.06</v>
      </c>
      <c r="E597" s="21" t="s">
        <v>5796</v>
      </c>
      <c r="F597" s="23"/>
      <c r="G597" s="23">
        <f t="shared" si="2"/>
        <v>9351.06</v>
      </c>
      <c r="H597" s="23"/>
      <c r="I597" s="23"/>
    </row>
    <row r="598" spans="1:9">
      <c r="A598" s="21" t="s">
        <v>6192</v>
      </c>
      <c r="B598" s="21" t="s">
        <v>5442</v>
      </c>
      <c r="C598" s="22">
        <v>2674</v>
      </c>
      <c r="D598" s="21">
        <v>47.68</v>
      </c>
      <c r="E598" s="21" t="s">
        <v>5796</v>
      </c>
      <c r="F598" s="23"/>
      <c r="G598" s="23">
        <f t="shared" si="2"/>
        <v>47.68</v>
      </c>
      <c r="H598" s="23"/>
      <c r="I598" s="23"/>
    </row>
    <row r="599" spans="1:9">
      <c r="A599" s="21" t="s">
        <v>1284</v>
      </c>
      <c r="B599" s="21" t="s">
        <v>1286</v>
      </c>
      <c r="C599" s="22">
        <v>378</v>
      </c>
      <c r="D599" s="21">
        <v>8449.92</v>
      </c>
      <c r="E599" s="21" t="s">
        <v>5796</v>
      </c>
      <c r="F599" s="23"/>
      <c r="G599" s="23">
        <f t="shared" si="2"/>
        <v>8449.92</v>
      </c>
      <c r="H599" s="23"/>
      <c r="I599" s="23"/>
    </row>
    <row r="600" spans="1:9">
      <c r="A600" s="27" t="s">
        <v>6193</v>
      </c>
      <c r="B600" s="27" t="s">
        <v>176</v>
      </c>
      <c r="C600" s="28">
        <v>52</v>
      </c>
      <c r="D600" s="27">
        <v>98946.61</v>
      </c>
      <c r="E600" s="27" t="s">
        <v>5815</v>
      </c>
      <c r="F600" s="29"/>
      <c r="G600" s="23">
        <f t="shared" si="2"/>
        <v>98946.61</v>
      </c>
      <c r="H600" s="29"/>
      <c r="I600" s="29"/>
    </row>
    <row r="601" spans="1:9">
      <c r="A601" s="21" t="s">
        <v>6194</v>
      </c>
      <c r="B601" s="21" t="s">
        <v>818</v>
      </c>
      <c r="C601" s="22">
        <v>274</v>
      </c>
      <c r="D601" s="21">
        <v>14980.48</v>
      </c>
      <c r="E601" s="21" t="s">
        <v>5796</v>
      </c>
      <c r="F601" s="23"/>
      <c r="G601" s="23">
        <f t="shared" si="2"/>
        <v>14980.48</v>
      </c>
      <c r="H601" s="23"/>
      <c r="I601" s="23"/>
    </row>
    <row r="602" spans="1:9">
      <c r="A602" s="24" t="s">
        <v>432</v>
      </c>
      <c r="B602" s="24" t="s">
        <v>434</v>
      </c>
      <c r="C602" s="25">
        <v>150</v>
      </c>
      <c r="D602" s="24">
        <v>35072.21</v>
      </c>
      <c r="E602" s="24" t="s">
        <v>5800</v>
      </c>
      <c r="F602" s="26"/>
      <c r="G602" s="23">
        <f t="shared" si="2"/>
        <v>35072.21</v>
      </c>
      <c r="H602" s="26"/>
      <c r="I602" s="26"/>
    </row>
    <row r="603" spans="1:9">
      <c r="A603" s="21" t="s">
        <v>6195</v>
      </c>
      <c r="B603" s="21" t="s">
        <v>6196</v>
      </c>
      <c r="C603" s="22">
        <v>2971</v>
      </c>
      <c r="D603" s="21">
        <v>31.54</v>
      </c>
      <c r="E603" s="21" t="s">
        <v>5796</v>
      </c>
      <c r="F603" s="23"/>
      <c r="G603" s="23">
        <f t="shared" si="2"/>
        <v>31.54</v>
      </c>
      <c r="H603" s="23"/>
      <c r="I603" s="23"/>
    </row>
    <row r="604" spans="1:9">
      <c r="A604" s="21" t="s">
        <v>6197</v>
      </c>
      <c r="B604" s="21" t="s">
        <v>1895</v>
      </c>
      <c r="C604" s="22">
        <v>722</v>
      </c>
      <c r="D604" s="21">
        <v>2391.34</v>
      </c>
      <c r="E604" s="21" t="s">
        <v>5796</v>
      </c>
      <c r="F604" s="23"/>
      <c r="G604" s="23">
        <f t="shared" si="2"/>
        <v>2391.34</v>
      </c>
      <c r="H604" s="23"/>
      <c r="I604" s="23"/>
    </row>
    <row r="605" spans="1:9">
      <c r="A605" s="21" t="s">
        <v>4250</v>
      </c>
      <c r="B605" s="21" t="s">
        <v>4252</v>
      </c>
      <c r="C605" s="22">
        <v>1544</v>
      </c>
      <c r="D605" s="21">
        <v>319.56</v>
      </c>
      <c r="E605" s="21" t="s">
        <v>5796</v>
      </c>
      <c r="F605" s="23"/>
      <c r="G605" s="23">
        <f t="shared" si="2"/>
        <v>319.56</v>
      </c>
      <c r="H605" s="23"/>
      <c r="I605" s="23"/>
    </row>
    <row r="606" spans="1:9">
      <c r="A606" s="21" t="s">
        <v>6198</v>
      </c>
      <c r="B606" s="21" t="s">
        <v>2878</v>
      </c>
      <c r="C606" s="22">
        <v>866</v>
      </c>
      <c r="D606" s="21">
        <v>1630.21</v>
      </c>
      <c r="E606" s="21" t="s">
        <v>5796</v>
      </c>
      <c r="F606" s="23"/>
      <c r="G606" s="23">
        <f t="shared" si="2"/>
        <v>1630.21</v>
      </c>
      <c r="H606" s="23"/>
      <c r="I606" s="23"/>
    </row>
    <row r="607" spans="1:9">
      <c r="A607" s="21" t="s">
        <v>6199</v>
      </c>
      <c r="B607" s="21" t="s">
        <v>5268</v>
      </c>
      <c r="C607" s="22">
        <v>2262</v>
      </c>
      <c r="D607" s="21">
        <v>93.05</v>
      </c>
      <c r="E607" s="21" t="s">
        <v>5796</v>
      </c>
      <c r="F607" s="23"/>
      <c r="G607" s="23">
        <f t="shared" si="2"/>
        <v>93.05</v>
      </c>
      <c r="H607" s="23"/>
      <c r="I607" s="23"/>
    </row>
    <row r="608" spans="1:9">
      <c r="A608" s="21" t="s">
        <v>6200</v>
      </c>
      <c r="B608" s="21" t="s">
        <v>2986</v>
      </c>
      <c r="C608" s="22">
        <v>885</v>
      </c>
      <c r="D608" s="21">
        <v>1549.05</v>
      </c>
      <c r="E608" s="21" t="s">
        <v>5796</v>
      </c>
      <c r="F608" s="23"/>
      <c r="G608" s="23">
        <f t="shared" si="2"/>
        <v>1549.05</v>
      </c>
      <c r="H608" s="23"/>
      <c r="I608" s="23"/>
    </row>
    <row r="609" spans="1:9">
      <c r="A609" s="21" t="s">
        <v>6201</v>
      </c>
      <c r="B609" s="21" t="s">
        <v>4279</v>
      </c>
      <c r="C609" s="22">
        <v>1780</v>
      </c>
      <c r="D609" s="21">
        <v>202.05</v>
      </c>
      <c r="E609" s="21" t="s">
        <v>5796</v>
      </c>
      <c r="F609" s="23"/>
      <c r="G609" s="23">
        <f t="shared" si="2"/>
        <v>202.05</v>
      </c>
      <c r="H609" s="23"/>
      <c r="I609" s="23"/>
    </row>
    <row r="610" spans="1:9">
      <c r="A610" s="21" t="s">
        <v>2771</v>
      </c>
      <c r="B610" s="21" t="s">
        <v>2773</v>
      </c>
      <c r="C610" s="22">
        <v>998</v>
      </c>
      <c r="D610" s="21">
        <v>1182.1600000000001</v>
      </c>
      <c r="E610" s="21" t="s">
        <v>5796</v>
      </c>
      <c r="F610" s="23"/>
      <c r="G610" s="23">
        <f t="shared" si="2"/>
        <v>1182.1600000000001</v>
      </c>
      <c r="H610" s="23"/>
      <c r="I610" s="23"/>
    </row>
    <row r="611" spans="1:9">
      <c r="A611" s="21" t="s">
        <v>6202</v>
      </c>
      <c r="B611" s="21" t="s">
        <v>4996</v>
      </c>
      <c r="C611" s="22">
        <v>1488</v>
      </c>
      <c r="D611" s="21">
        <v>352.9</v>
      </c>
      <c r="E611" s="21" t="s">
        <v>5796</v>
      </c>
      <c r="F611" s="23"/>
      <c r="G611" s="23">
        <f t="shared" si="2"/>
        <v>352.9</v>
      </c>
      <c r="H611" s="23"/>
      <c r="I611" s="23"/>
    </row>
    <row r="612" spans="1:9">
      <c r="A612" s="21" t="s">
        <v>6203</v>
      </c>
      <c r="B612" s="21" t="s">
        <v>1361</v>
      </c>
      <c r="C612" s="22">
        <v>488</v>
      </c>
      <c r="D612" s="21">
        <v>5430.29</v>
      </c>
      <c r="E612" s="21" t="s">
        <v>5796</v>
      </c>
      <c r="F612" s="23"/>
      <c r="G612" s="23">
        <f t="shared" si="2"/>
        <v>5430.29</v>
      </c>
      <c r="H612" s="23"/>
      <c r="I612" s="23"/>
    </row>
    <row r="613" spans="1:9">
      <c r="A613" s="21" t="s">
        <v>1635</v>
      </c>
      <c r="B613" s="21" t="s">
        <v>1637</v>
      </c>
      <c r="C613" s="22">
        <v>503</v>
      </c>
      <c r="D613" s="21">
        <v>5190.54</v>
      </c>
      <c r="E613" s="21" t="s">
        <v>5796</v>
      </c>
      <c r="F613" s="23"/>
      <c r="G613" s="23">
        <f t="shared" si="2"/>
        <v>5190.54</v>
      </c>
      <c r="H613" s="23"/>
      <c r="I613" s="23"/>
    </row>
    <row r="614" spans="1:9">
      <c r="A614" s="21" t="s">
        <v>6204</v>
      </c>
      <c r="B614" s="21" t="s">
        <v>3829</v>
      </c>
      <c r="C614" s="22">
        <v>1569</v>
      </c>
      <c r="D614" s="21">
        <v>306.04000000000002</v>
      </c>
      <c r="E614" s="21" t="s">
        <v>5796</v>
      </c>
      <c r="F614" s="23"/>
      <c r="G614" s="23">
        <f t="shared" si="2"/>
        <v>306.04000000000002</v>
      </c>
      <c r="H614" s="23"/>
      <c r="I614" s="23"/>
    </row>
    <row r="615" spans="1:9">
      <c r="A615" s="21" t="s">
        <v>6205</v>
      </c>
      <c r="B615" s="21" t="s">
        <v>1379</v>
      </c>
      <c r="C615" s="22">
        <v>416</v>
      </c>
      <c r="D615" s="21">
        <v>7099.31</v>
      </c>
      <c r="E615" s="21" t="s">
        <v>5796</v>
      </c>
      <c r="F615" s="23"/>
      <c r="G615" s="23">
        <f t="shared" si="2"/>
        <v>7099.31</v>
      </c>
      <c r="H615" s="23"/>
      <c r="I615" s="23"/>
    </row>
    <row r="616" spans="1:9">
      <c r="A616" s="21" t="s">
        <v>6206</v>
      </c>
      <c r="B616" s="21" t="s">
        <v>1310</v>
      </c>
      <c r="C616" s="22">
        <v>444</v>
      </c>
      <c r="D616" s="21">
        <v>6459.86</v>
      </c>
      <c r="E616" s="21" t="s">
        <v>5796</v>
      </c>
      <c r="F616" s="23"/>
      <c r="G616" s="23">
        <f t="shared" si="2"/>
        <v>6459.86</v>
      </c>
      <c r="H616" s="23"/>
      <c r="I616" s="23"/>
    </row>
    <row r="617" spans="1:9">
      <c r="A617" s="27" t="s">
        <v>6207</v>
      </c>
      <c r="B617" s="27" t="s">
        <v>155</v>
      </c>
      <c r="C617" s="28">
        <v>47</v>
      </c>
      <c r="D617" s="27">
        <v>110044.86</v>
      </c>
      <c r="E617" s="27" t="s">
        <v>5815</v>
      </c>
      <c r="F617" s="29"/>
      <c r="G617" s="23">
        <f t="shared" si="2"/>
        <v>110044.86</v>
      </c>
      <c r="H617" s="29"/>
      <c r="I617" s="29"/>
    </row>
    <row r="618" spans="1:9">
      <c r="A618" s="21" t="s">
        <v>6208</v>
      </c>
      <c r="B618" s="21" t="s">
        <v>1685</v>
      </c>
      <c r="C618" s="22">
        <v>609</v>
      </c>
      <c r="D618" s="21">
        <v>3576.31</v>
      </c>
      <c r="E618" s="21" t="s">
        <v>5796</v>
      </c>
      <c r="F618" s="23"/>
      <c r="G618" s="23">
        <f t="shared" si="2"/>
        <v>3576.31</v>
      </c>
      <c r="H618" s="23"/>
      <c r="I618" s="23"/>
    </row>
    <row r="619" spans="1:9">
      <c r="A619" s="21" t="s">
        <v>6209</v>
      </c>
      <c r="B619" s="21" t="s">
        <v>2242</v>
      </c>
      <c r="C619" s="22">
        <v>641</v>
      </c>
      <c r="D619" s="21">
        <v>3159.35</v>
      </c>
      <c r="E619" s="21" t="s">
        <v>5796</v>
      </c>
      <c r="F619" s="23"/>
      <c r="G619" s="23">
        <f t="shared" si="2"/>
        <v>3159.35</v>
      </c>
      <c r="H619" s="23"/>
      <c r="I619" s="23"/>
    </row>
    <row r="620" spans="1:9">
      <c r="A620" s="21" t="s">
        <v>6210</v>
      </c>
      <c r="B620" s="21" t="s">
        <v>1664</v>
      </c>
      <c r="C620" s="22">
        <v>561</v>
      </c>
      <c r="D620" s="21">
        <v>4209.04</v>
      </c>
      <c r="E620" s="21" t="s">
        <v>5796</v>
      </c>
      <c r="F620" s="23"/>
      <c r="G620" s="23">
        <f t="shared" si="2"/>
        <v>4209.04</v>
      </c>
      <c r="H620" s="23"/>
      <c r="I620" s="23"/>
    </row>
    <row r="621" spans="1:9">
      <c r="A621" s="21" t="s">
        <v>1926</v>
      </c>
      <c r="B621" s="21" t="s">
        <v>1928</v>
      </c>
      <c r="C621" s="22">
        <v>598</v>
      </c>
      <c r="D621" s="21">
        <v>3739.86</v>
      </c>
      <c r="E621" s="21" t="s">
        <v>5796</v>
      </c>
      <c r="F621" s="23"/>
      <c r="G621" s="23">
        <f t="shared" si="2"/>
        <v>3739.86</v>
      </c>
      <c r="H621" s="23"/>
      <c r="I621" s="23"/>
    </row>
    <row r="622" spans="1:9">
      <c r="A622" s="21" t="s">
        <v>6211</v>
      </c>
      <c r="B622" s="21" t="s">
        <v>2578</v>
      </c>
      <c r="C622" s="22">
        <v>820</v>
      </c>
      <c r="D622" s="21">
        <v>1837.14</v>
      </c>
      <c r="E622" s="21" t="s">
        <v>5796</v>
      </c>
      <c r="F622" s="23"/>
      <c r="G622" s="23">
        <f t="shared" si="2"/>
        <v>1837.14</v>
      </c>
      <c r="H622" s="23"/>
      <c r="I622" s="23"/>
    </row>
    <row r="623" spans="1:9">
      <c r="A623" s="21" t="s">
        <v>2999</v>
      </c>
      <c r="B623" s="21" t="s">
        <v>3001</v>
      </c>
      <c r="C623" s="22">
        <v>1190</v>
      </c>
      <c r="D623" s="21">
        <v>709.52</v>
      </c>
      <c r="E623" s="21" t="s">
        <v>5796</v>
      </c>
      <c r="F623" s="23"/>
      <c r="G623" s="23">
        <f t="shared" si="2"/>
        <v>709.52</v>
      </c>
      <c r="H623" s="23"/>
      <c r="I623" s="23"/>
    </row>
    <row r="624" spans="1:9">
      <c r="A624" s="24" t="s">
        <v>6212</v>
      </c>
      <c r="B624" s="24" t="s">
        <v>713</v>
      </c>
      <c r="C624" s="25">
        <v>211</v>
      </c>
      <c r="D624" s="24">
        <v>21705.599999999999</v>
      </c>
      <c r="E624" s="24" t="s">
        <v>5800</v>
      </c>
      <c r="F624" s="26"/>
      <c r="G624" s="23">
        <f t="shared" si="2"/>
        <v>21705.599999999999</v>
      </c>
      <c r="H624" s="26"/>
      <c r="I624" s="26"/>
    </row>
    <row r="625" spans="1:9">
      <c r="A625" s="21" t="s">
        <v>1110</v>
      </c>
      <c r="B625" s="21" t="s">
        <v>1112</v>
      </c>
      <c r="C625" s="22">
        <v>328</v>
      </c>
      <c r="D625" s="21">
        <v>10819.89</v>
      </c>
      <c r="E625" s="21" t="s">
        <v>5796</v>
      </c>
      <c r="F625" s="23"/>
      <c r="G625" s="23">
        <f t="shared" si="2"/>
        <v>10819.89</v>
      </c>
      <c r="H625" s="23"/>
      <c r="I625" s="23"/>
    </row>
    <row r="626" spans="1:9">
      <c r="A626" s="21" t="s">
        <v>6213</v>
      </c>
      <c r="B626" s="21" t="s">
        <v>3256</v>
      </c>
      <c r="C626" s="22">
        <v>896</v>
      </c>
      <c r="D626" s="21">
        <v>1484.4</v>
      </c>
      <c r="E626" s="21" t="s">
        <v>5796</v>
      </c>
      <c r="F626" s="23"/>
      <c r="G626" s="23">
        <f t="shared" si="2"/>
        <v>1484.4</v>
      </c>
      <c r="H626" s="23"/>
      <c r="I626" s="23"/>
    </row>
    <row r="627" spans="1:9">
      <c r="A627" s="21" t="s">
        <v>6214</v>
      </c>
      <c r="B627" s="21" t="s">
        <v>5179</v>
      </c>
      <c r="C627" s="22">
        <v>2266</v>
      </c>
      <c r="D627" s="21">
        <v>92.43</v>
      </c>
      <c r="E627" s="21" t="s">
        <v>5796</v>
      </c>
      <c r="F627" s="23"/>
      <c r="G627" s="23">
        <f t="shared" si="2"/>
        <v>92.43</v>
      </c>
      <c r="H627" s="23"/>
      <c r="I627" s="23"/>
    </row>
    <row r="628" spans="1:9">
      <c r="A628" s="21" t="s">
        <v>3917</v>
      </c>
      <c r="B628" s="21" t="s">
        <v>3919</v>
      </c>
      <c r="C628" s="22">
        <v>1405</v>
      </c>
      <c r="D628" s="21">
        <v>404.73</v>
      </c>
      <c r="E628" s="21" t="s">
        <v>5796</v>
      </c>
      <c r="F628" s="23"/>
      <c r="G628" s="23">
        <f t="shared" si="2"/>
        <v>404.73</v>
      </c>
      <c r="H628" s="23"/>
      <c r="I628" s="23"/>
    </row>
    <row r="629" spans="1:9">
      <c r="A629" s="21" t="s">
        <v>1347</v>
      </c>
      <c r="B629" s="21" t="s">
        <v>1349</v>
      </c>
      <c r="C629" s="22">
        <v>484</v>
      </c>
      <c r="D629" s="21">
        <v>5471.46</v>
      </c>
      <c r="E629" s="21" t="s">
        <v>5796</v>
      </c>
      <c r="F629" s="23"/>
      <c r="G629" s="23">
        <f t="shared" si="2"/>
        <v>5471.46</v>
      </c>
      <c r="H629" s="23"/>
      <c r="I629" s="23"/>
    </row>
    <row r="630" spans="1:9">
      <c r="A630" s="21" t="s">
        <v>6215</v>
      </c>
      <c r="B630" s="21" t="s">
        <v>2317</v>
      </c>
      <c r="C630" s="22">
        <v>895</v>
      </c>
      <c r="D630" s="21">
        <v>1486.73</v>
      </c>
      <c r="E630" s="21" t="s">
        <v>5796</v>
      </c>
      <c r="F630" s="23"/>
      <c r="G630" s="23">
        <f t="shared" si="2"/>
        <v>1486.73</v>
      </c>
      <c r="H630" s="23"/>
      <c r="I630" s="23"/>
    </row>
    <row r="631" spans="1:9">
      <c r="A631" s="21" t="s">
        <v>6216</v>
      </c>
      <c r="B631" s="21" t="s">
        <v>1490</v>
      </c>
      <c r="C631" s="22">
        <v>474</v>
      </c>
      <c r="D631" s="21">
        <v>5651.69</v>
      </c>
      <c r="E631" s="21" t="s">
        <v>5796</v>
      </c>
      <c r="F631" s="23"/>
      <c r="G631" s="23">
        <f t="shared" si="2"/>
        <v>5651.69</v>
      </c>
      <c r="H631" s="23"/>
      <c r="I631" s="23"/>
    </row>
    <row r="632" spans="1:9">
      <c r="A632" s="21" t="s">
        <v>3548</v>
      </c>
      <c r="B632" s="21" t="s">
        <v>3550</v>
      </c>
      <c r="C632" s="22">
        <v>1118</v>
      </c>
      <c r="D632" s="21">
        <v>843.08</v>
      </c>
      <c r="E632" s="21" t="s">
        <v>5796</v>
      </c>
      <c r="F632" s="23"/>
      <c r="G632" s="23">
        <f t="shared" si="2"/>
        <v>843.08</v>
      </c>
      <c r="H632" s="23"/>
      <c r="I632" s="23"/>
    </row>
    <row r="633" spans="1:9">
      <c r="A633" s="21" t="s">
        <v>6217</v>
      </c>
      <c r="B633" s="21" t="s">
        <v>923</v>
      </c>
      <c r="C633" s="22">
        <v>263</v>
      </c>
      <c r="D633" s="21">
        <v>15737.06</v>
      </c>
      <c r="E633" s="21" t="s">
        <v>5796</v>
      </c>
      <c r="F633" s="23"/>
      <c r="G633" s="23">
        <f t="shared" si="2"/>
        <v>15737.06</v>
      </c>
      <c r="H633" s="23"/>
      <c r="I633" s="23"/>
    </row>
    <row r="634" spans="1:9">
      <c r="A634" s="21" t="s">
        <v>6218</v>
      </c>
      <c r="B634" s="21" t="s">
        <v>4345</v>
      </c>
      <c r="C634" s="22">
        <v>1476</v>
      </c>
      <c r="D634" s="21">
        <v>361.63</v>
      </c>
      <c r="E634" s="21" t="s">
        <v>5796</v>
      </c>
      <c r="F634" s="23"/>
      <c r="G634" s="23">
        <f t="shared" si="2"/>
        <v>361.63</v>
      </c>
      <c r="H634" s="23"/>
      <c r="I634" s="23"/>
    </row>
    <row r="635" spans="1:9">
      <c r="A635" s="21" t="s">
        <v>6219</v>
      </c>
      <c r="B635" s="21" t="s">
        <v>5059</v>
      </c>
      <c r="C635" s="22">
        <v>2253</v>
      </c>
      <c r="D635" s="21">
        <v>94.06</v>
      </c>
      <c r="E635" s="21" t="s">
        <v>5796</v>
      </c>
      <c r="F635" s="23"/>
      <c r="G635" s="23">
        <f t="shared" si="2"/>
        <v>94.06</v>
      </c>
      <c r="H635" s="23"/>
      <c r="I635" s="23"/>
    </row>
    <row r="636" spans="1:9">
      <c r="A636" s="21" t="s">
        <v>3173</v>
      </c>
      <c r="B636" s="21" t="s">
        <v>3175</v>
      </c>
      <c r="C636" s="22">
        <v>1015</v>
      </c>
      <c r="D636" s="21">
        <v>1110.6099999999999</v>
      </c>
      <c r="E636" s="21" t="s">
        <v>5796</v>
      </c>
      <c r="F636" s="23"/>
      <c r="G636" s="23">
        <f t="shared" si="2"/>
        <v>1110.6099999999999</v>
      </c>
      <c r="H636" s="23"/>
      <c r="I636" s="23"/>
    </row>
    <row r="637" spans="1:9">
      <c r="A637" s="21" t="s">
        <v>2801</v>
      </c>
      <c r="B637" s="21" t="s">
        <v>2803</v>
      </c>
      <c r="C637" s="22">
        <v>963</v>
      </c>
      <c r="D637" s="21">
        <v>1275.1300000000001</v>
      </c>
      <c r="E637" s="21" t="s">
        <v>5796</v>
      </c>
      <c r="F637" s="23"/>
      <c r="G637" s="23">
        <f t="shared" si="2"/>
        <v>1275.1300000000001</v>
      </c>
      <c r="H637" s="23"/>
      <c r="I637" s="23"/>
    </row>
    <row r="638" spans="1:9">
      <c r="A638" s="21" t="s">
        <v>6220</v>
      </c>
      <c r="B638" s="21" t="s">
        <v>2380</v>
      </c>
      <c r="C638" s="22">
        <v>783</v>
      </c>
      <c r="D638" s="21">
        <v>2030.39</v>
      </c>
      <c r="E638" s="21" t="s">
        <v>5796</v>
      </c>
      <c r="F638" s="23"/>
      <c r="G638" s="23">
        <f t="shared" si="2"/>
        <v>2030.39</v>
      </c>
      <c r="H638" s="23"/>
      <c r="I638" s="23"/>
    </row>
    <row r="639" spans="1:9">
      <c r="A639" s="21" t="s">
        <v>6221</v>
      </c>
      <c r="B639" s="21" t="s">
        <v>1799</v>
      </c>
      <c r="C639" s="22">
        <v>520</v>
      </c>
      <c r="D639" s="21">
        <v>4890.54</v>
      </c>
      <c r="E639" s="21" t="s">
        <v>5796</v>
      </c>
      <c r="F639" s="23"/>
      <c r="G639" s="23">
        <f t="shared" si="2"/>
        <v>4890.54</v>
      </c>
      <c r="H639" s="23"/>
      <c r="I639" s="23"/>
    </row>
    <row r="640" spans="1:9">
      <c r="A640" s="21" t="s">
        <v>6222</v>
      </c>
      <c r="B640" s="21" t="s">
        <v>4492</v>
      </c>
      <c r="C640" s="22">
        <v>1722</v>
      </c>
      <c r="D640" s="21">
        <v>230.78</v>
      </c>
      <c r="E640" s="21" t="s">
        <v>5796</v>
      </c>
      <c r="F640" s="23"/>
      <c r="G640" s="23">
        <f t="shared" si="2"/>
        <v>230.78</v>
      </c>
      <c r="H640" s="23"/>
      <c r="I640" s="23"/>
    </row>
    <row r="641" spans="1:9">
      <c r="A641" s="24" t="s">
        <v>618</v>
      </c>
      <c r="B641" s="24" t="s">
        <v>620</v>
      </c>
      <c r="C641" s="25">
        <v>160</v>
      </c>
      <c r="D641" s="24">
        <v>32989.19</v>
      </c>
      <c r="E641" s="24" t="s">
        <v>5800</v>
      </c>
      <c r="F641" s="26"/>
      <c r="G641" s="23">
        <f t="shared" si="2"/>
        <v>32989.19</v>
      </c>
      <c r="H641" s="26"/>
      <c r="I641" s="26"/>
    </row>
    <row r="642" spans="1:9">
      <c r="A642" s="21" t="s">
        <v>6223</v>
      </c>
      <c r="B642" s="21" t="s">
        <v>5691</v>
      </c>
      <c r="C642" s="22">
        <v>3443</v>
      </c>
      <c r="D642" s="21">
        <v>15.69</v>
      </c>
      <c r="E642" s="21" t="s">
        <v>5796</v>
      </c>
      <c r="F642" s="23"/>
      <c r="G642" s="23">
        <f t="shared" si="2"/>
        <v>15.69</v>
      </c>
      <c r="H642" s="23"/>
      <c r="I642" s="23"/>
    </row>
    <row r="643" spans="1:9">
      <c r="A643" s="21" t="s">
        <v>2330</v>
      </c>
      <c r="B643" s="21" t="s">
        <v>2332</v>
      </c>
      <c r="C643" s="22">
        <v>765</v>
      </c>
      <c r="D643" s="21">
        <v>2096.3000000000002</v>
      </c>
      <c r="E643" s="21" t="s">
        <v>5796</v>
      </c>
      <c r="F643" s="23"/>
      <c r="G643" s="23">
        <f t="shared" si="2"/>
        <v>2096.3000000000002</v>
      </c>
      <c r="H643" s="23"/>
      <c r="I643" s="23"/>
    </row>
    <row r="644" spans="1:9">
      <c r="A644" s="21" t="s">
        <v>4535</v>
      </c>
      <c r="B644" s="21" t="s">
        <v>4537</v>
      </c>
      <c r="C644" s="22">
        <v>1815</v>
      </c>
      <c r="D644" s="21">
        <v>190.11</v>
      </c>
      <c r="E644" s="21" t="s">
        <v>5796</v>
      </c>
      <c r="F644" s="23"/>
      <c r="G644" s="23">
        <f t="shared" si="2"/>
        <v>190.11</v>
      </c>
      <c r="H644" s="23"/>
      <c r="I644" s="23"/>
    </row>
    <row r="645" spans="1:9">
      <c r="A645" s="21" t="s">
        <v>6224</v>
      </c>
      <c r="B645" s="21" t="s">
        <v>3094</v>
      </c>
      <c r="C645" s="22">
        <v>953</v>
      </c>
      <c r="D645" s="21">
        <v>1303.8800000000001</v>
      </c>
      <c r="E645" s="21" t="s">
        <v>5796</v>
      </c>
      <c r="F645" s="23"/>
      <c r="G645" s="23">
        <f t="shared" si="2"/>
        <v>1303.8800000000001</v>
      </c>
      <c r="H645" s="23"/>
      <c r="I645" s="23"/>
    </row>
    <row r="646" spans="1:9">
      <c r="A646" s="21" t="s">
        <v>6225</v>
      </c>
      <c r="B646" s="21" t="s">
        <v>3250</v>
      </c>
      <c r="C646" s="22">
        <v>1388</v>
      </c>
      <c r="D646" s="21">
        <v>425.66</v>
      </c>
      <c r="E646" s="21" t="s">
        <v>5796</v>
      </c>
      <c r="F646" s="23"/>
      <c r="G646" s="23">
        <f t="shared" si="2"/>
        <v>425.66</v>
      </c>
      <c r="H646" s="23"/>
      <c r="I646" s="23"/>
    </row>
    <row r="647" spans="1:9">
      <c r="A647" s="27" t="s">
        <v>129</v>
      </c>
      <c r="B647" s="27" t="s">
        <v>131</v>
      </c>
      <c r="C647" s="28">
        <v>55</v>
      </c>
      <c r="D647" s="27">
        <v>95787.07</v>
      </c>
      <c r="E647" s="27" t="s">
        <v>5815</v>
      </c>
      <c r="F647" s="29"/>
      <c r="G647" s="23">
        <f t="shared" si="2"/>
        <v>95787.07</v>
      </c>
      <c r="H647" s="29"/>
      <c r="I647" s="29"/>
    </row>
    <row r="648" spans="1:9">
      <c r="A648" s="21" t="s">
        <v>1020</v>
      </c>
      <c r="B648" s="21" t="s">
        <v>1022</v>
      </c>
      <c r="C648" s="22">
        <v>299</v>
      </c>
      <c r="D648" s="21">
        <v>12632.85</v>
      </c>
      <c r="E648" s="21" t="s">
        <v>5796</v>
      </c>
      <c r="F648" s="23"/>
      <c r="G648" s="23">
        <f t="shared" si="2"/>
        <v>12632.85</v>
      </c>
      <c r="H648" s="23"/>
      <c r="I648" s="23"/>
    </row>
    <row r="649" spans="1:9">
      <c r="A649" s="21" t="s">
        <v>6226</v>
      </c>
      <c r="B649" s="21" t="s">
        <v>3061</v>
      </c>
      <c r="C649" s="22">
        <v>1155</v>
      </c>
      <c r="D649" s="21">
        <v>781.95</v>
      </c>
      <c r="E649" s="21" t="s">
        <v>5796</v>
      </c>
      <c r="F649" s="23"/>
      <c r="G649" s="23">
        <f t="shared" si="2"/>
        <v>781.95</v>
      </c>
      <c r="H649" s="23"/>
      <c r="I649" s="23"/>
    </row>
    <row r="650" spans="1:9">
      <c r="A650" s="21" t="s">
        <v>2861</v>
      </c>
      <c r="B650" s="21" t="s">
        <v>2863</v>
      </c>
      <c r="C650" s="22">
        <v>957</v>
      </c>
      <c r="D650" s="21">
        <v>1298.54</v>
      </c>
      <c r="E650" s="21" t="s">
        <v>5796</v>
      </c>
      <c r="F650" s="23"/>
      <c r="G650" s="23">
        <f t="shared" si="2"/>
        <v>1298.54</v>
      </c>
      <c r="H650" s="23"/>
      <c r="I650" s="23"/>
    </row>
    <row r="651" spans="1:9">
      <c r="A651" s="21" t="s">
        <v>6227</v>
      </c>
      <c r="B651" s="21" t="s">
        <v>4468</v>
      </c>
      <c r="C651" s="22">
        <v>1721</v>
      </c>
      <c r="D651" s="21">
        <v>230.82</v>
      </c>
      <c r="E651" s="21" t="s">
        <v>5796</v>
      </c>
      <c r="F651" s="23"/>
      <c r="G651" s="23">
        <f t="shared" si="2"/>
        <v>230.82</v>
      </c>
      <c r="H651" s="23"/>
      <c r="I651" s="23"/>
    </row>
    <row r="652" spans="1:9">
      <c r="A652" s="21" t="s">
        <v>2070</v>
      </c>
      <c r="B652" s="21" t="s">
        <v>2072</v>
      </c>
      <c r="C652" s="22">
        <v>606</v>
      </c>
      <c r="D652" s="21">
        <v>3625.6</v>
      </c>
      <c r="E652" s="21" t="s">
        <v>5796</v>
      </c>
      <c r="F652" s="23"/>
      <c r="G652" s="23">
        <f t="shared" si="2"/>
        <v>3625.6</v>
      </c>
      <c r="H652" s="23"/>
      <c r="I652" s="23"/>
    </row>
    <row r="653" spans="1:9">
      <c r="A653" s="21" t="s">
        <v>2222</v>
      </c>
      <c r="B653" s="21" t="s">
        <v>2224</v>
      </c>
      <c r="C653" s="22">
        <v>695</v>
      </c>
      <c r="D653" s="21">
        <v>2604.11</v>
      </c>
      <c r="E653" s="21" t="s">
        <v>5796</v>
      </c>
      <c r="F653" s="23"/>
      <c r="G653" s="23">
        <f t="shared" si="2"/>
        <v>2604.11</v>
      </c>
      <c r="H653" s="23"/>
      <c r="I653" s="23"/>
    </row>
    <row r="654" spans="1:9">
      <c r="A654" s="24" t="s">
        <v>6228</v>
      </c>
      <c r="B654" s="24" t="s">
        <v>701</v>
      </c>
      <c r="C654" s="25">
        <v>225</v>
      </c>
      <c r="D654" s="24">
        <v>19609.23</v>
      </c>
      <c r="E654" s="24" t="s">
        <v>5800</v>
      </c>
      <c r="F654" s="26"/>
      <c r="G654" s="23">
        <f t="shared" si="2"/>
        <v>19609.23</v>
      </c>
      <c r="H654" s="26"/>
      <c r="I654" s="26"/>
    </row>
    <row r="655" spans="1:9">
      <c r="A655" s="27" t="s">
        <v>228</v>
      </c>
      <c r="B655" s="27" t="s">
        <v>230</v>
      </c>
      <c r="C655" s="28">
        <v>66</v>
      </c>
      <c r="D655" s="27">
        <v>77125.7</v>
      </c>
      <c r="E655" s="27" t="s">
        <v>5815</v>
      </c>
      <c r="F655" s="29"/>
      <c r="G655" s="23">
        <f t="shared" si="2"/>
        <v>77125.7</v>
      </c>
      <c r="H655" s="29"/>
      <c r="I655" s="29"/>
    </row>
    <row r="656" spans="1:9">
      <c r="A656" s="21" t="s">
        <v>6229</v>
      </c>
      <c r="B656" s="21" t="s">
        <v>5607</v>
      </c>
      <c r="C656" s="22">
        <v>3027</v>
      </c>
      <c r="D656" s="21">
        <v>29.33</v>
      </c>
      <c r="E656" s="21" t="s">
        <v>5796</v>
      </c>
      <c r="F656" s="23"/>
      <c r="G656" s="23">
        <f t="shared" si="2"/>
        <v>29.33</v>
      </c>
      <c r="H656" s="23"/>
      <c r="I656" s="23"/>
    </row>
    <row r="657" spans="1:9">
      <c r="A657" s="21" t="s">
        <v>6230</v>
      </c>
      <c r="B657" s="21" t="s">
        <v>1421</v>
      </c>
      <c r="C657" s="22">
        <v>653</v>
      </c>
      <c r="D657" s="21">
        <v>3008.72</v>
      </c>
      <c r="E657" s="21" t="s">
        <v>5796</v>
      </c>
      <c r="F657" s="23"/>
      <c r="G657" s="23">
        <f t="shared" si="2"/>
        <v>3008.72</v>
      </c>
      <c r="H657" s="23"/>
      <c r="I657" s="23"/>
    </row>
    <row r="658" spans="1:9">
      <c r="A658" s="21" t="s">
        <v>6231</v>
      </c>
      <c r="B658" s="21" t="s">
        <v>5517</v>
      </c>
      <c r="C658" s="22">
        <v>2900</v>
      </c>
      <c r="D658" s="21">
        <v>34.9</v>
      </c>
      <c r="E658" s="21" t="s">
        <v>5796</v>
      </c>
      <c r="F658" s="23"/>
      <c r="G658" s="23">
        <f t="shared" si="2"/>
        <v>34.9</v>
      </c>
      <c r="H658" s="23"/>
      <c r="I658" s="23"/>
    </row>
    <row r="659" spans="1:9">
      <c r="A659" s="21" t="s">
        <v>6232</v>
      </c>
      <c r="B659" s="21" t="s">
        <v>2015</v>
      </c>
      <c r="C659" s="22">
        <v>706</v>
      </c>
      <c r="D659" s="21">
        <v>2539.38</v>
      </c>
      <c r="E659" s="21" t="s">
        <v>5796</v>
      </c>
      <c r="F659" s="23"/>
      <c r="G659" s="23">
        <f t="shared" si="2"/>
        <v>2539.38</v>
      </c>
      <c r="H659" s="23"/>
      <c r="I659" s="23"/>
    </row>
    <row r="660" spans="1:9">
      <c r="A660" s="21" t="s">
        <v>6233</v>
      </c>
      <c r="B660" s="21" t="s">
        <v>1823</v>
      </c>
      <c r="C660" s="22">
        <v>578</v>
      </c>
      <c r="D660" s="21">
        <v>3978.72</v>
      </c>
      <c r="E660" s="21" t="s">
        <v>5796</v>
      </c>
      <c r="F660" s="23"/>
      <c r="G660" s="23">
        <f t="shared" si="2"/>
        <v>3978.72</v>
      </c>
      <c r="H660" s="23"/>
      <c r="I660" s="23"/>
    </row>
    <row r="661" spans="1:9">
      <c r="A661" s="21" t="s">
        <v>6234</v>
      </c>
      <c r="B661" s="21" t="s">
        <v>3883</v>
      </c>
      <c r="C661" s="22">
        <v>1341</v>
      </c>
      <c r="D661" s="21">
        <v>463.35</v>
      </c>
      <c r="E661" s="21" t="s">
        <v>5796</v>
      </c>
      <c r="F661" s="23"/>
      <c r="G661" s="23">
        <f t="shared" si="2"/>
        <v>463.35</v>
      </c>
      <c r="H661" s="23"/>
      <c r="I661" s="23"/>
    </row>
    <row r="662" spans="1:9">
      <c r="A662" s="27" t="s">
        <v>6235</v>
      </c>
      <c r="B662" s="27" t="s">
        <v>48</v>
      </c>
      <c r="C662" s="28">
        <v>15</v>
      </c>
      <c r="D662" s="27">
        <v>299146.53999999998</v>
      </c>
      <c r="E662" s="27" t="s">
        <v>5815</v>
      </c>
      <c r="F662" s="29"/>
      <c r="G662" s="23">
        <f t="shared" si="2"/>
        <v>299146.53999999998</v>
      </c>
      <c r="H662" s="29"/>
      <c r="I662" s="29"/>
    </row>
    <row r="663" spans="1:9">
      <c r="A663" s="27" t="s">
        <v>6236</v>
      </c>
      <c r="B663" s="27" t="s">
        <v>6237</v>
      </c>
      <c r="C663" s="28">
        <v>9</v>
      </c>
      <c r="D663" s="27">
        <v>489465.94</v>
      </c>
      <c r="E663" s="27" t="s">
        <v>5815</v>
      </c>
      <c r="F663" s="29"/>
      <c r="G663" s="23">
        <f t="shared" si="2"/>
        <v>489465.94</v>
      </c>
      <c r="H663" s="29"/>
      <c r="I663" s="29"/>
    </row>
    <row r="664" spans="1:9">
      <c r="A664" s="24" t="s">
        <v>348</v>
      </c>
      <c r="B664" s="24" t="s">
        <v>350</v>
      </c>
      <c r="C664" s="25">
        <v>130</v>
      </c>
      <c r="D664" s="24">
        <v>40131.96</v>
      </c>
      <c r="E664" s="24" t="s">
        <v>5800</v>
      </c>
      <c r="F664" s="26"/>
      <c r="G664" s="23">
        <f t="shared" si="2"/>
        <v>40131.96</v>
      </c>
      <c r="H664" s="26"/>
      <c r="I664" s="26"/>
    </row>
    <row r="665" spans="1:9">
      <c r="A665" s="27" t="s">
        <v>6238</v>
      </c>
      <c r="B665" s="27" t="s">
        <v>15</v>
      </c>
      <c r="C665" s="28">
        <v>3</v>
      </c>
      <c r="D665" s="27">
        <v>908769.9</v>
      </c>
      <c r="E665" s="27" t="s">
        <v>5815</v>
      </c>
      <c r="F665" s="29"/>
      <c r="G665" s="23">
        <f t="shared" si="2"/>
        <v>908769.9</v>
      </c>
      <c r="H665" s="29"/>
      <c r="I665" s="29"/>
    </row>
    <row r="666" spans="1:9">
      <c r="A666" s="27" t="s">
        <v>6239</v>
      </c>
      <c r="B666" s="27" t="s">
        <v>137</v>
      </c>
      <c r="C666" s="28">
        <v>44</v>
      </c>
      <c r="D666" s="27">
        <v>117683.12</v>
      </c>
      <c r="E666" s="27" t="s">
        <v>5815</v>
      </c>
      <c r="F666" s="29"/>
      <c r="G666" s="23">
        <f t="shared" si="2"/>
        <v>117683.12</v>
      </c>
      <c r="H666" s="29"/>
      <c r="I666" s="29"/>
    </row>
    <row r="667" spans="1:9">
      <c r="A667" s="21" t="s">
        <v>6240</v>
      </c>
      <c r="B667" s="21" t="s">
        <v>6241</v>
      </c>
      <c r="C667" s="22">
        <v>1889</v>
      </c>
      <c r="D667" s="21">
        <v>167.36</v>
      </c>
      <c r="E667" s="21" t="s">
        <v>5796</v>
      </c>
      <c r="F667" s="23"/>
      <c r="G667" s="23">
        <f t="shared" si="2"/>
        <v>167.36</v>
      </c>
      <c r="H667" s="23"/>
      <c r="I667" s="23"/>
    </row>
    <row r="668" spans="1:9">
      <c r="A668" s="21" t="s">
        <v>5620</v>
      </c>
      <c r="B668" s="21" t="s">
        <v>5622</v>
      </c>
      <c r="C668" s="22">
        <v>3009</v>
      </c>
      <c r="D668" s="21">
        <v>29.88</v>
      </c>
      <c r="E668" s="21" t="s">
        <v>5796</v>
      </c>
      <c r="F668" s="23"/>
      <c r="G668" s="23">
        <f t="shared" si="2"/>
        <v>29.88</v>
      </c>
      <c r="H668" s="23"/>
      <c r="I668" s="23"/>
    </row>
    <row r="669" spans="1:9">
      <c r="A669" s="21" t="s">
        <v>6242</v>
      </c>
      <c r="B669" s="21" t="s">
        <v>5472</v>
      </c>
      <c r="C669" s="22">
        <v>2879</v>
      </c>
      <c r="D669" s="21">
        <v>35.81</v>
      </c>
      <c r="E669" s="21" t="s">
        <v>5796</v>
      </c>
      <c r="F669" s="23"/>
      <c r="G669" s="23">
        <f t="shared" si="2"/>
        <v>35.81</v>
      </c>
      <c r="H669" s="23"/>
      <c r="I669" s="23"/>
    </row>
    <row r="670" spans="1:9">
      <c r="A670" s="21" t="s">
        <v>6243</v>
      </c>
      <c r="B670" s="21" t="s">
        <v>1607</v>
      </c>
      <c r="C670" s="22">
        <v>552</v>
      </c>
      <c r="D670" s="21">
        <v>4338.9399999999996</v>
      </c>
      <c r="E670" s="21" t="s">
        <v>5796</v>
      </c>
      <c r="F670" s="23"/>
      <c r="G670" s="23">
        <f t="shared" si="2"/>
        <v>4338.9399999999996</v>
      </c>
      <c r="H670" s="23"/>
      <c r="I670" s="23"/>
    </row>
    <row r="671" spans="1:9">
      <c r="A671" s="21" t="s">
        <v>1944</v>
      </c>
      <c r="B671" s="21" t="s">
        <v>1946</v>
      </c>
      <c r="C671" s="22">
        <v>584</v>
      </c>
      <c r="D671" s="21">
        <v>3907</v>
      </c>
      <c r="E671" s="21" t="s">
        <v>5796</v>
      </c>
      <c r="F671" s="23"/>
      <c r="G671" s="23">
        <f t="shared" si="2"/>
        <v>3907</v>
      </c>
      <c r="H671" s="23"/>
      <c r="I671" s="23"/>
    </row>
    <row r="672" spans="1:9">
      <c r="A672" s="21" t="s">
        <v>2123</v>
      </c>
      <c r="B672" s="21" t="s">
        <v>2125</v>
      </c>
      <c r="C672" s="22">
        <v>682</v>
      </c>
      <c r="D672" s="21">
        <v>2739.5</v>
      </c>
      <c r="E672" s="21" t="s">
        <v>5796</v>
      </c>
      <c r="F672" s="23"/>
      <c r="G672" s="23">
        <f t="shared" si="2"/>
        <v>2739.5</v>
      </c>
      <c r="H672" s="23"/>
      <c r="I672" s="23"/>
    </row>
    <row r="673" spans="1:9">
      <c r="A673" s="21" t="s">
        <v>3011</v>
      </c>
      <c r="B673" s="21" t="s">
        <v>3013</v>
      </c>
      <c r="C673" s="22">
        <v>907</v>
      </c>
      <c r="D673" s="21">
        <v>1446.9</v>
      </c>
      <c r="E673" s="21" t="s">
        <v>5796</v>
      </c>
      <c r="F673" s="23"/>
      <c r="G673" s="23">
        <f t="shared" si="2"/>
        <v>1446.9</v>
      </c>
      <c r="H673" s="23"/>
      <c r="I673" s="23"/>
    </row>
    <row r="674" spans="1:9">
      <c r="A674" s="21" t="s">
        <v>6244</v>
      </c>
      <c r="B674" s="21" t="s">
        <v>3373</v>
      </c>
      <c r="C674" s="22">
        <v>1196</v>
      </c>
      <c r="D674" s="21">
        <v>703.82</v>
      </c>
      <c r="E674" s="21" t="s">
        <v>5796</v>
      </c>
      <c r="F674" s="23"/>
      <c r="G674" s="23">
        <f t="shared" si="2"/>
        <v>703.82</v>
      </c>
      <c r="H674" s="23"/>
      <c r="I674" s="23"/>
    </row>
    <row r="675" spans="1:9">
      <c r="A675" s="21" t="s">
        <v>2561</v>
      </c>
      <c r="B675" s="21" t="s">
        <v>2563</v>
      </c>
      <c r="C675" s="22">
        <v>869</v>
      </c>
      <c r="D675" s="21">
        <v>1613.73</v>
      </c>
      <c r="E675" s="21" t="s">
        <v>5796</v>
      </c>
      <c r="F675" s="23"/>
      <c r="G675" s="23">
        <f t="shared" si="2"/>
        <v>1613.73</v>
      </c>
      <c r="H675" s="23"/>
      <c r="I675" s="23"/>
    </row>
    <row r="676" spans="1:9">
      <c r="A676" s="27" t="s">
        <v>315</v>
      </c>
      <c r="B676" s="27" t="s">
        <v>317</v>
      </c>
      <c r="C676" s="28">
        <v>94</v>
      </c>
      <c r="D676" s="27">
        <v>52342.96</v>
      </c>
      <c r="E676" s="27" t="s">
        <v>5815</v>
      </c>
      <c r="F676" s="29"/>
      <c r="G676" s="23">
        <f t="shared" si="2"/>
        <v>52342.96</v>
      </c>
      <c r="H676" s="29"/>
      <c r="I676" s="29"/>
    </row>
    <row r="677" spans="1:9">
      <c r="A677" s="21" t="s">
        <v>6245</v>
      </c>
      <c r="B677" s="21" t="s">
        <v>3052</v>
      </c>
      <c r="C677" s="22">
        <v>898</v>
      </c>
      <c r="D677" s="21">
        <v>1476.92</v>
      </c>
      <c r="E677" s="21" t="s">
        <v>5796</v>
      </c>
      <c r="F677" s="23"/>
      <c r="G677" s="23">
        <f t="shared" si="2"/>
        <v>1476.92</v>
      </c>
      <c r="H677" s="23"/>
      <c r="I677" s="23"/>
    </row>
    <row r="678" spans="1:9">
      <c r="A678" s="21" t="s">
        <v>3308</v>
      </c>
      <c r="B678" s="21" t="s">
        <v>3310</v>
      </c>
      <c r="C678" s="22">
        <v>1170</v>
      </c>
      <c r="D678" s="21">
        <v>751.49</v>
      </c>
      <c r="E678" s="21" t="s">
        <v>5796</v>
      </c>
      <c r="F678" s="23"/>
      <c r="G678" s="23">
        <f t="shared" si="2"/>
        <v>751.49</v>
      </c>
      <c r="H678" s="23"/>
      <c r="I678" s="23"/>
    </row>
    <row r="679" spans="1:9">
      <c r="A679" s="21" t="s">
        <v>3563</v>
      </c>
      <c r="B679" s="21" t="s">
        <v>3565</v>
      </c>
      <c r="C679" s="22">
        <v>1130</v>
      </c>
      <c r="D679" s="21">
        <v>828.91</v>
      </c>
      <c r="E679" s="21" t="s">
        <v>5796</v>
      </c>
      <c r="F679" s="23"/>
      <c r="G679" s="23">
        <f t="shared" si="2"/>
        <v>828.91</v>
      </c>
      <c r="H679" s="23"/>
      <c r="I679" s="23"/>
    </row>
    <row r="680" spans="1:9">
      <c r="A680" s="21" t="s">
        <v>6246</v>
      </c>
      <c r="B680" s="21" t="s">
        <v>1232</v>
      </c>
      <c r="C680" s="22">
        <v>365</v>
      </c>
      <c r="D680" s="21">
        <v>9161.92</v>
      </c>
      <c r="E680" s="21" t="s">
        <v>5796</v>
      </c>
      <c r="F680" s="23"/>
      <c r="G680" s="23">
        <f t="shared" si="2"/>
        <v>9161.92</v>
      </c>
      <c r="H680" s="23"/>
      <c r="I680" s="23"/>
    </row>
    <row r="681" spans="1:9">
      <c r="A681" s="21" t="s">
        <v>1707</v>
      </c>
      <c r="B681" s="21" t="s">
        <v>1709</v>
      </c>
      <c r="C681" s="22">
        <v>501</v>
      </c>
      <c r="D681" s="21">
        <v>5225.41</v>
      </c>
      <c r="E681" s="21" t="s">
        <v>5796</v>
      </c>
      <c r="F681" s="23"/>
      <c r="G681" s="23">
        <f t="shared" si="2"/>
        <v>5225.41</v>
      </c>
      <c r="H681" s="23"/>
      <c r="I681" s="23"/>
    </row>
    <row r="682" spans="1:9">
      <c r="A682" s="21" t="s">
        <v>1869</v>
      </c>
      <c r="B682" s="21" t="s">
        <v>1871</v>
      </c>
      <c r="C682" s="22">
        <v>454</v>
      </c>
      <c r="D682" s="21">
        <v>6118.61</v>
      </c>
      <c r="E682" s="21" t="s">
        <v>5796</v>
      </c>
      <c r="F682" s="23"/>
      <c r="G682" s="23">
        <f t="shared" si="2"/>
        <v>6118.61</v>
      </c>
      <c r="H682" s="23"/>
      <c r="I682" s="23"/>
    </row>
    <row r="683" spans="1:9">
      <c r="A683" s="21" t="s">
        <v>6247</v>
      </c>
      <c r="B683" s="21" t="s">
        <v>2110</v>
      </c>
      <c r="C683" s="22">
        <v>582</v>
      </c>
      <c r="D683" s="21">
        <v>3939.1</v>
      </c>
      <c r="E683" s="21" t="s">
        <v>5796</v>
      </c>
      <c r="F683" s="23"/>
      <c r="G683" s="23">
        <f t="shared" si="2"/>
        <v>3939.1</v>
      </c>
      <c r="H683" s="23"/>
      <c r="I683" s="23"/>
    </row>
    <row r="684" spans="1:9">
      <c r="A684" s="21" t="s">
        <v>2582</v>
      </c>
      <c r="B684" s="21" t="s">
        <v>2584</v>
      </c>
      <c r="C684" s="22">
        <v>790</v>
      </c>
      <c r="D684" s="21">
        <v>1981.71</v>
      </c>
      <c r="E684" s="21" t="s">
        <v>5796</v>
      </c>
      <c r="F684" s="23"/>
      <c r="G684" s="23">
        <f t="shared" si="2"/>
        <v>1981.71</v>
      </c>
      <c r="H684" s="23"/>
      <c r="I684" s="23"/>
    </row>
    <row r="685" spans="1:9">
      <c r="A685" s="21" t="s">
        <v>6248</v>
      </c>
      <c r="B685" s="21" t="s">
        <v>4375</v>
      </c>
      <c r="C685" s="22">
        <v>1661</v>
      </c>
      <c r="D685" s="21">
        <v>255.81</v>
      </c>
      <c r="E685" s="21" t="s">
        <v>5796</v>
      </c>
      <c r="F685" s="23"/>
      <c r="G685" s="23">
        <f t="shared" si="2"/>
        <v>255.81</v>
      </c>
      <c r="H685" s="23"/>
      <c r="I685" s="23"/>
    </row>
    <row r="686" spans="1:9">
      <c r="A686" s="21" t="s">
        <v>6249</v>
      </c>
      <c r="B686" s="21" t="s">
        <v>3019</v>
      </c>
      <c r="C686" s="22">
        <v>1125</v>
      </c>
      <c r="D686" s="21">
        <v>834.39</v>
      </c>
      <c r="E686" s="21" t="s">
        <v>5796</v>
      </c>
      <c r="F686" s="23"/>
      <c r="G686" s="23">
        <f t="shared" si="2"/>
        <v>834.39</v>
      </c>
      <c r="H686" s="23"/>
      <c r="I686" s="23"/>
    </row>
    <row r="687" spans="1:9">
      <c r="A687" s="27" t="s">
        <v>6250</v>
      </c>
      <c r="B687" s="27" t="s">
        <v>170</v>
      </c>
      <c r="C687" s="28">
        <v>53</v>
      </c>
      <c r="D687" s="27">
        <v>96624.21</v>
      </c>
      <c r="E687" s="27" t="s">
        <v>5815</v>
      </c>
      <c r="F687" s="29"/>
      <c r="G687" s="23">
        <f t="shared" si="2"/>
        <v>96624.21</v>
      </c>
      <c r="H687" s="29"/>
      <c r="I687" s="29"/>
    </row>
    <row r="688" spans="1:9">
      <c r="A688" s="21" t="s">
        <v>6251</v>
      </c>
      <c r="B688" s="21" t="s">
        <v>3823</v>
      </c>
      <c r="C688" s="22">
        <v>1376</v>
      </c>
      <c r="D688" s="21">
        <v>432.4</v>
      </c>
      <c r="E688" s="21" t="s">
        <v>5796</v>
      </c>
      <c r="F688" s="23"/>
      <c r="G688" s="23">
        <f t="shared" si="2"/>
        <v>432.4</v>
      </c>
      <c r="H688" s="23"/>
      <c r="I688" s="23"/>
    </row>
    <row r="689" spans="1:9">
      <c r="A689" s="21" t="s">
        <v>6252</v>
      </c>
      <c r="B689" s="21" t="s">
        <v>4951</v>
      </c>
      <c r="C689" s="22">
        <v>2276</v>
      </c>
      <c r="D689" s="21">
        <v>91.5</v>
      </c>
      <c r="E689" s="21" t="s">
        <v>5796</v>
      </c>
      <c r="F689" s="23"/>
      <c r="G689" s="23">
        <f t="shared" si="2"/>
        <v>91.5</v>
      </c>
      <c r="H689" s="23"/>
      <c r="I689" s="23"/>
    </row>
    <row r="690" spans="1:9">
      <c r="A690" s="21" t="s">
        <v>6253</v>
      </c>
      <c r="B690" s="21" t="s">
        <v>947</v>
      </c>
      <c r="C690" s="22">
        <v>339</v>
      </c>
      <c r="D690" s="21">
        <v>10476.469999999999</v>
      </c>
      <c r="E690" s="21" t="s">
        <v>5796</v>
      </c>
      <c r="F690" s="23"/>
      <c r="G690" s="23">
        <f t="shared" si="2"/>
        <v>10476.469999999999</v>
      </c>
      <c r="H690" s="23"/>
      <c r="I690" s="23"/>
    </row>
    <row r="691" spans="1:9">
      <c r="A691" s="21" t="s">
        <v>6254</v>
      </c>
      <c r="B691" s="21" t="s">
        <v>4342</v>
      </c>
      <c r="C691" s="22">
        <v>1558</v>
      </c>
      <c r="D691" s="21">
        <v>310.02</v>
      </c>
      <c r="E691" s="21" t="s">
        <v>5796</v>
      </c>
      <c r="F691" s="23"/>
      <c r="G691" s="23">
        <f t="shared" si="2"/>
        <v>310.02</v>
      </c>
      <c r="H691" s="23"/>
      <c r="I691" s="23"/>
    </row>
    <row r="692" spans="1:9">
      <c r="A692" s="21" t="s">
        <v>6255</v>
      </c>
      <c r="B692" s="21" t="s">
        <v>6256</v>
      </c>
      <c r="C692" s="22">
        <v>2249</v>
      </c>
      <c r="D692" s="21">
        <v>94.47</v>
      </c>
      <c r="E692" s="21" t="s">
        <v>5796</v>
      </c>
      <c r="F692" s="23"/>
      <c r="G692" s="23">
        <f t="shared" si="2"/>
        <v>94.47</v>
      </c>
      <c r="H692" s="23"/>
      <c r="I692" s="23"/>
    </row>
    <row r="693" spans="1:9">
      <c r="A693" s="21" t="s">
        <v>6257</v>
      </c>
      <c r="B693" s="21" t="s">
        <v>2512</v>
      </c>
      <c r="C693" s="22">
        <v>785</v>
      </c>
      <c r="D693" s="21">
        <v>2022.18</v>
      </c>
      <c r="E693" s="21" t="s">
        <v>5796</v>
      </c>
      <c r="F693" s="23"/>
      <c r="G693" s="23">
        <f t="shared" si="2"/>
        <v>2022.18</v>
      </c>
      <c r="H693" s="23"/>
      <c r="I693" s="23"/>
    </row>
    <row r="694" spans="1:9">
      <c r="A694" s="24" t="s">
        <v>6258</v>
      </c>
      <c r="B694" s="24" t="s">
        <v>491</v>
      </c>
      <c r="C694" s="25">
        <v>151</v>
      </c>
      <c r="D694" s="24">
        <v>34806.959999999999</v>
      </c>
      <c r="E694" s="24" t="s">
        <v>5800</v>
      </c>
      <c r="F694" s="26"/>
      <c r="G694" s="23">
        <f t="shared" si="2"/>
        <v>34806.959999999999</v>
      </c>
      <c r="H694" s="26"/>
      <c r="I694" s="26"/>
    </row>
    <row r="695" spans="1:9">
      <c r="A695" s="27" t="s">
        <v>6259</v>
      </c>
      <c r="B695" s="27" t="s">
        <v>21</v>
      </c>
      <c r="C695" s="28">
        <v>5</v>
      </c>
      <c r="D695" s="27">
        <v>604267.54</v>
      </c>
      <c r="E695" s="27" t="s">
        <v>5815</v>
      </c>
      <c r="F695" s="29"/>
      <c r="G695" s="23">
        <f t="shared" si="2"/>
        <v>604267.54</v>
      </c>
      <c r="H695" s="29"/>
      <c r="I695" s="29"/>
    </row>
    <row r="696" spans="1:9">
      <c r="A696" s="21" t="s">
        <v>2043</v>
      </c>
      <c r="B696" s="21" t="s">
        <v>2045</v>
      </c>
      <c r="C696" s="22">
        <v>647</v>
      </c>
      <c r="D696" s="21">
        <v>3035.57</v>
      </c>
      <c r="E696" s="21" t="s">
        <v>5796</v>
      </c>
      <c r="F696" s="23"/>
      <c r="G696" s="23">
        <f t="shared" si="2"/>
        <v>3035.57</v>
      </c>
      <c r="H696" s="23"/>
      <c r="I696" s="23"/>
    </row>
    <row r="697" spans="1:9">
      <c r="A697" s="27" t="s">
        <v>6260</v>
      </c>
      <c r="B697" s="27" t="s">
        <v>146</v>
      </c>
      <c r="C697" s="28">
        <v>40</v>
      </c>
      <c r="D697" s="27">
        <v>134580.91</v>
      </c>
      <c r="E697" s="27" t="s">
        <v>5815</v>
      </c>
      <c r="F697" s="29"/>
      <c r="G697" s="23">
        <f t="shared" si="2"/>
        <v>134580.91</v>
      </c>
      <c r="H697" s="29"/>
      <c r="I697" s="29"/>
    </row>
    <row r="698" spans="1:9">
      <c r="A698" s="21" t="s">
        <v>6261</v>
      </c>
      <c r="B698" s="21" t="s">
        <v>3652</v>
      </c>
      <c r="C698" s="22">
        <v>1450</v>
      </c>
      <c r="D698" s="21">
        <v>379.6</v>
      </c>
      <c r="E698" s="21" t="s">
        <v>5796</v>
      </c>
      <c r="F698" s="23"/>
      <c r="G698" s="23">
        <f t="shared" si="2"/>
        <v>379.6</v>
      </c>
      <c r="H698" s="23"/>
      <c r="I698" s="23"/>
    </row>
    <row r="699" spans="1:9">
      <c r="A699" s="21" t="s">
        <v>6262</v>
      </c>
      <c r="B699" s="21" t="s">
        <v>5209</v>
      </c>
      <c r="C699" s="22">
        <v>2359</v>
      </c>
      <c r="D699" s="21">
        <v>77.349999999999994</v>
      </c>
      <c r="E699" s="21" t="s">
        <v>5796</v>
      </c>
      <c r="F699" s="23"/>
      <c r="G699" s="23">
        <f t="shared" si="2"/>
        <v>77.349999999999994</v>
      </c>
      <c r="H699" s="23"/>
      <c r="I699" s="23"/>
    </row>
    <row r="700" spans="1:9">
      <c r="A700" s="21" t="s">
        <v>6263</v>
      </c>
      <c r="B700" s="21" t="s">
        <v>3223</v>
      </c>
      <c r="C700" s="22">
        <v>1053</v>
      </c>
      <c r="D700" s="21">
        <v>1025.3499999999999</v>
      </c>
      <c r="E700" s="21" t="s">
        <v>5796</v>
      </c>
      <c r="F700" s="23"/>
      <c r="G700" s="23">
        <f t="shared" si="2"/>
        <v>1025.3499999999999</v>
      </c>
      <c r="H700" s="23"/>
      <c r="I700" s="23"/>
    </row>
    <row r="701" spans="1:9">
      <c r="A701" s="21" t="s">
        <v>4109</v>
      </c>
      <c r="B701" s="21" t="s">
        <v>4111</v>
      </c>
      <c r="C701" s="22">
        <v>1506</v>
      </c>
      <c r="D701" s="21">
        <v>340.66</v>
      </c>
      <c r="E701" s="21" t="s">
        <v>5796</v>
      </c>
      <c r="F701" s="23"/>
      <c r="G701" s="23">
        <f t="shared" si="2"/>
        <v>340.66</v>
      </c>
      <c r="H701" s="23"/>
      <c r="I701" s="23"/>
    </row>
    <row r="702" spans="1:9">
      <c r="A702" s="21" t="s">
        <v>3620</v>
      </c>
      <c r="B702" s="21" t="s">
        <v>3622</v>
      </c>
      <c r="C702" s="22">
        <v>1304</v>
      </c>
      <c r="D702" s="21">
        <v>516.73</v>
      </c>
      <c r="E702" s="21" t="s">
        <v>5796</v>
      </c>
      <c r="F702" s="23"/>
      <c r="G702" s="23">
        <f t="shared" si="2"/>
        <v>516.73</v>
      </c>
      <c r="H702" s="23"/>
      <c r="I702" s="23"/>
    </row>
    <row r="703" spans="1:9">
      <c r="A703" s="21" t="s">
        <v>6264</v>
      </c>
      <c r="B703" s="21" t="s">
        <v>2051</v>
      </c>
      <c r="C703" s="22">
        <v>573</v>
      </c>
      <c r="D703" s="21">
        <v>4034.31</v>
      </c>
      <c r="E703" s="21" t="s">
        <v>5796</v>
      </c>
      <c r="F703" s="23"/>
      <c r="G703" s="23">
        <f t="shared" si="2"/>
        <v>4034.31</v>
      </c>
      <c r="H703" s="23"/>
      <c r="I703" s="23"/>
    </row>
    <row r="704" spans="1:9">
      <c r="A704" s="21" t="s">
        <v>3143</v>
      </c>
      <c r="B704" s="21" t="s">
        <v>3145</v>
      </c>
      <c r="C704" s="22">
        <v>1182</v>
      </c>
      <c r="D704" s="21">
        <v>723.97</v>
      </c>
      <c r="E704" s="21" t="s">
        <v>5796</v>
      </c>
      <c r="F704" s="23"/>
      <c r="G704" s="23">
        <f t="shared" si="2"/>
        <v>723.97</v>
      </c>
      <c r="H704" s="23"/>
      <c r="I704" s="23"/>
    </row>
    <row r="705" spans="1:9">
      <c r="A705" s="21" t="s">
        <v>2714</v>
      </c>
      <c r="B705" s="21" t="s">
        <v>2716</v>
      </c>
      <c r="C705" s="22">
        <v>940</v>
      </c>
      <c r="D705" s="21">
        <v>1342.35</v>
      </c>
      <c r="E705" s="21" t="s">
        <v>5796</v>
      </c>
      <c r="F705" s="23"/>
      <c r="G705" s="23">
        <f t="shared" si="2"/>
        <v>1342.35</v>
      </c>
      <c r="H705" s="23"/>
      <c r="I705" s="23"/>
    </row>
    <row r="706" spans="1:9">
      <c r="A706" s="21" t="s">
        <v>3899</v>
      </c>
      <c r="B706" s="21" t="s">
        <v>3901</v>
      </c>
      <c r="C706" s="22">
        <v>1429</v>
      </c>
      <c r="D706" s="21">
        <v>393.82</v>
      </c>
      <c r="E706" s="21" t="s">
        <v>5796</v>
      </c>
      <c r="F706" s="23"/>
      <c r="G706" s="23">
        <f t="shared" si="2"/>
        <v>393.82</v>
      </c>
      <c r="H706" s="23"/>
      <c r="I706" s="23"/>
    </row>
    <row r="707" spans="1:9">
      <c r="A707" s="21" t="s">
        <v>6265</v>
      </c>
      <c r="B707" s="21" t="s">
        <v>1652</v>
      </c>
      <c r="C707" s="22">
        <v>446</v>
      </c>
      <c r="D707" s="21">
        <v>6399.34</v>
      </c>
      <c r="E707" s="21" t="s">
        <v>5796</v>
      </c>
      <c r="F707" s="23"/>
      <c r="G707" s="23">
        <f t="shared" si="2"/>
        <v>6399.34</v>
      </c>
      <c r="H707" s="23"/>
      <c r="I707" s="23"/>
    </row>
    <row r="708" spans="1:9">
      <c r="A708" s="21" t="s">
        <v>1428</v>
      </c>
      <c r="B708" s="21" t="s">
        <v>1430</v>
      </c>
      <c r="C708" s="22">
        <v>445</v>
      </c>
      <c r="D708" s="21">
        <v>6441.6</v>
      </c>
      <c r="E708" s="21" t="s">
        <v>5796</v>
      </c>
      <c r="F708" s="23"/>
      <c r="G708" s="23">
        <f t="shared" si="2"/>
        <v>6441.6</v>
      </c>
      <c r="H708" s="23"/>
      <c r="I708" s="23"/>
    </row>
    <row r="709" spans="1:9">
      <c r="A709" s="24" t="s">
        <v>6266</v>
      </c>
      <c r="B709" s="24" t="s">
        <v>545</v>
      </c>
      <c r="C709" s="25">
        <v>155</v>
      </c>
      <c r="D709" s="24">
        <v>33770.32</v>
      </c>
      <c r="E709" s="24" t="s">
        <v>5800</v>
      </c>
      <c r="F709" s="26"/>
      <c r="G709" s="23">
        <f t="shared" si="2"/>
        <v>33770.32</v>
      </c>
      <c r="H709" s="26"/>
      <c r="I709" s="26"/>
    </row>
    <row r="710" spans="1:9">
      <c r="A710" s="21" t="s">
        <v>6267</v>
      </c>
      <c r="B710" s="21" t="s">
        <v>2437</v>
      </c>
      <c r="C710" s="22">
        <v>749</v>
      </c>
      <c r="D710" s="21">
        <v>2190.7199999999998</v>
      </c>
      <c r="E710" s="21" t="s">
        <v>5796</v>
      </c>
      <c r="F710" s="23"/>
      <c r="G710" s="23">
        <f t="shared" si="2"/>
        <v>2190.7199999999998</v>
      </c>
      <c r="H710" s="23"/>
      <c r="I710" s="23"/>
    </row>
    <row r="711" spans="1:9">
      <c r="A711" s="21" t="s">
        <v>5377</v>
      </c>
      <c r="B711" s="21" t="s">
        <v>5379</v>
      </c>
      <c r="C711" s="22">
        <v>2562</v>
      </c>
      <c r="D711" s="21">
        <v>56.35</v>
      </c>
      <c r="E711" s="21" t="s">
        <v>5796</v>
      </c>
      <c r="F711" s="23"/>
      <c r="G711" s="23">
        <f t="shared" si="2"/>
        <v>56.35</v>
      </c>
      <c r="H711" s="23"/>
      <c r="I711" s="23"/>
    </row>
    <row r="712" spans="1:9">
      <c r="A712" s="21" t="s">
        <v>3482</v>
      </c>
      <c r="B712" s="21" t="s">
        <v>3484</v>
      </c>
      <c r="C712" s="22">
        <v>1201</v>
      </c>
      <c r="D712" s="21">
        <v>696.36</v>
      </c>
      <c r="E712" s="21" t="s">
        <v>5796</v>
      </c>
      <c r="F712" s="23"/>
      <c r="G712" s="23">
        <f t="shared" si="2"/>
        <v>696.36</v>
      </c>
      <c r="H712" s="23"/>
      <c r="I712" s="23"/>
    </row>
    <row r="713" spans="1:9">
      <c r="A713" s="21" t="s">
        <v>6268</v>
      </c>
      <c r="B713" s="21" t="s">
        <v>5083</v>
      </c>
      <c r="C713" s="22">
        <v>2245</v>
      </c>
      <c r="D713" s="21">
        <v>95.56</v>
      </c>
      <c r="E713" s="21" t="s">
        <v>5796</v>
      </c>
      <c r="F713" s="23"/>
      <c r="G713" s="23">
        <f t="shared" si="2"/>
        <v>95.56</v>
      </c>
      <c r="H713" s="23"/>
      <c r="I713" s="23"/>
    </row>
    <row r="714" spans="1:9">
      <c r="A714" s="21" t="s">
        <v>3098</v>
      </c>
      <c r="B714" s="21" t="s">
        <v>3100</v>
      </c>
      <c r="C714" s="22">
        <v>1247</v>
      </c>
      <c r="D714" s="21">
        <v>612.20000000000005</v>
      </c>
      <c r="E714" s="21" t="s">
        <v>5796</v>
      </c>
      <c r="F714" s="23"/>
      <c r="G714" s="23">
        <f t="shared" si="2"/>
        <v>612.20000000000005</v>
      </c>
      <c r="H714" s="23"/>
      <c r="I714" s="23"/>
    </row>
    <row r="715" spans="1:9">
      <c r="A715" s="21" t="s">
        <v>6269</v>
      </c>
      <c r="B715" s="21" t="s">
        <v>1244</v>
      </c>
      <c r="C715" s="22">
        <v>545</v>
      </c>
      <c r="D715" s="21">
        <v>4420.34</v>
      </c>
      <c r="E715" s="21" t="s">
        <v>5796</v>
      </c>
      <c r="F715" s="23"/>
      <c r="G715" s="23">
        <f t="shared" si="2"/>
        <v>4420.34</v>
      </c>
      <c r="H715" s="23"/>
      <c r="I715" s="23"/>
    </row>
    <row r="716" spans="1:9">
      <c r="A716" s="21" t="s">
        <v>6270</v>
      </c>
      <c r="B716" s="21" t="s">
        <v>3877</v>
      </c>
      <c r="C716" s="22">
        <v>1375</v>
      </c>
      <c r="D716" s="21">
        <v>433.99</v>
      </c>
      <c r="E716" s="21" t="s">
        <v>5796</v>
      </c>
      <c r="F716" s="23"/>
      <c r="G716" s="23">
        <f t="shared" si="2"/>
        <v>433.99</v>
      </c>
      <c r="H716" s="23"/>
      <c r="I716" s="23"/>
    </row>
    <row r="717" spans="1:9">
      <c r="A717" s="21" t="s">
        <v>4052</v>
      </c>
      <c r="B717" s="21" t="s">
        <v>4054</v>
      </c>
      <c r="C717" s="22">
        <v>1574</v>
      </c>
      <c r="D717" s="21">
        <v>303.68</v>
      </c>
      <c r="E717" s="21" t="s">
        <v>5796</v>
      </c>
      <c r="F717" s="23"/>
      <c r="G717" s="23">
        <f t="shared" si="2"/>
        <v>303.68</v>
      </c>
      <c r="H717" s="23"/>
      <c r="I717" s="23"/>
    </row>
    <row r="718" spans="1:9">
      <c r="A718" s="21" t="s">
        <v>6271</v>
      </c>
      <c r="B718" s="21" t="s">
        <v>932</v>
      </c>
      <c r="C718" s="22">
        <v>346</v>
      </c>
      <c r="D718" s="21">
        <v>10115.35</v>
      </c>
      <c r="E718" s="21" t="s">
        <v>5796</v>
      </c>
      <c r="F718" s="23"/>
      <c r="G718" s="23">
        <f t="shared" si="2"/>
        <v>10115.35</v>
      </c>
      <c r="H718" s="23"/>
      <c r="I718" s="23"/>
    </row>
    <row r="719" spans="1:9">
      <c r="A719" s="21" t="s">
        <v>6272</v>
      </c>
      <c r="B719" s="21" t="s">
        <v>2668</v>
      </c>
      <c r="C719" s="22">
        <v>859</v>
      </c>
      <c r="D719" s="21">
        <v>1680.74</v>
      </c>
      <c r="E719" s="21" t="s">
        <v>5796</v>
      </c>
      <c r="F719" s="23"/>
      <c r="G719" s="23">
        <f t="shared" si="2"/>
        <v>1680.74</v>
      </c>
      <c r="H719" s="23"/>
      <c r="I719" s="23"/>
    </row>
    <row r="720" spans="1:9">
      <c r="A720" s="21" t="s">
        <v>6273</v>
      </c>
      <c r="B720" s="21" t="s">
        <v>5643</v>
      </c>
      <c r="C720" s="22">
        <v>2957</v>
      </c>
      <c r="D720" s="21">
        <v>32.18</v>
      </c>
      <c r="E720" s="21" t="s">
        <v>5796</v>
      </c>
      <c r="F720" s="23"/>
      <c r="G720" s="23">
        <f t="shared" si="2"/>
        <v>32.18</v>
      </c>
      <c r="H720" s="23"/>
      <c r="I720" s="23"/>
    </row>
    <row r="721" spans="1:9">
      <c r="A721" s="21" t="s">
        <v>1971</v>
      </c>
      <c r="B721" s="21" t="s">
        <v>1973</v>
      </c>
      <c r="C721" s="22">
        <v>623</v>
      </c>
      <c r="D721" s="21">
        <v>3420.95</v>
      </c>
      <c r="E721" s="21" t="s">
        <v>5796</v>
      </c>
      <c r="F721" s="23"/>
      <c r="G721" s="23">
        <f t="shared" si="2"/>
        <v>3420.95</v>
      </c>
      <c r="H721" s="23"/>
      <c r="I721" s="23"/>
    </row>
    <row r="722" spans="1:9">
      <c r="A722" s="21" t="s">
        <v>6274</v>
      </c>
      <c r="B722" s="21" t="s">
        <v>1376</v>
      </c>
      <c r="C722" s="22">
        <v>491</v>
      </c>
      <c r="D722" s="21">
        <v>5377.67</v>
      </c>
      <c r="E722" s="21" t="s">
        <v>5796</v>
      </c>
      <c r="F722" s="23"/>
      <c r="G722" s="23">
        <f t="shared" si="2"/>
        <v>5377.67</v>
      </c>
      <c r="H722" s="23"/>
      <c r="I722" s="23"/>
    </row>
    <row r="723" spans="1:9">
      <c r="A723" s="21" t="s">
        <v>6275</v>
      </c>
      <c r="B723" s="21" t="s">
        <v>5541</v>
      </c>
      <c r="C723" s="22">
        <v>2938</v>
      </c>
      <c r="D723" s="21">
        <v>33.200000000000003</v>
      </c>
      <c r="E723" s="21" t="s">
        <v>5796</v>
      </c>
      <c r="F723" s="23"/>
      <c r="G723" s="23">
        <f t="shared" si="2"/>
        <v>33.200000000000003</v>
      </c>
      <c r="H723" s="23"/>
      <c r="I723" s="23"/>
    </row>
    <row r="724" spans="1:9">
      <c r="A724" s="21" t="s">
        <v>6276</v>
      </c>
      <c r="B724" s="21" t="s">
        <v>3493</v>
      </c>
      <c r="C724" s="22">
        <v>1320</v>
      </c>
      <c r="D724" s="21">
        <v>490.53</v>
      </c>
      <c r="E724" s="21" t="s">
        <v>5796</v>
      </c>
      <c r="F724" s="23"/>
      <c r="G724" s="23">
        <f t="shared" si="2"/>
        <v>490.53</v>
      </c>
      <c r="H724" s="23"/>
      <c r="I724" s="23"/>
    </row>
    <row r="725" spans="1:9">
      <c r="A725" s="27" t="s">
        <v>6277</v>
      </c>
      <c r="B725" s="27" t="s">
        <v>18</v>
      </c>
      <c r="C725" s="28">
        <v>4</v>
      </c>
      <c r="D725" s="27">
        <v>621984.89</v>
      </c>
      <c r="E725" s="27" t="s">
        <v>5815</v>
      </c>
      <c r="F725" s="29"/>
      <c r="G725" s="23">
        <f t="shared" si="2"/>
        <v>621984.89</v>
      </c>
      <c r="H725" s="29"/>
      <c r="I725" s="29"/>
    </row>
    <row r="726" spans="1:9">
      <c r="A726" s="27" t="s">
        <v>306</v>
      </c>
      <c r="B726" s="27" t="s">
        <v>308</v>
      </c>
      <c r="C726" s="28">
        <v>86</v>
      </c>
      <c r="D726" s="27">
        <v>56235</v>
      </c>
      <c r="E726" s="27" t="s">
        <v>5815</v>
      </c>
      <c r="F726" s="29"/>
      <c r="G726" s="23">
        <f t="shared" si="2"/>
        <v>56235</v>
      </c>
      <c r="H726" s="29"/>
      <c r="I726" s="29"/>
    </row>
    <row r="727" spans="1:9">
      <c r="A727" s="27" t="s">
        <v>249</v>
      </c>
      <c r="B727" s="27" t="s">
        <v>251</v>
      </c>
      <c r="C727" s="28">
        <v>79</v>
      </c>
      <c r="D727" s="27">
        <v>65035.29</v>
      </c>
      <c r="E727" s="27" t="s">
        <v>5815</v>
      </c>
      <c r="F727" s="29"/>
      <c r="G727" s="23">
        <f t="shared" si="2"/>
        <v>65035.29</v>
      </c>
      <c r="H727" s="29"/>
      <c r="I727" s="29"/>
    </row>
    <row r="728" spans="1:9">
      <c r="A728" s="21" t="s">
        <v>6278</v>
      </c>
      <c r="B728" s="21" t="s">
        <v>1814</v>
      </c>
      <c r="C728" s="22">
        <v>660</v>
      </c>
      <c r="D728" s="21">
        <v>2907.64</v>
      </c>
      <c r="E728" s="21" t="s">
        <v>5796</v>
      </c>
      <c r="F728" s="23"/>
      <c r="G728" s="23">
        <f t="shared" si="2"/>
        <v>2907.64</v>
      </c>
      <c r="H728" s="23"/>
      <c r="I728" s="23"/>
    </row>
    <row r="729" spans="1:9">
      <c r="A729" s="21" t="s">
        <v>1767</v>
      </c>
      <c r="B729" s="21" t="s">
        <v>1769</v>
      </c>
      <c r="C729" s="22">
        <v>537</v>
      </c>
      <c r="D729" s="21">
        <v>4532.93</v>
      </c>
      <c r="E729" s="21" t="s">
        <v>5796</v>
      </c>
      <c r="F729" s="23"/>
      <c r="G729" s="23">
        <f t="shared" si="2"/>
        <v>4532.93</v>
      </c>
      <c r="H729" s="23"/>
      <c r="I729" s="23"/>
    </row>
    <row r="730" spans="1:9">
      <c r="A730" s="27" t="s">
        <v>6279</v>
      </c>
      <c r="B730" s="27" t="s">
        <v>296</v>
      </c>
      <c r="C730" s="28">
        <v>88</v>
      </c>
      <c r="D730" s="27">
        <v>55687.31</v>
      </c>
      <c r="E730" s="27" t="s">
        <v>5815</v>
      </c>
      <c r="F730" s="29"/>
      <c r="G730" s="23">
        <f t="shared" si="2"/>
        <v>55687.31</v>
      </c>
      <c r="H730" s="29"/>
      <c r="I730" s="29"/>
    </row>
    <row r="731" spans="1:9">
      <c r="A731" s="24" t="s">
        <v>6280</v>
      </c>
      <c r="B731" s="24" t="s">
        <v>371</v>
      </c>
      <c r="C731" s="25">
        <v>169</v>
      </c>
      <c r="D731" s="24">
        <v>30988.15</v>
      </c>
      <c r="E731" s="24" t="s">
        <v>5800</v>
      </c>
      <c r="F731" s="26"/>
      <c r="G731" s="23">
        <f t="shared" si="2"/>
        <v>30988.15</v>
      </c>
      <c r="H731" s="26"/>
      <c r="I731" s="26"/>
    </row>
    <row r="732" spans="1:9">
      <c r="A732" s="21" t="s">
        <v>6281</v>
      </c>
      <c r="B732" s="21" t="s">
        <v>836</v>
      </c>
      <c r="C732" s="22">
        <v>282</v>
      </c>
      <c r="D732" s="21">
        <v>13907.48</v>
      </c>
      <c r="E732" s="21" t="s">
        <v>5796</v>
      </c>
      <c r="F732" s="23"/>
      <c r="G732" s="23">
        <f t="shared" si="2"/>
        <v>13907.48</v>
      </c>
      <c r="H732" s="23"/>
      <c r="I732" s="23"/>
    </row>
    <row r="733" spans="1:9">
      <c r="A733" s="24" t="s">
        <v>6282</v>
      </c>
      <c r="B733" s="24" t="s">
        <v>335</v>
      </c>
      <c r="C733" s="25">
        <v>131</v>
      </c>
      <c r="D733" s="24">
        <v>39831.269999999997</v>
      </c>
      <c r="E733" s="24" t="s">
        <v>5800</v>
      </c>
      <c r="F733" s="26"/>
      <c r="G733" s="23">
        <f t="shared" si="2"/>
        <v>39831.269999999997</v>
      </c>
      <c r="H733" s="26"/>
      <c r="I733" s="26"/>
    </row>
    <row r="734" spans="1:9">
      <c r="A734" s="21" t="s">
        <v>4631</v>
      </c>
      <c r="B734" s="21" t="s">
        <v>4633</v>
      </c>
      <c r="C734" s="22">
        <v>1743</v>
      </c>
      <c r="D734" s="21">
        <v>217.63</v>
      </c>
      <c r="E734" s="21" t="s">
        <v>5796</v>
      </c>
      <c r="F734" s="23"/>
      <c r="G734" s="23">
        <f t="shared" si="2"/>
        <v>217.63</v>
      </c>
      <c r="H734" s="23"/>
      <c r="I734" s="23"/>
    </row>
    <row r="735" spans="1:9">
      <c r="A735" s="21" t="s">
        <v>1098</v>
      </c>
      <c r="B735" s="21" t="s">
        <v>1100</v>
      </c>
      <c r="C735" s="22">
        <v>295</v>
      </c>
      <c r="D735" s="21">
        <v>12913.07</v>
      </c>
      <c r="E735" s="21" t="s">
        <v>5796</v>
      </c>
      <c r="F735" s="23"/>
      <c r="G735" s="23">
        <f t="shared" si="2"/>
        <v>12913.07</v>
      </c>
      <c r="H735" s="23"/>
      <c r="I735" s="23"/>
    </row>
    <row r="736" spans="1:9">
      <c r="A736" s="21" t="s">
        <v>6283</v>
      </c>
      <c r="B736" s="21" t="s">
        <v>4012</v>
      </c>
      <c r="C736" s="22">
        <v>1344</v>
      </c>
      <c r="D736" s="21">
        <v>461.71</v>
      </c>
      <c r="E736" s="21" t="s">
        <v>5796</v>
      </c>
      <c r="F736" s="23"/>
      <c r="G736" s="23">
        <f t="shared" si="2"/>
        <v>461.71</v>
      </c>
      <c r="H736" s="23"/>
      <c r="I736" s="23"/>
    </row>
    <row r="737" spans="1:9">
      <c r="A737" s="21" t="s">
        <v>2090</v>
      </c>
      <c r="B737" s="21" t="s">
        <v>2092</v>
      </c>
      <c r="C737" s="22">
        <v>627</v>
      </c>
      <c r="D737" s="21">
        <v>3361.56</v>
      </c>
      <c r="E737" s="21" t="s">
        <v>5796</v>
      </c>
      <c r="F737" s="23"/>
      <c r="G737" s="23">
        <f t="shared" si="2"/>
        <v>3361.56</v>
      </c>
      <c r="H737" s="23"/>
      <c r="I737" s="23"/>
    </row>
    <row r="738" spans="1:9">
      <c r="A738" s="21" t="s">
        <v>6284</v>
      </c>
      <c r="B738" s="21" t="s">
        <v>1808</v>
      </c>
      <c r="C738" s="22">
        <v>701</v>
      </c>
      <c r="D738" s="21">
        <v>2574.38</v>
      </c>
      <c r="E738" s="21" t="s">
        <v>5796</v>
      </c>
      <c r="F738" s="23"/>
      <c r="G738" s="23">
        <f t="shared" si="2"/>
        <v>2574.38</v>
      </c>
      <c r="H738" s="23"/>
      <c r="I738" s="23"/>
    </row>
    <row r="739" spans="1:9">
      <c r="A739" s="21" t="s">
        <v>2702</v>
      </c>
      <c r="B739" s="21" t="s">
        <v>2704</v>
      </c>
      <c r="C739" s="22">
        <v>1080</v>
      </c>
      <c r="D739" s="21">
        <v>937.87</v>
      </c>
      <c r="E739" s="21" t="s">
        <v>5796</v>
      </c>
      <c r="F739" s="23"/>
      <c r="G739" s="23">
        <f t="shared" si="2"/>
        <v>937.87</v>
      </c>
      <c r="H739" s="23"/>
      <c r="I739" s="23"/>
    </row>
    <row r="740" spans="1:9">
      <c r="A740" s="21" t="s">
        <v>6285</v>
      </c>
      <c r="B740" s="21" t="s">
        <v>2842</v>
      </c>
      <c r="C740" s="22">
        <v>964</v>
      </c>
      <c r="D740" s="21">
        <v>1275.0899999999999</v>
      </c>
      <c r="E740" s="21" t="s">
        <v>5796</v>
      </c>
      <c r="F740" s="23"/>
      <c r="G740" s="23">
        <f t="shared" si="2"/>
        <v>1275.0899999999999</v>
      </c>
      <c r="H740" s="23"/>
      <c r="I740" s="23"/>
    </row>
    <row r="741" spans="1:9">
      <c r="A741" s="24" t="s">
        <v>6286</v>
      </c>
      <c r="B741" s="24" t="s">
        <v>611</v>
      </c>
      <c r="C741" s="25">
        <v>167</v>
      </c>
      <c r="D741" s="24">
        <v>31715.4</v>
      </c>
      <c r="E741" s="24" t="s">
        <v>5800</v>
      </c>
      <c r="F741" s="26"/>
      <c r="G741" s="23">
        <f t="shared" si="2"/>
        <v>31715.4</v>
      </c>
      <c r="H741" s="26"/>
      <c r="I741" s="26"/>
    </row>
    <row r="742" spans="1:9">
      <c r="A742" s="21" t="s">
        <v>6287</v>
      </c>
      <c r="B742" s="21" t="s">
        <v>3007</v>
      </c>
      <c r="C742" s="22">
        <v>909</v>
      </c>
      <c r="D742" s="21">
        <v>1439.98</v>
      </c>
      <c r="E742" s="21" t="s">
        <v>5796</v>
      </c>
      <c r="F742" s="23"/>
      <c r="G742" s="23">
        <f t="shared" si="2"/>
        <v>1439.98</v>
      </c>
      <c r="H742" s="23"/>
      <c r="I742" s="23"/>
    </row>
    <row r="743" spans="1:9">
      <c r="A743" s="24" t="s">
        <v>6288</v>
      </c>
      <c r="B743" s="24" t="s">
        <v>740</v>
      </c>
      <c r="C743" s="25">
        <v>247</v>
      </c>
      <c r="D743" s="24">
        <v>17630.36</v>
      </c>
      <c r="E743" s="24" t="s">
        <v>5800</v>
      </c>
      <c r="F743" s="26"/>
      <c r="G743" s="23">
        <f t="shared" si="2"/>
        <v>17630.36</v>
      </c>
      <c r="H743" s="26"/>
      <c r="I743" s="26"/>
    </row>
    <row r="744" spans="1:9">
      <c r="A744" s="21" t="s">
        <v>2345</v>
      </c>
      <c r="B744" s="21" t="s">
        <v>2347</v>
      </c>
      <c r="C744" s="22">
        <v>823</v>
      </c>
      <c r="D744" s="21">
        <v>1815.15</v>
      </c>
      <c r="E744" s="21" t="s">
        <v>5796</v>
      </c>
      <c r="F744" s="23"/>
      <c r="G744" s="23">
        <f t="shared" si="2"/>
        <v>1815.15</v>
      </c>
      <c r="H744" s="23"/>
      <c r="I744" s="23"/>
    </row>
    <row r="745" spans="1:9">
      <c r="A745" s="21" t="s">
        <v>6289</v>
      </c>
      <c r="B745" s="21" t="s">
        <v>4417</v>
      </c>
      <c r="C745" s="22">
        <v>1764</v>
      </c>
      <c r="D745" s="21">
        <v>208.44</v>
      </c>
      <c r="E745" s="21" t="s">
        <v>5796</v>
      </c>
      <c r="F745" s="23"/>
      <c r="G745" s="23">
        <f t="shared" si="2"/>
        <v>208.44</v>
      </c>
      <c r="H745" s="23"/>
      <c r="I745" s="23"/>
    </row>
    <row r="746" spans="1:9">
      <c r="A746" s="21" t="s">
        <v>2336</v>
      </c>
      <c r="B746" s="21" t="s">
        <v>2338</v>
      </c>
      <c r="C746" s="22">
        <v>621</v>
      </c>
      <c r="D746" s="21">
        <v>3430.74</v>
      </c>
      <c r="E746" s="21" t="s">
        <v>5796</v>
      </c>
      <c r="F746" s="23"/>
      <c r="G746" s="23">
        <f t="shared" si="2"/>
        <v>3430.74</v>
      </c>
      <c r="H746" s="23"/>
      <c r="I746" s="23"/>
    </row>
    <row r="747" spans="1:9">
      <c r="A747" s="21" t="s">
        <v>6290</v>
      </c>
      <c r="B747" s="21" t="s">
        <v>4498</v>
      </c>
      <c r="C747" s="22">
        <v>1897</v>
      </c>
      <c r="D747" s="21">
        <v>166.43</v>
      </c>
      <c r="E747" s="21" t="s">
        <v>5796</v>
      </c>
      <c r="F747" s="23"/>
      <c r="G747" s="23">
        <f t="shared" si="2"/>
        <v>166.43</v>
      </c>
      <c r="H747" s="23"/>
      <c r="I747" s="23"/>
    </row>
    <row r="748" spans="1:9">
      <c r="A748" s="21" t="s">
        <v>5021</v>
      </c>
      <c r="B748" s="21" t="s">
        <v>5023</v>
      </c>
      <c r="C748" s="22">
        <v>2121</v>
      </c>
      <c r="D748" s="21">
        <v>117.6</v>
      </c>
      <c r="E748" s="21" t="s">
        <v>5796</v>
      </c>
      <c r="F748" s="23"/>
      <c r="G748" s="23">
        <f t="shared" si="2"/>
        <v>117.6</v>
      </c>
      <c r="H748" s="23"/>
      <c r="I748" s="23"/>
    </row>
    <row r="749" spans="1:9">
      <c r="A749" s="21" t="s">
        <v>6291</v>
      </c>
      <c r="B749" s="21" t="s">
        <v>2443</v>
      </c>
      <c r="C749" s="22">
        <v>840</v>
      </c>
      <c r="D749" s="21">
        <v>1743.08</v>
      </c>
      <c r="E749" s="21" t="s">
        <v>5796</v>
      </c>
      <c r="F749" s="23"/>
      <c r="G749" s="23">
        <f t="shared" si="2"/>
        <v>1743.08</v>
      </c>
      <c r="H749" s="23"/>
      <c r="I749" s="23"/>
    </row>
    <row r="750" spans="1:9">
      <c r="A750" s="21" t="s">
        <v>2555</v>
      </c>
      <c r="B750" s="21" t="s">
        <v>2557</v>
      </c>
      <c r="C750" s="22">
        <v>879</v>
      </c>
      <c r="D750" s="21">
        <v>1587.48</v>
      </c>
      <c r="E750" s="21" t="s">
        <v>5796</v>
      </c>
      <c r="F750" s="23"/>
      <c r="G750" s="23">
        <f t="shared" si="2"/>
        <v>1587.48</v>
      </c>
      <c r="H750" s="23"/>
      <c r="I750" s="23"/>
    </row>
    <row r="751" spans="1:9">
      <c r="A751" s="21" t="s">
        <v>6292</v>
      </c>
      <c r="B751" s="21" t="s">
        <v>3349</v>
      </c>
      <c r="C751" s="22">
        <v>1091</v>
      </c>
      <c r="D751" s="21">
        <v>895.7</v>
      </c>
      <c r="E751" s="21" t="s">
        <v>5796</v>
      </c>
      <c r="F751" s="23"/>
      <c r="G751" s="23">
        <f t="shared" si="2"/>
        <v>895.7</v>
      </c>
      <c r="H751" s="23"/>
      <c r="I751" s="23"/>
    </row>
    <row r="752" spans="1:9">
      <c r="A752" s="21" t="s">
        <v>6293</v>
      </c>
      <c r="B752" s="21" t="s">
        <v>5625</v>
      </c>
      <c r="C752" s="22">
        <v>3064</v>
      </c>
      <c r="D752" s="21">
        <v>27.71</v>
      </c>
      <c r="E752" s="21" t="s">
        <v>5796</v>
      </c>
      <c r="F752" s="23"/>
      <c r="G752" s="23">
        <f t="shared" si="2"/>
        <v>27.71</v>
      </c>
      <c r="H752" s="23"/>
      <c r="I752" s="23"/>
    </row>
    <row r="753" spans="1:9">
      <c r="A753" s="21" t="s">
        <v>4964</v>
      </c>
      <c r="B753" s="21" t="s">
        <v>4966</v>
      </c>
      <c r="C753" s="22">
        <v>2207</v>
      </c>
      <c r="D753" s="21">
        <v>102.05</v>
      </c>
      <c r="E753" s="21" t="s">
        <v>5796</v>
      </c>
      <c r="F753" s="23"/>
      <c r="G753" s="23">
        <f t="shared" si="2"/>
        <v>102.05</v>
      </c>
      <c r="H753" s="23"/>
      <c r="I753" s="23"/>
    </row>
    <row r="754" spans="1:9">
      <c r="A754" s="21" t="s">
        <v>6294</v>
      </c>
      <c r="B754" s="21" t="s">
        <v>4963</v>
      </c>
      <c r="C754" s="22">
        <v>2136</v>
      </c>
      <c r="D754" s="21">
        <v>115.26</v>
      </c>
      <c r="E754" s="21" t="s">
        <v>5796</v>
      </c>
      <c r="F754" s="23"/>
      <c r="G754" s="23">
        <f t="shared" si="2"/>
        <v>115.26</v>
      </c>
      <c r="H754" s="23"/>
      <c r="I754" s="23"/>
    </row>
    <row r="755" spans="1:9">
      <c r="A755" s="24" t="s">
        <v>6295</v>
      </c>
      <c r="B755" s="24" t="s">
        <v>347</v>
      </c>
      <c r="C755" s="25">
        <v>108</v>
      </c>
      <c r="D755" s="24">
        <v>48137.83</v>
      </c>
      <c r="E755" s="24" t="s">
        <v>5800</v>
      </c>
      <c r="F755" s="26"/>
      <c r="G755" s="23">
        <f t="shared" si="2"/>
        <v>48137.83</v>
      </c>
      <c r="H755" s="26"/>
      <c r="I755" s="26"/>
    </row>
    <row r="756" spans="1:9">
      <c r="A756" s="21" t="s">
        <v>6296</v>
      </c>
      <c r="B756" s="21" t="s">
        <v>1523</v>
      </c>
      <c r="C756" s="22">
        <v>453</v>
      </c>
      <c r="D756" s="21">
        <v>6156.86</v>
      </c>
      <c r="E756" s="21" t="s">
        <v>5796</v>
      </c>
      <c r="F756" s="23"/>
      <c r="G756" s="23">
        <f t="shared" si="2"/>
        <v>6156.86</v>
      </c>
      <c r="H756" s="23"/>
      <c r="I756" s="23"/>
    </row>
    <row r="757" spans="1:9">
      <c r="A757" s="21" t="s">
        <v>6297</v>
      </c>
      <c r="B757" s="21" t="s">
        <v>2617</v>
      </c>
      <c r="C757" s="22">
        <v>799</v>
      </c>
      <c r="D757" s="21">
        <v>1933.83</v>
      </c>
      <c r="E757" s="21" t="s">
        <v>5796</v>
      </c>
      <c r="F757" s="23"/>
      <c r="G757" s="23">
        <f t="shared" si="2"/>
        <v>1933.83</v>
      </c>
      <c r="H757" s="23"/>
      <c r="I757" s="23"/>
    </row>
    <row r="758" spans="1:9">
      <c r="A758" s="21" t="s">
        <v>6298</v>
      </c>
      <c r="B758" s="21" t="s">
        <v>884</v>
      </c>
      <c r="C758" s="22">
        <v>264</v>
      </c>
      <c r="D758" s="21">
        <v>15736.82</v>
      </c>
      <c r="E758" s="21" t="s">
        <v>5796</v>
      </c>
      <c r="F758" s="23"/>
      <c r="G758" s="23">
        <f t="shared" si="2"/>
        <v>15736.82</v>
      </c>
      <c r="H758" s="23"/>
      <c r="I758" s="23"/>
    </row>
    <row r="759" spans="1:9">
      <c r="A759" s="24" t="s">
        <v>399</v>
      </c>
      <c r="B759" s="24" t="s">
        <v>401</v>
      </c>
      <c r="C759" s="25">
        <v>145</v>
      </c>
      <c r="D759" s="24">
        <v>35864.720000000001</v>
      </c>
      <c r="E759" s="24" t="s">
        <v>5800</v>
      </c>
      <c r="F759" s="26"/>
      <c r="G759" s="23">
        <f t="shared" si="2"/>
        <v>35864.720000000001</v>
      </c>
      <c r="H759" s="26"/>
      <c r="I759" s="26"/>
    </row>
    <row r="760" spans="1:9">
      <c r="A760" s="21" t="s">
        <v>6299</v>
      </c>
      <c r="B760" s="21" t="s">
        <v>4969</v>
      </c>
      <c r="C760" s="22">
        <v>2031</v>
      </c>
      <c r="D760" s="21">
        <v>134.62</v>
      </c>
      <c r="E760" s="21" t="s">
        <v>5796</v>
      </c>
      <c r="F760" s="23"/>
      <c r="G760" s="23">
        <f t="shared" si="2"/>
        <v>134.62</v>
      </c>
      <c r="H760" s="23"/>
      <c r="I760" s="23"/>
    </row>
    <row r="761" spans="1:9">
      <c r="A761" s="21" t="s">
        <v>6300</v>
      </c>
      <c r="B761" s="21" t="s">
        <v>3112</v>
      </c>
      <c r="C761" s="22">
        <v>1187</v>
      </c>
      <c r="D761" s="21">
        <v>715.23</v>
      </c>
      <c r="E761" s="21" t="s">
        <v>5796</v>
      </c>
      <c r="F761" s="23"/>
      <c r="G761" s="23">
        <f t="shared" si="2"/>
        <v>715.23</v>
      </c>
      <c r="H761" s="23"/>
      <c r="I761" s="23"/>
    </row>
    <row r="762" spans="1:9">
      <c r="A762" s="27" t="s">
        <v>180</v>
      </c>
      <c r="B762" s="27" t="s">
        <v>182</v>
      </c>
      <c r="C762" s="28">
        <v>64</v>
      </c>
      <c r="D762" s="27">
        <v>80990.679999999993</v>
      </c>
      <c r="E762" s="27" t="s">
        <v>5815</v>
      </c>
      <c r="F762" s="29"/>
      <c r="G762" s="23">
        <f t="shared" si="2"/>
        <v>80990.679999999993</v>
      </c>
      <c r="H762" s="29"/>
      <c r="I762" s="29"/>
    </row>
    <row r="763" spans="1:9">
      <c r="A763" s="21" t="s">
        <v>1530</v>
      </c>
      <c r="B763" s="21" t="s">
        <v>1532</v>
      </c>
      <c r="C763" s="22">
        <v>466</v>
      </c>
      <c r="D763" s="21">
        <v>5788.55</v>
      </c>
      <c r="E763" s="21" t="s">
        <v>5796</v>
      </c>
      <c r="F763" s="23"/>
      <c r="G763" s="23">
        <f t="shared" si="2"/>
        <v>5788.55</v>
      </c>
      <c r="H763" s="23"/>
      <c r="I763" s="23"/>
    </row>
    <row r="764" spans="1:9">
      <c r="A764" s="21" t="s">
        <v>6301</v>
      </c>
      <c r="B764" s="21" t="s">
        <v>6302</v>
      </c>
      <c r="C764" s="22">
        <v>4407</v>
      </c>
      <c r="D764" s="21">
        <v>3.82</v>
      </c>
      <c r="E764" s="21" t="s">
        <v>5796</v>
      </c>
      <c r="F764" s="23"/>
      <c r="G764" s="23">
        <f t="shared" si="2"/>
        <v>3.82</v>
      </c>
      <c r="H764" s="23"/>
      <c r="I764" s="23"/>
    </row>
    <row r="765" spans="1:9">
      <c r="A765" s="21" t="s">
        <v>6303</v>
      </c>
      <c r="B765" s="21" t="s">
        <v>3274</v>
      </c>
      <c r="C765" s="22">
        <v>1116</v>
      </c>
      <c r="D765" s="21">
        <v>844.7</v>
      </c>
      <c r="E765" s="21" t="s">
        <v>5796</v>
      </c>
      <c r="F765" s="23"/>
      <c r="G765" s="23">
        <f t="shared" si="2"/>
        <v>844.7</v>
      </c>
      <c r="H765" s="23"/>
      <c r="I765" s="23"/>
    </row>
    <row r="766" spans="1:9">
      <c r="A766" s="21" t="s">
        <v>6304</v>
      </c>
      <c r="B766" s="21" t="s">
        <v>3559</v>
      </c>
      <c r="C766" s="22">
        <v>1202</v>
      </c>
      <c r="D766" s="21">
        <v>689.96</v>
      </c>
      <c r="E766" s="21" t="s">
        <v>5796</v>
      </c>
      <c r="F766" s="23"/>
      <c r="G766" s="23">
        <f t="shared" si="2"/>
        <v>689.96</v>
      </c>
      <c r="H766" s="23"/>
      <c r="I766" s="23"/>
    </row>
    <row r="767" spans="1:9">
      <c r="A767" s="21" t="s">
        <v>6305</v>
      </c>
      <c r="B767" s="21" t="s">
        <v>3937</v>
      </c>
      <c r="C767" s="22">
        <v>1435</v>
      </c>
      <c r="D767" s="21">
        <v>389.95</v>
      </c>
      <c r="E767" s="21" t="s">
        <v>5796</v>
      </c>
      <c r="F767" s="23"/>
      <c r="G767" s="23">
        <f t="shared" si="2"/>
        <v>389.95</v>
      </c>
      <c r="H767" s="23"/>
      <c r="I767" s="23"/>
    </row>
    <row r="768" spans="1:9">
      <c r="A768" s="21" t="s">
        <v>6306</v>
      </c>
      <c r="B768" s="21" t="s">
        <v>2248</v>
      </c>
      <c r="C768" s="22">
        <v>638</v>
      </c>
      <c r="D768" s="21">
        <v>3180.82</v>
      </c>
      <c r="E768" s="21" t="s">
        <v>5796</v>
      </c>
      <c r="F768" s="23"/>
      <c r="G768" s="23">
        <f t="shared" ref="G768:G1022" si="3">VALUE(SUBSTITUTE(D768, ",", ""))</f>
        <v>3180.82</v>
      </c>
      <c r="H768" s="23"/>
      <c r="I768" s="23"/>
    </row>
    <row r="769" spans="1:9">
      <c r="A769" s="21" t="s">
        <v>6307</v>
      </c>
      <c r="B769" s="21" t="s">
        <v>3133</v>
      </c>
      <c r="C769" s="22">
        <v>983</v>
      </c>
      <c r="D769" s="21">
        <v>1238.31</v>
      </c>
      <c r="E769" s="21" t="s">
        <v>5796</v>
      </c>
      <c r="F769" s="23"/>
      <c r="G769" s="23">
        <f t="shared" si="3"/>
        <v>1238.31</v>
      </c>
      <c r="H769" s="23"/>
      <c r="I769" s="23"/>
    </row>
    <row r="770" spans="1:9">
      <c r="A770" s="21" t="s">
        <v>2642</v>
      </c>
      <c r="B770" s="21" t="s">
        <v>2644</v>
      </c>
      <c r="C770" s="22">
        <v>834</v>
      </c>
      <c r="D770" s="21">
        <v>1751.67</v>
      </c>
      <c r="E770" s="21" t="s">
        <v>5796</v>
      </c>
      <c r="F770" s="23"/>
      <c r="G770" s="23">
        <f t="shared" si="3"/>
        <v>1751.67</v>
      </c>
      <c r="H770" s="23"/>
      <c r="I770" s="23"/>
    </row>
    <row r="771" spans="1:9">
      <c r="A771" s="21" t="s">
        <v>3941</v>
      </c>
      <c r="B771" s="21" t="s">
        <v>3943</v>
      </c>
      <c r="C771" s="22">
        <v>1671</v>
      </c>
      <c r="D771" s="21">
        <v>251.31</v>
      </c>
      <c r="E771" s="21" t="s">
        <v>5796</v>
      </c>
      <c r="F771" s="23"/>
      <c r="G771" s="23">
        <f t="shared" si="3"/>
        <v>251.31</v>
      </c>
      <c r="H771" s="23"/>
      <c r="I771" s="23"/>
    </row>
    <row r="772" spans="1:9">
      <c r="A772" s="21" t="s">
        <v>4586</v>
      </c>
      <c r="B772" s="21" t="s">
        <v>4588</v>
      </c>
      <c r="C772" s="22">
        <v>1584</v>
      </c>
      <c r="D772" s="21">
        <v>294.99</v>
      </c>
      <c r="E772" s="21" t="s">
        <v>5796</v>
      </c>
      <c r="F772" s="23"/>
      <c r="G772" s="23">
        <f t="shared" si="3"/>
        <v>294.99</v>
      </c>
      <c r="H772" s="23"/>
      <c r="I772" s="23"/>
    </row>
    <row r="773" spans="1:9">
      <c r="A773" s="21" t="s">
        <v>6308</v>
      </c>
      <c r="B773" s="21" t="s">
        <v>4855</v>
      </c>
      <c r="C773" s="22">
        <v>2015</v>
      </c>
      <c r="D773" s="21">
        <v>140.47999999999999</v>
      </c>
      <c r="E773" s="21" t="s">
        <v>5796</v>
      </c>
      <c r="F773" s="23"/>
      <c r="G773" s="23">
        <f t="shared" si="3"/>
        <v>140.47999999999999</v>
      </c>
      <c r="H773" s="23"/>
      <c r="I773" s="23"/>
    </row>
    <row r="774" spans="1:9">
      <c r="A774" s="21" t="s">
        <v>6309</v>
      </c>
      <c r="B774" s="21" t="s">
        <v>2983</v>
      </c>
      <c r="C774" s="22">
        <v>1160</v>
      </c>
      <c r="D774" s="21">
        <v>775.12</v>
      </c>
      <c r="E774" s="21" t="s">
        <v>5796</v>
      </c>
      <c r="F774" s="23"/>
      <c r="G774" s="23">
        <f t="shared" si="3"/>
        <v>775.12</v>
      </c>
      <c r="H774" s="23"/>
      <c r="I774" s="23"/>
    </row>
    <row r="775" spans="1:9">
      <c r="A775" s="21" t="s">
        <v>6310</v>
      </c>
      <c r="B775" s="21" t="s">
        <v>3907</v>
      </c>
      <c r="C775" s="22">
        <v>1428</v>
      </c>
      <c r="D775" s="21">
        <v>393.85</v>
      </c>
      <c r="E775" s="21" t="s">
        <v>5796</v>
      </c>
      <c r="F775" s="23"/>
      <c r="G775" s="23">
        <f t="shared" si="3"/>
        <v>393.85</v>
      </c>
      <c r="H775" s="23"/>
      <c r="I775" s="23"/>
    </row>
    <row r="776" spans="1:9">
      <c r="A776" s="21" t="s">
        <v>6311</v>
      </c>
      <c r="B776" s="21" t="s">
        <v>5262</v>
      </c>
      <c r="C776" s="22">
        <v>2645</v>
      </c>
      <c r="D776" s="21">
        <v>49.8</v>
      </c>
      <c r="E776" s="21" t="s">
        <v>5796</v>
      </c>
      <c r="F776" s="23"/>
      <c r="G776" s="23">
        <f t="shared" si="3"/>
        <v>49.8</v>
      </c>
      <c r="H776" s="23"/>
      <c r="I776" s="23"/>
    </row>
    <row r="777" spans="1:9">
      <c r="A777" s="21" t="s">
        <v>4499</v>
      </c>
      <c r="B777" s="21" t="s">
        <v>4501</v>
      </c>
      <c r="C777" s="22">
        <v>1677</v>
      </c>
      <c r="D777" s="21">
        <v>250.15</v>
      </c>
      <c r="E777" s="21" t="s">
        <v>5796</v>
      </c>
      <c r="F777" s="23"/>
      <c r="G777" s="23">
        <f t="shared" si="3"/>
        <v>250.15</v>
      </c>
      <c r="H777" s="23"/>
      <c r="I777" s="23"/>
    </row>
    <row r="778" spans="1:9">
      <c r="A778" s="27" t="s">
        <v>6312</v>
      </c>
      <c r="B778" s="27" t="s">
        <v>167</v>
      </c>
      <c r="C778" s="28">
        <v>58</v>
      </c>
      <c r="D778" s="27">
        <v>90877.4</v>
      </c>
      <c r="E778" s="27" t="s">
        <v>5815</v>
      </c>
      <c r="F778" s="29"/>
      <c r="G778" s="23">
        <f t="shared" si="3"/>
        <v>90877.4</v>
      </c>
      <c r="H778" s="29"/>
      <c r="I778" s="29"/>
    </row>
    <row r="779" spans="1:9">
      <c r="A779" s="24" t="s">
        <v>6313</v>
      </c>
      <c r="B779" s="24" t="s">
        <v>416</v>
      </c>
      <c r="C779" s="25">
        <v>120</v>
      </c>
      <c r="D779" s="24">
        <v>42619.1</v>
      </c>
      <c r="E779" s="24" t="s">
        <v>5800</v>
      </c>
      <c r="F779" s="26"/>
      <c r="G779" s="23">
        <f t="shared" si="3"/>
        <v>42619.1</v>
      </c>
      <c r="H779" s="26"/>
      <c r="I779" s="26"/>
    </row>
    <row r="780" spans="1:9">
      <c r="A780" s="21" t="s">
        <v>6314</v>
      </c>
      <c r="B780" s="21" t="s">
        <v>1844</v>
      </c>
      <c r="C780" s="22">
        <v>566</v>
      </c>
      <c r="D780" s="21">
        <v>4091.18</v>
      </c>
      <c r="E780" s="21" t="s">
        <v>5796</v>
      </c>
      <c r="F780" s="23"/>
      <c r="G780" s="23">
        <f t="shared" si="3"/>
        <v>4091.18</v>
      </c>
      <c r="H780" s="23"/>
      <c r="I780" s="23"/>
    </row>
    <row r="781" spans="1:9">
      <c r="A781" s="21" t="s">
        <v>3278</v>
      </c>
      <c r="B781" s="21" t="s">
        <v>3280</v>
      </c>
      <c r="C781" s="22">
        <v>996</v>
      </c>
      <c r="D781" s="21">
        <v>1185.8699999999999</v>
      </c>
      <c r="E781" s="21" t="s">
        <v>5796</v>
      </c>
      <c r="F781" s="23"/>
      <c r="G781" s="23">
        <f t="shared" si="3"/>
        <v>1185.8699999999999</v>
      </c>
      <c r="H781" s="23"/>
      <c r="I781" s="23"/>
    </row>
    <row r="782" spans="1:9">
      <c r="A782" s="21" t="s">
        <v>5632</v>
      </c>
      <c r="B782" s="21" t="s">
        <v>5634</v>
      </c>
      <c r="C782" s="22">
        <v>3150</v>
      </c>
      <c r="D782" s="21">
        <v>24.31</v>
      </c>
      <c r="E782" s="21" t="s">
        <v>5796</v>
      </c>
      <c r="F782" s="23"/>
      <c r="G782" s="23">
        <f t="shared" si="3"/>
        <v>24.31</v>
      </c>
      <c r="H782" s="23"/>
      <c r="I782" s="23"/>
    </row>
    <row r="783" spans="1:9">
      <c r="A783" s="27" t="s">
        <v>6315</v>
      </c>
      <c r="B783" s="27" t="s">
        <v>24</v>
      </c>
      <c r="C783" s="28">
        <v>6</v>
      </c>
      <c r="D783" s="27">
        <v>585251.79</v>
      </c>
      <c r="E783" s="27" t="s">
        <v>5815</v>
      </c>
      <c r="F783" s="29"/>
      <c r="G783" s="23">
        <f t="shared" si="3"/>
        <v>585251.79</v>
      </c>
      <c r="H783" s="29"/>
      <c r="I783" s="29"/>
    </row>
    <row r="784" spans="1:9">
      <c r="A784" s="21" t="s">
        <v>6316</v>
      </c>
      <c r="B784" s="21" t="s">
        <v>1289</v>
      </c>
      <c r="C784" s="22">
        <v>399</v>
      </c>
      <c r="D784" s="21">
        <v>7678.63</v>
      </c>
      <c r="E784" s="21" t="s">
        <v>5796</v>
      </c>
      <c r="F784" s="23"/>
      <c r="G784" s="23">
        <f t="shared" si="3"/>
        <v>7678.63</v>
      </c>
      <c r="H784" s="23"/>
      <c r="I784" s="23"/>
    </row>
    <row r="785" spans="1:9">
      <c r="A785" s="21" t="s">
        <v>6317</v>
      </c>
      <c r="B785" s="21" t="s">
        <v>2674</v>
      </c>
      <c r="C785" s="22">
        <v>937</v>
      </c>
      <c r="D785" s="21">
        <v>1356.87</v>
      </c>
      <c r="E785" s="21" t="s">
        <v>5796</v>
      </c>
      <c r="F785" s="23"/>
      <c r="G785" s="23">
        <f t="shared" si="3"/>
        <v>1356.87</v>
      </c>
      <c r="H785" s="23"/>
      <c r="I785" s="23"/>
    </row>
    <row r="786" spans="1:9">
      <c r="A786" s="21" t="s">
        <v>1416</v>
      </c>
      <c r="B786" s="21" t="s">
        <v>1418</v>
      </c>
      <c r="C786" s="22">
        <v>630</v>
      </c>
      <c r="D786" s="21">
        <v>3288.3</v>
      </c>
      <c r="E786" s="21" t="s">
        <v>5796</v>
      </c>
      <c r="F786" s="23"/>
      <c r="G786" s="23">
        <f t="shared" si="3"/>
        <v>3288.3</v>
      </c>
      <c r="H786" s="23"/>
      <c r="I786" s="23"/>
    </row>
    <row r="787" spans="1:9">
      <c r="A787" s="21" t="s">
        <v>6318</v>
      </c>
      <c r="B787" s="21" t="s">
        <v>2965</v>
      </c>
      <c r="C787" s="22">
        <v>889</v>
      </c>
      <c r="D787" s="21">
        <v>1521.29</v>
      </c>
      <c r="E787" s="21" t="s">
        <v>5796</v>
      </c>
      <c r="F787" s="23"/>
      <c r="G787" s="23">
        <f t="shared" si="3"/>
        <v>1521.29</v>
      </c>
      <c r="H787" s="23"/>
      <c r="I787" s="23"/>
    </row>
    <row r="788" spans="1:9">
      <c r="A788" s="21" t="s">
        <v>4421</v>
      </c>
      <c r="B788" s="21" t="s">
        <v>4423</v>
      </c>
      <c r="C788" s="22">
        <v>1733</v>
      </c>
      <c r="D788" s="21">
        <v>224.23</v>
      </c>
      <c r="E788" s="21" t="s">
        <v>5796</v>
      </c>
      <c r="F788" s="23"/>
      <c r="G788" s="23">
        <f t="shared" si="3"/>
        <v>224.23</v>
      </c>
      <c r="H788" s="23"/>
      <c r="I788" s="23"/>
    </row>
    <row r="789" spans="1:9">
      <c r="A789" s="21" t="s">
        <v>6319</v>
      </c>
      <c r="B789" s="21" t="s">
        <v>1283</v>
      </c>
      <c r="C789" s="22">
        <v>441</v>
      </c>
      <c r="D789" s="21">
        <v>6487.23</v>
      </c>
      <c r="E789" s="21" t="s">
        <v>5796</v>
      </c>
      <c r="F789" s="23"/>
      <c r="G789" s="23">
        <f t="shared" si="3"/>
        <v>6487.23</v>
      </c>
      <c r="H789" s="23"/>
      <c r="I789" s="23"/>
    </row>
    <row r="790" spans="1:9">
      <c r="A790" s="21" t="s">
        <v>6320</v>
      </c>
      <c r="B790" s="21" t="s">
        <v>4651</v>
      </c>
      <c r="C790" s="22">
        <v>1976</v>
      </c>
      <c r="D790" s="21">
        <v>148.79</v>
      </c>
      <c r="E790" s="21" t="s">
        <v>5796</v>
      </c>
      <c r="F790" s="23"/>
      <c r="G790" s="23">
        <f t="shared" si="3"/>
        <v>148.79</v>
      </c>
      <c r="H790" s="23"/>
      <c r="I790" s="23"/>
    </row>
    <row r="791" spans="1:9">
      <c r="A791" s="21" t="s">
        <v>6321</v>
      </c>
      <c r="B791" s="21" t="s">
        <v>3913</v>
      </c>
      <c r="C791" s="22">
        <v>1446</v>
      </c>
      <c r="D791" s="21">
        <v>382.02</v>
      </c>
      <c r="E791" s="21" t="s">
        <v>5796</v>
      </c>
      <c r="F791" s="23"/>
      <c r="G791" s="23">
        <f t="shared" si="3"/>
        <v>382.02</v>
      </c>
      <c r="H791" s="23"/>
      <c r="I791" s="23"/>
    </row>
    <row r="792" spans="1:9">
      <c r="A792" s="21" t="s">
        <v>6322</v>
      </c>
      <c r="B792" s="21" t="s">
        <v>4759</v>
      </c>
      <c r="C792" s="22">
        <v>1868</v>
      </c>
      <c r="D792" s="21">
        <v>174.24</v>
      </c>
      <c r="E792" s="21" t="s">
        <v>5796</v>
      </c>
      <c r="F792" s="23"/>
      <c r="G792" s="23">
        <f t="shared" si="3"/>
        <v>174.24</v>
      </c>
      <c r="H792" s="23"/>
      <c r="I792" s="23"/>
    </row>
    <row r="793" spans="1:9">
      <c r="A793" s="24" t="s">
        <v>291</v>
      </c>
      <c r="B793" s="24" t="s">
        <v>293</v>
      </c>
      <c r="C793" s="25">
        <v>107</v>
      </c>
      <c r="D793" s="24">
        <v>48161.8</v>
      </c>
      <c r="E793" s="24" t="s">
        <v>5800</v>
      </c>
      <c r="F793" s="26"/>
      <c r="G793" s="23">
        <f t="shared" si="3"/>
        <v>48161.8</v>
      </c>
      <c r="H793" s="26"/>
      <c r="I793" s="26"/>
    </row>
    <row r="794" spans="1:9">
      <c r="A794" s="27" t="s">
        <v>6323</v>
      </c>
      <c r="B794" s="27" t="s">
        <v>128</v>
      </c>
      <c r="C794" s="28">
        <v>46</v>
      </c>
      <c r="D794" s="27">
        <v>116534.94</v>
      </c>
      <c r="E794" s="27" t="s">
        <v>5815</v>
      </c>
      <c r="F794" s="29"/>
      <c r="G794" s="23">
        <f t="shared" si="3"/>
        <v>116534.94</v>
      </c>
      <c r="H794" s="29"/>
      <c r="I794" s="29"/>
    </row>
    <row r="795" spans="1:9">
      <c r="A795" s="21" t="s">
        <v>6324</v>
      </c>
      <c r="B795" s="21" t="s">
        <v>2464</v>
      </c>
      <c r="C795" s="22">
        <v>756</v>
      </c>
      <c r="D795" s="21">
        <v>2140.9299999999998</v>
      </c>
      <c r="E795" s="21" t="s">
        <v>5796</v>
      </c>
      <c r="F795" s="23"/>
      <c r="G795" s="23">
        <f t="shared" si="3"/>
        <v>2140.9299999999998</v>
      </c>
      <c r="H795" s="23"/>
      <c r="I795" s="23"/>
    </row>
    <row r="796" spans="1:9">
      <c r="A796" s="21" t="s">
        <v>6325</v>
      </c>
      <c r="B796" s="21" t="s">
        <v>1412</v>
      </c>
      <c r="C796" s="22">
        <v>517</v>
      </c>
      <c r="D796" s="21">
        <v>4980</v>
      </c>
      <c r="E796" s="21" t="s">
        <v>5796</v>
      </c>
      <c r="F796" s="23"/>
      <c r="G796" s="23">
        <f t="shared" si="3"/>
        <v>4980</v>
      </c>
      <c r="H796" s="23"/>
      <c r="I796" s="23"/>
    </row>
    <row r="797" spans="1:9">
      <c r="A797" s="24" t="s">
        <v>6326</v>
      </c>
      <c r="B797" s="24" t="s">
        <v>710</v>
      </c>
      <c r="C797" s="25">
        <v>221</v>
      </c>
      <c r="D797" s="24">
        <v>19906.990000000002</v>
      </c>
      <c r="E797" s="24" t="s">
        <v>5800</v>
      </c>
      <c r="F797" s="26"/>
      <c r="G797" s="23">
        <f t="shared" si="3"/>
        <v>19906.990000000002</v>
      </c>
      <c r="H797" s="26"/>
      <c r="I797" s="26"/>
    </row>
    <row r="798" spans="1:9">
      <c r="A798" s="21" t="s">
        <v>2234</v>
      </c>
      <c r="B798" s="21" t="s">
        <v>2236</v>
      </c>
      <c r="C798" s="22">
        <v>703</v>
      </c>
      <c r="D798" s="21">
        <v>2562.44</v>
      </c>
      <c r="E798" s="21" t="s">
        <v>5796</v>
      </c>
      <c r="F798" s="23"/>
      <c r="G798" s="23">
        <f t="shared" si="3"/>
        <v>2562.44</v>
      </c>
      <c r="H798" s="23"/>
      <c r="I798" s="23"/>
    </row>
    <row r="799" spans="1:9">
      <c r="A799" s="21" t="s">
        <v>828</v>
      </c>
      <c r="B799" s="21" t="s">
        <v>830</v>
      </c>
      <c r="C799" s="22">
        <v>252</v>
      </c>
      <c r="D799" s="21">
        <v>16921.72</v>
      </c>
      <c r="E799" s="21" t="s">
        <v>5796</v>
      </c>
      <c r="F799" s="23"/>
      <c r="G799" s="23">
        <f t="shared" si="3"/>
        <v>16921.72</v>
      </c>
      <c r="H799" s="23"/>
      <c r="I799" s="23"/>
    </row>
    <row r="800" spans="1:9">
      <c r="A800" s="21" t="s">
        <v>6327</v>
      </c>
      <c r="B800" s="21" t="s">
        <v>1055</v>
      </c>
      <c r="C800" s="22">
        <v>452</v>
      </c>
      <c r="D800" s="21">
        <v>6238.77</v>
      </c>
      <c r="E800" s="21" t="s">
        <v>5796</v>
      </c>
      <c r="F800" s="23"/>
      <c r="G800" s="23">
        <f t="shared" si="3"/>
        <v>6238.77</v>
      </c>
      <c r="H800" s="23"/>
      <c r="I800" s="23"/>
    </row>
    <row r="801" spans="1:9">
      <c r="A801" s="27" t="s">
        <v>6328</v>
      </c>
      <c r="B801" s="27" t="s">
        <v>356</v>
      </c>
      <c r="C801" s="28">
        <v>98</v>
      </c>
      <c r="D801" s="27">
        <v>49907.360000000001</v>
      </c>
      <c r="E801" s="27" t="s">
        <v>5815</v>
      </c>
      <c r="F801" s="29"/>
      <c r="G801" s="23">
        <f t="shared" si="3"/>
        <v>49907.360000000001</v>
      </c>
      <c r="H801" s="29"/>
      <c r="I801" s="29"/>
    </row>
    <row r="802" spans="1:9">
      <c r="A802" s="24" t="s">
        <v>6329</v>
      </c>
      <c r="B802" s="24" t="s">
        <v>227</v>
      </c>
      <c r="C802" s="25">
        <v>129</v>
      </c>
      <c r="D802" s="24">
        <v>40196.47</v>
      </c>
      <c r="E802" s="24" t="s">
        <v>5800</v>
      </c>
      <c r="F802" s="26"/>
      <c r="G802" s="23">
        <f t="shared" si="3"/>
        <v>40196.47</v>
      </c>
      <c r="H802" s="26"/>
      <c r="I802" s="26"/>
    </row>
    <row r="803" spans="1:9">
      <c r="A803" s="21" t="s">
        <v>6330</v>
      </c>
      <c r="B803" s="21" t="s">
        <v>4630</v>
      </c>
      <c r="C803" s="22">
        <v>1964</v>
      </c>
      <c r="D803" s="21">
        <v>151.04</v>
      </c>
      <c r="E803" s="21" t="s">
        <v>5796</v>
      </c>
      <c r="F803" s="23"/>
      <c r="G803" s="23">
        <f t="shared" si="3"/>
        <v>151.04</v>
      </c>
      <c r="H803" s="23"/>
      <c r="I803" s="23"/>
    </row>
    <row r="804" spans="1:9">
      <c r="A804" s="21" t="s">
        <v>6331</v>
      </c>
      <c r="B804" s="21" t="s">
        <v>3724</v>
      </c>
      <c r="C804" s="22">
        <v>1287</v>
      </c>
      <c r="D804" s="21">
        <v>547.08000000000004</v>
      </c>
      <c r="E804" s="21" t="s">
        <v>5796</v>
      </c>
      <c r="F804" s="23"/>
      <c r="G804" s="23">
        <f t="shared" si="3"/>
        <v>547.08000000000004</v>
      </c>
      <c r="H804" s="23"/>
      <c r="I804" s="23"/>
    </row>
    <row r="805" spans="1:9">
      <c r="A805" s="21" t="s">
        <v>783</v>
      </c>
      <c r="B805" s="21" t="s">
        <v>785</v>
      </c>
      <c r="C805" s="22">
        <v>265</v>
      </c>
      <c r="D805" s="21">
        <v>15642.39</v>
      </c>
      <c r="E805" s="21" t="s">
        <v>5796</v>
      </c>
      <c r="F805" s="23"/>
      <c r="G805" s="23">
        <f t="shared" si="3"/>
        <v>15642.39</v>
      </c>
      <c r="H805" s="23"/>
      <c r="I805" s="23"/>
    </row>
    <row r="806" spans="1:9">
      <c r="A806" s="21" t="s">
        <v>4718</v>
      </c>
      <c r="B806" s="21" t="s">
        <v>4720</v>
      </c>
      <c r="C806" s="22">
        <v>1801</v>
      </c>
      <c r="D806" s="21">
        <v>195.89</v>
      </c>
      <c r="E806" s="21" t="s">
        <v>5796</v>
      </c>
      <c r="F806" s="23"/>
      <c r="G806" s="23">
        <f t="shared" si="3"/>
        <v>195.89</v>
      </c>
      <c r="H806" s="23"/>
      <c r="I806" s="23"/>
    </row>
    <row r="807" spans="1:9">
      <c r="A807" s="21" t="s">
        <v>6332</v>
      </c>
      <c r="B807" s="21" t="s">
        <v>1742</v>
      </c>
      <c r="C807" s="22">
        <v>603</v>
      </c>
      <c r="D807" s="21">
        <v>3681.95</v>
      </c>
      <c r="E807" s="21" t="s">
        <v>5796</v>
      </c>
      <c r="F807" s="23"/>
      <c r="G807" s="23">
        <f t="shared" si="3"/>
        <v>3681.95</v>
      </c>
      <c r="H807" s="23"/>
      <c r="I807" s="23"/>
    </row>
    <row r="808" spans="1:9">
      <c r="A808" s="21" t="s">
        <v>2471</v>
      </c>
      <c r="B808" s="21" t="s">
        <v>2473</v>
      </c>
      <c r="C808" s="22">
        <v>761</v>
      </c>
      <c r="D808" s="21">
        <v>2122.23</v>
      </c>
      <c r="E808" s="21" t="s">
        <v>5796</v>
      </c>
      <c r="F808" s="23"/>
      <c r="G808" s="23">
        <f t="shared" si="3"/>
        <v>2122.23</v>
      </c>
      <c r="H808" s="23"/>
      <c r="I808" s="23"/>
    </row>
    <row r="809" spans="1:9">
      <c r="A809" s="27" t="s">
        <v>6333</v>
      </c>
      <c r="B809" s="27" t="s">
        <v>27</v>
      </c>
      <c r="C809" s="28">
        <v>8</v>
      </c>
      <c r="D809" s="27">
        <v>491395.14</v>
      </c>
      <c r="E809" s="27" t="s">
        <v>5815</v>
      </c>
      <c r="F809" s="29"/>
      <c r="G809" s="23">
        <f t="shared" si="3"/>
        <v>491395.14</v>
      </c>
      <c r="H809" s="29"/>
      <c r="I809" s="29"/>
    </row>
    <row r="810" spans="1:9">
      <c r="A810" s="21" t="s">
        <v>6334</v>
      </c>
      <c r="B810" s="21" t="s">
        <v>2182</v>
      </c>
      <c r="C810" s="22">
        <v>675</v>
      </c>
      <c r="D810" s="21">
        <v>2786.2</v>
      </c>
      <c r="E810" s="21" t="s">
        <v>5796</v>
      </c>
      <c r="F810" s="23"/>
      <c r="G810" s="23">
        <f t="shared" si="3"/>
        <v>2786.2</v>
      </c>
      <c r="H810" s="23"/>
      <c r="I810" s="23"/>
    </row>
    <row r="811" spans="1:9">
      <c r="A811" s="21" t="s">
        <v>6335</v>
      </c>
      <c r="B811" s="21" t="s">
        <v>2069</v>
      </c>
      <c r="C811" s="22">
        <v>753</v>
      </c>
      <c r="D811" s="21">
        <v>2155.36</v>
      </c>
      <c r="E811" s="21" t="s">
        <v>5796</v>
      </c>
      <c r="F811" s="23"/>
      <c r="G811" s="23">
        <f t="shared" si="3"/>
        <v>2155.36</v>
      </c>
      <c r="H811" s="23"/>
      <c r="I811" s="23"/>
    </row>
    <row r="812" spans="1:9">
      <c r="A812" s="21" t="s">
        <v>6336</v>
      </c>
      <c r="B812" s="21" t="s">
        <v>839</v>
      </c>
      <c r="C812" s="22">
        <v>353</v>
      </c>
      <c r="D812" s="21">
        <v>9546.0499999999993</v>
      </c>
      <c r="E812" s="21" t="s">
        <v>5796</v>
      </c>
      <c r="F812" s="23"/>
      <c r="G812" s="23">
        <f t="shared" si="3"/>
        <v>9546.0499999999993</v>
      </c>
      <c r="H812" s="23"/>
      <c r="I812" s="23"/>
    </row>
    <row r="813" spans="1:9">
      <c r="A813" s="21" t="s">
        <v>6337</v>
      </c>
      <c r="B813" s="21" t="s">
        <v>4456</v>
      </c>
      <c r="C813" s="22">
        <v>1753</v>
      </c>
      <c r="D813" s="21">
        <v>213.32</v>
      </c>
      <c r="E813" s="21" t="s">
        <v>5796</v>
      </c>
      <c r="F813" s="23"/>
      <c r="G813" s="23">
        <f t="shared" si="3"/>
        <v>213.32</v>
      </c>
      <c r="H813" s="23"/>
      <c r="I813" s="23"/>
    </row>
    <row r="814" spans="1:9">
      <c r="A814" s="21" t="s">
        <v>6338</v>
      </c>
      <c r="B814" s="21" t="s">
        <v>4753</v>
      </c>
      <c r="C814" s="22">
        <v>1972</v>
      </c>
      <c r="D814" s="21">
        <v>149.04</v>
      </c>
      <c r="E814" s="21" t="s">
        <v>5796</v>
      </c>
      <c r="F814" s="23"/>
      <c r="G814" s="23">
        <f t="shared" si="3"/>
        <v>149.04</v>
      </c>
      <c r="H814" s="23"/>
      <c r="I814" s="23"/>
    </row>
    <row r="815" spans="1:9">
      <c r="A815" s="21" t="s">
        <v>2129</v>
      </c>
      <c r="B815" s="21" t="s">
        <v>2131</v>
      </c>
      <c r="C815" s="22">
        <v>934</v>
      </c>
      <c r="D815" s="21">
        <v>1366.41</v>
      </c>
      <c r="E815" s="21" t="s">
        <v>5796</v>
      </c>
      <c r="F815" s="23"/>
      <c r="G815" s="23">
        <f t="shared" si="3"/>
        <v>1366.41</v>
      </c>
      <c r="H815" s="23"/>
      <c r="I815" s="23"/>
    </row>
    <row r="816" spans="1:9">
      <c r="A816" s="21" t="s">
        <v>4457</v>
      </c>
      <c r="B816" s="21" t="s">
        <v>4459</v>
      </c>
      <c r="C816" s="22">
        <v>1890</v>
      </c>
      <c r="D816" s="21">
        <v>167.35</v>
      </c>
      <c r="E816" s="21" t="s">
        <v>5796</v>
      </c>
      <c r="F816" s="23"/>
      <c r="G816" s="23">
        <f t="shared" si="3"/>
        <v>167.35</v>
      </c>
      <c r="H816" s="23"/>
      <c r="I816" s="23"/>
    </row>
    <row r="817" spans="1:9">
      <c r="A817" s="21" t="s">
        <v>6339</v>
      </c>
      <c r="B817" s="21" t="s">
        <v>1265</v>
      </c>
      <c r="C817" s="22">
        <v>506</v>
      </c>
      <c r="D817" s="21">
        <v>5131.22</v>
      </c>
      <c r="E817" s="21" t="s">
        <v>5796</v>
      </c>
      <c r="F817" s="23"/>
      <c r="G817" s="23">
        <f t="shared" si="3"/>
        <v>5131.22</v>
      </c>
      <c r="H817" s="23"/>
      <c r="I817" s="23"/>
    </row>
    <row r="818" spans="1:9">
      <c r="A818" s="21" t="s">
        <v>2600</v>
      </c>
      <c r="B818" s="21" t="s">
        <v>2602</v>
      </c>
      <c r="C818" s="22">
        <v>827</v>
      </c>
      <c r="D818" s="21">
        <v>1783.56</v>
      </c>
      <c r="E818" s="21" t="s">
        <v>5796</v>
      </c>
      <c r="F818" s="23"/>
      <c r="G818" s="23">
        <f t="shared" si="3"/>
        <v>1783.56</v>
      </c>
      <c r="H818" s="23"/>
      <c r="I818" s="23"/>
    </row>
    <row r="819" spans="1:9">
      <c r="A819" s="21" t="s">
        <v>6340</v>
      </c>
      <c r="B819" s="21" t="s">
        <v>3313</v>
      </c>
      <c r="C819" s="22">
        <v>1090</v>
      </c>
      <c r="D819" s="21">
        <v>897.98</v>
      </c>
      <c r="E819" s="21" t="s">
        <v>5796</v>
      </c>
      <c r="F819" s="23"/>
      <c r="G819" s="23">
        <f t="shared" si="3"/>
        <v>897.98</v>
      </c>
      <c r="H819" s="23"/>
      <c r="I819" s="23"/>
    </row>
    <row r="820" spans="1:9">
      <c r="A820" s="21" t="s">
        <v>1620</v>
      </c>
      <c r="B820" s="21" t="s">
        <v>1622</v>
      </c>
      <c r="C820" s="22">
        <v>1096</v>
      </c>
      <c r="D820" s="21">
        <v>882.71</v>
      </c>
      <c r="E820" s="21" t="s">
        <v>5796</v>
      </c>
      <c r="F820" s="23"/>
      <c r="G820" s="23">
        <f t="shared" si="3"/>
        <v>882.71</v>
      </c>
      <c r="H820" s="23"/>
      <c r="I820" s="23"/>
    </row>
    <row r="821" spans="1:9">
      <c r="A821" s="21" t="s">
        <v>1890</v>
      </c>
      <c r="B821" s="21" t="s">
        <v>1892</v>
      </c>
      <c r="C821" s="22">
        <v>698</v>
      </c>
      <c r="D821" s="21">
        <v>2599.2399999999998</v>
      </c>
      <c r="E821" s="21" t="s">
        <v>5796</v>
      </c>
      <c r="F821" s="23"/>
      <c r="G821" s="23">
        <f t="shared" si="3"/>
        <v>2599.2399999999998</v>
      </c>
      <c r="H821" s="23"/>
      <c r="I821" s="23"/>
    </row>
    <row r="822" spans="1:9">
      <c r="A822" s="21" t="s">
        <v>6341</v>
      </c>
      <c r="B822" s="21" t="s">
        <v>5229</v>
      </c>
      <c r="C822" s="22">
        <v>2214</v>
      </c>
      <c r="D822" s="21">
        <v>101.36</v>
      </c>
      <c r="E822" s="21" t="s">
        <v>5796</v>
      </c>
      <c r="F822" s="23"/>
      <c r="G822" s="23">
        <f t="shared" si="3"/>
        <v>101.36</v>
      </c>
      <c r="H822" s="23"/>
      <c r="I822" s="23"/>
    </row>
    <row r="823" spans="1:9">
      <c r="A823" s="21" t="s">
        <v>6342</v>
      </c>
      <c r="B823" s="21" t="s">
        <v>1898</v>
      </c>
      <c r="C823" s="22">
        <v>569</v>
      </c>
      <c r="D823" s="21">
        <v>4071.97</v>
      </c>
      <c r="E823" s="21" t="s">
        <v>5796</v>
      </c>
      <c r="F823" s="23"/>
      <c r="G823" s="23">
        <f t="shared" si="3"/>
        <v>4071.97</v>
      </c>
      <c r="H823" s="23"/>
      <c r="I823" s="23"/>
    </row>
    <row r="824" spans="1:9">
      <c r="A824" s="21" t="s">
        <v>6343</v>
      </c>
      <c r="B824" s="21" t="s">
        <v>2902</v>
      </c>
      <c r="C824" s="22">
        <v>1013</v>
      </c>
      <c r="D824" s="21">
        <v>1114.19</v>
      </c>
      <c r="E824" s="21" t="s">
        <v>5796</v>
      </c>
      <c r="F824" s="23"/>
      <c r="G824" s="23">
        <f t="shared" si="3"/>
        <v>1114.19</v>
      </c>
      <c r="H824" s="23"/>
      <c r="I824" s="23"/>
    </row>
    <row r="825" spans="1:9">
      <c r="A825" s="21" t="s">
        <v>6344</v>
      </c>
      <c r="B825" s="21" t="s">
        <v>3742</v>
      </c>
      <c r="C825" s="22">
        <v>1293</v>
      </c>
      <c r="D825" s="21">
        <v>537.4</v>
      </c>
      <c r="E825" s="21" t="s">
        <v>5796</v>
      </c>
      <c r="F825" s="23"/>
      <c r="G825" s="23">
        <f t="shared" si="3"/>
        <v>537.4</v>
      </c>
      <c r="H825" s="23"/>
      <c r="I825" s="23"/>
    </row>
    <row r="826" spans="1:9">
      <c r="A826" s="21" t="s">
        <v>6345</v>
      </c>
      <c r="B826" s="21" t="s">
        <v>3214</v>
      </c>
      <c r="C826" s="22">
        <v>1185</v>
      </c>
      <c r="D826" s="21">
        <v>717.97</v>
      </c>
      <c r="E826" s="21" t="s">
        <v>5796</v>
      </c>
      <c r="F826" s="23"/>
      <c r="G826" s="23">
        <f t="shared" si="3"/>
        <v>717.97</v>
      </c>
      <c r="H826" s="23"/>
      <c r="I826" s="23"/>
    </row>
    <row r="827" spans="1:9">
      <c r="A827" s="21" t="s">
        <v>6346</v>
      </c>
      <c r="B827" s="21" t="s">
        <v>2134</v>
      </c>
      <c r="C827" s="22">
        <v>745</v>
      </c>
      <c r="D827" s="21">
        <v>2232.25</v>
      </c>
      <c r="E827" s="21" t="s">
        <v>5796</v>
      </c>
      <c r="F827" s="23"/>
      <c r="G827" s="23">
        <f t="shared" si="3"/>
        <v>2232.25</v>
      </c>
      <c r="H827" s="23"/>
      <c r="I827" s="23"/>
    </row>
    <row r="828" spans="1:9">
      <c r="A828" s="21" t="s">
        <v>6347</v>
      </c>
      <c r="B828" s="21" t="s">
        <v>4447</v>
      </c>
      <c r="C828" s="22">
        <v>1656</v>
      </c>
      <c r="D828" s="21">
        <v>259.06</v>
      </c>
      <c r="E828" s="21" t="s">
        <v>5796</v>
      </c>
      <c r="F828" s="23"/>
      <c r="G828" s="23">
        <f t="shared" si="3"/>
        <v>259.06</v>
      </c>
      <c r="H828" s="23"/>
      <c r="I828" s="23"/>
    </row>
    <row r="829" spans="1:9">
      <c r="A829" s="21" t="s">
        <v>6348</v>
      </c>
      <c r="B829" s="21" t="s">
        <v>767</v>
      </c>
      <c r="C829" s="22">
        <v>262</v>
      </c>
      <c r="D829" s="21">
        <v>15832.36</v>
      </c>
      <c r="E829" s="21" t="s">
        <v>5796</v>
      </c>
      <c r="F829" s="23"/>
      <c r="G829" s="23">
        <f t="shared" si="3"/>
        <v>15832.36</v>
      </c>
      <c r="H829" s="23"/>
      <c r="I829" s="23"/>
    </row>
    <row r="830" spans="1:9">
      <c r="A830" s="21" t="s">
        <v>6349</v>
      </c>
      <c r="B830" s="21" t="s">
        <v>6350</v>
      </c>
      <c r="C830" s="22">
        <v>2607</v>
      </c>
      <c r="D830" s="21">
        <v>52.43</v>
      </c>
      <c r="E830" s="21" t="s">
        <v>5796</v>
      </c>
      <c r="F830" s="23"/>
      <c r="G830" s="23">
        <f t="shared" si="3"/>
        <v>52.43</v>
      </c>
      <c r="H830" s="23"/>
      <c r="I830" s="23"/>
    </row>
    <row r="831" spans="1:9">
      <c r="A831" s="21" t="s">
        <v>924</v>
      </c>
      <c r="B831" s="21" t="s">
        <v>926</v>
      </c>
      <c r="C831" s="22">
        <v>384</v>
      </c>
      <c r="D831" s="21">
        <v>8314.08</v>
      </c>
      <c r="E831" s="21" t="s">
        <v>5796</v>
      </c>
      <c r="F831" s="23"/>
      <c r="G831" s="23">
        <f t="shared" si="3"/>
        <v>8314.08</v>
      </c>
      <c r="H831" s="23"/>
      <c r="I831" s="23"/>
    </row>
    <row r="832" spans="1:9">
      <c r="A832" s="21" t="s">
        <v>6351</v>
      </c>
      <c r="B832" s="21" t="s">
        <v>2254</v>
      </c>
      <c r="C832" s="22">
        <v>651</v>
      </c>
      <c r="D832" s="21">
        <v>3019.75</v>
      </c>
      <c r="E832" s="21" t="s">
        <v>5796</v>
      </c>
      <c r="F832" s="23"/>
      <c r="G832" s="23">
        <f t="shared" si="3"/>
        <v>3019.75</v>
      </c>
      <c r="H832" s="23"/>
      <c r="I832" s="23"/>
    </row>
    <row r="833" spans="1:9">
      <c r="A833" s="21" t="s">
        <v>6352</v>
      </c>
      <c r="B833" s="21" t="s">
        <v>3763</v>
      </c>
      <c r="C833" s="22">
        <v>1195</v>
      </c>
      <c r="D833" s="21">
        <v>706.36</v>
      </c>
      <c r="E833" s="21" t="s">
        <v>5796</v>
      </c>
      <c r="F833" s="23"/>
      <c r="G833" s="23">
        <f t="shared" si="3"/>
        <v>706.36</v>
      </c>
      <c r="H833" s="23"/>
      <c r="I833" s="23"/>
    </row>
    <row r="834" spans="1:9">
      <c r="A834" s="21" t="s">
        <v>5467</v>
      </c>
      <c r="B834" s="21" t="s">
        <v>5469</v>
      </c>
      <c r="C834" s="22">
        <v>2527</v>
      </c>
      <c r="D834" s="21">
        <v>60.67</v>
      </c>
      <c r="E834" s="21" t="s">
        <v>5796</v>
      </c>
      <c r="F834" s="23"/>
      <c r="G834" s="23">
        <f t="shared" si="3"/>
        <v>60.67</v>
      </c>
      <c r="H834" s="23"/>
      <c r="I834" s="23"/>
    </row>
    <row r="835" spans="1:9">
      <c r="A835" s="21" t="s">
        <v>6353</v>
      </c>
      <c r="B835" s="21" t="s">
        <v>4897</v>
      </c>
      <c r="C835" s="22">
        <v>2116</v>
      </c>
      <c r="D835" s="21">
        <v>118.81</v>
      </c>
      <c r="E835" s="21" t="s">
        <v>5796</v>
      </c>
      <c r="F835" s="23"/>
      <c r="G835" s="23">
        <f t="shared" si="3"/>
        <v>118.81</v>
      </c>
      <c r="H835" s="23"/>
      <c r="I835" s="23"/>
    </row>
    <row r="836" spans="1:9">
      <c r="A836" s="21" t="s">
        <v>3932</v>
      </c>
      <c r="B836" s="21" t="s">
        <v>3934</v>
      </c>
      <c r="C836" s="22">
        <v>1508</v>
      </c>
      <c r="D836" s="21">
        <v>339.96</v>
      </c>
      <c r="E836" s="21" t="s">
        <v>5796</v>
      </c>
      <c r="F836" s="23"/>
      <c r="G836" s="23">
        <f t="shared" si="3"/>
        <v>339.96</v>
      </c>
      <c r="H836" s="23"/>
      <c r="I836" s="23"/>
    </row>
    <row r="837" spans="1:9">
      <c r="A837" s="21" t="s">
        <v>6354</v>
      </c>
      <c r="B837" s="21" t="s">
        <v>2335</v>
      </c>
      <c r="C837" s="22">
        <v>667</v>
      </c>
      <c r="D837" s="21">
        <v>2850.34</v>
      </c>
      <c r="E837" s="21" t="s">
        <v>5796</v>
      </c>
      <c r="F837" s="23"/>
      <c r="G837" s="23">
        <f t="shared" si="3"/>
        <v>2850.34</v>
      </c>
      <c r="H837" s="23"/>
      <c r="I837" s="23"/>
    </row>
    <row r="838" spans="1:9">
      <c r="A838" s="21" t="s">
        <v>6355</v>
      </c>
      <c r="B838" s="21" t="s">
        <v>1088</v>
      </c>
      <c r="C838" s="22">
        <v>495</v>
      </c>
      <c r="D838" s="21">
        <v>5312.09</v>
      </c>
      <c r="E838" s="21" t="s">
        <v>5796</v>
      </c>
      <c r="F838" s="23"/>
      <c r="G838" s="23">
        <f t="shared" si="3"/>
        <v>5312.09</v>
      </c>
      <c r="H838" s="23"/>
      <c r="I838" s="23"/>
    </row>
    <row r="839" spans="1:9">
      <c r="A839" s="27" t="s">
        <v>6356</v>
      </c>
      <c r="B839" s="27" t="s">
        <v>302</v>
      </c>
      <c r="C839" s="28">
        <v>84</v>
      </c>
      <c r="D839" s="27">
        <v>57937.91</v>
      </c>
      <c r="E839" s="27" t="s">
        <v>5815</v>
      </c>
      <c r="F839" s="29"/>
      <c r="G839" s="23">
        <f t="shared" si="3"/>
        <v>57937.91</v>
      </c>
      <c r="H839" s="29"/>
      <c r="I839" s="29"/>
    </row>
    <row r="840" spans="1:9">
      <c r="A840" s="21" t="s">
        <v>6357</v>
      </c>
      <c r="B840" s="21" t="s">
        <v>2860</v>
      </c>
      <c r="C840" s="22">
        <v>1114</v>
      </c>
      <c r="D840" s="21">
        <v>847.32</v>
      </c>
      <c r="E840" s="21" t="s">
        <v>5796</v>
      </c>
      <c r="F840" s="23"/>
      <c r="G840" s="23">
        <f t="shared" si="3"/>
        <v>847.32</v>
      </c>
      <c r="H840" s="23"/>
      <c r="I840" s="23"/>
    </row>
    <row r="841" spans="1:9">
      <c r="A841" s="21" t="s">
        <v>6358</v>
      </c>
      <c r="B841" s="21" t="s">
        <v>1559</v>
      </c>
      <c r="C841" s="22">
        <v>419</v>
      </c>
      <c r="D841" s="21">
        <v>7016.05</v>
      </c>
      <c r="E841" s="21" t="s">
        <v>5796</v>
      </c>
      <c r="F841" s="23"/>
      <c r="G841" s="23">
        <f t="shared" si="3"/>
        <v>7016.05</v>
      </c>
      <c r="H841" s="23"/>
      <c r="I841" s="23"/>
    </row>
    <row r="842" spans="1:9">
      <c r="A842" s="21" t="s">
        <v>6359</v>
      </c>
      <c r="B842" s="21" t="s">
        <v>2074</v>
      </c>
      <c r="C842" s="22">
        <v>759</v>
      </c>
      <c r="D842" s="21">
        <v>2124.84</v>
      </c>
      <c r="E842" s="21" t="s">
        <v>5796</v>
      </c>
      <c r="F842" s="23"/>
      <c r="G842" s="23">
        <f t="shared" si="3"/>
        <v>2124.84</v>
      </c>
      <c r="H842" s="23"/>
      <c r="I842" s="23"/>
    </row>
    <row r="843" spans="1:9">
      <c r="A843" s="21" t="s">
        <v>6360</v>
      </c>
      <c r="B843" s="21" t="s">
        <v>3106</v>
      </c>
      <c r="C843" s="22">
        <v>1410</v>
      </c>
      <c r="D843" s="21">
        <v>402.79</v>
      </c>
      <c r="E843" s="21" t="s">
        <v>5796</v>
      </c>
      <c r="F843" s="23"/>
      <c r="G843" s="23">
        <f t="shared" si="3"/>
        <v>402.79</v>
      </c>
      <c r="H843" s="23"/>
      <c r="I843" s="23"/>
    </row>
    <row r="844" spans="1:9">
      <c r="A844" s="24" t="s">
        <v>6361</v>
      </c>
      <c r="B844" s="24" t="s">
        <v>674</v>
      </c>
      <c r="C844" s="25">
        <v>205</v>
      </c>
      <c r="D844" s="24">
        <v>22855.09</v>
      </c>
      <c r="E844" s="24" t="s">
        <v>5800</v>
      </c>
      <c r="F844" s="26"/>
      <c r="G844" s="23">
        <f t="shared" si="3"/>
        <v>22855.09</v>
      </c>
      <c r="H844" s="26"/>
      <c r="I844" s="26"/>
    </row>
    <row r="845" spans="1:9">
      <c r="A845" s="21" t="s">
        <v>6362</v>
      </c>
      <c r="B845" s="21" t="s">
        <v>2266</v>
      </c>
      <c r="C845" s="22">
        <v>784</v>
      </c>
      <c r="D845" s="21">
        <v>2029.92</v>
      </c>
      <c r="E845" s="21" t="s">
        <v>5796</v>
      </c>
      <c r="F845" s="23"/>
      <c r="G845" s="23">
        <f t="shared" si="3"/>
        <v>2029.92</v>
      </c>
      <c r="H845" s="23"/>
      <c r="I845" s="23"/>
    </row>
    <row r="846" spans="1:9">
      <c r="A846" s="21" t="s">
        <v>1368</v>
      </c>
      <c r="B846" s="21" t="s">
        <v>1370</v>
      </c>
      <c r="C846" s="22">
        <v>373</v>
      </c>
      <c r="D846" s="21">
        <v>8750.9599999999991</v>
      </c>
      <c r="E846" s="21" t="s">
        <v>5796</v>
      </c>
      <c r="F846" s="23"/>
      <c r="G846" s="23">
        <f t="shared" si="3"/>
        <v>8750.9599999999991</v>
      </c>
      <c r="H846" s="23"/>
      <c r="I846" s="23"/>
    </row>
    <row r="847" spans="1:9">
      <c r="A847" s="21" t="s">
        <v>6363</v>
      </c>
      <c r="B847" s="21" t="s">
        <v>1640</v>
      </c>
      <c r="C847" s="22">
        <v>449</v>
      </c>
      <c r="D847" s="21">
        <v>6342.64</v>
      </c>
      <c r="E847" s="21" t="s">
        <v>5796</v>
      </c>
      <c r="F847" s="23"/>
      <c r="G847" s="23">
        <f t="shared" si="3"/>
        <v>6342.64</v>
      </c>
      <c r="H847" s="23"/>
      <c r="I847" s="23"/>
    </row>
    <row r="848" spans="1:9">
      <c r="A848" s="21" t="s">
        <v>6364</v>
      </c>
      <c r="B848" s="21" t="s">
        <v>1481</v>
      </c>
      <c r="C848" s="22">
        <v>556</v>
      </c>
      <c r="D848" s="21">
        <v>4262.38</v>
      </c>
      <c r="E848" s="21" t="s">
        <v>5796</v>
      </c>
      <c r="F848" s="23"/>
      <c r="G848" s="23">
        <f t="shared" si="3"/>
        <v>4262.38</v>
      </c>
      <c r="H848" s="23"/>
      <c r="I848" s="23"/>
    </row>
    <row r="849" spans="1:9">
      <c r="A849" s="21" t="s">
        <v>6365</v>
      </c>
      <c r="B849" s="21" t="s">
        <v>4798</v>
      </c>
      <c r="C849" s="22">
        <v>1959</v>
      </c>
      <c r="D849" s="21">
        <v>152.12</v>
      </c>
      <c r="E849" s="21" t="s">
        <v>5796</v>
      </c>
      <c r="F849" s="23"/>
      <c r="G849" s="23">
        <f t="shared" si="3"/>
        <v>152.12</v>
      </c>
      <c r="H849" s="23"/>
      <c r="I849" s="23"/>
    </row>
    <row r="850" spans="1:9">
      <c r="A850" s="21" t="s">
        <v>1407</v>
      </c>
      <c r="B850" s="21" t="s">
        <v>1409</v>
      </c>
      <c r="C850" s="22">
        <v>450</v>
      </c>
      <c r="D850" s="21">
        <v>6332.41</v>
      </c>
      <c r="E850" s="21" t="s">
        <v>5796</v>
      </c>
      <c r="F850" s="23"/>
      <c r="G850" s="23">
        <f t="shared" si="3"/>
        <v>6332.41</v>
      </c>
      <c r="H850" s="23"/>
      <c r="I850" s="23"/>
    </row>
    <row r="851" spans="1:9">
      <c r="A851" s="21" t="s">
        <v>6366</v>
      </c>
      <c r="B851" s="21" t="s">
        <v>4789</v>
      </c>
      <c r="C851" s="22">
        <v>1926</v>
      </c>
      <c r="D851" s="21">
        <v>160.22</v>
      </c>
      <c r="E851" s="21" t="s">
        <v>5796</v>
      </c>
      <c r="F851" s="23"/>
      <c r="G851" s="23">
        <f t="shared" si="3"/>
        <v>160.22</v>
      </c>
      <c r="H851" s="23"/>
      <c r="I851" s="23"/>
    </row>
    <row r="852" spans="1:9">
      <c r="A852" s="21" t="s">
        <v>2219</v>
      </c>
      <c r="B852" s="21" t="s">
        <v>2221</v>
      </c>
      <c r="C852" s="22">
        <v>786</v>
      </c>
      <c r="D852" s="21">
        <v>2016.15</v>
      </c>
      <c r="E852" s="21" t="s">
        <v>5796</v>
      </c>
      <c r="F852" s="23"/>
      <c r="G852" s="23">
        <f t="shared" si="3"/>
        <v>2016.15</v>
      </c>
      <c r="H852" s="23"/>
      <c r="I852" s="23"/>
    </row>
    <row r="853" spans="1:9">
      <c r="A853" s="21" t="s">
        <v>6367</v>
      </c>
      <c r="B853" s="21" t="s">
        <v>3820</v>
      </c>
      <c r="C853" s="22">
        <v>1294</v>
      </c>
      <c r="D853" s="21">
        <v>534.46</v>
      </c>
      <c r="E853" s="21" t="s">
        <v>5796</v>
      </c>
      <c r="F853" s="23"/>
      <c r="G853" s="23">
        <f t="shared" si="3"/>
        <v>534.46</v>
      </c>
      <c r="H853" s="23"/>
      <c r="I853" s="23"/>
    </row>
    <row r="854" spans="1:9">
      <c r="A854" s="21" t="s">
        <v>1575</v>
      </c>
      <c r="B854" s="21" t="s">
        <v>1577</v>
      </c>
      <c r="C854" s="22">
        <v>551</v>
      </c>
      <c r="D854" s="21">
        <v>4340.01</v>
      </c>
      <c r="E854" s="21" t="s">
        <v>5796</v>
      </c>
      <c r="F854" s="23"/>
      <c r="G854" s="23">
        <f t="shared" si="3"/>
        <v>4340.01</v>
      </c>
      <c r="H854" s="23"/>
      <c r="I854" s="23"/>
    </row>
    <row r="855" spans="1:9">
      <c r="A855" s="24" t="s">
        <v>510</v>
      </c>
      <c r="B855" s="24" t="s">
        <v>512</v>
      </c>
      <c r="C855" s="25">
        <v>242</v>
      </c>
      <c r="D855" s="24">
        <v>18441.79</v>
      </c>
      <c r="E855" s="24" t="s">
        <v>5800</v>
      </c>
      <c r="F855" s="26"/>
      <c r="G855" s="23">
        <f t="shared" si="3"/>
        <v>18441.79</v>
      </c>
      <c r="H855" s="26"/>
      <c r="I855" s="26"/>
    </row>
    <row r="856" spans="1:9">
      <c r="A856" s="24" t="s">
        <v>327</v>
      </c>
      <c r="B856" s="24" t="s">
        <v>329</v>
      </c>
      <c r="C856" s="25">
        <v>128</v>
      </c>
      <c r="D856" s="24">
        <v>41406.97</v>
      </c>
      <c r="E856" s="24" t="s">
        <v>5800</v>
      </c>
      <c r="F856" s="26"/>
      <c r="G856" s="23">
        <f t="shared" si="3"/>
        <v>41406.97</v>
      </c>
      <c r="H856" s="26"/>
      <c r="I856" s="26"/>
    </row>
    <row r="857" spans="1:9">
      <c r="A857" s="21" t="s">
        <v>1788</v>
      </c>
      <c r="B857" s="21" t="s">
        <v>1790</v>
      </c>
      <c r="C857" s="22">
        <v>532</v>
      </c>
      <c r="D857" s="21">
        <v>4585.9799999999996</v>
      </c>
      <c r="E857" s="21" t="s">
        <v>5796</v>
      </c>
      <c r="F857" s="23"/>
      <c r="G857" s="23">
        <f t="shared" si="3"/>
        <v>4585.9799999999996</v>
      </c>
      <c r="H857" s="23"/>
      <c r="I857" s="23"/>
    </row>
    <row r="858" spans="1:9">
      <c r="A858" s="21" t="s">
        <v>6368</v>
      </c>
      <c r="B858" s="21" t="s">
        <v>6369</v>
      </c>
      <c r="C858" s="22">
        <v>894</v>
      </c>
      <c r="D858" s="21">
        <v>1491.04</v>
      </c>
      <c r="E858" s="21" t="s">
        <v>5796</v>
      </c>
      <c r="F858" s="23"/>
      <c r="G858" s="23">
        <f t="shared" si="3"/>
        <v>1491.04</v>
      </c>
      <c r="H858" s="23"/>
      <c r="I858" s="23"/>
    </row>
    <row r="859" spans="1:9">
      <c r="A859" s="27" t="s">
        <v>96</v>
      </c>
      <c r="B859" s="27" t="s">
        <v>98</v>
      </c>
      <c r="C859" s="28">
        <v>28</v>
      </c>
      <c r="D859" s="27">
        <v>173445.72</v>
      </c>
      <c r="E859" s="27" t="s">
        <v>5815</v>
      </c>
      <c r="F859" s="29"/>
      <c r="G859" s="23">
        <f t="shared" si="3"/>
        <v>173445.72</v>
      </c>
      <c r="H859" s="29"/>
      <c r="I859" s="29"/>
    </row>
    <row r="860" spans="1:9">
      <c r="A860" s="21" t="s">
        <v>6370</v>
      </c>
      <c r="B860" s="21" t="s">
        <v>2158</v>
      </c>
      <c r="C860" s="22">
        <v>657</v>
      </c>
      <c r="D860" s="21">
        <v>2958.51</v>
      </c>
      <c r="E860" s="21" t="s">
        <v>5796</v>
      </c>
      <c r="F860" s="23"/>
      <c r="G860" s="23">
        <f t="shared" si="3"/>
        <v>2958.51</v>
      </c>
      <c r="H860" s="23"/>
      <c r="I860" s="23"/>
    </row>
    <row r="861" spans="1:9">
      <c r="A861" s="21" t="s">
        <v>2126</v>
      </c>
      <c r="B861" s="21" t="s">
        <v>2128</v>
      </c>
      <c r="C861" s="22">
        <v>744</v>
      </c>
      <c r="D861" s="21">
        <v>2240.4699999999998</v>
      </c>
      <c r="E861" s="21" t="s">
        <v>5796</v>
      </c>
      <c r="F861" s="23"/>
      <c r="G861" s="23">
        <f t="shared" si="3"/>
        <v>2240.4699999999998</v>
      </c>
      <c r="H861" s="23"/>
      <c r="I861" s="23"/>
    </row>
    <row r="862" spans="1:9">
      <c r="A862" s="24" t="s">
        <v>546</v>
      </c>
      <c r="B862" s="24" t="s">
        <v>548</v>
      </c>
      <c r="C862" s="25">
        <v>170</v>
      </c>
      <c r="D862" s="24">
        <v>30760.55</v>
      </c>
      <c r="E862" s="24" t="s">
        <v>5800</v>
      </c>
      <c r="F862" s="26"/>
      <c r="G862" s="23">
        <f t="shared" si="3"/>
        <v>30760.55</v>
      </c>
      <c r="H862" s="26"/>
      <c r="I862" s="26"/>
    </row>
    <row r="863" spans="1:9">
      <c r="A863" s="21" t="s">
        <v>3455</v>
      </c>
      <c r="B863" s="21" t="s">
        <v>3457</v>
      </c>
      <c r="C863" s="22">
        <v>1228</v>
      </c>
      <c r="D863" s="21">
        <v>638.19000000000005</v>
      </c>
      <c r="E863" s="21" t="s">
        <v>5796</v>
      </c>
      <c r="F863" s="23"/>
      <c r="G863" s="23">
        <f t="shared" si="3"/>
        <v>638.19000000000005</v>
      </c>
      <c r="H863" s="23"/>
      <c r="I863" s="23"/>
    </row>
    <row r="864" spans="1:9">
      <c r="A864" s="21" t="s">
        <v>1506</v>
      </c>
      <c r="B864" s="21" t="s">
        <v>1508</v>
      </c>
      <c r="C864" s="22">
        <v>421</v>
      </c>
      <c r="D864" s="21">
        <v>6961.06</v>
      </c>
      <c r="E864" s="21" t="s">
        <v>5796</v>
      </c>
      <c r="F864" s="23"/>
      <c r="G864" s="23">
        <f t="shared" si="3"/>
        <v>6961.06</v>
      </c>
      <c r="H864" s="23"/>
      <c r="I864" s="23"/>
    </row>
    <row r="865" spans="1:9">
      <c r="A865" s="21" t="s">
        <v>6371</v>
      </c>
      <c r="B865" s="21" t="s">
        <v>1574</v>
      </c>
      <c r="C865" s="22">
        <v>496</v>
      </c>
      <c r="D865" s="21">
        <v>5302.89</v>
      </c>
      <c r="E865" s="21" t="s">
        <v>5796</v>
      </c>
      <c r="F865" s="23"/>
      <c r="G865" s="23">
        <f t="shared" si="3"/>
        <v>5302.89</v>
      </c>
      <c r="H865" s="23"/>
      <c r="I865" s="23"/>
    </row>
    <row r="866" spans="1:9">
      <c r="A866" s="21" t="s">
        <v>1629</v>
      </c>
      <c r="B866" s="21" t="s">
        <v>1631</v>
      </c>
      <c r="C866" s="22">
        <v>480</v>
      </c>
      <c r="D866" s="21">
        <v>5525.04</v>
      </c>
      <c r="E866" s="21" t="s">
        <v>5796</v>
      </c>
      <c r="F866" s="23"/>
      <c r="G866" s="23">
        <f t="shared" si="3"/>
        <v>5525.04</v>
      </c>
      <c r="H866" s="23"/>
      <c r="I866" s="23"/>
    </row>
    <row r="867" spans="1:9">
      <c r="A867" s="21" t="s">
        <v>6372</v>
      </c>
      <c r="B867" s="21" t="s">
        <v>1115</v>
      </c>
      <c r="C867" s="22">
        <v>550</v>
      </c>
      <c r="D867" s="21">
        <v>4343.63</v>
      </c>
      <c r="E867" s="21" t="s">
        <v>5796</v>
      </c>
      <c r="F867" s="23"/>
      <c r="G867" s="23">
        <f t="shared" si="3"/>
        <v>4343.63</v>
      </c>
      <c r="H867" s="23"/>
      <c r="I867" s="23"/>
    </row>
    <row r="868" spans="1:9">
      <c r="A868" s="21" t="s">
        <v>6373</v>
      </c>
      <c r="B868" s="21" t="s">
        <v>1025</v>
      </c>
      <c r="C868" s="22">
        <v>407</v>
      </c>
      <c r="D868" s="21">
        <v>7367.95</v>
      </c>
      <c r="E868" s="21" t="s">
        <v>5796</v>
      </c>
      <c r="F868" s="23"/>
      <c r="G868" s="23">
        <f t="shared" si="3"/>
        <v>7367.95</v>
      </c>
      <c r="H868" s="23"/>
      <c r="I868" s="23"/>
    </row>
    <row r="869" spans="1:9">
      <c r="A869" s="21" t="s">
        <v>6374</v>
      </c>
      <c r="B869" s="21" t="s">
        <v>3517</v>
      </c>
      <c r="C869" s="22">
        <v>1313</v>
      </c>
      <c r="D869" s="21">
        <v>496.47</v>
      </c>
      <c r="E869" s="21" t="s">
        <v>5796</v>
      </c>
      <c r="F869" s="23"/>
      <c r="G869" s="23">
        <f t="shared" si="3"/>
        <v>496.47</v>
      </c>
      <c r="H869" s="23"/>
      <c r="I869" s="23"/>
    </row>
    <row r="870" spans="1:9">
      <c r="A870" s="21" t="s">
        <v>6375</v>
      </c>
      <c r="B870" s="21" t="s">
        <v>2980</v>
      </c>
      <c r="C870" s="22">
        <v>860</v>
      </c>
      <c r="D870" s="21">
        <v>1679.45</v>
      </c>
      <c r="E870" s="21" t="s">
        <v>5796</v>
      </c>
      <c r="F870" s="23"/>
      <c r="G870" s="23">
        <f t="shared" si="3"/>
        <v>1679.45</v>
      </c>
      <c r="H870" s="23"/>
      <c r="I870" s="23"/>
    </row>
    <row r="871" spans="1:9">
      <c r="A871" s="24" t="s">
        <v>6376</v>
      </c>
      <c r="B871" s="24" t="s">
        <v>770</v>
      </c>
      <c r="C871" s="25">
        <v>245</v>
      </c>
      <c r="D871" s="24">
        <v>18078.88</v>
      </c>
      <c r="E871" s="24" t="s">
        <v>5800</v>
      </c>
      <c r="F871" s="26"/>
      <c r="G871" s="23">
        <f t="shared" si="3"/>
        <v>18078.88</v>
      </c>
      <c r="H871" s="26"/>
      <c r="I871" s="26"/>
    </row>
    <row r="872" spans="1:9">
      <c r="A872" s="21" t="s">
        <v>6377</v>
      </c>
      <c r="B872" s="21" t="s">
        <v>4810</v>
      </c>
      <c r="C872" s="22">
        <v>1945</v>
      </c>
      <c r="D872" s="21">
        <v>156.49</v>
      </c>
      <c r="E872" s="21" t="s">
        <v>5796</v>
      </c>
      <c r="F872" s="23"/>
      <c r="G872" s="23">
        <f t="shared" si="3"/>
        <v>156.49</v>
      </c>
      <c r="H872" s="23"/>
      <c r="I872" s="23"/>
    </row>
    <row r="873" spans="1:9">
      <c r="A873" s="21" t="s">
        <v>6378</v>
      </c>
      <c r="B873" s="21" t="s">
        <v>5730</v>
      </c>
      <c r="C873" s="22">
        <v>3626</v>
      </c>
      <c r="D873" s="21">
        <v>11.93</v>
      </c>
      <c r="E873" s="21" t="s">
        <v>5796</v>
      </c>
      <c r="F873" s="23"/>
      <c r="G873" s="23">
        <f t="shared" si="3"/>
        <v>11.93</v>
      </c>
      <c r="H873" s="23"/>
      <c r="I873" s="23"/>
    </row>
    <row r="874" spans="1:9">
      <c r="A874" s="21" t="s">
        <v>6379</v>
      </c>
      <c r="B874" s="21" t="s">
        <v>4978</v>
      </c>
      <c r="C874" s="22">
        <v>2290</v>
      </c>
      <c r="D874" s="21">
        <v>88.57</v>
      </c>
      <c r="E874" s="21" t="s">
        <v>5796</v>
      </c>
      <c r="F874" s="23"/>
      <c r="G874" s="23">
        <f t="shared" si="3"/>
        <v>88.57</v>
      </c>
      <c r="H874" s="23"/>
      <c r="I874" s="23"/>
    </row>
    <row r="875" spans="1:9">
      <c r="A875" s="21" t="s">
        <v>660</v>
      </c>
      <c r="B875" s="21" t="s">
        <v>662</v>
      </c>
      <c r="C875" s="22">
        <v>312</v>
      </c>
      <c r="D875" s="21">
        <v>11685.06</v>
      </c>
      <c r="E875" s="21" t="s">
        <v>5796</v>
      </c>
      <c r="F875" s="23"/>
      <c r="G875" s="23">
        <f t="shared" si="3"/>
        <v>11685.06</v>
      </c>
      <c r="H875" s="23"/>
      <c r="I875" s="23"/>
    </row>
    <row r="876" spans="1:9">
      <c r="A876" s="21" t="s">
        <v>6380</v>
      </c>
      <c r="B876" s="21" t="s">
        <v>3916</v>
      </c>
      <c r="C876" s="22">
        <v>1471</v>
      </c>
      <c r="D876" s="21">
        <v>364.82</v>
      </c>
      <c r="E876" s="21" t="s">
        <v>5796</v>
      </c>
      <c r="F876" s="23"/>
      <c r="G876" s="23">
        <f t="shared" si="3"/>
        <v>364.82</v>
      </c>
      <c r="H876" s="23"/>
      <c r="I876" s="23"/>
    </row>
    <row r="877" spans="1:9">
      <c r="A877" s="21" t="s">
        <v>3569</v>
      </c>
      <c r="B877" s="21" t="s">
        <v>3571</v>
      </c>
      <c r="C877" s="22">
        <v>1083</v>
      </c>
      <c r="D877" s="21">
        <v>925.81</v>
      </c>
      <c r="E877" s="21" t="s">
        <v>5796</v>
      </c>
      <c r="F877" s="23"/>
      <c r="G877" s="23">
        <f t="shared" si="3"/>
        <v>925.81</v>
      </c>
      <c r="H877" s="23"/>
      <c r="I877" s="23"/>
    </row>
    <row r="878" spans="1:9">
      <c r="A878" s="21" t="s">
        <v>3368</v>
      </c>
      <c r="B878" s="21" t="s">
        <v>3370</v>
      </c>
      <c r="C878" s="22">
        <v>1264</v>
      </c>
      <c r="D878" s="21">
        <v>577.79</v>
      </c>
      <c r="E878" s="21" t="s">
        <v>5796</v>
      </c>
      <c r="F878" s="23"/>
      <c r="G878" s="23">
        <f t="shared" si="3"/>
        <v>577.79</v>
      </c>
      <c r="H878" s="23"/>
      <c r="I878" s="23"/>
    </row>
    <row r="879" spans="1:9">
      <c r="A879" s="21" t="s">
        <v>6381</v>
      </c>
      <c r="B879" s="21" t="s">
        <v>5325</v>
      </c>
      <c r="C879" s="22">
        <v>2360</v>
      </c>
      <c r="D879" s="21">
        <v>77.27</v>
      </c>
      <c r="E879" s="21" t="s">
        <v>5796</v>
      </c>
      <c r="F879" s="23"/>
      <c r="G879" s="23">
        <f t="shared" si="3"/>
        <v>77.27</v>
      </c>
      <c r="H879" s="23"/>
      <c r="I879" s="23"/>
    </row>
    <row r="880" spans="1:9">
      <c r="A880" s="21" t="s">
        <v>6382</v>
      </c>
      <c r="B880" s="21" t="s">
        <v>3898</v>
      </c>
      <c r="C880" s="22">
        <v>1295</v>
      </c>
      <c r="D880" s="21">
        <v>534.30999999999995</v>
      </c>
      <c r="E880" s="21" t="s">
        <v>5796</v>
      </c>
      <c r="F880" s="23"/>
      <c r="G880" s="23">
        <f t="shared" si="3"/>
        <v>534.30999999999995</v>
      </c>
      <c r="H880" s="23"/>
      <c r="I880" s="23"/>
    </row>
    <row r="881" spans="1:9">
      <c r="A881" s="21" t="s">
        <v>4517</v>
      </c>
      <c r="B881" s="21" t="s">
        <v>4519</v>
      </c>
      <c r="C881" s="22">
        <v>1798</v>
      </c>
      <c r="D881" s="21">
        <v>196.25</v>
      </c>
      <c r="E881" s="21" t="s">
        <v>5796</v>
      </c>
      <c r="F881" s="23"/>
      <c r="G881" s="23">
        <f t="shared" si="3"/>
        <v>196.25</v>
      </c>
      <c r="H881" s="23"/>
      <c r="I881" s="23"/>
    </row>
    <row r="882" spans="1:9">
      <c r="A882" s="24" t="s">
        <v>6383</v>
      </c>
      <c r="B882" s="24" t="s">
        <v>668</v>
      </c>
      <c r="C882" s="25">
        <v>206</v>
      </c>
      <c r="D882" s="24">
        <v>22182.83</v>
      </c>
      <c r="E882" s="24" t="s">
        <v>5800</v>
      </c>
      <c r="F882" s="26"/>
      <c r="G882" s="23">
        <f t="shared" si="3"/>
        <v>22182.83</v>
      </c>
      <c r="H882" s="26"/>
      <c r="I882" s="26"/>
    </row>
    <row r="883" spans="1:9">
      <c r="A883" s="21" t="s">
        <v>6384</v>
      </c>
      <c r="B883" s="21" t="s">
        <v>4738</v>
      </c>
      <c r="C883" s="22">
        <v>2005</v>
      </c>
      <c r="D883" s="21">
        <v>143.11000000000001</v>
      </c>
      <c r="E883" s="21" t="s">
        <v>5796</v>
      </c>
      <c r="F883" s="23"/>
      <c r="G883" s="23">
        <f t="shared" si="3"/>
        <v>143.11000000000001</v>
      </c>
      <c r="H883" s="23"/>
      <c r="I883" s="23"/>
    </row>
    <row r="884" spans="1:9">
      <c r="A884" s="21" t="s">
        <v>5422</v>
      </c>
      <c r="B884" s="21" t="s">
        <v>5424</v>
      </c>
      <c r="C884" s="22">
        <v>2844</v>
      </c>
      <c r="D884" s="21">
        <v>37.729999999999997</v>
      </c>
      <c r="E884" s="21" t="s">
        <v>5796</v>
      </c>
      <c r="F884" s="23"/>
      <c r="G884" s="23">
        <f t="shared" si="3"/>
        <v>37.729999999999997</v>
      </c>
      <c r="H884" s="23"/>
      <c r="I884" s="23"/>
    </row>
    <row r="885" spans="1:9">
      <c r="A885" s="21" t="s">
        <v>6385</v>
      </c>
      <c r="B885" s="21" t="s">
        <v>1148</v>
      </c>
      <c r="C885" s="22">
        <v>381</v>
      </c>
      <c r="D885" s="21">
        <v>8369.1</v>
      </c>
      <c r="E885" s="21" t="s">
        <v>5796</v>
      </c>
      <c r="F885" s="23"/>
      <c r="G885" s="23">
        <f t="shared" si="3"/>
        <v>8369.1</v>
      </c>
      <c r="H885" s="23"/>
      <c r="I885" s="23"/>
    </row>
    <row r="886" spans="1:9">
      <c r="A886" s="21" t="s">
        <v>6386</v>
      </c>
      <c r="B886" s="21" t="s">
        <v>5652</v>
      </c>
      <c r="C886" s="22">
        <v>3441</v>
      </c>
      <c r="D886" s="21">
        <v>15.74</v>
      </c>
      <c r="E886" s="21" t="s">
        <v>5796</v>
      </c>
      <c r="F886" s="23"/>
      <c r="G886" s="23">
        <f t="shared" si="3"/>
        <v>15.74</v>
      </c>
      <c r="H886" s="23"/>
      <c r="I886" s="23"/>
    </row>
    <row r="887" spans="1:9">
      <c r="A887" s="21" t="s">
        <v>6387</v>
      </c>
      <c r="B887" s="21" t="s">
        <v>5676</v>
      </c>
      <c r="C887" s="22">
        <v>3591</v>
      </c>
      <c r="D887" s="21">
        <v>12.4</v>
      </c>
      <c r="E887" s="21" t="s">
        <v>5796</v>
      </c>
      <c r="F887" s="23"/>
      <c r="G887" s="23">
        <f t="shared" si="3"/>
        <v>12.4</v>
      </c>
      <c r="H887" s="23"/>
      <c r="I887" s="23"/>
    </row>
    <row r="888" spans="1:9">
      <c r="A888" s="21" t="s">
        <v>4061</v>
      </c>
      <c r="B888" s="21" t="s">
        <v>4063</v>
      </c>
      <c r="C888" s="22">
        <v>1409</v>
      </c>
      <c r="D888" s="21">
        <v>403.41</v>
      </c>
      <c r="E888" s="21" t="s">
        <v>5796</v>
      </c>
      <c r="F888" s="23"/>
      <c r="G888" s="23">
        <f t="shared" si="3"/>
        <v>403.41</v>
      </c>
      <c r="H888" s="23"/>
      <c r="I888" s="23"/>
    </row>
    <row r="889" spans="1:9">
      <c r="A889" s="21" t="s">
        <v>6388</v>
      </c>
      <c r="B889" s="21" t="s">
        <v>1043</v>
      </c>
      <c r="C889" s="22">
        <v>457</v>
      </c>
      <c r="D889" s="21">
        <v>6040.37</v>
      </c>
      <c r="E889" s="21" t="s">
        <v>5796</v>
      </c>
      <c r="F889" s="23"/>
      <c r="G889" s="23">
        <f t="shared" si="3"/>
        <v>6040.37</v>
      </c>
      <c r="H889" s="23"/>
      <c r="I889" s="23"/>
    </row>
    <row r="890" spans="1:9">
      <c r="A890" s="21" t="s">
        <v>6389</v>
      </c>
      <c r="B890" s="21" t="s">
        <v>4714</v>
      </c>
      <c r="C890" s="22">
        <v>1844</v>
      </c>
      <c r="D890" s="21">
        <v>183.21</v>
      </c>
      <c r="E890" s="21" t="s">
        <v>5796</v>
      </c>
      <c r="F890" s="23"/>
      <c r="G890" s="23">
        <f t="shared" si="3"/>
        <v>183.21</v>
      </c>
      <c r="H890" s="23"/>
      <c r="I890" s="23"/>
    </row>
    <row r="891" spans="1:9">
      <c r="A891" s="21" t="s">
        <v>6390</v>
      </c>
      <c r="B891" s="21" t="s">
        <v>2899</v>
      </c>
      <c r="C891" s="22">
        <v>941</v>
      </c>
      <c r="D891" s="21">
        <v>1341.17</v>
      </c>
      <c r="E891" s="21" t="s">
        <v>5796</v>
      </c>
      <c r="F891" s="23"/>
      <c r="G891" s="23">
        <f t="shared" si="3"/>
        <v>1341.17</v>
      </c>
      <c r="H891" s="23"/>
      <c r="I891" s="23"/>
    </row>
    <row r="892" spans="1:9">
      <c r="A892" s="21" t="s">
        <v>6391</v>
      </c>
      <c r="B892" s="21" t="s">
        <v>4207</v>
      </c>
      <c r="C892" s="22">
        <v>1592</v>
      </c>
      <c r="D892" s="21">
        <v>291.92</v>
      </c>
      <c r="E892" s="21" t="s">
        <v>5796</v>
      </c>
      <c r="F892" s="23"/>
      <c r="G892" s="23">
        <f t="shared" si="3"/>
        <v>291.92</v>
      </c>
      <c r="H892" s="23"/>
      <c r="I892" s="23"/>
    </row>
    <row r="893" spans="1:9">
      <c r="A893" s="21" t="s">
        <v>6392</v>
      </c>
      <c r="B893" s="21" t="s">
        <v>2392</v>
      </c>
      <c r="C893" s="22">
        <v>912</v>
      </c>
      <c r="D893" s="21">
        <v>1428.5</v>
      </c>
      <c r="E893" s="21" t="s">
        <v>5796</v>
      </c>
      <c r="F893" s="23"/>
      <c r="G893" s="23">
        <f t="shared" si="3"/>
        <v>1428.5</v>
      </c>
      <c r="H893" s="23"/>
      <c r="I893" s="23"/>
    </row>
    <row r="894" spans="1:9">
      <c r="A894" s="21" t="s">
        <v>6393</v>
      </c>
      <c r="B894" s="21" t="s">
        <v>920</v>
      </c>
      <c r="C894" s="22">
        <v>298</v>
      </c>
      <c r="D894" s="21">
        <v>12676.58</v>
      </c>
      <c r="E894" s="21" t="s">
        <v>5796</v>
      </c>
      <c r="F894" s="23"/>
      <c r="G894" s="23">
        <f t="shared" si="3"/>
        <v>12676.58</v>
      </c>
      <c r="H894" s="23"/>
      <c r="I894" s="23"/>
    </row>
    <row r="895" spans="1:9">
      <c r="A895" s="21" t="s">
        <v>6394</v>
      </c>
      <c r="B895" s="21" t="s">
        <v>3613</v>
      </c>
      <c r="C895" s="22">
        <v>1261</v>
      </c>
      <c r="D895" s="21">
        <v>580.51</v>
      </c>
      <c r="E895" s="21" t="s">
        <v>5796</v>
      </c>
      <c r="F895" s="23"/>
      <c r="G895" s="23">
        <f t="shared" si="3"/>
        <v>580.51</v>
      </c>
      <c r="H895" s="23"/>
      <c r="I895" s="23"/>
    </row>
    <row r="896" spans="1:9">
      <c r="A896" s="21" t="s">
        <v>6395</v>
      </c>
      <c r="B896" s="21" t="s">
        <v>5574</v>
      </c>
      <c r="C896" s="22">
        <v>2978</v>
      </c>
      <c r="D896" s="21">
        <v>31.03</v>
      </c>
      <c r="E896" s="21" t="s">
        <v>5796</v>
      </c>
      <c r="F896" s="23"/>
      <c r="G896" s="23">
        <f t="shared" si="3"/>
        <v>31.03</v>
      </c>
      <c r="H896" s="23"/>
      <c r="I896" s="23"/>
    </row>
    <row r="897" spans="1:9">
      <c r="A897" s="21" t="s">
        <v>6396</v>
      </c>
      <c r="B897" s="21" t="s">
        <v>6397</v>
      </c>
      <c r="C897" s="22">
        <v>2771</v>
      </c>
      <c r="D897" s="21">
        <v>41.84</v>
      </c>
      <c r="E897" s="21" t="s">
        <v>5796</v>
      </c>
      <c r="F897" s="23"/>
      <c r="G897" s="23">
        <f t="shared" si="3"/>
        <v>41.84</v>
      </c>
      <c r="H897" s="23"/>
      <c r="I897" s="23"/>
    </row>
    <row r="898" spans="1:9">
      <c r="A898" s="21" t="s">
        <v>6398</v>
      </c>
      <c r="B898" s="21" t="s">
        <v>722</v>
      </c>
      <c r="C898" s="22">
        <v>257</v>
      </c>
      <c r="D898" s="21">
        <v>16238.87</v>
      </c>
      <c r="E898" s="21" t="s">
        <v>5796</v>
      </c>
      <c r="F898" s="23"/>
      <c r="G898" s="23">
        <f t="shared" si="3"/>
        <v>16238.87</v>
      </c>
      <c r="H898" s="23"/>
      <c r="I898" s="23"/>
    </row>
    <row r="899" spans="1:9">
      <c r="A899" s="21" t="s">
        <v>6399</v>
      </c>
      <c r="B899" s="21" t="s">
        <v>3556</v>
      </c>
      <c r="C899" s="22">
        <v>1290</v>
      </c>
      <c r="D899" s="21">
        <v>544.79</v>
      </c>
      <c r="E899" s="21" t="s">
        <v>5796</v>
      </c>
      <c r="F899" s="23"/>
      <c r="G899" s="23">
        <f t="shared" si="3"/>
        <v>544.79</v>
      </c>
      <c r="H899" s="23"/>
      <c r="I899" s="23"/>
    </row>
    <row r="900" spans="1:9">
      <c r="A900" s="21" t="s">
        <v>6400</v>
      </c>
      <c r="B900" s="21" t="s">
        <v>3634</v>
      </c>
      <c r="C900" s="22">
        <v>1399</v>
      </c>
      <c r="D900" s="21">
        <v>409.44</v>
      </c>
      <c r="E900" s="21" t="s">
        <v>5796</v>
      </c>
      <c r="F900" s="23"/>
      <c r="G900" s="23">
        <f t="shared" si="3"/>
        <v>409.44</v>
      </c>
      <c r="H900" s="23"/>
      <c r="I900" s="23"/>
    </row>
    <row r="901" spans="1:9">
      <c r="A901" s="21" t="s">
        <v>6401</v>
      </c>
      <c r="B901" s="21" t="s">
        <v>2260</v>
      </c>
      <c r="C901" s="22">
        <v>811</v>
      </c>
      <c r="D901" s="21">
        <v>1885.75</v>
      </c>
      <c r="E901" s="21" t="s">
        <v>5796</v>
      </c>
      <c r="F901" s="23"/>
      <c r="G901" s="23">
        <f t="shared" si="3"/>
        <v>1885.75</v>
      </c>
      <c r="H901" s="23"/>
      <c r="I901" s="23"/>
    </row>
    <row r="902" spans="1:9">
      <c r="A902" s="21" t="s">
        <v>6402</v>
      </c>
      <c r="B902" s="21" t="s">
        <v>5304</v>
      </c>
      <c r="C902" s="22">
        <v>2463</v>
      </c>
      <c r="D902" s="21">
        <v>67.64</v>
      </c>
      <c r="E902" s="21" t="s">
        <v>5796</v>
      </c>
      <c r="F902" s="23"/>
      <c r="G902" s="23">
        <f t="shared" si="3"/>
        <v>67.64</v>
      </c>
      <c r="H902" s="23"/>
      <c r="I902" s="23"/>
    </row>
    <row r="903" spans="1:9">
      <c r="A903" s="21" t="s">
        <v>6403</v>
      </c>
      <c r="B903" s="21" t="s">
        <v>1445</v>
      </c>
      <c r="C903" s="22">
        <v>492</v>
      </c>
      <c r="D903" s="21">
        <v>5364.55</v>
      </c>
      <c r="E903" s="21" t="s">
        <v>5796</v>
      </c>
      <c r="F903" s="23"/>
      <c r="G903" s="23">
        <f t="shared" si="3"/>
        <v>5364.55</v>
      </c>
      <c r="H903" s="23"/>
      <c r="I903" s="23"/>
    </row>
    <row r="904" spans="1:9">
      <c r="A904" s="21" t="s">
        <v>3884</v>
      </c>
      <c r="B904" s="21" t="s">
        <v>3886</v>
      </c>
      <c r="C904" s="22">
        <v>1441</v>
      </c>
      <c r="D904" s="21">
        <v>387.47</v>
      </c>
      <c r="E904" s="21" t="s">
        <v>5796</v>
      </c>
      <c r="F904" s="23"/>
      <c r="G904" s="23">
        <f t="shared" si="3"/>
        <v>387.47</v>
      </c>
      <c r="H904" s="23"/>
      <c r="I904" s="23"/>
    </row>
    <row r="905" spans="1:9">
      <c r="A905" s="21" t="s">
        <v>6404</v>
      </c>
      <c r="B905" s="21" t="s">
        <v>3790</v>
      </c>
      <c r="C905" s="22">
        <v>1212</v>
      </c>
      <c r="D905" s="21">
        <v>676.38</v>
      </c>
      <c r="E905" s="21" t="s">
        <v>5796</v>
      </c>
      <c r="F905" s="23"/>
      <c r="G905" s="23">
        <f t="shared" si="3"/>
        <v>676.38</v>
      </c>
      <c r="H905" s="23"/>
      <c r="I905" s="23"/>
    </row>
    <row r="906" spans="1:9">
      <c r="A906" s="21" t="s">
        <v>6405</v>
      </c>
      <c r="B906" s="21" t="s">
        <v>5631</v>
      </c>
      <c r="C906" s="22">
        <v>3215</v>
      </c>
      <c r="D906" s="21">
        <v>22.04</v>
      </c>
      <c r="E906" s="21" t="s">
        <v>5796</v>
      </c>
      <c r="F906" s="23"/>
      <c r="G906" s="23">
        <f t="shared" si="3"/>
        <v>22.04</v>
      </c>
      <c r="H906" s="23"/>
      <c r="I906" s="23"/>
    </row>
    <row r="907" spans="1:9">
      <c r="A907" s="21" t="s">
        <v>6406</v>
      </c>
      <c r="B907" s="21" t="s">
        <v>5544</v>
      </c>
      <c r="C907" s="22">
        <v>2683</v>
      </c>
      <c r="D907" s="21">
        <v>47.41</v>
      </c>
      <c r="E907" s="21" t="s">
        <v>5796</v>
      </c>
      <c r="F907" s="23"/>
      <c r="G907" s="23">
        <f t="shared" si="3"/>
        <v>47.41</v>
      </c>
      <c r="H907" s="23"/>
      <c r="I907" s="23"/>
    </row>
    <row r="908" spans="1:9">
      <c r="A908" s="21" t="s">
        <v>3251</v>
      </c>
      <c r="B908" s="21" t="s">
        <v>3253</v>
      </c>
      <c r="C908" s="22">
        <v>1142</v>
      </c>
      <c r="D908" s="21">
        <v>802.35</v>
      </c>
      <c r="E908" s="21" t="s">
        <v>5796</v>
      </c>
      <c r="F908" s="23"/>
      <c r="G908" s="23">
        <f t="shared" si="3"/>
        <v>802.35</v>
      </c>
      <c r="H908" s="23"/>
      <c r="I908" s="23"/>
    </row>
    <row r="909" spans="1:9">
      <c r="A909" s="21" t="s">
        <v>6407</v>
      </c>
      <c r="B909" s="21" t="s">
        <v>4165</v>
      </c>
      <c r="C909" s="22">
        <v>1648</v>
      </c>
      <c r="D909" s="21">
        <v>264.70999999999998</v>
      </c>
      <c r="E909" s="21" t="s">
        <v>5796</v>
      </c>
      <c r="F909" s="23"/>
      <c r="G909" s="23">
        <f t="shared" si="3"/>
        <v>264.70999999999998</v>
      </c>
      <c r="H909" s="23"/>
      <c r="I909" s="23"/>
    </row>
    <row r="910" spans="1:9">
      <c r="A910" s="21" t="s">
        <v>939</v>
      </c>
      <c r="B910" s="21" t="s">
        <v>941</v>
      </c>
      <c r="C910" s="22">
        <v>307</v>
      </c>
      <c r="D910" s="21">
        <v>11951.54</v>
      </c>
      <c r="E910" s="21" t="s">
        <v>5796</v>
      </c>
      <c r="F910" s="23"/>
      <c r="G910" s="23">
        <f t="shared" si="3"/>
        <v>11951.54</v>
      </c>
      <c r="H910" s="23"/>
      <c r="I910" s="23"/>
    </row>
    <row r="911" spans="1:9">
      <c r="A911" s="21" t="s">
        <v>6408</v>
      </c>
      <c r="B911" s="21" t="s">
        <v>2389</v>
      </c>
      <c r="C911" s="22">
        <v>810</v>
      </c>
      <c r="D911" s="21">
        <v>1891.56</v>
      </c>
      <c r="E911" s="21" t="s">
        <v>5796</v>
      </c>
      <c r="F911" s="23"/>
      <c r="G911" s="23">
        <f t="shared" si="3"/>
        <v>1891.56</v>
      </c>
      <c r="H911" s="23"/>
      <c r="I911" s="23"/>
    </row>
    <row r="912" spans="1:9">
      <c r="A912" s="21" t="s">
        <v>885</v>
      </c>
      <c r="B912" s="21" t="s">
        <v>887</v>
      </c>
      <c r="C912" s="22">
        <v>309</v>
      </c>
      <c r="D912" s="21">
        <v>11854.88</v>
      </c>
      <c r="E912" s="21" t="s">
        <v>5796</v>
      </c>
      <c r="F912" s="23"/>
      <c r="G912" s="23">
        <f t="shared" si="3"/>
        <v>11854.88</v>
      </c>
      <c r="H912" s="23"/>
      <c r="I912" s="23"/>
    </row>
    <row r="913" spans="1:9">
      <c r="A913" s="21" t="s">
        <v>6409</v>
      </c>
      <c r="B913" s="21" t="s">
        <v>3004</v>
      </c>
      <c r="C913" s="22">
        <v>867</v>
      </c>
      <c r="D913" s="21">
        <v>1624.15</v>
      </c>
      <c r="E913" s="21" t="s">
        <v>5796</v>
      </c>
      <c r="F913" s="23"/>
      <c r="G913" s="23">
        <f t="shared" si="3"/>
        <v>1624.15</v>
      </c>
      <c r="H913" s="23"/>
      <c r="I913" s="23"/>
    </row>
    <row r="914" spans="1:9">
      <c r="A914" s="21" t="s">
        <v>6410</v>
      </c>
      <c r="B914" s="21" t="s">
        <v>1580</v>
      </c>
      <c r="C914" s="22">
        <v>620</v>
      </c>
      <c r="D914" s="21">
        <v>3438.39</v>
      </c>
      <c r="E914" s="21" t="s">
        <v>5796</v>
      </c>
      <c r="F914" s="23"/>
      <c r="G914" s="23">
        <f t="shared" si="3"/>
        <v>3438.39</v>
      </c>
      <c r="H914" s="23"/>
      <c r="I914" s="23"/>
    </row>
    <row r="915" spans="1:9">
      <c r="A915" s="21" t="s">
        <v>1467</v>
      </c>
      <c r="B915" s="21" t="s">
        <v>1469</v>
      </c>
      <c r="C915" s="22">
        <v>494</v>
      </c>
      <c r="D915" s="21">
        <v>5319.51</v>
      </c>
      <c r="E915" s="21" t="s">
        <v>5796</v>
      </c>
      <c r="F915" s="23"/>
      <c r="G915" s="23">
        <f t="shared" si="3"/>
        <v>5319.51</v>
      </c>
      <c r="H915" s="23"/>
      <c r="I915" s="23"/>
    </row>
    <row r="916" spans="1:9">
      <c r="A916" s="21" t="s">
        <v>6411</v>
      </c>
      <c r="B916" s="21" t="s">
        <v>2209</v>
      </c>
      <c r="C916" s="22">
        <v>719</v>
      </c>
      <c r="D916" s="21">
        <v>2404.89</v>
      </c>
      <c r="E916" s="21" t="s">
        <v>5796</v>
      </c>
      <c r="F916" s="23"/>
      <c r="G916" s="23">
        <f t="shared" si="3"/>
        <v>2404.89</v>
      </c>
      <c r="H916" s="23"/>
      <c r="I916" s="23"/>
    </row>
    <row r="917" spans="1:9">
      <c r="A917" s="21" t="s">
        <v>6412</v>
      </c>
      <c r="B917" s="21" t="s">
        <v>2012</v>
      </c>
      <c r="C917" s="22">
        <v>590</v>
      </c>
      <c r="D917" s="21">
        <v>3862.02</v>
      </c>
      <c r="E917" s="21" t="s">
        <v>5796</v>
      </c>
      <c r="F917" s="23"/>
      <c r="G917" s="23">
        <f t="shared" si="3"/>
        <v>3862.02</v>
      </c>
      <c r="H917" s="23"/>
      <c r="I917" s="23"/>
    </row>
    <row r="918" spans="1:9">
      <c r="A918" s="21" t="s">
        <v>6413</v>
      </c>
      <c r="B918" s="21" t="s">
        <v>3103</v>
      </c>
      <c r="C918" s="22">
        <v>1023</v>
      </c>
      <c r="D918" s="21">
        <v>1086.49</v>
      </c>
      <c r="E918" s="21" t="s">
        <v>5796</v>
      </c>
      <c r="F918" s="23"/>
      <c r="G918" s="23">
        <f t="shared" si="3"/>
        <v>1086.49</v>
      </c>
      <c r="H918" s="23"/>
      <c r="I918" s="23"/>
    </row>
    <row r="919" spans="1:9">
      <c r="A919" s="21" t="s">
        <v>6414</v>
      </c>
      <c r="B919" s="21" t="s">
        <v>1910</v>
      </c>
      <c r="C919" s="22">
        <v>668</v>
      </c>
      <c r="D919" s="21">
        <v>2845.43</v>
      </c>
      <c r="E919" s="21" t="s">
        <v>5796</v>
      </c>
      <c r="F919" s="23"/>
      <c r="G919" s="23">
        <f t="shared" si="3"/>
        <v>2845.43</v>
      </c>
      <c r="H919" s="23"/>
      <c r="I919" s="23"/>
    </row>
    <row r="920" spans="1:9">
      <c r="A920" s="21" t="s">
        <v>6415</v>
      </c>
      <c r="B920" s="21" t="s">
        <v>4435</v>
      </c>
      <c r="C920" s="22">
        <v>1668</v>
      </c>
      <c r="D920" s="21">
        <v>252.01</v>
      </c>
      <c r="E920" s="21" t="s">
        <v>5796</v>
      </c>
      <c r="F920" s="23"/>
      <c r="G920" s="23">
        <f t="shared" si="3"/>
        <v>252.01</v>
      </c>
      <c r="H920" s="23"/>
      <c r="I920" s="23"/>
    </row>
    <row r="921" spans="1:9">
      <c r="A921" s="21" t="s">
        <v>1464</v>
      </c>
      <c r="B921" s="21" t="s">
        <v>1466</v>
      </c>
      <c r="C921" s="22">
        <v>418</v>
      </c>
      <c r="D921" s="21">
        <v>7051.96</v>
      </c>
      <c r="E921" s="21" t="s">
        <v>5796</v>
      </c>
      <c r="F921" s="23"/>
      <c r="G921" s="23">
        <f t="shared" si="3"/>
        <v>7051.96</v>
      </c>
      <c r="H921" s="23"/>
      <c r="I921" s="23"/>
    </row>
    <row r="922" spans="1:9">
      <c r="A922" s="21" t="s">
        <v>6416</v>
      </c>
      <c r="B922" s="21" t="s">
        <v>4975</v>
      </c>
      <c r="C922" s="22">
        <v>1873</v>
      </c>
      <c r="D922" s="21">
        <v>172.79</v>
      </c>
      <c r="E922" s="21" t="s">
        <v>5796</v>
      </c>
      <c r="F922" s="23"/>
      <c r="G922" s="23">
        <f t="shared" si="3"/>
        <v>172.79</v>
      </c>
      <c r="H922" s="23"/>
      <c r="I922" s="23"/>
    </row>
    <row r="923" spans="1:9">
      <c r="A923" s="21" t="s">
        <v>6417</v>
      </c>
      <c r="B923" s="21" t="s">
        <v>3031</v>
      </c>
      <c r="C923" s="22">
        <v>1113</v>
      </c>
      <c r="D923" s="21">
        <v>850.05</v>
      </c>
      <c r="E923" s="21" t="s">
        <v>5796</v>
      </c>
      <c r="F923" s="23"/>
      <c r="G923" s="23">
        <f t="shared" si="3"/>
        <v>850.05</v>
      </c>
      <c r="H923" s="23"/>
      <c r="I923" s="23"/>
    </row>
    <row r="924" spans="1:9">
      <c r="A924" s="21" t="s">
        <v>6418</v>
      </c>
      <c r="B924" s="21" t="s">
        <v>2140</v>
      </c>
      <c r="C924" s="22">
        <v>757</v>
      </c>
      <c r="D924" s="21">
        <v>2138.62</v>
      </c>
      <c r="E924" s="21" t="s">
        <v>5796</v>
      </c>
      <c r="F924" s="23"/>
      <c r="G924" s="23">
        <f t="shared" si="3"/>
        <v>2138.62</v>
      </c>
      <c r="H924" s="23"/>
      <c r="I924" s="23"/>
    </row>
    <row r="925" spans="1:9">
      <c r="A925" s="21" t="s">
        <v>6419</v>
      </c>
      <c r="B925" s="21" t="s">
        <v>3340</v>
      </c>
      <c r="C925" s="22">
        <v>1210</v>
      </c>
      <c r="D925" s="21">
        <v>678.95</v>
      </c>
      <c r="E925" s="21" t="s">
        <v>5796</v>
      </c>
      <c r="F925" s="23"/>
      <c r="G925" s="23">
        <f t="shared" si="3"/>
        <v>678.95</v>
      </c>
      <c r="H925" s="23"/>
      <c r="I925" s="23"/>
    </row>
    <row r="926" spans="1:9">
      <c r="A926" s="27" t="s">
        <v>6420</v>
      </c>
      <c r="B926" s="27" t="s">
        <v>45</v>
      </c>
      <c r="C926" s="28">
        <v>13</v>
      </c>
      <c r="D926" s="27">
        <v>361214.52</v>
      </c>
      <c r="E926" s="27" t="s">
        <v>5815</v>
      </c>
      <c r="F926" s="29"/>
      <c r="G926" s="23">
        <f t="shared" si="3"/>
        <v>361214.52</v>
      </c>
      <c r="H926" s="29"/>
      <c r="I926" s="29"/>
    </row>
    <row r="927" spans="1:9">
      <c r="A927" s="21" t="s">
        <v>6421</v>
      </c>
      <c r="B927" s="21" t="s">
        <v>4114</v>
      </c>
      <c r="C927" s="22">
        <v>1537</v>
      </c>
      <c r="D927" s="21">
        <v>324.08</v>
      </c>
      <c r="E927" s="21" t="s">
        <v>5796</v>
      </c>
      <c r="F927" s="23"/>
      <c r="G927" s="23">
        <f t="shared" si="3"/>
        <v>324.08</v>
      </c>
      <c r="H927" s="23"/>
      <c r="I927" s="23"/>
    </row>
    <row r="928" spans="1:9">
      <c r="A928" s="21" t="s">
        <v>6422</v>
      </c>
      <c r="B928" s="21" t="s">
        <v>3643</v>
      </c>
      <c r="C928" s="22">
        <v>1433</v>
      </c>
      <c r="D928" s="21">
        <v>390.38</v>
      </c>
      <c r="E928" s="21" t="s">
        <v>5796</v>
      </c>
      <c r="F928" s="23"/>
      <c r="G928" s="23">
        <f t="shared" si="3"/>
        <v>390.38</v>
      </c>
      <c r="H928" s="23"/>
      <c r="I928" s="23"/>
    </row>
    <row r="929" spans="1:9">
      <c r="A929" s="21" t="s">
        <v>6423</v>
      </c>
      <c r="B929" s="21" t="s">
        <v>4261</v>
      </c>
      <c r="C929" s="22">
        <v>1497</v>
      </c>
      <c r="D929" s="21">
        <v>349.32</v>
      </c>
      <c r="E929" s="21" t="s">
        <v>5796</v>
      </c>
      <c r="F929" s="23"/>
      <c r="G929" s="23">
        <f t="shared" si="3"/>
        <v>349.32</v>
      </c>
      <c r="H929" s="23"/>
      <c r="I929" s="23"/>
    </row>
    <row r="930" spans="1:9">
      <c r="A930" s="21" t="s">
        <v>2159</v>
      </c>
      <c r="B930" s="21" t="s">
        <v>2161</v>
      </c>
      <c r="C930" s="22">
        <v>824</v>
      </c>
      <c r="D930" s="21">
        <v>1793.94</v>
      </c>
      <c r="E930" s="21" t="s">
        <v>5796</v>
      </c>
      <c r="F930" s="23"/>
      <c r="G930" s="23">
        <f t="shared" si="3"/>
        <v>1793.94</v>
      </c>
      <c r="H930" s="23"/>
      <c r="I930" s="23"/>
    </row>
    <row r="931" spans="1:9">
      <c r="A931" s="21" t="s">
        <v>6424</v>
      </c>
      <c r="B931" s="21" t="s">
        <v>1196</v>
      </c>
      <c r="C931" s="22">
        <v>377</v>
      </c>
      <c r="D931" s="21">
        <v>8460.89</v>
      </c>
      <c r="E931" s="21" t="s">
        <v>5796</v>
      </c>
      <c r="F931" s="23"/>
      <c r="G931" s="23">
        <f t="shared" si="3"/>
        <v>8460.89</v>
      </c>
      <c r="H931" s="23"/>
      <c r="I931" s="23"/>
    </row>
    <row r="932" spans="1:9">
      <c r="A932" s="24" t="s">
        <v>6425</v>
      </c>
      <c r="B932" s="24" t="s">
        <v>563</v>
      </c>
      <c r="C932" s="25">
        <v>198</v>
      </c>
      <c r="D932" s="24">
        <v>24090.03</v>
      </c>
      <c r="E932" s="24" t="s">
        <v>5800</v>
      </c>
      <c r="F932" s="26"/>
      <c r="G932" s="23">
        <f t="shared" si="3"/>
        <v>24090.03</v>
      </c>
      <c r="H932" s="26"/>
      <c r="I932" s="26"/>
    </row>
    <row r="933" spans="1:9">
      <c r="A933" s="24" t="s">
        <v>6426</v>
      </c>
      <c r="B933" s="24" t="s">
        <v>689</v>
      </c>
      <c r="C933" s="25">
        <v>223</v>
      </c>
      <c r="D933" s="24">
        <v>19841.62</v>
      </c>
      <c r="E933" s="24" t="s">
        <v>5800</v>
      </c>
      <c r="F933" s="26"/>
      <c r="G933" s="23">
        <f t="shared" si="3"/>
        <v>19841.62</v>
      </c>
      <c r="H933" s="26"/>
      <c r="I933" s="26"/>
    </row>
    <row r="934" spans="1:9">
      <c r="A934" s="21" t="s">
        <v>6427</v>
      </c>
      <c r="B934" s="21" t="s">
        <v>1328</v>
      </c>
      <c r="C934" s="22">
        <v>371</v>
      </c>
      <c r="D934" s="21">
        <v>8762.49</v>
      </c>
      <c r="E934" s="21" t="s">
        <v>5796</v>
      </c>
      <c r="F934" s="23"/>
      <c r="G934" s="23">
        <f t="shared" si="3"/>
        <v>8762.49</v>
      </c>
      <c r="H934" s="23"/>
      <c r="I934" s="23"/>
    </row>
    <row r="935" spans="1:9">
      <c r="A935" s="21" t="s">
        <v>6428</v>
      </c>
      <c r="B935" s="21" t="s">
        <v>4891</v>
      </c>
      <c r="C935" s="22">
        <v>1884</v>
      </c>
      <c r="D935" s="21">
        <v>169.35</v>
      </c>
      <c r="E935" s="21" t="s">
        <v>5796</v>
      </c>
      <c r="F935" s="23"/>
      <c r="G935" s="23">
        <f t="shared" si="3"/>
        <v>169.35</v>
      </c>
      <c r="H935" s="23"/>
      <c r="I935" s="23"/>
    </row>
    <row r="936" spans="1:9">
      <c r="A936" s="21" t="s">
        <v>5647</v>
      </c>
      <c r="B936" s="21" t="s">
        <v>5649</v>
      </c>
      <c r="C936" s="22">
        <v>3115</v>
      </c>
      <c r="D936" s="21">
        <v>25.73</v>
      </c>
      <c r="E936" s="21" t="s">
        <v>5796</v>
      </c>
      <c r="F936" s="23"/>
      <c r="G936" s="23">
        <f t="shared" si="3"/>
        <v>25.73</v>
      </c>
      <c r="H936" s="23"/>
      <c r="I936" s="23"/>
    </row>
    <row r="937" spans="1:9">
      <c r="A937" s="21" t="s">
        <v>6429</v>
      </c>
      <c r="B937" s="21" t="s">
        <v>3070</v>
      </c>
      <c r="C937" s="22">
        <v>927</v>
      </c>
      <c r="D937" s="21">
        <v>1386.29</v>
      </c>
      <c r="E937" s="21" t="s">
        <v>5796</v>
      </c>
      <c r="F937" s="23"/>
      <c r="G937" s="23">
        <f t="shared" si="3"/>
        <v>1386.29</v>
      </c>
      <c r="H937" s="23"/>
      <c r="I937" s="23"/>
    </row>
    <row r="938" spans="1:9">
      <c r="A938" s="21" t="s">
        <v>6430</v>
      </c>
      <c r="B938" s="21" t="s">
        <v>3928</v>
      </c>
      <c r="C938" s="22">
        <v>1318</v>
      </c>
      <c r="D938" s="21">
        <v>491.36</v>
      </c>
      <c r="E938" s="21" t="s">
        <v>5796</v>
      </c>
      <c r="F938" s="23"/>
      <c r="G938" s="23">
        <f t="shared" si="3"/>
        <v>491.36</v>
      </c>
      <c r="H938" s="23"/>
      <c r="I938" s="23"/>
    </row>
    <row r="939" spans="1:9">
      <c r="A939" s="21" t="s">
        <v>6431</v>
      </c>
      <c r="B939" s="21" t="s">
        <v>4747</v>
      </c>
      <c r="C939" s="22">
        <v>2159</v>
      </c>
      <c r="D939" s="21">
        <v>111.31</v>
      </c>
      <c r="E939" s="21" t="s">
        <v>5796</v>
      </c>
      <c r="F939" s="23"/>
      <c r="G939" s="23">
        <f t="shared" si="3"/>
        <v>111.31</v>
      </c>
      <c r="H939" s="23"/>
      <c r="I939" s="23"/>
    </row>
    <row r="940" spans="1:9">
      <c r="A940" s="21" t="s">
        <v>6432</v>
      </c>
      <c r="B940" s="21" t="s">
        <v>4222</v>
      </c>
      <c r="C940" s="22">
        <v>1711</v>
      </c>
      <c r="D940" s="21">
        <v>237.58</v>
      </c>
      <c r="E940" s="21" t="s">
        <v>5796</v>
      </c>
      <c r="F940" s="23"/>
      <c r="G940" s="23">
        <f t="shared" si="3"/>
        <v>237.58</v>
      </c>
      <c r="H940" s="23"/>
      <c r="I940" s="23"/>
    </row>
    <row r="941" spans="1:9">
      <c r="A941" s="21" t="s">
        <v>2729</v>
      </c>
      <c r="B941" s="21" t="s">
        <v>2731</v>
      </c>
      <c r="C941" s="22">
        <v>893</v>
      </c>
      <c r="D941" s="21">
        <v>1492.61</v>
      </c>
      <c r="E941" s="21" t="s">
        <v>5796</v>
      </c>
      <c r="F941" s="23"/>
      <c r="G941" s="23">
        <f t="shared" si="3"/>
        <v>1492.61</v>
      </c>
      <c r="H941" s="23"/>
      <c r="I941" s="23"/>
    </row>
    <row r="942" spans="1:9">
      <c r="A942" s="21" t="s">
        <v>6433</v>
      </c>
      <c r="B942" s="21" t="s">
        <v>1220</v>
      </c>
      <c r="C942" s="22">
        <v>415</v>
      </c>
      <c r="D942" s="21">
        <v>7101.08</v>
      </c>
      <c r="E942" s="21" t="s">
        <v>5796</v>
      </c>
      <c r="F942" s="23"/>
      <c r="G942" s="23">
        <f t="shared" si="3"/>
        <v>7101.08</v>
      </c>
      <c r="H942" s="23"/>
      <c r="I942" s="23"/>
    </row>
    <row r="943" spans="1:9">
      <c r="A943" s="21" t="s">
        <v>6434</v>
      </c>
      <c r="B943" s="21" t="s">
        <v>2206</v>
      </c>
      <c r="C943" s="22">
        <v>658</v>
      </c>
      <c r="D943" s="21">
        <v>2924.51</v>
      </c>
      <c r="E943" s="21" t="s">
        <v>5796</v>
      </c>
      <c r="F943" s="23"/>
      <c r="G943" s="23">
        <f t="shared" si="3"/>
        <v>2924.51</v>
      </c>
      <c r="H943" s="23"/>
      <c r="I943" s="23"/>
    </row>
    <row r="944" spans="1:9">
      <c r="A944" s="21" t="s">
        <v>6435</v>
      </c>
      <c r="B944" s="21" t="s">
        <v>5586</v>
      </c>
      <c r="C944" s="22">
        <v>2191</v>
      </c>
      <c r="D944" s="21">
        <v>105.13</v>
      </c>
      <c r="E944" s="21" t="s">
        <v>5796</v>
      </c>
      <c r="F944" s="23"/>
      <c r="G944" s="23">
        <f t="shared" si="3"/>
        <v>105.13</v>
      </c>
      <c r="H944" s="23"/>
      <c r="I944" s="23"/>
    </row>
    <row r="945" spans="1:9">
      <c r="A945" s="21" t="s">
        <v>6436</v>
      </c>
      <c r="B945" s="21" t="s">
        <v>2701</v>
      </c>
      <c r="C945" s="22">
        <v>908</v>
      </c>
      <c r="D945" s="21">
        <v>1441.72</v>
      </c>
      <c r="E945" s="21" t="s">
        <v>5796</v>
      </c>
      <c r="F945" s="23"/>
      <c r="G945" s="23">
        <f t="shared" si="3"/>
        <v>1441.72</v>
      </c>
      <c r="H945" s="23"/>
      <c r="I945" s="23"/>
    </row>
    <row r="946" spans="1:9">
      <c r="A946" s="21" t="s">
        <v>3134</v>
      </c>
      <c r="B946" s="21" t="s">
        <v>3136</v>
      </c>
      <c r="C946" s="22">
        <v>1197</v>
      </c>
      <c r="D946" s="21">
        <v>703.37</v>
      </c>
      <c r="E946" s="21" t="s">
        <v>5796</v>
      </c>
      <c r="F946" s="23"/>
      <c r="G946" s="23">
        <f t="shared" si="3"/>
        <v>703.37</v>
      </c>
      <c r="H946" s="23"/>
      <c r="I946" s="23"/>
    </row>
    <row r="947" spans="1:9">
      <c r="A947" s="21" t="s">
        <v>6437</v>
      </c>
      <c r="B947" s="21" t="s">
        <v>1502</v>
      </c>
      <c r="C947" s="22">
        <v>543</v>
      </c>
      <c r="D947" s="21">
        <v>4451.47</v>
      </c>
      <c r="E947" s="21" t="s">
        <v>5796</v>
      </c>
      <c r="F947" s="23"/>
      <c r="G947" s="23">
        <f t="shared" si="3"/>
        <v>4451.47</v>
      </c>
      <c r="H947" s="23"/>
      <c r="I947" s="23"/>
    </row>
    <row r="948" spans="1:9">
      <c r="A948" s="21" t="s">
        <v>2924</v>
      </c>
      <c r="B948" s="21" t="s">
        <v>2926</v>
      </c>
      <c r="C948" s="22">
        <v>979</v>
      </c>
      <c r="D948" s="21">
        <v>1244.25</v>
      </c>
      <c r="E948" s="21" t="s">
        <v>5796</v>
      </c>
      <c r="F948" s="23"/>
      <c r="G948" s="23">
        <f t="shared" si="3"/>
        <v>1244.25</v>
      </c>
      <c r="H948" s="23"/>
      <c r="I948" s="23"/>
    </row>
    <row r="949" spans="1:9">
      <c r="A949" s="24" t="s">
        <v>6438</v>
      </c>
      <c r="B949" s="24" t="s">
        <v>566</v>
      </c>
      <c r="C949" s="25">
        <v>201</v>
      </c>
      <c r="D949" s="24">
        <v>23582.639999999999</v>
      </c>
      <c r="E949" s="24" t="s">
        <v>5800</v>
      </c>
      <c r="F949" s="26"/>
      <c r="G949" s="23">
        <f t="shared" si="3"/>
        <v>23582.639999999999</v>
      </c>
      <c r="H949" s="26"/>
      <c r="I949" s="26"/>
    </row>
    <row r="950" spans="1:9">
      <c r="A950" s="21" t="s">
        <v>6439</v>
      </c>
      <c r="B950" s="21" t="s">
        <v>5053</v>
      </c>
      <c r="C950" s="22">
        <v>2248</v>
      </c>
      <c r="D950" s="21">
        <v>94.6</v>
      </c>
      <c r="E950" s="21" t="s">
        <v>5796</v>
      </c>
      <c r="F950" s="23"/>
      <c r="G950" s="23">
        <f t="shared" si="3"/>
        <v>94.6</v>
      </c>
      <c r="H950" s="23"/>
      <c r="I950" s="23"/>
    </row>
    <row r="951" spans="1:9">
      <c r="A951" s="21" t="s">
        <v>6440</v>
      </c>
      <c r="B951" s="21" t="s">
        <v>5778</v>
      </c>
      <c r="C951" s="22">
        <v>4220</v>
      </c>
      <c r="D951" s="21">
        <v>5.2</v>
      </c>
      <c r="E951" s="21" t="s">
        <v>5796</v>
      </c>
      <c r="F951" s="23"/>
      <c r="G951" s="23">
        <f t="shared" si="3"/>
        <v>5.2</v>
      </c>
      <c r="H951" s="23"/>
      <c r="I951" s="23"/>
    </row>
    <row r="952" spans="1:9">
      <c r="A952" s="21" t="s">
        <v>6441</v>
      </c>
      <c r="B952" s="21" t="s">
        <v>4561</v>
      </c>
      <c r="C952" s="22">
        <v>1951</v>
      </c>
      <c r="D952" s="21">
        <v>154.47</v>
      </c>
      <c r="E952" s="21" t="s">
        <v>5796</v>
      </c>
      <c r="F952" s="23"/>
      <c r="G952" s="23">
        <f t="shared" si="3"/>
        <v>154.47</v>
      </c>
      <c r="H952" s="23"/>
      <c r="I952" s="23"/>
    </row>
    <row r="953" spans="1:9">
      <c r="A953" s="21" t="s">
        <v>6442</v>
      </c>
      <c r="B953" s="21" t="s">
        <v>800</v>
      </c>
      <c r="C953" s="22">
        <v>253</v>
      </c>
      <c r="D953" s="21">
        <v>16630.330000000002</v>
      </c>
      <c r="E953" s="21" t="s">
        <v>5796</v>
      </c>
      <c r="F953" s="23"/>
      <c r="G953" s="23">
        <f t="shared" si="3"/>
        <v>16630.330000000002</v>
      </c>
      <c r="H953" s="23"/>
      <c r="I953" s="23"/>
    </row>
    <row r="954" spans="1:9">
      <c r="A954" s="21" t="s">
        <v>6443</v>
      </c>
      <c r="B954" s="21" t="s">
        <v>4933</v>
      </c>
      <c r="C954" s="22">
        <v>1920</v>
      </c>
      <c r="D954" s="21">
        <v>161.85</v>
      </c>
      <c r="E954" s="21" t="s">
        <v>5796</v>
      </c>
      <c r="F954" s="23"/>
      <c r="G954" s="23">
        <f t="shared" si="3"/>
        <v>161.85</v>
      </c>
      <c r="H954" s="23"/>
      <c r="I954" s="23"/>
    </row>
    <row r="955" spans="1:9">
      <c r="A955" s="21" t="s">
        <v>6444</v>
      </c>
      <c r="B955" s="21" t="s">
        <v>2284</v>
      </c>
      <c r="C955" s="22">
        <v>720</v>
      </c>
      <c r="D955" s="21">
        <v>2402.14</v>
      </c>
      <c r="E955" s="21" t="s">
        <v>5796</v>
      </c>
      <c r="F955" s="23"/>
      <c r="G955" s="23">
        <f t="shared" si="3"/>
        <v>2402.14</v>
      </c>
      <c r="H955" s="23"/>
      <c r="I955" s="23"/>
    </row>
    <row r="956" spans="1:9">
      <c r="A956" s="21" t="s">
        <v>6445</v>
      </c>
      <c r="B956" s="21" t="s">
        <v>1874</v>
      </c>
      <c r="C956" s="22">
        <v>563</v>
      </c>
      <c r="D956" s="21">
        <v>4168.12</v>
      </c>
      <c r="E956" s="21" t="s">
        <v>5796</v>
      </c>
      <c r="F956" s="23"/>
      <c r="G956" s="23">
        <f t="shared" si="3"/>
        <v>4168.12</v>
      </c>
      <c r="H956" s="23"/>
      <c r="I956" s="23"/>
    </row>
    <row r="957" spans="1:9">
      <c r="A957" s="21" t="s">
        <v>5024</v>
      </c>
      <c r="B957" s="21" t="s">
        <v>5026</v>
      </c>
      <c r="C957" s="22">
        <v>2133</v>
      </c>
      <c r="D957" s="21">
        <v>115.72</v>
      </c>
      <c r="E957" s="21" t="s">
        <v>5796</v>
      </c>
      <c r="F957" s="23"/>
      <c r="G957" s="23">
        <f t="shared" si="3"/>
        <v>115.72</v>
      </c>
      <c r="H957" s="23"/>
      <c r="I957" s="23"/>
    </row>
    <row r="958" spans="1:9">
      <c r="A958" s="21" t="s">
        <v>1353</v>
      </c>
      <c r="B958" s="21" t="s">
        <v>1355</v>
      </c>
      <c r="C958" s="22">
        <v>414</v>
      </c>
      <c r="D958" s="21">
        <v>7147.52</v>
      </c>
      <c r="E958" s="21" t="s">
        <v>5796</v>
      </c>
      <c r="F958" s="23"/>
      <c r="G958" s="23">
        <f t="shared" si="3"/>
        <v>7147.52</v>
      </c>
      <c r="H958" s="23"/>
      <c r="I958" s="23"/>
    </row>
    <row r="959" spans="1:9">
      <c r="A959" s="21" t="s">
        <v>6446</v>
      </c>
      <c r="B959" s="21" t="s">
        <v>4627</v>
      </c>
      <c r="C959" s="22">
        <v>1693</v>
      </c>
      <c r="D959" s="21">
        <v>242.56</v>
      </c>
      <c r="E959" s="21" t="s">
        <v>5796</v>
      </c>
      <c r="F959" s="23"/>
      <c r="G959" s="23">
        <f t="shared" si="3"/>
        <v>242.56</v>
      </c>
      <c r="H959" s="23"/>
      <c r="I959" s="23"/>
    </row>
    <row r="960" spans="1:9">
      <c r="A960" s="24" t="s">
        <v>792</v>
      </c>
      <c r="B960" s="24" t="s">
        <v>794</v>
      </c>
      <c r="C960" s="25">
        <v>246</v>
      </c>
      <c r="D960" s="24">
        <v>17765.009999999998</v>
      </c>
      <c r="E960" s="24" t="s">
        <v>5800</v>
      </c>
      <c r="F960" s="26"/>
      <c r="G960" s="23">
        <f t="shared" si="3"/>
        <v>17765.009999999998</v>
      </c>
      <c r="H960" s="26"/>
      <c r="I960" s="26"/>
    </row>
    <row r="961" spans="1:9">
      <c r="A961" s="21" t="s">
        <v>6447</v>
      </c>
      <c r="B961" s="21" t="s">
        <v>5553</v>
      </c>
      <c r="C961" s="22">
        <v>2884</v>
      </c>
      <c r="D961" s="21">
        <v>35.65</v>
      </c>
      <c r="E961" s="21" t="s">
        <v>5796</v>
      </c>
      <c r="F961" s="23"/>
      <c r="G961" s="23">
        <f t="shared" si="3"/>
        <v>35.65</v>
      </c>
      <c r="H961" s="23"/>
      <c r="I961" s="23"/>
    </row>
    <row r="962" spans="1:9">
      <c r="A962" s="21" t="s">
        <v>6448</v>
      </c>
      <c r="B962" s="21" t="s">
        <v>965</v>
      </c>
      <c r="C962" s="22">
        <v>306</v>
      </c>
      <c r="D962" s="21">
        <v>12029.39</v>
      </c>
      <c r="E962" s="21" t="s">
        <v>5796</v>
      </c>
      <c r="F962" s="23"/>
      <c r="G962" s="23">
        <f t="shared" si="3"/>
        <v>12029.39</v>
      </c>
      <c r="H962" s="23"/>
      <c r="I962" s="23"/>
    </row>
    <row r="963" spans="1:9">
      <c r="A963" s="21" t="s">
        <v>6449</v>
      </c>
      <c r="B963" s="21" t="s">
        <v>5667</v>
      </c>
      <c r="C963" s="22">
        <v>3209</v>
      </c>
      <c r="D963" s="21">
        <v>22.31</v>
      </c>
      <c r="E963" s="21" t="s">
        <v>5796</v>
      </c>
      <c r="F963" s="23"/>
      <c r="G963" s="23">
        <f t="shared" si="3"/>
        <v>22.31</v>
      </c>
      <c r="H963" s="23"/>
      <c r="I963" s="23"/>
    </row>
    <row r="964" spans="1:9">
      <c r="A964" s="21" t="s">
        <v>1350</v>
      </c>
      <c r="B964" s="21" t="s">
        <v>1352</v>
      </c>
      <c r="C964" s="22">
        <v>436</v>
      </c>
      <c r="D964" s="21">
        <v>6604.7</v>
      </c>
      <c r="E964" s="21" t="s">
        <v>5796</v>
      </c>
      <c r="F964" s="23"/>
      <c r="G964" s="23">
        <f t="shared" si="3"/>
        <v>6604.7</v>
      </c>
      <c r="H964" s="23"/>
      <c r="I964" s="23"/>
    </row>
    <row r="965" spans="1:9">
      <c r="A965" s="21" t="s">
        <v>6450</v>
      </c>
      <c r="B965" s="21" t="s">
        <v>5313</v>
      </c>
      <c r="C965" s="22">
        <v>2061</v>
      </c>
      <c r="D965" s="21">
        <v>129.02000000000001</v>
      </c>
      <c r="E965" s="21" t="s">
        <v>5796</v>
      </c>
      <c r="F965" s="23"/>
      <c r="G965" s="23">
        <f t="shared" si="3"/>
        <v>129.02000000000001</v>
      </c>
      <c r="H965" s="23"/>
      <c r="I965" s="23"/>
    </row>
    <row r="966" spans="1:9">
      <c r="A966" s="21" t="s">
        <v>6451</v>
      </c>
      <c r="B966" s="21" t="s">
        <v>5511</v>
      </c>
      <c r="C966" s="22">
        <v>2880</v>
      </c>
      <c r="D966" s="21">
        <v>35.79</v>
      </c>
      <c r="E966" s="21" t="s">
        <v>5796</v>
      </c>
      <c r="F966" s="23"/>
      <c r="G966" s="23">
        <f t="shared" si="3"/>
        <v>35.79</v>
      </c>
      <c r="H966" s="23"/>
      <c r="I966" s="23"/>
    </row>
    <row r="967" spans="1:9">
      <c r="A967" s="21" t="s">
        <v>6452</v>
      </c>
      <c r="B967" s="21" t="s">
        <v>2152</v>
      </c>
      <c r="C967" s="22">
        <v>717</v>
      </c>
      <c r="D967" s="21">
        <v>2419.67</v>
      </c>
      <c r="E967" s="21" t="s">
        <v>5796</v>
      </c>
      <c r="F967" s="23"/>
      <c r="G967" s="23">
        <f t="shared" si="3"/>
        <v>2419.67</v>
      </c>
      <c r="H967" s="23"/>
      <c r="I967" s="23"/>
    </row>
    <row r="968" spans="1:9">
      <c r="A968" s="21" t="s">
        <v>4553</v>
      </c>
      <c r="B968" s="21" t="s">
        <v>4555</v>
      </c>
      <c r="C968" s="22">
        <v>1729</v>
      </c>
      <c r="D968" s="21">
        <v>225.65</v>
      </c>
      <c r="E968" s="21" t="s">
        <v>5796</v>
      </c>
      <c r="F968" s="23"/>
      <c r="G968" s="23">
        <f t="shared" si="3"/>
        <v>225.65</v>
      </c>
      <c r="H968" s="23"/>
      <c r="I968" s="23"/>
    </row>
    <row r="969" spans="1:9">
      <c r="A969" s="21" t="s">
        <v>6453</v>
      </c>
      <c r="B969" s="21" t="s">
        <v>5550</v>
      </c>
      <c r="C969" s="22">
        <v>2861</v>
      </c>
      <c r="D969" s="21">
        <v>36.74</v>
      </c>
      <c r="E969" s="21" t="s">
        <v>5796</v>
      </c>
      <c r="F969" s="23"/>
      <c r="G969" s="23">
        <f t="shared" si="3"/>
        <v>36.74</v>
      </c>
      <c r="H969" s="23"/>
      <c r="I969" s="23"/>
    </row>
    <row r="970" spans="1:9">
      <c r="A970" s="21" t="s">
        <v>6454</v>
      </c>
      <c r="B970" s="21" t="s">
        <v>4060</v>
      </c>
      <c r="C970" s="22">
        <v>1413</v>
      </c>
      <c r="D970" s="21">
        <v>400.84</v>
      </c>
      <c r="E970" s="21" t="s">
        <v>5796</v>
      </c>
      <c r="F970" s="23"/>
      <c r="G970" s="23">
        <f t="shared" si="3"/>
        <v>400.84</v>
      </c>
      <c r="H970" s="23"/>
      <c r="I970" s="23"/>
    </row>
    <row r="971" spans="1:9">
      <c r="A971" s="24" t="s">
        <v>6455</v>
      </c>
      <c r="B971" s="24" t="s">
        <v>695</v>
      </c>
      <c r="C971" s="25">
        <v>219</v>
      </c>
      <c r="D971" s="24">
        <v>20270.96</v>
      </c>
      <c r="E971" s="24" t="s">
        <v>5800</v>
      </c>
      <c r="F971" s="26"/>
      <c r="G971" s="23">
        <f t="shared" si="3"/>
        <v>20270.96</v>
      </c>
      <c r="H971" s="26"/>
      <c r="I971" s="26"/>
    </row>
    <row r="972" spans="1:9">
      <c r="A972" s="27" t="s">
        <v>6456</v>
      </c>
      <c r="B972" s="27" t="s">
        <v>39</v>
      </c>
      <c r="C972" s="28">
        <v>12</v>
      </c>
      <c r="D972" s="27">
        <v>381651.79</v>
      </c>
      <c r="E972" s="27" t="s">
        <v>5815</v>
      </c>
      <c r="F972" s="29"/>
      <c r="G972" s="23">
        <f t="shared" si="3"/>
        <v>381651.79</v>
      </c>
      <c r="H972" s="29"/>
      <c r="I972" s="29"/>
    </row>
    <row r="973" spans="1:9">
      <c r="A973" s="21" t="s">
        <v>3233</v>
      </c>
      <c r="B973" s="21" t="s">
        <v>3235</v>
      </c>
      <c r="C973" s="22">
        <v>1060</v>
      </c>
      <c r="D973" s="21">
        <v>998.59</v>
      </c>
      <c r="E973" s="21" t="s">
        <v>5796</v>
      </c>
      <c r="F973" s="23"/>
      <c r="G973" s="23">
        <f t="shared" si="3"/>
        <v>998.59</v>
      </c>
      <c r="H973" s="23"/>
      <c r="I973" s="23"/>
    </row>
    <row r="974" spans="1:9">
      <c r="A974" s="21" t="s">
        <v>6457</v>
      </c>
      <c r="B974" s="21" t="s">
        <v>3355</v>
      </c>
      <c r="C974" s="22">
        <v>1101</v>
      </c>
      <c r="D974" s="21">
        <v>868.35</v>
      </c>
      <c r="E974" s="21" t="s">
        <v>5796</v>
      </c>
      <c r="F974" s="23"/>
      <c r="G974" s="23">
        <f t="shared" si="3"/>
        <v>868.35</v>
      </c>
      <c r="H974" s="23"/>
      <c r="I974" s="23"/>
    </row>
    <row r="975" spans="1:9">
      <c r="A975" s="21" t="s">
        <v>6458</v>
      </c>
      <c r="B975" s="21" t="s">
        <v>3364</v>
      </c>
      <c r="C975" s="22">
        <v>1178</v>
      </c>
      <c r="D975" s="21">
        <v>730.7</v>
      </c>
      <c r="E975" s="21" t="s">
        <v>5796</v>
      </c>
      <c r="F975" s="23"/>
      <c r="G975" s="23">
        <f t="shared" si="3"/>
        <v>730.7</v>
      </c>
      <c r="H975" s="23"/>
      <c r="I975" s="23"/>
    </row>
    <row r="976" spans="1:9">
      <c r="A976" s="24" t="s">
        <v>420</v>
      </c>
      <c r="B976" s="24" t="s">
        <v>422</v>
      </c>
      <c r="C976" s="25">
        <v>161</v>
      </c>
      <c r="D976" s="24">
        <v>32821.410000000003</v>
      </c>
      <c r="E976" s="24" t="s">
        <v>5800</v>
      </c>
      <c r="F976" s="26"/>
      <c r="G976" s="23">
        <f t="shared" si="3"/>
        <v>32821.410000000003</v>
      </c>
      <c r="H976" s="26"/>
      <c r="I976" s="26"/>
    </row>
    <row r="977" spans="1:9">
      <c r="A977" s="24" t="s">
        <v>255</v>
      </c>
      <c r="B977" s="24" t="s">
        <v>257</v>
      </c>
      <c r="C977" s="25">
        <v>105</v>
      </c>
      <c r="D977" s="24">
        <v>48506.9</v>
      </c>
      <c r="E977" s="24" t="s">
        <v>5800</v>
      </c>
      <c r="F977" s="26"/>
      <c r="G977" s="23">
        <f t="shared" si="3"/>
        <v>48506.9</v>
      </c>
      <c r="H977" s="26"/>
      <c r="I977" s="26"/>
    </row>
    <row r="978" spans="1:9">
      <c r="A978" s="21" t="s">
        <v>4133</v>
      </c>
      <c r="B978" s="21" t="s">
        <v>4135</v>
      </c>
      <c r="C978" s="22">
        <v>1707</v>
      </c>
      <c r="D978" s="21">
        <v>238.62</v>
      </c>
      <c r="E978" s="21" t="s">
        <v>5796</v>
      </c>
      <c r="F978" s="23"/>
      <c r="G978" s="23">
        <f t="shared" si="3"/>
        <v>238.62</v>
      </c>
      <c r="H978" s="23"/>
      <c r="I978" s="23"/>
    </row>
    <row r="979" spans="1:9">
      <c r="A979" s="21" t="s">
        <v>6459</v>
      </c>
      <c r="B979" s="21" t="s">
        <v>4780</v>
      </c>
      <c r="C979" s="22">
        <v>1983</v>
      </c>
      <c r="D979" s="21">
        <v>146.84</v>
      </c>
      <c r="E979" s="21" t="s">
        <v>5796</v>
      </c>
      <c r="F979" s="23"/>
      <c r="G979" s="23">
        <f t="shared" si="3"/>
        <v>146.84</v>
      </c>
      <c r="H979" s="23"/>
      <c r="I979" s="23"/>
    </row>
    <row r="980" spans="1:9">
      <c r="A980" s="21" t="s">
        <v>4670</v>
      </c>
      <c r="B980" s="21" t="s">
        <v>4672</v>
      </c>
      <c r="C980" s="22">
        <v>1902</v>
      </c>
      <c r="D980" s="21">
        <v>165.46</v>
      </c>
      <c r="E980" s="21" t="s">
        <v>5796</v>
      </c>
      <c r="F980" s="23"/>
      <c r="G980" s="23">
        <f t="shared" si="3"/>
        <v>165.46</v>
      </c>
      <c r="H980" s="23"/>
      <c r="I980" s="23"/>
    </row>
    <row r="981" spans="1:9">
      <c r="A981" s="21" t="s">
        <v>6460</v>
      </c>
      <c r="B981" s="21" t="s">
        <v>4384</v>
      </c>
      <c r="C981" s="22">
        <v>1542</v>
      </c>
      <c r="D981" s="21">
        <v>320.27999999999997</v>
      </c>
      <c r="E981" s="21" t="s">
        <v>5796</v>
      </c>
      <c r="F981" s="23"/>
      <c r="G981" s="23">
        <f t="shared" si="3"/>
        <v>320.27999999999997</v>
      </c>
      <c r="H981" s="23"/>
      <c r="I981" s="23"/>
    </row>
    <row r="982" spans="1:9">
      <c r="A982" s="21" t="s">
        <v>6461</v>
      </c>
      <c r="B982" s="21" t="s">
        <v>5221</v>
      </c>
      <c r="C982" s="22">
        <v>2308</v>
      </c>
      <c r="D982" s="21">
        <v>85.92</v>
      </c>
      <c r="E982" s="21" t="s">
        <v>5796</v>
      </c>
      <c r="F982" s="23"/>
      <c r="G982" s="23">
        <f t="shared" si="3"/>
        <v>85.92</v>
      </c>
      <c r="H982" s="23"/>
      <c r="I982" s="23"/>
    </row>
    <row r="983" spans="1:9">
      <c r="A983" s="21" t="s">
        <v>6462</v>
      </c>
      <c r="B983" s="21" t="s">
        <v>6463</v>
      </c>
      <c r="C983" s="22">
        <v>764</v>
      </c>
      <c r="D983" s="21">
        <v>2103.4899999999998</v>
      </c>
      <c r="E983" s="21" t="s">
        <v>5796</v>
      </c>
      <c r="F983" s="23"/>
      <c r="G983" s="23">
        <f t="shared" si="3"/>
        <v>2103.4899999999998</v>
      </c>
      <c r="H983" s="23"/>
      <c r="I983" s="23"/>
    </row>
    <row r="984" spans="1:9">
      <c r="A984" s="27" t="s">
        <v>40</v>
      </c>
      <c r="B984" s="27" t="s">
        <v>42</v>
      </c>
      <c r="C984" s="28">
        <v>14</v>
      </c>
      <c r="D984" s="27">
        <v>312871.87</v>
      </c>
      <c r="E984" s="27" t="s">
        <v>5815</v>
      </c>
      <c r="F984" s="29"/>
      <c r="G984" s="23">
        <f t="shared" si="3"/>
        <v>312871.87</v>
      </c>
      <c r="H984" s="29"/>
      <c r="I984" s="29"/>
    </row>
    <row r="985" spans="1:9">
      <c r="A985" s="27" t="s">
        <v>111</v>
      </c>
      <c r="B985" s="27" t="s">
        <v>113</v>
      </c>
      <c r="C985" s="28">
        <v>37</v>
      </c>
      <c r="D985" s="27">
        <v>137613.41</v>
      </c>
      <c r="E985" s="27" t="s">
        <v>5815</v>
      </c>
      <c r="F985" s="29"/>
      <c r="G985" s="23">
        <f t="shared" si="3"/>
        <v>137613.41</v>
      </c>
      <c r="H985" s="29"/>
      <c r="I985" s="29"/>
    </row>
    <row r="986" spans="1:9">
      <c r="A986" s="24" t="s">
        <v>435</v>
      </c>
      <c r="B986" s="24" t="s">
        <v>437</v>
      </c>
      <c r="C986" s="25">
        <v>137</v>
      </c>
      <c r="D986" s="24">
        <v>38548.230000000003</v>
      </c>
      <c r="E986" s="24" t="s">
        <v>5800</v>
      </c>
      <c r="F986" s="26"/>
      <c r="G986" s="23">
        <f t="shared" si="3"/>
        <v>38548.230000000003</v>
      </c>
      <c r="H986" s="26"/>
      <c r="I986" s="26"/>
    </row>
    <row r="987" spans="1:9">
      <c r="A987" s="21" t="s">
        <v>6464</v>
      </c>
      <c r="B987" s="21" t="s">
        <v>2608</v>
      </c>
      <c r="C987" s="22">
        <v>845</v>
      </c>
      <c r="D987" s="21">
        <v>1732.8</v>
      </c>
      <c r="E987" s="21" t="s">
        <v>5796</v>
      </c>
      <c r="F987" s="23"/>
      <c r="G987" s="23">
        <f t="shared" si="3"/>
        <v>1732.8</v>
      </c>
      <c r="H987" s="23"/>
      <c r="I987" s="23"/>
    </row>
    <row r="988" spans="1:9">
      <c r="A988" s="21" t="s">
        <v>6465</v>
      </c>
      <c r="B988" s="21" t="s">
        <v>2449</v>
      </c>
      <c r="C988" s="22">
        <v>803</v>
      </c>
      <c r="D988" s="21">
        <v>1923.04</v>
      </c>
      <c r="E988" s="21" t="s">
        <v>5796</v>
      </c>
      <c r="F988" s="23"/>
      <c r="G988" s="23">
        <f t="shared" si="3"/>
        <v>1923.04</v>
      </c>
      <c r="H988" s="23"/>
      <c r="I988" s="23"/>
    </row>
    <row r="989" spans="1:9">
      <c r="A989" s="24" t="s">
        <v>6466</v>
      </c>
      <c r="B989" s="24" t="s">
        <v>392</v>
      </c>
      <c r="C989" s="25">
        <v>157</v>
      </c>
      <c r="D989" s="24">
        <v>33373.42</v>
      </c>
      <c r="E989" s="24" t="s">
        <v>5800</v>
      </c>
      <c r="F989" s="26"/>
      <c r="G989" s="23">
        <f t="shared" si="3"/>
        <v>33373.42</v>
      </c>
      <c r="H989" s="26"/>
      <c r="I989" s="26"/>
    </row>
    <row r="990" spans="1:9">
      <c r="A990" s="21" t="s">
        <v>6467</v>
      </c>
      <c r="B990" s="21" t="s">
        <v>1943</v>
      </c>
      <c r="C990" s="22">
        <v>557</v>
      </c>
      <c r="D990" s="21">
        <v>4247.07</v>
      </c>
      <c r="E990" s="21" t="s">
        <v>5796</v>
      </c>
      <c r="F990" s="23"/>
      <c r="G990" s="23">
        <f t="shared" si="3"/>
        <v>4247.07</v>
      </c>
      <c r="H990" s="23"/>
      <c r="I990" s="23"/>
    </row>
    <row r="991" spans="1:9">
      <c r="A991" s="21" t="s">
        <v>1482</v>
      </c>
      <c r="B991" s="21" t="s">
        <v>1484</v>
      </c>
      <c r="C991" s="22">
        <v>417</v>
      </c>
      <c r="D991" s="21">
        <v>7052.45</v>
      </c>
      <c r="E991" s="21" t="s">
        <v>5796</v>
      </c>
      <c r="F991" s="23"/>
      <c r="G991" s="23">
        <f t="shared" si="3"/>
        <v>7052.45</v>
      </c>
      <c r="H991" s="23"/>
      <c r="I991" s="23"/>
    </row>
    <row r="992" spans="1:9">
      <c r="A992" s="21" t="s">
        <v>6468</v>
      </c>
      <c r="B992" s="21" t="s">
        <v>4228</v>
      </c>
      <c r="C992" s="22">
        <v>1529</v>
      </c>
      <c r="D992" s="21">
        <v>327.12</v>
      </c>
      <c r="E992" s="21" t="s">
        <v>5796</v>
      </c>
      <c r="F992" s="23"/>
      <c r="G992" s="23">
        <f t="shared" si="3"/>
        <v>327.12</v>
      </c>
      <c r="H992" s="23"/>
      <c r="I992" s="23"/>
    </row>
    <row r="993" spans="1:9">
      <c r="A993" s="21" t="s">
        <v>5710</v>
      </c>
      <c r="B993" s="21" t="s">
        <v>5712</v>
      </c>
      <c r="C993" s="22">
        <v>3501</v>
      </c>
      <c r="D993" s="21">
        <v>14.1</v>
      </c>
      <c r="E993" s="21" t="s">
        <v>5796</v>
      </c>
      <c r="F993" s="23"/>
      <c r="G993" s="23">
        <f t="shared" si="3"/>
        <v>14.1</v>
      </c>
      <c r="H993" s="23"/>
      <c r="I993" s="23"/>
    </row>
    <row r="994" spans="1:9">
      <c r="A994" s="27" t="s">
        <v>6469</v>
      </c>
      <c r="B994" s="27" t="s">
        <v>95</v>
      </c>
      <c r="C994" s="28">
        <v>32</v>
      </c>
      <c r="D994" s="27">
        <v>159795.85</v>
      </c>
      <c r="E994" s="27" t="s">
        <v>5815</v>
      </c>
      <c r="F994" s="29"/>
      <c r="G994" s="23">
        <f t="shared" si="3"/>
        <v>159795.85</v>
      </c>
      <c r="H994" s="29"/>
      <c r="I994" s="29"/>
    </row>
    <row r="995" spans="1:9">
      <c r="A995" s="24" t="s">
        <v>525</v>
      </c>
      <c r="B995" s="24" t="s">
        <v>527</v>
      </c>
      <c r="C995" s="25">
        <v>164</v>
      </c>
      <c r="D995" s="24">
        <v>32421.47</v>
      </c>
      <c r="E995" s="24" t="s">
        <v>5800</v>
      </c>
      <c r="F995" s="26"/>
      <c r="G995" s="23">
        <f t="shared" si="3"/>
        <v>32421.47</v>
      </c>
      <c r="H995" s="26"/>
      <c r="I995" s="26"/>
    </row>
    <row r="996" spans="1:9">
      <c r="A996" s="21" t="s">
        <v>6470</v>
      </c>
      <c r="B996" s="21" t="s">
        <v>3892</v>
      </c>
      <c r="C996" s="22">
        <v>1589</v>
      </c>
      <c r="D996" s="21">
        <v>292.73</v>
      </c>
      <c r="E996" s="21" t="s">
        <v>5796</v>
      </c>
      <c r="F996" s="23"/>
      <c r="G996" s="23">
        <f t="shared" si="3"/>
        <v>292.73</v>
      </c>
      <c r="H996" s="23"/>
      <c r="I996" s="23"/>
    </row>
    <row r="997" spans="1:9">
      <c r="A997" s="21" t="s">
        <v>6471</v>
      </c>
      <c r="B997" s="21" t="s">
        <v>4168</v>
      </c>
      <c r="C997" s="22">
        <v>1561</v>
      </c>
      <c r="D997" s="21">
        <v>309.01</v>
      </c>
      <c r="E997" s="21" t="s">
        <v>5796</v>
      </c>
      <c r="F997" s="23"/>
      <c r="G997" s="23">
        <f t="shared" si="3"/>
        <v>309.01</v>
      </c>
      <c r="H997" s="23"/>
      <c r="I997" s="23"/>
    </row>
    <row r="998" spans="1:9">
      <c r="A998" s="21" t="s">
        <v>6472</v>
      </c>
      <c r="B998" s="21" t="s">
        <v>5508</v>
      </c>
      <c r="C998" s="22">
        <v>2851</v>
      </c>
      <c r="D998" s="21">
        <v>37.24</v>
      </c>
      <c r="E998" s="21" t="s">
        <v>5796</v>
      </c>
      <c r="F998" s="23"/>
      <c r="G998" s="23">
        <f t="shared" si="3"/>
        <v>37.24</v>
      </c>
      <c r="H998" s="23"/>
      <c r="I998" s="23"/>
    </row>
    <row r="999" spans="1:9">
      <c r="A999" s="21" t="s">
        <v>6473</v>
      </c>
      <c r="B999" s="21" t="s">
        <v>5493</v>
      </c>
      <c r="C999" s="22">
        <v>2895</v>
      </c>
      <c r="D999" s="21">
        <v>35.020000000000003</v>
      </c>
      <c r="E999" s="21" t="s">
        <v>5796</v>
      </c>
      <c r="F999" s="23"/>
      <c r="G999" s="23">
        <f t="shared" si="3"/>
        <v>35.020000000000003</v>
      </c>
      <c r="H999" s="23"/>
      <c r="I999" s="23"/>
    </row>
    <row r="1000" spans="1:9">
      <c r="A1000" s="21" t="s">
        <v>6474</v>
      </c>
      <c r="B1000" s="21" t="s">
        <v>3118</v>
      </c>
      <c r="C1000" s="22">
        <v>1033</v>
      </c>
      <c r="D1000" s="21">
        <v>1066.6199999999999</v>
      </c>
      <c r="E1000" s="21" t="s">
        <v>5796</v>
      </c>
      <c r="F1000" s="23"/>
      <c r="G1000" s="23">
        <f t="shared" si="3"/>
        <v>1066.6199999999999</v>
      </c>
      <c r="H1000" s="23"/>
      <c r="I1000" s="23"/>
    </row>
    <row r="1001" spans="1:9">
      <c r="A1001" s="21" t="s">
        <v>3497</v>
      </c>
      <c r="B1001" s="21" t="s">
        <v>3499</v>
      </c>
      <c r="C1001" s="22">
        <v>1321</v>
      </c>
      <c r="D1001" s="21">
        <v>489.74</v>
      </c>
      <c r="E1001" s="21" t="s">
        <v>5796</v>
      </c>
      <c r="F1001" s="23"/>
      <c r="G1001" s="23">
        <f t="shared" si="3"/>
        <v>489.74</v>
      </c>
      <c r="H1001" s="23"/>
      <c r="I1001" s="23"/>
    </row>
    <row r="1002" spans="1:9">
      <c r="A1002" s="21" t="s">
        <v>6475</v>
      </c>
      <c r="B1002" s="21" t="s">
        <v>4675</v>
      </c>
      <c r="C1002" s="22">
        <v>2086</v>
      </c>
      <c r="D1002" s="21">
        <v>123.77</v>
      </c>
      <c r="E1002" s="21" t="s">
        <v>5796</v>
      </c>
      <c r="F1002" s="23"/>
      <c r="G1002" s="23">
        <f t="shared" si="3"/>
        <v>123.77</v>
      </c>
      <c r="H1002" s="23"/>
      <c r="I1002" s="23"/>
    </row>
    <row r="1003" spans="1:9">
      <c r="A1003" s="24" t="s">
        <v>6476</v>
      </c>
      <c r="B1003" s="24" t="s">
        <v>635</v>
      </c>
      <c r="C1003" s="25">
        <v>236</v>
      </c>
      <c r="D1003" s="24">
        <v>19200.810000000001</v>
      </c>
      <c r="E1003" s="24" t="s">
        <v>5800</v>
      </c>
      <c r="F1003" s="26"/>
      <c r="G1003" s="23">
        <f t="shared" si="3"/>
        <v>19200.810000000001</v>
      </c>
      <c r="H1003" s="26"/>
      <c r="I1003" s="26"/>
    </row>
    <row r="1004" spans="1:9">
      <c r="A1004" s="21" t="s">
        <v>6477</v>
      </c>
      <c r="B1004" s="21" t="s">
        <v>4657</v>
      </c>
      <c r="C1004" s="22">
        <v>1953</v>
      </c>
      <c r="D1004" s="21">
        <v>153.91999999999999</v>
      </c>
      <c r="E1004" s="21" t="s">
        <v>5796</v>
      </c>
      <c r="F1004" s="23"/>
      <c r="G1004" s="23">
        <f t="shared" si="3"/>
        <v>153.91999999999999</v>
      </c>
      <c r="H1004" s="23"/>
      <c r="I1004" s="23"/>
    </row>
    <row r="1005" spans="1:9">
      <c r="A1005" s="21" t="s">
        <v>5063</v>
      </c>
      <c r="B1005" s="21" t="s">
        <v>5065</v>
      </c>
      <c r="C1005" s="22">
        <v>2185</v>
      </c>
      <c r="D1005" s="21">
        <v>106.06</v>
      </c>
      <c r="E1005" s="21" t="s">
        <v>5796</v>
      </c>
      <c r="F1005" s="23"/>
      <c r="G1005" s="23">
        <f t="shared" si="3"/>
        <v>106.06</v>
      </c>
      <c r="H1005" s="23"/>
      <c r="I1005" s="23"/>
    </row>
    <row r="1006" spans="1:9">
      <c r="A1006" s="21" t="s">
        <v>6478</v>
      </c>
      <c r="B1006" s="21" t="s">
        <v>4336</v>
      </c>
      <c r="C1006" s="22">
        <v>1620</v>
      </c>
      <c r="D1006" s="21">
        <v>274.86</v>
      </c>
      <c r="E1006" s="21" t="s">
        <v>5796</v>
      </c>
      <c r="F1006" s="23"/>
      <c r="G1006" s="23">
        <f t="shared" si="3"/>
        <v>274.86</v>
      </c>
      <c r="H1006" s="23"/>
      <c r="I1006" s="23"/>
    </row>
    <row r="1007" spans="1:9">
      <c r="A1007" s="21" t="s">
        <v>6479</v>
      </c>
      <c r="B1007" s="21" t="s">
        <v>4591</v>
      </c>
      <c r="C1007" s="22">
        <v>1746</v>
      </c>
      <c r="D1007" s="21">
        <v>216.56</v>
      </c>
      <c r="E1007" s="21" t="s">
        <v>5796</v>
      </c>
      <c r="F1007" s="23"/>
      <c r="G1007" s="23">
        <f t="shared" si="3"/>
        <v>216.56</v>
      </c>
      <c r="H1007" s="23"/>
      <c r="I1007" s="23"/>
    </row>
    <row r="1008" spans="1:9">
      <c r="A1008" s="21" t="s">
        <v>6480</v>
      </c>
      <c r="B1008" s="21" t="s">
        <v>1397</v>
      </c>
      <c r="C1008" s="22">
        <v>460</v>
      </c>
      <c r="D1008" s="21">
        <v>5961.89</v>
      </c>
      <c r="E1008" s="21" t="s">
        <v>5796</v>
      </c>
      <c r="F1008" s="23"/>
      <c r="G1008" s="23">
        <f t="shared" si="3"/>
        <v>5961.89</v>
      </c>
      <c r="H1008" s="23"/>
      <c r="I1008" s="23"/>
    </row>
    <row r="1009" spans="1:9">
      <c r="A1009" s="21" t="s">
        <v>2384</v>
      </c>
      <c r="B1009" s="21" t="s">
        <v>2386</v>
      </c>
      <c r="C1009" s="22">
        <v>673</v>
      </c>
      <c r="D1009" s="21">
        <v>2830.14</v>
      </c>
      <c r="E1009" s="21" t="s">
        <v>5796</v>
      </c>
      <c r="F1009" s="23"/>
      <c r="G1009" s="23">
        <f t="shared" si="3"/>
        <v>2830.14</v>
      </c>
      <c r="H1009" s="23"/>
      <c r="I1009" s="23"/>
    </row>
    <row r="1010" spans="1:9">
      <c r="A1010" s="21" t="s">
        <v>6481</v>
      </c>
      <c r="B1010" s="21" t="s">
        <v>1391</v>
      </c>
      <c r="C1010" s="22">
        <v>490</v>
      </c>
      <c r="D1010" s="21">
        <v>5399</v>
      </c>
      <c r="E1010" s="21" t="s">
        <v>5796</v>
      </c>
      <c r="F1010" s="23"/>
      <c r="G1010" s="23">
        <f t="shared" si="3"/>
        <v>5399</v>
      </c>
      <c r="H1010" s="23"/>
      <c r="I1010" s="23"/>
    </row>
    <row r="1011" spans="1:9">
      <c r="A1011" s="21" t="s">
        <v>6482</v>
      </c>
      <c r="B1011" s="21" t="s">
        <v>1325</v>
      </c>
      <c r="C1011" s="22">
        <v>505</v>
      </c>
      <c r="D1011" s="21">
        <v>5133.1899999999996</v>
      </c>
      <c r="E1011" s="21" t="s">
        <v>5796</v>
      </c>
      <c r="F1011" s="23"/>
      <c r="G1011" s="23">
        <f t="shared" si="3"/>
        <v>5133.1899999999996</v>
      </c>
      <c r="H1011" s="23"/>
      <c r="I1011" s="23"/>
    </row>
    <row r="1012" spans="1:9">
      <c r="A1012" s="21" t="s">
        <v>2249</v>
      </c>
      <c r="B1012" s="21" t="s">
        <v>2251</v>
      </c>
      <c r="C1012" s="22">
        <v>678</v>
      </c>
      <c r="D1012" s="21">
        <v>2780.16</v>
      </c>
      <c r="E1012" s="21" t="s">
        <v>5796</v>
      </c>
      <c r="F1012" s="23"/>
      <c r="G1012" s="23">
        <f t="shared" si="3"/>
        <v>2780.16</v>
      </c>
      <c r="H1012" s="23"/>
      <c r="I1012" s="23"/>
    </row>
    <row r="1013" spans="1:9">
      <c r="A1013" s="21" t="s">
        <v>6483</v>
      </c>
      <c r="B1013" s="21" t="s">
        <v>3736</v>
      </c>
      <c r="C1013" s="22">
        <v>1312</v>
      </c>
      <c r="D1013" s="21">
        <v>498.9</v>
      </c>
      <c r="E1013" s="21" t="s">
        <v>5796</v>
      </c>
      <c r="F1013" s="23"/>
      <c r="G1013" s="23">
        <f t="shared" si="3"/>
        <v>498.9</v>
      </c>
      <c r="H1013" s="23"/>
      <c r="I1013" s="23"/>
    </row>
    <row r="1014" spans="1:9">
      <c r="A1014" s="21" t="s">
        <v>5407</v>
      </c>
      <c r="B1014" s="21" t="s">
        <v>5409</v>
      </c>
      <c r="C1014" s="22">
        <v>2573</v>
      </c>
      <c r="D1014" s="21">
        <v>55.57</v>
      </c>
      <c r="E1014" s="21" t="s">
        <v>5796</v>
      </c>
      <c r="F1014" s="23"/>
      <c r="G1014" s="23">
        <f t="shared" si="3"/>
        <v>55.57</v>
      </c>
      <c r="H1014" s="23"/>
      <c r="I1014" s="23"/>
    </row>
    <row r="1015" spans="1:9">
      <c r="A1015" s="21" t="s">
        <v>6484</v>
      </c>
      <c r="B1015" s="21" t="s">
        <v>4852</v>
      </c>
      <c r="C1015" s="22">
        <v>2009</v>
      </c>
      <c r="D1015" s="21">
        <v>142.47</v>
      </c>
      <c r="E1015" s="21" t="s">
        <v>5796</v>
      </c>
      <c r="F1015" s="23"/>
      <c r="G1015" s="23">
        <f t="shared" si="3"/>
        <v>142.47</v>
      </c>
      <c r="H1015" s="23"/>
      <c r="I1015" s="23"/>
    </row>
    <row r="1016" spans="1:9">
      <c r="A1016" s="21" t="s">
        <v>6485</v>
      </c>
      <c r="B1016" s="21" t="s">
        <v>4909</v>
      </c>
      <c r="C1016" s="22">
        <v>2157</v>
      </c>
      <c r="D1016" s="21">
        <v>111.71</v>
      </c>
      <c r="E1016" s="21" t="s">
        <v>5796</v>
      </c>
      <c r="F1016" s="23"/>
      <c r="G1016" s="23">
        <f t="shared" si="3"/>
        <v>111.71</v>
      </c>
      <c r="H1016" s="23"/>
      <c r="I1016" s="23"/>
    </row>
    <row r="1017" spans="1:9">
      <c r="A1017" s="21" t="s">
        <v>6486</v>
      </c>
      <c r="B1017" s="21" t="s">
        <v>3472</v>
      </c>
      <c r="C1017" s="22">
        <v>1122</v>
      </c>
      <c r="D1017" s="21">
        <v>838.56</v>
      </c>
      <c r="E1017" s="21" t="s">
        <v>5796</v>
      </c>
      <c r="F1017" s="23"/>
      <c r="G1017" s="23">
        <f t="shared" si="3"/>
        <v>838.56</v>
      </c>
      <c r="H1017" s="23"/>
      <c r="I1017" s="23"/>
    </row>
    <row r="1018" spans="1:9">
      <c r="A1018" s="21" t="s">
        <v>4406</v>
      </c>
      <c r="B1018" s="21" t="s">
        <v>4408</v>
      </c>
      <c r="C1018" s="22">
        <v>1654</v>
      </c>
      <c r="D1018" s="21">
        <v>261.25</v>
      </c>
      <c r="E1018" s="21" t="s">
        <v>5796</v>
      </c>
      <c r="F1018" s="23"/>
      <c r="G1018" s="23">
        <f t="shared" si="3"/>
        <v>261.25</v>
      </c>
      <c r="H1018" s="23"/>
      <c r="I1018" s="23"/>
    </row>
    <row r="1019" spans="1:9">
      <c r="A1019" s="21" t="s">
        <v>6487</v>
      </c>
      <c r="B1019" s="21" t="s">
        <v>3244</v>
      </c>
      <c r="C1019" s="22">
        <v>988</v>
      </c>
      <c r="D1019" s="21">
        <v>1213.82</v>
      </c>
      <c r="E1019" s="21" t="s">
        <v>5796</v>
      </c>
      <c r="F1019" s="23"/>
      <c r="G1019" s="23">
        <f t="shared" si="3"/>
        <v>1213.82</v>
      </c>
      <c r="H1019" s="23"/>
      <c r="I1019" s="23"/>
    </row>
    <row r="1020" spans="1:9">
      <c r="A1020" s="21" t="s">
        <v>1065</v>
      </c>
      <c r="B1020" s="21" t="s">
        <v>1067</v>
      </c>
      <c r="C1020" s="22">
        <v>349</v>
      </c>
      <c r="D1020" s="21">
        <v>9901.92</v>
      </c>
      <c r="E1020" s="21" t="s">
        <v>5796</v>
      </c>
      <c r="F1020" s="23"/>
      <c r="G1020" s="23">
        <f t="shared" si="3"/>
        <v>9901.92</v>
      </c>
      <c r="H1020" s="23"/>
      <c r="I1020" s="23"/>
    </row>
    <row r="1021" spans="1:9">
      <c r="A1021" s="21" t="s">
        <v>6488</v>
      </c>
      <c r="B1021" s="21" t="s">
        <v>4873</v>
      </c>
      <c r="C1021" s="22">
        <v>1852</v>
      </c>
      <c r="D1021" s="21">
        <v>178.54</v>
      </c>
      <c r="E1021" s="21" t="s">
        <v>5796</v>
      </c>
      <c r="F1021" s="23"/>
      <c r="G1021" s="23">
        <f t="shared" si="3"/>
        <v>178.54</v>
      </c>
      <c r="H1021" s="23"/>
      <c r="I1021" s="23"/>
    </row>
    <row r="1022" spans="1:9">
      <c r="A1022" s="21" t="s">
        <v>6489</v>
      </c>
      <c r="B1022" s="21" t="s">
        <v>3130</v>
      </c>
      <c r="C1022" s="22">
        <v>1021</v>
      </c>
      <c r="D1022" s="21">
        <v>1088.6600000000001</v>
      </c>
      <c r="E1022" s="21" t="s">
        <v>5796</v>
      </c>
      <c r="F1022" s="23"/>
      <c r="G1022" s="23">
        <f t="shared" si="3"/>
        <v>1088.6600000000001</v>
      </c>
      <c r="H1022" s="23"/>
      <c r="I1022" s="23"/>
    </row>
    <row r="1023" spans="1:9">
      <c r="A1023" s="21" t="s">
        <v>6490</v>
      </c>
      <c r="B1023" s="21" t="s">
        <v>3283</v>
      </c>
      <c r="C1023" s="22">
        <v>1151</v>
      </c>
      <c r="D1023" s="21">
        <v>786.2</v>
      </c>
      <c r="E1023" s="21" t="s">
        <v>5796</v>
      </c>
      <c r="F1023" s="23"/>
      <c r="G1023" s="23">
        <f t="shared" ref="G1023:G1277" si="4">VALUE(SUBSTITUTE(D1023, ",", ""))</f>
        <v>786.2</v>
      </c>
      <c r="H1023" s="23"/>
      <c r="I1023" s="23"/>
    </row>
    <row r="1024" spans="1:9">
      <c r="A1024" s="21" t="s">
        <v>6491</v>
      </c>
      <c r="B1024" s="21" t="s">
        <v>3226</v>
      </c>
      <c r="C1024" s="22">
        <v>1243</v>
      </c>
      <c r="D1024" s="21">
        <v>616.62</v>
      </c>
      <c r="E1024" s="21" t="s">
        <v>5796</v>
      </c>
      <c r="F1024" s="23"/>
      <c r="G1024" s="23">
        <f t="shared" si="4"/>
        <v>616.62</v>
      </c>
      <c r="H1024" s="23"/>
      <c r="I1024" s="23"/>
    </row>
    <row r="1025" spans="1:9">
      <c r="A1025" s="21" t="s">
        <v>6492</v>
      </c>
      <c r="B1025" s="21" t="s">
        <v>1730</v>
      </c>
      <c r="C1025" s="22">
        <v>642</v>
      </c>
      <c r="D1025" s="21">
        <v>3146.46</v>
      </c>
      <c r="E1025" s="21" t="s">
        <v>5796</v>
      </c>
      <c r="F1025" s="23"/>
      <c r="G1025" s="23">
        <f t="shared" si="4"/>
        <v>3146.46</v>
      </c>
      <c r="H1025" s="23"/>
      <c r="I1025" s="23"/>
    </row>
    <row r="1026" spans="1:9">
      <c r="A1026" s="27" t="s">
        <v>279</v>
      </c>
      <c r="B1026" s="27" t="s">
        <v>281</v>
      </c>
      <c r="C1026" s="28">
        <v>81</v>
      </c>
      <c r="D1026" s="27">
        <v>59524.41</v>
      </c>
      <c r="E1026" s="27" t="s">
        <v>5815</v>
      </c>
      <c r="F1026" s="29"/>
      <c r="G1026" s="23">
        <f t="shared" si="4"/>
        <v>59524.41</v>
      </c>
      <c r="H1026" s="29"/>
      <c r="I1026" s="29"/>
    </row>
    <row r="1027" spans="1:9">
      <c r="A1027" s="21" t="s">
        <v>4550</v>
      </c>
      <c r="B1027" s="21" t="s">
        <v>4552</v>
      </c>
      <c r="C1027" s="22">
        <v>1766</v>
      </c>
      <c r="D1027" s="21">
        <v>206.8</v>
      </c>
      <c r="E1027" s="21" t="s">
        <v>5796</v>
      </c>
      <c r="F1027" s="23"/>
      <c r="G1027" s="23">
        <f t="shared" si="4"/>
        <v>206.8</v>
      </c>
      <c r="H1027" s="23"/>
      <c r="I1027" s="23"/>
    </row>
    <row r="1028" spans="1:9">
      <c r="A1028" s="21" t="s">
        <v>2540</v>
      </c>
      <c r="B1028" s="21" t="s">
        <v>2542</v>
      </c>
      <c r="C1028" s="22">
        <v>925</v>
      </c>
      <c r="D1028" s="21">
        <v>1387.94</v>
      </c>
      <c r="E1028" s="21" t="s">
        <v>5796</v>
      </c>
      <c r="F1028" s="23"/>
      <c r="G1028" s="23">
        <f t="shared" si="4"/>
        <v>1387.94</v>
      </c>
      <c r="H1028" s="23"/>
      <c r="I1028" s="23"/>
    </row>
    <row r="1029" spans="1:9">
      <c r="A1029" s="21" t="s">
        <v>4301</v>
      </c>
      <c r="B1029" s="21" t="s">
        <v>4303</v>
      </c>
      <c r="C1029" s="22">
        <v>1462</v>
      </c>
      <c r="D1029" s="21">
        <v>373.25</v>
      </c>
      <c r="E1029" s="21" t="s">
        <v>5796</v>
      </c>
      <c r="F1029" s="23"/>
      <c r="G1029" s="23">
        <f t="shared" si="4"/>
        <v>373.25</v>
      </c>
      <c r="H1029" s="23"/>
      <c r="I1029" s="23"/>
    </row>
    <row r="1030" spans="1:9">
      <c r="A1030" s="21" t="s">
        <v>6493</v>
      </c>
      <c r="B1030" s="21" t="s">
        <v>5394</v>
      </c>
      <c r="C1030" s="22">
        <v>2614</v>
      </c>
      <c r="D1030" s="21">
        <v>52.09</v>
      </c>
      <c r="E1030" s="21" t="s">
        <v>5796</v>
      </c>
      <c r="F1030" s="23"/>
      <c r="G1030" s="23">
        <f t="shared" si="4"/>
        <v>52.09</v>
      </c>
      <c r="H1030" s="23"/>
      <c r="I1030" s="23"/>
    </row>
    <row r="1031" spans="1:9">
      <c r="A1031" s="24" t="s">
        <v>603</v>
      </c>
      <c r="B1031" s="24" t="s">
        <v>605</v>
      </c>
      <c r="C1031" s="25">
        <v>171</v>
      </c>
      <c r="D1031" s="24">
        <v>29960</v>
      </c>
      <c r="E1031" s="24" t="s">
        <v>5800</v>
      </c>
      <c r="F1031" s="26"/>
      <c r="G1031" s="23">
        <f t="shared" si="4"/>
        <v>29960</v>
      </c>
      <c r="H1031" s="26"/>
      <c r="I1031" s="26"/>
    </row>
    <row r="1032" spans="1:9">
      <c r="A1032" s="21" t="s">
        <v>1224</v>
      </c>
      <c r="B1032" s="21" t="s">
        <v>1226</v>
      </c>
      <c r="C1032" s="22">
        <v>462</v>
      </c>
      <c r="D1032" s="21">
        <v>5887.5</v>
      </c>
      <c r="E1032" s="21" t="s">
        <v>5796</v>
      </c>
      <c r="F1032" s="23"/>
      <c r="G1032" s="23">
        <f t="shared" si="4"/>
        <v>5887.5</v>
      </c>
      <c r="H1032" s="23"/>
      <c r="I1032" s="23"/>
    </row>
    <row r="1033" spans="1:9">
      <c r="A1033" s="21" t="s">
        <v>6494</v>
      </c>
      <c r="B1033" s="21" t="s">
        <v>4471</v>
      </c>
      <c r="C1033" s="22">
        <v>1723</v>
      </c>
      <c r="D1033" s="21">
        <v>230.56</v>
      </c>
      <c r="E1033" s="21" t="s">
        <v>5796</v>
      </c>
      <c r="F1033" s="23"/>
      <c r="G1033" s="23">
        <f t="shared" si="4"/>
        <v>230.56</v>
      </c>
      <c r="H1033" s="23"/>
      <c r="I1033" s="23"/>
    </row>
    <row r="1034" spans="1:9">
      <c r="A1034" s="21" t="s">
        <v>6495</v>
      </c>
      <c r="B1034" s="21" t="s">
        <v>2761</v>
      </c>
      <c r="C1034" s="22">
        <v>954</v>
      </c>
      <c r="D1034" s="21">
        <v>1301.75</v>
      </c>
      <c r="E1034" s="21" t="s">
        <v>5796</v>
      </c>
      <c r="F1034" s="23"/>
      <c r="G1034" s="23">
        <f t="shared" si="4"/>
        <v>1301.75</v>
      </c>
      <c r="H1034" s="23"/>
      <c r="I1034" s="23"/>
    </row>
    <row r="1035" spans="1:9">
      <c r="A1035" s="27" t="s">
        <v>288</v>
      </c>
      <c r="B1035" s="27" t="s">
        <v>290</v>
      </c>
      <c r="C1035" s="28">
        <v>78</v>
      </c>
      <c r="D1035" s="27">
        <v>65586.350000000006</v>
      </c>
      <c r="E1035" s="27" t="s">
        <v>5815</v>
      </c>
      <c r="F1035" s="29"/>
      <c r="G1035" s="23">
        <f t="shared" si="4"/>
        <v>65586.350000000006</v>
      </c>
      <c r="H1035" s="29"/>
      <c r="I1035" s="29"/>
    </row>
    <row r="1036" spans="1:9">
      <c r="A1036" s="21" t="s">
        <v>6496</v>
      </c>
      <c r="B1036" s="21" t="s">
        <v>3454</v>
      </c>
      <c r="C1036" s="22">
        <v>1299</v>
      </c>
      <c r="D1036" s="21">
        <v>529.14</v>
      </c>
      <c r="E1036" s="21" t="s">
        <v>5796</v>
      </c>
      <c r="F1036" s="23"/>
      <c r="G1036" s="23">
        <f t="shared" si="4"/>
        <v>529.14</v>
      </c>
      <c r="H1036" s="23"/>
      <c r="I1036" s="23"/>
    </row>
    <row r="1037" spans="1:9">
      <c r="A1037" s="21" t="s">
        <v>6497</v>
      </c>
      <c r="B1037" s="21" t="s">
        <v>1757</v>
      </c>
      <c r="C1037" s="22">
        <v>634</v>
      </c>
      <c r="D1037" s="21">
        <v>3242.88</v>
      </c>
      <c r="E1037" s="21" t="s">
        <v>5796</v>
      </c>
      <c r="F1037" s="23"/>
      <c r="G1037" s="23">
        <f t="shared" si="4"/>
        <v>3242.88</v>
      </c>
      <c r="H1037" s="23"/>
      <c r="I1037" s="23"/>
    </row>
    <row r="1038" spans="1:9">
      <c r="A1038" s="21" t="s">
        <v>6498</v>
      </c>
      <c r="B1038" s="21" t="s">
        <v>5155</v>
      </c>
      <c r="C1038" s="22">
        <v>2418</v>
      </c>
      <c r="D1038" s="21">
        <v>71.430000000000007</v>
      </c>
      <c r="E1038" s="21" t="s">
        <v>5796</v>
      </c>
      <c r="F1038" s="23"/>
      <c r="G1038" s="23">
        <f t="shared" si="4"/>
        <v>71.430000000000007</v>
      </c>
      <c r="H1038" s="23"/>
      <c r="I1038" s="23"/>
    </row>
    <row r="1039" spans="1:9">
      <c r="A1039" s="27" t="s">
        <v>6499</v>
      </c>
      <c r="B1039" s="27" t="s">
        <v>57</v>
      </c>
      <c r="C1039" s="28">
        <v>18</v>
      </c>
      <c r="D1039" s="27">
        <v>266990.65999999997</v>
      </c>
      <c r="E1039" s="27" t="s">
        <v>5815</v>
      </c>
      <c r="F1039" s="29"/>
      <c r="G1039" s="23">
        <f t="shared" si="4"/>
        <v>266990.65999999997</v>
      </c>
      <c r="H1039" s="29"/>
      <c r="I1039" s="29"/>
    </row>
    <row r="1040" spans="1:9">
      <c r="A1040" s="21" t="s">
        <v>1881</v>
      </c>
      <c r="B1040" s="21" t="s">
        <v>1883</v>
      </c>
      <c r="C1040" s="22">
        <v>560</v>
      </c>
      <c r="D1040" s="21">
        <v>4233.5</v>
      </c>
      <c r="E1040" s="21" t="s">
        <v>5796</v>
      </c>
      <c r="F1040" s="23"/>
      <c r="G1040" s="23">
        <f t="shared" si="4"/>
        <v>4233.5</v>
      </c>
      <c r="H1040" s="23"/>
      <c r="I1040" s="23"/>
    </row>
    <row r="1041" spans="1:9">
      <c r="A1041" s="21" t="s">
        <v>6500</v>
      </c>
      <c r="B1041" s="21" t="s">
        <v>5697</v>
      </c>
      <c r="C1041" s="22">
        <v>3332</v>
      </c>
      <c r="D1041" s="21">
        <v>18.73</v>
      </c>
      <c r="E1041" s="21" t="s">
        <v>5796</v>
      </c>
      <c r="F1041" s="23"/>
      <c r="G1041" s="23">
        <f t="shared" si="4"/>
        <v>18.73</v>
      </c>
      <c r="H1041" s="23"/>
      <c r="I1041" s="23"/>
    </row>
    <row r="1042" spans="1:9">
      <c r="A1042" s="21" t="s">
        <v>1548</v>
      </c>
      <c r="B1042" s="21" t="s">
        <v>1550</v>
      </c>
      <c r="C1042" s="22">
        <v>499</v>
      </c>
      <c r="D1042" s="21">
        <v>5271.41</v>
      </c>
      <c r="E1042" s="21" t="s">
        <v>5796</v>
      </c>
      <c r="F1042" s="23"/>
      <c r="G1042" s="23">
        <f t="shared" si="4"/>
        <v>5271.41</v>
      </c>
      <c r="H1042" s="23"/>
      <c r="I1042" s="23"/>
    </row>
    <row r="1043" spans="1:9">
      <c r="A1043" s="21" t="s">
        <v>6501</v>
      </c>
      <c r="B1043" s="21" t="s">
        <v>3109</v>
      </c>
      <c r="C1043" s="22">
        <v>977</v>
      </c>
      <c r="D1043" s="21">
        <v>1248.75</v>
      </c>
      <c r="E1043" s="21" t="s">
        <v>5796</v>
      </c>
      <c r="F1043" s="23"/>
      <c r="G1043" s="23">
        <f t="shared" si="4"/>
        <v>1248.75</v>
      </c>
      <c r="H1043" s="23"/>
      <c r="I1043" s="23"/>
    </row>
    <row r="1044" spans="1:9">
      <c r="A1044" s="21" t="s">
        <v>6502</v>
      </c>
      <c r="B1044" s="21" t="s">
        <v>4183</v>
      </c>
      <c r="C1044" s="22">
        <v>1482</v>
      </c>
      <c r="D1044" s="21">
        <v>357.21</v>
      </c>
      <c r="E1044" s="21" t="s">
        <v>5796</v>
      </c>
      <c r="F1044" s="23"/>
      <c r="G1044" s="23">
        <f t="shared" si="4"/>
        <v>357.21</v>
      </c>
      <c r="H1044" s="23"/>
      <c r="I1044" s="23"/>
    </row>
    <row r="1045" spans="1:9">
      <c r="A1045" s="24" t="s">
        <v>339</v>
      </c>
      <c r="B1045" s="24" t="s">
        <v>341</v>
      </c>
      <c r="C1045" s="25">
        <v>110</v>
      </c>
      <c r="D1045" s="24">
        <v>46649.13</v>
      </c>
      <c r="E1045" s="24" t="s">
        <v>5800</v>
      </c>
      <c r="F1045" s="26"/>
      <c r="G1045" s="23">
        <f t="shared" si="4"/>
        <v>46649.13</v>
      </c>
      <c r="H1045" s="26"/>
      <c r="I1045" s="26"/>
    </row>
    <row r="1046" spans="1:9">
      <c r="A1046" s="21" t="s">
        <v>3776</v>
      </c>
      <c r="B1046" s="21" t="s">
        <v>3778</v>
      </c>
      <c r="C1046" s="22">
        <v>1408</v>
      </c>
      <c r="D1046" s="21">
        <v>403.56</v>
      </c>
      <c r="E1046" s="21" t="s">
        <v>5796</v>
      </c>
      <c r="F1046" s="23"/>
      <c r="G1046" s="23">
        <f t="shared" si="4"/>
        <v>403.56</v>
      </c>
      <c r="H1046" s="23"/>
      <c r="I1046" s="23"/>
    </row>
    <row r="1047" spans="1:9">
      <c r="A1047" s="21" t="s">
        <v>6503</v>
      </c>
      <c r="B1047" s="21" t="s">
        <v>6504</v>
      </c>
      <c r="C1047" s="22">
        <v>718</v>
      </c>
      <c r="D1047" s="21">
        <v>2409.7600000000002</v>
      </c>
      <c r="E1047" s="21" t="s">
        <v>5796</v>
      </c>
      <c r="F1047" s="23"/>
      <c r="G1047" s="23">
        <f t="shared" si="4"/>
        <v>2409.7600000000002</v>
      </c>
      <c r="H1047" s="23"/>
      <c r="I1047" s="23"/>
    </row>
    <row r="1048" spans="1:9">
      <c r="A1048" s="21" t="s">
        <v>6505</v>
      </c>
      <c r="B1048" s="21" t="s">
        <v>2536</v>
      </c>
      <c r="C1048" s="22">
        <v>781</v>
      </c>
      <c r="D1048" s="21">
        <v>2047.12</v>
      </c>
      <c r="E1048" s="21" t="s">
        <v>5796</v>
      </c>
      <c r="F1048" s="23"/>
      <c r="G1048" s="23">
        <f t="shared" si="4"/>
        <v>2047.12</v>
      </c>
      <c r="H1048" s="23"/>
      <c r="I1048" s="23"/>
    </row>
    <row r="1049" spans="1:9">
      <c r="A1049" s="21" t="s">
        <v>6506</v>
      </c>
      <c r="B1049" s="21" t="s">
        <v>4084</v>
      </c>
      <c r="C1049" s="22">
        <v>1610</v>
      </c>
      <c r="D1049" s="21">
        <v>282.33999999999997</v>
      </c>
      <c r="E1049" s="21" t="s">
        <v>5796</v>
      </c>
      <c r="F1049" s="23"/>
      <c r="G1049" s="23">
        <f t="shared" si="4"/>
        <v>282.33999999999997</v>
      </c>
      <c r="H1049" s="23"/>
      <c r="I1049" s="23"/>
    </row>
    <row r="1050" spans="1:9">
      <c r="A1050" s="21" t="s">
        <v>501</v>
      </c>
      <c r="B1050" s="21" t="s">
        <v>503</v>
      </c>
      <c r="C1050" s="22">
        <v>260</v>
      </c>
      <c r="D1050" s="21">
        <v>16168.62</v>
      </c>
      <c r="E1050" s="21" t="s">
        <v>5796</v>
      </c>
      <c r="F1050" s="23"/>
      <c r="G1050" s="23">
        <f t="shared" si="4"/>
        <v>16168.62</v>
      </c>
      <c r="H1050" s="23"/>
      <c r="I1050" s="23"/>
    </row>
    <row r="1051" spans="1:9">
      <c r="A1051" s="21" t="s">
        <v>6507</v>
      </c>
      <c r="B1051" s="21" t="s">
        <v>2425</v>
      </c>
      <c r="C1051" s="22">
        <v>685</v>
      </c>
      <c r="D1051" s="21">
        <v>2656.17</v>
      </c>
      <c r="E1051" s="21" t="s">
        <v>5796</v>
      </c>
      <c r="F1051" s="23"/>
      <c r="G1051" s="23">
        <f t="shared" si="4"/>
        <v>2656.17</v>
      </c>
      <c r="H1051" s="23"/>
      <c r="I1051" s="23"/>
    </row>
    <row r="1052" spans="1:9">
      <c r="A1052" s="21" t="s">
        <v>6508</v>
      </c>
      <c r="B1052" s="21" t="s">
        <v>6509</v>
      </c>
      <c r="C1052" s="22">
        <v>2438</v>
      </c>
      <c r="D1052" s="21">
        <v>69.55</v>
      </c>
      <c r="E1052" s="21" t="s">
        <v>5796</v>
      </c>
      <c r="F1052" s="23"/>
      <c r="G1052" s="23">
        <f t="shared" si="4"/>
        <v>69.55</v>
      </c>
      <c r="H1052" s="23"/>
      <c r="I1052" s="23"/>
    </row>
    <row r="1053" spans="1:9">
      <c r="A1053" s="21" t="s">
        <v>6510</v>
      </c>
      <c r="B1053" s="21" t="s">
        <v>4330</v>
      </c>
      <c r="C1053" s="22">
        <v>1772</v>
      </c>
      <c r="D1053" s="21">
        <v>204.69</v>
      </c>
      <c r="E1053" s="21" t="s">
        <v>5796</v>
      </c>
      <c r="F1053" s="23"/>
      <c r="G1053" s="23">
        <f t="shared" si="4"/>
        <v>204.69</v>
      </c>
      <c r="H1053" s="23"/>
      <c r="I1053" s="23"/>
    </row>
    <row r="1054" spans="1:9">
      <c r="A1054" s="27" t="s">
        <v>267</v>
      </c>
      <c r="B1054" s="27" t="s">
        <v>269</v>
      </c>
      <c r="C1054" s="28">
        <v>82</v>
      </c>
      <c r="D1054" s="27">
        <v>58627.13</v>
      </c>
      <c r="E1054" s="27" t="s">
        <v>5815</v>
      </c>
      <c r="F1054" s="29"/>
      <c r="G1054" s="23">
        <f t="shared" si="4"/>
        <v>58627.13</v>
      </c>
      <c r="H1054" s="29"/>
      <c r="I1054" s="29"/>
    </row>
    <row r="1055" spans="1:9">
      <c r="A1055" s="21" t="s">
        <v>6511</v>
      </c>
      <c r="B1055" s="21" t="s">
        <v>5289</v>
      </c>
      <c r="C1055" s="22">
        <v>2358</v>
      </c>
      <c r="D1055" s="21">
        <v>77.41</v>
      </c>
      <c r="E1055" s="21" t="s">
        <v>5796</v>
      </c>
      <c r="F1055" s="23"/>
      <c r="G1055" s="23">
        <f t="shared" si="4"/>
        <v>77.41</v>
      </c>
      <c r="H1055" s="23"/>
      <c r="I1055" s="23"/>
    </row>
    <row r="1056" spans="1:9">
      <c r="A1056" s="21" t="s">
        <v>6512</v>
      </c>
      <c r="B1056" s="21" t="s">
        <v>4606</v>
      </c>
      <c r="C1056" s="22">
        <v>1736</v>
      </c>
      <c r="D1056" s="21">
        <v>221</v>
      </c>
      <c r="E1056" s="21" t="s">
        <v>5796</v>
      </c>
      <c r="F1056" s="23"/>
      <c r="G1056" s="23">
        <f t="shared" si="4"/>
        <v>221</v>
      </c>
      <c r="H1056" s="23"/>
      <c r="I1056" s="23"/>
    </row>
    <row r="1057" spans="1:9">
      <c r="A1057" s="21" t="s">
        <v>786</v>
      </c>
      <c r="B1057" s="21" t="s">
        <v>788</v>
      </c>
      <c r="C1057" s="22">
        <v>281</v>
      </c>
      <c r="D1057" s="21">
        <v>13908.46</v>
      </c>
      <c r="E1057" s="21" t="s">
        <v>5796</v>
      </c>
      <c r="F1057" s="23"/>
      <c r="G1057" s="23">
        <f t="shared" si="4"/>
        <v>13908.46</v>
      </c>
      <c r="H1057" s="23"/>
      <c r="I1057" s="23"/>
    </row>
    <row r="1058" spans="1:9">
      <c r="A1058" s="21" t="s">
        <v>6513</v>
      </c>
      <c r="B1058" s="21" t="s">
        <v>3508</v>
      </c>
      <c r="C1058" s="22">
        <v>1093</v>
      </c>
      <c r="D1058" s="21">
        <v>893.43</v>
      </c>
      <c r="E1058" s="21" t="s">
        <v>5796</v>
      </c>
      <c r="F1058" s="23"/>
      <c r="G1058" s="23">
        <f t="shared" si="4"/>
        <v>893.43</v>
      </c>
      <c r="H1058" s="23"/>
      <c r="I1058" s="23"/>
    </row>
    <row r="1059" spans="1:9">
      <c r="A1059" s="21" t="s">
        <v>6514</v>
      </c>
      <c r="B1059" s="21" t="s">
        <v>3787</v>
      </c>
      <c r="C1059" s="22">
        <v>1238</v>
      </c>
      <c r="D1059" s="21">
        <v>624.39</v>
      </c>
      <c r="E1059" s="21" t="s">
        <v>5796</v>
      </c>
      <c r="F1059" s="23"/>
      <c r="G1059" s="23">
        <f t="shared" si="4"/>
        <v>624.39</v>
      </c>
      <c r="H1059" s="23"/>
      <c r="I1059" s="23"/>
    </row>
    <row r="1060" spans="1:9">
      <c r="A1060" s="21" t="s">
        <v>1248</v>
      </c>
      <c r="B1060" s="21" t="s">
        <v>1250</v>
      </c>
      <c r="C1060" s="22">
        <v>382</v>
      </c>
      <c r="D1060" s="21">
        <v>8354.81</v>
      </c>
      <c r="E1060" s="21" t="s">
        <v>5796</v>
      </c>
      <c r="F1060" s="23"/>
      <c r="G1060" s="23">
        <f t="shared" si="4"/>
        <v>8354.81</v>
      </c>
      <c r="H1060" s="23"/>
      <c r="I1060" s="23"/>
    </row>
    <row r="1061" spans="1:9">
      <c r="A1061" s="21" t="s">
        <v>6515</v>
      </c>
      <c r="B1061" s="21" t="s">
        <v>4300</v>
      </c>
      <c r="C1061" s="22">
        <v>1735</v>
      </c>
      <c r="D1061" s="21">
        <v>221.25</v>
      </c>
      <c r="E1061" s="21" t="s">
        <v>5796</v>
      </c>
      <c r="F1061" s="23"/>
      <c r="G1061" s="23">
        <f t="shared" si="4"/>
        <v>221.25</v>
      </c>
      <c r="H1061" s="23"/>
      <c r="I1061" s="23"/>
    </row>
    <row r="1062" spans="1:9">
      <c r="A1062" s="21" t="s">
        <v>4379</v>
      </c>
      <c r="B1062" s="21" t="s">
        <v>4381</v>
      </c>
      <c r="C1062" s="22">
        <v>1672</v>
      </c>
      <c r="D1062" s="21">
        <v>251.15</v>
      </c>
      <c r="E1062" s="21" t="s">
        <v>5796</v>
      </c>
      <c r="F1062" s="23"/>
      <c r="G1062" s="23">
        <f t="shared" si="4"/>
        <v>251.15</v>
      </c>
      <c r="H1062" s="23"/>
      <c r="I1062" s="23"/>
    </row>
    <row r="1063" spans="1:9">
      <c r="A1063" s="21" t="s">
        <v>6516</v>
      </c>
      <c r="B1063" s="21" t="s">
        <v>5784</v>
      </c>
      <c r="C1063" s="22">
        <v>4427</v>
      </c>
      <c r="D1063" s="21">
        <v>3.65</v>
      </c>
      <c r="E1063" s="21" t="s">
        <v>5796</v>
      </c>
      <c r="F1063" s="23"/>
      <c r="G1063" s="23">
        <f t="shared" si="4"/>
        <v>3.65</v>
      </c>
      <c r="H1063" s="23"/>
      <c r="I1063" s="23"/>
    </row>
    <row r="1064" spans="1:9">
      <c r="A1064" s="21" t="s">
        <v>6517</v>
      </c>
      <c r="B1064" s="21" t="s">
        <v>3604</v>
      </c>
      <c r="C1064" s="22">
        <v>1232</v>
      </c>
      <c r="D1064" s="21">
        <v>630.66999999999996</v>
      </c>
      <c r="E1064" s="21" t="s">
        <v>5796</v>
      </c>
      <c r="F1064" s="23"/>
      <c r="G1064" s="23">
        <f t="shared" si="4"/>
        <v>630.66999999999996</v>
      </c>
      <c r="H1064" s="23"/>
      <c r="I1064" s="23"/>
    </row>
    <row r="1065" spans="1:9">
      <c r="A1065" s="21" t="s">
        <v>4580</v>
      </c>
      <c r="B1065" s="21" t="s">
        <v>4582</v>
      </c>
      <c r="C1065" s="22">
        <v>1634</v>
      </c>
      <c r="D1065" s="21">
        <v>269.93</v>
      </c>
      <c r="E1065" s="21" t="s">
        <v>5796</v>
      </c>
      <c r="F1065" s="23"/>
      <c r="G1065" s="23">
        <f t="shared" si="4"/>
        <v>269.93</v>
      </c>
      <c r="H1065" s="23"/>
      <c r="I1065" s="23"/>
    </row>
    <row r="1066" spans="1:9">
      <c r="A1066" s="21" t="s">
        <v>6518</v>
      </c>
      <c r="B1066" s="21" t="s">
        <v>6519</v>
      </c>
      <c r="C1066" s="22">
        <v>3453</v>
      </c>
      <c r="D1066" s="21">
        <v>15.41</v>
      </c>
      <c r="E1066" s="21" t="s">
        <v>5796</v>
      </c>
      <c r="F1066" s="23"/>
      <c r="G1066" s="23">
        <f t="shared" si="4"/>
        <v>15.41</v>
      </c>
      <c r="H1066" s="23"/>
      <c r="I1066" s="23"/>
    </row>
    <row r="1067" spans="1:9">
      <c r="A1067" s="24" t="s">
        <v>600</v>
      </c>
      <c r="B1067" s="24" t="s">
        <v>602</v>
      </c>
      <c r="C1067" s="25">
        <v>202</v>
      </c>
      <c r="D1067" s="24">
        <v>23416.06</v>
      </c>
      <c r="E1067" s="24" t="s">
        <v>5800</v>
      </c>
      <c r="F1067" s="26"/>
      <c r="G1067" s="23">
        <f t="shared" si="4"/>
        <v>23416.06</v>
      </c>
      <c r="H1067" s="26"/>
      <c r="I1067" s="26"/>
    </row>
    <row r="1068" spans="1:9">
      <c r="A1068" s="21" t="s">
        <v>1446</v>
      </c>
      <c r="B1068" s="21" t="s">
        <v>1448</v>
      </c>
      <c r="C1068" s="22">
        <v>430</v>
      </c>
      <c r="D1068" s="21">
        <v>6686.11</v>
      </c>
      <c r="E1068" s="21" t="s">
        <v>5796</v>
      </c>
      <c r="F1068" s="23"/>
      <c r="G1068" s="23">
        <f t="shared" si="4"/>
        <v>6686.11</v>
      </c>
      <c r="H1068" s="23"/>
      <c r="I1068" s="23"/>
    </row>
    <row r="1069" spans="1:9">
      <c r="A1069" s="21" t="s">
        <v>6520</v>
      </c>
      <c r="B1069" s="21" t="s">
        <v>6521</v>
      </c>
      <c r="C1069" s="22">
        <v>558</v>
      </c>
      <c r="D1069" s="21">
        <v>4244.67</v>
      </c>
      <c r="E1069" s="21" t="s">
        <v>5796</v>
      </c>
      <c r="F1069" s="23"/>
      <c r="G1069" s="23">
        <f t="shared" si="4"/>
        <v>4244.67</v>
      </c>
      <c r="H1069" s="23"/>
      <c r="I1069" s="23"/>
    </row>
    <row r="1070" spans="1:9">
      <c r="A1070" s="24" t="s">
        <v>606</v>
      </c>
      <c r="B1070" s="24" t="s">
        <v>608</v>
      </c>
      <c r="C1070" s="25">
        <v>197</v>
      </c>
      <c r="D1070" s="24">
        <v>24125.99</v>
      </c>
      <c r="E1070" s="24" t="s">
        <v>5800</v>
      </c>
      <c r="F1070" s="26"/>
      <c r="G1070" s="23">
        <f t="shared" si="4"/>
        <v>24125.99</v>
      </c>
      <c r="H1070" s="26"/>
      <c r="I1070" s="26"/>
    </row>
    <row r="1071" spans="1:9">
      <c r="A1071" s="21" t="s">
        <v>6522</v>
      </c>
      <c r="B1071" s="21" t="s">
        <v>4549</v>
      </c>
      <c r="C1071" s="22">
        <v>1550</v>
      </c>
      <c r="D1071" s="21">
        <v>315.99</v>
      </c>
      <c r="E1071" s="21" t="s">
        <v>5796</v>
      </c>
      <c r="F1071" s="23"/>
      <c r="G1071" s="23">
        <f t="shared" si="4"/>
        <v>315.99</v>
      </c>
      <c r="H1071" s="23"/>
      <c r="I1071" s="23"/>
    </row>
    <row r="1072" spans="1:9">
      <c r="A1072" s="21" t="s">
        <v>1185</v>
      </c>
      <c r="B1072" s="21" t="s">
        <v>1187</v>
      </c>
      <c r="C1072" s="22">
        <v>355</v>
      </c>
      <c r="D1072" s="21">
        <v>9529.49</v>
      </c>
      <c r="E1072" s="21" t="s">
        <v>5796</v>
      </c>
      <c r="F1072" s="23"/>
      <c r="G1072" s="23">
        <f t="shared" si="4"/>
        <v>9529.49</v>
      </c>
      <c r="H1072" s="23"/>
      <c r="I1072" s="23"/>
    </row>
    <row r="1073" spans="1:9">
      <c r="A1073" s="21" t="s">
        <v>6523</v>
      </c>
      <c r="B1073" s="21" t="s">
        <v>4639</v>
      </c>
      <c r="C1073" s="22">
        <v>1617</v>
      </c>
      <c r="D1073" s="21">
        <v>277.56</v>
      </c>
      <c r="E1073" s="21" t="s">
        <v>5796</v>
      </c>
      <c r="F1073" s="23"/>
      <c r="G1073" s="23">
        <f t="shared" si="4"/>
        <v>277.56</v>
      </c>
      <c r="H1073" s="23"/>
      <c r="I1073" s="23"/>
    </row>
    <row r="1074" spans="1:9">
      <c r="A1074" s="21" t="s">
        <v>1434</v>
      </c>
      <c r="B1074" s="21" t="s">
        <v>1436</v>
      </c>
      <c r="C1074" s="22">
        <v>475</v>
      </c>
      <c r="D1074" s="21">
        <v>5646.99</v>
      </c>
      <c r="E1074" s="21" t="s">
        <v>5796</v>
      </c>
      <c r="F1074" s="23"/>
      <c r="G1074" s="23">
        <f t="shared" si="4"/>
        <v>5646.99</v>
      </c>
      <c r="H1074" s="23"/>
      <c r="I1074" s="23"/>
    </row>
    <row r="1075" spans="1:9">
      <c r="A1075" s="21" t="s">
        <v>3689</v>
      </c>
      <c r="B1075" s="21" t="s">
        <v>3691</v>
      </c>
      <c r="C1075" s="22">
        <v>1522</v>
      </c>
      <c r="D1075" s="21">
        <v>331.91</v>
      </c>
      <c r="E1075" s="21" t="s">
        <v>5796</v>
      </c>
      <c r="F1075" s="23"/>
      <c r="G1075" s="23">
        <f t="shared" si="4"/>
        <v>331.91</v>
      </c>
      <c r="H1075" s="23"/>
      <c r="I1075" s="23"/>
    </row>
    <row r="1076" spans="1:9">
      <c r="A1076" s="21" t="s">
        <v>1518</v>
      </c>
      <c r="B1076" s="21" t="s">
        <v>1520</v>
      </c>
      <c r="C1076" s="22">
        <v>575</v>
      </c>
      <c r="D1076" s="21">
        <v>4017.15</v>
      </c>
      <c r="E1076" s="21" t="s">
        <v>5796</v>
      </c>
      <c r="F1076" s="23"/>
      <c r="G1076" s="23">
        <f t="shared" si="4"/>
        <v>4017.15</v>
      </c>
      <c r="H1076" s="23"/>
      <c r="I1076" s="23"/>
    </row>
    <row r="1077" spans="1:9">
      <c r="A1077" s="21" t="s">
        <v>1404</v>
      </c>
      <c r="B1077" s="21" t="s">
        <v>1406</v>
      </c>
      <c r="C1077" s="22">
        <v>467</v>
      </c>
      <c r="D1077" s="21">
        <v>5772.14</v>
      </c>
      <c r="E1077" s="21" t="s">
        <v>5796</v>
      </c>
      <c r="F1077" s="23"/>
      <c r="G1077" s="23">
        <f t="shared" si="4"/>
        <v>5772.14</v>
      </c>
      <c r="H1077" s="23"/>
      <c r="I1077" s="23"/>
    </row>
    <row r="1078" spans="1:9">
      <c r="A1078" s="21" t="s">
        <v>6524</v>
      </c>
      <c r="B1078" s="21" t="s">
        <v>4096</v>
      </c>
      <c r="C1078" s="22">
        <v>1538</v>
      </c>
      <c r="D1078" s="21">
        <v>322.88</v>
      </c>
      <c r="E1078" s="21" t="s">
        <v>5796</v>
      </c>
      <c r="F1078" s="23"/>
      <c r="G1078" s="23">
        <f t="shared" si="4"/>
        <v>322.88</v>
      </c>
      <c r="H1078" s="23"/>
      <c r="I1078" s="23"/>
    </row>
    <row r="1079" spans="1:9">
      <c r="A1079" s="21" t="s">
        <v>6525</v>
      </c>
      <c r="B1079" s="21" t="s">
        <v>4069</v>
      </c>
      <c r="C1079" s="22">
        <v>1515</v>
      </c>
      <c r="D1079" s="21">
        <v>336.81</v>
      </c>
      <c r="E1079" s="21" t="s">
        <v>5796</v>
      </c>
      <c r="F1079" s="23"/>
      <c r="G1079" s="23">
        <f t="shared" si="4"/>
        <v>336.81</v>
      </c>
      <c r="H1079" s="23"/>
      <c r="I1079" s="23"/>
    </row>
    <row r="1080" spans="1:9">
      <c r="A1080" s="21" t="s">
        <v>3773</v>
      </c>
      <c r="B1080" s="21" t="s">
        <v>3775</v>
      </c>
      <c r="C1080" s="22">
        <v>1179</v>
      </c>
      <c r="D1080" s="21">
        <v>728.06</v>
      </c>
      <c r="E1080" s="21" t="s">
        <v>5796</v>
      </c>
      <c r="F1080" s="23"/>
      <c r="G1080" s="23">
        <f t="shared" si="4"/>
        <v>728.06</v>
      </c>
      <c r="H1080" s="23"/>
      <c r="I1080" s="23"/>
    </row>
    <row r="1081" spans="1:9">
      <c r="A1081" s="21" t="s">
        <v>6526</v>
      </c>
      <c r="B1081" s="21" t="s">
        <v>5137</v>
      </c>
      <c r="C1081" s="22">
        <v>2260</v>
      </c>
      <c r="D1081" s="21">
        <v>93.26</v>
      </c>
      <c r="E1081" s="21" t="s">
        <v>5796</v>
      </c>
      <c r="F1081" s="23"/>
      <c r="G1081" s="23">
        <f t="shared" si="4"/>
        <v>93.26</v>
      </c>
      <c r="H1081" s="23"/>
      <c r="I1081" s="23"/>
    </row>
    <row r="1082" spans="1:9">
      <c r="A1082" s="21" t="s">
        <v>6527</v>
      </c>
      <c r="B1082" s="21" t="s">
        <v>5640</v>
      </c>
      <c r="C1082" s="22">
        <v>3351</v>
      </c>
      <c r="D1082" s="21">
        <v>18.149999999999999</v>
      </c>
      <c r="E1082" s="21" t="s">
        <v>5796</v>
      </c>
      <c r="F1082" s="23"/>
      <c r="G1082" s="23">
        <f t="shared" si="4"/>
        <v>18.149999999999999</v>
      </c>
      <c r="H1082" s="23"/>
      <c r="I1082" s="23"/>
    </row>
    <row r="1083" spans="1:9">
      <c r="A1083" s="21" t="s">
        <v>6528</v>
      </c>
      <c r="B1083" s="21" t="s">
        <v>3382</v>
      </c>
      <c r="C1083" s="22">
        <v>1159</v>
      </c>
      <c r="D1083" s="21">
        <v>775.45</v>
      </c>
      <c r="E1083" s="21" t="s">
        <v>5796</v>
      </c>
      <c r="F1083" s="23"/>
      <c r="G1083" s="23">
        <f t="shared" si="4"/>
        <v>775.45</v>
      </c>
      <c r="H1083" s="23"/>
      <c r="I1083" s="23"/>
    </row>
    <row r="1084" spans="1:9">
      <c r="A1084" s="21" t="s">
        <v>6529</v>
      </c>
      <c r="B1084" s="21" t="s">
        <v>2572</v>
      </c>
      <c r="C1084" s="22">
        <v>776</v>
      </c>
      <c r="D1084" s="21">
        <v>2064.87</v>
      </c>
      <c r="E1084" s="21" t="s">
        <v>5796</v>
      </c>
      <c r="F1084" s="23"/>
      <c r="G1084" s="23">
        <f t="shared" si="4"/>
        <v>2064.87</v>
      </c>
      <c r="H1084" s="23"/>
      <c r="I1084" s="23"/>
    </row>
    <row r="1085" spans="1:9">
      <c r="A1085" s="21" t="s">
        <v>6530</v>
      </c>
      <c r="B1085" s="21" t="s">
        <v>3910</v>
      </c>
      <c r="C1085" s="22">
        <v>1448</v>
      </c>
      <c r="D1085" s="21">
        <v>381.5</v>
      </c>
      <c r="E1085" s="21" t="s">
        <v>5796</v>
      </c>
      <c r="F1085" s="23"/>
      <c r="G1085" s="23">
        <f t="shared" si="4"/>
        <v>381.5</v>
      </c>
      <c r="H1085" s="23"/>
      <c r="I1085" s="23"/>
    </row>
    <row r="1086" spans="1:9">
      <c r="A1086" s="21" t="s">
        <v>6531</v>
      </c>
      <c r="B1086" s="21" t="s">
        <v>1451</v>
      </c>
      <c r="C1086" s="22">
        <v>523</v>
      </c>
      <c r="D1086" s="21">
        <v>4754.8</v>
      </c>
      <c r="E1086" s="21" t="s">
        <v>5796</v>
      </c>
      <c r="F1086" s="23"/>
      <c r="G1086" s="23">
        <f t="shared" si="4"/>
        <v>4754.8</v>
      </c>
      <c r="H1086" s="23"/>
      <c r="I1086" s="23"/>
    </row>
    <row r="1087" spans="1:9">
      <c r="A1087" s="21" t="s">
        <v>6532</v>
      </c>
      <c r="B1087" s="21" t="s">
        <v>4684</v>
      </c>
      <c r="C1087" s="22">
        <v>1919</v>
      </c>
      <c r="D1087" s="21">
        <v>162</v>
      </c>
      <c r="E1087" s="21" t="s">
        <v>5796</v>
      </c>
      <c r="F1087" s="23"/>
      <c r="G1087" s="23">
        <f t="shared" si="4"/>
        <v>162</v>
      </c>
      <c r="H1087" s="23"/>
      <c r="I1087" s="23"/>
    </row>
    <row r="1088" spans="1:9">
      <c r="A1088" s="21" t="s">
        <v>4409</v>
      </c>
      <c r="B1088" s="21" t="s">
        <v>4411</v>
      </c>
      <c r="C1088" s="22">
        <v>1760</v>
      </c>
      <c r="D1088" s="21">
        <v>210.18</v>
      </c>
      <c r="E1088" s="21" t="s">
        <v>5796</v>
      </c>
      <c r="F1088" s="23"/>
      <c r="G1088" s="23">
        <f t="shared" si="4"/>
        <v>210.18</v>
      </c>
      <c r="H1088" s="23"/>
      <c r="I1088" s="23"/>
    </row>
    <row r="1089" spans="1:9">
      <c r="A1089" s="21" t="s">
        <v>5644</v>
      </c>
      <c r="B1089" s="21" t="s">
        <v>5646</v>
      </c>
      <c r="C1089" s="22">
        <v>3249</v>
      </c>
      <c r="D1089" s="21">
        <v>20.97</v>
      </c>
      <c r="E1089" s="21" t="s">
        <v>5796</v>
      </c>
      <c r="F1089" s="23"/>
      <c r="G1089" s="23">
        <f t="shared" si="4"/>
        <v>20.97</v>
      </c>
      <c r="H1089" s="23"/>
      <c r="I1089" s="23"/>
    </row>
    <row r="1090" spans="1:9">
      <c r="A1090" s="21" t="s">
        <v>1845</v>
      </c>
      <c r="B1090" s="21" t="s">
        <v>1847</v>
      </c>
      <c r="C1090" s="22">
        <v>636</v>
      </c>
      <c r="D1090" s="21">
        <v>3211.2</v>
      </c>
      <c r="E1090" s="21" t="s">
        <v>5796</v>
      </c>
      <c r="F1090" s="23"/>
      <c r="G1090" s="23">
        <f t="shared" si="4"/>
        <v>3211.2</v>
      </c>
      <c r="H1090" s="23"/>
      <c r="I1090" s="23"/>
    </row>
    <row r="1091" spans="1:9">
      <c r="A1091" s="21" t="s">
        <v>6533</v>
      </c>
      <c r="B1091" s="21" t="s">
        <v>5328</v>
      </c>
      <c r="C1091" s="22">
        <v>2560</v>
      </c>
      <c r="D1091" s="21">
        <v>56.46</v>
      </c>
      <c r="E1091" s="21" t="s">
        <v>5796</v>
      </c>
      <c r="F1091" s="23"/>
      <c r="G1091" s="23">
        <f t="shared" si="4"/>
        <v>56.46</v>
      </c>
      <c r="H1091" s="23"/>
      <c r="I1091" s="23"/>
    </row>
    <row r="1092" spans="1:9">
      <c r="A1092" s="21" t="s">
        <v>2696</v>
      </c>
      <c r="B1092" s="21" t="s">
        <v>2698</v>
      </c>
      <c r="C1092" s="22">
        <v>733</v>
      </c>
      <c r="D1092" s="21">
        <v>2328.67</v>
      </c>
      <c r="E1092" s="21" t="s">
        <v>5796</v>
      </c>
      <c r="F1092" s="23"/>
      <c r="G1092" s="23">
        <f t="shared" si="4"/>
        <v>2328.67</v>
      </c>
      <c r="H1092" s="23"/>
      <c r="I1092" s="23"/>
    </row>
    <row r="1093" spans="1:9">
      <c r="A1093" s="21" t="s">
        <v>6534</v>
      </c>
      <c r="B1093" s="21" t="s">
        <v>3511</v>
      </c>
      <c r="C1093" s="22">
        <v>1183</v>
      </c>
      <c r="D1093" s="21">
        <v>722.34</v>
      </c>
      <c r="E1093" s="21" t="s">
        <v>5796</v>
      </c>
      <c r="F1093" s="23"/>
      <c r="G1093" s="23">
        <f t="shared" si="4"/>
        <v>722.34</v>
      </c>
      <c r="H1093" s="23"/>
      <c r="I1093" s="23"/>
    </row>
    <row r="1094" spans="1:9">
      <c r="A1094" s="21" t="s">
        <v>2261</v>
      </c>
      <c r="B1094" s="21" t="s">
        <v>2263</v>
      </c>
      <c r="C1094" s="22">
        <v>635</v>
      </c>
      <c r="D1094" s="21">
        <v>3212.33</v>
      </c>
      <c r="E1094" s="21" t="s">
        <v>5796</v>
      </c>
      <c r="F1094" s="23"/>
      <c r="G1094" s="23">
        <f t="shared" si="4"/>
        <v>3212.33</v>
      </c>
      <c r="H1094" s="23"/>
      <c r="I1094" s="23"/>
    </row>
    <row r="1095" spans="1:9">
      <c r="A1095" s="21" t="s">
        <v>3164</v>
      </c>
      <c r="B1095" s="21" t="s">
        <v>3166</v>
      </c>
      <c r="C1095" s="22">
        <v>1165</v>
      </c>
      <c r="D1095" s="21">
        <v>766.4</v>
      </c>
      <c r="E1095" s="21" t="s">
        <v>5796</v>
      </c>
      <c r="F1095" s="23"/>
      <c r="G1095" s="23">
        <f t="shared" si="4"/>
        <v>766.4</v>
      </c>
      <c r="H1095" s="23"/>
      <c r="I1095" s="23"/>
    </row>
    <row r="1096" spans="1:9">
      <c r="A1096" s="21" t="s">
        <v>2936</v>
      </c>
      <c r="B1096" s="21" t="s">
        <v>2938</v>
      </c>
      <c r="C1096" s="22">
        <v>917</v>
      </c>
      <c r="D1096" s="21">
        <v>1411.89</v>
      </c>
      <c r="E1096" s="21" t="s">
        <v>5796</v>
      </c>
      <c r="F1096" s="23"/>
      <c r="G1096" s="23">
        <f t="shared" si="4"/>
        <v>1411.89</v>
      </c>
      <c r="H1096" s="23"/>
      <c r="I1096" s="23"/>
    </row>
    <row r="1097" spans="1:9">
      <c r="A1097" s="21" t="s">
        <v>5308</v>
      </c>
      <c r="B1097" s="21" t="s">
        <v>5310</v>
      </c>
      <c r="C1097" s="22">
        <v>2420</v>
      </c>
      <c r="D1097" s="21">
        <v>71.34</v>
      </c>
      <c r="E1097" s="21" t="s">
        <v>5796</v>
      </c>
      <c r="F1097" s="23"/>
      <c r="G1097" s="23">
        <f t="shared" si="4"/>
        <v>71.34</v>
      </c>
      <c r="H1097" s="23"/>
      <c r="I1097" s="23"/>
    </row>
    <row r="1098" spans="1:9">
      <c r="A1098" s="21" t="s">
        <v>6535</v>
      </c>
      <c r="B1098" s="21" t="s">
        <v>2755</v>
      </c>
      <c r="C1098" s="22">
        <v>915</v>
      </c>
      <c r="D1098" s="21">
        <v>1423.7</v>
      </c>
      <c r="E1098" s="21" t="s">
        <v>5796</v>
      </c>
      <c r="F1098" s="23"/>
      <c r="G1098" s="23">
        <f t="shared" si="4"/>
        <v>1423.7</v>
      </c>
      <c r="H1098" s="23"/>
      <c r="I1098" s="23"/>
    </row>
    <row r="1099" spans="1:9">
      <c r="A1099" s="27" t="s">
        <v>318</v>
      </c>
      <c r="B1099" s="27" t="s">
        <v>320</v>
      </c>
      <c r="C1099" s="28">
        <v>96</v>
      </c>
      <c r="D1099" s="27">
        <v>51915.81</v>
      </c>
      <c r="E1099" s="27" t="s">
        <v>5815</v>
      </c>
      <c r="F1099" s="29"/>
      <c r="G1099" s="23">
        <f t="shared" si="4"/>
        <v>51915.81</v>
      </c>
      <c r="H1099" s="29"/>
      <c r="I1099" s="29"/>
    </row>
    <row r="1100" spans="1:9">
      <c r="A1100" s="21" t="s">
        <v>981</v>
      </c>
      <c r="B1100" s="21" t="s">
        <v>983</v>
      </c>
      <c r="C1100" s="22">
        <v>351</v>
      </c>
      <c r="D1100" s="21">
        <v>9582.75</v>
      </c>
      <c r="E1100" s="21" t="s">
        <v>5796</v>
      </c>
      <c r="F1100" s="23"/>
      <c r="G1100" s="23">
        <f t="shared" si="4"/>
        <v>9582.75</v>
      </c>
      <c r="H1100" s="23"/>
      <c r="I1100" s="23"/>
    </row>
    <row r="1101" spans="1:9">
      <c r="A1101" s="21" t="s">
        <v>6536</v>
      </c>
      <c r="B1101" s="21" t="s">
        <v>5014</v>
      </c>
      <c r="C1101" s="22">
        <v>2140</v>
      </c>
      <c r="D1101" s="21">
        <v>114.88</v>
      </c>
      <c r="E1101" s="21" t="s">
        <v>5796</v>
      </c>
      <c r="F1101" s="23"/>
      <c r="G1101" s="23">
        <f t="shared" si="4"/>
        <v>114.88</v>
      </c>
      <c r="H1101" s="23"/>
      <c r="I1101" s="23"/>
    </row>
    <row r="1102" spans="1:9">
      <c r="A1102" s="24" t="s">
        <v>6537</v>
      </c>
      <c r="B1102" s="24" t="s">
        <v>464</v>
      </c>
      <c r="C1102" s="25">
        <v>144</v>
      </c>
      <c r="D1102" s="24">
        <v>36649.31</v>
      </c>
      <c r="E1102" s="24" t="s">
        <v>5800</v>
      </c>
      <c r="F1102" s="26"/>
      <c r="G1102" s="23">
        <f t="shared" si="4"/>
        <v>36649.31</v>
      </c>
      <c r="H1102" s="26"/>
      <c r="I1102" s="26"/>
    </row>
    <row r="1103" spans="1:9">
      <c r="A1103" s="21" t="s">
        <v>2426</v>
      </c>
      <c r="B1103" s="21" t="s">
        <v>2428</v>
      </c>
      <c r="C1103" s="22">
        <v>841</v>
      </c>
      <c r="D1103" s="21">
        <v>1738.28</v>
      </c>
      <c r="E1103" s="21" t="s">
        <v>5796</v>
      </c>
      <c r="F1103" s="23"/>
      <c r="G1103" s="23">
        <f t="shared" si="4"/>
        <v>1738.28</v>
      </c>
      <c r="H1103" s="23"/>
      <c r="I1103" s="23"/>
    </row>
    <row r="1104" spans="1:9">
      <c r="A1104" s="24" t="s">
        <v>6538</v>
      </c>
      <c r="B1104" s="24" t="s">
        <v>446</v>
      </c>
      <c r="C1104" s="25">
        <v>136</v>
      </c>
      <c r="D1104" s="24">
        <v>38623.360000000001</v>
      </c>
      <c r="E1104" s="24" t="s">
        <v>5800</v>
      </c>
      <c r="F1104" s="26"/>
      <c r="G1104" s="23">
        <f t="shared" si="4"/>
        <v>38623.360000000001</v>
      </c>
      <c r="H1104" s="26"/>
      <c r="I1104" s="26"/>
    </row>
    <row r="1105" spans="1:9">
      <c r="A1105" s="21" t="s">
        <v>5141</v>
      </c>
      <c r="B1105" s="21" t="s">
        <v>5143</v>
      </c>
      <c r="C1105" s="22">
        <v>2173</v>
      </c>
      <c r="D1105" s="21">
        <v>107.89</v>
      </c>
      <c r="E1105" s="21" t="s">
        <v>5796</v>
      </c>
      <c r="F1105" s="23"/>
      <c r="G1105" s="23">
        <f t="shared" si="4"/>
        <v>107.89</v>
      </c>
      <c r="H1105" s="23"/>
      <c r="I1105" s="23"/>
    </row>
    <row r="1106" spans="1:9">
      <c r="A1106" s="21" t="s">
        <v>6539</v>
      </c>
      <c r="B1106" s="21" t="s">
        <v>878</v>
      </c>
      <c r="C1106" s="22">
        <v>340</v>
      </c>
      <c r="D1106" s="21">
        <v>10407.950000000001</v>
      </c>
      <c r="E1106" s="21" t="s">
        <v>5796</v>
      </c>
      <c r="F1106" s="23"/>
      <c r="G1106" s="23">
        <f t="shared" si="4"/>
        <v>10407.950000000001</v>
      </c>
      <c r="H1106" s="23"/>
      <c r="I1106" s="23"/>
    </row>
    <row r="1107" spans="1:9">
      <c r="A1107" s="21" t="s">
        <v>6540</v>
      </c>
      <c r="B1107" s="21" t="s">
        <v>3817</v>
      </c>
      <c r="C1107" s="22">
        <v>1507</v>
      </c>
      <c r="D1107" s="21">
        <v>340.01</v>
      </c>
      <c r="E1107" s="21" t="s">
        <v>5796</v>
      </c>
      <c r="F1107" s="23"/>
      <c r="G1107" s="23">
        <f t="shared" si="4"/>
        <v>340.01</v>
      </c>
      <c r="H1107" s="23"/>
      <c r="I1107" s="23"/>
    </row>
    <row r="1108" spans="1:9">
      <c r="A1108" s="21" t="s">
        <v>6541</v>
      </c>
      <c r="B1108" s="21" t="s">
        <v>2272</v>
      </c>
      <c r="C1108" s="22">
        <v>777</v>
      </c>
      <c r="D1108" s="21">
        <v>2063.67</v>
      </c>
      <c r="E1108" s="21" t="s">
        <v>5796</v>
      </c>
      <c r="F1108" s="23"/>
      <c r="G1108" s="23">
        <f t="shared" si="4"/>
        <v>2063.67</v>
      </c>
      <c r="H1108" s="23"/>
      <c r="I1108" s="23"/>
    </row>
    <row r="1109" spans="1:9">
      <c r="A1109" s="24" t="s">
        <v>654</v>
      </c>
      <c r="B1109" s="24" t="s">
        <v>656</v>
      </c>
      <c r="C1109" s="25">
        <v>203</v>
      </c>
      <c r="D1109" s="24">
        <v>23358.9</v>
      </c>
      <c r="E1109" s="24" t="s">
        <v>5800</v>
      </c>
      <c r="F1109" s="26"/>
      <c r="G1109" s="23">
        <f t="shared" si="4"/>
        <v>23358.9</v>
      </c>
      <c r="H1109" s="26"/>
      <c r="I1109" s="26"/>
    </row>
    <row r="1110" spans="1:9">
      <c r="A1110" s="21" t="s">
        <v>6542</v>
      </c>
      <c r="B1110" s="21" t="s">
        <v>1514</v>
      </c>
      <c r="C1110" s="22">
        <v>489</v>
      </c>
      <c r="D1110" s="21">
        <v>5415.27</v>
      </c>
      <c r="E1110" s="21" t="s">
        <v>5796</v>
      </c>
      <c r="F1110" s="23"/>
      <c r="G1110" s="23">
        <f t="shared" si="4"/>
        <v>5415.27</v>
      </c>
      <c r="H1110" s="23"/>
      <c r="I1110" s="23"/>
    </row>
    <row r="1111" spans="1:9">
      <c r="A1111" s="21" t="s">
        <v>6543</v>
      </c>
      <c r="B1111" s="21" t="s">
        <v>5598</v>
      </c>
      <c r="C1111" s="22">
        <v>2882</v>
      </c>
      <c r="D1111" s="21">
        <v>35.71</v>
      </c>
      <c r="E1111" s="21" t="s">
        <v>5796</v>
      </c>
      <c r="F1111" s="23"/>
      <c r="G1111" s="23">
        <f t="shared" si="4"/>
        <v>35.71</v>
      </c>
      <c r="H1111" s="23"/>
      <c r="I1111" s="23"/>
    </row>
    <row r="1112" spans="1:9">
      <c r="A1112" s="21" t="s">
        <v>6544</v>
      </c>
      <c r="B1112" s="21" t="s">
        <v>2905</v>
      </c>
      <c r="C1112" s="22">
        <v>949</v>
      </c>
      <c r="D1112" s="21">
        <v>1315.69</v>
      </c>
      <c r="E1112" s="21" t="s">
        <v>5796</v>
      </c>
      <c r="F1112" s="23"/>
      <c r="G1112" s="23">
        <f t="shared" si="4"/>
        <v>1315.69</v>
      </c>
      <c r="H1112" s="23"/>
      <c r="I1112" s="23"/>
    </row>
    <row r="1113" spans="1:9">
      <c r="A1113" s="21" t="s">
        <v>6545</v>
      </c>
      <c r="B1113" s="21" t="s">
        <v>2527</v>
      </c>
      <c r="C1113" s="22">
        <v>813</v>
      </c>
      <c r="D1113" s="21">
        <v>1882.15</v>
      </c>
      <c r="E1113" s="21" t="s">
        <v>5796</v>
      </c>
      <c r="F1113" s="23"/>
      <c r="G1113" s="23">
        <f t="shared" si="4"/>
        <v>1882.15</v>
      </c>
      <c r="H1113" s="23"/>
      <c r="I1113" s="23"/>
    </row>
    <row r="1114" spans="1:9">
      <c r="A1114" s="21" t="s">
        <v>6546</v>
      </c>
      <c r="B1114" s="21" t="s">
        <v>4939</v>
      </c>
      <c r="C1114" s="22">
        <v>2128</v>
      </c>
      <c r="D1114" s="21">
        <v>116.95</v>
      </c>
      <c r="E1114" s="21" t="s">
        <v>5796</v>
      </c>
      <c r="F1114" s="23"/>
      <c r="G1114" s="23">
        <f t="shared" si="4"/>
        <v>116.95</v>
      </c>
      <c r="H1114" s="23"/>
      <c r="I1114" s="23"/>
    </row>
    <row r="1115" spans="1:9">
      <c r="A1115" s="21" t="s">
        <v>6547</v>
      </c>
      <c r="B1115" s="21" t="s">
        <v>3802</v>
      </c>
      <c r="C1115" s="22">
        <v>1351</v>
      </c>
      <c r="D1115" s="21">
        <v>454.19</v>
      </c>
      <c r="E1115" s="21" t="s">
        <v>5796</v>
      </c>
      <c r="F1115" s="23"/>
      <c r="G1115" s="23">
        <f t="shared" si="4"/>
        <v>454.19</v>
      </c>
      <c r="H1115" s="23"/>
      <c r="I1115" s="23"/>
    </row>
    <row r="1116" spans="1:9">
      <c r="A1116" s="21" t="s">
        <v>6548</v>
      </c>
      <c r="B1116" s="21" t="s">
        <v>3874</v>
      </c>
      <c r="C1116" s="22">
        <v>1412</v>
      </c>
      <c r="D1116" s="21">
        <v>402.46</v>
      </c>
      <c r="E1116" s="21" t="s">
        <v>5796</v>
      </c>
      <c r="F1116" s="23"/>
      <c r="G1116" s="23">
        <f t="shared" si="4"/>
        <v>402.46</v>
      </c>
      <c r="H1116" s="23"/>
      <c r="I1116" s="23"/>
    </row>
    <row r="1117" spans="1:9">
      <c r="A1117" s="21" t="s">
        <v>6549</v>
      </c>
      <c r="B1117" s="21" t="s">
        <v>4441</v>
      </c>
      <c r="C1117" s="22">
        <v>1742</v>
      </c>
      <c r="D1117" s="21">
        <v>218.54</v>
      </c>
      <c r="E1117" s="21" t="s">
        <v>5796</v>
      </c>
      <c r="F1117" s="23"/>
      <c r="G1117" s="23">
        <f t="shared" si="4"/>
        <v>218.54</v>
      </c>
      <c r="H1117" s="23"/>
      <c r="I1117" s="23"/>
    </row>
    <row r="1118" spans="1:9">
      <c r="A1118" s="21" t="s">
        <v>6550</v>
      </c>
      <c r="B1118" s="21" t="s">
        <v>3754</v>
      </c>
      <c r="C1118" s="22">
        <v>1326</v>
      </c>
      <c r="D1118" s="21">
        <v>486.61</v>
      </c>
      <c r="E1118" s="21" t="s">
        <v>5796</v>
      </c>
      <c r="F1118" s="23"/>
      <c r="G1118" s="23">
        <f t="shared" si="4"/>
        <v>486.61</v>
      </c>
      <c r="H1118" s="23"/>
      <c r="I1118" s="23"/>
    </row>
    <row r="1119" spans="1:9">
      <c r="A1119" s="24" t="s">
        <v>6551</v>
      </c>
      <c r="B1119" s="24" t="s">
        <v>374</v>
      </c>
      <c r="C1119" s="25">
        <v>122</v>
      </c>
      <c r="D1119" s="24">
        <v>42091.62</v>
      </c>
      <c r="E1119" s="24" t="s">
        <v>5800</v>
      </c>
      <c r="F1119" s="26"/>
      <c r="G1119" s="23">
        <f t="shared" si="4"/>
        <v>42091.62</v>
      </c>
      <c r="H1119" s="26"/>
      <c r="I1119" s="26"/>
    </row>
    <row r="1120" spans="1:9">
      <c r="A1120" s="21" t="s">
        <v>2942</v>
      </c>
      <c r="B1120" s="21" t="s">
        <v>2944</v>
      </c>
      <c r="C1120" s="22">
        <v>822</v>
      </c>
      <c r="D1120" s="21">
        <v>1822.58</v>
      </c>
      <c r="E1120" s="21" t="s">
        <v>5796</v>
      </c>
      <c r="F1120" s="23"/>
      <c r="G1120" s="23">
        <f t="shared" si="4"/>
        <v>1822.58</v>
      </c>
      <c r="H1120" s="23"/>
      <c r="I1120" s="23"/>
    </row>
    <row r="1121" spans="1:9">
      <c r="A1121" s="21" t="s">
        <v>6552</v>
      </c>
      <c r="B1121" s="21" t="s">
        <v>3904</v>
      </c>
      <c r="C1121" s="22">
        <v>1241</v>
      </c>
      <c r="D1121" s="21">
        <v>619.48</v>
      </c>
      <c r="E1121" s="21" t="s">
        <v>5796</v>
      </c>
      <c r="F1121" s="23"/>
      <c r="G1121" s="23">
        <f t="shared" si="4"/>
        <v>619.48</v>
      </c>
      <c r="H1121" s="23"/>
      <c r="I1121" s="23"/>
    </row>
    <row r="1122" spans="1:9">
      <c r="A1122" s="21" t="s">
        <v>5659</v>
      </c>
      <c r="B1122" s="21" t="s">
        <v>5661</v>
      </c>
      <c r="C1122" s="22">
        <v>3141</v>
      </c>
      <c r="D1122" s="21">
        <v>24.63</v>
      </c>
      <c r="E1122" s="21" t="s">
        <v>5796</v>
      </c>
      <c r="F1122" s="23"/>
      <c r="G1122" s="23">
        <f t="shared" si="4"/>
        <v>24.63</v>
      </c>
      <c r="H1122" s="23"/>
      <c r="I1122" s="23"/>
    </row>
    <row r="1123" spans="1:9">
      <c r="A1123" s="21" t="s">
        <v>6553</v>
      </c>
      <c r="B1123" s="21" t="s">
        <v>5400</v>
      </c>
      <c r="C1123" s="22">
        <v>2677</v>
      </c>
      <c r="D1123" s="21">
        <v>47.59</v>
      </c>
      <c r="E1123" s="21" t="s">
        <v>5796</v>
      </c>
      <c r="F1123" s="23"/>
      <c r="G1123" s="23">
        <f t="shared" si="4"/>
        <v>47.59</v>
      </c>
      <c r="H1123" s="23"/>
      <c r="I1123" s="23"/>
    </row>
    <row r="1124" spans="1:9">
      <c r="A1124" s="21" t="s">
        <v>6554</v>
      </c>
      <c r="B1124" s="21" t="s">
        <v>3988</v>
      </c>
      <c r="C1124" s="22">
        <v>1340</v>
      </c>
      <c r="D1124" s="21">
        <v>466.79</v>
      </c>
      <c r="E1124" s="21" t="s">
        <v>5796</v>
      </c>
      <c r="F1124" s="23"/>
      <c r="G1124" s="23">
        <f t="shared" si="4"/>
        <v>466.79</v>
      </c>
      <c r="H1124" s="23"/>
      <c r="I1124" s="23"/>
    </row>
    <row r="1125" spans="1:9">
      <c r="A1125" s="21" t="s">
        <v>6555</v>
      </c>
      <c r="B1125" s="21" t="s">
        <v>3880</v>
      </c>
      <c r="C1125" s="22">
        <v>1393</v>
      </c>
      <c r="D1125" s="21">
        <v>416.97</v>
      </c>
      <c r="E1125" s="21" t="s">
        <v>5796</v>
      </c>
      <c r="F1125" s="23"/>
      <c r="G1125" s="23">
        <f t="shared" si="4"/>
        <v>416.97</v>
      </c>
      <c r="H1125" s="23"/>
      <c r="I1125" s="23"/>
    </row>
    <row r="1126" spans="1:9">
      <c r="A1126" s="21" t="s">
        <v>6556</v>
      </c>
      <c r="B1126" s="21" t="s">
        <v>3853</v>
      </c>
      <c r="C1126" s="22">
        <v>1249</v>
      </c>
      <c r="D1126" s="21">
        <v>605.99</v>
      </c>
      <c r="E1126" s="21" t="s">
        <v>5796</v>
      </c>
      <c r="F1126" s="23"/>
      <c r="G1126" s="23">
        <f t="shared" si="4"/>
        <v>605.99</v>
      </c>
      <c r="H1126" s="23"/>
      <c r="I1126" s="23"/>
    </row>
    <row r="1127" spans="1:9">
      <c r="A1127" s="21" t="s">
        <v>6557</v>
      </c>
      <c r="B1127" s="21" t="s">
        <v>3415</v>
      </c>
      <c r="C1127" s="22">
        <v>1078</v>
      </c>
      <c r="D1127" s="21">
        <v>940.32</v>
      </c>
      <c r="E1127" s="21" t="s">
        <v>5796</v>
      </c>
      <c r="F1127" s="23"/>
      <c r="G1127" s="23">
        <f t="shared" si="4"/>
        <v>940.32</v>
      </c>
      <c r="H1127" s="23"/>
      <c r="I1127" s="23"/>
    </row>
    <row r="1128" spans="1:9">
      <c r="A1128" s="21" t="s">
        <v>6558</v>
      </c>
      <c r="B1128" s="21" t="s">
        <v>746</v>
      </c>
      <c r="C1128" s="22">
        <v>277</v>
      </c>
      <c r="D1128" s="21">
        <v>14648.54</v>
      </c>
      <c r="E1128" s="21" t="s">
        <v>5796</v>
      </c>
      <c r="F1128" s="23"/>
      <c r="G1128" s="23">
        <f t="shared" si="4"/>
        <v>14648.54</v>
      </c>
      <c r="H1128" s="23"/>
      <c r="I1128" s="23"/>
    </row>
    <row r="1129" spans="1:9">
      <c r="A1129" s="21" t="s">
        <v>5626</v>
      </c>
      <c r="B1129" s="21" t="s">
        <v>5628</v>
      </c>
      <c r="C1129" s="22">
        <v>3025</v>
      </c>
      <c r="D1129" s="21">
        <v>29.36</v>
      </c>
      <c r="E1129" s="21" t="s">
        <v>5796</v>
      </c>
      <c r="F1129" s="23"/>
      <c r="G1129" s="23">
        <f t="shared" si="4"/>
        <v>29.36</v>
      </c>
      <c r="H1129" s="23"/>
      <c r="I1129" s="23"/>
    </row>
    <row r="1130" spans="1:9">
      <c r="A1130" s="21" t="s">
        <v>6559</v>
      </c>
      <c r="B1130" s="21" t="s">
        <v>971</v>
      </c>
      <c r="C1130" s="22">
        <v>336</v>
      </c>
      <c r="D1130" s="21">
        <v>10544.66</v>
      </c>
      <c r="E1130" s="21" t="s">
        <v>5796</v>
      </c>
      <c r="F1130" s="23"/>
      <c r="G1130" s="23">
        <f t="shared" si="4"/>
        <v>10544.66</v>
      </c>
      <c r="H1130" s="23"/>
      <c r="I1130" s="23"/>
    </row>
    <row r="1131" spans="1:9">
      <c r="A1131" s="21" t="s">
        <v>6560</v>
      </c>
      <c r="B1131" s="21" t="s">
        <v>4186</v>
      </c>
      <c r="C1131" s="22">
        <v>1570</v>
      </c>
      <c r="D1131" s="21">
        <v>305.57</v>
      </c>
      <c r="E1131" s="21" t="s">
        <v>5796</v>
      </c>
      <c r="F1131" s="23"/>
      <c r="G1131" s="23">
        <f t="shared" si="4"/>
        <v>305.57</v>
      </c>
      <c r="H1131" s="23"/>
      <c r="I1131" s="23"/>
    </row>
    <row r="1132" spans="1:9">
      <c r="A1132" s="21" t="s">
        <v>6561</v>
      </c>
      <c r="B1132" s="21" t="s">
        <v>881</v>
      </c>
      <c r="C1132" s="22">
        <v>273</v>
      </c>
      <c r="D1132" s="21">
        <v>15027.96</v>
      </c>
      <c r="E1132" s="21" t="s">
        <v>5796</v>
      </c>
      <c r="F1132" s="23"/>
      <c r="G1132" s="23">
        <f t="shared" si="4"/>
        <v>15027.96</v>
      </c>
      <c r="H1132" s="23"/>
      <c r="I1132" s="23"/>
    </row>
    <row r="1133" spans="1:9">
      <c r="A1133" s="24" t="s">
        <v>6562</v>
      </c>
      <c r="B1133" s="24" t="s">
        <v>344</v>
      </c>
      <c r="C1133" s="25">
        <v>104</v>
      </c>
      <c r="D1133" s="24">
        <v>49101.91</v>
      </c>
      <c r="E1133" s="24" t="s">
        <v>5800</v>
      </c>
      <c r="F1133" s="26"/>
      <c r="G1133" s="23">
        <f t="shared" si="4"/>
        <v>49101.91</v>
      </c>
      <c r="H1133" s="26"/>
      <c r="I1133" s="26"/>
    </row>
    <row r="1134" spans="1:9">
      <c r="A1134" s="21" t="s">
        <v>1695</v>
      </c>
      <c r="B1134" s="21" t="s">
        <v>1697</v>
      </c>
      <c r="C1134" s="22">
        <v>595</v>
      </c>
      <c r="D1134" s="21">
        <v>3772.59</v>
      </c>
      <c r="E1134" s="21" t="s">
        <v>5796</v>
      </c>
      <c r="F1134" s="23"/>
      <c r="G1134" s="23">
        <f t="shared" si="4"/>
        <v>3772.59</v>
      </c>
      <c r="H1134" s="23"/>
      <c r="I1134" s="23"/>
    </row>
    <row r="1135" spans="1:9">
      <c r="A1135" s="24" t="s">
        <v>801</v>
      </c>
      <c r="B1135" s="24" t="s">
        <v>803</v>
      </c>
      <c r="C1135" s="25">
        <v>214</v>
      </c>
      <c r="D1135" s="24">
        <v>21601.33</v>
      </c>
      <c r="E1135" s="24" t="s">
        <v>5800</v>
      </c>
      <c r="F1135" s="26"/>
      <c r="G1135" s="23">
        <f t="shared" si="4"/>
        <v>21601.33</v>
      </c>
      <c r="H1135" s="26"/>
      <c r="I1135" s="26"/>
    </row>
    <row r="1136" spans="1:9">
      <c r="A1136" s="21" t="s">
        <v>3392</v>
      </c>
      <c r="B1136" s="21" t="s">
        <v>3394</v>
      </c>
      <c r="C1136" s="22">
        <v>1115</v>
      </c>
      <c r="D1136" s="21">
        <v>846.16</v>
      </c>
      <c r="E1136" s="21" t="s">
        <v>5796</v>
      </c>
      <c r="F1136" s="23"/>
      <c r="G1136" s="23">
        <f t="shared" si="4"/>
        <v>846.16</v>
      </c>
      <c r="H1136" s="23"/>
      <c r="I1136" s="23"/>
    </row>
    <row r="1137" spans="1:9">
      <c r="A1137" s="21" t="s">
        <v>2189</v>
      </c>
      <c r="B1137" s="21" t="s">
        <v>2191</v>
      </c>
      <c r="C1137" s="22">
        <v>708</v>
      </c>
      <c r="D1137" s="21">
        <v>2504.42</v>
      </c>
      <c r="E1137" s="21" t="s">
        <v>5796</v>
      </c>
      <c r="F1137" s="23"/>
      <c r="G1137" s="23">
        <f t="shared" si="4"/>
        <v>2504.42</v>
      </c>
      <c r="H1137" s="23"/>
      <c r="I1137" s="23"/>
    </row>
    <row r="1138" spans="1:9">
      <c r="A1138" s="21" t="s">
        <v>1782</v>
      </c>
      <c r="B1138" s="21" t="s">
        <v>1784</v>
      </c>
      <c r="C1138" s="22">
        <v>592</v>
      </c>
      <c r="D1138" s="21">
        <v>3813.17</v>
      </c>
      <c r="E1138" s="21" t="s">
        <v>5796</v>
      </c>
      <c r="F1138" s="23"/>
      <c r="G1138" s="23">
        <f t="shared" si="4"/>
        <v>3813.17</v>
      </c>
      <c r="H1138" s="23"/>
      <c r="I1138" s="23"/>
    </row>
    <row r="1139" spans="1:9">
      <c r="A1139" s="21" t="s">
        <v>1170</v>
      </c>
      <c r="B1139" s="21" t="s">
        <v>1172</v>
      </c>
      <c r="C1139" s="22">
        <v>425</v>
      </c>
      <c r="D1139" s="21">
        <v>6859.91</v>
      </c>
      <c r="E1139" s="21" t="s">
        <v>5796</v>
      </c>
      <c r="F1139" s="23"/>
      <c r="G1139" s="23">
        <f t="shared" si="4"/>
        <v>6859.91</v>
      </c>
      <c r="H1139" s="23"/>
      <c r="I1139" s="23"/>
    </row>
    <row r="1140" spans="1:9">
      <c r="A1140" s="21" t="s">
        <v>6563</v>
      </c>
      <c r="B1140" s="21" t="s">
        <v>4120</v>
      </c>
      <c r="C1140" s="22">
        <v>1454</v>
      </c>
      <c r="D1140" s="21">
        <v>377.71</v>
      </c>
      <c r="E1140" s="21" t="s">
        <v>5796</v>
      </c>
      <c r="F1140" s="23"/>
      <c r="G1140" s="23">
        <f t="shared" si="4"/>
        <v>377.71</v>
      </c>
      <c r="H1140" s="23"/>
      <c r="I1140" s="23"/>
    </row>
    <row r="1141" spans="1:9">
      <c r="A1141" s="21" t="s">
        <v>1257</v>
      </c>
      <c r="B1141" s="21" t="s">
        <v>1259</v>
      </c>
      <c r="C1141" s="22">
        <v>433</v>
      </c>
      <c r="D1141" s="21">
        <v>6626.1</v>
      </c>
      <c r="E1141" s="21" t="s">
        <v>5796</v>
      </c>
      <c r="F1141" s="23"/>
      <c r="G1141" s="23">
        <f t="shared" si="4"/>
        <v>6626.1</v>
      </c>
      <c r="H1141" s="23"/>
      <c r="I1141" s="23"/>
    </row>
    <row r="1142" spans="1:9">
      <c r="A1142" s="21" t="s">
        <v>6564</v>
      </c>
      <c r="B1142" s="21" t="s">
        <v>3418</v>
      </c>
      <c r="C1142" s="22">
        <v>1133</v>
      </c>
      <c r="D1142" s="21">
        <v>819.24</v>
      </c>
      <c r="E1142" s="21" t="s">
        <v>5796</v>
      </c>
      <c r="F1142" s="23"/>
      <c r="G1142" s="23">
        <f t="shared" si="4"/>
        <v>819.24</v>
      </c>
      <c r="H1142" s="23"/>
      <c r="I1142" s="23"/>
    </row>
    <row r="1143" spans="1:9">
      <c r="A1143" s="21" t="s">
        <v>6565</v>
      </c>
      <c r="B1143" s="21" t="s">
        <v>4717</v>
      </c>
      <c r="C1143" s="22">
        <v>1978</v>
      </c>
      <c r="D1143" s="21">
        <v>148.65</v>
      </c>
      <c r="E1143" s="21" t="s">
        <v>5796</v>
      </c>
      <c r="F1143" s="23"/>
      <c r="G1143" s="23">
        <f t="shared" si="4"/>
        <v>148.65</v>
      </c>
      <c r="H1143" s="23"/>
      <c r="I1143" s="23"/>
    </row>
    <row r="1144" spans="1:9">
      <c r="A1144" s="21" t="s">
        <v>4322</v>
      </c>
      <c r="B1144" s="21" t="s">
        <v>4324</v>
      </c>
      <c r="C1144" s="22">
        <v>1571</v>
      </c>
      <c r="D1144" s="21">
        <v>305.57</v>
      </c>
      <c r="E1144" s="21" t="s">
        <v>5796</v>
      </c>
      <c r="F1144" s="23"/>
      <c r="G1144" s="23">
        <f t="shared" si="4"/>
        <v>305.57</v>
      </c>
      <c r="H1144" s="23"/>
      <c r="I1144" s="23"/>
    </row>
    <row r="1145" spans="1:9">
      <c r="A1145" s="21" t="s">
        <v>4037</v>
      </c>
      <c r="B1145" s="21" t="s">
        <v>4039</v>
      </c>
      <c r="C1145" s="22">
        <v>1411</v>
      </c>
      <c r="D1145" s="21">
        <v>402.5</v>
      </c>
      <c r="E1145" s="21" t="s">
        <v>5796</v>
      </c>
      <c r="F1145" s="23"/>
      <c r="G1145" s="23">
        <f t="shared" si="4"/>
        <v>402.5</v>
      </c>
      <c r="H1145" s="23"/>
      <c r="I1145" s="23"/>
    </row>
    <row r="1146" spans="1:9">
      <c r="A1146" s="21" t="s">
        <v>6566</v>
      </c>
      <c r="B1146" s="21" t="s">
        <v>3688</v>
      </c>
      <c r="C1146" s="22">
        <v>1449</v>
      </c>
      <c r="D1146" s="21">
        <v>379.9</v>
      </c>
      <c r="E1146" s="21" t="s">
        <v>5796</v>
      </c>
      <c r="F1146" s="23"/>
      <c r="G1146" s="23">
        <f t="shared" si="4"/>
        <v>379.9</v>
      </c>
      <c r="H1146" s="23"/>
      <c r="I1146" s="23"/>
    </row>
    <row r="1147" spans="1:9">
      <c r="A1147" s="21" t="s">
        <v>3023</v>
      </c>
      <c r="B1147" s="21" t="s">
        <v>3025</v>
      </c>
      <c r="C1147" s="22">
        <v>911</v>
      </c>
      <c r="D1147" s="21">
        <v>1430.13</v>
      </c>
      <c r="E1147" s="21" t="s">
        <v>5796</v>
      </c>
      <c r="F1147" s="23"/>
      <c r="G1147" s="23">
        <f t="shared" si="4"/>
        <v>1430.13</v>
      </c>
      <c r="H1147" s="23"/>
      <c r="I1147" s="23"/>
    </row>
    <row r="1148" spans="1:9">
      <c r="A1148" s="21" t="s">
        <v>4643</v>
      </c>
      <c r="B1148" s="21" t="s">
        <v>4645</v>
      </c>
      <c r="C1148" s="22">
        <v>2153</v>
      </c>
      <c r="D1148" s="21">
        <v>112.54</v>
      </c>
      <c r="E1148" s="21" t="s">
        <v>5796</v>
      </c>
      <c r="F1148" s="23"/>
      <c r="G1148" s="23">
        <f t="shared" si="4"/>
        <v>112.54</v>
      </c>
      <c r="H1148" s="23"/>
      <c r="I1148" s="23"/>
    </row>
    <row r="1149" spans="1:9">
      <c r="A1149" s="21" t="s">
        <v>3857</v>
      </c>
      <c r="B1149" s="21" t="s">
        <v>3859</v>
      </c>
      <c r="C1149" s="22">
        <v>1395</v>
      </c>
      <c r="D1149" s="21">
        <v>413.65</v>
      </c>
      <c r="E1149" s="21" t="s">
        <v>5796</v>
      </c>
      <c r="F1149" s="23"/>
      <c r="G1149" s="23">
        <f t="shared" si="4"/>
        <v>413.65</v>
      </c>
      <c r="H1149" s="23"/>
      <c r="I1149" s="23"/>
    </row>
    <row r="1150" spans="1:9">
      <c r="A1150" s="21" t="s">
        <v>3182</v>
      </c>
      <c r="B1150" s="21" t="s">
        <v>3184</v>
      </c>
      <c r="C1150" s="22">
        <v>1098</v>
      </c>
      <c r="D1150" s="21">
        <v>875.82</v>
      </c>
      <c r="E1150" s="21" t="s">
        <v>5796</v>
      </c>
      <c r="F1150" s="23"/>
      <c r="G1150" s="23">
        <f t="shared" si="4"/>
        <v>875.82</v>
      </c>
      <c r="H1150" s="23"/>
      <c r="I1150" s="23"/>
    </row>
    <row r="1151" spans="1:9">
      <c r="A1151" s="21" t="s">
        <v>6567</v>
      </c>
      <c r="B1151" s="21" t="s">
        <v>2821</v>
      </c>
      <c r="C1151" s="22">
        <v>918</v>
      </c>
      <c r="D1151" s="21">
        <v>1406.97</v>
      </c>
      <c r="E1151" s="21" t="s">
        <v>5796</v>
      </c>
      <c r="F1151" s="23"/>
      <c r="G1151" s="23">
        <f t="shared" si="4"/>
        <v>1406.97</v>
      </c>
      <c r="H1151" s="23"/>
      <c r="I1151" s="23"/>
    </row>
    <row r="1152" spans="1:9">
      <c r="A1152" s="21" t="s">
        <v>1995</v>
      </c>
      <c r="B1152" s="21" t="s">
        <v>1997</v>
      </c>
      <c r="C1152" s="22">
        <v>612</v>
      </c>
      <c r="D1152" s="21">
        <v>3527.76</v>
      </c>
      <c r="E1152" s="21" t="s">
        <v>5796</v>
      </c>
      <c r="F1152" s="23"/>
      <c r="G1152" s="23">
        <f t="shared" si="4"/>
        <v>3527.76</v>
      </c>
      <c r="H1152" s="23"/>
      <c r="I1152" s="23"/>
    </row>
    <row r="1153" spans="1:9">
      <c r="A1153" s="21" t="s">
        <v>6568</v>
      </c>
      <c r="B1153" s="21" t="s">
        <v>1805</v>
      </c>
      <c r="C1153" s="22">
        <v>570</v>
      </c>
      <c r="D1153" s="21">
        <v>4060.08</v>
      </c>
      <c r="E1153" s="21" t="s">
        <v>5796</v>
      </c>
      <c r="F1153" s="23"/>
      <c r="G1153" s="23">
        <f t="shared" si="4"/>
        <v>4060.08</v>
      </c>
      <c r="H1153" s="23"/>
      <c r="I1153" s="23"/>
    </row>
    <row r="1154" spans="1:9">
      <c r="A1154" s="21" t="s">
        <v>6569</v>
      </c>
      <c r="B1154" s="21" t="s">
        <v>1460</v>
      </c>
      <c r="C1154" s="22">
        <v>451</v>
      </c>
      <c r="D1154" s="21">
        <v>6272.74</v>
      </c>
      <c r="E1154" s="21" t="s">
        <v>5796</v>
      </c>
      <c r="F1154" s="23"/>
      <c r="G1154" s="23">
        <f t="shared" si="4"/>
        <v>6272.74</v>
      </c>
      <c r="H1154" s="23"/>
      <c r="I1154" s="23"/>
    </row>
    <row r="1155" spans="1:9">
      <c r="A1155" s="21" t="s">
        <v>6570</v>
      </c>
      <c r="B1155" s="21" t="s">
        <v>1781</v>
      </c>
      <c r="C1155" s="22">
        <v>688</v>
      </c>
      <c r="D1155" s="21">
        <v>2646.13</v>
      </c>
      <c r="E1155" s="21" t="s">
        <v>5796</v>
      </c>
      <c r="F1155" s="23"/>
      <c r="G1155" s="23">
        <f t="shared" si="4"/>
        <v>2646.13</v>
      </c>
      <c r="H1155" s="23"/>
      <c r="I1155" s="23"/>
    </row>
    <row r="1156" spans="1:9">
      <c r="A1156" s="21" t="s">
        <v>1515</v>
      </c>
      <c r="B1156" s="21" t="s">
        <v>1517</v>
      </c>
      <c r="C1156" s="22">
        <v>614</v>
      </c>
      <c r="D1156" s="21">
        <v>3508.28</v>
      </c>
      <c r="E1156" s="21" t="s">
        <v>5796</v>
      </c>
      <c r="F1156" s="23"/>
      <c r="G1156" s="23">
        <f t="shared" si="4"/>
        <v>3508.28</v>
      </c>
      <c r="H1156" s="23"/>
      <c r="I1156" s="23"/>
    </row>
    <row r="1157" spans="1:9">
      <c r="A1157" s="21" t="s">
        <v>6571</v>
      </c>
      <c r="B1157" s="21" t="s">
        <v>5538</v>
      </c>
      <c r="C1157" s="22">
        <v>2876</v>
      </c>
      <c r="D1157" s="21">
        <v>35.950000000000003</v>
      </c>
      <c r="E1157" s="21" t="s">
        <v>5796</v>
      </c>
      <c r="F1157" s="23"/>
      <c r="G1157" s="23">
        <f t="shared" si="4"/>
        <v>35.950000000000003</v>
      </c>
      <c r="H1157" s="23"/>
      <c r="I1157" s="23"/>
    </row>
    <row r="1158" spans="1:9">
      <c r="A1158" s="21" t="s">
        <v>6572</v>
      </c>
      <c r="B1158" s="21" t="s">
        <v>2122</v>
      </c>
      <c r="C1158" s="22">
        <v>619</v>
      </c>
      <c r="D1158" s="21">
        <v>3472.85</v>
      </c>
      <c r="E1158" s="21" t="s">
        <v>5796</v>
      </c>
      <c r="F1158" s="23"/>
      <c r="G1158" s="23">
        <f t="shared" si="4"/>
        <v>3472.85</v>
      </c>
      <c r="H1158" s="23"/>
      <c r="I1158" s="23"/>
    </row>
    <row r="1159" spans="1:9">
      <c r="A1159" s="21" t="s">
        <v>6573</v>
      </c>
      <c r="B1159" s="21" t="s">
        <v>5418</v>
      </c>
      <c r="C1159" s="22">
        <v>2315</v>
      </c>
      <c r="D1159" s="21">
        <v>84.81</v>
      </c>
      <c r="E1159" s="21" t="s">
        <v>5796</v>
      </c>
      <c r="F1159" s="23"/>
      <c r="G1159" s="23">
        <f t="shared" si="4"/>
        <v>84.81</v>
      </c>
      <c r="H1159" s="23"/>
      <c r="I1159" s="23"/>
    </row>
    <row r="1160" spans="1:9">
      <c r="A1160" s="21" t="s">
        <v>6574</v>
      </c>
      <c r="B1160" s="21" t="s">
        <v>3211</v>
      </c>
      <c r="C1160" s="22">
        <v>1088</v>
      </c>
      <c r="D1160" s="21">
        <v>910.59</v>
      </c>
      <c r="E1160" s="21" t="s">
        <v>5796</v>
      </c>
      <c r="F1160" s="23"/>
      <c r="G1160" s="23">
        <f t="shared" si="4"/>
        <v>910.59</v>
      </c>
      <c r="H1160" s="23"/>
      <c r="I1160" s="23"/>
    </row>
    <row r="1161" spans="1:9">
      <c r="A1161" s="21" t="s">
        <v>6575</v>
      </c>
      <c r="B1161" s="21" t="s">
        <v>755</v>
      </c>
      <c r="C1161" s="22">
        <v>255</v>
      </c>
      <c r="D1161" s="21">
        <v>16292.51</v>
      </c>
      <c r="E1161" s="21" t="s">
        <v>5796</v>
      </c>
      <c r="F1161" s="23"/>
      <c r="G1161" s="23">
        <f t="shared" si="4"/>
        <v>16292.51</v>
      </c>
      <c r="H1161" s="23"/>
      <c r="I1161" s="23"/>
    </row>
    <row r="1162" spans="1:9">
      <c r="A1162" s="24" t="s">
        <v>363</v>
      </c>
      <c r="B1162" s="24" t="s">
        <v>365</v>
      </c>
      <c r="C1162" s="25">
        <v>121</v>
      </c>
      <c r="D1162" s="24">
        <v>42350.98</v>
      </c>
      <c r="E1162" s="24" t="s">
        <v>5800</v>
      </c>
      <c r="F1162" s="26"/>
      <c r="G1162" s="23">
        <f t="shared" si="4"/>
        <v>42350.98</v>
      </c>
      <c r="H1162" s="26"/>
      <c r="I1162" s="26"/>
    </row>
    <row r="1163" spans="1:9">
      <c r="A1163" s="24" t="s">
        <v>690</v>
      </c>
      <c r="B1163" s="24" t="s">
        <v>692</v>
      </c>
      <c r="C1163" s="25">
        <v>240</v>
      </c>
      <c r="D1163" s="24">
        <v>18537.38</v>
      </c>
      <c r="E1163" s="24" t="s">
        <v>5800</v>
      </c>
      <c r="F1163" s="26"/>
      <c r="G1163" s="23">
        <f t="shared" si="4"/>
        <v>18537.38</v>
      </c>
      <c r="H1163" s="26"/>
      <c r="I1163" s="26"/>
    </row>
    <row r="1164" spans="1:9">
      <c r="A1164" s="21" t="s">
        <v>6576</v>
      </c>
      <c r="B1164" s="21" t="s">
        <v>5352</v>
      </c>
      <c r="C1164" s="22">
        <v>2694</v>
      </c>
      <c r="D1164" s="21">
        <v>46.6</v>
      </c>
      <c r="E1164" s="21" t="s">
        <v>5796</v>
      </c>
      <c r="F1164" s="23"/>
      <c r="G1164" s="23">
        <f t="shared" si="4"/>
        <v>46.6</v>
      </c>
      <c r="H1164" s="23"/>
      <c r="I1164" s="23"/>
    </row>
    <row r="1165" spans="1:9">
      <c r="A1165" s="21" t="s">
        <v>6577</v>
      </c>
      <c r="B1165" s="21" t="s">
        <v>3049</v>
      </c>
      <c r="C1165" s="22">
        <v>992</v>
      </c>
      <c r="D1165" s="21">
        <v>1192.04</v>
      </c>
      <c r="E1165" s="21" t="s">
        <v>5796</v>
      </c>
      <c r="F1165" s="23"/>
      <c r="G1165" s="23">
        <f t="shared" si="4"/>
        <v>1192.04</v>
      </c>
      <c r="H1165" s="23"/>
      <c r="I1165" s="23"/>
    </row>
    <row r="1166" spans="1:9">
      <c r="A1166" s="21" t="s">
        <v>6578</v>
      </c>
      <c r="B1166" s="21" t="s">
        <v>4525</v>
      </c>
      <c r="C1166" s="22">
        <v>1737</v>
      </c>
      <c r="D1166" s="21">
        <v>220.4</v>
      </c>
      <c r="E1166" s="21" t="s">
        <v>5796</v>
      </c>
      <c r="F1166" s="23"/>
      <c r="G1166" s="23">
        <f t="shared" si="4"/>
        <v>220.4</v>
      </c>
      <c r="H1166" s="23"/>
      <c r="I1166" s="23"/>
    </row>
    <row r="1167" spans="1:9">
      <c r="A1167" s="21" t="s">
        <v>6579</v>
      </c>
      <c r="B1167" s="21" t="s">
        <v>4987</v>
      </c>
      <c r="C1167" s="22">
        <v>2129</v>
      </c>
      <c r="D1167" s="21">
        <v>116.36</v>
      </c>
      <c r="E1167" s="21" t="s">
        <v>5796</v>
      </c>
      <c r="F1167" s="23"/>
      <c r="G1167" s="23">
        <f t="shared" si="4"/>
        <v>116.36</v>
      </c>
      <c r="H1167" s="23"/>
      <c r="I1167" s="23"/>
    </row>
    <row r="1168" spans="1:9">
      <c r="A1168" s="21" t="s">
        <v>2135</v>
      </c>
      <c r="B1168" s="21" t="s">
        <v>2137</v>
      </c>
      <c r="C1168" s="22">
        <v>654</v>
      </c>
      <c r="D1168" s="21">
        <v>2993.26</v>
      </c>
      <c r="E1168" s="21" t="s">
        <v>5796</v>
      </c>
      <c r="F1168" s="23"/>
      <c r="G1168" s="23">
        <f t="shared" si="4"/>
        <v>2993.26</v>
      </c>
      <c r="H1168" s="23"/>
      <c r="I1168" s="23"/>
    </row>
    <row r="1169" spans="1:9">
      <c r="A1169" s="21" t="s">
        <v>3665</v>
      </c>
      <c r="B1169" s="21" t="s">
        <v>3667</v>
      </c>
      <c r="C1169" s="22">
        <v>1427</v>
      </c>
      <c r="D1169" s="21">
        <v>393.98</v>
      </c>
      <c r="E1169" s="21" t="s">
        <v>5796</v>
      </c>
      <c r="F1169" s="23"/>
      <c r="G1169" s="23">
        <f t="shared" si="4"/>
        <v>393.98</v>
      </c>
      <c r="H1169" s="23"/>
      <c r="I1169" s="23"/>
    </row>
    <row r="1170" spans="1:9">
      <c r="A1170" s="21" t="s">
        <v>6580</v>
      </c>
      <c r="B1170" s="21" t="s">
        <v>4162</v>
      </c>
      <c r="C1170" s="22">
        <v>1647</v>
      </c>
      <c r="D1170" s="21">
        <v>265.12</v>
      </c>
      <c r="E1170" s="21" t="s">
        <v>5796</v>
      </c>
      <c r="F1170" s="23"/>
      <c r="G1170" s="23">
        <f t="shared" si="4"/>
        <v>265.12</v>
      </c>
      <c r="H1170" s="23"/>
      <c r="I1170" s="23"/>
    </row>
    <row r="1171" spans="1:9">
      <c r="A1171" s="21" t="s">
        <v>4925</v>
      </c>
      <c r="B1171" s="21" t="s">
        <v>4927</v>
      </c>
      <c r="C1171" s="22">
        <v>2120</v>
      </c>
      <c r="D1171" s="21">
        <v>117.66</v>
      </c>
      <c r="E1171" s="21" t="s">
        <v>5796</v>
      </c>
      <c r="F1171" s="23"/>
      <c r="G1171" s="23">
        <f t="shared" si="4"/>
        <v>117.66</v>
      </c>
      <c r="H1171" s="23"/>
      <c r="I1171" s="23"/>
    </row>
    <row r="1172" spans="1:9">
      <c r="A1172" s="21" t="s">
        <v>6581</v>
      </c>
      <c r="B1172" s="21" t="s">
        <v>5769</v>
      </c>
      <c r="C1172" s="22">
        <v>4044</v>
      </c>
      <c r="D1172" s="21">
        <v>6.72</v>
      </c>
      <c r="E1172" s="21" t="s">
        <v>5796</v>
      </c>
      <c r="F1172" s="23"/>
      <c r="G1172" s="23">
        <f t="shared" si="4"/>
        <v>6.72</v>
      </c>
      <c r="H1172" s="23"/>
      <c r="I1172" s="23"/>
    </row>
    <row r="1173" spans="1:9">
      <c r="A1173" s="21" t="s">
        <v>6582</v>
      </c>
      <c r="B1173" s="21" t="s">
        <v>4879</v>
      </c>
      <c r="C1173" s="22">
        <v>1958</v>
      </c>
      <c r="D1173" s="21">
        <v>152.13999999999999</v>
      </c>
      <c r="E1173" s="21" t="s">
        <v>5796</v>
      </c>
      <c r="F1173" s="23"/>
      <c r="G1173" s="23">
        <f t="shared" si="4"/>
        <v>152.13999999999999</v>
      </c>
      <c r="H1173" s="23"/>
      <c r="I1173" s="23"/>
    </row>
    <row r="1174" spans="1:9">
      <c r="A1174" s="21" t="s">
        <v>6583</v>
      </c>
      <c r="B1174" s="21" t="s">
        <v>2908</v>
      </c>
      <c r="C1174" s="22">
        <v>947</v>
      </c>
      <c r="D1174" s="21">
        <v>1325.33</v>
      </c>
      <c r="E1174" s="21" t="s">
        <v>5796</v>
      </c>
      <c r="F1174" s="23"/>
      <c r="G1174" s="23">
        <f t="shared" si="4"/>
        <v>1325.33</v>
      </c>
      <c r="H1174" s="23"/>
      <c r="I1174" s="23"/>
    </row>
    <row r="1175" spans="1:9">
      <c r="A1175" s="21" t="s">
        <v>6584</v>
      </c>
      <c r="B1175" s="21" t="s">
        <v>5134</v>
      </c>
      <c r="C1175" s="22">
        <v>2368</v>
      </c>
      <c r="D1175" s="21">
        <v>76.900000000000006</v>
      </c>
      <c r="E1175" s="21" t="s">
        <v>5796</v>
      </c>
      <c r="F1175" s="23"/>
      <c r="G1175" s="23">
        <f t="shared" si="4"/>
        <v>76.900000000000006</v>
      </c>
      <c r="H1175" s="23"/>
      <c r="I1175" s="23"/>
    </row>
    <row r="1176" spans="1:9">
      <c r="A1176" s="21" t="s">
        <v>6585</v>
      </c>
      <c r="B1176" s="21" t="s">
        <v>5592</v>
      </c>
      <c r="C1176" s="22">
        <v>3161</v>
      </c>
      <c r="D1176" s="21">
        <v>23.94</v>
      </c>
      <c r="E1176" s="21" t="s">
        <v>5796</v>
      </c>
      <c r="F1176" s="23"/>
      <c r="G1176" s="23">
        <f t="shared" si="4"/>
        <v>23.94</v>
      </c>
      <c r="H1176" s="23"/>
      <c r="I1176" s="23"/>
    </row>
    <row r="1177" spans="1:9">
      <c r="A1177" s="21" t="s">
        <v>810</v>
      </c>
      <c r="B1177" s="21" t="s">
        <v>812</v>
      </c>
      <c r="C1177" s="22">
        <v>313</v>
      </c>
      <c r="D1177" s="21">
        <v>11673.34</v>
      </c>
      <c r="E1177" s="21" t="s">
        <v>5796</v>
      </c>
      <c r="F1177" s="23"/>
      <c r="G1177" s="23">
        <f t="shared" si="4"/>
        <v>11673.34</v>
      </c>
      <c r="H1177" s="23"/>
      <c r="I1177" s="23"/>
    </row>
    <row r="1178" spans="1:9">
      <c r="A1178" s="24" t="s">
        <v>6586</v>
      </c>
      <c r="B1178" s="24" t="s">
        <v>473</v>
      </c>
      <c r="C1178" s="25">
        <v>159</v>
      </c>
      <c r="D1178" s="24">
        <v>33266.28</v>
      </c>
      <c r="E1178" s="24" t="s">
        <v>5800</v>
      </c>
      <c r="F1178" s="26"/>
      <c r="G1178" s="23">
        <f t="shared" si="4"/>
        <v>33266.28</v>
      </c>
      <c r="H1178" s="26"/>
      <c r="I1178" s="26"/>
    </row>
    <row r="1179" spans="1:9">
      <c r="A1179" s="21" t="s">
        <v>6587</v>
      </c>
      <c r="B1179" s="21" t="s">
        <v>2063</v>
      </c>
      <c r="C1179" s="22">
        <v>605</v>
      </c>
      <c r="D1179" s="21">
        <v>3660.94</v>
      </c>
      <c r="E1179" s="21" t="s">
        <v>5796</v>
      </c>
      <c r="F1179" s="23"/>
      <c r="G1179" s="23">
        <f t="shared" si="4"/>
        <v>3660.94</v>
      </c>
      <c r="H1179" s="23"/>
      <c r="I1179" s="23"/>
    </row>
    <row r="1180" spans="1:9">
      <c r="A1180" s="21" t="s">
        <v>6588</v>
      </c>
      <c r="B1180" s="21" t="s">
        <v>4870</v>
      </c>
      <c r="C1180" s="22">
        <v>2038</v>
      </c>
      <c r="D1180" s="21">
        <v>132.77000000000001</v>
      </c>
      <c r="E1180" s="21" t="s">
        <v>5796</v>
      </c>
      <c r="F1180" s="23"/>
      <c r="G1180" s="23">
        <f t="shared" si="4"/>
        <v>132.77000000000001</v>
      </c>
      <c r="H1180" s="23"/>
      <c r="I1180" s="23"/>
    </row>
    <row r="1181" spans="1:9">
      <c r="A1181" s="21" t="s">
        <v>6589</v>
      </c>
      <c r="B1181" s="21" t="s">
        <v>5727</v>
      </c>
      <c r="C1181" s="22">
        <v>3725</v>
      </c>
      <c r="D1181" s="21">
        <v>10.09</v>
      </c>
      <c r="E1181" s="21" t="s">
        <v>5796</v>
      </c>
      <c r="F1181" s="23"/>
      <c r="G1181" s="23">
        <f t="shared" si="4"/>
        <v>10.09</v>
      </c>
      <c r="H1181" s="23"/>
      <c r="I1181" s="23"/>
    </row>
    <row r="1182" spans="1:9">
      <c r="A1182" s="21" t="s">
        <v>6590</v>
      </c>
      <c r="B1182" s="21" t="s">
        <v>3844</v>
      </c>
      <c r="C1182" s="22">
        <v>1368</v>
      </c>
      <c r="D1182" s="21">
        <v>439.51</v>
      </c>
      <c r="E1182" s="21" t="s">
        <v>5796</v>
      </c>
      <c r="F1182" s="23"/>
      <c r="G1182" s="23">
        <f t="shared" si="4"/>
        <v>439.51</v>
      </c>
      <c r="H1182" s="23"/>
      <c r="I1182" s="23"/>
    </row>
    <row r="1183" spans="1:9">
      <c r="A1183" s="21" t="s">
        <v>6591</v>
      </c>
      <c r="B1183" s="21" t="s">
        <v>2458</v>
      </c>
      <c r="C1183" s="22">
        <v>903</v>
      </c>
      <c r="D1183" s="21">
        <v>1462.6</v>
      </c>
      <c r="E1183" s="21" t="s">
        <v>5796</v>
      </c>
      <c r="F1183" s="23"/>
      <c r="G1183" s="23">
        <f t="shared" si="4"/>
        <v>1462.6</v>
      </c>
      <c r="H1183" s="23"/>
      <c r="I1183" s="23"/>
    </row>
    <row r="1184" spans="1:9">
      <c r="A1184" s="21" t="s">
        <v>6592</v>
      </c>
      <c r="B1184" s="21" t="s">
        <v>4087</v>
      </c>
      <c r="C1184" s="22">
        <v>1301</v>
      </c>
      <c r="D1184" s="21">
        <v>528.70000000000005</v>
      </c>
      <c r="E1184" s="21" t="s">
        <v>5796</v>
      </c>
      <c r="F1184" s="23"/>
      <c r="G1184" s="23">
        <f t="shared" si="4"/>
        <v>528.70000000000005</v>
      </c>
      <c r="H1184" s="23"/>
      <c r="I1184" s="23"/>
    </row>
    <row r="1185" spans="1:9">
      <c r="A1185" s="21" t="s">
        <v>6593</v>
      </c>
      <c r="B1185" s="21" t="s">
        <v>3064</v>
      </c>
      <c r="C1185" s="22">
        <v>1010</v>
      </c>
      <c r="D1185" s="21">
        <v>1115.9000000000001</v>
      </c>
      <c r="E1185" s="21" t="s">
        <v>5796</v>
      </c>
      <c r="F1185" s="23"/>
      <c r="G1185" s="23">
        <f t="shared" si="4"/>
        <v>1115.9000000000001</v>
      </c>
      <c r="H1185" s="23"/>
      <c r="I1185" s="23"/>
    </row>
    <row r="1186" spans="1:9">
      <c r="A1186" s="21" t="s">
        <v>1002</v>
      </c>
      <c r="B1186" s="21" t="s">
        <v>1004</v>
      </c>
      <c r="C1186" s="22">
        <v>323</v>
      </c>
      <c r="D1186" s="21">
        <v>10987.37</v>
      </c>
      <c r="E1186" s="21" t="s">
        <v>5796</v>
      </c>
      <c r="F1186" s="23"/>
      <c r="G1186" s="23">
        <f t="shared" si="4"/>
        <v>10987.37</v>
      </c>
      <c r="H1186" s="23"/>
      <c r="I1186" s="23"/>
    </row>
    <row r="1187" spans="1:9">
      <c r="A1187" s="27" t="s">
        <v>84</v>
      </c>
      <c r="B1187" s="27" t="s">
        <v>86</v>
      </c>
      <c r="C1187" s="28">
        <v>29</v>
      </c>
      <c r="D1187" s="27">
        <v>168716.62</v>
      </c>
      <c r="E1187" s="27" t="s">
        <v>5815</v>
      </c>
      <c r="F1187" s="29"/>
      <c r="G1187" s="23">
        <f t="shared" si="4"/>
        <v>168716.62</v>
      </c>
      <c r="H1187" s="29"/>
      <c r="I1187" s="29"/>
    </row>
    <row r="1188" spans="1:9">
      <c r="A1188" s="21" t="s">
        <v>6594</v>
      </c>
      <c r="B1188" s="21" t="s">
        <v>2212</v>
      </c>
      <c r="C1188" s="22">
        <v>835</v>
      </c>
      <c r="D1188" s="21">
        <v>1748.41</v>
      </c>
      <c r="E1188" s="21" t="s">
        <v>5796</v>
      </c>
      <c r="F1188" s="23"/>
      <c r="G1188" s="23">
        <f t="shared" si="4"/>
        <v>1748.41</v>
      </c>
      <c r="H1188" s="23"/>
      <c r="I1188" s="23"/>
    </row>
    <row r="1189" spans="1:9">
      <c r="A1189" s="21" t="s">
        <v>4268</v>
      </c>
      <c r="B1189" s="21" t="s">
        <v>4270</v>
      </c>
      <c r="C1189" s="22">
        <v>1475</v>
      </c>
      <c r="D1189" s="21">
        <v>362.24</v>
      </c>
      <c r="E1189" s="21" t="s">
        <v>5796</v>
      </c>
      <c r="F1189" s="23"/>
      <c r="G1189" s="23">
        <f t="shared" si="4"/>
        <v>362.24</v>
      </c>
      <c r="H1189" s="23"/>
      <c r="I1189" s="23"/>
    </row>
    <row r="1190" spans="1:9">
      <c r="A1190" s="21" t="s">
        <v>1035</v>
      </c>
      <c r="B1190" s="21" t="s">
        <v>1037</v>
      </c>
      <c r="C1190" s="22">
        <v>302</v>
      </c>
      <c r="D1190" s="21">
        <v>12465.48</v>
      </c>
      <c r="E1190" s="21" t="s">
        <v>5796</v>
      </c>
      <c r="F1190" s="23"/>
      <c r="G1190" s="23">
        <f t="shared" si="4"/>
        <v>12465.48</v>
      </c>
      <c r="H1190" s="23"/>
      <c r="I1190" s="23"/>
    </row>
    <row r="1191" spans="1:9">
      <c r="A1191" s="24" t="s">
        <v>474</v>
      </c>
      <c r="B1191" s="24" t="s">
        <v>476</v>
      </c>
      <c r="C1191" s="25">
        <v>134</v>
      </c>
      <c r="D1191" s="24">
        <v>38892.42</v>
      </c>
      <c r="E1191" s="24" t="s">
        <v>5800</v>
      </c>
      <c r="F1191" s="26"/>
      <c r="G1191" s="23">
        <f t="shared" si="4"/>
        <v>38892.42</v>
      </c>
      <c r="H1191" s="26"/>
      <c r="I1191" s="26"/>
    </row>
    <row r="1192" spans="1:9">
      <c r="A1192" s="21" t="s">
        <v>6595</v>
      </c>
      <c r="B1192" s="21" t="s">
        <v>3199</v>
      </c>
      <c r="C1192" s="22">
        <v>971</v>
      </c>
      <c r="D1192" s="21">
        <v>1259.77</v>
      </c>
      <c r="E1192" s="21" t="s">
        <v>5796</v>
      </c>
      <c r="F1192" s="23"/>
      <c r="G1192" s="23">
        <f t="shared" si="4"/>
        <v>1259.77</v>
      </c>
      <c r="H1192" s="23"/>
      <c r="I1192" s="23"/>
    </row>
    <row r="1193" spans="1:9">
      <c r="A1193" s="21" t="s">
        <v>5105</v>
      </c>
      <c r="B1193" s="21" t="s">
        <v>5107</v>
      </c>
      <c r="C1193" s="22">
        <v>2034</v>
      </c>
      <c r="D1193" s="21">
        <v>133.41999999999999</v>
      </c>
      <c r="E1193" s="21" t="s">
        <v>5796</v>
      </c>
      <c r="F1193" s="23"/>
      <c r="G1193" s="23">
        <f t="shared" si="4"/>
        <v>133.41999999999999</v>
      </c>
      <c r="H1193" s="23"/>
      <c r="I1193" s="23"/>
    </row>
    <row r="1194" spans="1:9">
      <c r="A1194" s="24" t="s">
        <v>6596</v>
      </c>
      <c r="B1194" s="24" t="s">
        <v>470</v>
      </c>
      <c r="C1194" s="25">
        <v>163</v>
      </c>
      <c r="D1194" s="24">
        <v>32548.76</v>
      </c>
      <c r="E1194" s="24" t="s">
        <v>5800</v>
      </c>
      <c r="F1194" s="26"/>
      <c r="G1194" s="23">
        <f t="shared" si="4"/>
        <v>32548.76</v>
      </c>
      <c r="H1194" s="26"/>
      <c r="I1194" s="26"/>
    </row>
    <row r="1195" spans="1:9">
      <c r="A1195" s="21" t="s">
        <v>6597</v>
      </c>
      <c r="B1195" s="21" t="s">
        <v>3577</v>
      </c>
      <c r="C1195" s="22">
        <v>1174</v>
      </c>
      <c r="D1195" s="21">
        <v>734.8</v>
      </c>
      <c r="E1195" s="21" t="s">
        <v>5796</v>
      </c>
      <c r="F1195" s="23"/>
      <c r="G1195" s="23">
        <f t="shared" si="4"/>
        <v>734.8</v>
      </c>
      <c r="H1195" s="23"/>
      <c r="I1195" s="23"/>
    </row>
    <row r="1196" spans="1:9">
      <c r="A1196" s="24" t="s">
        <v>534</v>
      </c>
      <c r="B1196" s="24" t="s">
        <v>536</v>
      </c>
      <c r="C1196" s="25">
        <v>173</v>
      </c>
      <c r="D1196" s="24">
        <v>28973.54</v>
      </c>
      <c r="E1196" s="24" t="s">
        <v>5800</v>
      </c>
      <c r="F1196" s="26"/>
      <c r="G1196" s="23">
        <f t="shared" si="4"/>
        <v>28973.54</v>
      </c>
      <c r="H1196" s="26"/>
      <c r="I1196" s="26"/>
    </row>
    <row r="1197" spans="1:9">
      <c r="A1197" s="24" t="s">
        <v>594</v>
      </c>
      <c r="B1197" s="24" t="s">
        <v>596</v>
      </c>
      <c r="C1197" s="25">
        <v>181</v>
      </c>
      <c r="D1197" s="24">
        <v>26932.76</v>
      </c>
      <c r="E1197" s="24" t="s">
        <v>5800</v>
      </c>
      <c r="F1197" s="26"/>
      <c r="G1197" s="23">
        <f t="shared" si="4"/>
        <v>26932.76</v>
      </c>
      <c r="H1197" s="26"/>
      <c r="I1197" s="26"/>
    </row>
    <row r="1198" spans="1:9">
      <c r="A1198" s="21" t="s">
        <v>6598</v>
      </c>
      <c r="B1198" s="21" t="s">
        <v>5194</v>
      </c>
      <c r="C1198" s="22">
        <v>2392</v>
      </c>
      <c r="D1198" s="21">
        <v>74.099999999999994</v>
      </c>
      <c r="E1198" s="21" t="s">
        <v>5796</v>
      </c>
      <c r="F1198" s="23"/>
      <c r="G1198" s="23">
        <f t="shared" si="4"/>
        <v>74.099999999999994</v>
      </c>
      <c r="H1198" s="23"/>
      <c r="I1198" s="23"/>
    </row>
    <row r="1199" spans="1:9">
      <c r="A1199" s="21" t="s">
        <v>6599</v>
      </c>
      <c r="B1199" s="21" t="s">
        <v>1238</v>
      </c>
      <c r="C1199" s="22">
        <v>504</v>
      </c>
      <c r="D1199" s="21">
        <v>5174.1099999999997</v>
      </c>
      <c r="E1199" s="21" t="s">
        <v>5796</v>
      </c>
      <c r="F1199" s="23"/>
      <c r="G1199" s="23">
        <f t="shared" si="4"/>
        <v>5174.1099999999997</v>
      </c>
      <c r="H1199" s="23"/>
      <c r="I1199" s="23"/>
    </row>
    <row r="1200" spans="1:9">
      <c r="A1200" s="21" t="s">
        <v>6600</v>
      </c>
      <c r="B1200" s="21" t="s">
        <v>5062</v>
      </c>
      <c r="C1200" s="22">
        <v>2162</v>
      </c>
      <c r="D1200" s="21">
        <v>110.55</v>
      </c>
      <c r="E1200" s="21" t="s">
        <v>5796</v>
      </c>
      <c r="F1200" s="23"/>
      <c r="G1200" s="23">
        <f t="shared" si="4"/>
        <v>110.55</v>
      </c>
      <c r="H1200" s="23"/>
      <c r="I1200" s="23"/>
    </row>
    <row r="1201" spans="1:9">
      <c r="A1201" s="21" t="s">
        <v>6601</v>
      </c>
      <c r="B1201" s="21" t="s">
        <v>3238</v>
      </c>
      <c r="C1201" s="22">
        <v>1049</v>
      </c>
      <c r="D1201" s="21">
        <v>1041.1600000000001</v>
      </c>
      <c r="E1201" s="21" t="s">
        <v>5796</v>
      </c>
      <c r="F1201" s="23"/>
      <c r="G1201" s="23">
        <f t="shared" si="4"/>
        <v>1041.1600000000001</v>
      </c>
      <c r="H1201" s="23"/>
      <c r="I1201" s="23"/>
    </row>
    <row r="1202" spans="1:9">
      <c r="A1202" s="21" t="s">
        <v>3560</v>
      </c>
      <c r="B1202" s="21" t="s">
        <v>3562</v>
      </c>
      <c r="C1202" s="22">
        <v>1426</v>
      </c>
      <c r="D1202" s="21">
        <v>394.28</v>
      </c>
      <c r="E1202" s="21" t="s">
        <v>5796</v>
      </c>
      <c r="F1202" s="23"/>
      <c r="G1202" s="23">
        <f t="shared" si="4"/>
        <v>394.28</v>
      </c>
      <c r="H1202" s="23"/>
      <c r="I1202" s="23"/>
    </row>
    <row r="1203" spans="1:9">
      <c r="A1203" s="21" t="s">
        <v>6602</v>
      </c>
      <c r="B1203" s="21" t="s">
        <v>5685</v>
      </c>
      <c r="C1203" s="22">
        <v>3278</v>
      </c>
      <c r="D1203" s="21">
        <v>20.25</v>
      </c>
      <c r="E1203" s="21" t="s">
        <v>5796</v>
      </c>
      <c r="F1203" s="23"/>
      <c r="G1203" s="23">
        <f t="shared" si="4"/>
        <v>20.25</v>
      </c>
      <c r="H1203" s="23"/>
      <c r="I1203" s="23"/>
    </row>
    <row r="1204" spans="1:9">
      <c r="A1204" s="21" t="s">
        <v>6603</v>
      </c>
      <c r="B1204" s="21" t="s">
        <v>5679</v>
      </c>
      <c r="C1204" s="22">
        <v>3371</v>
      </c>
      <c r="D1204" s="21">
        <v>17.59</v>
      </c>
      <c r="E1204" s="21" t="s">
        <v>5796</v>
      </c>
      <c r="F1204" s="23"/>
      <c r="G1204" s="23">
        <f t="shared" si="4"/>
        <v>17.59</v>
      </c>
      <c r="H1204" s="23"/>
      <c r="I1204" s="23"/>
    </row>
    <row r="1205" spans="1:9">
      <c r="A1205" s="21" t="s">
        <v>6604</v>
      </c>
      <c r="B1205" s="21" t="s">
        <v>3709</v>
      </c>
      <c r="C1205" s="22">
        <v>1489</v>
      </c>
      <c r="D1205" s="21">
        <v>352.47</v>
      </c>
      <c r="E1205" s="21" t="s">
        <v>5796</v>
      </c>
      <c r="F1205" s="23"/>
      <c r="G1205" s="23">
        <f t="shared" si="4"/>
        <v>352.47</v>
      </c>
      <c r="H1205" s="23"/>
      <c r="I1205" s="23"/>
    </row>
    <row r="1206" spans="1:9">
      <c r="A1206" s="27" t="s">
        <v>6605</v>
      </c>
      <c r="B1206" s="27" t="s">
        <v>83</v>
      </c>
      <c r="C1206" s="28">
        <v>27</v>
      </c>
      <c r="D1206" s="27">
        <v>195025.78</v>
      </c>
      <c r="E1206" s="27" t="s">
        <v>5815</v>
      </c>
      <c r="F1206" s="29"/>
      <c r="G1206" s="23">
        <f t="shared" si="4"/>
        <v>195025.78</v>
      </c>
      <c r="H1206" s="29"/>
      <c r="I1206" s="29"/>
    </row>
    <row r="1207" spans="1:9">
      <c r="A1207" s="21" t="s">
        <v>6606</v>
      </c>
      <c r="B1207" s="21" t="s">
        <v>3286</v>
      </c>
      <c r="C1207" s="22">
        <v>1141</v>
      </c>
      <c r="D1207" s="21">
        <v>805.96</v>
      </c>
      <c r="E1207" s="21" t="s">
        <v>5796</v>
      </c>
      <c r="F1207" s="23"/>
      <c r="G1207" s="23">
        <f t="shared" si="4"/>
        <v>805.96</v>
      </c>
      <c r="H1207" s="23"/>
      <c r="I1207" s="23"/>
    </row>
    <row r="1208" spans="1:9">
      <c r="A1208" s="21" t="s">
        <v>6607</v>
      </c>
      <c r="B1208" s="21" t="s">
        <v>3169</v>
      </c>
      <c r="C1208" s="22">
        <v>1153</v>
      </c>
      <c r="D1208" s="21">
        <v>785.21</v>
      </c>
      <c r="E1208" s="21" t="s">
        <v>5796</v>
      </c>
      <c r="F1208" s="23"/>
      <c r="G1208" s="23">
        <f t="shared" si="4"/>
        <v>785.21</v>
      </c>
      <c r="H1208" s="23"/>
      <c r="I1208" s="23"/>
    </row>
    <row r="1209" spans="1:9">
      <c r="A1209" s="21" t="s">
        <v>2480</v>
      </c>
      <c r="B1209" s="21" t="s">
        <v>2482</v>
      </c>
      <c r="C1209" s="22">
        <v>788</v>
      </c>
      <c r="D1209" s="21">
        <v>1999.65</v>
      </c>
      <c r="E1209" s="21" t="s">
        <v>5796</v>
      </c>
      <c r="F1209" s="23"/>
      <c r="G1209" s="23">
        <f t="shared" si="4"/>
        <v>1999.65</v>
      </c>
      <c r="H1209" s="23"/>
      <c r="I1209" s="23"/>
    </row>
    <row r="1210" spans="1:9">
      <c r="A1210" s="21" t="s">
        <v>6608</v>
      </c>
      <c r="B1210" s="21" t="s">
        <v>4003</v>
      </c>
      <c r="C1210" s="22">
        <v>1416</v>
      </c>
      <c r="D1210" s="21">
        <v>399.07</v>
      </c>
      <c r="E1210" s="21" t="s">
        <v>5796</v>
      </c>
      <c r="F1210" s="23"/>
      <c r="G1210" s="23">
        <f t="shared" si="4"/>
        <v>399.07</v>
      </c>
      <c r="H1210" s="23"/>
      <c r="I1210" s="23"/>
    </row>
    <row r="1211" spans="1:9">
      <c r="A1211" s="21" t="s">
        <v>2348</v>
      </c>
      <c r="B1211" s="21" t="s">
        <v>2350</v>
      </c>
      <c r="C1211" s="22">
        <v>865</v>
      </c>
      <c r="D1211" s="21">
        <v>1630.42</v>
      </c>
      <c r="E1211" s="21" t="s">
        <v>5796</v>
      </c>
      <c r="F1211" s="23"/>
      <c r="G1211" s="23">
        <f t="shared" si="4"/>
        <v>1630.42</v>
      </c>
      <c r="H1211" s="23"/>
      <c r="I1211" s="23"/>
    </row>
    <row r="1212" spans="1:9">
      <c r="A1212" s="21" t="s">
        <v>6609</v>
      </c>
      <c r="B1212" s="21" t="s">
        <v>4105</v>
      </c>
      <c r="C1212" s="22">
        <v>1491</v>
      </c>
      <c r="D1212" s="21">
        <v>351.47</v>
      </c>
      <c r="E1212" s="21" t="s">
        <v>5796</v>
      </c>
      <c r="F1212" s="23"/>
      <c r="G1212" s="23">
        <f t="shared" si="4"/>
        <v>351.47</v>
      </c>
      <c r="H1212" s="23"/>
      <c r="I1212" s="23"/>
    </row>
    <row r="1213" spans="1:9">
      <c r="A1213" s="21" t="s">
        <v>6610</v>
      </c>
      <c r="B1213" s="21" t="s">
        <v>6611</v>
      </c>
      <c r="C1213" s="22">
        <v>1546</v>
      </c>
      <c r="D1213" s="21">
        <v>317.54000000000002</v>
      </c>
      <c r="E1213" s="21" t="s">
        <v>5796</v>
      </c>
      <c r="F1213" s="23"/>
      <c r="G1213" s="23">
        <f t="shared" si="4"/>
        <v>317.54000000000002</v>
      </c>
      <c r="H1213" s="23"/>
      <c r="I1213" s="23"/>
    </row>
    <row r="1214" spans="1:9">
      <c r="A1214" s="21" t="s">
        <v>5671</v>
      </c>
      <c r="B1214" s="21" t="s">
        <v>5673</v>
      </c>
      <c r="C1214" s="22">
        <v>3270</v>
      </c>
      <c r="D1214" s="21">
        <v>20.53</v>
      </c>
      <c r="E1214" s="21" t="s">
        <v>5796</v>
      </c>
      <c r="F1214" s="23"/>
      <c r="G1214" s="23">
        <f t="shared" si="4"/>
        <v>20.53</v>
      </c>
      <c r="H1214" s="23"/>
      <c r="I1214" s="23"/>
    </row>
    <row r="1215" spans="1:9">
      <c r="A1215" s="21" t="s">
        <v>3737</v>
      </c>
      <c r="B1215" s="21" t="s">
        <v>3739</v>
      </c>
      <c r="C1215" s="22">
        <v>1162</v>
      </c>
      <c r="D1215" s="21">
        <v>768.62</v>
      </c>
      <c r="E1215" s="21" t="s">
        <v>5796</v>
      </c>
      <c r="F1215" s="23"/>
      <c r="G1215" s="23">
        <f t="shared" si="4"/>
        <v>768.62</v>
      </c>
      <c r="H1215" s="23"/>
      <c r="I1215" s="23"/>
    </row>
    <row r="1216" spans="1:9">
      <c r="A1216" s="21" t="s">
        <v>6612</v>
      </c>
      <c r="B1216" s="21" t="s">
        <v>2033</v>
      </c>
      <c r="C1216" s="22">
        <v>704</v>
      </c>
      <c r="D1216" s="21">
        <v>2554.08</v>
      </c>
      <c r="E1216" s="21" t="s">
        <v>5796</v>
      </c>
      <c r="F1216" s="23"/>
      <c r="G1216" s="23">
        <f t="shared" si="4"/>
        <v>2554.08</v>
      </c>
      <c r="H1216" s="23"/>
      <c r="I1216" s="23"/>
    </row>
    <row r="1217" spans="1:9">
      <c r="A1217" s="21" t="s">
        <v>1839</v>
      </c>
      <c r="B1217" s="21" t="s">
        <v>1841</v>
      </c>
      <c r="C1217" s="22">
        <v>493</v>
      </c>
      <c r="D1217" s="21">
        <v>5335.74</v>
      </c>
      <c r="E1217" s="21" t="s">
        <v>5796</v>
      </c>
      <c r="F1217" s="23"/>
      <c r="G1217" s="23">
        <f t="shared" si="4"/>
        <v>5335.74</v>
      </c>
      <c r="H1217" s="23"/>
      <c r="I1217" s="23"/>
    </row>
    <row r="1218" spans="1:9">
      <c r="A1218" s="21" t="s">
        <v>6613</v>
      </c>
      <c r="B1218" s="21" t="s">
        <v>2848</v>
      </c>
      <c r="C1218" s="22">
        <v>906</v>
      </c>
      <c r="D1218" s="21">
        <v>1453.9</v>
      </c>
      <c r="E1218" s="21" t="s">
        <v>5796</v>
      </c>
      <c r="F1218" s="23"/>
      <c r="G1218" s="23">
        <f t="shared" si="4"/>
        <v>1453.9</v>
      </c>
      <c r="H1218" s="23"/>
      <c r="I1218" s="23"/>
    </row>
    <row r="1219" spans="1:9">
      <c r="A1219" s="21" t="s">
        <v>6614</v>
      </c>
      <c r="B1219" s="21" t="s">
        <v>5346</v>
      </c>
      <c r="C1219" s="22">
        <v>2524</v>
      </c>
      <c r="D1219" s="21">
        <v>60.82</v>
      </c>
      <c r="E1219" s="21" t="s">
        <v>5796</v>
      </c>
      <c r="F1219" s="23"/>
      <c r="G1219" s="23">
        <f t="shared" si="4"/>
        <v>60.82</v>
      </c>
      <c r="H1219" s="23"/>
      <c r="I1219" s="23"/>
    </row>
    <row r="1220" spans="1:9">
      <c r="A1220" s="21" t="s">
        <v>6615</v>
      </c>
      <c r="B1220" s="21" t="s">
        <v>3424</v>
      </c>
      <c r="C1220" s="22">
        <v>1097</v>
      </c>
      <c r="D1220" s="21">
        <v>878.09</v>
      </c>
      <c r="E1220" s="21" t="s">
        <v>5796</v>
      </c>
      <c r="F1220" s="23"/>
      <c r="G1220" s="23">
        <f t="shared" si="4"/>
        <v>878.09</v>
      </c>
      <c r="H1220" s="23"/>
      <c r="I1220" s="23"/>
    </row>
    <row r="1221" spans="1:9">
      <c r="A1221" s="21" t="s">
        <v>6616</v>
      </c>
      <c r="B1221" s="21" t="s">
        <v>2200</v>
      </c>
      <c r="C1221" s="22">
        <v>864</v>
      </c>
      <c r="D1221" s="21">
        <v>1647.04</v>
      </c>
      <c r="E1221" s="21" t="s">
        <v>5796</v>
      </c>
      <c r="F1221" s="23"/>
      <c r="G1221" s="23">
        <f t="shared" si="4"/>
        <v>1647.04</v>
      </c>
      <c r="H1221" s="23"/>
      <c r="I1221" s="23"/>
    </row>
    <row r="1222" spans="1:9">
      <c r="A1222" s="21" t="s">
        <v>6617</v>
      </c>
      <c r="B1222" s="21" t="s">
        <v>6618</v>
      </c>
      <c r="C1222" s="22">
        <v>4463</v>
      </c>
      <c r="D1222" s="21">
        <v>3.46</v>
      </c>
      <c r="E1222" s="21" t="s">
        <v>5796</v>
      </c>
      <c r="F1222" s="23"/>
      <c r="G1222" s="23">
        <f t="shared" si="4"/>
        <v>3.46</v>
      </c>
      <c r="H1222" s="23"/>
      <c r="I1222" s="23"/>
    </row>
    <row r="1223" spans="1:9">
      <c r="A1223" s="21" t="s">
        <v>5707</v>
      </c>
      <c r="B1223" s="21" t="s">
        <v>5709</v>
      </c>
      <c r="C1223" s="22">
        <v>3376</v>
      </c>
      <c r="D1223" s="21">
        <v>17.5</v>
      </c>
      <c r="E1223" s="21" t="s">
        <v>5796</v>
      </c>
      <c r="F1223" s="23"/>
      <c r="G1223" s="23">
        <f t="shared" si="4"/>
        <v>17.5</v>
      </c>
      <c r="H1223" s="23"/>
      <c r="I1223" s="23"/>
    </row>
    <row r="1224" spans="1:9">
      <c r="A1224" s="21" t="s">
        <v>6619</v>
      </c>
      <c r="B1224" s="21" t="s">
        <v>3961</v>
      </c>
      <c r="C1224" s="22">
        <v>1564</v>
      </c>
      <c r="D1224" s="21">
        <v>307.44</v>
      </c>
      <c r="E1224" s="21" t="s">
        <v>5796</v>
      </c>
      <c r="F1224" s="23"/>
      <c r="G1224" s="23">
        <f t="shared" si="4"/>
        <v>307.44</v>
      </c>
      <c r="H1224" s="23"/>
      <c r="I1224" s="23"/>
    </row>
    <row r="1225" spans="1:9">
      <c r="A1225" s="21" t="s">
        <v>6620</v>
      </c>
      <c r="B1225" s="21" t="s">
        <v>4117</v>
      </c>
      <c r="C1225" s="22">
        <v>1377</v>
      </c>
      <c r="D1225" s="21">
        <v>432.22</v>
      </c>
      <c r="E1225" s="21" t="s">
        <v>5796</v>
      </c>
      <c r="F1225" s="23"/>
      <c r="G1225" s="23">
        <f t="shared" si="4"/>
        <v>432.22</v>
      </c>
      <c r="H1225" s="23"/>
      <c r="I1225" s="23"/>
    </row>
    <row r="1226" spans="1:9">
      <c r="A1226" s="21" t="s">
        <v>3767</v>
      </c>
      <c r="B1226" s="21" t="s">
        <v>3769</v>
      </c>
      <c r="C1226" s="22">
        <v>1267</v>
      </c>
      <c r="D1226" s="21">
        <v>570.66</v>
      </c>
      <c r="E1226" s="21" t="s">
        <v>5796</v>
      </c>
      <c r="F1226" s="23"/>
      <c r="G1226" s="23">
        <f t="shared" si="4"/>
        <v>570.66</v>
      </c>
      <c r="H1226" s="23"/>
      <c r="I1226" s="23"/>
    </row>
    <row r="1227" spans="1:9">
      <c r="A1227" s="21" t="s">
        <v>6621</v>
      </c>
      <c r="B1227" s="21" t="s">
        <v>3985</v>
      </c>
      <c r="C1227" s="22">
        <v>1280</v>
      </c>
      <c r="D1227" s="21">
        <v>551.82000000000005</v>
      </c>
      <c r="E1227" s="21" t="s">
        <v>5796</v>
      </c>
      <c r="F1227" s="23"/>
      <c r="G1227" s="23">
        <f t="shared" si="4"/>
        <v>551.82000000000005</v>
      </c>
      <c r="H1227" s="23"/>
      <c r="I1227" s="23"/>
    </row>
    <row r="1228" spans="1:9">
      <c r="A1228" s="24" t="s">
        <v>6622</v>
      </c>
      <c r="B1228" s="24" t="s">
        <v>479</v>
      </c>
      <c r="C1228" s="25">
        <v>117</v>
      </c>
      <c r="D1228" s="24">
        <v>43732.07</v>
      </c>
      <c r="E1228" s="24" t="s">
        <v>5800</v>
      </c>
      <c r="F1228" s="26"/>
      <c r="G1228" s="23">
        <f t="shared" si="4"/>
        <v>43732.07</v>
      </c>
      <c r="H1228" s="26"/>
      <c r="I1228" s="26"/>
    </row>
    <row r="1229" spans="1:9">
      <c r="A1229" s="21" t="s">
        <v>6623</v>
      </c>
      <c r="B1229" s="21" t="s">
        <v>2245</v>
      </c>
      <c r="C1229" s="22">
        <v>689</v>
      </c>
      <c r="D1229" s="21">
        <v>2642.57</v>
      </c>
      <c r="E1229" s="21" t="s">
        <v>5796</v>
      </c>
      <c r="F1229" s="23"/>
      <c r="G1229" s="23">
        <f t="shared" si="4"/>
        <v>2642.57</v>
      </c>
      <c r="H1229" s="23"/>
      <c r="I1229" s="23"/>
    </row>
    <row r="1230" spans="1:9">
      <c r="A1230" s="21" t="s">
        <v>5123</v>
      </c>
      <c r="B1230" s="21" t="s">
        <v>5125</v>
      </c>
      <c r="C1230" s="22">
        <v>2160</v>
      </c>
      <c r="D1230" s="21">
        <v>111.04</v>
      </c>
      <c r="E1230" s="21" t="s">
        <v>5796</v>
      </c>
      <c r="F1230" s="23"/>
      <c r="G1230" s="23">
        <f t="shared" si="4"/>
        <v>111.04</v>
      </c>
      <c r="H1230" s="23"/>
      <c r="I1230" s="23"/>
    </row>
    <row r="1231" spans="1:9">
      <c r="A1231" s="21" t="s">
        <v>4709</v>
      </c>
      <c r="B1231" s="21" t="s">
        <v>4711</v>
      </c>
      <c r="C1231" s="22">
        <v>1857</v>
      </c>
      <c r="D1231" s="21">
        <v>178.05</v>
      </c>
      <c r="E1231" s="21" t="s">
        <v>5796</v>
      </c>
      <c r="F1231" s="23"/>
      <c r="G1231" s="23">
        <f t="shared" si="4"/>
        <v>178.05</v>
      </c>
      <c r="H1231" s="23"/>
      <c r="I1231" s="23"/>
    </row>
    <row r="1232" spans="1:9">
      <c r="A1232" s="21" t="s">
        <v>6624</v>
      </c>
      <c r="B1232" s="21" t="s">
        <v>3466</v>
      </c>
      <c r="C1232" s="22">
        <v>1169</v>
      </c>
      <c r="D1232" s="21">
        <v>756.06</v>
      </c>
      <c r="E1232" s="21" t="s">
        <v>5796</v>
      </c>
      <c r="F1232" s="23"/>
      <c r="G1232" s="23">
        <f t="shared" si="4"/>
        <v>756.06</v>
      </c>
      <c r="H1232" s="23"/>
      <c r="I1232" s="23"/>
    </row>
    <row r="1233" spans="1:9">
      <c r="A1233" s="21" t="s">
        <v>6625</v>
      </c>
      <c r="B1233" s="21" t="s">
        <v>5232</v>
      </c>
      <c r="C1233" s="22">
        <v>2350</v>
      </c>
      <c r="D1233" s="21">
        <v>78.459999999999994</v>
      </c>
      <c r="E1233" s="21" t="s">
        <v>5796</v>
      </c>
      <c r="F1233" s="23"/>
      <c r="G1233" s="23">
        <f t="shared" si="4"/>
        <v>78.459999999999994</v>
      </c>
      <c r="H1233" s="23"/>
      <c r="I1233" s="23"/>
    </row>
    <row r="1234" spans="1:9">
      <c r="A1234" s="21" t="s">
        <v>6626</v>
      </c>
      <c r="B1234" s="21" t="s">
        <v>2770</v>
      </c>
      <c r="C1234" s="22">
        <v>816</v>
      </c>
      <c r="D1234" s="21">
        <v>1859.58</v>
      </c>
      <c r="E1234" s="21" t="s">
        <v>5796</v>
      </c>
      <c r="F1234" s="23"/>
      <c r="G1234" s="23">
        <f t="shared" si="4"/>
        <v>1859.58</v>
      </c>
      <c r="H1234" s="23"/>
      <c r="I1234" s="23"/>
    </row>
    <row r="1235" spans="1:9">
      <c r="A1235" s="21" t="s">
        <v>6627</v>
      </c>
      <c r="B1235" s="21" t="s">
        <v>4882</v>
      </c>
      <c r="C1235" s="22">
        <v>1986</v>
      </c>
      <c r="D1235" s="21">
        <v>146.66999999999999</v>
      </c>
      <c r="E1235" s="21" t="s">
        <v>5796</v>
      </c>
      <c r="F1235" s="23"/>
      <c r="G1235" s="23">
        <f t="shared" si="4"/>
        <v>146.66999999999999</v>
      </c>
      <c r="H1235" s="23"/>
      <c r="I1235" s="23"/>
    </row>
    <row r="1236" spans="1:9">
      <c r="A1236" s="21" t="s">
        <v>6628</v>
      </c>
      <c r="B1236" s="21" t="s">
        <v>4534</v>
      </c>
      <c r="C1236" s="22">
        <v>1765</v>
      </c>
      <c r="D1236" s="21">
        <v>207.68</v>
      </c>
      <c r="E1236" s="21" t="s">
        <v>5796</v>
      </c>
      <c r="F1236" s="23"/>
      <c r="G1236" s="23">
        <f t="shared" si="4"/>
        <v>207.68</v>
      </c>
      <c r="H1236" s="23"/>
      <c r="I1236" s="23"/>
    </row>
    <row r="1237" spans="1:9">
      <c r="A1237" s="21" t="s">
        <v>6629</v>
      </c>
      <c r="B1237" s="21" t="s">
        <v>3088</v>
      </c>
      <c r="C1237" s="22">
        <v>1192</v>
      </c>
      <c r="D1237" s="21">
        <v>708.91</v>
      </c>
      <c r="E1237" s="21" t="s">
        <v>5796</v>
      </c>
      <c r="F1237" s="23"/>
      <c r="G1237" s="23">
        <f t="shared" si="4"/>
        <v>708.91</v>
      </c>
      <c r="H1237" s="23"/>
      <c r="I1237" s="23"/>
    </row>
    <row r="1238" spans="1:9">
      <c r="A1238" s="21" t="s">
        <v>1761</v>
      </c>
      <c r="B1238" s="21" t="s">
        <v>1763</v>
      </c>
      <c r="C1238" s="22">
        <v>536</v>
      </c>
      <c r="D1238" s="21">
        <v>4540.78</v>
      </c>
      <c r="E1238" s="21" t="s">
        <v>5796</v>
      </c>
      <c r="F1238" s="23"/>
      <c r="G1238" s="23">
        <f t="shared" si="4"/>
        <v>4540.78</v>
      </c>
      <c r="H1238" s="23"/>
      <c r="I1238" s="23"/>
    </row>
    <row r="1239" spans="1:9">
      <c r="A1239" s="21" t="s">
        <v>2537</v>
      </c>
      <c r="B1239" s="21" t="s">
        <v>2539</v>
      </c>
      <c r="C1239" s="22">
        <v>1016</v>
      </c>
      <c r="D1239" s="21">
        <v>1094.23</v>
      </c>
      <c r="E1239" s="21" t="s">
        <v>5796</v>
      </c>
      <c r="F1239" s="23"/>
      <c r="G1239" s="23">
        <f t="shared" si="4"/>
        <v>1094.23</v>
      </c>
      <c r="H1239" s="23"/>
      <c r="I1239" s="23"/>
    </row>
    <row r="1240" spans="1:9">
      <c r="A1240" s="21" t="s">
        <v>2363</v>
      </c>
      <c r="B1240" s="21" t="s">
        <v>2365</v>
      </c>
      <c r="C1240" s="22">
        <v>778</v>
      </c>
      <c r="D1240" s="21">
        <v>2061.36</v>
      </c>
      <c r="E1240" s="21" t="s">
        <v>5796</v>
      </c>
      <c r="F1240" s="23"/>
      <c r="G1240" s="23">
        <f t="shared" si="4"/>
        <v>2061.36</v>
      </c>
      <c r="H1240" s="23"/>
      <c r="I1240" s="23"/>
    </row>
    <row r="1241" spans="1:9">
      <c r="A1241" s="21" t="s">
        <v>6630</v>
      </c>
      <c r="B1241" s="21" t="s">
        <v>5451</v>
      </c>
      <c r="C1241" s="22">
        <v>2984</v>
      </c>
      <c r="D1241" s="21">
        <v>30.62</v>
      </c>
      <c r="E1241" s="21" t="s">
        <v>5796</v>
      </c>
      <c r="F1241" s="23"/>
      <c r="G1241" s="23">
        <f t="shared" si="4"/>
        <v>30.62</v>
      </c>
      <c r="H1241" s="23"/>
      <c r="I1241" s="23"/>
    </row>
    <row r="1242" spans="1:9">
      <c r="A1242" s="21" t="s">
        <v>6631</v>
      </c>
      <c r="B1242" s="21" t="s">
        <v>4123</v>
      </c>
      <c r="C1242" s="22">
        <v>1516</v>
      </c>
      <c r="D1242" s="21">
        <v>335.78</v>
      </c>
      <c r="E1242" s="21" t="s">
        <v>5796</v>
      </c>
      <c r="F1242" s="23"/>
      <c r="G1242" s="23">
        <f t="shared" si="4"/>
        <v>335.78</v>
      </c>
      <c r="H1242" s="23"/>
      <c r="I1242" s="23"/>
    </row>
    <row r="1243" spans="1:9">
      <c r="A1243" s="21" t="s">
        <v>6632</v>
      </c>
      <c r="B1243" s="21" t="s">
        <v>4372</v>
      </c>
      <c r="C1243" s="22">
        <v>1628</v>
      </c>
      <c r="D1243" s="21">
        <v>270.97000000000003</v>
      </c>
      <c r="E1243" s="21" t="s">
        <v>5796</v>
      </c>
      <c r="F1243" s="23"/>
      <c r="G1243" s="23">
        <f t="shared" si="4"/>
        <v>270.97000000000003</v>
      </c>
      <c r="H1243" s="23"/>
      <c r="I1243" s="23"/>
    </row>
    <row r="1244" spans="1:9">
      <c r="A1244" s="24" t="s">
        <v>408</v>
      </c>
      <c r="B1244" s="24" t="s">
        <v>410</v>
      </c>
      <c r="C1244" s="25">
        <v>143</v>
      </c>
      <c r="D1244" s="24">
        <v>36715.5</v>
      </c>
      <c r="E1244" s="24" t="s">
        <v>5800</v>
      </c>
      <c r="F1244" s="26"/>
      <c r="G1244" s="23">
        <f t="shared" si="4"/>
        <v>36715.5</v>
      </c>
      <c r="H1244" s="26"/>
      <c r="I1244" s="26"/>
    </row>
    <row r="1245" spans="1:9">
      <c r="A1245" s="21" t="s">
        <v>6633</v>
      </c>
      <c r="B1245" s="21" t="s">
        <v>2036</v>
      </c>
      <c r="C1245" s="22">
        <v>902</v>
      </c>
      <c r="D1245" s="21">
        <v>1463.67</v>
      </c>
      <c r="E1245" s="21" t="s">
        <v>5796</v>
      </c>
      <c r="F1245" s="23"/>
      <c r="G1245" s="23">
        <f t="shared" si="4"/>
        <v>1463.67</v>
      </c>
      <c r="H1245" s="23"/>
      <c r="I1245" s="23"/>
    </row>
    <row r="1246" spans="1:9">
      <c r="A1246" s="21" t="s">
        <v>6634</v>
      </c>
      <c r="B1246" s="21" t="s">
        <v>5170</v>
      </c>
      <c r="C1246" s="22">
        <v>2320</v>
      </c>
      <c r="D1246" s="21">
        <v>84.32</v>
      </c>
      <c r="E1246" s="21" t="s">
        <v>5796</v>
      </c>
      <c r="F1246" s="23"/>
      <c r="G1246" s="23">
        <f t="shared" si="4"/>
        <v>84.32</v>
      </c>
      <c r="H1246" s="23"/>
      <c r="I1246" s="23"/>
    </row>
    <row r="1247" spans="1:9">
      <c r="A1247" s="21" t="s">
        <v>4046</v>
      </c>
      <c r="B1247" s="21" t="s">
        <v>4048</v>
      </c>
      <c r="C1247" s="22">
        <v>1400</v>
      </c>
      <c r="D1247" s="21">
        <v>408.8</v>
      </c>
      <c r="E1247" s="21" t="s">
        <v>5796</v>
      </c>
      <c r="F1247" s="23"/>
      <c r="G1247" s="23">
        <f t="shared" si="4"/>
        <v>408.8</v>
      </c>
      <c r="H1247" s="23"/>
      <c r="I1247" s="23"/>
    </row>
    <row r="1248" spans="1:9">
      <c r="A1248" s="24" t="s">
        <v>366</v>
      </c>
      <c r="B1248" s="24" t="s">
        <v>368</v>
      </c>
      <c r="C1248" s="25">
        <v>123</v>
      </c>
      <c r="D1248" s="24">
        <v>42054.27</v>
      </c>
      <c r="E1248" s="24" t="s">
        <v>5800</v>
      </c>
      <c r="F1248" s="26"/>
      <c r="G1248" s="23">
        <f t="shared" si="4"/>
        <v>42054.27</v>
      </c>
      <c r="H1248" s="26"/>
      <c r="I1248" s="26"/>
    </row>
    <row r="1249" spans="1:9">
      <c r="A1249" s="21" t="s">
        <v>1485</v>
      </c>
      <c r="B1249" s="21" t="s">
        <v>1487</v>
      </c>
      <c r="C1249" s="22">
        <v>521</v>
      </c>
      <c r="D1249" s="21">
        <v>4783.72</v>
      </c>
      <c r="E1249" s="21" t="s">
        <v>5796</v>
      </c>
      <c r="F1249" s="23"/>
      <c r="G1249" s="23">
        <f t="shared" si="4"/>
        <v>4783.72</v>
      </c>
      <c r="H1249" s="23"/>
      <c r="I1249" s="23"/>
    </row>
    <row r="1250" spans="1:9">
      <c r="A1250" s="21" t="s">
        <v>6635</v>
      </c>
      <c r="B1250" s="21" t="s">
        <v>3046</v>
      </c>
      <c r="C1250" s="22">
        <v>863</v>
      </c>
      <c r="D1250" s="21">
        <v>1653.27</v>
      </c>
      <c r="E1250" s="21" t="s">
        <v>5796</v>
      </c>
      <c r="F1250" s="23"/>
      <c r="G1250" s="23">
        <f t="shared" si="4"/>
        <v>1653.27</v>
      </c>
      <c r="H1250" s="23"/>
      <c r="I1250" s="23"/>
    </row>
    <row r="1251" spans="1:9">
      <c r="A1251" s="21" t="s">
        <v>4070</v>
      </c>
      <c r="B1251" s="21" t="s">
        <v>4072</v>
      </c>
      <c r="C1251" s="22">
        <v>1420</v>
      </c>
      <c r="D1251" s="21">
        <v>398.03</v>
      </c>
      <c r="E1251" s="21" t="s">
        <v>5796</v>
      </c>
      <c r="F1251" s="23"/>
      <c r="G1251" s="23">
        <f t="shared" si="4"/>
        <v>398.03</v>
      </c>
      <c r="H1251" s="23"/>
      <c r="I1251" s="23"/>
    </row>
    <row r="1252" spans="1:9">
      <c r="A1252" s="21" t="s">
        <v>6636</v>
      </c>
      <c r="B1252" s="21" t="s">
        <v>6637</v>
      </c>
      <c r="C1252" s="22">
        <v>3630</v>
      </c>
      <c r="D1252" s="21">
        <v>11.86</v>
      </c>
      <c r="E1252" s="21" t="s">
        <v>5796</v>
      </c>
      <c r="F1252" s="23"/>
      <c r="G1252" s="23">
        <f t="shared" si="4"/>
        <v>11.86</v>
      </c>
      <c r="H1252" s="23"/>
      <c r="I1252" s="23"/>
    </row>
    <row r="1253" spans="1:9">
      <c r="A1253" s="21" t="s">
        <v>6638</v>
      </c>
      <c r="B1253" s="21" t="s">
        <v>1676</v>
      </c>
      <c r="C1253" s="22">
        <v>544</v>
      </c>
      <c r="D1253" s="21">
        <v>4435.76</v>
      </c>
      <c r="E1253" s="21" t="s">
        <v>5796</v>
      </c>
      <c r="F1253" s="23"/>
      <c r="G1253" s="23">
        <f t="shared" si="4"/>
        <v>4435.76</v>
      </c>
      <c r="H1253" s="23"/>
      <c r="I1253" s="23"/>
    </row>
    <row r="1254" spans="1:9">
      <c r="A1254" s="21" t="s">
        <v>6639</v>
      </c>
      <c r="B1254" s="21" t="s">
        <v>5505</v>
      </c>
      <c r="C1254" s="22">
        <v>2834</v>
      </c>
      <c r="D1254" s="21">
        <v>38.39</v>
      </c>
      <c r="E1254" s="21" t="s">
        <v>5796</v>
      </c>
      <c r="F1254" s="23"/>
      <c r="G1254" s="23">
        <f t="shared" si="4"/>
        <v>38.39</v>
      </c>
      <c r="H1254" s="23"/>
      <c r="I1254" s="23"/>
    </row>
    <row r="1255" spans="1:9">
      <c r="A1255" s="24" t="s">
        <v>723</v>
      </c>
      <c r="B1255" s="24" t="s">
        <v>725</v>
      </c>
      <c r="C1255" s="25">
        <v>239</v>
      </c>
      <c r="D1255" s="24">
        <v>18621.86</v>
      </c>
      <c r="E1255" s="24" t="s">
        <v>5800</v>
      </c>
      <c r="F1255" s="26"/>
      <c r="G1255" s="23">
        <f t="shared" si="4"/>
        <v>18621.86</v>
      </c>
      <c r="H1255" s="26"/>
      <c r="I1255" s="26"/>
    </row>
    <row r="1256" spans="1:9">
      <c r="A1256" s="21" t="s">
        <v>6640</v>
      </c>
      <c r="B1256" s="21" t="s">
        <v>3016</v>
      </c>
      <c r="C1256" s="22">
        <v>1069</v>
      </c>
      <c r="D1256" s="21">
        <v>972.87</v>
      </c>
      <c r="E1256" s="21" t="s">
        <v>5796</v>
      </c>
      <c r="F1256" s="23"/>
      <c r="G1256" s="23">
        <f t="shared" si="4"/>
        <v>972.87</v>
      </c>
      <c r="H1256" s="23"/>
      <c r="I1256" s="23"/>
    </row>
    <row r="1257" spans="1:9">
      <c r="A1257" s="21" t="s">
        <v>3299</v>
      </c>
      <c r="B1257" s="21" t="s">
        <v>3301</v>
      </c>
      <c r="C1257" s="22">
        <v>1361</v>
      </c>
      <c r="D1257" s="21">
        <v>444.31</v>
      </c>
      <c r="E1257" s="21" t="s">
        <v>5796</v>
      </c>
      <c r="F1257" s="23"/>
      <c r="G1257" s="23">
        <f t="shared" si="4"/>
        <v>444.31</v>
      </c>
      <c r="H1257" s="23"/>
      <c r="I1257" s="23"/>
    </row>
    <row r="1258" spans="1:9">
      <c r="A1258" s="24" t="s">
        <v>456</v>
      </c>
      <c r="B1258" s="24" t="s">
        <v>458</v>
      </c>
      <c r="C1258" s="25">
        <v>146</v>
      </c>
      <c r="D1258" s="24">
        <v>35676.620000000003</v>
      </c>
      <c r="E1258" s="24" t="s">
        <v>5800</v>
      </c>
      <c r="F1258" s="26"/>
      <c r="G1258" s="23">
        <f t="shared" si="4"/>
        <v>35676.620000000003</v>
      </c>
      <c r="H1258" s="26"/>
      <c r="I1258" s="26"/>
    </row>
    <row r="1259" spans="1:9">
      <c r="A1259" s="24" t="s">
        <v>6641</v>
      </c>
      <c r="B1259" s="24" t="s">
        <v>581</v>
      </c>
      <c r="C1259" s="25">
        <v>154</v>
      </c>
      <c r="D1259" s="24">
        <v>33790.910000000003</v>
      </c>
      <c r="E1259" s="24" t="s">
        <v>5800</v>
      </c>
      <c r="F1259" s="26"/>
      <c r="G1259" s="23">
        <f t="shared" si="4"/>
        <v>33790.910000000003</v>
      </c>
      <c r="H1259" s="26"/>
      <c r="I1259" s="26"/>
    </row>
    <row r="1260" spans="1:9">
      <c r="A1260" s="24" t="s">
        <v>6642</v>
      </c>
      <c r="B1260" s="24" t="s">
        <v>224</v>
      </c>
      <c r="C1260" s="25">
        <v>118</v>
      </c>
      <c r="D1260" s="24">
        <v>43343.54</v>
      </c>
      <c r="E1260" s="24" t="s">
        <v>5800</v>
      </c>
      <c r="F1260" s="26"/>
      <c r="G1260" s="23">
        <f t="shared" si="4"/>
        <v>43343.54</v>
      </c>
      <c r="H1260" s="26"/>
      <c r="I1260" s="26"/>
    </row>
    <row r="1261" spans="1:9">
      <c r="A1261" s="24" t="s">
        <v>6643</v>
      </c>
      <c r="B1261" s="24" t="s">
        <v>875</v>
      </c>
      <c r="C1261" s="25">
        <v>248</v>
      </c>
      <c r="D1261" s="24">
        <v>17573.41</v>
      </c>
      <c r="E1261" s="24" t="s">
        <v>5800</v>
      </c>
      <c r="F1261" s="26"/>
      <c r="G1261" s="23">
        <f t="shared" si="4"/>
        <v>17573.41</v>
      </c>
      <c r="H1261" s="26"/>
      <c r="I1261" s="26"/>
    </row>
    <row r="1262" spans="1:9">
      <c r="A1262" s="21" t="s">
        <v>2279</v>
      </c>
      <c r="B1262" s="21" t="s">
        <v>2281</v>
      </c>
      <c r="C1262" s="22">
        <v>711</v>
      </c>
      <c r="D1262" s="21">
        <v>2492.08</v>
      </c>
      <c r="E1262" s="21" t="s">
        <v>5796</v>
      </c>
      <c r="F1262" s="23"/>
      <c r="G1262" s="23">
        <f t="shared" si="4"/>
        <v>2492.08</v>
      </c>
      <c r="H1262" s="23"/>
      <c r="I1262" s="23"/>
    </row>
    <row r="1263" spans="1:9">
      <c r="A1263" s="21" t="s">
        <v>2780</v>
      </c>
      <c r="B1263" s="21" t="s">
        <v>2782</v>
      </c>
      <c r="C1263" s="22">
        <v>1050</v>
      </c>
      <c r="D1263" s="21">
        <v>1032</v>
      </c>
      <c r="E1263" s="21" t="s">
        <v>5796</v>
      </c>
      <c r="F1263" s="23"/>
      <c r="G1263" s="23">
        <f t="shared" si="4"/>
        <v>1032</v>
      </c>
      <c r="H1263" s="23"/>
      <c r="I1263" s="23"/>
    </row>
    <row r="1264" spans="1:9">
      <c r="A1264" s="21" t="s">
        <v>1866</v>
      </c>
      <c r="B1264" s="21" t="s">
        <v>1868</v>
      </c>
      <c r="C1264" s="22">
        <v>645</v>
      </c>
      <c r="D1264" s="21">
        <v>3086.2</v>
      </c>
      <c r="E1264" s="21" t="s">
        <v>5796</v>
      </c>
      <c r="F1264" s="23"/>
      <c r="G1264" s="23">
        <f t="shared" si="4"/>
        <v>3086.2</v>
      </c>
      <c r="H1264" s="23"/>
      <c r="I1264" s="23"/>
    </row>
    <row r="1265" spans="1:9">
      <c r="A1265" s="24" t="s">
        <v>6644</v>
      </c>
      <c r="B1265" s="24" t="s">
        <v>362</v>
      </c>
      <c r="C1265" s="25">
        <v>113</v>
      </c>
      <c r="D1265" s="24">
        <v>44906.92</v>
      </c>
      <c r="E1265" s="24" t="s">
        <v>5800</v>
      </c>
      <c r="F1265" s="26"/>
      <c r="G1265" s="23">
        <f t="shared" si="4"/>
        <v>44906.92</v>
      </c>
      <c r="H1265" s="26"/>
      <c r="I1265" s="26"/>
    </row>
    <row r="1266" spans="1:9">
      <c r="A1266" s="21" t="s">
        <v>6645</v>
      </c>
      <c r="B1266" s="21" t="s">
        <v>1367</v>
      </c>
      <c r="C1266" s="22">
        <v>397</v>
      </c>
      <c r="D1266" s="21">
        <v>7844.93</v>
      </c>
      <c r="E1266" s="21" t="s">
        <v>5796</v>
      </c>
      <c r="F1266" s="23"/>
      <c r="G1266" s="23">
        <f t="shared" si="4"/>
        <v>7844.93</v>
      </c>
      <c r="H1266" s="23"/>
      <c r="I1266" s="23"/>
    </row>
    <row r="1267" spans="1:9">
      <c r="A1267" s="21" t="s">
        <v>2603</v>
      </c>
      <c r="B1267" s="21" t="s">
        <v>2605</v>
      </c>
      <c r="C1267" s="22">
        <v>1072</v>
      </c>
      <c r="D1267" s="21">
        <v>961.77</v>
      </c>
      <c r="E1267" s="21" t="s">
        <v>5796</v>
      </c>
      <c r="F1267" s="23"/>
      <c r="G1267" s="23">
        <f t="shared" si="4"/>
        <v>961.77</v>
      </c>
      <c r="H1267" s="23"/>
      <c r="I1267" s="23"/>
    </row>
    <row r="1268" spans="1:9">
      <c r="A1268" s="24" t="s">
        <v>6646</v>
      </c>
      <c r="B1268" s="24" t="s">
        <v>554</v>
      </c>
      <c r="C1268" s="25">
        <v>192</v>
      </c>
      <c r="D1268" s="24">
        <v>25113</v>
      </c>
      <c r="E1268" s="24" t="s">
        <v>5800</v>
      </c>
      <c r="F1268" s="26"/>
      <c r="G1268" s="23">
        <f t="shared" si="4"/>
        <v>25113</v>
      </c>
      <c r="H1268" s="26"/>
      <c r="I1268" s="26"/>
    </row>
    <row r="1269" spans="1:9">
      <c r="A1269" s="27" t="s">
        <v>6647</v>
      </c>
      <c r="B1269" s="27" t="s">
        <v>152</v>
      </c>
      <c r="C1269" s="28">
        <v>41</v>
      </c>
      <c r="D1269" s="27">
        <v>124318.25</v>
      </c>
      <c r="E1269" s="27" t="s">
        <v>5815</v>
      </c>
      <c r="F1269" s="29"/>
      <c r="G1269" s="23">
        <f t="shared" si="4"/>
        <v>124318.25</v>
      </c>
      <c r="H1269" s="29"/>
      <c r="I1269" s="29"/>
    </row>
    <row r="1270" spans="1:9">
      <c r="A1270" s="21" t="s">
        <v>5461</v>
      </c>
      <c r="B1270" s="21" t="s">
        <v>5463</v>
      </c>
      <c r="C1270" s="22">
        <v>2331</v>
      </c>
      <c r="D1270" s="21">
        <v>82.19</v>
      </c>
      <c r="E1270" s="21" t="s">
        <v>5796</v>
      </c>
      <c r="F1270" s="23"/>
      <c r="G1270" s="23">
        <f t="shared" si="4"/>
        <v>82.19</v>
      </c>
      <c r="H1270" s="23"/>
      <c r="I1270" s="23"/>
    </row>
    <row r="1271" spans="1:9">
      <c r="A1271" s="27" t="s">
        <v>357</v>
      </c>
      <c r="B1271" s="27" t="s">
        <v>359</v>
      </c>
      <c r="C1271" s="28">
        <v>99</v>
      </c>
      <c r="D1271" s="27">
        <v>49772.53</v>
      </c>
      <c r="E1271" s="27" t="s">
        <v>5815</v>
      </c>
      <c r="F1271" s="29"/>
      <c r="G1271" s="23">
        <f t="shared" si="4"/>
        <v>49772.53</v>
      </c>
      <c r="H1271" s="29"/>
      <c r="I1271" s="29"/>
    </row>
    <row r="1272" spans="1:9">
      <c r="A1272" s="21" t="s">
        <v>6648</v>
      </c>
      <c r="B1272" s="21" t="s">
        <v>2431</v>
      </c>
      <c r="C1272" s="22">
        <v>789</v>
      </c>
      <c r="D1272" s="21">
        <v>1993.67</v>
      </c>
      <c r="E1272" s="21" t="s">
        <v>5796</v>
      </c>
      <c r="F1272" s="23"/>
      <c r="G1272" s="23">
        <f t="shared" si="4"/>
        <v>1993.67</v>
      </c>
      <c r="H1272" s="23"/>
      <c r="I1272" s="23"/>
    </row>
    <row r="1273" spans="1:9">
      <c r="A1273" s="21" t="s">
        <v>6649</v>
      </c>
      <c r="B1273" s="21" t="s">
        <v>4567</v>
      </c>
      <c r="C1273" s="22">
        <v>1836</v>
      </c>
      <c r="D1273" s="21">
        <v>184.77</v>
      </c>
      <c r="E1273" s="21" t="s">
        <v>5796</v>
      </c>
      <c r="F1273" s="23"/>
      <c r="G1273" s="23">
        <f t="shared" si="4"/>
        <v>184.77</v>
      </c>
      <c r="H1273" s="23"/>
      <c r="I1273" s="23"/>
    </row>
    <row r="1274" spans="1:9">
      <c r="A1274" s="21" t="s">
        <v>6650</v>
      </c>
      <c r="B1274" s="21" t="s">
        <v>5017</v>
      </c>
      <c r="C1274" s="22">
        <v>2238</v>
      </c>
      <c r="D1274" s="21">
        <v>96.72</v>
      </c>
      <c r="E1274" s="21" t="s">
        <v>5796</v>
      </c>
      <c r="F1274" s="23"/>
      <c r="G1274" s="23">
        <f t="shared" si="4"/>
        <v>96.72</v>
      </c>
      <c r="H1274" s="23"/>
      <c r="I1274" s="23"/>
    </row>
    <row r="1275" spans="1:9">
      <c r="A1275" s="21" t="s">
        <v>6651</v>
      </c>
      <c r="B1275" s="21" t="s">
        <v>2749</v>
      </c>
      <c r="C1275" s="22">
        <v>1051</v>
      </c>
      <c r="D1275" s="21">
        <v>1030.3499999999999</v>
      </c>
      <c r="E1275" s="21" t="s">
        <v>5796</v>
      </c>
      <c r="F1275" s="23"/>
      <c r="G1275" s="23">
        <f t="shared" si="4"/>
        <v>1030.3499999999999</v>
      </c>
      <c r="H1275" s="23"/>
      <c r="I1275" s="23"/>
    </row>
    <row r="1276" spans="1:9">
      <c r="A1276" s="21" t="s">
        <v>6652</v>
      </c>
      <c r="B1276" s="21" t="s">
        <v>2887</v>
      </c>
      <c r="C1276" s="22">
        <v>1009</v>
      </c>
      <c r="D1276" s="21">
        <v>1121.76</v>
      </c>
      <c r="E1276" s="21" t="s">
        <v>5796</v>
      </c>
      <c r="F1276" s="23"/>
      <c r="G1276" s="23">
        <f t="shared" si="4"/>
        <v>1121.76</v>
      </c>
      <c r="H1276" s="23"/>
      <c r="I1276" s="23"/>
    </row>
    <row r="1277" spans="1:9">
      <c r="A1277" s="21" t="s">
        <v>6653</v>
      </c>
      <c r="B1277" s="21" t="s">
        <v>5271</v>
      </c>
      <c r="C1277" s="22">
        <v>2338</v>
      </c>
      <c r="D1277" s="21">
        <v>80.760000000000005</v>
      </c>
      <c r="E1277" s="21" t="s">
        <v>5796</v>
      </c>
      <c r="F1277" s="23"/>
      <c r="G1277" s="23">
        <f t="shared" si="4"/>
        <v>80.760000000000005</v>
      </c>
      <c r="H1277" s="23"/>
      <c r="I1277" s="23"/>
    </row>
    <row r="1278" spans="1:9">
      <c r="A1278" s="21" t="s">
        <v>6654</v>
      </c>
      <c r="B1278" s="21" t="s">
        <v>3748</v>
      </c>
      <c r="C1278" s="22">
        <v>1372</v>
      </c>
      <c r="D1278" s="21">
        <v>437.74</v>
      </c>
      <c r="E1278" s="21" t="s">
        <v>5796</v>
      </c>
      <c r="F1278" s="23"/>
      <c r="G1278" s="23">
        <f t="shared" ref="G1278:G1532" si="5">VALUE(SUBSTITUTE(D1278, ",", ""))</f>
        <v>437.74</v>
      </c>
      <c r="H1278" s="23"/>
      <c r="I1278" s="23"/>
    </row>
    <row r="1279" spans="1:9">
      <c r="A1279" s="27" t="s">
        <v>246</v>
      </c>
      <c r="B1279" s="27" t="s">
        <v>248</v>
      </c>
      <c r="C1279" s="28">
        <v>87</v>
      </c>
      <c r="D1279" s="27">
        <v>56007.62</v>
      </c>
      <c r="E1279" s="27" t="s">
        <v>5815</v>
      </c>
      <c r="F1279" s="29"/>
      <c r="G1279" s="23">
        <f t="shared" si="5"/>
        <v>56007.62</v>
      </c>
      <c r="H1279" s="29"/>
      <c r="I1279" s="29"/>
    </row>
    <row r="1280" spans="1:9">
      <c r="A1280" s="21" t="s">
        <v>6655</v>
      </c>
      <c r="B1280" s="21" t="s">
        <v>3037</v>
      </c>
      <c r="C1280" s="22">
        <v>1018</v>
      </c>
      <c r="D1280" s="21">
        <v>1091.6099999999999</v>
      </c>
      <c r="E1280" s="21" t="s">
        <v>5796</v>
      </c>
      <c r="F1280" s="23"/>
      <c r="G1280" s="23">
        <f t="shared" si="5"/>
        <v>1091.6099999999999</v>
      </c>
      <c r="H1280" s="23"/>
      <c r="I1280" s="23"/>
    </row>
    <row r="1281" spans="1:9">
      <c r="A1281" s="21" t="s">
        <v>864</v>
      </c>
      <c r="B1281" s="21" t="s">
        <v>866</v>
      </c>
      <c r="C1281" s="22">
        <v>321</v>
      </c>
      <c r="D1281" s="21">
        <v>11081.5</v>
      </c>
      <c r="E1281" s="21" t="s">
        <v>5796</v>
      </c>
      <c r="F1281" s="23"/>
      <c r="G1281" s="23">
        <f t="shared" si="5"/>
        <v>11081.5</v>
      </c>
      <c r="H1281" s="23"/>
      <c r="I1281" s="23"/>
    </row>
    <row r="1282" spans="1:9">
      <c r="A1282" s="21" t="s">
        <v>6656</v>
      </c>
      <c r="B1282" s="21" t="s">
        <v>5433</v>
      </c>
      <c r="C1282" s="22">
        <v>2598</v>
      </c>
      <c r="D1282" s="21">
        <v>53.13</v>
      </c>
      <c r="E1282" s="21" t="s">
        <v>5796</v>
      </c>
      <c r="F1282" s="23"/>
      <c r="G1282" s="23">
        <f t="shared" si="5"/>
        <v>53.13</v>
      </c>
      <c r="H1282" s="23"/>
      <c r="I1282" s="23"/>
    </row>
    <row r="1283" spans="1:9">
      <c r="A1283" s="21" t="s">
        <v>1338</v>
      </c>
      <c r="B1283" s="21" t="s">
        <v>1340</v>
      </c>
      <c r="C1283" s="22">
        <v>396</v>
      </c>
      <c r="D1283" s="21">
        <v>7884.49</v>
      </c>
      <c r="E1283" s="21" t="s">
        <v>5796</v>
      </c>
      <c r="F1283" s="23"/>
      <c r="G1283" s="23">
        <f t="shared" si="5"/>
        <v>7884.49</v>
      </c>
      <c r="H1283" s="23"/>
      <c r="I1283" s="23"/>
    </row>
    <row r="1284" spans="1:9">
      <c r="A1284" s="21" t="s">
        <v>3953</v>
      </c>
      <c r="B1284" s="21" t="s">
        <v>3955</v>
      </c>
      <c r="C1284" s="22">
        <v>1396</v>
      </c>
      <c r="D1284" s="21">
        <v>412.5</v>
      </c>
      <c r="E1284" s="21" t="s">
        <v>5796</v>
      </c>
      <c r="F1284" s="23"/>
      <c r="G1284" s="23">
        <f t="shared" si="5"/>
        <v>412.5</v>
      </c>
      <c r="H1284" s="23"/>
      <c r="I1284" s="23"/>
    </row>
    <row r="1285" spans="1:9">
      <c r="A1285" s="21" t="s">
        <v>5356</v>
      </c>
      <c r="B1285" s="21" t="s">
        <v>5358</v>
      </c>
      <c r="C1285" s="22">
        <v>2340</v>
      </c>
      <c r="D1285" s="21">
        <v>80.349999999999994</v>
      </c>
      <c r="E1285" s="21" t="s">
        <v>5796</v>
      </c>
      <c r="F1285" s="23"/>
      <c r="G1285" s="23">
        <f t="shared" si="5"/>
        <v>80.349999999999994</v>
      </c>
      <c r="H1285" s="23"/>
      <c r="I1285" s="23"/>
    </row>
    <row r="1286" spans="1:9">
      <c r="A1286" s="21" t="s">
        <v>6657</v>
      </c>
      <c r="B1286" s="21" t="s">
        <v>4240</v>
      </c>
      <c r="C1286" s="22">
        <v>1578</v>
      </c>
      <c r="D1286" s="21">
        <v>298.89999999999998</v>
      </c>
      <c r="E1286" s="21" t="s">
        <v>5796</v>
      </c>
      <c r="F1286" s="23"/>
      <c r="G1286" s="23">
        <f t="shared" si="5"/>
        <v>298.89999999999998</v>
      </c>
      <c r="H1286" s="23"/>
      <c r="I1286" s="23"/>
    </row>
    <row r="1287" spans="1:9">
      <c r="A1287" s="21" t="s">
        <v>6658</v>
      </c>
      <c r="B1287" s="21" t="s">
        <v>2992</v>
      </c>
      <c r="C1287" s="22">
        <v>1020</v>
      </c>
      <c r="D1287" s="21">
        <v>1089.22</v>
      </c>
      <c r="E1287" s="21" t="s">
        <v>5796</v>
      </c>
      <c r="F1287" s="23"/>
      <c r="G1287" s="23">
        <f t="shared" si="5"/>
        <v>1089.22</v>
      </c>
      <c r="H1287" s="23"/>
      <c r="I1287" s="23"/>
    </row>
    <row r="1288" spans="1:9">
      <c r="A1288" s="24" t="s">
        <v>558</v>
      </c>
      <c r="B1288" s="24" t="s">
        <v>560</v>
      </c>
      <c r="C1288" s="25">
        <v>191</v>
      </c>
      <c r="D1288" s="24">
        <v>25303.68</v>
      </c>
      <c r="E1288" s="24" t="s">
        <v>5800</v>
      </c>
      <c r="F1288" s="26"/>
      <c r="G1288" s="23">
        <f t="shared" si="5"/>
        <v>25303.68</v>
      </c>
      <c r="H1288" s="26"/>
      <c r="I1288" s="26"/>
    </row>
    <row r="1289" spans="1:9">
      <c r="A1289" s="24" t="s">
        <v>261</v>
      </c>
      <c r="B1289" s="24" t="s">
        <v>263</v>
      </c>
      <c r="C1289" s="25">
        <v>111</v>
      </c>
      <c r="D1289" s="24">
        <v>46542.82</v>
      </c>
      <c r="E1289" s="24" t="s">
        <v>5800</v>
      </c>
      <c r="F1289" s="26"/>
      <c r="G1289" s="23">
        <f t="shared" si="5"/>
        <v>46542.82</v>
      </c>
      <c r="H1289" s="26"/>
      <c r="I1289" s="26"/>
    </row>
    <row r="1290" spans="1:9">
      <c r="A1290" s="21" t="s">
        <v>6659</v>
      </c>
      <c r="B1290" s="21" t="s">
        <v>1028</v>
      </c>
      <c r="C1290" s="22">
        <v>363</v>
      </c>
      <c r="D1290" s="21">
        <v>9198.5</v>
      </c>
      <c r="E1290" s="21" t="s">
        <v>5796</v>
      </c>
      <c r="F1290" s="23"/>
      <c r="G1290" s="23">
        <f t="shared" si="5"/>
        <v>9198.5</v>
      </c>
      <c r="H1290" s="23"/>
      <c r="I1290" s="23"/>
    </row>
    <row r="1291" spans="1:9">
      <c r="A1291" s="21" t="s">
        <v>6660</v>
      </c>
      <c r="B1291" s="21" t="s">
        <v>2107</v>
      </c>
      <c r="C1291" s="22">
        <v>548</v>
      </c>
      <c r="D1291" s="21">
        <v>4377.3500000000004</v>
      </c>
      <c r="E1291" s="21" t="s">
        <v>5796</v>
      </c>
      <c r="F1291" s="23"/>
      <c r="G1291" s="23">
        <f t="shared" si="5"/>
        <v>4377.3500000000004</v>
      </c>
      <c r="H1291" s="23"/>
      <c r="I1291" s="23"/>
    </row>
    <row r="1292" spans="1:9">
      <c r="A1292" s="21" t="s">
        <v>6661</v>
      </c>
      <c r="B1292" s="21" t="s">
        <v>4276</v>
      </c>
      <c r="C1292" s="22">
        <v>1453</v>
      </c>
      <c r="D1292" s="21">
        <v>377.89</v>
      </c>
      <c r="E1292" s="21" t="s">
        <v>5796</v>
      </c>
      <c r="F1292" s="23"/>
      <c r="G1292" s="23">
        <f t="shared" si="5"/>
        <v>377.89</v>
      </c>
      <c r="H1292" s="23"/>
      <c r="I1292" s="23"/>
    </row>
    <row r="1293" spans="1:9">
      <c r="A1293" s="24" t="s">
        <v>6662</v>
      </c>
      <c r="B1293" s="24" t="s">
        <v>626</v>
      </c>
      <c r="C1293" s="25">
        <v>199</v>
      </c>
      <c r="D1293" s="24">
        <v>23858.2</v>
      </c>
      <c r="E1293" s="24" t="s">
        <v>5800</v>
      </c>
      <c r="F1293" s="26"/>
      <c r="G1293" s="23">
        <f t="shared" si="5"/>
        <v>23858.2</v>
      </c>
      <c r="H1293" s="26"/>
      <c r="I1293" s="26"/>
    </row>
    <row r="1294" spans="1:9">
      <c r="A1294" s="27" t="s">
        <v>6663</v>
      </c>
      <c r="B1294" s="27" t="s">
        <v>101</v>
      </c>
      <c r="C1294" s="28">
        <v>33</v>
      </c>
      <c r="D1294" s="27">
        <v>159466.71</v>
      </c>
      <c r="E1294" s="27" t="s">
        <v>5815</v>
      </c>
      <c r="F1294" s="29"/>
      <c r="G1294" s="23">
        <f t="shared" si="5"/>
        <v>159466.71</v>
      </c>
      <c r="H1294" s="29"/>
      <c r="I1294" s="29"/>
    </row>
    <row r="1295" spans="1:9">
      <c r="A1295" s="21" t="s">
        <v>6664</v>
      </c>
      <c r="B1295" s="21" t="s">
        <v>848</v>
      </c>
      <c r="C1295" s="22">
        <v>276</v>
      </c>
      <c r="D1295" s="21">
        <v>14652.16</v>
      </c>
      <c r="E1295" s="21" t="s">
        <v>5796</v>
      </c>
      <c r="F1295" s="23"/>
      <c r="G1295" s="23">
        <f t="shared" si="5"/>
        <v>14652.16</v>
      </c>
      <c r="H1295" s="23"/>
      <c r="I1295" s="23"/>
    </row>
    <row r="1296" spans="1:9">
      <c r="A1296" s="21" t="s">
        <v>1668</v>
      </c>
      <c r="B1296" s="21" t="s">
        <v>1670</v>
      </c>
      <c r="C1296" s="22">
        <v>594</v>
      </c>
      <c r="D1296" s="21">
        <v>3773.21</v>
      </c>
      <c r="E1296" s="21" t="s">
        <v>5796</v>
      </c>
      <c r="F1296" s="23"/>
      <c r="G1296" s="23">
        <f t="shared" si="5"/>
        <v>3773.21</v>
      </c>
      <c r="H1296" s="23"/>
      <c r="I1296" s="23"/>
    </row>
    <row r="1297" spans="1:9">
      <c r="A1297" s="21" t="s">
        <v>4352</v>
      </c>
      <c r="B1297" s="21" t="s">
        <v>4354</v>
      </c>
      <c r="C1297" s="22">
        <v>1619</v>
      </c>
      <c r="D1297" s="21">
        <v>275.07</v>
      </c>
      <c r="E1297" s="21" t="s">
        <v>5796</v>
      </c>
      <c r="F1297" s="23"/>
      <c r="G1297" s="23">
        <f t="shared" si="5"/>
        <v>275.07</v>
      </c>
      <c r="H1297" s="23"/>
      <c r="I1297" s="23"/>
    </row>
    <row r="1298" spans="1:9">
      <c r="A1298" s="21" t="s">
        <v>3653</v>
      </c>
      <c r="B1298" s="21" t="s">
        <v>3655</v>
      </c>
      <c r="C1298" s="22">
        <v>1451</v>
      </c>
      <c r="D1298" s="21">
        <v>378.78</v>
      </c>
      <c r="E1298" s="21" t="s">
        <v>5796</v>
      </c>
      <c r="F1298" s="23"/>
      <c r="G1298" s="23">
        <f t="shared" si="5"/>
        <v>378.78</v>
      </c>
      <c r="H1298" s="23"/>
      <c r="I1298" s="23"/>
    </row>
    <row r="1299" spans="1:9">
      <c r="A1299" s="21" t="s">
        <v>6665</v>
      </c>
      <c r="B1299" s="21" t="s">
        <v>1010</v>
      </c>
      <c r="C1299" s="22">
        <v>342</v>
      </c>
      <c r="D1299" s="21">
        <v>10232.11</v>
      </c>
      <c r="E1299" s="21" t="s">
        <v>5796</v>
      </c>
      <c r="F1299" s="23"/>
      <c r="G1299" s="23">
        <f t="shared" si="5"/>
        <v>10232.11</v>
      </c>
      <c r="H1299" s="23"/>
      <c r="I1299" s="23"/>
    </row>
    <row r="1300" spans="1:9">
      <c r="A1300" s="21" t="s">
        <v>6666</v>
      </c>
      <c r="B1300" s="21" t="s">
        <v>5158</v>
      </c>
      <c r="C1300" s="22">
        <v>2285</v>
      </c>
      <c r="D1300" s="21">
        <v>89.42</v>
      </c>
      <c r="E1300" s="21" t="s">
        <v>5796</v>
      </c>
      <c r="F1300" s="23"/>
      <c r="G1300" s="23">
        <f t="shared" si="5"/>
        <v>89.42</v>
      </c>
      <c r="H1300" s="23"/>
      <c r="I1300" s="23"/>
    </row>
    <row r="1301" spans="1:9">
      <c r="A1301" s="21" t="s">
        <v>6667</v>
      </c>
      <c r="B1301" s="21" t="s">
        <v>1268</v>
      </c>
      <c r="C1301" s="22">
        <v>438</v>
      </c>
      <c r="D1301" s="21">
        <v>6558.4</v>
      </c>
      <c r="E1301" s="21" t="s">
        <v>5796</v>
      </c>
      <c r="F1301" s="23"/>
      <c r="G1301" s="23">
        <f t="shared" si="5"/>
        <v>6558.4</v>
      </c>
      <c r="H1301" s="23"/>
      <c r="I1301" s="23"/>
    </row>
    <row r="1302" spans="1:9">
      <c r="A1302" s="21" t="s">
        <v>6668</v>
      </c>
      <c r="B1302" s="21" t="s">
        <v>2521</v>
      </c>
      <c r="C1302" s="22">
        <v>1037</v>
      </c>
      <c r="D1302" s="21">
        <v>1055.96</v>
      </c>
      <c r="E1302" s="21" t="s">
        <v>5796</v>
      </c>
      <c r="F1302" s="23"/>
      <c r="G1302" s="23">
        <f t="shared" si="5"/>
        <v>1055.96</v>
      </c>
      <c r="H1302" s="23"/>
      <c r="I1302" s="23"/>
    </row>
    <row r="1303" spans="1:9">
      <c r="A1303" s="21" t="s">
        <v>5189</v>
      </c>
      <c r="B1303" s="21" t="s">
        <v>5191</v>
      </c>
      <c r="C1303" s="22">
        <v>2349</v>
      </c>
      <c r="D1303" s="21">
        <v>78.489999999999995</v>
      </c>
      <c r="E1303" s="21" t="s">
        <v>5796</v>
      </c>
      <c r="F1303" s="23"/>
      <c r="G1303" s="23">
        <f t="shared" si="5"/>
        <v>78.489999999999995</v>
      </c>
      <c r="H1303" s="23"/>
      <c r="I1303" s="23"/>
    </row>
    <row r="1304" spans="1:9">
      <c r="A1304" s="21" t="s">
        <v>4331</v>
      </c>
      <c r="B1304" s="21" t="s">
        <v>4333</v>
      </c>
      <c r="C1304" s="22">
        <v>1894</v>
      </c>
      <c r="D1304" s="21">
        <v>166.91</v>
      </c>
      <c r="E1304" s="21" t="s">
        <v>5796</v>
      </c>
      <c r="F1304" s="23"/>
      <c r="G1304" s="23">
        <f t="shared" si="5"/>
        <v>166.91</v>
      </c>
      <c r="H1304" s="23"/>
      <c r="I1304" s="23"/>
    </row>
    <row r="1305" spans="1:9">
      <c r="A1305" s="21" t="s">
        <v>2528</v>
      </c>
      <c r="B1305" s="21" t="s">
        <v>2530</v>
      </c>
      <c r="C1305" s="22">
        <v>987</v>
      </c>
      <c r="D1305" s="21">
        <v>1216.98</v>
      </c>
      <c r="E1305" s="21" t="s">
        <v>5796</v>
      </c>
      <c r="F1305" s="23"/>
      <c r="G1305" s="23">
        <f t="shared" si="5"/>
        <v>1216.98</v>
      </c>
      <c r="H1305" s="23"/>
      <c r="I1305" s="23"/>
    </row>
    <row r="1306" spans="1:9">
      <c r="A1306" s="21" t="s">
        <v>6669</v>
      </c>
      <c r="B1306" s="21" t="s">
        <v>4513</v>
      </c>
      <c r="C1306" s="22">
        <v>1762</v>
      </c>
      <c r="D1306" s="21">
        <v>209.29</v>
      </c>
      <c r="E1306" s="21" t="s">
        <v>5796</v>
      </c>
      <c r="F1306" s="23"/>
      <c r="G1306" s="23">
        <f t="shared" si="5"/>
        <v>209.29</v>
      </c>
      <c r="H1306" s="23"/>
      <c r="I1306" s="23"/>
    </row>
    <row r="1307" spans="1:9">
      <c r="A1307" s="21" t="s">
        <v>6670</v>
      </c>
      <c r="B1307" s="21" t="s">
        <v>2734</v>
      </c>
      <c r="C1307" s="22">
        <v>959</v>
      </c>
      <c r="D1307" s="21">
        <v>1296.78</v>
      </c>
      <c r="E1307" s="21" t="s">
        <v>5796</v>
      </c>
      <c r="F1307" s="23"/>
      <c r="G1307" s="23">
        <f t="shared" si="5"/>
        <v>1296.78</v>
      </c>
      <c r="H1307" s="23"/>
      <c r="I1307" s="23"/>
    </row>
    <row r="1308" spans="1:9">
      <c r="A1308" s="21" t="s">
        <v>6671</v>
      </c>
      <c r="B1308" s="21" t="s">
        <v>3202</v>
      </c>
      <c r="C1308" s="22">
        <v>1370</v>
      </c>
      <c r="D1308" s="21">
        <v>438.98</v>
      </c>
      <c r="E1308" s="21" t="s">
        <v>5796</v>
      </c>
      <c r="F1308" s="23"/>
      <c r="G1308" s="23">
        <f t="shared" si="5"/>
        <v>438.98</v>
      </c>
      <c r="H1308" s="23"/>
      <c r="I1308" s="23"/>
    </row>
    <row r="1309" spans="1:9">
      <c r="A1309" s="21" t="s">
        <v>5743</v>
      </c>
      <c r="B1309" s="21" t="s">
        <v>5745</v>
      </c>
      <c r="C1309" s="22">
        <v>3906</v>
      </c>
      <c r="D1309" s="21">
        <v>7.92</v>
      </c>
      <c r="E1309" s="21" t="s">
        <v>5796</v>
      </c>
      <c r="F1309" s="23"/>
      <c r="G1309" s="23">
        <f t="shared" si="5"/>
        <v>7.92</v>
      </c>
      <c r="H1309" s="23"/>
      <c r="I1309" s="23"/>
    </row>
    <row r="1310" spans="1:9">
      <c r="A1310" s="21" t="s">
        <v>6672</v>
      </c>
      <c r="B1310" s="21" t="s">
        <v>4474</v>
      </c>
      <c r="C1310" s="22">
        <v>1830</v>
      </c>
      <c r="D1310" s="21">
        <v>186.56</v>
      </c>
      <c r="E1310" s="21" t="s">
        <v>5796</v>
      </c>
      <c r="F1310" s="23"/>
      <c r="G1310" s="23">
        <f t="shared" si="5"/>
        <v>186.56</v>
      </c>
      <c r="H1310" s="23"/>
      <c r="I1310" s="23"/>
    </row>
    <row r="1311" spans="1:9">
      <c r="A1311" s="21" t="s">
        <v>6673</v>
      </c>
      <c r="B1311" s="21" t="s">
        <v>6674</v>
      </c>
      <c r="C1311" s="22">
        <v>1809</v>
      </c>
      <c r="D1311" s="21">
        <v>193.44</v>
      </c>
      <c r="E1311" s="21" t="s">
        <v>5796</v>
      </c>
      <c r="F1311" s="23"/>
      <c r="G1311" s="23">
        <f t="shared" si="5"/>
        <v>193.44</v>
      </c>
      <c r="H1311" s="23"/>
      <c r="I1311" s="23"/>
    </row>
    <row r="1312" spans="1:9">
      <c r="A1312" s="24" t="s">
        <v>630</v>
      </c>
      <c r="B1312" s="24" t="s">
        <v>632</v>
      </c>
      <c r="C1312" s="25">
        <v>241</v>
      </c>
      <c r="D1312" s="24">
        <v>18447.97</v>
      </c>
      <c r="E1312" s="24" t="s">
        <v>5800</v>
      </c>
      <c r="F1312" s="26"/>
      <c r="G1312" s="23">
        <f t="shared" si="5"/>
        <v>18447.97</v>
      </c>
      <c r="H1312" s="26"/>
      <c r="I1312" s="26"/>
    </row>
    <row r="1313" spans="1:9">
      <c r="A1313" s="21" t="s">
        <v>2055</v>
      </c>
      <c r="B1313" s="21" t="s">
        <v>2057</v>
      </c>
      <c r="C1313" s="22">
        <v>696</v>
      </c>
      <c r="D1313" s="21">
        <v>2602.58</v>
      </c>
      <c r="E1313" s="21" t="s">
        <v>5796</v>
      </c>
      <c r="F1313" s="23"/>
      <c r="G1313" s="23">
        <f t="shared" si="5"/>
        <v>2602.58</v>
      </c>
      <c r="H1313" s="23"/>
      <c r="I1313" s="23"/>
    </row>
    <row r="1314" spans="1:9">
      <c r="A1314" s="21" t="s">
        <v>6675</v>
      </c>
      <c r="B1314" s="21" t="s">
        <v>3982</v>
      </c>
      <c r="C1314" s="22">
        <v>1490</v>
      </c>
      <c r="D1314" s="21">
        <v>352.14</v>
      </c>
      <c r="E1314" s="21" t="s">
        <v>5796</v>
      </c>
      <c r="F1314" s="23"/>
      <c r="G1314" s="23">
        <f t="shared" si="5"/>
        <v>352.14</v>
      </c>
      <c r="H1314" s="23"/>
      <c r="I1314" s="23"/>
    </row>
    <row r="1315" spans="1:9">
      <c r="A1315" s="21" t="s">
        <v>6676</v>
      </c>
      <c r="B1315" s="21" t="s">
        <v>1454</v>
      </c>
      <c r="C1315" s="22">
        <v>434</v>
      </c>
      <c r="D1315" s="21">
        <v>6620.06</v>
      </c>
      <c r="E1315" s="21" t="s">
        <v>5796</v>
      </c>
      <c r="F1315" s="23"/>
      <c r="G1315" s="23">
        <f t="shared" si="5"/>
        <v>6620.06</v>
      </c>
      <c r="H1315" s="23"/>
      <c r="I1315" s="23"/>
    </row>
    <row r="1316" spans="1:9">
      <c r="A1316" s="21" t="s">
        <v>6677</v>
      </c>
      <c r="B1316" s="21" t="s">
        <v>4576</v>
      </c>
      <c r="C1316" s="22">
        <v>1840</v>
      </c>
      <c r="D1316" s="21">
        <v>183.78</v>
      </c>
      <c r="E1316" s="21" t="s">
        <v>5796</v>
      </c>
      <c r="F1316" s="23"/>
      <c r="G1316" s="23">
        <f t="shared" si="5"/>
        <v>183.78</v>
      </c>
      <c r="H1316" s="23"/>
      <c r="I1316" s="23"/>
    </row>
    <row r="1317" spans="1:9">
      <c r="A1317" s="21" t="s">
        <v>4664</v>
      </c>
      <c r="B1317" s="21" t="s">
        <v>4666</v>
      </c>
      <c r="C1317" s="22">
        <v>1994</v>
      </c>
      <c r="D1317" s="21">
        <v>145.35</v>
      </c>
      <c r="E1317" s="21" t="s">
        <v>5796</v>
      </c>
      <c r="F1317" s="23"/>
      <c r="G1317" s="23">
        <f t="shared" si="5"/>
        <v>145.35</v>
      </c>
      <c r="H1317" s="23"/>
      <c r="I1317" s="23"/>
    </row>
    <row r="1318" spans="1:9">
      <c r="A1318" s="21" t="s">
        <v>6678</v>
      </c>
      <c r="B1318" s="21" t="s">
        <v>1886</v>
      </c>
      <c r="C1318" s="22">
        <v>564</v>
      </c>
      <c r="D1318" s="21">
        <v>4164.3599999999997</v>
      </c>
      <c r="E1318" s="21" t="s">
        <v>5796</v>
      </c>
      <c r="F1318" s="23"/>
      <c r="G1318" s="23">
        <f t="shared" si="5"/>
        <v>4164.3599999999997</v>
      </c>
      <c r="H1318" s="23"/>
      <c r="I1318" s="23"/>
    </row>
    <row r="1319" spans="1:9">
      <c r="A1319" s="21" t="s">
        <v>6679</v>
      </c>
      <c r="B1319" s="21" t="s">
        <v>6680</v>
      </c>
      <c r="C1319" s="22">
        <v>1439</v>
      </c>
      <c r="D1319" s="21">
        <v>388.07</v>
      </c>
      <c r="E1319" s="21" t="s">
        <v>5796</v>
      </c>
      <c r="F1319" s="23"/>
      <c r="G1319" s="23">
        <f t="shared" si="5"/>
        <v>388.07</v>
      </c>
      <c r="H1319" s="23"/>
      <c r="I1319" s="23"/>
    </row>
    <row r="1320" spans="1:9">
      <c r="A1320" s="21" t="s">
        <v>6681</v>
      </c>
      <c r="B1320" s="21" t="s">
        <v>1505</v>
      </c>
      <c r="C1320" s="22">
        <v>472</v>
      </c>
      <c r="D1320" s="21">
        <v>5688</v>
      </c>
      <c r="E1320" s="21" t="s">
        <v>5796</v>
      </c>
      <c r="F1320" s="23"/>
      <c r="G1320" s="23">
        <f t="shared" si="5"/>
        <v>5688</v>
      </c>
      <c r="H1320" s="23"/>
      <c r="I1320" s="23"/>
    </row>
    <row r="1321" spans="1:9">
      <c r="A1321" s="21" t="s">
        <v>1827</v>
      </c>
      <c r="B1321" s="21" t="s">
        <v>1829</v>
      </c>
      <c r="C1321" s="22">
        <v>601</v>
      </c>
      <c r="D1321" s="21">
        <v>3718.47</v>
      </c>
      <c r="E1321" s="21" t="s">
        <v>5796</v>
      </c>
      <c r="F1321" s="23"/>
      <c r="G1321" s="23">
        <f t="shared" si="5"/>
        <v>3718.47</v>
      </c>
      <c r="H1321" s="23"/>
      <c r="I1321" s="23"/>
    </row>
    <row r="1322" spans="1:9">
      <c r="A1322" s="24" t="s">
        <v>6682</v>
      </c>
      <c r="B1322" s="24" t="s">
        <v>659</v>
      </c>
      <c r="C1322" s="25">
        <v>220</v>
      </c>
      <c r="D1322" s="24">
        <v>20205.36</v>
      </c>
      <c r="E1322" s="24" t="s">
        <v>5800</v>
      </c>
      <c r="F1322" s="26"/>
      <c r="G1322" s="23">
        <f t="shared" si="5"/>
        <v>20205.36</v>
      </c>
      <c r="H1322" s="26"/>
      <c r="I1322" s="26"/>
    </row>
    <row r="1323" spans="1:9">
      <c r="A1323" s="21" t="s">
        <v>2360</v>
      </c>
      <c r="B1323" s="21" t="s">
        <v>2362</v>
      </c>
      <c r="C1323" s="22">
        <v>707</v>
      </c>
      <c r="D1323" s="21">
        <v>2537.15</v>
      </c>
      <c r="E1323" s="21" t="s">
        <v>5796</v>
      </c>
      <c r="F1323" s="23"/>
      <c r="G1323" s="23">
        <f t="shared" si="5"/>
        <v>2537.15</v>
      </c>
      <c r="H1323" s="23"/>
      <c r="I1323" s="23"/>
    </row>
    <row r="1324" spans="1:9">
      <c r="A1324" s="21" t="s">
        <v>6683</v>
      </c>
      <c r="B1324" s="21" t="s">
        <v>1970</v>
      </c>
      <c r="C1324" s="22">
        <v>672</v>
      </c>
      <c r="D1324" s="21">
        <v>2832.21</v>
      </c>
      <c r="E1324" s="21" t="s">
        <v>5796</v>
      </c>
      <c r="F1324" s="23"/>
      <c r="G1324" s="23">
        <f t="shared" si="5"/>
        <v>2832.21</v>
      </c>
      <c r="H1324" s="23"/>
      <c r="I1324" s="23"/>
    </row>
    <row r="1325" spans="1:9">
      <c r="A1325" s="21" t="s">
        <v>6684</v>
      </c>
      <c r="B1325" s="21" t="s">
        <v>1541</v>
      </c>
      <c r="C1325" s="22">
        <v>539</v>
      </c>
      <c r="D1325" s="21">
        <v>4518.3500000000004</v>
      </c>
      <c r="E1325" s="21" t="s">
        <v>5796</v>
      </c>
      <c r="F1325" s="23"/>
      <c r="G1325" s="23">
        <f t="shared" si="5"/>
        <v>4518.3500000000004</v>
      </c>
      <c r="H1325" s="23"/>
      <c r="I1325" s="23"/>
    </row>
    <row r="1326" spans="1:9">
      <c r="A1326" s="21" t="s">
        <v>6685</v>
      </c>
      <c r="B1326" s="21" t="s">
        <v>3958</v>
      </c>
      <c r="C1326" s="22">
        <v>1383</v>
      </c>
      <c r="D1326" s="21">
        <v>426.97</v>
      </c>
      <c r="E1326" s="21" t="s">
        <v>5796</v>
      </c>
      <c r="F1326" s="23"/>
      <c r="G1326" s="23">
        <f t="shared" si="5"/>
        <v>426.97</v>
      </c>
      <c r="H1326" s="23"/>
      <c r="I1326" s="23"/>
    </row>
    <row r="1327" spans="1:9">
      <c r="A1327" s="21" t="s">
        <v>6686</v>
      </c>
      <c r="B1327" s="21" t="s">
        <v>3097</v>
      </c>
      <c r="C1327" s="22">
        <v>1019</v>
      </c>
      <c r="D1327" s="21">
        <v>1089.3800000000001</v>
      </c>
      <c r="E1327" s="21" t="s">
        <v>5796</v>
      </c>
      <c r="F1327" s="23"/>
      <c r="G1327" s="23">
        <f t="shared" si="5"/>
        <v>1089.3800000000001</v>
      </c>
      <c r="H1327" s="23"/>
      <c r="I1327" s="23"/>
    </row>
    <row r="1328" spans="1:9">
      <c r="A1328" s="21" t="s">
        <v>2267</v>
      </c>
      <c r="B1328" s="21" t="s">
        <v>2269</v>
      </c>
      <c r="C1328" s="22">
        <v>792</v>
      </c>
      <c r="D1328" s="21">
        <v>1972.05</v>
      </c>
      <c r="E1328" s="21" t="s">
        <v>5796</v>
      </c>
      <c r="F1328" s="23"/>
      <c r="G1328" s="23">
        <f t="shared" si="5"/>
        <v>1972.05</v>
      </c>
      <c r="H1328" s="23"/>
      <c r="I1328" s="23"/>
    </row>
    <row r="1329" spans="1:9">
      <c r="A1329" s="21" t="s">
        <v>6687</v>
      </c>
      <c r="B1329" s="21" t="s">
        <v>4393</v>
      </c>
      <c r="C1329" s="22">
        <v>1702</v>
      </c>
      <c r="D1329" s="21">
        <v>240.06</v>
      </c>
      <c r="E1329" s="21" t="s">
        <v>5796</v>
      </c>
      <c r="F1329" s="23"/>
      <c r="G1329" s="23">
        <f t="shared" si="5"/>
        <v>240.06</v>
      </c>
      <c r="H1329" s="23"/>
      <c r="I1329" s="23"/>
    </row>
    <row r="1330" spans="1:9">
      <c r="A1330" s="21" t="s">
        <v>6688</v>
      </c>
      <c r="B1330" s="21" t="s">
        <v>914</v>
      </c>
      <c r="C1330" s="22">
        <v>294</v>
      </c>
      <c r="D1330" s="21">
        <v>13020.26</v>
      </c>
      <c r="E1330" s="21" t="s">
        <v>5796</v>
      </c>
      <c r="F1330" s="23"/>
      <c r="G1330" s="23">
        <f t="shared" si="5"/>
        <v>13020.26</v>
      </c>
      <c r="H1330" s="23"/>
      <c r="I1330" s="23"/>
    </row>
    <row r="1331" spans="1:9">
      <c r="A1331" s="21" t="s">
        <v>1590</v>
      </c>
      <c r="B1331" s="21" t="s">
        <v>1592</v>
      </c>
      <c r="C1331" s="22">
        <v>471</v>
      </c>
      <c r="D1331" s="21">
        <v>5691.48</v>
      </c>
      <c r="E1331" s="21" t="s">
        <v>5796</v>
      </c>
      <c r="F1331" s="23"/>
      <c r="G1331" s="23">
        <f t="shared" si="5"/>
        <v>5691.48</v>
      </c>
      <c r="H1331" s="23"/>
      <c r="I1331" s="23"/>
    </row>
    <row r="1332" spans="1:9">
      <c r="A1332" s="21" t="s">
        <v>3038</v>
      </c>
      <c r="B1332" s="21" t="s">
        <v>3040</v>
      </c>
      <c r="C1332" s="22">
        <v>1140</v>
      </c>
      <c r="D1332" s="21">
        <v>807.81</v>
      </c>
      <c r="E1332" s="21" t="s">
        <v>5796</v>
      </c>
      <c r="F1332" s="23"/>
      <c r="G1332" s="23">
        <f t="shared" si="5"/>
        <v>807.81</v>
      </c>
      <c r="H1332" s="23"/>
      <c r="I1332" s="23"/>
    </row>
    <row r="1333" spans="1:9">
      <c r="A1333" s="21" t="s">
        <v>6689</v>
      </c>
      <c r="B1333" s="21" t="s">
        <v>6690</v>
      </c>
      <c r="C1333" s="22">
        <v>4601</v>
      </c>
      <c r="D1333" s="21">
        <v>2.63</v>
      </c>
      <c r="E1333" s="21" t="s">
        <v>5796</v>
      </c>
      <c r="F1333" s="23"/>
      <c r="G1333" s="23">
        <f t="shared" si="5"/>
        <v>2.63</v>
      </c>
      <c r="H1333" s="23"/>
      <c r="I1333" s="23"/>
    </row>
    <row r="1334" spans="1:9">
      <c r="A1334" s="21" t="s">
        <v>6691</v>
      </c>
      <c r="B1334" s="21" t="s">
        <v>4027</v>
      </c>
      <c r="C1334" s="22">
        <v>1432</v>
      </c>
      <c r="D1334" s="21">
        <v>391.68</v>
      </c>
      <c r="E1334" s="21" t="s">
        <v>5796</v>
      </c>
      <c r="F1334" s="23"/>
      <c r="G1334" s="23">
        <f t="shared" si="5"/>
        <v>391.68</v>
      </c>
      <c r="H1334" s="23"/>
      <c r="I1334" s="23"/>
    </row>
    <row r="1335" spans="1:9">
      <c r="A1335" s="21" t="s">
        <v>6692</v>
      </c>
      <c r="B1335" s="21" t="s">
        <v>5757</v>
      </c>
      <c r="C1335" s="22">
        <v>3798</v>
      </c>
      <c r="D1335" s="21">
        <v>9.18</v>
      </c>
      <c r="E1335" s="21" t="s">
        <v>5796</v>
      </c>
      <c r="F1335" s="23"/>
      <c r="G1335" s="23">
        <f t="shared" si="5"/>
        <v>9.18</v>
      </c>
      <c r="H1335" s="23"/>
      <c r="I1335" s="23"/>
    </row>
    <row r="1336" spans="1:9">
      <c r="A1336" s="21" t="s">
        <v>4034</v>
      </c>
      <c r="B1336" s="21" t="s">
        <v>4036</v>
      </c>
      <c r="C1336" s="22">
        <v>1394</v>
      </c>
      <c r="D1336" s="21">
        <v>416.54</v>
      </c>
      <c r="E1336" s="21" t="s">
        <v>5796</v>
      </c>
      <c r="F1336" s="23"/>
      <c r="G1336" s="23">
        <f t="shared" si="5"/>
        <v>416.54</v>
      </c>
      <c r="H1336" s="23"/>
      <c r="I1336" s="23"/>
    </row>
    <row r="1337" spans="1:9">
      <c r="A1337" s="21" t="s">
        <v>3386</v>
      </c>
      <c r="B1337" s="21" t="s">
        <v>3388</v>
      </c>
      <c r="C1337" s="22">
        <v>1052</v>
      </c>
      <c r="D1337" s="21">
        <v>1025.45</v>
      </c>
      <c r="E1337" s="21" t="s">
        <v>5796</v>
      </c>
      <c r="F1337" s="23"/>
      <c r="G1337" s="23">
        <f t="shared" si="5"/>
        <v>1025.45</v>
      </c>
      <c r="H1337" s="23"/>
      <c r="I1337" s="23"/>
    </row>
    <row r="1338" spans="1:9">
      <c r="A1338" s="21" t="s">
        <v>6693</v>
      </c>
      <c r="B1338" s="21" t="s">
        <v>872</v>
      </c>
      <c r="C1338" s="22">
        <v>268</v>
      </c>
      <c r="D1338" s="21">
        <v>15244.02</v>
      </c>
      <c r="E1338" s="21" t="s">
        <v>5796</v>
      </c>
      <c r="F1338" s="23"/>
      <c r="G1338" s="23">
        <f t="shared" si="5"/>
        <v>15244.02</v>
      </c>
      <c r="H1338" s="23"/>
      <c r="I1338" s="23"/>
    </row>
    <row r="1339" spans="1:9">
      <c r="A1339" s="21" t="s">
        <v>3974</v>
      </c>
      <c r="B1339" s="21" t="s">
        <v>3976</v>
      </c>
      <c r="C1339" s="22">
        <v>1352</v>
      </c>
      <c r="D1339" s="21">
        <v>452.75</v>
      </c>
      <c r="E1339" s="21" t="s">
        <v>5796</v>
      </c>
      <c r="F1339" s="23"/>
      <c r="G1339" s="23">
        <f t="shared" si="5"/>
        <v>452.75</v>
      </c>
      <c r="H1339" s="23"/>
      <c r="I1339" s="23"/>
    </row>
    <row r="1340" spans="1:9">
      <c r="A1340" s="21" t="s">
        <v>6694</v>
      </c>
      <c r="B1340" s="21" t="s">
        <v>1547</v>
      </c>
      <c r="C1340" s="22">
        <v>596</v>
      </c>
      <c r="D1340" s="21">
        <v>3751.71</v>
      </c>
      <c r="E1340" s="21" t="s">
        <v>5796</v>
      </c>
      <c r="F1340" s="23"/>
      <c r="G1340" s="23">
        <f t="shared" si="5"/>
        <v>3751.71</v>
      </c>
      <c r="H1340" s="23"/>
      <c r="I1340" s="23"/>
    </row>
    <row r="1341" spans="1:9">
      <c r="A1341" s="21" t="s">
        <v>1773</v>
      </c>
      <c r="B1341" s="21" t="s">
        <v>1775</v>
      </c>
      <c r="C1341" s="22">
        <v>485</v>
      </c>
      <c r="D1341" s="21">
        <v>5438.65</v>
      </c>
      <c r="E1341" s="21" t="s">
        <v>5796</v>
      </c>
      <c r="F1341" s="23"/>
      <c r="G1341" s="23">
        <f t="shared" si="5"/>
        <v>5438.65</v>
      </c>
      <c r="H1341" s="23"/>
      <c r="I1341" s="23"/>
    </row>
    <row r="1342" spans="1:9">
      <c r="A1342" s="21" t="s">
        <v>6695</v>
      </c>
      <c r="B1342" s="21" t="s">
        <v>1163</v>
      </c>
      <c r="C1342" s="22">
        <v>388</v>
      </c>
      <c r="D1342" s="21">
        <v>8180.8</v>
      </c>
      <c r="E1342" s="21" t="s">
        <v>5796</v>
      </c>
      <c r="F1342" s="23"/>
      <c r="G1342" s="23">
        <f t="shared" si="5"/>
        <v>8180.8</v>
      </c>
      <c r="H1342" s="23"/>
      <c r="I1342" s="23"/>
    </row>
    <row r="1343" spans="1:9">
      <c r="A1343" s="24" t="s">
        <v>6696</v>
      </c>
      <c r="B1343" s="24" t="s">
        <v>1019</v>
      </c>
      <c r="C1343" s="25">
        <v>227</v>
      </c>
      <c r="D1343" s="24">
        <v>19506.16</v>
      </c>
      <c r="E1343" s="24" t="s">
        <v>5800</v>
      </c>
      <c r="F1343" s="26"/>
      <c r="G1343" s="23">
        <f t="shared" si="5"/>
        <v>19506.16</v>
      </c>
      <c r="H1343" s="26"/>
      <c r="I1343" s="26"/>
    </row>
    <row r="1344" spans="1:9">
      <c r="A1344" s="21" t="s">
        <v>6697</v>
      </c>
      <c r="B1344" s="21" t="s">
        <v>4504</v>
      </c>
      <c r="C1344" s="22">
        <v>1492</v>
      </c>
      <c r="D1344" s="21">
        <v>351.15</v>
      </c>
      <c r="E1344" s="21" t="s">
        <v>5796</v>
      </c>
      <c r="F1344" s="23"/>
      <c r="G1344" s="23">
        <f t="shared" si="5"/>
        <v>351.15</v>
      </c>
      <c r="H1344" s="23"/>
      <c r="I1344" s="23"/>
    </row>
    <row r="1345" spans="1:9">
      <c r="A1345" s="21" t="s">
        <v>6698</v>
      </c>
      <c r="B1345" s="21" t="s">
        <v>2060</v>
      </c>
      <c r="C1345" s="22">
        <v>576</v>
      </c>
      <c r="D1345" s="21">
        <v>3998.73</v>
      </c>
      <c r="E1345" s="21" t="s">
        <v>5796</v>
      </c>
      <c r="F1345" s="23"/>
      <c r="G1345" s="23">
        <f t="shared" si="5"/>
        <v>3998.73</v>
      </c>
      <c r="H1345" s="23"/>
      <c r="I1345" s="23"/>
    </row>
    <row r="1346" spans="1:9">
      <c r="A1346" s="21" t="s">
        <v>2591</v>
      </c>
      <c r="B1346" s="21" t="s">
        <v>2593</v>
      </c>
      <c r="C1346" s="22">
        <v>628</v>
      </c>
      <c r="D1346" s="21">
        <v>3319.96</v>
      </c>
      <c r="E1346" s="21" t="s">
        <v>5796</v>
      </c>
      <c r="F1346" s="23"/>
      <c r="G1346" s="23">
        <f t="shared" si="5"/>
        <v>3319.96</v>
      </c>
      <c r="H1346" s="23"/>
      <c r="I1346" s="23"/>
    </row>
    <row r="1347" spans="1:9">
      <c r="A1347" s="21" t="s">
        <v>6699</v>
      </c>
      <c r="B1347" s="21" t="s">
        <v>4813</v>
      </c>
      <c r="C1347" s="22">
        <v>2012</v>
      </c>
      <c r="D1347" s="21">
        <v>141.41</v>
      </c>
      <c r="E1347" s="21" t="s">
        <v>5796</v>
      </c>
      <c r="F1347" s="23"/>
      <c r="G1347" s="23">
        <f t="shared" si="5"/>
        <v>141.41</v>
      </c>
      <c r="H1347" s="23"/>
      <c r="I1347" s="23"/>
    </row>
    <row r="1348" spans="1:9">
      <c r="A1348" s="21" t="s">
        <v>6700</v>
      </c>
      <c r="B1348" s="21" t="s">
        <v>4507</v>
      </c>
      <c r="C1348" s="22">
        <v>1703</v>
      </c>
      <c r="D1348" s="21">
        <v>240.05</v>
      </c>
      <c r="E1348" s="21" t="s">
        <v>5796</v>
      </c>
      <c r="F1348" s="23"/>
      <c r="G1348" s="23">
        <f t="shared" si="5"/>
        <v>240.05</v>
      </c>
      <c r="H1348" s="23"/>
      <c r="I1348" s="23"/>
    </row>
    <row r="1349" spans="1:9">
      <c r="A1349" s="21" t="s">
        <v>6701</v>
      </c>
      <c r="B1349" s="21" t="s">
        <v>6702</v>
      </c>
      <c r="C1349" s="22">
        <v>4627</v>
      </c>
      <c r="D1349" s="21">
        <v>2.44</v>
      </c>
      <c r="E1349" s="21" t="s">
        <v>5796</v>
      </c>
      <c r="F1349" s="23"/>
      <c r="G1349" s="23">
        <f t="shared" si="5"/>
        <v>2.44</v>
      </c>
      <c r="H1349" s="23"/>
      <c r="I1349" s="23"/>
    </row>
    <row r="1350" spans="1:9">
      <c r="A1350" s="21" t="s">
        <v>6703</v>
      </c>
      <c r="B1350" s="21" t="s">
        <v>1940</v>
      </c>
      <c r="C1350" s="22">
        <v>581</v>
      </c>
      <c r="D1350" s="21">
        <v>3952.88</v>
      </c>
      <c r="E1350" s="21" t="s">
        <v>5796</v>
      </c>
      <c r="F1350" s="23"/>
      <c r="G1350" s="23">
        <f t="shared" si="5"/>
        <v>3952.88</v>
      </c>
      <c r="H1350" s="23"/>
      <c r="I1350" s="23"/>
    </row>
    <row r="1351" spans="1:9">
      <c r="A1351" s="21" t="s">
        <v>4616</v>
      </c>
      <c r="B1351" s="21" t="s">
        <v>4618</v>
      </c>
      <c r="C1351" s="22">
        <v>1803</v>
      </c>
      <c r="D1351" s="21">
        <v>194.59</v>
      </c>
      <c r="E1351" s="21" t="s">
        <v>5796</v>
      </c>
      <c r="F1351" s="23"/>
      <c r="G1351" s="23">
        <f t="shared" si="5"/>
        <v>194.59</v>
      </c>
      <c r="H1351" s="23"/>
      <c r="I1351" s="23"/>
    </row>
    <row r="1352" spans="1:9">
      <c r="A1352" s="21" t="s">
        <v>6704</v>
      </c>
      <c r="B1352" s="21" t="s">
        <v>4156</v>
      </c>
      <c r="C1352" s="22">
        <v>1458</v>
      </c>
      <c r="D1352" s="21">
        <v>375.94</v>
      </c>
      <c r="E1352" s="21" t="s">
        <v>5796</v>
      </c>
      <c r="F1352" s="23"/>
      <c r="G1352" s="23">
        <f t="shared" si="5"/>
        <v>375.94</v>
      </c>
      <c r="H1352" s="23"/>
      <c r="I1352" s="23"/>
    </row>
    <row r="1353" spans="1:9">
      <c r="A1353" s="21" t="s">
        <v>2804</v>
      </c>
      <c r="B1353" s="21" t="s">
        <v>2806</v>
      </c>
      <c r="C1353" s="22">
        <v>876</v>
      </c>
      <c r="D1353" s="21">
        <v>1592.99</v>
      </c>
      <c r="E1353" s="21" t="s">
        <v>5796</v>
      </c>
      <c r="F1353" s="23"/>
      <c r="G1353" s="23">
        <f t="shared" si="5"/>
        <v>1592.99</v>
      </c>
      <c r="H1353" s="23"/>
      <c r="I1353" s="23"/>
    </row>
    <row r="1354" spans="1:9">
      <c r="A1354" s="24" t="s">
        <v>750</v>
      </c>
      <c r="B1354" s="24" t="s">
        <v>752</v>
      </c>
      <c r="C1354" s="25">
        <v>243</v>
      </c>
      <c r="D1354" s="24">
        <v>18292.27</v>
      </c>
      <c r="E1354" s="24" t="s">
        <v>5800</v>
      </c>
      <c r="F1354" s="26"/>
      <c r="G1354" s="23">
        <f t="shared" si="5"/>
        <v>18292.27</v>
      </c>
      <c r="H1354" s="26"/>
      <c r="I1354" s="26"/>
    </row>
    <row r="1355" spans="1:9">
      <c r="A1355" s="21" t="s">
        <v>6705</v>
      </c>
      <c r="B1355" s="21" t="s">
        <v>2884</v>
      </c>
      <c r="C1355" s="22">
        <v>974</v>
      </c>
      <c r="D1355" s="21">
        <v>1256.72</v>
      </c>
      <c r="E1355" s="21" t="s">
        <v>5796</v>
      </c>
      <c r="F1355" s="23"/>
      <c r="G1355" s="23">
        <f t="shared" si="5"/>
        <v>1256.72</v>
      </c>
      <c r="H1355" s="23"/>
      <c r="I1355" s="23"/>
    </row>
    <row r="1356" spans="1:9">
      <c r="A1356" s="21" t="s">
        <v>6706</v>
      </c>
      <c r="B1356" s="21" t="s">
        <v>3403</v>
      </c>
      <c r="C1356" s="22">
        <v>1166</v>
      </c>
      <c r="D1356" s="21">
        <v>765.92</v>
      </c>
      <c r="E1356" s="21" t="s">
        <v>5796</v>
      </c>
      <c r="F1356" s="23"/>
      <c r="G1356" s="23">
        <f t="shared" si="5"/>
        <v>765.92</v>
      </c>
      <c r="H1356" s="23"/>
      <c r="I1356" s="23"/>
    </row>
    <row r="1357" spans="1:9">
      <c r="A1357" s="21" t="s">
        <v>1977</v>
      </c>
      <c r="B1357" s="21" t="s">
        <v>1979</v>
      </c>
      <c r="C1357" s="22">
        <v>739</v>
      </c>
      <c r="D1357" s="21">
        <v>2270.66</v>
      </c>
      <c r="E1357" s="21" t="s">
        <v>5796</v>
      </c>
      <c r="F1357" s="23"/>
      <c r="G1357" s="23">
        <f t="shared" si="5"/>
        <v>2270.66</v>
      </c>
      <c r="H1357" s="23"/>
      <c r="I1357" s="23"/>
    </row>
    <row r="1358" spans="1:9">
      <c r="A1358" s="21" t="s">
        <v>6707</v>
      </c>
      <c r="B1358" s="21" t="s">
        <v>3181</v>
      </c>
      <c r="C1358" s="22">
        <v>1120</v>
      </c>
      <c r="D1358" s="21">
        <v>841.95</v>
      </c>
      <c r="E1358" s="21" t="s">
        <v>5796</v>
      </c>
      <c r="F1358" s="23"/>
      <c r="G1358" s="23">
        <f t="shared" si="5"/>
        <v>841.95</v>
      </c>
      <c r="H1358" s="23"/>
      <c r="I1358" s="23"/>
    </row>
    <row r="1359" spans="1:9">
      <c r="A1359" s="21" t="s">
        <v>6708</v>
      </c>
      <c r="B1359" s="21" t="s">
        <v>4198</v>
      </c>
      <c r="C1359" s="22">
        <v>1484</v>
      </c>
      <c r="D1359" s="21">
        <v>356.96</v>
      </c>
      <c r="E1359" s="21" t="s">
        <v>5796</v>
      </c>
      <c r="F1359" s="23"/>
      <c r="G1359" s="23">
        <f t="shared" si="5"/>
        <v>356.96</v>
      </c>
      <c r="H1359" s="23"/>
      <c r="I1359" s="23"/>
    </row>
    <row r="1360" spans="1:9">
      <c r="A1360" s="21" t="s">
        <v>4595</v>
      </c>
      <c r="B1360" s="21" t="s">
        <v>4597</v>
      </c>
      <c r="C1360" s="22">
        <v>1913</v>
      </c>
      <c r="D1360" s="21">
        <v>163.04</v>
      </c>
      <c r="E1360" s="21" t="s">
        <v>5796</v>
      </c>
      <c r="F1360" s="23"/>
      <c r="G1360" s="23">
        <f t="shared" si="5"/>
        <v>163.04</v>
      </c>
      <c r="H1360" s="23"/>
      <c r="I1360" s="23"/>
    </row>
    <row r="1361" spans="1:9">
      <c r="A1361" s="21" t="s">
        <v>6709</v>
      </c>
      <c r="B1361" s="21" t="s">
        <v>2923</v>
      </c>
      <c r="C1361" s="22">
        <v>948</v>
      </c>
      <c r="D1361" s="21">
        <v>1322.85</v>
      </c>
      <c r="E1361" s="21" t="s">
        <v>5796</v>
      </c>
      <c r="F1361" s="23"/>
      <c r="G1361" s="23">
        <f t="shared" si="5"/>
        <v>1322.85</v>
      </c>
      <c r="H1361" s="23"/>
      <c r="I1361" s="23"/>
    </row>
    <row r="1362" spans="1:9">
      <c r="A1362" s="21" t="s">
        <v>6710</v>
      </c>
      <c r="B1362" s="21" t="s">
        <v>1616</v>
      </c>
      <c r="C1362" s="22">
        <v>583</v>
      </c>
      <c r="D1362" s="21">
        <v>3938.86</v>
      </c>
      <c r="E1362" s="21" t="s">
        <v>5796</v>
      </c>
      <c r="F1362" s="23"/>
      <c r="G1362" s="23">
        <f t="shared" si="5"/>
        <v>3938.86</v>
      </c>
      <c r="H1362" s="23"/>
      <c r="I1362" s="23"/>
    </row>
    <row r="1363" spans="1:9">
      <c r="A1363" s="21" t="s">
        <v>6711</v>
      </c>
      <c r="B1363" s="21" t="s">
        <v>809</v>
      </c>
      <c r="C1363" s="22">
        <v>269</v>
      </c>
      <c r="D1363" s="21">
        <v>15227.27</v>
      </c>
      <c r="E1363" s="21" t="s">
        <v>5796</v>
      </c>
      <c r="F1363" s="23"/>
      <c r="G1363" s="23">
        <f t="shared" si="5"/>
        <v>15227.27</v>
      </c>
      <c r="H1363" s="23"/>
      <c r="I1363" s="23"/>
    </row>
    <row r="1364" spans="1:9">
      <c r="A1364" s="21" t="s">
        <v>1089</v>
      </c>
      <c r="B1364" s="21" t="s">
        <v>1091</v>
      </c>
      <c r="C1364" s="22">
        <v>350</v>
      </c>
      <c r="D1364" s="21">
        <v>9703.93</v>
      </c>
      <c r="E1364" s="21" t="s">
        <v>5796</v>
      </c>
      <c r="F1364" s="23"/>
      <c r="G1364" s="23">
        <f t="shared" si="5"/>
        <v>9703.93</v>
      </c>
      <c r="H1364" s="23"/>
      <c r="I1364" s="23"/>
    </row>
    <row r="1365" spans="1:9">
      <c r="A1365" s="21" t="s">
        <v>1722</v>
      </c>
      <c r="B1365" s="21" t="s">
        <v>1724</v>
      </c>
      <c r="C1365" s="22">
        <v>507</v>
      </c>
      <c r="D1365" s="21">
        <v>5106.8500000000004</v>
      </c>
      <c r="E1365" s="21" t="s">
        <v>5796</v>
      </c>
      <c r="F1365" s="23"/>
      <c r="G1365" s="23">
        <f t="shared" si="5"/>
        <v>5106.8500000000004</v>
      </c>
      <c r="H1365" s="23"/>
      <c r="I1365" s="23"/>
    </row>
    <row r="1366" spans="1:9">
      <c r="A1366" s="21" t="s">
        <v>3797</v>
      </c>
      <c r="B1366" s="21" t="s">
        <v>3799</v>
      </c>
      <c r="C1366" s="22">
        <v>1286</v>
      </c>
      <c r="D1366" s="21">
        <v>549.17999999999995</v>
      </c>
      <c r="E1366" s="21" t="s">
        <v>5796</v>
      </c>
      <c r="F1366" s="23"/>
      <c r="G1366" s="23">
        <f t="shared" si="5"/>
        <v>549.17999999999995</v>
      </c>
      <c r="H1366" s="23"/>
      <c r="I1366" s="23"/>
    </row>
    <row r="1367" spans="1:9">
      <c r="A1367" s="21" t="s">
        <v>996</v>
      </c>
      <c r="B1367" s="21" t="s">
        <v>998</v>
      </c>
      <c r="C1367" s="22">
        <v>354</v>
      </c>
      <c r="D1367" s="21">
        <v>9530.66</v>
      </c>
      <c r="E1367" s="21" t="s">
        <v>5796</v>
      </c>
      <c r="F1367" s="23"/>
      <c r="G1367" s="23">
        <f t="shared" si="5"/>
        <v>9530.66</v>
      </c>
      <c r="H1367" s="23"/>
      <c r="I1367" s="23"/>
    </row>
    <row r="1368" spans="1:9">
      <c r="A1368" s="21" t="s">
        <v>6712</v>
      </c>
      <c r="B1368" s="21" t="s">
        <v>1556</v>
      </c>
      <c r="C1368" s="22">
        <v>458</v>
      </c>
      <c r="D1368" s="21">
        <v>5985.8</v>
      </c>
      <c r="E1368" s="21" t="s">
        <v>5796</v>
      </c>
      <c r="F1368" s="23"/>
      <c r="G1368" s="23">
        <f t="shared" si="5"/>
        <v>5985.8</v>
      </c>
      <c r="H1368" s="23"/>
      <c r="I1368" s="23"/>
    </row>
    <row r="1369" spans="1:9">
      <c r="A1369" s="21" t="s">
        <v>4064</v>
      </c>
      <c r="B1369" s="21" t="s">
        <v>4066</v>
      </c>
      <c r="C1369" s="22">
        <v>1379</v>
      </c>
      <c r="D1369" s="21">
        <v>430.75</v>
      </c>
      <c r="E1369" s="21" t="s">
        <v>5796</v>
      </c>
      <c r="F1369" s="23"/>
      <c r="G1369" s="23">
        <f t="shared" si="5"/>
        <v>430.75</v>
      </c>
      <c r="H1369" s="23"/>
      <c r="I1369" s="23"/>
    </row>
    <row r="1370" spans="1:9">
      <c r="A1370" s="24" t="s">
        <v>6713</v>
      </c>
      <c r="B1370" s="24" t="s">
        <v>278</v>
      </c>
      <c r="C1370" s="25">
        <v>156</v>
      </c>
      <c r="D1370" s="24">
        <v>33709.58</v>
      </c>
      <c r="E1370" s="24" t="s">
        <v>5800</v>
      </c>
      <c r="F1370" s="26"/>
      <c r="G1370" s="23">
        <f t="shared" si="5"/>
        <v>33709.58</v>
      </c>
      <c r="H1370" s="26"/>
      <c r="I1370" s="26"/>
    </row>
    <row r="1371" spans="1:9">
      <c r="A1371" s="21" t="s">
        <v>1038</v>
      </c>
      <c r="B1371" s="21" t="s">
        <v>1040</v>
      </c>
      <c r="C1371" s="22">
        <v>283</v>
      </c>
      <c r="D1371" s="21">
        <v>13814.4</v>
      </c>
      <c r="E1371" s="21" t="s">
        <v>5796</v>
      </c>
      <c r="F1371" s="23"/>
      <c r="G1371" s="23">
        <f t="shared" si="5"/>
        <v>13814.4</v>
      </c>
      <c r="H1371" s="23"/>
      <c r="I1371" s="23"/>
    </row>
    <row r="1372" spans="1:9">
      <c r="A1372" s="21" t="s">
        <v>3041</v>
      </c>
      <c r="B1372" s="21" t="s">
        <v>3043</v>
      </c>
      <c r="C1372" s="22">
        <v>1171</v>
      </c>
      <c r="D1372" s="21">
        <v>747.98</v>
      </c>
      <c r="E1372" s="21" t="s">
        <v>5796</v>
      </c>
      <c r="F1372" s="23"/>
      <c r="G1372" s="23">
        <f t="shared" si="5"/>
        <v>747.98</v>
      </c>
      <c r="H1372" s="23"/>
      <c r="I1372" s="23"/>
    </row>
    <row r="1373" spans="1:9">
      <c r="A1373" s="21" t="s">
        <v>6714</v>
      </c>
      <c r="B1373" s="21" t="s">
        <v>5259</v>
      </c>
      <c r="C1373" s="22">
        <v>2495</v>
      </c>
      <c r="D1373" s="21">
        <v>64.680000000000007</v>
      </c>
      <c r="E1373" s="21" t="s">
        <v>5796</v>
      </c>
      <c r="F1373" s="23"/>
      <c r="G1373" s="23">
        <f t="shared" si="5"/>
        <v>64.680000000000007</v>
      </c>
      <c r="H1373" s="23"/>
      <c r="I1373" s="23"/>
    </row>
    <row r="1374" spans="1:9">
      <c r="A1374" s="24" t="s">
        <v>6715</v>
      </c>
      <c r="B1374" s="24" t="s">
        <v>737</v>
      </c>
      <c r="C1374" s="25">
        <v>215</v>
      </c>
      <c r="D1374" s="24">
        <v>20964.150000000001</v>
      </c>
      <c r="E1374" s="24" t="s">
        <v>5800</v>
      </c>
      <c r="F1374" s="26"/>
      <c r="G1374" s="23">
        <f t="shared" si="5"/>
        <v>20964.150000000001</v>
      </c>
      <c r="H1374" s="26"/>
      <c r="I1374" s="26"/>
    </row>
    <row r="1375" spans="1:9">
      <c r="A1375" s="21" t="s">
        <v>6716</v>
      </c>
      <c r="B1375" s="21" t="s">
        <v>6717</v>
      </c>
      <c r="C1375" s="22">
        <v>1713</v>
      </c>
      <c r="D1375" s="21">
        <v>236.74</v>
      </c>
      <c r="E1375" s="21" t="s">
        <v>5796</v>
      </c>
      <c r="F1375" s="23"/>
      <c r="G1375" s="23">
        <f t="shared" si="5"/>
        <v>236.74</v>
      </c>
      <c r="H1375" s="23"/>
      <c r="I1375" s="23"/>
    </row>
    <row r="1376" spans="1:9">
      <c r="A1376" s="21" t="s">
        <v>6718</v>
      </c>
      <c r="B1376" s="21" t="s">
        <v>4831</v>
      </c>
      <c r="C1376" s="22">
        <v>2057</v>
      </c>
      <c r="D1376" s="21">
        <v>130.47</v>
      </c>
      <c r="E1376" s="21" t="s">
        <v>5796</v>
      </c>
      <c r="F1376" s="23"/>
      <c r="G1376" s="23">
        <f t="shared" si="5"/>
        <v>130.47</v>
      </c>
      <c r="H1376" s="23"/>
      <c r="I1376" s="23"/>
    </row>
    <row r="1377" spans="1:9">
      <c r="A1377" s="27" t="s">
        <v>6719</v>
      </c>
      <c r="B1377" s="27" t="s">
        <v>9</v>
      </c>
      <c r="C1377" s="28">
        <v>1</v>
      </c>
      <c r="D1377" s="27">
        <v>1632378.37</v>
      </c>
      <c r="E1377" s="27" t="s">
        <v>5815</v>
      </c>
      <c r="F1377" s="29"/>
      <c r="G1377" s="23">
        <f t="shared" si="5"/>
        <v>1632378.37</v>
      </c>
      <c r="H1377" s="29"/>
      <c r="I1377" s="29"/>
    </row>
    <row r="1378" spans="1:9">
      <c r="A1378" s="21" t="s">
        <v>6720</v>
      </c>
      <c r="B1378" s="21" t="s">
        <v>1538</v>
      </c>
      <c r="C1378" s="22">
        <v>502</v>
      </c>
      <c r="D1378" s="21">
        <v>5214.1400000000003</v>
      </c>
      <c r="E1378" s="21" t="s">
        <v>5796</v>
      </c>
      <c r="F1378" s="23"/>
      <c r="G1378" s="23">
        <f t="shared" si="5"/>
        <v>5214.1400000000003</v>
      </c>
      <c r="H1378" s="23"/>
      <c r="I1378" s="23"/>
    </row>
    <row r="1379" spans="1:9">
      <c r="A1379" s="21" t="s">
        <v>6721</v>
      </c>
      <c r="B1379" s="21" t="s">
        <v>1586</v>
      </c>
      <c r="C1379" s="22">
        <v>526</v>
      </c>
      <c r="D1379" s="21">
        <v>4695.9799999999996</v>
      </c>
      <c r="E1379" s="21" t="s">
        <v>5796</v>
      </c>
      <c r="F1379" s="23"/>
      <c r="G1379" s="23">
        <f t="shared" si="5"/>
        <v>4695.9799999999996</v>
      </c>
      <c r="H1379" s="23"/>
      <c r="I1379" s="23"/>
    </row>
    <row r="1380" spans="1:9">
      <c r="A1380" s="21" t="s">
        <v>6722</v>
      </c>
      <c r="B1380" s="21" t="s">
        <v>4516</v>
      </c>
      <c r="C1380" s="22">
        <v>2059</v>
      </c>
      <c r="D1380" s="21">
        <v>129.91999999999999</v>
      </c>
      <c r="E1380" s="21" t="s">
        <v>5796</v>
      </c>
      <c r="F1380" s="23"/>
      <c r="G1380" s="23">
        <f t="shared" si="5"/>
        <v>129.91999999999999</v>
      </c>
      <c r="H1380" s="23"/>
      <c r="I1380" s="23"/>
    </row>
    <row r="1381" spans="1:9">
      <c r="A1381" s="21" t="s">
        <v>6723</v>
      </c>
      <c r="B1381" s="21" t="s">
        <v>1193</v>
      </c>
      <c r="C1381" s="22">
        <v>348</v>
      </c>
      <c r="D1381" s="21">
        <v>9925.5300000000007</v>
      </c>
      <c r="E1381" s="21" t="s">
        <v>5796</v>
      </c>
      <c r="F1381" s="23"/>
      <c r="G1381" s="23">
        <f t="shared" si="5"/>
        <v>9925.5300000000007</v>
      </c>
      <c r="H1381" s="23"/>
      <c r="I1381" s="23"/>
    </row>
    <row r="1382" spans="1:9">
      <c r="A1382" s="21" t="s">
        <v>2522</v>
      </c>
      <c r="B1382" s="21" t="s">
        <v>2524</v>
      </c>
      <c r="C1382" s="22">
        <v>922</v>
      </c>
      <c r="D1382" s="21">
        <v>1393.14</v>
      </c>
      <c r="E1382" s="21" t="s">
        <v>5796</v>
      </c>
      <c r="F1382" s="23"/>
      <c r="G1382" s="23">
        <f t="shared" si="5"/>
        <v>1393.14</v>
      </c>
      <c r="H1382" s="23"/>
      <c r="I1382" s="23"/>
    </row>
    <row r="1383" spans="1:9">
      <c r="A1383" s="21" t="s">
        <v>6724</v>
      </c>
      <c r="B1383" s="21" t="s">
        <v>4297</v>
      </c>
      <c r="C1383" s="22">
        <v>1616</v>
      </c>
      <c r="D1383" s="21">
        <v>278.33</v>
      </c>
      <c r="E1383" s="21" t="s">
        <v>5796</v>
      </c>
      <c r="F1383" s="23"/>
      <c r="G1383" s="23">
        <f t="shared" si="5"/>
        <v>278.33</v>
      </c>
      <c r="H1383" s="23"/>
      <c r="I1383" s="23"/>
    </row>
    <row r="1384" spans="1:9">
      <c r="A1384" s="21" t="s">
        <v>6725</v>
      </c>
      <c r="B1384" s="21" t="s">
        <v>3325</v>
      </c>
      <c r="C1384" s="22">
        <v>1275</v>
      </c>
      <c r="D1384" s="21">
        <v>555.16999999999996</v>
      </c>
      <c r="E1384" s="21" t="s">
        <v>5796</v>
      </c>
      <c r="F1384" s="23"/>
      <c r="G1384" s="23">
        <f t="shared" si="5"/>
        <v>555.16999999999996</v>
      </c>
      <c r="H1384" s="23"/>
      <c r="I1384" s="23"/>
    </row>
    <row r="1385" spans="1:9">
      <c r="A1385" s="21" t="s">
        <v>6726</v>
      </c>
      <c r="B1385" s="21" t="s">
        <v>1463</v>
      </c>
      <c r="C1385" s="22">
        <v>602</v>
      </c>
      <c r="D1385" s="21">
        <v>3683.62</v>
      </c>
      <c r="E1385" s="21" t="s">
        <v>5796</v>
      </c>
      <c r="F1385" s="23"/>
      <c r="G1385" s="23">
        <f t="shared" si="5"/>
        <v>3683.62</v>
      </c>
      <c r="H1385" s="23"/>
      <c r="I1385" s="23"/>
    </row>
    <row r="1386" spans="1:9">
      <c r="A1386" s="21" t="s">
        <v>6727</v>
      </c>
      <c r="B1386" s="21" t="s">
        <v>6728</v>
      </c>
      <c r="C1386" s="22">
        <v>1401</v>
      </c>
      <c r="D1386" s="21">
        <v>408.25</v>
      </c>
      <c r="E1386" s="21" t="s">
        <v>5796</v>
      </c>
      <c r="F1386" s="23"/>
      <c r="G1386" s="23">
        <f t="shared" si="5"/>
        <v>408.25</v>
      </c>
      <c r="H1386" s="23"/>
      <c r="I1386" s="23"/>
    </row>
    <row r="1387" spans="1:9">
      <c r="A1387" s="21" t="s">
        <v>6729</v>
      </c>
      <c r="B1387" s="21" t="s">
        <v>3406</v>
      </c>
      <c r="C1387" s="22">
        <v>1108</v>
      </c>
      <c r="D1387" s="21">
        <v>856.3</v>
      </c>
      <c r="E1387" s="21" t="s">
        <v>5796</v>
      </c>
      <c r="F1387" s="23"/>
      <c r="G1387" s="23">
        <f t="shared" si="5"/>
        <v>856.3</v>
      </c>
      <c r="H1387" s="23"/>
      <c r="I1387" s="23"/>
    </row>
    <row r="1388" spans="1:9">
      <c r="A1388" s="21" t="s">
        <v>5093</v>
      </c>
      <c r="B1388" s="21" t="s">
        <v>5095</v>
      </c>
      <c r="C1388" s="22">
        <v>1980</v>
      </c>
      <c r="D1388" s="21">
        <v>147.81</v>
      </c>
      <c r="E1388" s="21" t="s">
        <v>5796</v>
      </c>
      <c r="F1388" s="23"/>
      <c r="G1388" s="23">
        <f t="shared" si="5"/>
        <v>147.81</v>
      </c>
      <c r="H1388" s="23"/>
      <c r="I1388" s="23"/>
    </row>
    <row r="1389" spans="1:9">
      <c r="A1389" s="21" t="s">
        <v>972</v>
      </c>
      <c r="B1389" s="21" t="s">
        <v>974</v>
      </c>
      <c r="C1389" s="22">
        <v>300</v>
      </c>
      <c r="D1389" s="21">
        <v>12594.31</v>
      </c>
      <c r="E1389" s="21" t="s">
        <v>5796</v>
      </c>
      <c r="F1389" s="23"/>
      <c r="G1389" s="23">
        <f t="shared" si="5"/>
        <v>12594.31</v>
      </c>
      <c r="H1389" s="23"/>
      <c r="I1389" s="23"/>
    </row>
    <row r="1390" spans="1:9">
      <c r="A1390" s="21" t="s">
        <v>6730</v>
      </c>
      <c r="B1390" s="21" t="s">
        <v>4705</v>
      </c>
      <c r="C1390" s="22">
        <v>1885</v>
      </c>
      <c r="D1390" s="21">
        <v>168.11</v>
      </c>
      <c r="E1390" s="21" t="s">
        <v>5796</v>
      </c>
      <c r="F1390" s="23"/>
      <c r="G1390" s="23">
        <f t="shared" si="5"/>
        <v>168.11</v>
      </c>
      <c r="H1390" s="23"/>
      <c r="I1390" s="23"/>
    </row>
    <row r="1391" spans="1:9">
      <c r="A1391" s="21" t="s">
        <v>6731</v>
      </c>
      <c r="B1391" s="21" t="s">
        <v>3208</v>
      </c>
      <c r="C1391" s="22">
        <v>1029</v>
      </c>
      <c r="D1391" s="21">
        <v>1073.17</v>
      </c>
      <c r="E1391" s="21" t="s">
        <v>5796</v>
      </c>
      <c r="F1391" s="23"/>
      <c r="G1391" s="23">
        <f t="shared" si="5"/>
        <v>1073.17</v>
      </c>
      <c r="H1391" s="23"/>
      <c r="I1391" s="23"/>
    </row>
    <row r="1392" spans="1:9">
      <c r="A1392" s="21" t="s">
        <v>6732</v>
      </c>
      <c r="B1392" s="21" t="s">
        <v>2950</v>
      </c>
      <c r="C1392" s="22">
        <v>950</v>
      </c>
      <c r="D1392" s="21">
        <v>1315.31</v>
      </c>
      <c r="E1392" s="21" t="s">
        <v>5796</v>
      </c>
      <c r="F1392" s="23"/>
      <c r="G1392" s="23">
        <f t="shared" si="5"/>
        <v>1315.31</v>
      </c>
      <c r="H1392" s="23"/>
      <c r="I1392" s="23"/>
    </row>
    <row r="1393" spans="1:9">
      <c r="A1393" s="21" t="s">
        <v>3833</v>
      </c>
      <c r="B1393" s="21" t="s">
        <v>3835</v>
      </c>
      <c r="C1393" s="22">
        <v>1419</v>
      </c>
      <c r="D1393" s="21">
        <v>398.13</v>
      </c>
      <c r="E1393" s="21" t="s">
        <v>5796</v>
      </c>
      <c r="F1393" s="23"/>
      <c r="G1393" s="23">
        <f t="shared" si="5"/>
        <v>398.13</v>
      </c>
      <c r="H1393" s="23"/>
      <c r="I1393" s="23"/>
    </row>
    <row r="1394" spans="1:9">
      <c r="A1394" s="21" t="s">
        <v>1140</v>
      </c>
      <c r="B1394" s="21" t="s">
        <v>1142</v>
      </c>
      <c r="C1394" s="22">
        <v>375</v>
      </c>
      <c r="D1394" s="21">
        <v>8618.8700000000008</v>
      </c>
      <c r="E1394" s="21" t="s">
        <v>5796</v>
      </c>
      <c r="F1394" s="23"/>
      <c r="G1394" s="23">
        <f t="shared" si="5"/>
        <v>8618.8700000000008</v>
      </c>
      <c r="H1394" s="23"/>
      <c r="I1394" s="23"/>
    </row>
    <row r="1395" spans="1:9">
      <c r="A1395" s="21" t="s">
        <v>5494</v>
      </c>
      <c r="B1395" s="21" t="s">
        <v>5496</v>
      </c>
      <c r="C1395" s="22">
        <v>2838</v>
      </c>
      <c r="D1395" s="21">
        <v>38.1</v>
      </c>
      <c r="E1395" s="21" t="s">
        <v>5796</v>
      </c>
      <c r="F1395" s="23"/>
      <c r="G1395" s="23">
        <f t="shared" si="5"/>
        <v>38.1</v>
      </c>
      <c r="H1395" s="23"/>
      <c r="I1395" s="23"/>
    </row>
    <row r="1396" spans="1:9">
      <c r="A1396" s="21" t="s">
        <v>6733</v>
      </c>
      <c r="B1396" s="21" t="s">
        <v>4864</v>
      </c>
      <c r="C1396" s="22">
        <v>1984</v>
      </c>
      <c r="D1396" s="21">
        <v>146.72</v>
      </c>
      <c r="E1396" s="21" t="s">
        <v>5796</v>
      </c>
      <c r="F1396" s="23"/>
      <c r="G1396" s="23">
        <f t="shared" si="5"/>
        <v>146.72</v>
      </c>
      <c r="H1396" s="23"/>
      <c r="I1396" s="23"/>
    </row>
    <row r="1397" spans="1:9">
      <c r="A1397" s="21" t="s">
        <v>6734</v>
      </c>
      <c r="B1397" s="21" t="s">
        <v>1181</v>
      </c>
      <c r="C1397" s="22">
        <v>511</v>
      </c>
      <c r="D1397" s="21">
        <v>5050.63</v>
      </c>
      <c r="E1397" s="21" t="s">
        <v>5796</v>
      </c>
      <c r="F1397" s="23"/>
      <c r="G1397" s="23">
        <f t="shared" si="5"/>
        <v>5050.63</v>
      </c>
      <c r="H1397" s="23"/>
      <c r="I1397" s="23"/>
    </row>
    <row r="1398" spans="1:9">
      <c r="A1398" s="21" t="s">
        <v>6735</v>
      </c>
      <c r="B1398" s="21" t="s">
        <v>1178</v>
      </c>
      <c r="C1398" s="22">
        <v>3407</v>
      </c>
      <c r="D1398" s="21">
        <v>16.760000000000002</v>
      </c>
      <c r="E1398" s="21" t="s">
        <v>5796</v>
      </c>
      <c r="F1398" s="23"/>
      <c r="G1398" s="23">
        <f t="shared" si="5"/>
        <v>16.760000000000002</v>
      </c>
      <c r="H1398" s="23"/>
      <c r="I1398" s="23"/>
    </row>
    <row r="1399" spans="1:9">
      <c r="A1399" s="21" t="s">
        <v>6736</v>
      </c>
      <c r="B1399" s="21" t="s">
        <v>3190</v>
      </c>
      <c r="C1399" s="22">
        <v>1149</v>
      </c>
      <c r="D1399" s="21">
        <v>787.64</v>
      </c>
      <c r="E1399" s="21" t="s">
        <v>5796</v>
      </c>
      <c r="F1399" s="23"/>
      <c r="G1399" s="23">
        <f t="shared" si="5"/>
        <v>787.64</v>
      </c>
      <c r="H1399" s="23"/>
      <c r="I1399" s="23"/>
    </row>
    <row r="1400" spans="1:9">
      <c r="A1400" s="21" t="s">
        <v>6737</v>
      </c>
      <c r="B1400" s="21" t="s">
        <v>6738</v>
      </c>
      <c r="C1400" s="22">
        <v>1870</v>
      </c>
      <c r="D1400" s="21">
        <v>173.52</v>
      </c>
      <c r="E1400" s="21" t="s">
        <v>5796</v>
      </c>
      <c r="F1400" s="23"/>
      <c r="G1400" s="23">
        <f t="shared" si="5"/>
        <v>173.52</v>
      </c>
      <c r="H1400" s="23"/>
      <c r="I1400" s="23"/>
    </row>
    <row r="1401" spans="1:9">
      <c r="A1401" s="21" t="s">
        <v>6739</v>
      </c>
      <c r="B1401" s="21" t="s">
        <v>3514</v>
      </c>
      <c r="C1401" s="22">
        <v>1147</v>
      </c>
      <c r="D1401" s="21">
        <v>794.4</v>
      </c>
      <c r="E1401" s="21" t="s">
        <v>5796</v>
      </c>
      <c r="F1401" s="23"/>
      <c r="G1401" s="23">
        <f t="shared" si="5"/>
        <v>794.4</v>
      </c>
      <c r="H1401" s="23"/>
      <c r="I1401" s="23"/>
    </row>
    <row r="1402" spans="1:9">
      <c r="A1402" s="21" t="s">
        <v>1665</v>
      </c>
      <c r="B1402" s="21" t="s">
        <v>1667</v>
      </c>
      <c r="C1402" s="22">
        <v>500</v>
      </c>
      <c r="D1402" s="21">
        <v>5225.9799999999996</v>
      </c>
      <c r="E1402" s="21" t="s">
        <v>5796</v>
      </c>
      <c r="F1402" s="23"/>
      <c r="G1402" s="23">
        <f t="shared" si="5"/>
        <v>5225.9799999999996</v>
      </c>
      <c r="H1402" s="23"/>
      <c r="I1402" s="23"/>
    </row>
    <row r="1403" spans="1:9">
      <c r="A1403" s="21" t="s">
        <v>6740</v>
      </c>
      <c r="B1403" s="21" t="s">
        <v>5601</v>
      </c>
      <c r="C1403" s="22">
        <v>3036</v>
      </c>
      <c r="D1403" s="21">
        <v>28.84</v>
      </c>
      <c r="E1403" s="21" t="s">
        <v>5796</v>
      </c>
      <c r="F1403" s="23"/>
      <c r="G1403" s="23">
        <f t="shared" si="5"/>
        <v>28.84</v>
      </c>
      <c r="H1403" s="23"/>
      <c r="I1403" s="23"/>
    </row>
    <row r="1404" spans="1:9">
      <c r="A1404" s="21" t="s">
        <v>6741</v>
      </c>
      <c r="B1404" s="21" t="s">
        <v>6742</v>
      </c>
      <c r="C1404" s="22">
        <v>2817</v>
      </c>
      <c r="D1404" s="21">
        <v>39.47</v>
      </c>
      <c r="E1404" s="21" t="s">
        <v>5796</v>
      </c>
      <c r="F1404" s="23"/>
      <c r="G1404" s="23">
        <f t="shared" si="5"/>
        <v>39.47</v>
      </c>
      <c r="H1404" s="23"/>
      <c r="I1404" s="23"/>
    </row>
    <row r="1405" spans="1:9">
      <c r="A1405" s="21" t="s">
        <v>6743</v>
      </c>
      <c r="B1405" s="21" t="s">
        <v>5182</v>
      </c>
      <c r="C1405" s="22">
        <v>2142</v>
      </c>
      <c r="D1405" s="21">
        <v>114.57</v>
      </c>
      <c r="E1405" s="21" t="s">
        <v>5796</v>
      </c>
      <c r="F1405" s="23"/>
      <c r="G1405" s="23">
        <f t="shared" si="5"/>
        <v>114.57</v>
      </c>
      <c r="H1405" s="23"/>
      <c r="I1405" s="23"/>
    </row>
    <row r="1406" spans="1:9">
      <c r="A1406" s="21" t="s">
        <v>6744</v>
      </c>
      <c r="B1406" s="21" t="s">
        <v>1901</v>
      </c>
      <c r="C1406" s="22">
        <v>586</v>
      </c>
      <c r="D1406" s="21">
        <v>3882.16</v>
      </c>
      <c r="E1406" s="21" t="s">
        <v>5796</v>
      </c>
      <c r="F1406" s="23"/>
      <c r="G1406" s="23">
        <f t="shared" si="5"/>
        <v>3882.16</v>
      </c>
      <c r="H1406" s="23"/>
      <c r="I1406" s="23"/>
    </row>
    <row r="1407" spans="1:9">
      <c r="A1407" s="21" t="s">
        <v>2849</v>
      </c>
      <c r="B1407" s="21" t="s">
        <v>2851</v>
      </c>
      <c r="C1407" s="22">
        <v>1038</v>
      </c>
      <c r="D1407" s="21">
        <v>1055.53</v>
      </c>
      <c r="E1407" s="21" t="s">
        <v>5796</v>
      </c>
      <c r="F1407" s="23"/>
      <c r="G1407" s="23">
        <f t="shared" si="5"/>
        <v>1055.53</v>
      </c>
      <c r="H1407" s="23"/>
      <c r="I1407" s="23"/>
    </row>
    <row r="1408" spans="1:9">
      <c r="A1408" s="21" t="s">
        <v>6745</v>
      </c>
      <c r="B1408" s="21" t="s">
        <v>3241</v>
      </c>
      <c r="C1408" s="22">
        <v>1077</v>
      </c>
      <c r="D1408" s="21">
        <v>951.4</v>
      </c>
      <c r="E1408" s="21" t="s">
        <v>5796</v>
      </c>
      <c r="F1408" s="23"/>
      <c r="G1408" s="23">
        <f t="shared" si="5"/>
        <v>951.4</v>
      </c>
      <c r="H1408" s="23"/>
      <c r="I1408" s="23"/>
    </row>
    <row r="1409" spans="1:9">
      <c r="A1409" s="21" t="s">
        <v>6746</v>
      </c>
      <c r="B1409" s="21" t="s">
        <v>1256</v>
      </c>
      <c r="C1409" s="22">
        <v>383</v>
      </c>
      <c r="D1409" s="21">
        <v>8316.91</v>
      </c>
      <c r="E1409" s="21" t="s">
        <v>5796</v>
      </c>
      <c r="F1409" s="23"/>
      <c r="G1409" s="23">
        <f t="shared" si="5"/>
        <v>8316.91</v>
      </c>
      <c r="H1409" s="23"/>
      <c r="I1409" s="23"/>
    </row>
    <row r="1410" spans="1:9">
      <c r="A1410" s="21" t="s">
        <v>2669</v>
      </c>
      <c r="B1410" s="21" t="s">
        <v>2671</v>
      </c>
      <c r="C1410" s="22">
        <v>942</v>
      </c>
      <c r="D1410" s="21">
        <v>1340.07</v>
      </c>
      <c r="E1410" s="21" t="s">
        <v>5796</v>
      </c>
      <c r="F1410" s="23"/>
      <c r="G1410" s="23">
        <f t="shared" si="5"/>
        <v>1340.07</v>
      </c>
      <c r="H1410" s="23"/>
      <c r="I1410" s="23"/>
    </row>
    <row r="1411" spans="1:9">
      <c r="A1411" s="21" t="s">
        <v>1509</v>
      </c>
      <c r="B1411" s="21" t="s">
        <v>1511</v>
      </c>
      <c r="C1411" s="22">
        <v>541</v>
      </c>
      <c r="D1411" s="21">
        <v>4503.46</v>
      </c>
      <c r="E1411" s="21" t="s">
        <v>5796</v>
      </c>
      <c r="F1411" s="23"/>
      <c r="G1411" s="23">
        <f t="shared" si="5"/>
        <v>4503.46</v>
      </c>
      <c r="H1411" s="23"/>
      <c r="I1411" s="23"/>
    </row>
    <row r="1412" spans="1:9">
      <c r="A1412" s="21" t="s">
        <v>6747</v>
      </c>
      <c r="B1412" s="21" t="s">
        <v>4438</v>
      </c>
      <c r="C1412" s="22">
        <v>1898</v>
      </c>
      <c r="D1412" s="21">
        <v>166.02</v>
      </c>
      <c r="E1412" s="21" t="s">
        <v>5796</v>
      </c>
      <c r="F1412" s="23"/>
      <c r="G1412" s="23">
        <f t="shared" si="5"/>
        <v>166.02</v>
      </c>
      <c r="H1412" s="23"/>
      <c r="I1412" s="23"/>
    </row>
    <row r="1413" spans="1:9">
      <c r="A1413" s="21" t="s">
        <v>6748</v>
      </c>
      <c r="B1413" s="21" t="s">
        <v>4621</v>
      </c>
      <c r="C1413" s="22">
        <v>1843</v>
      </c>
      <c r="D1413" s="21">
        <v>183.24</v>
      </c>
      <c r="E1413" s="21" t="s">
        <v>5796</v>
      </c>
      <c r="F1413" s="23"/>
      <c r="G1413" s="23">
        <f t="shared" si="5"/>
        <v>183.24</v>
      </c>
      <c r="H1413" s="23"/>
      <c r="I1413" s="23"/>
    </row>
    <row r="1414" spans="1:9">
      <c r="A1414" s="21" t="s">
        <v>2828</v>
      </c>
      <c r="B1414" s="21" t="s">
        <v>2830</v>
      </c>
      <c r="C1414" s="22">
        <v>969</v>
      </c>
      <c r="D1414" s="21">
        <v>1262.47</v>
      </c>
      <c r="E1414" s="21" t="s">
        <v>5796</v>
      </c>
      <c r="F1414" s="23"/>
      <c r="G1414" s="23">
        <f t="shared" si="5"/>
        <v>1262.47</v>
      </c>
      <c r="H1414" s="23"/>
      <c r="I1414" s="23"/>
    </row>
    <row r="1415" spans="1:9">
      <c r="A1415" s="21" t="s">
        <v>6749</v>
      </c>
      <c r="B1415" s="21" t="s">
        <v>5008</v>
      </c>
      <c r="C1415" s="22">
        <v>2393</v>
      </c>
      <c r="D1415" s="21">
        <v>73.989999999999995</v>
      </c>
      <c r="E1415" s="21" t="s">
        <v>5796</v>
      </c>
      <c r="F1415" s="23"/>
      <c r="G1415" s="23">
        <f t="shared" si="5"/>
        <v>73.989999999999995</v>
      </c>
      <c r="H1415" s="23"/>
      <c r="I1415" s="23"/>
    </row>
    <row r="1416" spans="1:9">
      <c r="A1416" s="21" t="s">
        <v>3458</v>
      </c>
      <c r="B1416" s="21" t="s">
        <v>3460</v>
      </c>
      <c r="C1416" s="22">
        <v>1129</v>
      </c>
      <c r="D1416" s="21">
        <v>829.4</v>
      </c>
      <c r="E1416" s="21" t="s">
        <v>5796</v>
      </c>
      <c r="F1416" s="23"/>
      <c r="G1416" s="23">
        <f t="shared" si="5"/>
        <v>829.4</v>
      </c>
      <c r="H1416" s="23"/>
      <c r="I1416" s="23"/>
    </row>
    <row r="1417" spans="1:9">
      <c r="A1417" s="21" t="s">
        <v>1719</v>
      </c>
      <c r="B1417" s="21" t="s">
        <v>1721</v>
      </c>
      <c r="C1417" s="22">
        <v>633</v>
      </c>
      <c r="D1417" s="21">
        <v>3248.79</v>
      </c>
      <c r="E1417" s="21" t="s">
        <v>5796</v>
      </c>
      <c r="F1417" s="23"/>
      <c r="G1417" s="23">
        <f t="shared" si="5"/>
        <v>3248.79</v>
      </c>
      <c r="H1417" s="23"/>
      <c r="I1417" s="23"/>
    </row>
    <row r="1418" spans="1:9">
      <c r="A1418" s="21" t="s">
        <v>6750</v>
      </c>
      <c r="B1418" s="21" t="s">
        <v>1400</v>
      </c>
      <c r="C1418" s="22">
        <v>481</v>
      </c>
      <c r="D1418" s="21">
        <v>5507.36</v>
      </c>
      <c r="E1418" s="21" t="s">
        <v>5796</v>
      </c>
      <c r="F1418" s="23"/>
      <c r="G1418" s="23">
        <f t="shared" si="5"/>
        <v>5507.36</v>
      </c>
      <c r="H1418" s="23"/>
      <c r="I1418" s="23"/>
    </row>
    <row r="1419" spans="1:9">
      <c r="A1419" s="21" t="s">
        <v>2078</v>
      </c>
      <c r="B1419" s="21" t="s">
        <v>2080</v>
      </c>
      <c r="C1419" s="22">
        <v>806</v>
      </c>
      <c r="D1419" s="21">
        <v>1908.34</v>
      </c>
      <c r="E1419" s="21" t="s">
        <v>5796</v>
      </c>
      <c r="F1419" s="23"/>
      <c r="G1419" s="23">
        <f t="shared" si="5"/>
        <v>1908.34</v>
      </c>
      <c r="H1419" s="23"/>
      <c r="I1419" s="23"/>
    </row>
    <row r="1420" spans="1:9">
      <c r="A1420" s="21" t="s">
        <v>6751</v>
      </c>
      <c r="B1420" s="21" t="s">
        <v>3625</v>
      </c>
      <c r="C1420" s="22">
        <v>1237</v>
      </c>
      <c r="D1420" s="21">
        <v>624.65</v>
      </c>
      <c r="E1420" s="21" t="s">
        <v>5796</v>
      </c>
      <c r="F1420" s="23"/>
      <c r="G1420" s="23">
        <f t="shared" si="5"/>
        <v>624.65</v>
      </c>
      <c r="H1420" s="23"/>
      <c r="I1420" s="23"/>
    </row>
    <row r="1421" spans="1:9">
      <c r="A1421" s="21" t="s">
        <v>6752</v>
      </c>
      <c r="B1421" s="21" t="s">
        <v>4540</v>
      </c>
      <c r="C1421" s="22">
        <v>1813</v>
      </c>
      <c r="D1421" s="21">
        <v>190.93</v>
      </c>
      <c r="E1421" s="21" t="s">
        <v>5796</v>
      </c>
      <c r="F1421" s="23"/>
      <c r="G1421" s="23">
        <f t="shared" si="5"/>
        <v>190.93</v>
      </c>
      <c r="H1421" s="23"/>
      <c r="I1421" s="23"/>
    </row>
    <row r="1422" spans="1:9">
      <c r="A1422" s="21" t="s">
        <v>6753</v>
      </c>
      <c r="B1422" s="21" t="s">
        <v>4189</v>
      </c>
      <c r="C1422" s="22">
        <v>1519</v>
      </c>
      <c r="D1422" s="21">
        <v>333.09</v>
      </c>
      <c r="E1422" s="21" t="s">
        <v>5796</v>
      </c>
      <c r="F1422" s="23"/>
      <c r="G1422" s="23">
        <f t="shared" si="5"/>
        <v>333.09</v>
      </c>
      <c r="H1422" s="23"/>
      <c r="I1422" s="23"/>
    </row>
    <row r="1423" spans="1:9">
      <c r="A1423" s="21" t="s">
        <v>6754</v>
      </c>
      <c r="B1423" s="21" t="s">
        <v>2629</v>
      </c>
      <c r="C1423" s="22">
        <v>791</v>
      </c>
      <c r="D1423" s="21">
        <v>1972.66</v>
      </c>
      <c r="E1423" s="21" t="s">
        <v>5796</v>
      </c>
      <c r="F1423" s="23"/>
      <c r="G1423" s="23">
        <f t="shared" si="5"/>
        <v>1972.66</v>
      </c>
      <c r="H1423" s="23"/>
      <c r="I1423" s="23"/>
    </row>
    <row r="1424" spans="1:9">
      <c r="A1424" s="21" t="s">
        <v>3494</v>
      </c>
      <c r="B1424" s="21" t="s">
        <v>3496</v>
      </c>
      <c r="C1424" s="22">
        <v>1186</v>
      </c>
      <c r="D1424" s="21">
        <v>715.35</v>
      </c>
      <c r="E1424" s="21" t="s">
        <v>5796</v>
      </c>
      <c r="F1424" s="23"/>
      <c r="G1424" s="23">
        <f t="shared" si="5"/>
        <v>715.35</v>
      </c>
      <c r="H1424" s="23"/>
      <c r="I1424" s="23"/>
    </row>
    <row r="1425" spans="1:9">
      <c r="A1425" s="21" t="s">
        <v>1596</v>
      </c>
      <c r="B1425" s="21" t="s">
        <v>1598</v>
      </c>
      <c r="C1425" s="22">
        <v>478</v>
      </c>
      <c r="D1425" s="21">
        <v>5577.31</v>
      </c>
      <c r="E1425" s="21" t="s">
        <v>5796</v>
      </c>
      <c r="F1425" s="23"/>
      <c r="G1425" s="23">
        <f t="shared" si="5"/>
        <v>5577.31</v>
      </c>
      <c r="H1425" s="23"/>
      <c r="I1425" s="23"/>
    </row>
    <row r="1426" spans="1:9">
      <c r="A1426" s="21" t="s">
        <v>4646</v>
      </c>
      <c r="B1426" s="21" t="s">
        <v>4648</v>
      </c>
      <c r="C1426" s="22">
        <v>2001</v>
      </c>
      <c r="D1426" s="21">
        <v>143.94</v>
      </c>
      <c r="E1426" s="21" t="s">
        <v>5796</v>
      </c>
      <c r="F1426" s="23"/>
      <c r="G1426" s="23">
        <f t="shared" si="5"/>
        <v>143.94</v>
      </c>
      <c r="H1426" s="23"/>
      <c r="I1426" s="23"/>
    </row>
    <row r="1427" spans="1:9">
      <c r="A1427" s="24" t="s">
        <v>597</v>
      </c>
      <c r="B1427" s="24" t="s">
        <v>599</v>
      </c>
      <c r="C1427" s="25">
        <v>238</v>
      </c>
      <c r="D1427" s="24">
        <v>18709.25</v>
      </c>
      <c r="E1427" s="24" t="s">
        <v>5800</v>
      </c>
      <c r="F1427" s="26"/>
      <c r="G1427" s="23">
        <f t="shared" si="5"/>
        <v>18709.25</v>
      </c>
      <c r="H1427" s="26"/>
      <c r="I1427" s="26"/>
    </row>
    <row r="1428" spans="1:9">
      <c r="A1428" s="21" t="s">
        <v>6755</v>
      </c>
      <c r="B1428" s="21" t="s">
        <v>5421</v>
      </c>
      <c r="C1428" s="22">
        <v>3316</v>
      </c>
      <c r="D1428" s="21">
        <v>19.059999999999999</v>
      </c>
      <c r="E1428" s="21" t="s">
        <v>5796</v>
      </c>
      <c r="F1428" s="23"/>
      <c r="G1428" s="23">
        <f t="shared" si="5"/>
        <v>19.059999999999999</v>
      </c>
      <c r="H1428" s="23"/>
      <c r="I1428" s="23"/>
    </row>
    <row r="1429" spans="1:9">
      <c r="A1429" s="21" t="s">
        <v>5779</v>
      </c>
      <c r="B1429" s="21" t="s">
        <v>5781</v>
      </c>
      <c r="C1429" s="22">
        <v>4381</v>
      </c>
      <c r="D1429" s="21">
        <v>4.01</v>
      </c>
      <c r="E1429" s="21" t="s">
        <v>5796</v>
      </c>
      <c r="F1429" s="23"/>
      <c r="G1429" s="23">
        <f t="shared" si="5"/>
        <v>4.01</v>
      </c>
      <c r="H1429" s="23"/>
      <c r="I1429" s="23"/>
    </row>
    <row r="1430" spans="1:9">
      <c r="A1430" s="21" t="s">
        <v>6756</v>
      </c>
      <c r="B1430" s="21" t="s">
        <v>6757</v>
      </c>
      <c r="C1430" s="22">
        <v>4116</v>
      </c>
      <c r="D1430" s="21">
        <v>6.01</v>
      </c>
      <c r="E1430" s="21" t="s">
        <v>5796</v>
      </c>
      <c r="F1430" s="23"/>
      <c r="G1430" s="23">
        <f t="shared" si="5"/>
        <v>6.01</v>
      </c>
      <c r="H1430" s="23"/>
      <c r="I1430" s="23"/>
    </row>
    <row r="1431" spans="1:9">
      <c r="A1431" s="21" t="s">
        <v>6758</v>
      </c>
      <c r="B1431" s="21" t="s">
        <v>4486</v>
      </c>
      <c r="C1431" s="22">
        <v>1788</v>
      </c>
      <c r="D1431" s="21">
        <v>200.5</v>
      </c>
      <c r="E1431" s="21" t="s">
        <v>5796</v>
      </c>
      <c r="F1431" s="23"/>
      <c r="G1431" s="23">
        <f t="shared" si="5"/>
        <v>200.5</v>
      </c>
      <c r="H1431" s="23"/>
      <c r="I1431" s="23"/>
    </row>
    <row r="1432" spans="1:9">
      <c r="A1432" s="21" t="s">
        <v>4928</v>
      </c>
      <c r="B1432" s="21" t="s">
        <v>4930</v>
      </c>
      <c r="C1432" s="22">
        <v>1971</v>
      </c>
      <c r="D1432" s="21">
        <v>149.55000000000001</v>
      </c>
      <c r="E1432" s="21" t="s">
        <v>5796</v>
      </c>
      <c r="F1432" s="23"/>
      <c r="G1432" s="23">
        <f t="shared" si="5"/>
        <v>149.55000000000001</v>
      </c>
      <c r="H1432" s="23"/>
      <c r="I1432" s="23"/>
    </row>
    <row r="1433" spans="1:9">
      <c r="A1433" s="21" t="s">
        <v>6759</v>
      </c>
      <c r="B1433" s="21" t="s">
        <v>2575</v>
      </c>
      <c r="C1433" s="22">
        <v>705</v>
      </c>
      <c r="D1433" s="21">
        <v>2543.92</v>
      </c>
      <c r="E1433" s="21" t="s">
        <v>5796</v>
      </c>
      <c r="F1433" s="23"/>
      <c r="G1433" s="23">
        <f t="shared" si="5"/>
        <v>2543.92</v>
      </c>
      <c r="H1433" s="23"/>
      <c r="I1433" s="23"/>
    </row>
    <row r="1434" spans="1:9">
      <c r="A1434" s="21" t="s">
        <v>6760</v>
      </c>
      <c r="B1434" s="21" t="s">
        <v>1319</v>
      </c>
      <c r="C1434" s="22">
        <v>498</v>
      </c>
      <c r="D1434" s="21">
        <v>5288.98</v>
      </c>
      <c r="E1434" s="21" t="s">
        <v>5796</v>
      </c>
      <c r="F1434" s="23"/>
      <c r="G1434" s="23">
        <f t="shared" si="5"/>
        <v>5288.98</v>
      </c>
      <c r="H1434" s="23"/>
      <c r="I1434" s="23"/>
    </row>
    <row r="1435" spans="1:9">
      <c r="A1435" s="21" t="s">
        <v>6761</v>
      </c>
      <c r="B1435" s="21" t="s">
        <v>5526</v>
      </c>
      <c r="C1435" s="22">
        <v>2803</v>
      </c>
      <c r="D1435" s="21">
        <v>40.229999999999997</v>
      </c>
      <c r="E1435" s="21" t="s">
        <v>5796</v>
      </c>
      <c r="F1435" s="23"/>
      <c r="G1435" s="23">
        <f t="shared" si="5"/>
        <v>40.229999999999997</v>
      </c>
      <c r="H1435" s="23"/>
      <c r="I1435" s="23"/>
    </row>
    <row r="1436" spans="1:9">
      <c r="A1436" s="21" t="s">
        <v>6762</v>
      </c>
      <c r="B1436" s="21" t="s">
        <v>2257</v>
      </c>
      <c r="C1436" s="22">
        <v>683</v>
      </c>
      <c r="D1436" s="21">
        <v>2729.18</v>
      </c>
      <c r="E1436" s="21" t="s">
        <v>5796</v>
      </c>
      <c r="F1436" s="23"/>
      <c r="G1436" s="23">
        <f t="shared" si="5"/>
        <v>2729.18</v>
      </c>
      <c r="H1436" s="23"/>
      <c r="I1436" s="23"/>
    </row>
    <row r="1437" spans="1:9">
      <c r="A1437" s="21" t="s">
        <v>4481</v>
      </c>
      <c r="B1437" s="21" t="s">
        <v>4483</v>
      </c>
      <c r="C1437" s="22">
        <v>1761</v>
      </c>
      <c r="D1437" s="21">
        <v>209.85</v>
      </c>
      <c r="E1437" s="21" t="s">
        <v>5796</v>
      </c>
      <c r="F1437" s="23"/>
      <c r="G1437" s="23">
        <f t="shared" si="5"/>
        <v>209.85</v>
      </c>
      <c r="H1437" s="23"/>
      <c r="I1437" s="23"/>
    </row>
    <row r="1438" spans="1:9">
      <c r="A1438" s="21" t="s">
        <v>6763</v>
      </c>
      <c r="B1438" s="21" t="s">
        <v>4078</v>
      </c>
      <c r="C1438" s="22">
        <v>1415</v>
      </c>
      <c r="D1438" s="21">
        <v>399.08</v>
      </c>
      <c r="E1438" s="21" t="s">
        <v>5796</v>
      </c>
      <c r="F1438" s="23"/>
      <c r="G1438" s="23">
        <f t="shared" si="5"/>
        <v>399.08</v>
      </c>
      <c r="H1438" s="23"/>
      <c r="I1438" s="23"/>
    </row>
    <row r="1439" spans="1:9">
      <c r="A1439" s="24" t="s">
        <v>6764</v>
      </c>
      <c r="B1439" s="24" t="s">
        <v>509</v>
      </c>
      <c r="C1439" s="25">
        <v>149</v>
      </c>
      <c r="D1439" s="24">
        <v>35121.230000000003</v>
      </c>
      <c r="E1439" s="24" t="s">
        <v>5800</v>
      </c>
      <c r="F1439" s="26"/>
      <c r="G1439" s="23">
        <f t="shared" si="5"/>
        <v>35121.230000000003</v>
      </c>
      <c r="H1439" s="26"/>
      <c r="I1439" s="26"/>
    </row>
    <row r="1440" spans="1:9">
      <c r="A1440" s="21" t="s">
        <v>6765</v>
      </c>
      <c r="B1440" s="21" t="s">
        <v>3727</v>
      </c>
      <c r="C1440" s="22">
        <v>1363</v>
      </c>
      <c r="D1440" s="21">
        <v>442.67</v>
      </c>
      <c r="E1440" s="21" t="s">
        <v>5796</v>
      </c>
      <c r="F1440" s="23"/>
      <c r="G1440" s="23">
        <f t="shared" si="5"/>
        <v>442.67</v>
      </c>
      <c r="H1440" s="23"/>
      <c r="I1440" s="23"/>
    </row>
    <row r="1441" spans="1:9">
      <c r="A1441" s="21" t="s">
        <v>6766</v>
      </c>
      <c r="B1441" s="21" t="s">
        <v>4294</v>
      </c>
      <c r="C1441" s="22">
        <v>1632</v>
      </c>
      <c r="D1441" s="21">
        <v>270.20999999999998</v>
      </c>
      <c r="E1441" s="21" t="s">
        <v>5796</v>
      </c>
      <c r="F1441" s="23"/>
      <c r="G1441" s="23">
        <f t="shared" si="5"/>
        <v>270.20999999999998</v>
      </c>
      <c r="H1441" s="23"/>
      <c r="I1441" s="23"/>
    </row>
    <row r="1442" spans="1:9">
      <c r="A1442" s="21" t="s">
        <v>2165</v>
      </c>
      <c r="B1442" s="21" t="s">
        <v>2167</v>
      </c>
      <c r="C1442" s="22">
        <v>808</v>
      </c>
      <c r="D1442" s="21">
        <v>1905.3</v>
      </c>
      <c r="E1442" s="21" t="s">
        <v>5796</v>
      </c>
      <c r="F1442" s="23"/>
      <c r="G1442" s="23">
        <f t="shared" si="5"/>
        <v>1905.3</v>
      </c>
      <c r="H1442" s="23"/>
      <c r="I1442" s="23"/>
    </row>
    <row r="1443" spans="1:9">
      <c r="A1443" s="21" t="s">
        <v>6767</v>
      </c>
      <c r="B1443" s="21" t="s">
        <v>4216</v>
      </c>
      <c r="C1443" s="22">
        <v>1547</v>
      </c>
      <c r="D1443" s="21">
        <v>317.37</v>
      </c>
      <c r="E1443" s="21" t="s">
        <v>5796</v>
      </c>
      <c r="F1443" s="23"/>
      <c r="G1443" s="23">
        <f t="shared" si="5"/>
        <v>317.37</v>
      </c>
      <c r="H1443" s="23"/>
      <c r="I1443" s="23"/>
    </row>
    <row r="1444" spans="1:9">
      <c r="A1444" s="21" t="s">
        <v>2915</v>
      </c>
      <c r="B1444" s="21" t="s">
        <v>2917</v>
      </c>
      <c r="C1444" s="22">
        <v>916</v>
      </c>
      <c r="D1444" s="21">
        <v>1415.27</v>
      </c>
      <c r="E1444" s="21" t="s">
        <v>5796</v>
      </c>
      <c r="F1444" s="23"/>
      <c r="G1444" s="23">
        <f t="shared" si="5"/>
        <v>1415.27</v>
      </c>
      <c r="H1444" s="23"/>
      <c r="I1444" s="23"/>
    </row>
    <row r="1445" spans="1:9">
      <c r="A1445" s="21" t="s">
        <v>6768</v>
      </c>
      <c r="B1445" s="21" t="s">
        <v>4945</v>
      </c>
      <c r="C1445" s="22">
        <v>2049</v>
      </c>
      <c r="D1445" s="21">
        <v>132.05000000000001</v>
      </c>
      <c r="E1445" s="21" t="s">
        <v>5796</v>
      </c>
      <c r="F1445" s="23"/>
      <c r="G1445" s="23">
        <f t="shared" si="5"/>
        <v>132.05000000000001</v>
      </c>
      <c r="H1445" s="23"/>
      <c r="I1445" s="23"/>
    </row>
    <row r="1446" spans="1:9">
      <c r="A1446" s="21" t="s">
        <v>6769</v>
      </c>
      <c r="B1446" s="21" t="s">
        <v>4948</v>
      </c>
      <c r="C1446" s="22">
        <v>1999</v>
      </c>
      <c r="D1446" s="21">
        <v>144.12</v>
      </c>
      <c r="E1446" s="21" t="s">
        <v>5796</v>
      </c>
      <c r="F1446" s="23"/>
      <c r="G1446" s="23">
        <f t="shared" si="5"/>
        <v>144.12</v>
      </c>
      <c r="H1446" s="23"/>
      <c r="I1446" s="23"/>
    </row>
    <row r="1447" spans="1:9">
      <c r="A1447" s="21" t="s">
        <v>6770</v>
      </c>
      <c r="B1447" s="21" t="s">
        <v>3811</v>
      </c>
      <c r="C1447" s="22">
        <v>1331</v>
      </c>
      <c r="D1447" s="21">
        <v>479.42</v>
      </c>
      <c r="E1447" s="21" t="s">
        <v>5796</v>
      </c>
      <c r="F1447" s="23"/>
      <c r="G1447" s="23">
        <f t="shared" si="5"/>
        <v>479.42</v>
      </c>
      <c r="H1447" s="23"/>
      <c r="I1447" s="23"/>
    </row>
    <row r="1448" spans="1:9">
      <c r="A1448" s="21" t="s">
        <v>6771</v>
      </c>
      <c r="B1448" s="21" t="s">
        <v>5403</v>
      </c>
      <c r="C1448" s="22">
        <v>2543</v>
      </c>
      <c r="D1448" s="21">
        <v>58.98</v>
      </c>
      <c r="E1448" s="21" t="s">
        <v>5796</v>
      </c>
      <c r="F1448" s="23"/>
      <c r="G1448" s="23">
        <f t="shared" si="5"/>
        <v>58.98</v>
      </c>
      <c r="H1448" s="23"/>
      <c r="I1448" s="23"/>
    </row>
    <row r="1449" spans="1:9">
      <c r="A1449" s="21" t="s">
        <v>6772</v>
      </c>
      <c r="B1449" s="21" t="s">
        <v>5748</v>
      </c>
      <c r="C1449" s="22">
        <v>3675</v>
      </c>
      <c r="D1449" s="21">
        <v>10.91</v>
      </c>
      <c r="E1449" s="21" t="s">
        <v>5796</v>
      </c>
      <c r="F1449" s="23"/>
      <c r="G1449" s="23">
        <f t="shared" si="5"/>
        <v>10.91</v>
      </c>
      <c r="H1449" s="23"/>
      <c r="I1449" s="23"/>
    </row>
    <row r="1450" spans="1:9">
      <c r="A1450" s="21" t="s">
        <v>6773</v>
      </c>
      <c r="B1450" s="21" t="s">
        <v>3619</v>
      </c>
      <c r="C1450" s="22">
        <v>1189</v>
      </c>
      <c r="D1450" s="21">
        <v>710.57</v>
      </c>
      <c r="E1450" s="21" t="s">
        <v>5796</v>
      </c>
      <c r="F1450" s="23"/>
      <c r="G1450" s="23">
        <f t="shared" si="5"/>
        <v>710.57</v>
      </c>
      <c r="H1450" s="23"/>
      <c r="I1450" s="23"/>
    </row>
    <row r="1451" spans="1:9">
      <c r="A1451" s="21" t="s">
        <v>2492</v>
      </c>
      <c r="B1451" s="21" t="s">
        <v>2494</v>
      </c>
      <c r="C1451" s="22">
        <v>913</v>
      </c>
      <c r="D1451" s="21">
        <v>1428.39</v>
      </c>
      <c r="E1451" s="21" t="s">
        <v>5796</v>
      </c>
      <c r="F1451" s="23"/>
      <c r="G1451" s="23">
        <f t="shared" si="5"/>
        <v>1428.39</v>
      </c>
      <c r="H1451" s="23"/>
      <c r="I1451" s="23"/>
    </row>
    <row r="1452" spans="1:9">
      <c r="A1452" s="21" t="s">
        <v>6774</v>
      </c>
      <c r="B1452" s="21" t="s">
        <v>2896</v>
      </c>
      <c r="C1452" s="22">
        <v>1026</v>
      </c>
      <c r="D1452" s="21">
        <v>1077.18</v>
      </c>
      <c r="E1452" s="21" t="s">
        <v>5796</v>
      </c>
      <c r="F1452" s="23"/>
      <c r="G1452" s="23">
        <f t="shared" si="5"/>
        <v>1077.18</v>
      </c>
      <c r="H1452" s="23"/>
      <c r="I1452" s="23"/>
    </row>
    <row r="1453" spans="1:9">
      <c r="A1453" s="21" t="s">
        <v>6775</v>
      </c>
      <c r="B1453" s="21" t="s">
        <v>2326</v>
      </c>
      <c r="C1453" s="22">
        <v>854</v>
      </c>
      <c r="D1453" s="21">
        <v>1704.76</v>
      </c>
      <c r="E1453" s="21" t="s">
        <v>5796</v>
      </c>
      <c r="F1453" s="23"/>
      <c r="G1453" s="23">
        <f t="shared" si="5"/>
        <v>1704.76</v>
      </c>
      <c r="H1453" s="23"/>
      <c r="I1453" s="23"/>
    </row>
    <row r="1454" spans="1:9">
      <c r="A1454" s="21" t="s">
        <v>6776</v>
      </c>
      <c r="B1454" s="21" t="s">
        <v>2287</v>
      </c>
      <c r="C1454" s="22">
        <v>862</v>
      </c>
      <c r="D1454" s="21">
        <v>1657.02</v>
      </c>
      <c r="E1454" s="21" t="s">
        <v>5796</v>
      </c>
      <c r="F1454" s="23"/>
      <c r="G1454" s="23">
        <f t="shared" si="5"/>
        <v>1657.02</v>
      </c>
      <c r="H1454" s="23"/>
      <c r="I1454" s="23"/>
    </row>
    <row r="1455" spans="1:9">
      <c r="A1455" s="21" t="s">
        <v>6777</v>
      </c>
      <c r="B1455" s="21" t="s">
        <v>5547</v>
      </c>
      <c r="C1455" s="22">
        <v>2915</v>
      </c>
      <c r="D1455" s="21">
        <v>34.159999999999997</v>
      </c>
      <c r="E1455" s="21" t="s">
        <v>5796</v>
      </c>
      <c r="F1455" s="23"/>
      <c r="G1455" s="23">
        <f t="shared" si="5"/>
        <v>34.159999999999997</v>
      </c>
      <c r="H1455" s="23"/>
      <c r="I1455" s="23"/>
    </row>
    <row r="1456" spans="1:9">
      <c r="A1456" s="21" t="s">
        <v>6778</v>
      </c>
      <c r="B1456" s="21" t="s">
        <v>899</v>
      </c>
      <c r="C1456" s="22">
        <v>284</v>
      </c>
      <c r="D1456" s="21">
        <v>13789.15</v>
      </c>
      <c r="E1456" s="21" t="s">
        <v>5796</v>
      </c>
      <c r="F1456" s="23"/>
      <c r="G1456" s="23">
        <f t="shared" si="5"/>
        <v>13789.15</v>
      </c>
      <c r="H1456" s="23"/>
      <c r="I1456" s="23"/>
    </row>
    <row r="1457" spans="1:9">
      <c r="A1457" s="21" t="s">
        <v>1830</v>
      </c>
      <c r="B1457" s="21" t="s">
        <v>1832</v>
      </c>
      <c r="C1457" s="22">
        <v>574</v>
      </c>
      <c r="D1457" s="21">
        <v>4028</v>
      </c>
      <c r="E1457" s="21" t="s">
        <v>5796</v>
      </c>
      <c r="F1457" s="23"/>
      <c r="G1457" s="23">
        <f t="shared" si="5"/>
        <v>4028</v>
      </c>
      <c r="H1457" s="23"/>
      <c r="I1457" s="23"/>
    </row>
    <row r="1458" spans="1:9">
      <c r="A1458" s="21" t="s">
        <v>6779</v>
      </c>
      <c r="B1458" s="21" t="s">
        <v>6780</v>
      </c>
      <c r="C1458" s="22">
        <v>2818</v>
      </c>
      <c r="D1458" s="21">
        <v>39.26</v>
      </c>
      <c r="E1458" s="21" t="s">
        <v>5796</v>
      </c>
      <c r="F1458" s="23"/>
      <c r="G1458" s="23">
        <f t="shared" si="5"/>
        <v>39.26</v>
      </c>
      <c r="H1458" s="23"/>
      <c r="I1458" s="23"/>
    </row>
    <row r="1459" spans="1:9">
      <c r="A1459" s="21" t="s">
        <v>1332</v>
      </c>
      <c r="B1459" s="21" t="s">
        <v>1334</v>
      </c>
      <c r="C1459" s="22">
        <v>392</v>
      </c>
      <c r="D1459" s="21">
        <v>8099.42</v>
      </c>
      <c r="E1459" s="21" t="s">
        <v>5796</v>
      </c>
      <c r="F1459" s="23"/>
      <c r="G1459" s="23">
        <f t="shared" si="5"/>
        <v>8099.42</v>
      </c>
      <c r="H1459" s="23"/>
      <c r="I1459" s="23"/>
    </row>
    <row r="1460" spans="1:9">
      <c r="A1460" s="21" t="s">
        <v>6781</v>
      </c>
      <c r="B1460" s="21" t="s">
        <v>1457</v>
      </c>
      <c r="C1460" s="22">
        <v>572</v>
      </c>
      <c r="D1460" s="21">
        <v>4039.44</v>
      </c>
      <c r="E1460" s="21" t="s">
        <v>5796</v>
      </c>
      <c r="F1460" s="23"/>
      <c r="G1460" s="23">
        <f t="shared" si="5"/>
        <v>4039.44</v>
      </c>
      <c r="H1460" s="23"/>
      <c r="I1460" s="23"/>
    </row>
    <row r="1461" spans="1:9">
      <c r="A1461" s="21" t="s">
        <v>6782</v>
      </c>
      <c r="B1461" s="21" t="s">
        <v>1499</v>
      </c>
      <c r="C1461" s="22">
        <v>440</v>
      </c>
      <c r="D1461" s="21">
        <v>6502.97</v>
      </c>
      <c r="E1461" s="21" t="s">
        <v>5796</v>
      </c>
      <c r="F1461" s="23"/>
      <c r="G1461" s="23">
        <f t="shared" si="5"/>
        <v>6502.97</v>
      </c>
      <c r="H1461" s="23"/>
      <c r="I1461" s="23"/>
    </row>
    <row r="1462" spans="1:9">
      <c r="A1462" s="21" t="s">
        <v>6783</v>
      </c>
      <c r="B1462" s="21" t="s">
        <v>4144</v>
      </c>
      <c r="C1462" s="22">
        <v>1523</v>
      </c>
      <c r="D1462" s="21">
        <v>331.54</v>
      </c>
      <c r="E1462" s="21" t="s">
        <v>5796</v>
      </c>
      <c r="F1462" s="23"/>
      <c r="G1462" s="23">
        <f t="shared" si="5"/>
        <v>331.54</v>
      </c>
      <c r="H1462" s="23"/>
      <c r="I1462" s="23"/>
    </row>
    <row r="1463" spans="1:9">
      <c r="A1463" s="21" t="s">
        <v>4127</v>
      </c>
      <c r="B1463" s="21" t="s">
        <v>4129</v>
      </c>
      <c r="C1463" s="22">
        <v>1775</v>
      </c>
      <c r="D1463" s="21">
        <v>204.18</v>
      </c>
      <c r="E1463" s="21" t="s">
        <v>5796</v>
      </c>
      <c r="F1463" s="23"/>
      <c r="G1463" s="23">
        <f t="shared" si="5"/>
        <v>204.18</v>
      </c>
      <c r="H1463" s="23"/>
      <c r="I1463" s="23"/>
    </row>
    <row r="1464" spans="1:9">
      <c r="A1464" s="21" t="s">
        <v>2888</v>
      </c>
      <c r="B1464" s="21" t="s">
        <v>2890</v>
      </c>
      <c r="C1464" s="22">
        <v>960</v>
      </c>
      <c r="D1464" s="21">
        <v>1296.68</v>
      </c>
      <c r="E1464" s="21" t="s">
        <v>5796</v>
      </c>
      <c r="F1464" s="23"/>
      <c r="G1464" s="23">
        <f t="shared" si="5"/>
        <v>1296.68</v>
      </c>
      <c r="H1464" s="23"/>
      <c r="I1464" s="23"/>
    </row>
    <row r="1465" spans="1:9">
      <c r="A1465" s="21" t="s">
        <v>3344</v>
      </c>
      <c r="B1465" s="21" t="s">
        <v>3346</v>
      </c>
      <c r="C1465" s="22">
        <v>1127</v>
      </c>
      <c r="D1465" s="21">
        <v>833.57</v>
      </c>
      <c r="E1465" s="21" t="s">
        <v>5796</v>
      </c>
      <c r="F1465" s="23"/>
      <c r="G1465" s="23">
        <f t="shared" si="5"/>
        <v>833.57</v>
      </c>
      <c r="H1465" s="23"/>
      <c r="I1465" s="23"/>
    </row>
    <row r="1466" spans="1:9">
      <c r="A1466" s="21" t="s">
        <v>6784</v>
      </c>
      <c r="B1466" s="21" t="s">
        <v>3178</v>
      </c>
      <c r="C1466" s="22">
        <v>1000</v>
      </c>
      <c r="D1466" s="21">
        <v>1180.4000000000001</v>
      </c>
      <c r="E1466" s="21" t="s">
        <v>5796</v>
      </c>
      <c r="F1466" s="23"/>
      <c r="G1466" s="23">
        <f t="shared" si="5"/>
        <v>1180.4000000000001</v>
      </c>
      <c r="H1466" s="23"/>
      <c r="I1466" s="23"/>
    </row>
    <row r="1467" spans="1:9">
      <c r="A1467" s="21" t="s">
        <v>6785</v>
      </c>
      <c r="B1467" s="21" t="s">
        <v>2590</v>
      </c>
      <c r="C1467" s="22">
        <v>975</v>
      </c>
      <c r="D1467" s="21">
        <v>1256.1300000000001</v>
      </c>
      <c r="E1467" s="21" t="s">
        <v>5796</v>
      </c>
      <c r="F1467" s="23"/>
      <c r="G1467" s="23">
        <f t="shared" si="5"/>
        <v>1256.1300000000001</v>
      </c>
      <c r="H1467" s="23"/>
      <c r="I1467" s="23"/>
    </row>
    <row r="1468" spans="1:9">
      <c r="A1468" s="21" t="s">
        <v>6786</v>
      </c>
      <c r="B1468" s="21" t="s">
        <v>3217</v>
      </c>
      <c r="C1468" s="22">
        <v>1144</v>
      </c>
      <c r="D1468" s="21">
        <v>800.25</v>
      </c>
      <c r="E1468" s="21" t="s">
        <v>5796</v>
      </c>
      <c r="F1468" s="23"/>
      <c r="G1468" s="23">
        <f t="shared" si="5"/>
        <v>800.25</v>
      </c>
      <c r="H1468" s="23"/>
      <c r="I1468" s="23"/>
    </row>
    <row r="1469" spans="1:9">
      <c r="A1469" s="21" t="s">
        <v>6787</v>
      </c>
      <c r="B1469" s="21" t="s">
        <v>3940</v>
      </c>
      <c r="C1469" s="22">
        <v>1445</v>
      </c>
      <c r="D1469" s="21">
        <v>382.49</v>
      </c>
      <c r="E1469" s="21" t="s">
        <v>5796</v>
      </c>
      <c r="F1469" s="23"/>
      <c r="G1469" s="23">
        <f t="shared" si="5"/>
        <v>382.49</v>
      </c>
      <c r="H1469" s="23"/>
      <c r="I1469" s="23"/>
    </row>
    <row r="1470" spans="1:9">
      <c r="A1470" s="21" t="s">
        <v>6788</v>
      </c>
      <c r="B1470" s="21" t="s">
        <v>2215</v>
      </c>
      <c r="C1470" s="22">
        <v>680</v>
      </c>
      <c r="D1470" s="21">
        <v>2764.97</v>
      </c>
      <c r="E1470" s="21" t="s">
        <v>5796</v>
      </c>
      <c r="F1470" s="23"/>
      <c r="G1470" s="23">
        <f t="shared" si="5"/>
        <v>2764.97</v>
      </c>
      <c r="H1470" s="23"/>
      <c r="I1470" s="23"/>
    </row>
    <row r="1471" spans="1:9">
      <c r="A1471" s="21" t="s">
        <v>6789</v>
      </c>
      <c r="B1471" s="21" t="s">
        <v>3793</v>
      </c>
      <c r="C1471" s="22">
        <v>1486</v>
      </c>
      <c r="D1471" s="21">
        <v>354.99</v>
      </c>
      <c r="E1471" s="21" t="s">
        <v>5796</v>
      </c>
      <c r="F1471" s="23"/>
      <c r="G1471" s="23">
        <f t="shared" si="5"/>
        <v>354.99</v>
      </c>
      <c r="H1471" s="23"/>
      <c r="I1471" s="23"/>
    </row>
    <row r="1472" spans="1:9">
      <c r="A1472" s="27" t="s">
        <v>6790</v>
      </c>
      <c r="B1472" s="27" t="s">
        <v>260</v>
      </c>
      <c r="C1472" s="28">
        <v>69</v>
      </c>
      <c r="D1472" s="27">
        <v>75351.429999999993</v>
      </c>
      <c r="E1472" s="27" t="s">
        <v>5815</v>
      </c>
      <c r="F1472" s="29"/>
      <c r="G1472" s="23">
        <f t="shared" si="5"/>
        <v>75351.429999999993</v>
      </c>
      <c r="H1472" s="29"/>
      <c r="I1472" s="29"/>
    </row>
    <row r="1473" spans="1:9">
      <c r="A1473" s="27" t="s">
        <v>141</v>
      </c>
      <c r="B1473" s="27" t="s">
        <v>143</v>
      </c>
      <c r="C1473" s="28">
        <v>43</v>
      </c>
      <c r="D1473" s="27">
        <v>118339.34</v>
      </c>
      <c r="E1473" s="27" t="s">
        <v>5815</v>
      </c>
      <c r="F1473" s="29"/>
      <c r="G1473" s="23">
        <f t="shared" si="5"/>
        <v>118339.34</v>
      </c>
      <c r="H1473" s="29"/>
      <c r="I1473" s="29"/>
    </row>
    <row r="1474" spans="1:9">
      <c r="A1474" s="27" t="s">
        <v>6791</v>
      </c>
      <c r="B1474" s="27" t="s">
        <v>33</v>
      </c>
      <c r="C1474" s="28">
        <v>7</v>
      </c>
      <c r="D1474" s="27">
        <v>499461.33</v>
      </c>
      <c r="E1474" s="27" t="s">
        <v>5815</v>
      </c>
      <c r="F1474" s="29"/>
      <c r="G1474" s="23">
        <f t="shared" si="5"/>
        <v>499461.33</v>
      </c>
      <c r="H1474" s="29"/>
      <c r="I1474" s="29"/>
    </row>
    <row r="1475" spans="1:9">
      <c r="A1475" s="24" t="s">
        <v>426</v>
      </c>
      <c r="B1475" s="24" t="s">
        <v>428</v>
      </c>
      <c r="C1475" s="25">
        <v>114</v>
      </c>
      <c r="D1475" s="24">
        <v>44754.58</v>
      </c>
      <c r="E1475" s="24" t="s">
        <v>5800</v>
      </c>
      <c r="F1475" s="26"/>
      <c r="G1475" s="23">
        <f t="shared" si="5"/>
        <v>44754.58</v>
      </c>
      <c r="H1475" s="26"/>
      <c r="I1475" s="26"/>
    </row>
    <row r="1476" spans="1:9">
      <c r="A1476" s="21" t="s">
        <v>3503</v>
      </c>
      <c r="B1476" s="21" t="s">
        <v>3505</v>
      </c>
      <c r="C1476" s="22">
        <v>1203</v>
      </c>
      <c r="D1476" s="21">
        <v>689.71</v>
      </c>
      <c r="E1476" s="21" t="s">
        <v>5796</v>
      </c>
      <c r="F1476" s="23"/>
      <c r="G1476" s="23">
        <f t="shared" si="5"/>
        <v>689.71</v>
      </c>
      <c r="H1476" s="23"/>
      <c r="I1476" s="23"/>
    </row>
    <row r="1477" spans="1:9">
      <c r="A1477" s="21" t="s">
        <v>6792</v>
      </c>
      <c r="B1477" s="21" t="s">
        <v>1403</v>
      </c>
      <c r="C1477" s="22">
        <v>538</v>
      </c>
      <c r="D1477" s="21">
        <v>4530.0200000000004</v>
      </c>
      <c r="E1477" s="21" t="s">
        <v>5796</v>
      </c>
      <c r="F1477" s="23"/>
      <c r="G1477" s="23">
        <f t="shared" si="5"/>
        <v>4530.0200000000004</v>
      </c>
      <c r="H1477" s="23"/>
      <c r="I1477" s="23"/>
    </row>
    <row r="1478" spans="1:9">
      <c r="A1478" s="21" t="s">
        <v>6793</v>
      </c>
      <c r="B1478" s="21" t="s">
        <v>1661</v>
      </c>
      <c r="C1478" s="22">
        <v>542</v>
      </c>
      <c r="D1478" s="21">
        <v>4485.08</v>
      </c>
      <c r="E1478" s="21" t="s">
        <v>5796</v>
      </c>
      <c r="F1478" s="23"/>
      <c r="G1478" s="23">
        <f t="shared" si="5"/>
        <v>4485.08</v>
      </c>
      <c r="H1478" s="23"/>
      <c r="I1478" s="23"/>
    </row>
    <row r="1479" spans="1:9">
      <c r="A1479" s="21" t="s">
        <v>6794</v>
      </c>
      <c r="B1479" s="21" t="s">
        <v>4141</v>
      </c>
      <c r="C1479" s="22">
        <v>1276</v>
      </c>
      <c r="D1479" s="21">
        <v>554.9</v>
      </c>
      <c r="E1479" s="21" t="s">
        <v>5796</v>
      </c>
      <c r="F1479" s="23"/>
      <c r="G1479" s="23">
        <f t="shared" si="5"/>
        <v>554.9</v>
      </c>
      <c r="H1479" s="23"/>
      <c r="I1479" s="23"/>
    </row>
    <row r="1480" spans="1:9">
      <c r="A1480" s="21" t="s">
        <v>6795</v>
      </c>
      <c r="B1480" s="21" t="s">
        <v>2503</v>
      </c>
      <c r="C1480" s="22">
        <v>982</v>
      </c>
      <c r="D1480" s="21">
        <v>1240.24</v>
      </c>
      <c r="E1480" s="21" t="s">
        <v>5796</v>
      </c>
      <c r="F1480" s="23"/>
      <c r="G1480" s="23">
        <f t="shared" si="5"/>
        <v>1240.24</v>
      </c>
      <c r="H1480" s="23"/>
      <c r="I1480" s="23"/>
    </row>
    <row r="1481" spans="1:9">
      <c r="A1481" s="21" t="s">
        <v>6796</v>
      </c>
      <c r="B1481" s="21" t="s">
        <v>2758</v>
      </c>
      <c r="C1481" s="22">
        <v>826</v>
      </c>
      <c r="D1481" s="21">
        <v>1783.63</v>
      </c>
      <c r="E1481" s="21" t="s">
        <v>5796</v>
      </c>
      <c r="F1481" s="23"/>
      <c r="G1481" s="23">
        <f t="shared" si="5"/>
        <v>1783.63</v>
      </c>
      <c r="H1481" s="23"/>
      <c r="I1481" s="23"/>
    </row>
    <row r="1482" spans="1:9">
      <c r="A1482" s="21" t="s">
        <v>5305</v>
      </c>
      <c r="B1482" s="21" t="s">
        <v>5307</v>
      </c>
      <c r="C1482" s="22">
        <v>2192</v>
      </c>
      <c r="D1482" s="21">
        <v>105.09</v>
      </c>
      <c r="E1482" s="21" t="s">
        <v>5796</v>
      </c>
      <c r="F1482" s="23"/>
      <c r="G1482" s="23">
        <f t="shared" si="5"/>
        <v>105.09</v>
      </c>
      <c r="H1482" s="23"/>
      <c r="I1482" s="23"/>
    </row>
    <row r="1483" spans="1:9">
      <c r="A1483" s="21" t="s">
        <v>4997</v>
      </c>
      <c r="B1483" s="21" t="s">
        <v>4999</v>
      </c>
      <c r="C1483" s="22">
        <v>2023</v>
      </c>
      <c r="D1483" s="21">
        <v>136.79</v>
      </c>
      <c r="E1483" s="21" t="s">
        <v>5796</v>
      </c>
      <c r="F1483" s="23"/>
      <c r="G1483" s="23">
        <f t="shared" si="5"/>
        <v>136.79</v>
      </c>
      <c r="H1483" s="23"/>
      <c r="I1483" s="23"/>
    </row>
    <row r="1484" spans="1:9">
      <c r="A1484" s="21" t="s">
        <v>6797</v>
      </c>
      <c r="B1484" s="21" t="s">
        <v>4546</v>
      </c>
      <c r="C1484" s="22">
        <v>1666</v>
      </c>
      <c r="D1484" s="21">
        <v>253.65</v>
      </c>
      <c r="E1484" s="21" t="s">
        <v>5796</v>
      </c>
      <c r="F1484" s="23"/>
      <c r="G1484" s="23">
        <f t="shared" si="5"/>
        <v>253.65</v>
      </c>
      <c r="H1484" s="23"/>
      <c r="I1484" s="23"/>
    </row>
    <row r="1485" spans="1:9">
      <c r="A1485" s="21" t="s">
        <v>6798</v>
      </c>
      <c r="B1485" s="21" t="s">
        <v>3808</v>
      </c>
      <c r="C1485" s="22">
        <v>1398</v>
      </c>
      <c r="D1485" s="21">
        <v>409.8</v>
      </c>
      <c r="E1485" s="21" t="s">
        <v>5796</v>
      </c>
      <c r="F1485" s="23"/>
      <c r="G1485" s="23">
        <f t="shared" si="5"/>
        <v>409.8</v>
      </c>
      <c r="H1485" s="23"/>
      <c r="I1485" s="23"/>
    </row>
    <row r="1486" spans="1:9">
      <c r="A1486" s="21" t="s">
        <v>4265</v>
      </c>
      <c r="B1486" s="21" t="s">
        <v>4267</v>
      </c>
      <c r="C1486" s="22">
        <v>1126</v>
      </c>
      <c r="D1486" s="21">
        <v>833.73</v>
      </c>
      <c r="E1486" s="21" t="s">
        <v>5796</v>
      </c>
      <c r="F1486" s="23"/>
      <c r="G1486" s="23">
        <f t="shared" si="5"/>
        <v>833.73</v>
      </c>
      <c r="H1486" s="23"/>
      <c r="I1486" s="23"/>
    </row>
    <row r="1487" spans="1:9">
      <c r="A1487" s="21" t="s">
        <v>6799</v>
      </c>
      <c r="B1487" s="21" t="s">
        <v>2548</v>
      </c>
      <c r="C1487" s="22">
        <v>884</v>
      </c>
      <c r="D1487" s="21">
        <v>1555.31</v>
      </c>
      <c r="E1487" s="21" t="s">
        <v>5796</v>
      </c>
      <c r="F1487" s="23"/>
      <c r="G1487" s="23">
        <f t="shared" si="5"/>
        <v>1555.31</v>
      </c>
      <c r="H1487" s="23"/>
      <c r="I1487" s="23"/>
    </row>
    <row r="1488" spans="1:9">
      <c r="A1488" s="21" t="s">
        <v>6800</v>
      </c>
      <c r="B1488" s="21" t="s">
        <v>6801</v>
      </c>
      <c r="C1488" s="22">
        <v>2516</v>
      </c>
      <c r="D1488" s="21">
        <v>61.67</v>
      </c>
      <c r="E1488" s="21" t="s">
        <v>5796</v>
      </c>
      <c r="F1488" s="23"/>
      <c r="G1488" s="23">
        <f t="shared" si="5"/>
        <v>61.67</v>
      </c>
      <c r="H1488" s="23"/>
      <c r="I1488" s="23"/>
    </row>
    <row r="1489" spans="1:9">
      <c r="A1489" s="21" t="s">
        <v>2486</v>
      </c>
      <c r="B1489" s="21" t="s">
        <v>2488</v>
      </c>
      <c r="C1489" s="22">
        <v>805</v>
      </c>
      <c r="D1489" s="21">
        <v>1908.94</v>
      </c>
      <c r="E1489" s="21" t="s">
        <v>5796</v>
      </c>
      <c r="F1489" s="23"/>
      <c r="G1489" s="23">
        <f t="shared" si="5"/>
        <v>1908.94</v>
      </c>
      <c r="H1489" s="23"/>
      <c r="I1489" s="23"/>
    </row>
    <row r="1490" spans="1:9">
      <c r="A1490" s="21" t="s">
        <v>6802</v>
      </c>
      <c r="B1490" s="21" t="s">
        <v>2875</v>
      </c>
      <c r="C1490" s="22">
        <v>1188</v>
      </c>
      <c r="D1490" s="21">
        <v>714.28</v>
      </c>
      <c r="E1490" s="21" t="s">
        <v>5796</v>
      </c>
      <c r="F1490" s="23"/>
      <c r="G1490" s="23">
        <f t="shared" si="5"/>
        <v>714.28</v>
      </c>
      <c r="H1490" s="23"/>
      <c r="I1490" s="23"/>
    </row>
    <row r="1491" spans="1:9">
      <c r="A1491" s="21" t="s">
        <v>6803</v>
      </c>
      <c r="B1491" s="21" t="s">
        <v>2656</v>
      </c>
      <c r="C1491" s="22">
        <v>856</v>
      </c>
      <c r="D1491" s="21">
        <v>1689.45</v>
      </c>
      <c r="E1491" s="21" t="s">
        <v>5796</v>
      </c>
      <c r="F1491" s="23"/>
      <c r="G1491" s="23">
        <f t="shared" si="5"/>
        <v>1689.45</v>
      </c>
      <c r="H1491" s="23"/>
      <c r="I1491" s="23"/>
    </row>
    <row r="1492" spans="1:9">
      <c r="A1492" s="21" t="s">
        <v>5216</v>
      </c>
      <c r="B1492" s="21" t="s">
        <v>5218</v>
      </c>
      <c r="C1492" s="22">
        <v>2174</v>
      </c>
      <c r="D1492" s="21">
        <v>107.79</v>
      </c>
      <c r="E1492" s="21" t="s">
        <v>5796</v>
      </c>
      <c r="F1492" s="23"/>
      <c r="G1492" s="23">
        <f t="shared" si="5"/>
        <v>107.79</v>
      </c>
      <c r="H1492" s="23"/>
      <c r="I1492" s="23"/>
    </row>
    <row r="1493" spans="1:9">
      <c r="A1493" s="21" t="s">
        <v>6804</v>
      </c>
      <c r="B1493" s="21" t="s">
        <v>6805</v>
      </c>
      <c r="C1493" s="22">
        <v>3503</v>
      </c>
      <c r="D1493" s="21">
        <v>14.05</v>
      </c>
      <c r="E1493" s="21" t="s">
        <v>5796</v>
      </c>
      <c r="F1493" s="23"/>
      <c r="G1493" s="23">
        <f t="shared" si="5"/>
        <v>14.05</v>
      </c>
      <c r="H1493" s="23"/>
      <c r="I1493" s="23"/>
    </row>
    <row r="1494" spans="1:9">
      <c r="A1494" s="21" t="s">
        <v>6806</v>
      </c>
      <c r="B1494" s="21" t="s">
        <v>5415</v>
      </c>
      <c r="C1494" s="22">
        <v>2466</v>
      </c>
      <c r="D1494" s="21">
        <v>67.53</v>
      </c>
      <c r="E1494" s="21" t="s">
        <v>5796</v>
      </c>
      <c r="F1494" s="23"/>
      <c r="G1494" s="23">
        <f t="shared" si="5"/>
        <v>67.53</v>
      </c>
      <c r="H1494" s="23"/>
      <c r="I1494" s="23"/>
    </row>
    <row r="1495" spans="1:9">
      <c r="A1495" s="21" t="s">
        <v>1116</v>
      </c>
      <c r="B1495" s="21" t="s">
        <v>1118</v>
      </c>
      <c r="C1495" s="22">
        <v>324</v>
      </c>
      <c r="D1495" s="21">
        <v>10983</v>
      </c>
      <c r="E1495" s="21" t="s">
        <v>5796</v>
      </c>
      <c r="F1495" s="23"/>
      <c r="G1495" s="23">
        <f t="shared" si="5"/>
        <v>10983</v>
      </c>
      <c r="H1495" s="23"/>
      <c r="I1495" s="23"/>
    </row>
    <row r="1496" spans="1:9">
      <c r="A1496" s="21" t="s">
        <v>4307</v>
      </c>
      <c r="B1496" s="21" t="s">
        <v>4309</v>
      </c>
      <c r="C1496" s="22">
        <v>1799</v>
      </c>
      <c r="D1496" s="21">
        <v>196.2</v>
      </c>
      <c r="E1496" s="21" t="s">
        <v>5796</v>
      </c>
      <c r="F1496" s="23"/>
      <c r="G1496" s="23">
        <f t="shared" si="5"/>
        <v>196.2</v>
      </c>
      <c r="H1496" s="23"/>
      <c r="I1496" s="23"/>
    </row>
    <row r="1497" spans="1:9">
      <c r="A1497" s="21" t="s">
        <v>6807</v>
      </c>
      <c r="B1497" s="21" t="s">
        <v>5535</v>
      </c>
      <c r="C1497" s="22">
        <v>2796</v>
      </c>
      <c r="D1497" s="21">
        <v>40.85</v>
      </c>
      <c r="E1497" s="21" t="s">
        <v>5796</v>
      </c>
      <c r="F1497" s="23"/>
      <c r="G1497" s="23">
        <f t="shared" si="5"/>
        <v>40.85</v>
      </c>
      <c r="H1497" s="23"/>
      <c r="I1497" s="23"/>
    </row>
    <row r="1498" spans="1:9">
      <c r="A1498" s="21" t="s">
        <v>5150</v>
      </c>
      <c r="B1498" s="21" t="s">
        <v>5152</v>
      </c>
      <c r="C1498" s="22">
        <v>2196</v>
      </c>
      <c r="D1498" s="21">
        <v>104.41</v>
      </c>
      <c r="E1498" s="21" t="s">
        <v>5796</v>
      </c>
      <c r="F1498" s="23"/>
      <c r="G1498" s="23">
        <f t="shared" si="5"/>
        <v>104.41</v>
      </c>
      <c r="H1498" s="23"/>
      <c r="I1498" s="23"/>
    </row>
    <row r="1499" spans="1:9">
      <c r="A1499" s="21" t="s">
        <v>6808</v>
      </c>
      <c r="B1499" s="21" t="s">
        <v>2968</v>
      </c>
      <c r="C1499" s="22">
        <v>1001</v>
      </c>
      <c r="D1499" s="21">
        <v>1180.1300000000001</v>
      </c>
      <c r="E1499" s="21" t="s">
        <v>5796</v>
      </c>
      <c r="F1499" s="23"/>
      <c r="G1499" s="23">
        <f t="shared" si="5"/>
        <v>1180.1300000000001</v>
      </c>
      <c r="H1499" s="23"/>
      <c r="I1499" s="23"/>
    </row>
    <row r="1500" spans="1:9">
      <c r="A1500" s="21" t="s">
        <v>6809</v>
      </c>
      <c r="B1500" s="21" t="s">
        <v>2935</v>
      </c>
      <c r="C1500" s="22">
        <v>1117</v>
      </c>
      <c r="D1500" s="21">
        <v>843.98</v>
      </c>
      <c r="E1500" s="21" t="s">
        <v>5796</v>
      </c>
      <c r="F1500" s="23"/>
      <c r="G1500" s="23">
        <f t="shared" si="5"/>
        <v>843.98</v>
      </c>
      <c r="H1500" s="23"/>
      <c r="I1500" s="23"/>
    </row>
    <row r="1501" spans="1:9">
      <c r="A1501" s="21" t="s">
        <v>2399</v>
      </c>
      <c r="B1501" s="21" t="s">
        <v>2401</v>
      </c>
      <c r="C1501" s="22">
        <v>887</v>
      </c>
      <c r="D1501" s="21">
        <v>1539.99</v>
      </c>
      <c r="E1501" s="21" t="s">
        <v>5796</v>
      </c>
      <c r="F1501" s="23"/>
      <c r="G1501" s="23">
        <f t="shared" si="5"/>
        <v>1539.99</v>
      </c>
      <c r="H1501" s="23"/>
      <c r="I1501" s="23"/>
    </row>
    <row r="1502" spans="1:9">
      <c r="A1502" s="21" t="s">
        <v>6810</v>
      </c>
      <c r="B1502" s="21" t="s">
        <v>3220</v>
      </c>
      <c r="C1502" s="22">
        <v>1035</v>
      </c>
      <c r="D1502" s="21">
        <v>1058.19</v>
      </c>
      <c r="E1502" s="21" t="s">
        <v>5796</v>
      </c>
      <c r="F1502" s="23"/>
      <c r="G1502" s="23">
        <f t="shared" si="5"/>
        <v>1058.19</v>
      </c>
      <c r="H1502" s="23"/>
      <c r="I1502" s="23"/>
    </row>
    <row r="1503" spans="1:9">
      <c r="A1503" s="21" t="s">
        <v>2864</v>
      </c>
      <c r="B1503" s="21" t="s">
        <v>2866</v>
      </c>
      <c r="C1503" s="22">
        <v>888</v>
      </c>
      <c r="D1503" s="21">
        <v>1538.16</v>
      </c>
      <c r="E1503" s="21" t="s">
        <v>5796</v>
      </c>
      <c r="F1503" s="23"/>
      <c r="G1503" s="23">
        <f t="shared" si="5"/>
        <v>1538.16</v>
      </c>
      <c r="H1503" s="23"/>
      <c r="I1503" s="23"/>
    </row>
    <row r="1504" spans="1:9">
      <c r="A1504" s="21" t="s">
        <v>6811</v>
      </c>
      <c r="B1504" s="21" t="s">
        <v>5688</v>
      </c>
      <c r="C1504" s="22">
        <v>3301</v>
      </c>
      <c r="D1504" s="21">
        <v>19.600000000000001</v>
      </c>
      <c r="E1504" s="21" t="s">
        <v>5796</v>
      </c>
      <c r="F1504" s="23"/>
      <c r="G1504" s="23">
        <f t="shared" si="5"/>
        <v>19.600000000000001</v>
      </c>
      <c r="H1504" s="23"/>
      <c r="I1504" s="23"/>
    </row>
    <row r="1505" spans="1:9">
      <c r="A1505" s="21" t="s">
        <v>6812</v>
      </c>
      <c r="B1505" s="21" t="s">
        <v>2104</v>
      </c>
      <c r="C1505" s="22">
        <v>662</v>
      </c>
      <c r="D1505" s="21">
        <v>2891.88</v>
      </c>
      <c r="E1505" s="21" t="s">
        <v>5796</v>
      </c>
      <c r="F1505" s="23"/>
      <c r="G1505" s="23">
        <f t="shared" si="5"/>
        <v>2891.88</v>
      </c>
      <c r="H1505" s="23"/>
      <c r="I1505" s="23"/>
    </row>
    <row r="1506" spans="1:9">
      <c r="A1506" s="21" t="s">
        <v>2007</v>
      </c>
      <c r="B1506" s="21" t="s">
        <v>2009</v>
      </c>
      <c r="C1506" s="22">
        <v>547</v>
      </c>
      <c r="D1506" s="21">
        <v>4388.28</v>
      </c>
      <c r="E1506" s="21" t="s">
        <v>5796</v>
      </c>
      <c r="F1506" s="23"/>
      <c r="G1506" s="23">
        <f t="shared" si="5"/>
        <v>4388.28</v>
      </c>
      <c r="H1506" s="23"/>
      <c r="I1506" s="23"/>
    </row>
    <row r="1507" spans="1:9">
      <c r="A1507" s="21" t="s">
        <v>6813</v>
      </c>
      <c r="B1507" s="21" t="s">
        <v>2293</v>
      </c>
      <c r="C1507" s="22">
        <v>769</v>
      </c>
      <c r="D1507" s="21">
        <v>2084.21</v>
      </c>
      <c r="E1507" s="21" t="s">
        <v>5796</v>
      </c>
      <c r="F1507" s="23"/>
      <c r="G1507" s="23">
        <f t="shared" si="5"/>
        <v>2084.21</v>
      </c>
      <c r="H1507" s="23"/>
      <c r="I1507" s="23"/>
    </row>
    <row r="1508" spans="1:9">
      <c r="A1508" s="21" t="s">
        <v>1860</v>
      </c>
      <c r="B1508" s="21" t="s">
        <v>1862</v>
      </c>
      <c r="C1508" s="22">
        <v>588</v>
      </c>
      <c r="D1508" s="21">
        <v>3871.94</v>
      </c>
      <c r="E1508" s="21" t="s">
        <v>5796</v>
      </c>
      <c r="F1508" s="23"/>
      <c r="G1508" s="23">
        <f t="shared" si="5"/>
        <v>3871.94</v>
      </c>
      <c r="H1508" s="23"/>
      <c r="I1508" s="23"/>
    </row>
    <row r="1509" spans="1:9">
      <c r="A1509" s="21" t="s">
        <v>6814</v>
      </c>
      <c r="B1509" s="21" t="s">
        <v>4180</v>
      </c>
      <c r="C1509" s="22">
        <v>1478</v>
      </c>
      <c r="D1509" s="21">
        <v>360.54</v>
      </c>
      <c r="E1509" s="21" t="s">
        <v>5796</v>
      </c>
      <c r="F1509" s="23"/>
      <c r="G1509" s="23">
        <f t="shared" si="5"/>
        <v>360.54</v>
      </c>
      <c r="H1509" s="23"/>
      <c r="I1509" s="23"/>
    </row>
    <row r="1510" spans="1:9">
      <c r="A1510" s="21" t="s">
        <v>6815</v>
      </c>
      <c r="B1510" s="21" t="s">
        <v>2278</v>
      </c>
      <c r="C1510" s="22">
        <v>748</v>
      </c>
      <c r="D1510" s="21">
        <v>2199.25</v>
      </c>
      <c r="E1510" s="21" t="s">
        <v>5796</v>
      </c>
      <c r="F1510" s="23"/>
      <c r="G1510" s="23">
        <f t="shared" si="5"/>
        <v>2199.25</v>
      </c>
      <c r="H1510" s="23"/>
      <c r="I1510" s="23"/>
    </row>
    <row r="1511" spans="1:9">
      <c r="A1511" s="21" t="s">
        <v>6816</v>
      </c>
      <c r="B1511" s="21" t="s">
        <v>3307</v>
      </c>
      <c r="C1511" s="22">
        <v>1048</v>
      </c>
      <c r="D1511" s="21">
        <v>1043.42</v>
      </c>
      <c r="E1511" s="21" t="s">
        <v>5796</v>
      </c>
      <c r="F1511" s="23"/>
      <c r="G1511" s="23">
        <f t="shared" si="5"/>
        <v>1043.42</v>
      </c>
      <c r="H1511" s="23"/>
      <c r="I1511" s="23"/>
    </row>
    <row r="1512" spans="1:9">
      <c r="A1512" s="21" t="s">
        <v>6817</v>
      </c>
      <c r="B1512" s="21" t="s">
        <v>4201</v>
      </c>
      <c r="C1512" s="22">
        <v>1555</v>
      </c>
      <c r="D1512" s="21">
        <v>311.35000000000002</v>
      </c>
      <c r="E1512" s="21" t="s">
        <v>5796</v>
      </c>
      <c r="F1512" s="23"/>
      <c r="G1512" s="23">
        <f t="shared" si="5"/>
        <v>311.35000000000002</v>
      </c>
      <c r="H1512" s="23"/>
      <c r="I1512" s="23"/>
    </row>
    <row r="1513" spans="1:9">
      <c r="A1513" s="21" t="s">
        <v>5386</v>
      </c>
      <c r="B1513" s="21" t="s">
        <v>5388</v>
      </c>
      <c r="C1513" s="22">
        <v>2413</v>
      </c>
      <c r="D1513" s="21">
        <v>72.09</v>
      </c>
      <c r="E1513" s="21" t="s">
        <v>5796</v>
      </c>
      <c r="F1513" s="23"/>
      <c r="G1513" s="23">
        <f t="shared" si="5"/>
        <v>72.09</v>
      </c>
      <c r="H1513" s="23"/>
      <c r="I1513" s="23"/>
    </row>
    <row r="1514" spans="1:9">
      <c r="A1514" s="21" t="s">
        <v>6818</v>
      </c>
      <c r="B1514" s="21" t="s">
        <v>4786</v>
      </c>
      <c r="C1514" s="22">
        <v>1938</v>
      </c>
      <c r="D1514" s="21">
        <v>157.85</v>
      </c>
      <c r="E1514" s="21" t="s">
        <v>5796</v>
      </c>
      <c r="F1514" s="23"/>
      <c r="G1514" s="23">
        <f t="shared" si="5"/>
        <v>157.85</v>
      </c>
      <c r="H1514" s="23"/>
      <c r="I1514" s="23"/>
    </row>
    <row r="1515" spans="1:9">
      <c r="A1515" s="21" t="s">
        <v>2705</v>
      </c>
      <c r="B1515" s="21" t="s">
        <v>2707</v>
      </c>
      <c r="C1515" s="22">
        <v>874</v>
      </c>
      <c r="D1515" s="21">
        <v>1600.01</v>
      </c>
      <c r="E1515" s="21" t="s">
        <v>5796</v>
      </c>
      <c r="F1515" s="23"/>
      <c r="G1515" s="23">
        <f t="shared" si="5"/>
        <v>1600.01</v>
      </c>
      <c r="H1515" s="23"/>
      <c r="I1515" s="23"/>
    </row>
    <row r="1516" spans="1:9">
      <c r="A1516" s="21" t="s">
        <v>6819</v>
      </c>
      <c r="B1516" s="21" t="s">
        <v>1415</v>
      </c>
      <c r="C1516" s="22">
        <v>405</v>
      </c>
      <c r="D1516" s="21">
        <v>7503.28</v>
      </c>
      <c r="E1516" s="21" t="s">
        <v>5796</v>
      </c>
      <c r="F1516" s="23"/>
      <c r="G1516" s="23">
        <f t="shared" si="5"/>
        <v>7503.28</v>
      </c>
      <c r="H1516" s="23"/>
      <c r="I1516" s="23"/>
    </row>
    <row r="1517" spans="1:9">
      <c r="A1517" s="21" t="s">
        <v>6820</v>
      </c>
      <c r="B1517" s="21" t="s">
        <v>5185</v>
      </c>
      <c r="C1517" s="22">
        <v>2258</v>
      </c>
      <c r="D1517" s="21">
        <v>93.35</v>
      </c>
      <c r="E1517" s="21" t="s">
        <v>5796</v>
      </c>
      <c r="F1517" s="23"/>
      <c r="G1517" s="23">
        <f t="shared" si="5"/>
        <v>93.35</v>
      </c>
      <c r="H1517" s="23"/>
      <c r="I1517" s="23"/>
    </row>
    <row r="1518" spans="1:9">
      <c r="A1518" s="21" t="s">
        <v>6821</v>
      </c>
      <c r="B1518" s="21" t="s">
        <v>3139</v>
      </c>
      <c r="C1518" s="22">
        <v>1046</v>
      </c>
      <c r="D1518" s="21">
        <v>1043.6199999999999</v>
      </c>
      <c r="E1518" s="21" t="s">
        <v>5796</v>
      </c>
      <c r="F1518" s="23"/>
      <c r="G1518" s="23">
        <f t="shared" si="5"/>
        <v>1043.6199999999999</v>
      </c>
      <c r="H1518" s="23"/>
      <c r="I1518" s="23"/>
    </row>
    <row r="1519" spans="1:9">
      <c r="A1519" s="27" t="s">
        <v>6822</v>
      </c>
      <c r="B1519" s="27" t="s">
        <v>206</v>
      </c>
      <c r="C1519" s="28">
        <v>60</v>
      </c>
      <c r="D1519" s="27">
        <v>89674.59</v>
      </c>
      <c r="E1519" s="27" t="s">
        <v>5815</v>
      </c>
      <c r="F1519" s="29"/>
      <c r="G1519" s="23">
        <f t="shared" si="5"/>
        <v>89674.59</v>
      </c>
      <c r="H1519" s="29"/>
      <c r="I1519" s="29"/>
    </row>
    <row r="1520" spans="1:9">
      <c r="A1520" s="21" t="s">
        <v>3794</v>
      </c>
      <c r="B1520" s="21" t="s">
        <v>3796</v>
      </c>
      <c r="C1520" s="22">
        <v>1285</v>
      </c>
      <c r="D1520" s="21">
        <v>549.99</v>
      </c>
      <c r="E1520" s="21" t="s">
        <v>5796</v>
      </c>
      <c r="F1520" s="23"/>
      <c r="G1520" s="23">
        <f t="shared" si="5"/>
        <v>549.99</v>
      </c>
      <c r="H1520" s="23"/>
      <c r="I1520" s="23"/>
    </row>
    <row r="1521" spans="1:9">
      <c r="A1521" s="21" t="s">
        <v>6823</v>
      </c>
      <c r="B1521" s="21" t="s">
        <v>4366</v>
      </c>
      <c r="C1521" s="22">
        <v>2324</v>
      </c>
      <c r="D1521" s="21">
        <v>83.78</v>
      </c>
      <c r="E1521" s="21" t="s">
        <v>5796</v>
      </c>
      <c r="F1521" s="23"/>
      <c r="G1521" s="23">
        <f t="shared" si="5"/>
        <v>83.78</v>
      </c>
      <c r="H1521" s="23"/>
      <c r="I1521" s="23"/>
    </row>
    <row r="1522" spans="1:9">
      <c r="A1522" s="21" t="s">
        <v>6824</v>
      </c>
      <c r="B1522" s="21" t="s">
        <v>5412</v>
      </c>
      <c r="C1522" s="22">
        <v>2400</v>
      </c>
      <c r="D1522" s="21">
        <v>73.040000000000006</v>
      </c>
      <c r="E1522" s="21" t="s">
        <v>5796</v>
      </c>
      <c r="F1522" s="23"/>
      <c r="G1522" s="23">
        <f t="shared" si="5"/>
        <v>73.040000000000006</v>
      </c>
      <c r="H1522" s="23"/>
      <c r="I1522" s="23"/>
    </row>
    <row r="1523" spans="1:9">
      <c r="A1523" s="21" t="s">
        <v>6825</v>
      </c>
      <c r="B1523" s="21" t="s">
        <v>4306</v>
      </c>
      <c r="C1523" s="22">
        <v>1698</v>
      </c>
      <c r="D1523" s="21">
        <v>241.58</v>
      </c>
      <c r="E1523" s="21" t="s">
        <v>5796</v>
      </c>
      <c r="F1523" s="23"/>
      <c r="G1523" s="23">
        <f t="shared" si="5"/>
        <v>241.58</v>
      </c>
      <c r="H1523" s="23"/>
      <c r="I1523" s="23"/>
    </row>
    <row r="1524" spans="1:9">
      <c r="A1524" s="21" t="s">
        <v>6826</v>
      </c>
      <c r="B1524" s="21" t="s">
        <v>3661</v>
      </c>
      <c r="C1524" s="22">
        <v>1229</v>
      </c>
      <c r="D1524" s="21">
        <v>637.44000000000005</v>
      </c>
      <c r="E1524" s="21" t="s">
        <v>5796</v>
      </c>
      <c r="F1524" s="23"/>
      <c r="G1524" s="23">
        <f t="shared" si="5"/>
        <v>637.44000000000005</v>
      </c>
      <c r="H1524" s="23"/>
      <c r="I1524" s="23"/>
    </row>
    <row r="1525" spans="1:9">
      <c r="A1525" s="21" t="s">
        <v>6827</v>
      </c>
      <c r="B1525" s="21" t="s">
        <v>1820</v>
      </c>
      <c r="C1525" s="22">
        <v>664</v>
      </c>
      <c r="D1525" s="21">
        <v>2879.94</v>
      </c>
      <c r="E1525" s="21" t="s">
        <v>5796</v>
      </c>
      <c r="F1525" s="23"/>
      <c r="G1525" s="23">
        <f t="shared" si="5"/>
        <v>2879.94</v>
      </c>
      <c r="H1525" s="23"/>
      <c r="I1525" s="23"/>
    </row>
    <row r="1526" spans="1:9">
      <c r="A1526" s="24" t="s">
        <v>282</v>
      </c>
      <c r="B1526" s="24" t="s">
        <v>284</v>
      </c>
      <c r="C1526" s="25">
        <v>106</v>
      </c>
      <c r="D1526" s="24">
        <v>48214.27</v>
      </c>
      <c r="E1526" s="24" t="s">
        <v>5800</v>
      </c>
      <c r="F1526" s="26"/>
      <c r="G1526" s="23">
        <f t="shared" si="5"/>
        <v>48214.27</v>
      </c>
      <c r="H1526" s="26"/>
      <c r="I1526" s="26"/>
    </row>
    <row r="1527" spans="1:9">
      <c r="A1527" s="21" t="s">
        <v>2951</v>
      </c>
      <c r="B1527" s="21" t="s">
        <v>2953</v>
      </c>
      <c r="C1527" s="22">
        <v>1005</v>
      </c>
      <c r="D1527" s="21">
        <v>1137.55</v>
      </c>
      <c r="E1527" s="21" t="s">
        <v>5796</v>
      </c>
      <c r="F1527" s="23"/>
      <c r="G1527" s="23">
        <f t="shared" si="5"/>
        <v>1137.55</v>
      </c>
      <c r="H1527" s="23"/>
      <c r="I1527" s="23"/>
    </row>
    <row r="1528" spans="1:9">
      <c r="A1528" s="21" t="s">
        <v>4097</v>
      </c>
      <c r="B1528" s="21" t="s">
        <v>4099</v>
      </c>
      <c r="C1528" s="22">
        <v>1404</v>
      </c>
      <c r="D1528" s="21">
        <v>404.83</v>
      </c>
      <c r="E1528" s="21" t="s">
        <v>5796</v>
      </c>
      <c r="F1528" s="23"/>
      <c r="G1528" s="23">
        <f t="shared" si="5"/>
        <v>404.83</v>
      </c>
      <c r="H1528" s="23"/>
      <c r="I1528" s="23"/>
    </row>
    <row r="1529" spans="1:9">
      <c r="A1529" s="21" t="s">
        <v>1128</v>
      </c>
      <c r="B1529" s="21" t="s">
        <v>1130</v>
      </c>
      <c r="C1529" s="22">
        <v>402</v>
      </c>
      <c r="D1529" s="21">
        <v>7651.98</v>
      </c>
      <c r="E1529" s="21" t="s">
        <v>5796</v>
      </c>
      <c r="F1529" s="23"/>
      <c r="G1529" s="23">
        <f t="shared" si="5"/>
        <v>7651.98</v>
      </c>
      <c r="H1529" s="23"/>
      <c r="I1529" s="23"/>
    </row>
    <row r="1530" spans="1:9">
      <c r="A1530" s="21" t="s">
        <v>6828</v>
      </c>
      <c r="B1530" s="21" t="s">
        <v>5754</v>
      </c>
      <c r="C1530" s="22">
        <v>3750</v>
      </c>
      <c r="D1530" s="21">
        <v>9.7200000000000006</v>
      </c>
      <c r="E1530" s="21" t="s">
        <v>5796</v>
      </c>
      <c r="F1530" s="23"/>
      <c r="G1530" s="23">
        <f t="shared" si="5"/>
        <v>9.7200000000000006</v>
      </c>
      <c r="H1530" s="23"/>
      <c r="I1530" s="23"/>
    </row>
    <row r="1531" spans="1:9">
      <c r="A1531" s="27" t="s">
        <v>6829</v>
      </c>
      <c r="B1531" s="27" t="s">
        <v>149</v>
      </c>
      <c r="C1531" s="28">
        <v>42</v>
      </c>
      <c r="D1531" s="27">
        <v>119151.09</v>
      </c>
      <c r="E1531" s="27" t="s">
        <v>5815</v>
      </c>
      <c r="F1531" s="29"/>
      <c r="G1531" s="23">
        <f t="shared" si="5"/>
        <v>119151.09</v>
      </c>
      <c r="H1531" s="29"/>
      <c r="I1531" s="29"/>
    </row>
    <row r="1532" spans="1:9">
      <c r="A1532" s="21" t="s">
        <v>3185</v>
      </c>
      <c r="B1532" s="21" t="s">
        <v>3187</v>
      </c>
      <c r="C1532" s="22">
        <v>1139</v>
      </c>
      <c r="D1532" s="21">
        <v>811.37</v>
      </c>
      <c r="E1532" s="21" t="s">
        <v>5796</v>
      </c>
      <c r="F1532" s="23"/>
      <c r="G1532" s="23">
        <f t="shared" si="5"/>
        <v>811.37</v>
      </c>
      <c r="H1532" s="23"/>
      <c r="I1532" s="23"/>
    </row>
    <row r="1533" spans="1:9">
      <c r="A1533" s="21" t="s">
        <v>4859</v>
      </c>
      <c r="B1533" s="21" t="s">
        <v>4861</v>
      </c>
      <c r="C1533" s="22">
        <v>2131</v>
      </c>
      <c r="D1533" s="21">
        <v>115.84</v>
      </c>
      <c r="E1533" s="21" t="s">
        <v>5796</v>
      </c>
      <c r="F1533" s="23"/>
      <c r="G1533" s="23">
        <f t="shared" ref="G1533:G1787" si="6">VALUE(SUBSTITUTE(D1533, ",", ""))</f>
        <v>115.84</v>
      </c>
      <c r="H1533" s="23"/>
      <c r="I1533" s="23"/>
    </row>
    <row r="1534" spans="1:9">
      <c r="A1534" s="21" t="s">
        <v>6830</v>
      </c>
      <c r="B1534" s="21" t="s">
        <v>4057</v>
      </c>
      <c r="C1534" s="22">
        <v>1487</v>
      </c>
      <c r="D1534" s="21">
        <v>354.72</v>
      </c>
      <c r="E1534" s="21" t="s">
        <v>5796</v>
      </c>
      <c r="F1534" s="23"/>
      <c r="G1534" s="23">
        <f t="shared" si="6"/>
        <v>354.72</v>
      </c>
      <c r="H1534" s="23"/>
      <c r="I1534" s="23"/>
    </row>
    <row r="1535" spans="1:9">
      <c r="A1535" s="21" t="s">
        <v>6831</v>
      </c>
      <c r="B1535" s="21" t="s">
        <v>5164</v>
      </c>
      <c r="C1535" s="22">
        <v>2024</v>
      </c>
      <c r="D1535" s="21">
        <v>136.68</v>
      </c>
      <c r="E1535" s="21" t="s">
        <v>5796</v>
      </c>
      <c r="F1535" s="23"/>
      <c r="G1535" s="23">
        <f t="shared" si="6"/>
        <v>136.68</v>
      </c>
      <c r="H1535" s="23"/>
      <c r="I1535" s="23"/>
    </row>
    <row r="1536" spans="1:9">
      <c r="A1536" s="21" t="s">
        <v>6832</v>
      </c>
      <c r="B1536" s="21" t="s">
        <v>4942</v>
      </c>
      <c r="C1536" s="22">
        <v>1829</v>
      </c>
      <c r="D1536" s="21">
        <v>187.05</v>
      </c>
      <c r="E1536" s="21" t="s">
        <v>5796</v>
      </c>
      <c r="F1536" s="23"/>
      <c r="G1536" s="23">
        <f t="shared" si="6"/>
        <v>187.05</v>
      </c>
      <c r="H1536" s="23"/>
      <c r="I1536" s="23"/>
    </row>
    <row r="1537" spans="1:9">
      <c r="A1537" s="21" t="s">
        <v>6833</v>
      </c>
      <c r="B1537" s="21" t="s">
        <v>5637</v>
      </c>
      <c r="C1537" s="22">
        <v>3237</v>
      </c>
      <c r="D1537" s="21">
        <v>21.32</v>
      </c>
      <c r="E1537" s="21" t="s">
        <v>5796</v>
      </c>
      <c r="F1537" s="23"/>
      <c r="G1537" s="23">
        <f t="shared" si="6"/>
        <v>21.32</v>
      </c>
      <c r="H1537" s="23"/>
      <c r="I1537" s="23"/>
    </row>
    <row r="1538" spans="1:9">
      <c r="A1538" s="21" t="s">
        <v>6834</v>
      </c>
      <c r="B1538" s="21" t="s">
        <v>4237</v>
      </c>
      <c r="C1538" s="22">
        <v>1526</v>
      </c>
      <c r="D1538" s="21">
        <v>329.58</v>
      </c>
      <c r="E1538" s="21" t="s">
        <v>5796</v>
      </c>
      <c r="F1538" s="23"/>
      <c r="G1538" s="23">
        <f t="shared" si="6"/>
        <v>329.58</v>
      </c>
      <c r="H1538" s="23"/>
      <c r="I1538" s="23"/>
    </row>
    <row r="1539" spans="1:9">
      <c r="A1539" s="21" t="s">
        <v>6835</v>
      </c>
      <c r="B1539" s="21" t="s">
        <v>5700</v>
      </c>
      <c r="C1539" s="22">
        <v>3250</v>
      </c>
      <c r="D1539" s="21">
        <v>20.94</v>
      </c>
      <c r="E1539" s="21" t="s">
        <v>5796</v>
      </c>
      <c r="F1539" s="23"/>
      <c r="G1539" s="23">
        <f t="shared" si="6"/>
        <v>20.94</v>
      </c>
      <c r="H1539" s="23"/>
      <c r="I1539" s="23"/>
    </row>
    <row r="1540" spans="1:9">
      <c r="A1540" s="21" t="s">
        <v>3704</v>
      </c>
      <c r="B1540" s="21" t="s">
        <v>3706</v>
      </c>
      <c r="C1540" s="22">
        <v>1360</v>
      </c>
      <c r="D1540" s="21">
        <v>445.36</v>
      </c>
      <c r="E1540" s="21" t="s">
        <v>5796</v>
      </c>
      <c r="F1540" s="23"/>
      <c r="G1540" s="23">
        <f t="shared" si="6"/>
        <v>445.36</v>
      </c>
      <c r="H1540" s="23"/>
      <c r="I1540" s="23"/>
    </row>
    <row r="1541" spans="1:9">
      <c r="A1541" s="21" t="s">
        <v>6836</v>
      </c>
      <c r="B1541" s="21" t="s">
        <v>5104</v>
      </c>
      <c r="C1541" s="22">
        <v>2233</v>
      </c>
      <c r="D1541" s="21">
        <v>97.34</v>
      </c>
      <c r="E1541" s="21" t="s">
        <v>5796</v>
      </c>
      <c r="F1541" s="23"/>
      <c r="G1541" s="23">
        <f t="shared" si="6"/>
        <v>97.34</v>
      </c>
      <c r="H1541" s="23"/>
      <c r="I1541" s="23"/>
    </row>
    <row r="1542" spans="1:9">
      <c r="A1542" s="21" t="s">
        <v>4319</v>
      </c>
      <c r="B1542" s="21" t="s">
        <v>4321</v>
      </c>
      <c r="C1542" s="22">
        <v>1712</v>
      </c>
      <c r="D1542" s="21">
        <v>237.55</v>
      </c>
      <c r="E1542" s="21" t="s">
        <v>5796</v>
      </c>
      <c r="F1542" s="23"/>
      <c r="G1542" s="23">
        <f t="shared" si="6"/>
        <v>237.55</v>
      </c>
      <c r="H1542" s="23"/>
      <c r="I1542" s="23"/>
    </row>
    <row r="1543" spans="1:9">
      <c r="A1543" s="21" t="s">
        <v>1974</v>
      </c>
      <c r="B1543" s="21" t="s">
        <v>1976</v>
      </c>
      <c r="C1543" s="22">
        <v>626</v>
      </c>
      <c r="D1543" s="21">
        <v>3395.62</v>
      </c>
      <c r="E1543" s="21" t="s">
        <v>5796</v>
      </c>
      <c r="F1543" s="23"/>
      <c r="G1543" s="23">
        <f t="shared" si="6"/>
        <v>3395.62</v>
      </c>
      <c r="H1543" s="23"/>
      <c r="I1543" s="23"/>
    </row>
    <row r="1544" spans="1:9">
      <c r="A1544" s="21" t="s">
        <v>6837</v>
      </c>
      <c r="B1544" s="21" t="s">
        <v>4288</v>
      </c>
      <c r="C1544" s="22">
        <v>1601</v>
      </c>
      <c r="D1544" s="21">
        <v>288.25</v>
      </c>
      <c r="E1544" s="21" t="s">
        <v>5796</v>
      </c>
      <c r="F1544" s="23"/>
      <c r="G1544" s="23">
        <f t="shared" si="6"/>
        <v>288.25</v>
      </c>
      <c r="H1544" s="23"/>
      <c r="I1544" s="23"/>
    </row>
    <row r="1545" spans="1:9">
      <c r="A1545" s="21" t="s">
        <v>2645</v>
      </c>
      <c r="B1545" s="21" t="s">
        <v>2647</v>
      </c>
      <c r="C1545" s="22">
        <v>837</v>
      </c>
      <c r="D1545" s="21">
        <v>1746.04</v>
      </c>
      <c r="E1545" s="21" t="s">
        <v>5796</v>
      </c>
      <c r="F1545" s="23"/>
      <c r="G1545" s="23">
        <f t="shared" si="6"/>
        <v>1746.04</v>
      </c>
      <c r="H1545" s="23"/>
      <c r="I1545" s="23"/>
    </row>
    <row r="1546" spans="1:9">
      <c r="A1546" s="21" t="s">
        <v>1617</v>
      </c>
      <c r="B1546" s="21" t="s">
        <v>1619</v>
      </c>
      <c r="C1546" s="22">
        <v>483</v>
      </c>
      <c r="D1546" s="21">
        <v>5483.26</v>
      </c>
      <c r="E1546" s="21" t="s">
        <v>5796</v>
      </c>
      <c r="F1546" s="23"/>
      <c r="G1546" s="23">
        <f t="shared" si="6"/>
        <v>5483.26</v>
      </c>
      <c r="H1546" s="23"/>
      <c r="I1546" s="23"/>
    </row>
    <row r="1547" spans="1:9">
      <c r="A1547" s="21" t="s">
        <v>5368</v>
      </c>
      <c r="B1547" s="21" t="s">
        <v>5370</v>
      </c>
      <c r="C1547" s="22">
        <v>2210</v>
      </c>
      <c r="D1547" s="21">
        <v>101.64</v>
      </c>
      <c r="E1547" s="21" t="s">
        <v>5796</v>
      </c>
      <c r="F1547" s="23"/>
      <c r="G1547" s="23">
        <f t="shared" si="6"/>
        <v>101.64</v>
      </c>
      <c r="H1547" s="23"/>
      <c r="I1547" s="23"/>
    </row>
    <row r="1548" spans="1:9">
      <c r="A1548" s="21" t="s">
        <v>6838</v>
      </c>
      <c r="B1548" s="21" t="s">
        <v>2440</v>
      </c>
      <c r="C1548" s="22">
        <v>731</v>
      </c>
      <c r="D1548" s="21">
        <v>2347.58</v>
      </c>
      <c r="E1548" s="21" t="s">
        <v>5796</v>
      </c>
      <c r="F1548" s="23"/>
      <c r="G1548" s="23">
        <f t="shared" si="6"/>
        <v>2347.58</v>
      </c>
      <c r="H1548" s="23"/>
      <c r="I1548" s="23"/>
    </row>
    <row r="1549" spans="1:9">
      <c r="A1549" s="21" t="s">
        <v>2720</v>
      </c>
      <c r="B1549" s="21" t="s">
        <v>2722</v>
      </c>
      <c r="C1549" s="22">
        <v>921</v>
      </c>
      <c r="D1549" s="21">
        <v>1398.39</v>
      </c>
      <c r="E1549" s="21" t="s">
        <v>5796</v>
      </c>
      <c r="F1549" s="23"/>
      <c r="G1549" s="23">
        <f t="shared" si="6"/>
        <v>1398.39</v>
      </c>
      <c r="H1549" s="23"/>
      <c r="I1549" s="23"/>
    </row>
    <row r="1550" spans="1:9">
      <c r="A1550" s="21" t="s">
        <v>6839</v>
      </c>
      <c r="B1550" s="21" t="s">
        <v>653</v>
      </c>
      <c r="C1550" s="22">
        <v>288</v>
      </c>
      <c r="D1550" s="21">
        <v>13558.25</v>
      </c>
      <c r="E1550" s="21" t="s">
        <v>5796</v>
      </c>
      <c r="F1550" s="23"/>
      <c r="G1550" s="23">
        <f t="shared" si="6"/>
        <v>13558.25</v>
      </c>
      <c r="H1550" s="23"/>
      <c r="I1550" s="23"/>
    </row>
    <row r="1551" spans="1:9">
      <c r="A1551" s="24" t="s">
        <v>6840</v>
      </c>
      <c r="B1551" s="24" t="s">
        <v>698</v>
      </c>
      <c r="C1551" s="25">
        <v>208</v>
      </c>
      <c r="D1551" s="24">
        <v>21981.86</v>
      </c>
      <c r="E1551" s="24" t="s">
        <v>5800</v>
      </c>
      <c r="F1551" s="26"/>
      <c r="G1551" s="23">
        <f t="shared" si="6"/>
        <v>21981.86</v>
      </c>
      <c r="H1551" s="26"/>
      <c r="I1551" s="26"/>
    </row>
    <row r="1552" spans="1:9">
      <c r="A1552" s="21" t="s">
        <v>6841</v>
      </c>
      <c r="B1552" s="21" t="s">
        <v>6842</v>
      </c>
      <c r="C1552" s="22">
        <v>2446</v>
      </c>
      <c r="D1552" s="21">
        <v>68.900000000000006</v>
      </c>
      <c r="E1552" s="21" t="s">
        <v>5796</v>
      </c>
      <c r="F1552" s="23"/>
      <c r="G1552" s="23">
        <f t="shared" si="6"/>
        <v>68.900000000000006</v>
      </c>
      <c r="H1552" s="23"/>
      <c r="I1552" s="23"/>
    </row>
    <row r="1553" spans="1:9">
      <c r="A1553" s="21" t="s">
        <v>2579</v>
      </c>
      <c r="B1553" s="21" t="s">
        <v>2581</v>
      </c>
      <c r="C1553" s="22">
        <v>995</v>
      </c>
      <c r="D1553" s="21">
        <v>1187.06</v>
      </c>
      <c r="E1553" s="21" t="s">
        <v>5796</v>
      </c>
      <c r="F1553" s="23"/>
      <c r="G1553" s="23">
        <f t="shared" si="6"/>
        <v>1187.06</v>
      </c>
      <c r="H1553" s="23"/>
      <c r="I1553" s="23"/>
    </row>
    <row r="1554" spans="1:9">
      <c r="A1554" s="21" t="s">
        <v>6843</v>
      </c>
      <c r="B1554" s="21" t="s">
        <v>3412</v>
      </c>
      <c r="C1554" s="22">
        <v>1382</v>
      </c>
      <c r="D1554" s="21">
        <v>430.13</v>
      </c>
      <c r="E1554" s="21" t="s">
        <v>5796</v>
      </c>
      <c r="F1554" s="23"/>
      <c r="G1554" s="23">
        <f t="shared" si="6"/>
        <v>430.13</v>
      </c>
      <c r="H1554" s="23"/>
      <c r="I1554" s="23"/>
    </row>
    <row r="1555" spans="1:9">
      <c r="A1555" s="21" t="s">
        <v>6844</v>
      </c>
      <c r="B1555" s="21" t="s">
        <v>3838</v>
      </c>
      <c r="C1555" s="22">
        <v>1520</v>
      </c>
      <c r="D1555" s="21">
        <v>332.57</v>
      </c>
      <c r="E1555" s="21" t="s">
        <v>5796</v>
      </c>
      <c r="F1555" s="23"/>
      <c r="G1555" s="23">
        <f t="shared" si="6"/>
        <v>332.57</v>
      </c>
      <c r="H1555" s="23"/>
      <c r="I1555" s="23"/>
    </row>
    <row r="1556" spans="1:9">
      <c r="A1556" s="21" t="s">
        <v>4802</v>
      </c>
      <c r="B1556" s="21" t="s">
        <v>4804</v>
      </c>
      <c r="C1556" s="22">
        <v>1975</v>
      </c>
      <c r="D1556" s="21">
        <v>148.83000000000001</v>
      </c>
      <c r="E1556" s="21" t="s">
        <v>5796</v>
      </c>
      <c r="F1556" s="23"/>
      <c r="G1556" s="23">
        <f t="shared" si="6"/>
        <v>148.83000000000001</v>
      </c>
      <c r="H1556" s="23"/>
      <c r="I1556" s="23"/>
    </row>
    <row r="1557" spans="1:9">
      <c r="A1557" s="21" t="s">
        <v>3443</v>
      </c>
      <c r="B1557" s="21" t="s">
        <v>3445</v>
      </c>
      <c r="C1557" s="22">
        <v>1134</v>
      </c>
      <c r="D1557" s="21">
        <v>818.8</v>
      </c>
      <c r="E1557" s="21" t="s">
        <v>5796</v>
      </c>
      <c r="F1557" s="23"/>
      <c r="G1557" s="23">
        <f t="shared" si="6"/>
        <v>818.8</v>
      </c>
      <c r="H1557" s="23"/>
      <c r="I1557" s="23"/>
    </row>
    <row r="1558" spans="1:9">
      <c r="A1558" s="21" t="s">
        <v>6845</v>
      </c>
      <c r="B1558" s="21" t="s">
        <v>2794</v>
      </c>
      <c r="C1558" s="22">
        <v>972</v>
      </c>
      <c r="D1558" s="21">
        <v>1258.92</v>
      </c>
      <c r="E1558" s="21" t="s">
        <v>5796</v>
      </c>
      <c r="F1558" s="23"/>
      <c r="G1558" s="23">
        <f t="shared" si="6"/>
        <v>1258.92</v>
      </c>
      <c r="H1558" s="23"/>
      <c r="I1558" s="23"/>
    </row>
    <row r="1559" spans="1:9">
      <c r="A1559" s="21" t="s">
        <v>4325</v>
      </c>
      <c r="B1559" s="21" t="s">
        <v>4327</v>
      </c>
      <c r="C1559" s="22">
        <v>1701</v>
      </c>
      <c r="D1559" s="21">
        <v>240.13</v>
      </c>
      <c r="E1559" s="21" t="s">
        <v>5796</v>
      </c>
      <c r="F1559" s="23"/>
      <c r="G1559" s="23">
        <f t="shared" si="6"/>
        <v>240.13</v>
      </c>
      <c r="H1559" s="23"/>
      <c r="I1559" s="23"/>
    </row>
    <row r="1560" spans="1:9">
      <c r="A1560" s="21" t="s">
        <v>6846</v>
      </c>
      <c r="B1560" s="21" t="s">
        <v>4894</v>
      </c>
      <c r="C1560" s="22">
        <v>1880</v>
      </c>
      <c r="D1560" s="21">
        <v>170.05</v>
      </c>
      <c r="E1560" s="21" t="s">
        <v>5796</v>
      </c>
      <c r="F1560" s="23"/>
      <c r="G1560" s="23">
        <f t="shared" si="6"/>
        <v>170.05</v>
      </c>
      <c r="H1560" s="23"/>
      <c r="I1560" s="23"/>
    </row>
    <row r="1561" spans="1:9">
      <c r="A1561" s="21" t="s">
        <v>6847</v>
      </c>
      <c r="B1561" s="21" t="s">
        <v>3391</v>
      </c>
      <c r="C1561" s="22">
        <v>1220</v>
      </c>
      <c r="D1561" s="21">
        <v>661.72</v>
      </c>
      <c r="E1561" s="21" t="s">
        <v>5796</v>
      </c>
      <c r="F1561" s="23"/>
      <c r="G1561" s="23">
        <f t="shared" si="6"/>
        <v>661.72</v>
      </c>
      <c r="H1561" s="23"/>
      <c r="I1561" s="23"/>
    </row>
    <row r="1562" spans="1:9">
      <c r="A1562" s="21" t="s">
        <v>6848</v>
      </c>
      <c r="B1562" s="21" t="s">
        <v>3487</v>
      </c>
      <c r="C1562" s="22">
        <v>1248</v>
      </c>
      <c r="D1562" s="21">
        <v>607.73</v>
      </c>
      <c r="E1562" s="21" t="s">
        <v>5796</v>
      </c>
      <c r="F1562" s="23"/>
      <c r="G1562" s="23">
        <f t="shared" si="6"/>
        <v>607.73</v>
      </c>
      <c r="H1562" s="23"/>
      <c r="I1562" s="23"/>
    </row>
    <row r="1563" spans="1:9">
      <c r="A1563" s="21" t="s">
        <v>1560</v>
      </c>
      <c r="B1563" s="21" t="s">
        <v>1562</v>
      </c>
      <c r="C1563" s="22">
        <v>509</v>
      </c>
      <c r="D1563" s="21">
        <v>5052.38</v>
      </c>
      <c r="E1563" s="21" t="s">
        <v>5796</v>
      </c>
      <c r="F1563" s="23"/>
      <c r="G1563" s="23">
        <f t="shared" si="6"/>
        <v>5052.38</v>
      </c>
      <c r="H1563" s="23"/>
      <c r="I1563" s="23"/>
    </row>
    <row r="1564" spans="1:9">
      <c r="A1564" s="21" t="s">
        <v>6849</v>
      </c>
      <c r="B1564" s="21" t="s">
        <v>4693</v>
      </c>
      <c r="C1564" s="22">
        <v>1928</v>
      </c>
      <c r="D1564" s="21">
        <v>160</v>
      </c>
      <c r="E1564" s="21" t="s">
        <v>5796</v>
      </c>
      <c r="F1564" s="23"/>
      <c r="G1564" s="23">
        <f t="shared" si="6"/>
        <v>160</v>
      </c>
      <c r="H1564" s="23"/>
      <c r="I1564" s="23"/>
    </row>
    <row r="1565" spans="1:9">
      <c r="A1565" s="21" t="s">
        <v>6850</v>
      </c>
      <c r="B1565" s="21" t="s">
        <v>3160</v>
      </c>
      <c r="C1565" s="22">
        <v>935</v>
      </c>
      <c r="D1565" s="21">
        <v>1360.26</v>
      </c>
      <c r="E1565" s="21" t="s">
        <v>5796</v>
      </c>
      <c r="F1565" s="23"/>
      <c r="G1565" s="23">
        <f t="shared" si="6"/>
        <v>1360.26</v>
      </c>
      <c r="H1565" s="23"/>
      <c r="I1565" s="23"/>
    </row>
    <row r="1566" spans="1:9">
      <c r="A1566" s="24" t="s">
        <v>447</v>
      </c>
      <c r="B1566" s="24" t="s">
        <v>449</v>
      </c>
      <c r="C1566" s="25">
        <v>148</v>
      </c>
      <c r="D1566" s="24">
        <v>35224.660000000003</v>
      </c>
      <c r="E1566" s="24" t="s">
        <v>5800</v>
      </c>
      <c r="F1566" s="26"/>
      <c r="G1566" s="23">
        <f t="shared" si="6"/>
        <v>35224.660000000003</v>
      </c>
      <c r="H1566" s="26"/>
      <c r="I1566" s="26"/>
    </row>
    <row r="1567" spans="1:9">
      <c r="A1567" s="21" t="s">
        <v>2297</v>
      </c>
      <c r="B1567" s="21" t="s">
        <v>2299</v>
      </c>
      <c r="C1567" s="22">
        <v>726</v>
      </c>
      <c r="D1567" s="21">
        <v>2375.8000000000002</v>
      </c>
      <c r="E1567" s="21" t="s">
        <v>5796</v>
      </c>
      <c r="F1567" s="23"/>
      <c r="G1567" s="23">
        <f t="shared" si="6"/>
        <v>2375.8000000000002</v>
      </c>
      <c r="H1567" s="23"/>
      <c r="I1567" s="23"/>
    </row>
    <row r="1568" spans="1:9">
      <c r="A1568" s="21" t="s">
        <v>6851</v>
      </c>
      <c r="B1568" s="21" t="s">
        <v>5364</v>
      </c>
      <c r="C1568" s="22">
        <v>2394</v>
      </c>
      <c r="D1568" s="21">
        <v>73.98</v>
      </c>
      <c r="E1568" s="21" t="s">
        <v>5796</v>
      </c>
      <c r="F1568" s="23"/>
      <c r="G1568" s="23">
        <f t="shared" si="6"/>
        <v>73.98</v>
      </c>
      <c r="H1568" s="23"/>
      <c r="I1568" s="23"/>
    </row>
    <row r="1569" spans="1:9">
      <c r="A1569" s="21" t="s">
        <v>6852</v>
      </c>
      <c r="B1569" s="21" t="s">
        <v>5277</v>
      </c>
      <c r="C1569" s="22">
        <v>2621</v>
      </c>
      <c r="D1569" s="21">
        <v>51.71</v>
      </c>
      <c r="E1569" s="21" t="s">
        <v>5796</v>
      </c>
      <c r="F1569" s="23"/>
      <c r="G1569" s="23">
        <f t="shared" si="6"/>
        <v>51.71</v>
      </c>
      <c r="H1569" s="23"/>
      <c r="I1569" s="23"/>
    </row>
    <row r="1570" spans="1:9">
      <c r="A1570" s="24" t="s">
        <v>573</v>
      </c>
      <c r="B1570" s="24" t="s">
        <v>575</v>
      </c>
      <c r="C1570" s="25">
        <v>176</v>
      </c>
      <c r="D1570" s="24">
        <v>27487.58</v>
      </c>
      <c r="E1570" s="24" t="s">
        <v>5800</v>
      </c>
      <c r="F1570" s="26"/>
      <c r="G1570" s="23">
        <f t="shared" si="6"/>
        <v>27487.58</v>
      </c>
      <c r="H1570" s="26"/>
      <c r="I1570" s="26"/>
    </row>
    <row r="1571" spans="1:9">
      <c r="A1571" s="21" t="s">
        <v>6853</v>
      </c>
      <c r="B1571" s="21" t="s">
        <v>6854</v>
      </c>
      <c r="C1571" s="22">
        <v>2242</v>
      </c>
      <c r="D1571" s="21">
        <v>95.99</v>
      </c>
      <c r="E1571" s="21" t="s">
        <v>5796</v>
      </c>
      <c r="F1571" s="23"/>
      <c r="G1571" s="23">
        <f t="shared" si="6"/>
        <v>95.99</v>
      </c>
      <c r="H1571" s="23"/>
      <c r="I1571" s="23"/>
    </row>
    <row r="1572" spans="1:9">
      <c r="A1572" s="21" t="s">
        <v>6855</v>
      </c>
      <c r="B1572" s="21" t="s">
        <v>911</v>
      </c>
      <c r="C1572" s="22">
        <v>320</v>
      </c>
      <c r="D1572" s="21">
        <v>11259.07</v>
      </c>
      <c r="E1572" s="21" t="s">
        <v>5796</v>
      </c>
      <c r="F1572" s="23"/>
      <c r="G1572" s="23">
        <f t="shared" si="6"/>
        <v>11259.07</v>
      </c>
      <c r="H1572" s="23"/>
      <c r="I1572" s="23"/>
    </row>
    <row r="1573" spans="1:9">
      <c r="A1573" s="21" t="s">
        <v>2564</v>
      </c>
      <c r="B1573" s="21" t="s">
        <v>2566</v>
      </c>
      <c r="C1573" s="22">
        <v>804</v>
      </c>
      <c r="D1573" s="21">
        <v>1910.85</v>
      </c>
      <c r="E1573" s="21" t="s">
        <v>5796</v>
      </c>
      <c r="F1573" s="23"/>
      <c r="G1573" s="23">
        <f t="shared" si="6"/>
        <v>1910.85</v>
      </c>
      <c r="H1573" s="23"/>
      <c r="I1573" s="23"/>
    </row>
    <row r="1574" spans="1:9">
      <c r="A1574" s="21" t="s">
        <v>6856</v>
      </c>
      <c r="B1574" s="21" t="s">
        <v>1811</v>
      </c>
      <c r="C1574" s="22">
        <v>607</v>
      </c>
      <c r="D1574" s="21">
        <v>3624.59</v>
      </c>
      <c r="E1574" s="21" t="s">
        <v>5796</v>
      </c>
      <c r="F1574" s="23"/>
      <c r="G1574" s="23">
        <f t="shared" si="6"/>
        <v>3624.59</v>
      </c>
      <c r="H1574" s="23"/>
      <c r="I1574" s="23"/>
    </row>
    <row r="1575" spans="1:9">
      <c r="A1575" s="21" t="s">
        <v>6857</v>
      </c>
      <c r="B1575" s="21" t="s">
        <v>4093</v>
      </c>
      <c r="C1575" s="22">
        <v>1494</v>
      </c>
      <c r="D1575" s="21">
        <v>349.94</v>
      </c>
      <c r="E1575" s="21" t="s">
        <v>5796</v>
      </c>
      <c r="F1575" s="23"/>
      <c r="G1575" s="23">
        <f t="shared" si="6"/>
        <v>349.94</v>
      </c>
      <c r="H1575" s="23"/>
      <c r="I1575" s="23"/>
    </row>
    <row r="1576" spans="1:9">
      <c r="A1576" s="21" t="s">
        <v>6858</v>
      </c>
      <c r="B1576" s="21" t="s">
        <v>3091</v>
      </c>
      <c r="C1576" s="22">
        <v>1095</v>
      </c>
      <c r="D1576" s="21">
        <v>890.76</v>
      </c>
      <c r="E1576" s="21" t="s">
        <v>5796</v>
      </c>
      <c r="F1576" s="23"/>
      <c r="G1576" s="23">
        <f t="shared" si="6"/>
        <v>890.76</v>
      </c>
      <c r="H1576" s="23"/>
      <c r="I1576" s="23"/>
    </row>
    <row r="1577" spans="1:9">
      <c r="A1577" s="21" t="s">
        <v>1671</v>
      </c>
      <c r="B1577" s="21" t="s">
        <v>1673</v>
      </c>
      <c r="C1577" s="22">
        <v>554</v>
      </c>
      <c r="D1577" s="21">
        <v>4269.6000000000004</v>
      </c>
      <c r="E1577" s="21" t="s">
        <v>5796</v>
      </c>
      <c r="F1577" s="23"/>
      <c r="G1577" s="23">
        <f t="shared" si="6"/>
        <v>4269.6000000000004</v>
      </c>
      <c r="H1577" s="23"/>
      <c r="I1577" s="23"/>
    </row>
    <row r="1578" spans="1:9">
      <c r="A1578" s="21" t="s">
        <v>6859</v>
      </c>
      <c r="B1578" s="21" t="s">
        <v>1424</v>
      </c>
      <c r="C1578" s="22">
        <v>459</v>
      </c>
      <c r="D1578" s="21">
        <v>5967.69</v>
      </c>
      <c r="E1578" s="21" t="s">
        <v>5796</v>
      </c>
      <c r="F1578" s="23"/>
      <c r="G1578" s="23">
        <f t="shared" si="6"/>
        <v>5967.69</v>
      </c>
      <c r="H1578" s="23"/>
      <c r="I1578" s="23"/>
    </row>
    <row r="1579" spans="1:9">
      <c r="A1579" s="21" t="s">
        <v>6860</v>
      </c>
      <c r="B1579" s="21" t="s">
        <v>3193</v>
      </c>
      <c r="C1579" s="22">
        <v>1034</v>
      </c>
      <c r="D1579" s="21">
        <v>1058.8900000000001</v>
      </c>
      <c r="E1579" s="21" t="s">
        <v>5796</v>
      </c>
      <c r="F1579" s="23"/>
      <c r="G1579" s="23">
        <f t="shared" si="6"/>
        <v>1058.8900000000001</v>
      </c>
      <c r="H1579" s="23"/>
      <c r="I1579" s="23"/>
    </row>
    <row r="1580" spans="1:9">
      <c r="A1580" s="21" t="s">
        <v>3431</v>
      </c>
      <c r="B1580" s="21" t="s">
        <v>3433</v>
      </c>
      <c r="C1580" s="22">
        <v>1017</v>
      </c>
      <c r="D1580" s="21">
        <v>1092.6600000000001</v>
      </c>
      <c r="E1580" s="21" t="s">
        <v>5796</v>
      </c>
      <c r="F1580" s="23"/>
      <c r="G1580" s="23">
        <f t="shared" si="6"/>
        <v>1092.6600000000001</v>
      </c>
      <c r="H1580" s="23"/>
      <c r="I1580" s="23"/>
    </row>
    <row r="1581" spans="1:9">
      <c r="A1581" s="21" t="s">
        <v>3755</v>
      </c>
      <c r="B1581" s="21" t="s">
        <v>3757</v>
      </c>
      <c r="C1581" s="22">
        <v>1273</v>
      </c>
      <c r="D1581" s="21">
        <v>560.37</v>
      </c>
      <c r="E1581" s="21" t="s">
        <v>5796</v>
      </c>
      <c r="F1581" s="23"/>
      <c r="G1581" s="23">
        <f t="shared" si="6"/>
        <v>560.37</v>
      </c>
      <c r="H1581" s="23"/>
      <c r="I1581" s="23"/>
    </row>
    <row r="1582" spans="1:9">
      <c r="A1582" s="21" t="s">
        <v>6861</v>
      </c>
      <c r="B1582" s="21" t="s">
        <v>5670</v>
      </c>
      <c r="C1582" s="22">
        <v>3594</v>
      </c>
      <c r="D1582" s="21">
        <v>12.28</v>
      </c>
      <c r="E1582" s="21" t="s">
        <v>5796</v>
      </c>
      <c r="F1582" s="23"/>
      <c r="G1582" s="23">
        <f t="shared" si="6"/>
        <v>12.28</v>
      </c>
      <c r="H1582" s="23"/>
      <c r="I1582" s="23"/>
    </row>
    <row r="1583" spans="1:9">
      <c r="A1583" s="21" t="s">
        <v>6862</v>
      </c>
      <c r="B1583" s="21" t="s">
        <v>3028</v>
      </c>
      <c r="C1583" s="22">
        <v>933</v>
      </c>
      <c r="D1583" s="21">
        <v>1369.76</v>
      </c>
      <c r="E1583" s="21" t="s">
        <v>5796</v>
      </c>
      <c r="F1583" s="23"/>
      <c r="G1583" s="23">
        <f t="shared" si="6"/>
        <v>1369.76</v>
      </c>
      <c r="H1583" s="23"/>
      <c r="I1583" s="23"/>
    </row>
    <row r="1584" spans="1:9">
      <c r="A1584" s="21" t="s">
        <v>6863</v>
      </c>
      <c r="B1584" s="21" t="s">
        <v>4708</v>
      </c>
      <c r="C1584" s="22">
        <v>1819</v>
      </c>
      <c r="D1584" s="21">
        <v>189.39</v>
      </c>
      <c r="E1584" s="21" t="s">
        <v>5796</v>
      </c>
      <c r="F1584" s="23"/>
      <c r="G1584" s="23">
        <f t="shared" si="6"/>
        <v>189.39</v>
      </c>
      <c r="H1584" s="23"/>
      <c r="I1584" s="23"/>
    </row>
    <row r="1585" spans="1:9">
      <c r="A1585" s="21" t="s">
        <v>6864</v>
      </c>
      <c r="B1585" s="21" t="s">
        <v>1277</v>
      </c>
      <c r="C1585" s="22">
        <v>413</v>
      </c>
      <c r="D1585" s="21">
        <v>7159.18</v>
      </c>
      <c r="E1585" s="21" t="s">
        <v>5796</v>
      </c>
      <c r="F1585" s="23"/>
      <c r="G1585" s="23">
        <f t="shared" si="6"/>
        <v>7159.18</v>
      </c>
      <c r="H1585" s="23"/>
      <c r="I1585" s="23"/>
    </row>
    <row r="1586" spans="1:9">
      <c r="A1586" s="21" t="s">
        <v>4475</v>
      </c>
      <c r="B1586" s="21" t="s">
        <v>4477</v>
      </c>
      <c r="C1586" s="22">
        <v>2037</v>
      </c>
      <c r="D1586" s="21">
        <v>132.9</v>
      </c>
      <c r="E1586" s="21" t="s">
        <v>5796</v>
      </c>
      <c r="F1586" s="23"/>
      <c r="G1586" s="23">
        <f t="shared" si="6"/>
        <v>132.9</v>
      </c>
      <c r="H1586" s="23"/>
      <c r="I1586" s="23"/>
    </row>
    <row r="1587" spans="1:9">
      <c r="A1587" s="21" t="s">
        <v>6865</v>
      </c>
      <c r="B1587" s="21" t="s">
        <v>3352</v>
      </c>
      <c r="C1587" s="22">
        <v>1085</v>
      </c>
      <c r="D1587" s="21">
        <v>923.36</v>
      </c>
      <c r="E1587" s="21" t="s">
        <v>5796</v>
      </c>
      <c r="F1587" s="23"/>
      <c r="G1587" s="23">
        <f t="shared" si="6"/>
        <v>923.36</v>
      </c>
      <c r="H1587" s="23"/>
      <c r="I1587" s="23"/>
    </row>
    <row r="1588" spans="1:9">
      <c r="A1588" s="21" t="s">
        <v>6866</v>
      </c>
      <c r="B1588" s="21" t="s">
        <v>6867</v>
      </c>
      <c r="C1588" s="22">
        <v>2004</v>
      </c>
      <c r="D1588" s="21">
        <v>143.16999999999999</v>
      </c>
      <c r="E1588" s="21" t="s">
        <v>5796</v>
      </c>
      <c r="F1588" s="23"/>
      <c r="G1588" s="23">
        <f t="shared" si="6"/>
        <v>143.16999999999999</v>
      </c>
      <c r="H1588" s="23"/>
      <c r="I1588" s="23"/>
    </row>
    <row r="1589" spans="1:9">
      <c r="A1589" s="21" t="s">
        <v>5656</v>
      </c>
      <c r="B1589" s="21" t="s">
        <v>5658</v>
      </c>
      <c r="C1589" s="22">
        <v>3272</v>
      </c>
      <c r="D1589" s="21">
        <v>20.399999999999999</v>
      </c>
      <c r="E1589" s="21" t="s">
        <v>5796</v>
      </c>
      <c r="F1589" s="23"/>
      <c r="G1589" s="23">
        <f t="shared" si="6"/>
        <v>20.399999999999999</v>
      </c>
      <c r="H1589" s="23"/>
      <c r="I1589" s="23"/>
    </row>
    <row r="1590" spans="1:9">
      <c r="A1590" s="21" t="s">
        <v>3839</v>
      </c>
      <c r="B1590" s="21" t="s">
        <v>3841</v>
      </c>
      <c r="C1590" s="22">
        <v>1371</v>
      </c>
      <c r="D1590" s="21">
        <v>437.9</v>
      </c>
      <c r="E1590" s="21" t="s">
        <v>5796</v>
      </c>
      <c r="F1590" s="23"/>
      <c r="G1590" s="23">
        <f t="shared" si="6"/>
        <v>437.9</v>
      </c>
      <c r="H1590" s="23"/>
      <c r="I1590" s="23"/>
    </row>
    <row r="1591" spans="1:9">
      <c r="A1591" s="21" t="s">
        <v>6868</v>
      </c>
      <c r="B1591" s="21" t="s">
        <v>6869</v>
      </c>
      <c r="C1591" s="22">
        <v>2077</v>
      </c>
      <c r="D1591" s="21">
        <v>125.09</v>
      </c>
      <c r="E1591" s="21" t="s">
        <v>5796</v>
      </c>
      <c r="F1591" s="23"/>
      <c r="G1591" s="23">
        <f t="shared" si="6"/>
        <v>125.09</v>
      </c>
      <c r="H1591" s="23"/>
      <c r="I1591" s="23"/>
    </row>
    <row r="1592" spans="1:9">
      <c r="A1592" s="27" t="s">
        <v>6870</v>
      </c>
      <c r="B1592" s="27" t="s">
        <v>299</v>
      </c>
      <c r="C1592" s="28">
        <v>75</v>
      </c>
      <c r="D1592" s="27">
        <v>69795.289999999994</v>
      </c>
      <c r="E1592" s="27" t="s">
        <v>5815</v>
      </c>
      <c r="F1592" s="29"/>
      <c r="G1592" s="23">
        <f t="shared" si="6"/>
        <v>69795.289999999994</v>
      </c>
      <c r="H1592" s="29"/>
      <c r="I1592" s="29"/>
    </row>
    <row r="1593" spans="1:9">
      <c r="A1593" s="21" t="s">
        <v>3329</v>
      </c>
      <c r="B1593" s="21" t="s">
        <v>3331</v>
      </c>
      <c r="C1593" s="22">
        <v>1106</v>
      </c>
      <c r="D1593" s="21">
        <v>858.2</v>
      </c>
      <c r="E1593" s="21" t="s">
        <v>5796</v>
      </c>
      <c r="F1593" s="23"/>
      <c r="G1593" s="23">
        <f t="shared" si="6"/>
        <v>858.2</v>
      </c>
      <c r="H1593" s="23"/>
      <c r="I1593" s="23"/>
    </row>
    <row r="1594" spans="1:9">
      <c r="A1594" s="21" t="s">
        <v>6871</v>
      </c>
      <c r="B1594" s="21" t="s">
        <v>5367</v>
      </c>
      <c r="C1594" s="22">
        <v>2184</v>
      </c>
      <c r="D1594" s="21">
        <v>106.06</v>
      </c>
      <c r="E1594" s="21" t="s">
        <v>5796</v>
      </c>
      <c r="F1594" s="23"/>
      <c r="G1594" s="23">
        <f t="shared" si="6"/>
        <v>106.06</v>
      </c>
      <c r="H1594" s="23"/>
      <c r="I1594" s="23"/>
    </row>
    <row r="1595" spans="1:9">
      <c r="A1595" s="21" t="s">
        <v>6872</v>
      </c>
      <c r="B1595" s="21" t="s">
        <v>1994</v>
      </c>
      <c r="C1595" s="22">
        <v>716</v>
      </c>
      <c r="D1595" s="21">
        <v>2457.4899999999998</v>
      </c>
      <c r="E1595" s="21" t="s">
        <v>5796</v>
      </c>
      <c r="F1595" s="23"/>
      <c r="G1595" s="23">
        <f t="shared" si="6"/>
        <v>2457.4899999999998</v>
      </c>
      <c r="H1595" s="23"/>
      <c r="I1595" s="23"/>
    </row>
    <row r="1596" spans="1:9">
      <c r="A1596" s="21" t="s">
        <v>6873</v>
      </c>
      <c r="B1596" s="21" t="s">
        <v>6874</v>
      </c>
      <c r="C1596" s="22">
        <v>2181</v>
      </c>
      <c r="D1596" s="21">
        <v>106.56</v>
      </c>
      <c r="E1596" s="21" t="s">
        <v>5796</v>
      </c>
      <c r="F1596" s="23"/>
      <c r="G1596" s="23">
        <f t="shared" si="6"/>
        <v>106.56</v>
      </c>
      <c r="H1596" s="23"/>
      <c r="I1596" s="23"/>
    </row>
    <row r="1597" spans="1:9">
      <c r="A1597" s="21" t="s">
        <v>6875</v>
      </c>
      <c r="B1597" s="21" t="s">
        <v>1919</v>
      </c>
      <c r="C1597" s="22">
        <v>650</v>
      </c>
      <c r="D1597" s="21">
        <v>3020.21</v>
      </c>
      <c r="E1597" s="21" t="s">
        <v>5796</v>
      </c>
      <c r="F1597" s="23"/>
      <c r="G1597" s="23">
        <f t="shared" si="6"/>
        <v>3020.21</v>
      </c>
      <c r="H1597" s="23"/>
      <c r="I1597" s="23"/>
    </row>
    <row r="1598" spans="1:9">
      <c r="A1598" s="21" t="s">
        <v>1611</v>
      </c>
      <c r="B1598" s="21" t="s">
        <v>1613</v>
      </c>
      <c r="C1598" s="22">
        <v>519</v>
      </c>
      <c r="D1598" s="21">
        <v>4907.3900000000003</v>
      </c>
      <c r="E1598" s="21" t="s">
        <v>5796</v>
      </c>
      <c r="F1598" s="23"/>
      <c r="G1598" s="23">
        <f t="shared" si="6"/>
        <v>4907.3900000000003</v>
      </c>
      <c r="H1598" s="23"/>
      <c r="I1598" s="23"/>
    </row>
    <row r="1599" spans="1:9">
      <c r="A1599" s="24" t="s">
        <v>540</v>
      </c>
      <c r="B1599" s="24" t="s">
        <v>542</v>
      </c>
      <c r="C1599" s="25">
        <v>165</v>
      </c>
      <c r="D1599" s="24">
        <v>32400.73</v>
      </c>
      <c r="E1599" s="24" t="s">
        <v>5800</v>
      </c>
      <c r="F1599" s="26"/>
      <c r="G1599" s="23">
        <f t="shared" si="6"/>
        <v>32400.73</v>
      </c>
      <c r="H1599" s="26"/>
      <c r="I1599" s="26"/>
    </row>
    <row r="1600" spans="1:9">
      <c r="A1600" s="21" t="s">
        <v>6876</v>
      </c>
      <c r="B1600" s="21" t="s">
        <v>4357</v>
      </c>
      <c r="C1600" s="22">
        <v>1644</v>
      </c>
      <c r="D1600" s="21">
        <v>265.81</v>
      </c>
      <c r="E1600" s="21" t="s">
        <v>5796</v>
      </c>
      <c r="F1600" s="23"/>
      <c r="G1600" s="23">
        <f t="shared" si="6"/>
        <v>265.81</v>
      </c>
      <c r="H1600" s="23"/>
      <c r="I1600" s="23"/>
    </row>
    <row r="1601" spans="1:9">
      <c r="A1601" s="21" t="s">
        <v>6877</v>
      </c>
      <c r="B1601" s="21" t="s">
        <v>4774</v>
      </c>
      <c r="C1601" s="22">
        <v>2073</v>
      </c>
      <c r="D1601" s="21">
        <v>125.92</v>
      </c>
      <c r="E1601" s="21" t="s">
        <v>5796</v>
      </c>
      <c r="F1601" s="23"/>
      <c r="G1601" s="23">
        <f t="shared" si="6"/>
        <v>125.92</v>
      </c>
      <c r="H1601" s="23"/>
      <c r="I1601" s="23"/>
    </row>
    <row r="1602" spans="1:9">
      <c r="A1602" s="21" t="s">
        <v>6878</v>
      </c>
      <c r="B1602" s="21" t="s">
        <v>3715</v>
      </c>
      <c r="C1602" s="22">
        <v>1343</v>
      </c>
      <c r="D1602" s="21">
        <v>461.82</v>
      </c>
      <c r="E1602" s="21" t="s">
        <v>5796</v>
      </c>
      <c r="F1602" s="23"/>
      <c r="G1602" s="23">
        <f t="shared" si="6"/>
        <v>461.82</v>
      </c>
      <c r="H1602" s="23"/>
      <c r="I1602" s="23"/>
    </row>
    <row r="1603" spans="1:9">
      <c r="A1603" s="21" t="s">
        <v>6879</v>
      </c>
      <c r="B1603" s="21" t="s">
        <v>3196</v>
      </c>
      <c r="C1603" s="22">
        <v>1062</v>
      </c>
      <c r="D1603" s="21">
        <v>991.79</v>
      </c>
      <c r="E1603" s="21" t="s">
        <v>5796</v>
      </c>
      <c r="F1603" s="23"/>
      <c r="G1603" s="23">
        <f t="shared" si="6"/>
        <v>991.79</v>
      </c>
      <c r="H1603" s="23"/>
      <c r="I1603" s="23"/>
    </row>
    <row r="1604" spans="1:9">
      <c r="A1604" s="21" t="s">
        <v>6880</v>
      </c>
      <c r="B1604" s="21" t="s">
        <v>5203</v>
      </c>
      <c r="C1604" s="22">
        <v>2254</v>
      </c>
      <c r="D1604" s="21">
        <v>93.85</v>
      </c>
      <c r="E1604" s="21" t="s">
        <v>5796</v>
      </c>
      <c r="F1604" s="23"/>
      <c r="G1604" s="23">
        <f t="shared" si="6"/>
        <v>93.85</v>
      </c>
      <c r="H1604" s="23"/>
      <c r="I1604" s="23"/>
    </row>
    <row r="1605" spans="1:9">
      <c r="A1605" s="21" t="s">
        <v>6881</v>
      </c>
      <c r="B1605" s="21" t="s">
        <v>3379</v>
      </c>
      <c r="C1605" s="22">
        <v>929</v>
      </c>
      <c r="D1605" s="21">
        <v>1383.94</v>
      </c>
      <c r="E1605" s="21" t="s">
        <v>5796</v>
      </c>
      <c r="F1605" s="23"/>
      <c r="G1605" s="23">
        <f t="shared" si="6"/>
        <v>1383.94</v>
      </c>
      <c r="H1605" s="23"/>
      <c r="I1605" s="23"/>
    </row>
    <row r="1606" spans="1:9">
      <c r="A1606" s="21" t="s">
        <v>6882</v>
      </c>
      <c r="B1606" s="21" t="s">
        <v>4132</v>
      </c>
      <c r="C1606" s="22">
        <v>1641</v>
      </c>
      <c r="D1606" s="21">
        <v>267.31</v>
      </c>
      <c r="E1606" s="21" t="s">
        <v>5796</v>
      </c>
      <c r="F1606" s="23"/>
      <c r="G1606" s="23">
        <f t="shared" si="6"/>
        <v>267.31</v>
      </c>
      <c r="H1606" s="23"/>
      <c r="I1606" s="23"/>
    </row>
    <row r="1607" spans="1:9">
      <c r="A1607" s="21" t="s">
        <v>6883</v>
      </c>
      <c r="B1607" s="21" t="s">
        <v>3163</v>
      </c>
      <c r="C1607" s="22">
        <v>961</v>
      </c>
      <c r="D1607" s="21">
        <v>1292.27</v>
      </c>
      <c r="E1607" s="21" t="s">
        <v>5796</v>
      </c>
      <c r="F1607" s="23"/>
      <c r="G1607" s="23">
        <f t="shared" si="6"/>
        <v>1292.27</v>
      </c>
      <c r="H1607" s="23"/>
      <c r="I1607" s="23"/>
    </row>
    <row r="1608" spans="1:9">
      <c r="A1608" s="21" t="s">
        <v>6884</v>
      </c>
      <c r="B1608" s="21" t="s">
        <v>1688</v>
      </c>
      <c r="C1608" s="22">
        <v>442</v>
      </c>
      <c r="D1608" s="21">
        <v>6462.27</v>
      </c>
      <c r="E1608" s="21" t="s">
        <v>5796</v>
      </c>
      <c r="F1608" s="23"/>
      <c r="G1608" s="23">
        <f t="shared" si="6"/>
        <v>6462.27</v>
      </c>
      <c r="H1608" s="23"/>
      <c r="I1608" s="23"/>
    </row>
    <row r="1609" spans="1:9">
      <c r="A1609" s="21" t="s">
        <v>6885</v>
      </c>
      <c r="B1609" s="21" t="s">
        <v>2893</v>
      </c>
      <c r="C1609" s="22">
        <v>905</v>
      </c>
      <c r="D1609" s="21">
        <v>1454.95</v>
      </c>
      <c r="E1609" s="21" t="s">
        <v>5796</v>
      </c>
      <c r="F1609" s="23"/>
      <c r="G1609" s="23">
        <f t="shared" si="6"/>
        <v>1454.95</v>
      </c>
      <c r="H1609" s="23"/>
      <c r="I1609" s="23"/>
    </row>
    <row r="1610" spans="1:9">
      <c r="A1610" s="21" t="s">
        <v>2321</v>
      </c>
      <c r="B1610" s="21" t="s">
        <v>2323</v>
      </c>
      <c r="C1610" s="22">
        <v>762</v>
      </c>
      <c r="D1610" s="21">
        <v>2117.64</v>
      </c>
      <c r="E1610" s="21" t="s">
        <v>5796</v>
      </c>
      <c r="F1610" s="23"/>
      <c r="G1610" s="23">
        <f t="shared" si="6"/>
        <v>2117.64</v>
      </c>
      <c r="H1610" s="23"/>
      <c r="I1610" s="23"/>
    </row>
    <row r="1611" spans="1:9">
      <c r="A1611" s="21" t="s">
        <v>2585</v>
      </c>
      <c r="B1611" s="21" t="s">
        <v>2587</v>
      </c>
      <c r="C1611" s="22">
        <v>900</v>
      </c>
      <c r="D1611" s="21">
        <v>1470.35</v>
      </c>
      <c r="E1611" s="21" t="s">
        <v>5796</v>
      </c>
      <c r="F1611" s="23"/>
      <c r="G1611" s="23">
        <f t="shared" si="6"/>
        <v>1470.35</v>
      </c>
      <c r="H1611" s="23"/>
      <c r="I1611" s="23"/>
    </row>
    <row r="1612" spans="1:9">
      <c r="A1612" s="21" t="s">
        <v>6886</v>
      </c>
      <c r="B1612" s="21" t="s">
        <v>2791</v>
      </c>
      <c r="C1612" s="22">
        <v>848</v>
      </c>
      <c r="D1612" s="21">
        <v>1729.12</v>
      </c>
      <c r="E1612" s="21" t="s">
        <v>5796</v>
      </c>
      <c r="F1612" s="23"/>
      <c r="G1612" s="23">
        <f t="shared" si="6"/>
        <v>1729.12</v>
      </c>
      <c r="H1612" s="23"/>
      <c r="I1612" s="23"/>
    </row>
    <row r="1613" spans="1:9">
      <c r="A1613" s="21" t="s">
        <v>6887</v>
      </c>
      <c r="B1613" s="21" t="s">
        <v>2368</v>
      </c>
      <c r="C1613" s="22">
        <v>773</v>
      </c>
      <c r="D1613" s="21">
        <v>2076.21</v>
      </c>
      <c r="E1613" s="21" t="s">
        <v>5796</v>
      </c>
      <c r="F1613" s="23"/>
      <c r="G1613" s="23">
        <f t="shared" si="6"/>
        <v>2076.21</v>
      </c>
      <c r="H1613" s="23"/>
      <c r="I1613" s="23"/>
    </row>
    <row r="1614" spans="1:9">
      <c r="A1614" s="21" t="s">
        <v>6888</v>
      </c>
      <c r="B1614" s="21" t="s">
        <v>2179</v>
      </c>
      <c r="C1614" s="22">
        <v>670</v>
      </c>
      <c r="D1614" s="21">
        <v>2836.49</v>
      </c>
      <c r="E1614" s="21" t="s">
        <v>5796</v>
      </c>
      <c r="F1614" s="23"/>
      <c r="G1614" s="23">
        <f t="shared" si="6"/>
        <v>2836.49</v>
      </c>
      <c r="H1614" s="23"/>
      <c r="I1614" s="23"/>
    </row>
    <row r="1615" spans="1:9">
      <c r="A1615" s="21" t="s">
        <v>6889</v>
      </c>
      <c r="B1615" s="21" t="s">
        <v>3730</v>
      </c>
      <c r="C1615" s="22">
        <v>1223</v>
      </c>
      <c r="D1615" s="21">
        <v>645.75</v>
      </c>
      <c r="E1615" s="21" t="s">
        <v>5796</v>
      </c>
      <c r="F1615" s="23"/>
      <c r="G1615" s="23">
        <f t="shared" si="6"/>
        <v>645.75</v>
      </c>
      <c r="H1615" s="23"/>
      <c r="I1615" s="23"/>
    </row>
    <row r="1616" spans="1:9">
      <c r="A1616" s="21" t="s">
        <v>2001</v>
      </c>
      <c r="B1616" s="21" t="s">
        <v>2003</v>
      </c>
      <c r="C1616" s="22">
        <v>631</v>
      </c>
      <c r="D1616" s="21">
        <v>3279.6</v>
      </c>
      <c r="E1616" s="21" t="s">
        <v>5796</v>
      </c>
      <c r="F1616" s="23"/>
      <c r="G1616" s="23">
        <f t="shared" si="6"/>
        <v>3279.6</v>
      </c>
      <c r="H1616" s="23"/>
      <c r="I1616" s="23"/>
    </row>
    <row r="1617" spans="1:9">
      <c r="A1617" s="21" t="s">
        <v>6890</v>
      </c>
      <c r="B1617" s="21" t="s">
        <v>5580</v>
      </c>
      <c r="C1617" s="22">
        <v>2960</v>
      </c>
      <c r="D1617" s="21">
        <v>32.06</v>
      </c>
      <c r="E1617" s="21" t="s">
        <v>5796</v>
      </c>
      <c r="F1617" s="23"/>
      <c r="G1617" s="23">
        <f t="shared" si="6"/>
        <v>32.06</v>
      </c>
      <c r="H1617" s="23"/>
      <c r="I1617" s="23"/>
    </row>
    <row r="1618" spans="1:9">
      <c r="A1618" s="24" t="s">
        <v>6891</v>
      </c>
      <c r="B1618" s="24" t="s">
        <v>797</v>
      </c>
      <c r="C1618" s="25">
        <v>212</v>
      </c>
      <c r="D1618" s="24">
        <v>21641.4</v>
      </c>
      <c r="E1618" s="24" t="s">
        <v>5800</v>
      </c>
      <c r="F1618" s="26"/>
      <c r="G1618" s="23">
        <f t="shared" si="6"/>
        <v>21641.4</v>
      </c>
      <c r="H1618" s="26"/>
      <c r="I1618" s="26"/>
    </row>
    <row r="1619" spans="1:9">
      <c r="A1619" s="21" t="s">
        <v>6892</v>
      </c>
      <c r="B1619" s="21" t="s">
        <v>5167</v>
      </c>
      <c r="C1619" s="22">
        <v>2199</v>
      </c>
      <c r="D1619" s="21">
        <v>103.73</v>
      </c>
      <c r="E1619" s="21" t="s">
        <v>5796</v>
      </c>
      <c r="F1619" s="23"/>
      <c r="G1619" s="23">
        <f t="shared" si="6"/>
        <v>103.73</v>
      </c>
      <c r="H1619" s="23"/>
      <c r="I1619" s="23"/>
    </row>
    <row r="1620" spans="1:9">
      <c r="A1620" s="21" t="s">
        <v>6893</v>
      </c>
      <c r="B1620" s="21" t="s">
        <v>3259</v>
      </c>
      <c r="C1620" s="22">
        <v>1207</v>
      </c>
      <c r="D1620" s="21">
        <v>686.32</v>
      </c>
      <c r="E1620" s="21" t="s">
        <v>5796</v>
      </c>
      <c r="F1620" s="23"/>
      <c r="G1620" s="23">
        <f t="shared" si="6"/>
        <v>686.32</v>
      </c>
      <c r="H1620" s="23"/>
      <c r="I1620" s="23"/>
    </row>
    <row r="1621" spans="1:9">
      <c r="A1621" s="21" t="s">
        <v>6894</v>
      </c>
      <c r="B1621" s="21" t="s">
        <v>6895</v>
      </c>
      <c r="C1621" s="22">
        <v>370</v>
      </c>
      <c r="D1621" s="21">
        <v>8781.02</v>
      </c>
      <c r="E1621" s="21" t="s">
        <v>5796</v>
      </c>
      <c r="F1621" s="23"/>
      <c r="G1621" s="23">
        <f t="shared" si="6"/>
        <v>8781.02</v>
      </c>
      <c r="H1621" s="23"/>
      <c r="I1621" s="23"/>
    </row>
    <row r="1622" spans="1:9">
      <c r="A1622" s="21" t="s">
        <v>6896</v>
      </c>
      <c r="B1622" s="21" t="s">
        <v>5032</v>
      </c>
      <c r="C1622" s="22">
        <v>2132</v>
      </c>
      <c r="D1622" s="21">
        <v>115.78</v>
      </c>
      <c r="E1622" s="21" t="s">
        <v>5796</v>
      </c>
      <c r="F1622" s="23"/>
      <c r="G1622" s="23">
        <f t="shared" si="6"/>
        <v>115.78</v>
      </c>
      <c r="H1622" s="23"/>
      <c r="I1622" s="23"/>
    </row>
    <row r="1623" spans="1:9">
      <c r="A1623" s="24" t="s">
        <v>6897</v>
      </c>
      <c r="B1623" s="24" t="s">
        <v>578</v>
      </c>
      <c r="C1623" s="25">
        <v>185</v>
      </c>
      <c r="D1623" s="24">
        <v>26395.439999999999</v>
      </c>
      <c r="E1623" s="24" t="s">
        <v>5800</v>
      </c>
      <c r="F1623" s="26"/>
      <c r="G1623" s="23">
        <f t="shared" si="6"/>
        <v>26395.439999999999</v>
      </c>
      <c r="H1623" s="26"/>
      <c r="I1623" s="26"/>
    </row>
    <row r="1624" spans="1:9">
      <c r="A1624" s="21" t="s">
        <v>6898</v>
      </c>
      <c r="B1624" s="21" t="s">
        <v>2329</v>
      </c>
      <c r="C1624" s="22">
        <v>800</v>
      </c>
      <c r="D1624" s="21">
        <v>1926.41</v>
      </c>
      <c r="E1624" s="21" t="s">
        <v>5796</v>
      </c>
      <c r="F1624" s="23"/>
      <c r="G1624" s="23">
        <f t="shared" si="6"/>
        <v>1926.41</v>
      </c>
      <c r="H1624" s="23"/>
      <c r="I1624" s="23"/>
    </row>
    <row r="1625" spans="1:9">
      <c r="A1625" s="21" t="s">
        <v>6899</v>
      </c>
      <c r="B1625" s="21" t="s">
        <v>4624</v>
      </c>
      <c r="C1625" s="22">
        <v>2069</v>
      </c>
      <c r="D1625" s="21">
        <v>127.42</v>
      </c>
      <c r="E1625" s="21" t="s">
        <v>5796</v>
      </c>
      <c r="F1625" s="23"/>
      <c r="G1625" s="23">
        <f t="shared" si="6"/>
        <v>127.42</v>
      </c>
      <c r="H1625" s="23"/>
      <c r="I1625" s="23"/>
    </row>
    <row r="1626" spans="1:9">
      <c r="A1626" s="24" t="s">
        <v>6900</v>
      </c>
      <c r="B1626" s="24" t="s">
        <v>665</v>
      </c>
      <c r="C1626" s="25">
        <v>210</v>
      </c>
      <c r="D1626" s="24">
        <v>21740.02</v>
      </c>
      <c r="E1626" s="24" t="s">
        <v>5800</v>
      </c>
      <c r="F1626" s="26"/>
      <c r="G1626" s="23">
        <f t="shared" si="6"/>
        <v>21740.02</v>
      </c>
      <c r="H1626" s="26"/>
      <c r="I1626" s="26"/>
    </row>
    <row r="1627" spans="1:9">
      <c r="A1627" s="21" t="s">
        <v>6901</v>
      </c>
      <c r="B1627" s="21" t="s">
        <v>2098</v>
      </c>
      <c r="C1627" s="22">
        <v>690</v>
      </c>
      <c r="D1627" s="21">
        <v>2630.1</v>
      </c>
      <c r="E1627" s="21" t="s">
        <v>5796</v>
      </c>
      <c r="F1627" s="23"/>
      <c r="G1627" s="23">
        <f t="shared" si="6"/>
        <v>2630.1</v>
      </c>
      <c r="H1627" s="23"/>
      <c r="I1627" s="23"/>
    </row>
    <row r="1628" spans="1:9">
      <c r="A1628" s="27" t="s">
        <v>6902</v>
      </c>
      <c r="B1628" s="27" t="s">
        <v>66</v>
      </c>
      <c r="C1628" s="28">
        <v>20</v>
      </c>
      <c r="D1628" s="27">
        <v>237246.3</v>
      </c>
      <c r="E1628" s="27" t="s">
        <v>5815</v>
      </c>
      <c r="F1628" s="29"/>
      <c r="G1628" s="23">
        <f t="shared" si="6"/>
        <v>237246.3</v>
      </c>
      <c r="H1628" s="29"/>
      <c r="I1628" s="29"/>
    </row>
    <row r="1629" spans="1:9">
      <c r="A1629" s="21" t="s">
        <v>6903</v>
      </c>
      <c r="B1629" s="21" t="s">
        <v>1679</v>
      </c>
      <c r="C1629" s="22">
        <v>535</v>
      </c>
      <c r="D1629" s="21">
        <v>4541.2700000000004</v>
      </c>
      <c r="E1629" s="21" t="s">
        <v>5796</v>
      </c>
      <c r="F1629" s="23"/>
      <c r="G1629" s="23">
        <f t="shared" si="6"/>
        <v>4541.2700000000004</v>
      </c>
      <c r="H1629" s="23"/>
      <c r="I1629" s="23"/>
    </row>
    <row r="1630" spans="1:9">
      <c r="A1630" s="24" t="s">
        <v>6904</v>
      </c>
      <c r="B1630" s="24" t="s">
        <v>716</v>
      </c>
      <c r="C1630" s="25">
        <v>249</v>
      </c>
      <c r="D1630" s="24">
        <v>17503.490000000002</v>
      </c>
      <c r="E1630" s="24" t="s">
        <v>5800</v>
      </c>
      <c r="F1630" s="26"/>
      <c r="G1630" s="23">
        <f t="shared" si="6"/>
        <v>17503.490000000002</v>
      </c>
      <c r="H1630" s="26"/>
      <c r="I1630" s="26"/>
    </row>
    <row r="1631" spans="1:9">
      <c r="A1631" s="21" t="s">
        <v>6905</v>
      </c>
      <c r="B1631" s="21" t="s">
        <v>4543</v>
      </c>
      <c r="C1631" s="22">
        <v>1673</v>
      </c>
      <c r="D1631" s="21">
        <v>251.11</v>
      </c>
      <c r="E1631" s="21" t="s">
        <v>5796</v>
      </c>
      <c r="F1631" s="23"/>
      <c r="G1631" s="23">
        <f t="shared" si="6"/>
        <v>251.11</v>
      </c>
      <c r="H1631" s="23"/>
      <c r="I1631" s="23"/>
    </row>
    <row r="1632" spans="1:9">
      <c r="A1632" s="21" t="s">
        <v>6906</v>
      </c>
      <c r="B1632" s="21" t="s">
        <v>5502</v>
      </c>
      <c r="C1632" s="22">
        <v>2784</v>
      </c>
      <c r="D1632" s="21">
        <v>41.28</v>
      </c>
      <c r="E1632" s="21" t="s">
        <v>5796</v>
      </c>
      <c r="F1632" s="23"/>
      <c r="G1632" s="23">
        <f t="shared" si="6"/>
        <v>41.28</v>
      </c>
      <c r="H1632" s="23"/>
      <c r="I1632" s="23"/>
    </row>
    <row r="1633" spans="1:9">
      <c r="A1633" s="21" t="s">
        <v>6907</v>
      </c>
      <c r="B1633" s="21" t="s">
        <v>1754</v>
      </c>
      <c r="C1633" s="22">
        <v>513</v>
      </c>
      <c r="D1633" s="21">
        <v>5001.3500000000004</v>
      </c>
      <c r="E1633" s="21" t="s">
        <v>5796</v>
      </c>
      <c r="F1633" s="23"/>
      <c r="G1633" s="23">
        <f t="shared" si="6"/>
        <v>5001.3500000000004</v>
      </c>
      <c r="H1633" s="23"/>
      <c r="I1633" s="23"/>
    </row>
    <row r="1634" spans="1:9">
      <c r="A1634" s="21" t="s">
        <v>6908</v>
      </c>
      <c r="B1634" s="21" t="s">
        <v>5682</v>
      </c>
      <c r="C1634" s="22">
        <v>3186</v>
      </c>
      <c r="D1634" s="21">
        <v>23.13</v>
      </c>
      <c r="E1634" s="21" t="s">
        <v>5796</v>
      </c>
      <c r="F1634" s="23"/>
      <c r="G1634" s="23">
        <f t="shared" si="6"/>
        <v>23.13</v>
      </c>
      <c r="H1634" s="23"/>
      <c r="I1634" s="23"/>
    </row>
    <row r="1635" spans="1:9">
      <c r="A1635" s="24" t="s">
        <v>6909</v>
      </c>
      <c r="B1635" s="24" t="s">
        <v>377</v>
      </c>
      <c r="C1635" s="25">
        <v>152</v>
      </c>
      <c r="D1635" s="24">
        <v>34108.06</v>
      </c>
      <c r="E1635" s="24" t="s">
        <v>5800</v>
      </c>
      <c r="F1635" s="26"/>
      <c r="G1635" s="23">
        <f t="shared" si="6"/>
        <v>34108.06</v>
      </c>
      <c r="H1635" s="26"/>
      <c r="I1635" s="26"/>
    </row>
    <row r="1636" spans="1:9">
      <c r="A1636" s="21" t="s">
        <v>5335</v>
      </c>
      <c r="B1636" s="21" t="s">
        <v>5337</v>
      </c>
      <c r="C1636" s="22">
        <v>2535</v>
      </c>
      <c r="D1636" s="21">
        <v>59.8</v>
      </c>
      <c r="E1636" s="21" t="s">
        <v>5796</v>
      </c>
      <c r="F1636" s="23"/>
      <c r="G1636" s="23">
        <f t="shared" si="6"/>
        <v>59.8</v>
      </c>
      <c r="H1636" s="23"/>
      <c r="I1636" s="23"/>
    </row>
    <row r="1637" spans="1:9">
      <c r="A1637" s="21" t="s">
        <v>2621</v>
      </c>
      <c r="B1637" s="21" t="s">
        <v>2623</v>
      </c>
      <c r="C1637" s="22">
        <v>825</v>
      </c>
      <c r="D1637" s="21">
        <v>1790.52</v>
      </c>
      <c r="E1637" s="21" t="s">
        <v>5796</v>
      </c>
      <c r="F1637" s="23"/>
      <c r="G1637" s="23">
        <f t="shared" si="6"/>
        <v>1790.52</v>
      </c>
      <c r="H1637" s="23"/>
      <c r="I1637" s="23"/>
    </row>
    <row r="1638" spans="1:9">
      <c r="A1638" s="21" t="s">
        <v>5048</v>
      </c>
      <c r="B1638" s="21" t="s">
        <v>5050</v>
      </c>
      <c r="C1638" s="22">
        <v>2227</v>
      </c>
      <c r="D1638" s="21">
        <v>98.84</v>
      </c>
      <c r="E1638" s="21" t="s">
        <v>5796</v>
      </c>
      <c r="F1638" s="23"/>
      <c r="G1638" s="23">
        <f t="shared" si="6"/>
        <v>98.84</v>
      </c>
      <c r="H1638" s="23"/>
      <c r="I1638" s="23"/>
    </row>
    <row r="1639" spans="1:9">
      <c r="A1639" s="21" t="s">
        <v>6910</v>
      </c>
      <c r="B1639" s="21" t="s">
        <v>4918</v>
      </c>
      <c r="C1639" s="22">
        <v>2042</v>
      </c>
      <c r="D1639" s="21">
        <v>132.52000000000001</v>
      </c>
      <c r="E1639" s="21" t="s">
        <v>5796</v>
      </c>
      <c r="F1639" s="23"/>
      <c r="G1639" s="23">
        <f t="shared" si="6"/>
        <v>132.52000000000001</v>
      </c>
      <c r="H1639" s="23"/>
      <c r="I1639" s="23"/>
    </row>
    <row r="1640" spans="1:9">
      <c r="A1640" s="21" t="s">
        <v>6911</v>
      </c>
      <c r="B1640" s="21" t="s">
        <v>5074</v>
      </c>
      <c r="C1640" s="22">
        <v>2182</v>
      </c>
      <c r="D1640" s="21">
        <v>106.53</v>
      </c>
      <c r="E1640" s="21" t="s">
        <v>5796</v>
      </c>
      <c r="F1640" s="23"/>
      <c r="G1640" s="23">
        <f t="shared" si="6"/>
        <v>106.53</v>
      </c>
      <c r="H1640" s="23"/>
      <c r="I1640" s="23"/>
    </row>
    <row r="1641" spans="1:9">
      <c r="A1641" s="21" t="s">
        <v>6912</v>
      </c>
      <c r="B1641" s="21" t="s">
        <v>1787</v>
      </c>
      <c r="C1641" s="22">
        <v>585</v>
      </c>
      <c r="D1641" s="21">
        <v>3892.18</v>
      </c>
      <c r="E1641" s="21" t="s">
        <v>5796</v>
      </c>
      <c r="F1641" s="23"/>
      <c r="G1641" s="23">
        <f t="shared" si="6"/>
        <v>3892.18</v>
      </c>
      <c r="H1641" s="23"/>
      <c r="I1641" s="23"/>
    </row>
    <row r="1642" spans="1:9">
      <c r="A1642" s="21" t="s">
        <v>2822</v>
      </c>
      <c r="B1642" s="21" t="s">
        <v>2824</v>
      </c>
      <c r="C1642" s="22">
        <v>976</v>
      </c>
      <c r="D1642" s="21">
        <v>1255.06</v>
      </c>
      <c r="E1642" s="21" t="s">
        <v>5796</v>
      </c>
      <c r="F1642" s="23"/>
      <c r="G1642" s="23">
        <f t="shared" si="6"/>
        <v>1255.06</v>
      </c>
      <c r="H1642" s="23"/>
      <c r="I1642" s="23"/>
    </row>
    <row r="1643" spans="1:9">
      <c r="A1643" s="21" t="s">
        <v>6913</v>
      </c>
      <c r="B1643" s="21" t="s">
        <v>3478</v>
      </c>
      <c r="C1643" s="22">
        <v>1135</v>
      </c>
      <c r="D1643" s="21">
        <v>817.84</v>
      </c>
      <c r="E1643" s="21" t="s">
        <v>5796</v>
      </c>
      <c r="F1643" s="23"/>
      <c r="G1643" s="23">
        <f t="shared" si="6"/>
        <v>817.84</v>
      </c>
      <c r="H1643" s="23"/>
      <c r="I1643" s="23"/>
    </row>
    <row r="1644" spans="1:9">
      <c r="A1644" s="21" t="s">
        <v>6914</v>
      </c>
      <c r="B1644" s="21" t="s">
        <v>5478</v>
      </c>
      <c r="C1644" s="22">
        <v>2149</v>
      </c>
      <c r="D1644" s="21">
        <v>113.2</v>
      </c>
      <c r="E1644" s="21" t="s">
        <v>5796</v>
      </c>
      <c r="F1644" s="23"/>
      <c r="G1644" s="23">
        <f t="shared" si="6"/>
        <v>113.2</v>
      </c>
      <c r="H1644" s="23"/>
      <c r="I1644" s="23"/>
    </row>
    <row r="1645" spans="1:9">
      <c r="A1645" s="21" t="s">
        <v>6915</v>
      </c>
      <c r="B1645" s="21" t="s">
        <v>2947</v>
      </c>
      <c r="C1645" s="22">
        <v>966</v>
      </c>
      <c r="D1645" s="21">
        <v>1271.04</v>
      </c>
      <c r="E1645" s="21" t="s">
        <v>5796</v>
      </c>
      <c r="F1645" s="23"/>
      <c r="G1645" s="23">
        <f t="shared" si="6"/>
        <v>1271.04</v>
      </c>
      <c r="H1645" s="23"/>
      <c r="I1645" s="23"/>
    </row>
    <row r="1646" spans="1:9">
      <c r="A1646" s="21" t="s">
        <v>6916</v>
      </c>
      <c r="B1646" s="21" t="s">
        <v>986</v>
      </c>
      <c r="C1646" s="22">
        <v>303</v>
      </c>
      <c r="D1646" s="21">
        <v>12205.57</v>
      </c>
      <c r="E1646" s="21" t="s">
        <v>5796</v>
      </c>
      <c r="F1646" s="23"/>
      <c r="G1646" s="23">
        <f t="shared" si="6"/>
        <v>12205.57</v>
      </c>
      <c r="H1646" s="23"/>
      <c r="I1646" s="23"/>
    </row>
    <row r="1647" spans="1:9">
      <c r="A1647" s="21" t="s">
        <v>5174</v>
      </c>
      <c r="B1647" s="21" t="s">
        <v>5176</v>
      </c>
      <c r="C1647" s="22">
        <v>2303</v>
      </c>
      <c r="D1647" s="21">
        <v>86.87</v>
      </c>
      <c r="E1647" s="21" t="s">
        <v>5796</v>
      </c>
      <c r="F1647" s="23"/>
      <c r="G1647" s="23">
        <f t="shared" si="6"/>
        <v>86.87</v>
      </c>
      <c r="H1647" s="23"/>
      <c r="I1647" s="23"/>
    </row>
    <row r="1648" spans="1:9">
      <c r="A1648" s="21" t="s">
        <v>6917</v>
      </c>
      <c r="B1648" s="21" t="s">
        <v>515</v>
      </c>
      <c r="C1648" s="22">
        <v>333</v>
      </c>
      <c r="D1648" s="21">
        <v>10634.65</v>
      </c>
      <c r="E1648" s="21" t="s">
        <v>5796</v>
      </c>
      <c r="F1648" s="23"/>
      <c r="G1648" s="23">
        <f t="shared" si="6"/>
        <v>10634.65</v>
      </c>
      <c r="H1648" s="23"/>
      <c r="I1648" s="23"/>
    </row>
    <row r="1649" spans="1:9">
      <c r="A1649" s="21" t="s">
        <v>6918</v>
      </c>
      <c r="B1649" s="21" t="s">
        <v>4681</v>
      </c>
      <c r="C1649" s="22">
        <v>1808</v>
      </c>
      <c r="D1649" s="21">
        <v>193.71</v>
      </c>
      <c r="E1649" s="21" t="s">
        <v>5796</v>
      </c>
      <c r="F1649" s="23"/>
      <c r="G1649" s="23">
        <f t="shared" si="6"/>
        <v>193.71</v>
      </c>
      <c r="H1649" s="23"/>
      <c r="I1649" s="23"/>
    </row>
    <row r="1650" spans="1:9">
      <c r="A1650" s="21" t="s">
        <v>5120</v>
      </c>
      <c r="B1650" s="21" t="s">
        <v>5122</v>
      </c>
      <c r="C1650" s="22">
        <v>1720</v>
      </c>
      <c r="D1650" s="21">
        <v>231.38</v>
      </c>
      <c r="E1650" s="21" t="s">
        <v>5796</v>
      </c>
      <c r="F1650" s="23"/>
      <c r="G1650" s="23">
        <f t="shared" si="6"/>
        <v>231.38</v>
      </c>
      <c r="H1650" s="23"/>
      <c r="I1650" s="23"/>
    </row>
    <row r="1651" spans="1:9">
      <c r="A1651" s="21" t="s">
        <v>6919</v>
      </c>
      <c r="B1651" s="21" t="s">
        <v>1346</v>
      </c>
      <c r="C1651" s="22">
        <v>426</v>
      </c>
      <c r="D1651" s="21">
        <v>6828.52</v>
      </c>
      <c r="E1651" s="21" t="s">
        <v>5796</v>
      </c>
      <c r="F1651" s="23"/>
      <c r="G1651" s="23">
        <f t="shared" si="6"/>
        <v>6828.52</v>
      </c>
      <c r="H1651" s="23"/>
      <c r="I1651" s="23"/>
    </row>
    <row r="1652" spans="1:9">
      <c r="A1652" s="21" t="s">
        <v>6920</v>
      </c>
      <c r="B1652" s="21" t="s">
        <v>2452</v>
      </c>
      <c r="C1652" s="22">
        <v>775</v>
      </c>
      <c r="D1652" s="21">
        <v>2072</v>
      </c>
      <c r="E1652" s="21" t="s">
        <v>5796</v>
      </c>
      <c r="F1652" s="23"/>
      <c r="G1652" s="23">
        <f t="shared" si="6"/>
        <v>2072</v>
      </c>
      <c r="H1652" s="23"/>
      <c r="I1652" s="23"/>
    </row>
    <row r="1653" spans="1:9">
      <c r="A1653" s="21" t="s">
        <v>3527</v>
      </c>
      <c r="B1653" s="21" t="s">
        <v>3529</v>
      </c>
      <c r="C1653" s="22">
        <v>1319</v>
      </c>
      <c r="D1653" s="21">
        <v>491.12</v>
      </c>
      <c r="E1653" s="21" t="s">
        <v>5796</v>
      </c>
      <c r="F1653" s="23"/>
      <c r="G1653" s="23">
        <f t="shared" si="6"/>
        <v>491.12</v>
      </c>
      <c r="H1653" s="23"/>
      <c r="I1653" s="23"/>
    </row>
    <row r="1654" spans="1:9">
      <c r="A1654" s="21" t="s">
        <v>6921</v>
      </c>
      <c r="B1654" s="21" t="s">
        <v>1589</v>
      </c>
      <c r="C1654" s="22">
        <v>477</v>
      </c>
      <c r="D1654" s="21">
        <v>5584.97</v>
      </c>
      <c r="E1654" s="21" t="s">
        <v>5796</v>
      </c>
      <c r="F1654" s="23"/>
      <c r="G1654" s="23">
        <f t="shared" si="6"/>
        <v>5584.97</v>
      </c>
      <c r="H1654" s="23"/>
      <c r="I1654" s="23"/>
    </row>
    <row r="1655" spans="1:9">
      <c r="A1655" s="21" t="s">
        <v>1680</v>
      </c>
      <c r="B1655" s="21" t="s">
        <v>1682</v>
      </c>
      <c r="C1655" s="22">
        <v>423</v>
      </c>
      <c r="D1655" s="21">
        <v>6879.65</v>
      </c>
      <c r="E1655" s="21" t="s">
        <v>5796</v>
      </c>
      <c r="F1655" s="23"/>
      <c r="G1655" s="23">
        <f t="shared" si="6"/>
        <v>6879.65</v>
      </c>
      <c r="H1655" s="23"/>
      <c r="I1655" s="23"/>
    </row>
    <row r="1656" spans="1:9">
      <c r="A1656" s="21" t="s">
        <v>6922</v>
      </c>
      <c r="B1656" s="21" t="s">
        <v>3490</v>
      </c>
      <c r="C1656" s="22">
        <v>1221</v>
      </c>
      <c r="D1656" s="21">
        <v>655.86</v>
      </c>
      <c r="E1656" s="21" t="s">
        <v>5796</v>
      </c>
      <c r="F1656" s="23"/>
      <c r="G1656" s="23">
        <f t="shared" si="6"/>
        <v>655.86</v>
      </c>
      <c r="H1656" s="23"/>
      <c r="I1656" s="23"/>
    </row>
    <row r="1657" spans="1:9">
      <c r="A1657" s="24" t="s">
        <v>615</v>
      </c>
      <c r="B1657" s="24" t="s">
        <v>617</v>
      </c>
      <c r="C1657" s="25">
        <v>190</v>
      </c>
      <c r="D1657" s="24">
        <v>25494.09</v>
      </c>
      <c r="E1657" s="24" t="s">
        <v>5800</v>
      </c>
      <c r="F1657" s="26"/>
      <c r="G1657" s="23">
        <f t="shared" si="6"/>
        <v>25494.09</v>
      </c>
      <c r="H1657" s="26"/>
      <c r="I1657" s="26"/>
    </row>
    <row r="1658" spans="1:9">
      <c r="A1658" s="21" t="s">
        <v>1251</v>
      </c>
      <c r="B1658" s="21" t="s">
        <v>1253</v>
      </c>
      <c r="C1658" s="22">
        <v>486</v>
      </c>
      <c r="D1658" s="21">
        <v>5437.96</v>
      </c>
      <c r="E1658" s="21" t="s">
        <v>5796</v>
      </c>
      <c r="F1658" s="23"/>
      <c r="G1658" s="23">
        <f t="shared" si="6"/>
        <v>5437.96</v>
      </c>
      <c r="H1658" s="23"/>
      <c r="I1658" s="23"/>
    </row>
    <row r="1659" spans="1:9">
      <c r="A1659" s="21" t="s">
        <v>6923</v>
      </c>
      <c r="B1659" s="21" t="s">
        <v>5068</v>
      </c>
      <c r="C1659" s="22">
        <v>2176</v>
      </c>
      <c r="D1659" s="21">
        <v>107.41</v>
      </c>
      <c r="E1659" s="21" t="s">
        <v>5796</v>
      </c>
      <c r="F1659" s="23"/>
      <c r="G1659" s="23">
        <f t="shared" si="6"/>
        <v>107.41</v>
      </c>
      <c r="H1659" s="23"/>
      <c r="I1659" s="23"/>
    </row>
    <row r="1660" spans="1:9">
      <c r="A1660" s="21" t="s">
        <v>6924</v>
      </c>
      <c r="B1660" s="21" t="s">
        <v>2995</v>
      </c>
      <c r="C1660" s="22">
        <v>951</v>
      </c>
      <c r="D1660" s="21">
        <v>1311.52</v>
      </c>
      <c r="E1660" s="21" t="s">
        <v>5796</v>
      </c>
      <c r="F1660" s="23"/>
      <c r="G1660" s="23">
        <f t="shared" si="6"/>
        <v>1311.52</v>
      </c>
      <c r="H1660" s="23"/>
      <c r="I1660" s="23"/>
    </row>
    <row r="1661" spans="1:9">
      <c r="A1661" s="21" t="s">
        <v>6925</v>
      </c>
      <c r="B1661" s="21" t="s">
        <v>4396</v>
      </c>
      <c r="C1661" s="22">
        <v>1624</v>
      </c>
      <c r="D1661" s="21">
        <v>272.11</v>
      </c>
      <c r="E1661" s="21" t="s">
        <v>5796</v>
      </c>
      <c r="F1661" s="23"/>
      <c r="G1661" s="23">
        <f t="shared" si="6"/>
        <v>272.11</v>
      </c>
      <c r="H1661" s="23"/>
      <c r="I1661" s="23"/>
    </row>
    <row r="1662" spans="1:9">
      <c r="A1662" s="21" t="s">
        <v>6926</v>
      </c>
      <c r="B1662" s="21" t="s">
        <v>3073</v>
      </c>
      <c r="C1662" s="22">
        <v>1233</v>
      </c>
      <c r="D1662" s="21">
        <v>628.07000000000005</v>
      </c>
      <c r="E1662" s="21" t="s">
        <v>5796</v>
      </c>
      <c r="F1662" s="23"/>
      <c r="G1662" s="23">
        <f t="shared" si="6"/>
        <v>628.07000000000005</v>
      </c>
      <c r="H1662" s="23"/>
      <c r="I1662" s="23"/>
    </row>
    <row r="1663" spans="1:9">
      <c r="A1663" s="21" t="s">
        <v>6927</v>
      </c>
      <c r="B1663" s="21" t="s">
        <v>1013</v>
      </c>
      <c r="C1663" s="22">
        <v>357</v>
      </c>
      <c r="D1663" s="21">
        <v>9470.2099999999991</v>
      </c>
      <c r="E1663" s="21" t="s">
        <v>5796</v>
      </c>
      <c r="F1663" s="23"/>
      <c r="G1663" s="23">
        <f t="shared" si="6"/>
        <v>9470.2099999999991</v>
      </c>
      <c r="H1663" s="23"/>
      <c r="I1663" s="23"/>
    </row>
    <row r="1664" spans="1:9">
      <c r="A1664" s="21" t="s">
        <v>5518</v>
      </c>
      <c r="B1664" s="21" t="s">
        <v>6928</v>
      </c>
      <c r="C1664" s="22">
        <v>3225</v>
      </c>
      <c r="D1664" s="21">
        <v>21.65</v>
      </c>
      <c r="E1664" s="21" t="s">
        <v>5796</v>
      </c>
      <c r="F1664" s="23"/>
      <c r="G1664" s="23">
        <f t="shared" si="6"/>
        <v>21.65</v>
      </c>
      <c r="H1664" s="23"/>
      <c r="I1664" s="23"/>
    </row>
    <row r="1665" spans="1:9">
      <c r="A1665" s="21" t="s">
        <v>6929</v>
      </c>
      <c r="B1665" s="21" t="s">
        <v>5742</v>
      </c>
      <c r="C1665" s="22">
        <v>3840</v>
      </c>
      <c r="D1665" s="21">
        <v>8.74</v>
      </c>
      <c r="E1665" s="21" t="s">
        <v>5796</v>
      </c>
      <c r="F1665" s="23"/>
      <c r="G1665" s="23">
        <f t="shared" si="6"/>
        <v>8.74</v>
      </c>
      <c r="H1665" s="23"/>
      <c r="I1665" s="23"/>
    </row>
    <row r="1666" spans="1:9">
      <c r="A1666" s="21" t="s">
        <v>6930</v>
      </c>
      <c r="B1666" s="21" t="s">
        <v>2353</v>
      </c>
      <c r="C1666" s="22">
        <v>936</v>
      </c>
      <c r="D1666" s="21">
        <v>1358.43</v>
      </c>
      <c r="E1666" s="21" t="s">
        <v>5796</v>
      </c>
      <c r="F1666" s="23"/>
      <c r="G1666" s="23">
        <f t="shared" si="6"/>
        <v>1358.43</v>
      </c>
      <c r="H1666" s="23"/>
      <c r="I1666" s="23"/>
    </row>
    <row r="1667" spans="1:9">
      <c r="A1667" s="21" t="s">
        <v>4874</v>
      </c>
      <c r="B1667" s="21" t="s">
        <v>4876</v>
      </c>
      <c r="C1667" s="22">
        <v>1993</v>
      </c>
      <c r="D1667" s="21">
        <v>145.41999999999999</v>
      </c>
      <c r="E1667" s="21" t="s">
        <v>5796</v>
      </c>
      <c r="F1667" s="23"/>
      <c r="G1667" s="23">
        <f t="shared" si="6"/>
        <v>145.41999999999999</v>
      </c>
      <c r="H1667" s="23"/>
      <c r="I1667" s="23"/>
    </row>
    <row r="1668" spans="1:9">
      <c r="A1668" s="21" t="s">
        <v>2339</v>
      </c>
      <c r="B1668" s="21" t="s">
        <v>2341</v>
      </c>
      <c r="C1668" s="22">
        <v>639</v>
      </c>
      <c r="D1668" s="21">
        <v>3180.67</v>
      </c>
      <c r="E1668" s="21" t="s">
        <v>5796</v>
      </c>
      <c r="F1668" s="23"/>
      <c r="G1668" s="23">
        <f t="shared" si="6"/>
        <v>3180.67</v>
      </c>
      <c r="H1668" s="23"/>
      <c r="I1668" s="23"/>
    </row>
    <row r="1669" spans="1:9">
      <c r="A1669" s="21" t="s">
        <v>6931</v>
      </c>
      <c r="B1669" s="21" t="s">
        <v>2021</v>
      </c>
      <c r="C1669" s="22">
        <v>702</v>
      </c>
      <c r="D1669" s="21">
        <v>2564.0700000000002</v>
      </c>
      <c r="E1669" s="21" t="s">
        <v>5796</v>
      </c>
      <c r="F1669" s="23"/>
      <c r="G1669" s="23">
        <f t="shared" si="6"/>
        <v>2564.0700000000002</v>
      </c>
      <c r="H1669" s="23"/>
      <c r="I1669" s="23"/>
    </row>
    <row r="1670" spans="1:9">
      <c r="A1670" s="24" t="s">
        <v>6932</v>
      </c>
      <c r="B1670" s="24" t="s">
        <v>683</v>
      </c>
      <c r="C1670" s="25">
        <v>195</v>
      </c>
      <c r="D1670" s="24">
        <v>24916.7</v>
      </c>
      <c r="E1670" s="24" t="s">
        <v>5800</v>
      </c>
      <c r="F1670" s="26"/>
      <c r="G1670" s="23">
        <f t="shared" si="6"/>
        <v>24916.7</v>
      </c>
      <c r="H1670" s="26"/>
      <c r="I1670" s="26"/>
    </row>
    <row r="1671" spans="1:9">
      <c r="A1671" s="21" t="s">
        <v>6933</v>
      </c>
      <c r="B1671" s="21" t="s">
        <v>1835</v>
      </c>
      <c r="C1671" s="22">
        <v>567</v>
      </c>
      <c r="D1671" s="21">
        <v>4083.33</v>
      </c>
      <c r="E1671" s="21" t="s">
        <v>5796</v>
      </c>
      <c r="F1671" s="23"/>
      <c r="G1671" s="23">
        <f t="shared" si="6"/>
        <v>4083.33</v>
      </c>
      <c r="H1671" s="23"/>
      <c r="I1671" s="23"/>
    </row>
    <row r="1672" spans="1:9">
      <c r="A1672" s="24" t="s">
        <v>396</v>
      </c>
      <c r="B1672" s="24" t="s">
        <v>398</v>
      </c>
      <c r="C1672" s="25">
        <v>141</v>
      </c>
      <c r="D1672" s="24">
        <v>37104.959999999999</v>
      </c>
      <c r="E1672" s="24" t="s">
        <v>5800</v>
      </c>
      <c r="F1672" s="26"/>
      <c r="G1672" s="23">
        <f t="shared" si="6"/>
        <v>37104.959999999999</v>
      </c>
      <c r="H1672" s="26"/>
      <c r="I1672" s="26"/>
    </row>
    <row r="1673" spans="1:9">
      <c r="A1673" s="27" t="s">
        <v>231</v>
      </c>
      <c r="B1673" s="27" t="s">
        <v>233</v>
      </c>
      <c r="C1673" s="28">
        <v>74</v>
      </c>
      <c r="D1673" s="27">
        <v>70102</v>
      </c>
      <c r="E1673" s="27" t="s">
        <v>5815</v>
      </c>
      <c r="F1673" s="29"/>
      <c r="G1673" s="23">
        <f t="shared" si="6"/>
        <v>70102</v>
      </c>
      <c r="H1673" s="29"/>
      <c r="I1673" s="29"/>
    </row>
    <row r="1674" spans="1:9">
      <c r="A1674" s="24" t="s">
        <v>6934</v>
      </c>
      <c r="B1674" s="24" t="s">
        <v>425</v>
      </c>
      <c r="C1674" s="25">
        <v>127</v>
      </c>
      <c r="D1674" s="24">
        <v>41725.46</v>
      </c>
      <c r="E1674" s="24" t="s">
        <v>5800</v>
      </c>
      <c r="F1674" s="26"/>
      <c r="G1674" s="23">
        <f t="shared" si="6"/>
        <v>41725.46</v>
      </c>
      <c r="H1674" s="26"/>
      <c r="I1674" s="26"/>
    </row>
    <row r="1675" spans="1:9">
      <c r="A1675" s="21" t="s">
        <v>6935</v>
      </c>
      <c r="B1675" s="21" t="s">
        <v>935</v>
      </c>
      <c r="C1675" s="22">
        <v>327</v>
      </c>
      <c r="D1675" s="21">
        <v>10868.15</v>
      </c>
      <c r="E1675" s="21" t="s">
        <v>5796</v>
      </c>
      <c r="F1675" s="23"/>
      <c r="G1675" s="23">
        <f t="shared" si="6"/>
        <v>10868.15</v>
      </c>
      <c r="H1675" s="23"/>
      <c r="I1675" s="23"/>
    </row>
    <row r="1676" spans="1:9">
      <c r="A1676" s="21" t="s">
        <v>6936</v>
      </c>
      <c r="B1676" s="21" t="s">
        <v>2308</v>
      </c>
      <c r="C1676" s="22">
        <v>715</v>
      </c>
      <c r="D1676" s="21">
        <v>2470.3000000000002</v>
      </c>
      <c r="E1676" s="21" t="s">
        <v>5796</v>
      </c>
      <c r="F1676" s="23"/>
      <c r="G1676" s="23">
        <f t="shared" si="6"/>
        <v>2470.3000000000002</v>
      </c>
      <c r="H1676" s="23"/>
      <c r="I1676" s="23"/>
    </row>
    <row r="1677" spans="1:9">
      <c r="A1677" s="27" t="s">
        <v>6937</v>
      </c>
      <c r="B1677" s="27" t="s">
        <v>78</v>
      </c>
      <c r="C1677" s="28">
        <v>30</v>
      </c>
      <c r="D1677" s="27">
        <v>168081.48</v>
      </c>
      <c r="E1677" s="27" t="s">
        <v>5815</v>
      </c>
      <c r="F1677" s="29"/>
      <c r="G1677" s="23">
        <f t="shared" si="6"/>
        <v>168081.48</v>
      </c>
      <c r="H1677" s="29"/>
      <c r="I1677" s="29"/>
    </row>
    <row r="1678" spans="1:9">
      <c r="A1678" s="27" t="s">
        <v>6938</v>
      </c>
      <c r="B1678" s="27" t="s">
        <v>239</v>
      </c>
      <c r="C1678" s="28">
        <v>77</v>
      </c>
      <c r="D1678" s="27">
        <v>65958.62</v>
      </c>
      <c r="E1678" s="27" t="s">
        <v>5815</v>
      </c>
      <c r="F1678" s="29"/>
      <c r="G1678" s="23">
        <f t="shared" si="6"/>
        <v>65958.62</v>
      </c>
      <c r="H1678" s="29"/>
      <c r="I1678" s="29"/>
    </row>
    <row r="1679" spans="1:9">
      <c r="A1679" s="27" t="s">
        <v>6939</v>
      </c>
      <c r="B1679" s="27" t="s">
        <v>116</v>
      </c>
      <c r="C1679" s="28">
        <v>38</v>
      </c>
      <c r="D1679" s="27">
        <v>135001.24</v>
      </c>
      <c r="E1679" s="27" t="s">
        <v>5815</v>
      </c>
      <c r="F1679" s="29"/>
      <c r="G1679" s="23">
        <f t="shared" si="6"/>
        <v>135001.24</v>
      </c>
      <c r="H1679" s="29"/>
      <c r="I1679" s="29"/>
    </row>
    <row r="1680" spans="1:9">
      <c r="A1680" s="21" t="s">
        <v>6940</v>
      </c>
      <c r="B1680" s="21" t="s">
        <v>6941</v>
      </c>
      <c r="C1680" s="22">
        <v>655</v>
      </c>
      <c r="D1680" s="21">
        <v>2984.81</v>
      </c>
      <c r="E1680" s="21" t="s">
        <v>5796</v>
      </c>
      <c r="F1680" s="23"/>
      <c r="G1680" s="23">
        <f t="shared" si="6"/>
        <v>2984.81</v>
      </c>
      <c r="H1680" s="23"/>
      <c r="I1680" s="23"/>
    </row>
    <row r="1681" spans="1:9">
      <c r="A1681" s="21" t="s">
        <v>2081</v>
      </c>
      <c r="B1681" s="21" t="s">
        <v>2083</v>
      </c>
      <c r="C1681" s="22">
        <v>571</v>
      </c>
      <c r="D1681" s="21">
        <v>4057.16</v>
      </c>
      <c r="E1681" s="21" t="s">
        <v>5796</v>
      </c>
      <c r="F1681" s="23"/>
      <c r="G1681" s="23">
        <f t="shared" si="6"/>
        <v>4057.16</v>
      </c>
      <c r="H1681" s="23"/>
      <c r="I1681" s="23"/>
    </row>
    <row r="1682" spans="1:9">
      <c r="A1682" s="21" t="s">
        <v>3629</v>
      </c>
      <c r="B1682" s="21" t="s">
        <v>3631</v>
      </c>
      <c r="C1682" s="22">
        <v>1324</v>
      </c>
      <c r="D1682" s="21">
        <v>487.15</v>
      </c>
      <c r="E1682" s="21" t="s">
        <v>5796</v>
      </c>
      <c r="F1682" s="23"/>
      <c r="G1682" s="23">
        <f t="shared" si="6"/>
        <v>487.15</v>
      </c>
      <c r="H1682" s="23"/>
      <c r="I1682" s="23"/>
    </row>
    <row r="1683" spans="1:9">
      <c r="A1683" s="21" t="s">
        <v>6942</v>
      </c>
      <c r="B1683" s="21" t="s">
        <v>1646</v>
      </c>
      <c r="C1683" s="22">
        <v>512</v>
      </c>
      <c r="D1683" s="21">
        <v>5013.53</v>
      </c>
      <c r="E1683" s="21" t="s">
        <v>5796</v>
      </c>
      <c r="F1683" s="23"/>
      <c r="G1683" s="23">
        <f t="shared" si="6"/>
        <v>5013.53</v>
      </c>
      <c r="H1683" s="23"/>
      <c r="I1683" s="23"/>
    </row>
    <row r="1684" spans="1:9">
      <c r="A1684" s="21" t="s">
        <v>1749</v>
      </c>
      <c r="B1684" s="21" t="s">
        <v>1751</v>
      </c>
      <c r="C1684" s="22">
        <v>456</v>
      </c>
      <c r="D1684" s="21">
        <v>6070.39</v>
      </c>
      <c r="E1684" s="21" t="s">
        <v>5796</v>
      </c>
      <c r="F1684" s="23"/>
      <c r="G1684" s="23">
        <f t="shared" si="6"/>
        <v>6070.39</v>
      </c>
      <c r="H1684" s="23"/>
      <c r="I1684" s="23"/>
    </row>
    <row r="1685" spans="1:9">
      <c r="A1685" s="21" t="s">
        <v>6943</v>
      </c>
      <c r="B1685" s="21" t="s">
        <v>6944</v>
      </c>
      <c r="C1685" s="22">
        <v>4339</v>
      </c>
      <c r="D1685" s="21">
        <v>4.32</v>
      </c>
      <c r="E1685" s="21" t="s">
        <v>5796</v>
      </c>
      <c r="F1685" s="23"/>
      <c r="G1685" s="23">
        <f t="shared" si="6"/>
        <v>4.32</v>
      </c>
      <c r="H1685" s="23"/>
      <c r="I1685" s="23"/>
    </row>
    <row r="1686" spans="1:9">
      <c r="A1686" s="21" t="s">
        <v>2495</v>
      </c>
      <c r="B1686" s="21" t="s">
        <v>2497</v>
      </c>
      <c r="C1686" s="22">
        <v>674</v>
      </c>
      <c r="D1686" s="21">
        <v>2816.39</v>
      </c>
      <c r="E1686" s="21" t="s">
        <v>5796</v>
      </c>
      <c r="F1686" s="23"/>
      <c r="G1686" s="23">
        <f t="shared" si="6"/>
        <v>2816.39</v>
      </c>
      <c r="H1686" s="23"/>
      <c r="I1686" s="23"/>
    </row>
    <row r="1687" spans="1:9">
      <c r="A1687" s="21" t="s">
        <v>2810</v>
      </c>
      <c r="B1687" s="21" t="s">
        <v>2812</v>
      </c>
      <c r="C1687" s="22">
        <v>955</v>
      </c>
      <c r="D1687" s="21">
        <v>1301.51</v>
      </c>
      <c r="E1687" s="21" t="s">
        <v>5796</v>
      </c>
      <c r="F1687" s="23"/>
      <c r="G1687" s="23">
        <f t="shared" si="6"/>
        <v>1301.51</v>
      </c>
      <c r="H1687" s="23"/>
      <c r="I1687" s="23"/>
    </row>
    <row r="1688" spans="1:9">
      <c r="A1688" s="27" t="s">
        <v>6945</v>
      </c>
      <c r="B1688" s="27" t="s">
        <v>12</v>
      </c>
      <c r="C1688" s="28">
        <v>2</v>
      </c>
      <c r="D1688" s="27">
        <v>1203827.8999999999</v>
      </c>
      <c r="E1688" s="27" t="s">
        <v>5815</v>
      </c>
      <c r="F1688" s="29"/>
      <c r="G1688" s="23">
        <f t="shared" si="6"/>
        <v>1203827.8999999999</v>
      </c>
      <c r="H1688" s="29"/>
      <c r="I1688" s="29"/>
    </row>
    <row r="1689" spans="1:9">
      <c r="A1689" s="21" t="s">
        <v>6946</v>
      </c>
      <c r="B1689" s="21" t="s">
        <v>2000</v>
      </c>
      <c r="C1689" s="22">
        <v>693</v>
      </c>
      <c r="D1689" s="21">
        <v>2605.35</v>
      </c>
      <c r="E1689" s="21" t="s">
        <v>5796</v>
      </c>
      <c r="F1689" s="23"/>
      <c r="G1689" s="23">
        <f t="shared" si="6"/>
        <v>2605.35</v>
      </c>
      <c r="H1689" s="23"/>
      <c r="I1689" s="23"/>
    </row>
    <row r="1690" spans="1:9">
      <c r="A1690" s="21" t="s">
        <v>6947</v>
      </c>
      <c r="B1690" s="21" t="s">
        <v>1958</v>
      </c>
      <c r="C1690" s="22">
        <v>577</v>
      </c>
      <c r="D1690" s="21">
        <v>3997.07</v>
      </c>
      <c r="E1690" s="21" t="s">
        <v>5796</v>
      </c>
      <c r="F1690" s="23"/>
      <c r="G1690" s="23">
        <f t="shared" si="6"/>
        <v>3997.07</v>
      </c>
      <c r="H1690" s="23"/>
      <c r="I1690" s="23"/>
    </row>
    <row r="1691" spans="1:9">
      <c r="A1691" s="21" t="s">
        <v>6948</v>
      </c>
      <c r="B1691" s="21" t="s">
        <v>5694</v>
      </c>
      <c r="C1691" s="22">
        <v>3547</v>
      </c>
      <c r="D1691" s="21">
        <v>13.27</v>
      </c>
      <c r="E1691" s="21" t="s">
        <v>5796</v>
      </c>
      <c r="F1691" s="23"/>
      <c r="G1691" s="23">
        <f t="shared" si="6"/>
        <v>13.27</v>
      </c>
      <c r="H1691" s="23"/>
      <c r="I1691" s="23"/>
    </row>
    <row r="1692" spans="1:9">
      <c r="A1692" s="27" t="s">
        <v>159</v>
      </c>
      <c r="B1692" s="27" t="s">
        <v>161</v>
      </c>
      <c r="C1692" s="28">
        <v>50</v>
      </c>
      <c r="D1692" s="27">
        <v>104119.02</v>
      </c>
      <c r="E1692" s="27" t="s">
        <v>5815</v>
      </c>
      <c r="F1692" s="29"/>
      <c r="G1692" s="23">
        <f t="shared" si="6"/>
        <v>104119.02</v>
      </c>
      <c r="H1692" s="29"/>
      <c r="I1692" s="29"/>
    </row>
    <row r="1693" spans="1:9">
      <c r="A1693" s="21" t="s">
        <v>1698</v>
      </c>
      <c r="B1693" s="21" t="s">
        <v>1700</v>
      </c>
      <c r="C1693" s="22">
        <v>587</v>
      </c>
      <c r="D1693" s="21">
        <v>3878.4</v>
      </c>
      <c r="E1693" s="21" t="s">
        <v>5796</v>
      </c>
      <c r="F1693" s="23"/>
      <c r="G1693" s="23">
        <f t="shared" si="6"/>
        <v>3878.4</v>
      </c>
      <c r="H1693" s="23"/>
      <c r="I1693" s="23"/>
    </row>
    <row r="1694" spans="1:9">
      <c r="A1694" s="21" t="s">
        <v>6949</v>
      </c>
      <c r="B1694" s="21" t="s">
        <v>5559</v>
      </c>
      <c r="C1694" s="22">
        <v>2639</v>
      </c>
      <c r="D1694" s="21">
        <v>50.1</v>
      </c>
      <c r="E1694" s="21" t="s">
        <v>5796</v>
      </c>
      <c r="F1694" s="23"/>
      <c r="G1694" s="23">
        <f t="shared" si="6"/>
        <v>50.1</v>
      </c>
      <c r="H1694" s="23"/>
      <c r="I1694" s="23"/>
    </row>
    <row r="1695" spans="1:9">
      <c r="A1695" s="21" t="s">
        <v>1608</v>
      </c>
      <c r="B1695" s="21" t="s">
        <v>1610</v>
      </c>
      <c r="C1695" s="22">
        <v>528</v>
      </c>
      <c r="D1695" s="21">
        <v>4683.8500000000004</v>
      </c>
      <c r="E1695" s="21" t="s">
        <v>5796</v>
      </c>
      <c r="F1695" s="23"/>
      <c r="G1695" s="23">
        <f t="shared" si="6"/>
        <v>4683.8500000000004</v>
      </c>
      <c r="H1695" s="23"/>
      <c r="I1695" s="23"/>
    </row>
    <row r="1696" spans="1:9">
      <c r="A1696" s="21" t="s">
        <v>993</v>
      </c>
      <c r="B1696" s="21" t="s">
        <v>995</v>
      </c>
      <c r="C1696" s="22">
        <v>344</v>
      </c>
      <c r="D1696" s="21">
        <v>10209.07</v>
      </c>
      <c r="E1696" s="21" t="s">
        <v>5796</v>
      </c>
      <c r="F1696" s="23"/>
      <c r="G1696" s="23">
        <f t="shared" si="6"/>
        <v>10209.07</v>
      </c>
      <c r="H1696" s="23"/>
      <c r="I1696" s="23"/>
    </row>
    <row r="1697" spans="1:9">
      <c r="A1697" s="21" t="s">
        <v>6950</v>
      </c>
      <c r="B1697" s="21" t="s">
        <v>4489</v>
      </c>
      <c r="C1697" s="22">
        <v>1756</v>
      </c>
      <c r="D1697" s="21">
        <v>211.19</v>
      </c>
      <c r="E1697" s="21" t="s">
        <v>5796</v>
      </c>
      <c r="F1697" s="23"/>
      <c r="G1697" s="23">
        <f t="shared" si="6"/>
        <v>211.19</v>
      </c>
      <c r="H1697" s="23"/>
      <c r="I1697" s="23"/>
    </row>
    <row r="1698" spans="1:9">
      <c r="A1698" s="21" t="s">
        <v>6951</v>
      </c>
      <c r="B1698" s="21" t="s">
        <v>5436</v>
      </c>
      <c r="C1698" s="22">
        <v>2632</v>
      </c>
      <c r="D1698" s="21">
        <v>50.7</v>
      </c>
      <c r="E1698" s="21" t="s">
        <v>5796</v>
      </c>
      <c r="F1698" s="23"/>
      <c r="G1698" s="23">
        <f t="shared" si="6"/>
        <v>50.7</v>
      </c>
      <c r="H1698" s="23"/>
      <c r="I1698" s="23"/>
    </row>
    <row r="1699" spans="1:9">
      <c r="A1699" s="21" t="s">
        <v>6952</v>
      </c>
      <c r="B1699" s="21" t="s">
        <v>3319</v>
      </c>
      <c r="C1699" s="22">
        <v>1193</v>
      </c>
      <c r="D1699" s="21">
        <v>708.8</v>
      </c>
      <c r="E1699" s="21" t="s">
        <v>5796</v>
      </c>
      <c r="F1699" s="23"/>
      <c r="G1699" s="23">
        <f t="shared" si="6"/>
        <v>708.8</v>
      </c>
      <c r="H1699" s="23"/>
      <c r="I1699" s="23"/>
    </row>
    <row r="1700" spans="1:9">
      <c r="A1700" s="21" t="s">
        <v>4661</v>
      </c>
      <c r="B1700" s="21" t="s">
        <v>4663</v>
      </c>
      <c r="C1700" s="22">
        <v>1921</v>
      </c>
      <c r="D1700" s="21">
        <v>161.53</v>
      </c>
      <c r="E1700" s="21" t="s">
        <v>5796</v>
      </c>
      <c r="F1700" s="23"/>
      <c r="G1700" s="23">
        <f t="shared" si="6"/>
        <v>161.53</v>
      </c>
      <c r="H1700" s="23"/>
      <c r="I1700" s="23"/>
    </row>
    <row r="1701" spans="1:9">
      <c r="A1701" s="21" t="s">
        <v>1953</v>
      </c>
      <c r="B1701" s="21" t="s">
        <v>1955</v>
      </c>
      <c r="C1701" s="22">
        <v>839</v>
      </c>
      <c r="D1701" s="21">
        <v>1743.41</v>
      </c>
      <c r="E1701" s="21" t="s">
        <v>5796</v>
      </c>
      <c r="F1701" s="23"/>
      <c r="G1701" s="23">
        <f t="shared" si="6"/>
        <v>1743.41</v>
      </c>
      <c r="H1701" s="23"/>
      <c r="I1701" s="23"/>
    </row>
    <row r="1702" spans="1:9">
      <c r="A1702" s="21" t="s">
        <v>6953</v>
      </c>
      <c r="B1702" s="21" t="s">
        <v>3448</v>
      </c>
      <c r="C1702" s="22">
        <v>1213</v>
      </c>
      <c r="D1702" s="21">
        <v>675.47</v>
      </c>
      <c r="E1702" s="21" t="s">
        <v>5796</v>
      </c>
      <c r="F1702" s="23"/>
      <c r="G1702" s="23">
        <f t="shared" si="6"/>
        <v>675.47</v>
      </c>
      <c r="H1702" s="23"/>
      <c r="I1702" s="23"/>
    </row>
    <row r="1703" spans="1:9">
      <c r="A1703" s="21" t="s">
        <v>5452</v>
      </c>
      <c r="B1703" s="21" t="s">
        <v>5454</v>
      </c>
      <c r="C1703" s="22">
        <v>2943</v>
      </c>
      <c r="D1703" s="21">
        <v>32.64</v>
      </c>
      <c r="E1703" s="21" t="s">
        <v>5796</v>
      </c>
      <c r="F1703" s="23"/>
      <c r="G1703" s="23">
        <f t="shared" si="6"/>
        <v>32.64</v>
      </c>
      <c r="H1703" s="23"/>
      <c r="I1703" s="23"/>
    </row>
    <row r="1704" spans="1:9">
      <c r="A1704" s="21" t="s">
        <v>6954</v>
      </c>
      <c r="B1704" s="21" t="s">
        <v>5571</v>
      </c>
      <c r="C1704" s="22">
        <v>3013</v>
      </c>
      <c r="D1704" s="21">
        <v>29.79</v>
      </c>
      <c r="E1704" s="21" t="s">
        <v>5796</v>
      </c>
      <c r="F1704" s="23"/>
      <c r="G1704" s="23">
        <f t="shared" si="6"/>
        <v>29.79</v>
      </c>
      <c r="H1704" s="23"/>
      <c r="I1704" s="23"/>
    </row>
    <row r="1705" spans="1:9">
      <c r="A1705" s="21" t="s">
        <v>2162</v>
      </c>
      <c r="B1705" s="21" t="s">
        <v>2164</v>
      </c>
      <c r="C1705" s="22">
        <v>883</v>
      </c>
      <c r="D1705" s="21">
        <v>1560.19</v>
      </c>
      <c r="E1705" s="21" t="s">
        <v>5796</v>
      </c>
      <c r="F1705" s="23"/>
      <c r="G1705" s="23">
        <f t="shared" si="6"/>
        <v>1560.19</v>
      </c>
      <c r="H1705" s="23"/>
      <c r="I1705" s="23"/>
    </row>
    <row r="1706" spans="1:9">
      <c r="A1706" s="21" t="s">
        <v>6955</v>
      </c>
      <c r="B1706" s="21" t="s">
        <v>4051</v>
      </c>
      <c r="C1706" s="22">
        <v>1374</v>
      </c>
      <c r="D1706" s="21">
        <v>435.07</v>
      </c>
      <c r="E1706" s="21" t="s">
        <v>5796</v>
      </c>
      <c r="F1706" s="23"/>
      <c r="G1706" s="23">
        <f t="shared" si="6"/>
        <v>435.07</v>
      </c>
      <c r="H1706" s="23"/>
      <c r="I1706" s="23"/>
    </row>
    <row r="1707" spans="1:9">
      <c r="A1707" s="21" t="s">
        <v>6956</v>
      </c>
      <c r="B1707" s="21" t="s">
        <v>2974</v>
      </c>
      <c r="C1707" s="22">
        <v>980</v>
      </c>
      <c r="D1707" s="21">
        <v>1241.1199999999999</v>
      </c>
      <c r="E1707" s="21" t="s">
        <v>5796</v>
      </c>
      <c r="F1707" s="23"/>
      <c r="G1707" s="23">
        <f t="shared" si="6"/>
        <v>1241.1199999999999</v>
      </c>
      <c r="H1707" s="23"/>
      <c r="I1707" s="23"/>
    </row>
    <row r="1708" spans="1:9">
      <c r="A1708" s="24" t="s">
        <v>6957</v>
      </c>
      <c r="B1708" s="24" t="s">
        <v>584</v>
      </c>
      <c r="C1708" s="25">
        <v>187</v>
      </c>
      <c r="D1708" s="24">
        <v>26152.79</v>
      </c>
      <c r="E1708" s="24" t="s">
        <v>5800</v>
      </c>
      <c r="F1708" s="26"/>
      <c r="G1708" s="23">
        <f t="shared" si="6"/>
        <v>26152.79</v>
      </c>
      <c r="H1708" s="26"/>
      <c r="I1708" s="26"/>
    </row>
    <row r="1709" spans="1:9">
      <c r="A1709" s="21" t="s">
        <v>6958</v>
      </c>
      <c r="B1709" s="21" t="s">
        <v>1733</v>
      </c>
      <c r="C1709" s="22">
        <v>643</v>
      </c>
      <c r="D1709" s="21">
        <v>3145.42</v>
      </c>
      <c r="E1709" s="21" t="s">
        <v>5796</v>
      </c>
      <c r="F1709" s="23"/>
      <c r="G1709" s="23">
        <f t="shared" si="6"/>
        <v>3145.42</v>
      </c>
      <c r="H1709" s="23"/>
      <c r="I1709" s="23"/>
    </row>
    <row r="1710" spans="1:9">
      <c r="A1710" s="21" t="s">
        <v>6959</v>
      </c>
      <c r="B1710" s="21" t="s">
        <v>5283</v>
      </c>
      <c r="C1710" s="22">
        <v>3132</v>
      </c>
      <c r="D1710" s="21">
        <v>25.04</v>
      </c>
      <c r="E1710" s="21" t="s">
        <v>5796</v>
      </c>
      <c r="F1710" s="23"/>
      <c r="G1710" s="23">
        <f t="shared" si="6"/>
        <v>25.04</v>
      </c>
      <c r="H1710" s="23"/>
      <c r="I1710" s="23"/>
    </row>
    <row r="1711" spans="1:9">
      <c r="A1711" s="21" t="s">
        <v>2294</v>
      </c>
      <c r="B1711" s="21" t="s">
        <v>2296</v>
      </c>
      <c r="C1711" s="22">
        <v>700</v>
      </c>
      <c r="D1711" s="21">
        <v>2575.5100000000002</v>
      </c>
      <c r="E1711" s="21" t="s">
        <v>5796</v>
      </c>
      <c r="F1711" s="23"/>
      <c r="G1711" s="23">
        <f t="shared" si="6"/>
        <v>2575.5100000000002</v>
      </c>
      <c r="H1711" s="23"/>
      <c r="I1711" s="23"/>
    </row>
    <row r="1712" spans="1:9">
      <c r="A1712" s="21" t="s">
        <v>6960</v>
      </c>
      <c r="B1712" s="21" t="s">
        <v>1982</v>
      </c>
      <c r="C1712" s="22">
        <v>736</v>
      </c>
      <c r="D1712" s="21">
        <v>2289.98</v>
      </c>
      <c r="E1712" s="21" t="s">
        <v>5796</v>
      </c>
      <c r="F1712" s="23"/>
      <c r="G1712" s="23">
        <f t="shared" si="6"/>
        <v>2289.98</v>
      </c>
      <c r="H1712" s="23"/>
      <c r="I1712" s="23"/>
    </row>
    <row r="1713" spans="1:9">
      <c r="A1713" s="21" t="s">
        <v>6961</v>
      </c>
      <c r="B1713" s="21" t="s">
        <v>2659</v>
      </c>
      <c r="C1713" s="22">
        <v>873</v>
      </c>
      <c r="D1713" s="21">
        <v>1600.24</v>
      </c>
      <c r="E1713" s="21" t="s">
        <v>5796</v>
      </c>
      <c r="F1713" s="23"/>
      <c r="G1713" s="23">
        <f t="shared" si="6"/>
        <v>1600.24</v>
      </c>
      <c r="H1713" s="23"/>
      <c r="I1713" s="23"/>
    </row>
    <row r="1714" spans="1:9">
      <c r="A1714" s="21" t="s">
        <v>6962</v>
      </c>
      <c r="B1714" s="21" t="s">
        <v>1877</v>
      </c>
      <c r="C1714" s="22">
        <v>649</v>
      </c>
      <c r="D1714" s="21">
        <v>3025.88</v>
      </c>
      <c r="E1714" s="21" t="s">
        <v>5796</v>
      </c>
      <c r="F1714" s="23"/>
      <c r="G1714" s="23">
        <f t="shared" si="6"/>
        <v>3025.88</v>
      </c>
      <c r="H1714" s="23"/>
      <c r="I1714" s="23"/>
    </row>
    <row r="1715" spans="1:9">
      <c r="A1715" s="27" t="s">
        <v>6963</v>
      </c>
      <c r="B1715" s="27" t="s">
        <v>332</v>
      </c>
      <c r="C1715" s="28">
        <v>95</v>
      </c>
      <c r="D1715" s="27">
        <v>52078.89</v>
      </c>
      <c r="E1715" s="27" t="s">
        <v>5815</v>
      </c>
      <c r="F1715" s="29"/>
      <c r="G1715" s="23">
        <f t="shared" si="6"/>
        <v>52078.89</v>
      </c>
      <c r="H1715" s="29"/>
      <c r="I1715" s="29"/>
    </row>
    <row r="1716" spans="1:9">
      <c r="A1716" s="21" t="s">
        <v>6964</v>
      </c>
      <c r="B1716" s="21" t="s">
        <v>5703</v>
      </c>
      <c r="C1716" s="22">
        <v>3380</v>
      </c>
      <c r="D1716" s="21">
        <v>17.46</v>
      </c>
      <c r="E1716" s="21" t="s">
        <v>5796</v>
      </c>
      <c r="F1716" s="23"/>
      <c r="G1716" s="23">
        <f t="shared" si="6"/>
        <v>17.46</v>
      </c>
      <c r="H1716" s="23"/>
      <c r="I1716" s="23"/>
    </row>
    <row r="1717" spans="1:9">
      <c r="A1717" s="21" t="s">
        <v>6965</v>
      </c>
      <c r="B1717" s="21" t="s">
        <v>4420</v>
      </c>
      <c r="C1717" s="22">
        <v>1991</v>
      </c>
      <c r="D1717" s="21">
        <v>145.91999999999999</v>
      </c>
      <c r="E1717" s="21" t="s">
        <v>5796</v>
      </c>
      <c r="F1717" s="23"/>
      <c r="G1717" s="23">
        <f t="shared" si="6"/>
        <v>145.91999999999999</v>
      </c>
      <c r="H1717" s="23"/>
      <c r="I1717" s="23"/>
    </row>
    <row r="1718" spans="1:9">
      <c r="A1718" s="21" t="s">
        <v>6966</v>
      </c>
      <c r="B1718" s="21" t="s">
        <v>5406</v>
      </c>
      <c r="C1718" s="22">
        <v>2678</v>
      </c>
      <c r="D1718" s="21">
        <v>47.57</v>
      </c>
      <c r="E1718" s="21" t="s">
        <v>5796</v>
      </c>
      <c r="F1718" s="23"/>
      <c r="G1718" s="23">
        <f t="shared" si="6"/>
        <v>47.57</v>
      </c>
      <c r="H1718" s="23"/>
      <c r="I1718" s="23"/>
    </row>
    <row r="1719" spans="1:9">
      <c r="A1719" s="21" t="s">
        <v>2147</v>
      </c>
      <c r="B1719" s="21" t="s">
        <v>2149</v>
      </c>
      <c r="C1719" s="22">
        <v>787</v>
      </c>
      <c r="D1719" s="21">
        <v>2003.69</v>
      </c>
      <c r="E1719" s="21" t="s">
        <v>5796</v>
      </c>
      <c r="F1719" s="23"/>
      <c r="G1719" s="23">
        <f t="shared" si="6"/>
        <v>2003.69</v>
      </c>
      <c r="H1719" s="23"/>
      <c r="I1719" s="23"/>
    </row>
    <row r="1720" spans="1:9">
      <c r="A1720" s="24" t="s">
        <v>6967</v>
      </c>
      <c r="B1720" s="24" t="s">
        <v>719</v>
      </c>
      <c r="C1720" s="25">
        <v>204</v>
      </c>
      <c r="D1720" s="24">
        <v>23110.39</v>
      </c>
      <c r="E1720" s="24" t="s">
        <v>5800</v>
      </c>
      <c r="F1720" s="26"/>
      <c r="G1720" s="23">
        <f t="shared" si="6"/>
        <v>23110.39</v>
      </c>
      <c r="H1720" s="26"/>
      <c r="I1720" s="26"/>
    </row>
    <row r="1721" spans="1:9">
      <c r="A1721" s="21" t="s">
        <v>6968</v>
      </c>
      <c r="B1721" s="21" t="s">
        <v>1991</v>
      </c>
      <c r="C1721" s="22">
        <v>624</v>
      </c>
      <c r="D1721" s="21">
        <v>3418.9</v>
      </c>
      <c r="E1721" s="21" t="s">
        <v>5796</v>
      </c>
      <c r="F1721" s="23"/>
      <c r="G1721" s="23">
        <f t="shared" si="6"/>
        <v>3418.9</v>
      </c>
      <c r="H1721" s="23"/>
      <c r="I1721" s="23"/>
    </row>
    <row r="1722" spans="1:9">
      <c r="A1722" s="21" t="s">
        <v>4529</v>
      </c>
      <c r="B1722" s="21" t="s">
        <v>4531</v>
      </c>
      <c r="C1722" s="22">
        <v>1821</v>
      </c>
      <c r="D1722" s="21">
        <v>189.02</v>
      </c>
      <c r="E1722" s="21" t="s">
        <v>5796</v>
      </c>
      <c r="F1722" s="23"/>
      <c r="G1722" s="23">
        <f t="shared" si="6"/>
        <v>189.02</v>
      </c>
      <c r="H1722" s="23"/>
      <c r="I1722" s="23"/>
    </row>
    <row r="1723" spans="1:9">
      <c r="A1723" s="21" t="s">
        <v>6969</v>
      </c>
      <c r="B1723" s="21" t="s">
        <v>1967</v>
      </c>
      <c r="C1723" s="22">
        <v>747</v>
      </c>
      <c r="D1723" s="21">
        <v>2209.64</v>
      </c>
      <c r="E1723" s="21" t="s">
        <v>5796</v>
      </c>
      <c r="F1723" s="23"/>
      <c r="G1723" s="23">
        <f t="shared" si="6"/>
        <v>2209.64</v>
      </c>
      <c r="H1723" s="23"/>
      <c r="I1723" s="23"/>
    </row>
    <row r="1724" spans="1:9">
      <c r="A1724" s="21" t="s">
        <v>6970</v>
      </c>
      <c r="B1724" s="21" t="s">
        <v>2641</v>
      </c>
      <c r="C1724" s="22">
        <v>801</v>
      </c>
      <c r="D1724" s="21">
        <v>1925.46</v>
      </c>
      <c r="E1724" s="21" t="s">
        <v>5796</v>
      </c>
      <c r="F1724" s="23"/>
      <c r="G1724" s="23">
        <f t="shared" si="6"/>
        <v>1925.46</v>
      </c>
      <c r="H1724" s="23"/>
      <c r="I1724" s="23"/>
    </row>
    <row r="1725" spans="1:9">
      <c r="A1725" s="21" t="s">
        <v>6971</v>
      </c>
      <c r="B1725" s="21" t="s">
        <v>5188</v>
      </c>
      <c r="C1725" s="22">
        <v>2115</v>
      </c>
      <c r="D1725" s="21">
        <v>118.87</v>
      </c>
      <c r="E1725" s="21" t="s">
        <v>5796</v>
      </c>
      <c r="F1725" s="23"/>
      <c r="G1725" s="23">
        <f t="shared" si="6"/>
        <v>118.87</v>
      </c>
      <c r="H1725" s="23"/>
      <c r="I1725" s="23"/>
    </row>
    <row r="1726" spans="1:9">
      <c r="A1726" s="21" t="s">
        <v>1227</v>
      </c>
      <c r="B1726" s="21" t="s">
        <v>1229</v>
      </c>
      <c r="C1726" s="22">
        <v>613</v>
      </c>
      <c r="D1726" s="21">
        <v>3509.17</v>
      </c>
      <c r="E1726" s="21" t="s">
        <v>5796</v>
      </c>
      <c r="F1726" s="23"/>
      <c r="G1726" s="23">
        <f t="shared" si="6"/>
        <v>3509.17</v>
      </c>
      <c r="H1726" s="23"/>
      <c r="I1726" s="23"/>
    </row>
    <row r="1727" spans="1:9">
      <c r="A1727" s="27" t="s">
        <v>58</v>
      </c>
      <c r="B1727" s="27" t="s">
        <v>60</v>
      </c>
      <c r="C1727" s="28">
        <v>22</v>
      </c>
      <c r="D1727" s="27">
        <v>230809.34</v>
      </c>
      <c r="E1727" s="27" t="s">
        <v>5815</v>
      </c>
      <c r="F1727" s="29"/>
      <c r="G1727" s="23">
        <f t="shared" si="6"/>
        <v>230809.34</v>
      </c>
      <c r="H1727" s="29"/>
      <c r="I1727" s="29"/>
    </row>
    <row r="1728" spans="1:9">
      <c r="A1728" s="21" t="s">
        <v>1386</v>
      </c>
      <c r="B1728" s="21" t="s">
        <v>1388</v>
      </c>
      <c r="C1728" s="22">
        <v>422</v>
      </c>
      <c r="D1728" s="21">
        <v>6905.77</v>
      </c>
      <c r="E1728" s="21" t="s">
        <v>5796</v>
      </c>
      <c r="F1728" s="23"/>
      <c r="G1728" s="23">
        <f t="shared" si="6"/>
        <v>6905.77</v>
      </c>
      <c r="H1728" s="23"/>
      <c r="I1728" s="23"/>
    </row>
    <row r="1729" spans="1:9">
      <c r="A1729" s="21" t="s">
        <v>6972</v>
      </c>
      <c r="B1729" s="21" t="s">
        <v>3586</v>
      </c>
      <c r="C1729" s="22">
        <v>1176</v>
      </c>
      <c r="D1729" s="21">
        <v>731.17</v>
      </c>
      <c r="E1729" s="21" t="s">
        <v>5796</v>
      </c>
      <c r="F1729" s="23"/>
      <c r="G1729" s="23">
        <f t="shared" si="6"/>
        <v>731.17</v>
      </c>
      <c r="H1729" s="23"/>
      <c r="I1729" s="23"/>
    </row>
    <row r="1730" spans="1:9">
      <c r="A1730" s="21" t="s">
        <v>6973</v>
      </c>
      <c r="B1730" s="21" t="s">
        <v>2818</v>
      </c>
      <c r="C1730" s="22">
        <v>880</v>
      </c>
      <c r="D1730" s="21">
        <v>1585.67</v>
      </c>
      <c r="E1730" s="21" t="s">
        <v>5796</v>
      </c>
      <c r="F1730" s="23"/>
      <c r="G1730" s="23">
        <f t="shared" si="6"/>
        <v>1585.67</v>
      </c>
      <c r="H1730" s="23"/>
      <c r="I1730" s="23"/>
    </row>
    <row r="1731" spans="1:9">
      <c r="A1731" s="21" t="s">
        <v>6974</v>
      </c>
      <c r="B1731" s="21" t="s">
        <v>5568</v>
      </c>
      <c r="C1731" s="22">
        <v>3127</v>
      </c>
      <c r="D1731" s="21">
        <v>25.33</v>
      </c>
      <c r="E1731" s="21" t="s">
        <v>5796</v>
      </c>
      <c r="F1731" s="23"/>
      <c r="G1731" s="23">
        <f t="shared" si="6"/>
        <v>25.33</v>
      </c>
      <c r="H1731" s="23"/>
      <c r="I1731" s="23"/>
    </row>
    <row r="1732" spans="1:9">
      <c r="A1732" s="21" t="s">
        <v>6975</v>
      </c>
      <c r="B1732" s="21" t="s">
        <v>5197</v>
      </c>
      <c r="C1732" s="22">
        <v>2278</v>
      </c>
      <c r="D1732" s="21">
        <v>90.45</v>
      </c>
      <c r="E1732" s="21" t="s">
        <v>5796</v>
      </c>
      <c r="F1732" s="23"/>
      <c r="G1732" s="23">
        <f t="shared" si="6"/>
        <v>90.45</v>
      </c>
      <c r="H1732" s="23"/>
      <c r="I1732" s="23"/>
    </row>
    <row r="1733" spans="1:9">
      <c r="A1733" s="27" t="s">
        <v>6976</v>
      </c>
      <c r="B1733" s="27" t="s">
        <v>314</v>
      </c>
      <c r="C1733" s="28">
        <v>89</v>
      </c>
      <c r="D1733" s="27">
        <v>54799.49</v>
      </c>
      <c r="E1733" s="27" t="s">
        <v>5815</v>
      </c>
      <c r="F1733" s="29"/>
      <c r="G1733" s="23">
        <f t="shared" si="6"/>
        <v>54799.49</v>
      </c>
      <c r="H1733" s="29"/>
      <c r="I1733" s="29"/>
    </row>
    <row r="1734" spans="1:9">
      <c r="A1734" s="24" t="s">
        <v>6977</v>
      </c>
      <c r="B1734" s="24" t="s">
        <v>530</v>
      </c>
      <c r="C1734" s="25">
        <v>188</v>
      </c>
      <c r="D1734" s="24">
        <v>25596.36</v>
      </c>
      <c r="E1734" s="24" t="s">
        <v>5800</v>
      </c>
      <c r="F1734" s="26"/>
      <c r="G1734" s="23">
        <f t="shared" si="6"/>
        <v>25596.36</v>
      </c>
      <c r="H1734" s="26"/>
      <c r="I1734" s="26"/>
    </row>
    <row r="1735" spans="1:9">
      <c r="A1735" s="21" t="s">
        <v>6978</v>
      </c>
      <c r="B1735" s="21" t="s">
        <v>4642</v>
      </c>
      <c r="C1735" s="22">
        <v>1728</v>
      </c>
      <c r="D1735" s="21">
        <v>227.09</v>
      </c>
      <c r="E1735" s="21" t="s">
        <v>5796</v>
      </c>
      <c r="F1735" s="23"/>
      <c r="G1735" s="23">
        <f t="shared" si="6"/>
        <v>227.09</v>
      </c>
      <c r="H1735" s="23"/>
      <c r="I1735" s="23"/>
    </row>
    <row r="1736" spans="1:9">
      <c r="A1736" s="21" t="s">
        <v>6979</v>
      </c>
      <c r="B1736" s="21" t="s">
        <v>4795</v>
      </c>
      <c r="C1736" s="22">
        <v>1892</v>
      </c>
      <c r="D1736" s="21">
        <v>167.22</v>
      </c>
      <c r="E1736" s="21" t="s">
        <v>5796</v>
      </c>
      <c r="F1736" s="23"/>
      <c r="G1736" s="23">
        <f t="shared" si="6"/>
        <v>167.22</v>
      </c>
      <c r="H1736" s="23"/>
      <c r="I1736" s="23"/>
    </row>
    <row r="1737" spans="1:9">
      <c r="A1737" s="21" t="s">
        <v>4244</v>
      </c>
      <c r="B1737" s="21" t="s">
        <v>4246</v>
      </c>
      <c r="C1737" s="22">
        <v>1626</v>
      </c>
      <c r="D1737" s="21">
        <v>271.38</v>
      </c>
      <c r="E1737" s="21" t="s">
        <v>5796</v>
      </c>
      <c r="F1737" s="23"/>
      <c r="G1737" s="23">
        <f t="shared" si="6"/>
        <v>271.38</v>
      </c>
      <c r="H1737" s="23"/>
      <c r="I1737" s="23"/>
    </row>
    <row r="1738" spans="1:9">
      <c r="A1738" s="21" t="s">
        <v>3521</v>
      </c>
      <c r="B1738" s="21" t="s">
        <v>3523</v>
      </c>
      <c r="C1738" s="22">
        <v>1161</v>
      </c>
      <c r="D1738" s="21">
        <v>771.21</v>
      </c>
      <c r="E1738" s="21" t="s">
        <v>5796</v>
      </c>
      <c r="F1738" s="23"/>
      <c r="G1738" s="23">
        <f t="shared" si="6"/>
        <v>771.21</v>
      </c>
      <c r="H1738" s="23"/>
      <c r="I1738" s="23"/>
    </row>
    <row r="1739" spans="1:9">
      <c r="A1739" s="21" t="s">
        <v>5314</v>
      </c>
      <c r="B1739" s="21" t="s">
        <v>5316</v>
      </c>
      <c r="C1739" s="22">
        <v>2443</v>
      </c>
      <c r="D1739" s="21">
        <v>69.08</v>
      </c>
      <c r="E1739" s="21" t="s">
        <v>5796</v>
      </c>
      <c r="F1739" s="23"/>
      <c r="G1739" s="23">
        <f t="shared" si="6"/>
        <v>69.08</v>
      </c>
      <c r="H1739" s="23"/>
      <c r="I1739" s="23"/>
    </row>
    <row r="1740" spans="1:9">
      <c r="A1740" s="21" t="s">
        <v>6980</v>
      </c>
      <c r="B1740" s="21" t="s">
        <v>4954</v>
      </c>
      <c r="C1740" s="22">
        <v>2367</v>
      </c>
      <c r="D1740" s="21">
        <v>76.959999999999994</v>
      </c>
      <c r="E1740" s="21" t="s">
        <v>5796</v>
      </c>
      <c r="F1740" s="23"/>
      <c r="G1740" s="23">
        <f t="shared" si="6"/>
        <v>76.959999999999994</v>
      </c>
      <c r="H1740" s="23"/>
      <c r="I1740" s="23"/>
    </row>
    <row r="1741" spans="1:9">
      <c r="A1741" s="27" t="s">
        <v>6981</v>
      </c>
      <c r="B1741" s="27" t="s">
        <v>254</v>
      </c>
      <c r="C1741" s="28">
        <v>100</v>
      </c>
      <c r="D1741" s="27">
        <v>49686.95</v>
      </c>
      <c r="E1741" s="27" t="s">
        <v>5815</v>
      </c>
      <c r="F1741" s="29"/>
      <c r="G1741" s="23">
        <f t="shared" si="6"/>
        <v>49686.95</v>
      </c>
      <c r="H1741" s="29"/>
      <c r="I1741" s="29"/>
    </row>
    <row r="1742" spans="1:9">
      <c r="A1742" s="21" t="s">
        <v>6982</v>
      </c>
      <c r="B1742" s="21" t="s">
        <v>4522</v>
      </c>
      <c r="C1742" s="22">
        <v>1834</v>
      </c>
      <c r="D1742" s="21">
        <v>184.97</v>
      </c>
      <c r="E1742" s="21" t="s">
        <v>5796</v>
      </c>
      <c r="F1742" s="23"/>
      <c r="G1742" s="23">
        <f t="shared" si="6"/>
        <v>184.97</v>
      </c>
      <c r="H1742" s="23"/>
      <c r="I1742" s="23"/>
    </row>
    <row r="1743" spans="1:9">
      <c r="A1743" s="21" t="s">
        <v>6983</v>
      </c>
      <c r="B1743" s="21" t="s">
        <v>863</v>
      </c>
      <c r="C1743" s="22">
        <v>256</v>
      </c>
      <c r="D1743" s="21">
        <v>16254.6</v>
      </c>
      <c r="E1743" s="21" t="s">
        <v>5796</v>
      </c>
      <c r="F1743" s="23"/>
      <c r="G1743" s="23">
        <f t="shared" si="6"/>
        <v>16254.6</v>
      </c>
      <c r="H1743" s="23"/>
      <c r="I1743" s="23"/>
    </row>
    <row r="1744" spans="1:9">
      <c r="A1744" s="21" t="s">
        <v>6984</v>
      </c>
      <c r="B1744" s="21" t="s">
        <v>4210</v>
      </c>
      <c r="C1744" s="22">
        <v>1576</v>
      </c>
      <c r="D1744" s="21">
        <v>301.55</v>
      </c>
      <c r="E1744" s="21" t="s">
        <v>5796</v>
      </c>
      <c r="F1744" s="23"/>
      <c r="G1744" s="23">
        <f t="shared" si="6"/>
        <v>301.55</v>
      </c>
      <c r="H1744" s="23"/>
      <c r="I1744" s="23"/>
    </row>
    <row r="1745" spans="1:9">
      <c r="A1745" s="21" t="s">
        <v>6985</v>
      </c>
      <c r="B1745" s="21" t="s">
        <v>2719</v>
      </c>
      <c r="C1745" s="22">
        <v>1087</v>
      </c>
      <c r="D1745" s="21">
        <v>911.92</v>
      </c>
      <c r="E1745" s="21" t="s">
        <v>5796</v>
      </c>
      <c r="F1745" s="23"/>
      <c r="G1745" s="23">
        <f t="shared" si="6"/>
        <v>911.92</v>
      </c>
      <c r="H1745" s="23"/>
      <c r="I1745" s="23"/>
    </row>
    <row r="1746" spans="1:9">
      <c r="A1746" s="21" t="s">
        <v>1050</v>
      </c>
      <c r="B1746" s="21" t="s">
        <v>1052</v>
      </c>
      <c r="C1746" s="22">
        <v>331</v>
      </c>
      <c r="D1746" s="21">
        <v>10712.1</v>
      </c>
      <c r="E1746" s="21" t="s">
        <v>5796</v>
      </c>
      <c r="F1746" s="23"/>
      <c r="G1746" s="23">
        <f t="shared" si="6"/>
        <v>10712.1</v>
      </c>
      <c r="H1746" s="23"/>
      <c r="I1746" s="23"/>
    </row>
    <row r="1747" spans="1:9">
      <c r="A1747" s="21" t="s">
        <v>6986</v>
      </c>
      <c r="B1747" s="21" t="s">
        <v>1472</v>
      </c>
      <c r="C1747" s="22">
        <v>447</v>
      </c>
      <c r="D1747" s="21">
        <v>6378.13</v>
      </c>
      <c r="E1747" s="21" t="s">
        <v>5796</v>
      </c>
      <c r="F1747" s="23"/>
      <c r="G1747" s="23">
        <f t="shared" si="6"/>
        <v>6378.13</v>
      </c>
      <c r="H1747" s="23"/>
      <c r="I1747" s="23"/>
    </row>
    <row r="1748" spans="1:9">
      <c r="A1748" s="21" t="s">
        <v>3644</v>
      </c>
      <c r="B1748" s="21" t="s">
        <v>3646</v>
      </c>
      <c r="C1748" s="22">
        <v>1209</v>
      </c>
      <c r="D1748" s="21">
        <v>680.23</v>
      </c>
      <c r="E1748" s="21" t="s">
        <v>5796</v>
      </c>
      <c r="F1748" s="23"/>
      <c r="G1748" s="23">
        <f t="shared" si="6"/>
        <v>680.23</v>
      </c>
      <c r="H1748" s="23"/>
      <c r="I1748" s="23"/>
    </row>
    <row r="1749" spans="1:9">
      <c r="A1749" s="21" t="s">
        <v>6987</v>
      </c>
      <c r="B1749" s="21" t="s">
        <v>2833</v>
      </c>
      <c r="C1749" s="22">
        <v>882</v>
      </c>
      <c r="D1749" s="21">
        <v>1561.62</v>
      </c>
      <c r="E1749" s="21" t="s">
        <v>5796</v>
      </c>
      <c r="F1749" s="23"/>
      <c r="G1749" s="23">
        <f t="shared" si="6"/>
        <v>1561.62</v>
      </c>
      <c r="H1749" s="23"/>
      <c r="I1749" s="23"/>
    </row>
    <row r="1750" spans="1:9">
      <c r="A1750" s="21" t="s">
        <v>6988</v>
      </c>
      <c r="B1750" s="21" t="s">
        <v>1166</v>
      </c>
      <c r="C1750" s="22">
        <v>343</v>
      </c>
      <c r="D1750" s="21">
        <v>10228.379999999999</v>
      </c>
      <c r="E1750" s="21" t="s">
        <v>5796</v>
      </c>
      <c r="F1750" s="23"/>
      <c r="G1750" s="23">
        <f t="shared" si="6"/>
        <v>10228.379999999999</v>
      </c>
      <c r="H1750" s="23"/>
      <c r="I1750" s="23"/>
    </row>
    <row r="1751" spans="1:9">
      <c r="A1751" s="21" t="s">
        <v>6989</v>
      </c>
      <c r="B1751" s="21" t="s">
        <v>4690</v>
      </c>
      <c r="C1751" s="22">
        <v>1910</v>
      </c>
      <c r="D1751" s="21">
        <v>163.92</v>
      </c>
      <c r="E1751" s="21" t="s">
        <v>5796</v>
      </c>
      <c r="F1751" s="23"/>
      <c r="G1751" s="23">
        <f t="shared" si="6"/>
        <v>163.92</v>
      </c>
      <c r="H1751" s="23"/>
      <c r="I1751" s="23"/>
    </row>
    <row r="1752" spans="1:9">
      <c r="A1752" s="21" t="s">
        <v>6990</v>
      </c>
      <c r="B1752" s="21" t="s">
        <v>890</v>
      </c>
      <c r="C1752" s="22">
        <v>289</v>
      </c>
      <c r="D1752" s="21">
        <v>13326.47</v>
      </c>
      <c r="E1752" s="21" t="s">
        <v>5796</v>
      </c>
      <c r="F1752" s="23"/>
      <c r="G1752" s="23">
        <f t="shared" si="6"/>
        <v>13326.47</v>
      </c>
      <c r="H1752" s="23"/>
      <c r="I1752" s="23"/>
    </row>
    <row r="1753" spans="1:9">
      <c r="A1753" s="21" t="s">
        <v>6991</v>
      </c>
      <c r="B1753" s="21" t="s">
        <v>1442</v>
      </c>
      <c r="C1753" s="22">
        <v>470</v>
      </c>
      <c r="D1753" s="21">
        <v>5711.41</v>
      </c>
      <c r="E1753" s="21" t="s">
        <v>5796</v>
      </c>
      <c r="F1753" s="23"/>
      <c r="G1753" s="23">
        <f t="shared" si="6"/>
        <v>5711.41</v>
      </c>
      <c r="H1753" s="23"/>
      <c r="I1753" s="23"/>
    </row>
    <row r="1754" spans="1:9">
      <c r="A1754" s="21" t="s">
        <v>6992</v>
      </c>
      <c r="B1754" s="21" t="s">
        <v>3718</v>
      </c>
      <c r="C1754" s="22">
        <v>1211</v>
      </c>
      <c r="D1754" s="21">
        <v>676.62</v>
      </c>
      <c r="E1754" s="21" t="s">
        <v>5796</v>
      </c>
      <c r="F1754" s="23"/>
      <c r="G1754" s="23">
        <f t="shared" si="6"/>
        <v>676.62</v>
      </c>
      <c r="H1754" s="23"/>
      <c r="I1754" s="23"/>
    </row>
    <row r="1755" spans="1:9">
      <c r="A1755" s="27" t="s">
        <v>6993</v>
      </c>
      <c r="B1755" s="27" t="s">
        <v>272</v>
      </c>
      <c r="C1755" s="28">
        <v>91</v>
      </c>
      <c r="D1755" s="27">
        <v>54308.97</v>
      </c>
      <c r="E1755" s="27" t="s">
        <v>5815</v>
      </c>
      <c r="F1755" s="29"/>
      <c r="G1755" s="23">
        <f t="shared" si="6"/>
        <v>54308.97</v>
      </c>
      <c r="H1755" s="29"/>
      <c r="I1755" s="29"/>
    </row>
    <row r="1756" spans="1:9">
      <c r="A1756" s="21" t="s">
        <v>6994</v>
      </c>
      <c r="B1756" s="21" t="s">
        <v>2356</v>
      </c>
      <c r="C1756" s="22">
        <v>738</v>
      </c>
      <c r="D1756" s="21">
        <v>2271.5300000000002</v>
      </c>
      <c r="E1756" s="21" t="s">
        <v>5796</v>
      </c>
      <c r="F1756" s="23"/>
      <c r="G1756" s="23">
        <f t="shared" si="6"/>
        <v>2271.5300000000002</v>
      </c>
      <c r="H1756" s="23"/>
      <c r="I1756" s="23"/>
    </row>
    <row r="1757" spans="1:9">
      <c r="A1757" s="21" t="s">
        <v>6995</v>
      </c>
      <c r="B1757" s="21" t="s">
        <v>3172</v>
      </c>
      <c r="C1757" s="22">
        <v>967</v>
      </c>
      <c r="D1757" s="21">
        <v>1270.42</v>
      </c>
      <c r="E1757" s="21" t="s">
        <v>5796</v>
      </c>
      <c r="F1757" s="23"/>
      <c r="G1757" s="23">
        <f t="shared" si="6"/>
        <v>1270.42</v>
      </c>
      <c r="H1757" s="23"/>
      <c r="I1757" s="23"/>
    </row>
    <row r="1758" spans="1:9">
      <c r="A1758" s="21" t="s">
        <v>6996</v>
      </c>
      <c r="B1758" s="21" t="s">
        <v>5724</v>
      </c>
      <c r="C1758" s="22">
        <v>3847</v>
      </c>
      <c r="D1758" s="21">
        <v>8.68</v>
      </c>
      <c r="E1758" s="21" t="s">
        <v>5796</v>
      </c>
      <c r="F1758" s="23"/>
      <c r="G1758" s="23">
        <f t="shared" si="6"/>
        <v>8.68</v>
      </c>
      <c r="H1758" s="23"/>
      <c r="I1758" s="23"/>
    </row>
    <row r="1759" spans="1:9">
      <c r="A1759" s="24" t="s">
        <v>6997</v>
      </c>
      <c r="B1759" s="24" t="s">
        <v>485</v>
      </c>
      <c r="C1759" s="25">
        <v>132</v>
      </c>
      <c r="D1759" s="24">
        <v>39237.620000000003</v>
      </c>
      <c r="E1759" s="24" t="s">
        <v>5800</v>
      </c>
      <c r="F1759" s="26"/>
      <c r="G1759" s="23">
        <f t="shared" si="6"/>
        <v>39237.620000000003</v>
      </c>
      <c r="H1759" s="26"/>
      <c r="I1759" s="26"/>
    </row>
    <row r="1760" spans="1:9">
      <c r="A1760" s="21" t="s">
        <v>6998</v>
      </c>
      <c r="B1760" s="21" t="s">
        <v>6999</v>
      </c>
      <c r="C1760" s="22">
        <v>1643</v>
      </c>
      <c r="D1760" s="21">
        <v>266.55</v>
      </c>
      <c r="E1760" s="21" t="s">
        <v>5796</v>
      </c>
      <c r="F1760" s="23"/>
      <c r="G1760" s="23">
        <f t="shared" si="6"/>
        <v>266.55</v>
      </c>
      <c r="H1760" s="23"/>
      <c r="I1760" s="23"/>
    </row>
    <row r="1761" spans="1:9">
      <c r="A1761" s="24" t="s">
        <v>480</v>
      </c>
      <c r="B1761" s="24" t="s">
        <v>482</v>
      </c>
      <c r="C1761" s="25">
        <v>162</v>
      </c>
      <c r="D1761" s="24">
        <v>32657.99</v>
      </c>
      <c r="E1761" s="24" t="s">
        <v>5800</v>
      </c>
      <c r="F1761" s="26"/>
      <c r="G1761" s="23">
        <f t="shared" si="6"/>
        <v>32657.99</v>
      </c>
      <c r="H1761" s="26"/>
      <c r="I1761" s="26"/>
    </row>
    <row r="1762" spans="1:9">
      <c r="A1762" s="21" t="s">
        <v>7000</v>
      </c>
      <c r="B1762" s="21" t="s">
        <v>2239</v>
      </c>
      <c r="C1762" s="22">
        <v>640</v>
      </c>
      <c r="D1762" s="21">
        <v>3180.28</v>
      </c>
      <c r="E1762" s="21" t="s">
        <v>5796</v>
      </c>
      <c r="F1762" s="23"/>
      <c r="G1762" s="23">
        <f t="shared" si="6"/>
        <v>3180.28</v>
      </c>
      <c r="H1762" s="23"/>
      <c r="I1762" s="23"/>
    </row>
    <row r="1763" spans="1:9">
      <c r="A1763" s="21" t="s">
        <v>4175</v>
      </c>
      <c r="B1763" s="21" t="s">
        <v>4177</v>
      </c>
      <c r="C1763" s="22">
        <v>1587</v>
      </c>
      <c r="D1763" s="21">
        <v>293.48</v>
      </c>
      <c r="E1763" s="21" t="s">
        <v>5796</v>
      </c>
      <c r="F1763" s="23"/>
      <c r="G1763" s="23">
        <f t="shared" si="6"/>
        <v>293.48</v>
      </c>
      <c r="H1763" s="23"/>
      <c r="I1763" s="23"/>
    </row>
    <row r="1764" spans="1:9">
      <c r="A1764" s="21" t="s">
        <v>7001</v>
      </c>
      <c r="B1764" s="21" t="s">
        <v>3229</v>
      </c>
      <c r="C1764" s="22">
        <v>1003</v>
      </c>
      <c r="D1764" s="21">
        <v>1159.6099999999999</v>
      </c>
      <c r="E1764" s="21" t="s">
        <v>5796</v>
      </c>
      <c r="F1764" s="23"/>
      <c r="G1764" s="23">
        <f t="shared" si="6"/>
        <v>1159.6099999999999</v>
      </c>
      <c r="H1764" s="23"/>
      <c r="I1764" s="23"/>
    </row>
    <row r="1765" spans="1:9">
      <c r="A1765" s="21" t="s">
        <v>7002</v>
      </c>
      <c r="B1765" s="21" t="s">
        <v>2446</v>
      </c>
      <c r="C1765" s="22">
        <v>931</v>
      </c>
      <c r="D1765" s="21">
        <v>1373.7</v>
      </c>
      <c r="E1765" s="21" t="s">
        <v>5796</v>
      </c>
      <c r="F1765" s="23"/>
      <c r="G1765" s="23">
        <f t="shared" si="6"/>
        <v>1373.7</v>
      </c>
      <c r="H1765" s="23"/>
      <c r="I1765" s="23"/>
    </row>
    <row r="1766" spans="1:9">
      <c r="A1766" s="21" t="s">
        <v>7003</v>
      </c>
      <c r="B1766" s="21" t="s">
        <v>7004</v>
      </c>
      <c r="C1766" s="22">
        <v>2730</v>
      </c>
      <c r="D1766" s="21">
        <v>44.54</v>
      </c>
      <c r="E1766" s="21" t="s">
        <v>5796</v>
      </c>
      <c r="F1766" s="23"/>
      <c r="G1766" s="23">
        <f t="shared" si="6"/>
        <v>44.54</v>
      </c>
      <c r="H1766" s="23"/>
      <c r="I1766" s="23"/>
    </row>
    <row r="1767" spans="1:9">
      <c r="A1767" s="21" t="s">
        <v>1632</v>
      </c>
      <c r="B1767" s="21" t="s">
        <v>1634</v>
      </c>
      <c r="C1767" s="22">
        <v>608</v>
      </c>
      <c r="D1767" s="21">
        <v>3608.64</v>
      </c>
      <c r="E1767" s="21" t="s">
        <v>5796</v>
      </c>
      <c r="F1767" s="23"/>
      <c r="G1767" s="23">
        <f t="shared" si="6"/>
        <v>3608.64</v>
      </c>
      <c r="H1767" s="23"/>
      <c r="I1767" s="23"/>
    </row>
    <row r="1768" spans="1:9">
      <c r="A1768" s="21" t="s">
        <v>1206</v>
      </c>
      <c r="B1768" s="21" t="s">
        <v>1208</v>
      </c>
      <c r="C1768" s="22">
        <v>463</v>
      </c>
      <c r="D1768" s="21">
        <v>5842.09</v>
      </c>
      <c r="E1768" s="21" t="s">
        <v>5796</v>
      </c>
      <c r="F1768" s="23"/>
      <c r="G1768" s="23">
        <f t="shared" si="6"/>
        <v>5842.09</v>
      </c>
      <c r="H1768" s="23"/>
      <c r="I1768" s="23"/>
    </row>
    <row r="1769" spans="1:9">
      <c r="A1769" s="27" t="s">
        <v>7005</v>
      </c>
      <c r="B1769" s="27" t="s">
        <v>72</v>
      </c>
      <c r="C1769" s="28">
        <v>24</v>
      </c>
      <c r="D1769" s="27">
        <v>216431.84</v>
      </c>
      <c r="E1769" s="27" t="s">
        <v>5815</v>
      </c>
      <c r="F1769" s="29"/>
      <c r="G1769" s="23">
        <f t="shared" si="6"/>
        <v>216431.84</v>
      </c>
      <c r="H1769" s="29"/>
      <c r="I1769" s="29"/>
    </row>
    <row r="1770" spans="1:9">
      <c r="A1770" s="21" t="s">
        <v>4832</v>
      </c>
      <c r="B1770" s="21" t="s">
        <v>4834</v>
      </c>
      <c r="C1770" s="22">
        <v>1942</v>
      </c>
      <c r="D1770" s="21">
        <v>156.88999999999999</v>
      </c>
      <c r="E1770" s="21" t="s">
        <v>5796</v>
      </c>
      <c r="F1770" s="23"/>
      <c r="G1770" s="23">
        <f t="shared" si="6"/>
        <v>156.88999999999999</v>
      </c>
      <c r="H1770" s="23"/>
      <c r="I1770" s="23"/>
    </row>
    <row r="1771" spans="1:9">
      <c r="A1771" s="21" t="s">
        <v>4910</v>
      </c>
      <c r="B1771" s="21" t="s">
        <v>4912</v>
      </c>
      <c r="C1771" s="22">
        <v>2050</v>
      </c>
      <c r="D1771" s="21">
        <v>131.41</v>
      </c>
      <c r="E1771" s="21" t="s">
        <v>5796</v>
      </c>
      <c r="F1771" s="23"/>
      <c r="G1771" s="23">
        <f t="shared" si="6"/>
        <v>131.41</v>
      </c>
      <c r="H1771" s="23"/>
      <c r="I1771" s="23"/>
    </row>
    <row r="1772" spans="1:9">
      <c r="A1772" s="21" t="s">
        <v>5719</v>
      </c>
      <c r="B1772" s="21" t="s">
        <v>5721</v>
      </c>
      <c r="C1772" s="22">
        <v>3699</v>
      </c>
      <c r="D1772" s="21">
        <v>10.5</v>
      </c>
      <c r="E1772" s="21" t="s">
        <v>5796</v>
      </c>
      <c r="F1772" s="23"/>
      <c r="G1772" s="23">
        <f t="shared" si="6"/>
        <v>10.5</v>
      </c>
      <c r="H1772" s="23"/>
      <c r="I1772" s="23"/>
    </row>
    <row r="1773" spans="1:9">
      <c r="A1773" s="21" t="s">
        <v>7006</v>
      </c>
      <c r="B1773" s="21" t="s">
        <v>2320</v>
      </c>
      <c r="C1773" s="22">
        <v>727</v>
      </c>
      <c r="D1773" s="21">
        <v>2366.9899999999998</v>
      </c>
      <c r="E1773" s="21" t="s">
        <v>5796</v>
      </c>
      <c r="F1773" s="23"/>
      <c r="G1773" s="23">
        <f t="shared" si="6"/>
        <v>2366.9899999999998</v>
      </c>
      <c r="H1773" s="23"/>
      <c r="I1773" s="23"/>
    </row>
    <row r="1774" spans="1:9">
      <c r="A1774" s="21" t="s">
        <v>7007</v>
      </c>
      <c r="B1774" s="21" t="s">
        <v>4021</v>
      </c>
      <c r="C1774" s="22">
        <v>1354</v>
      </c>
      <c r="D1774" s="21">
        <v>451.8</v>
      </c>
      <c r="E1774" s="21" t="s">
        <v>5796</v>
      </c>
      <c r="F1774" s="23"/>
      <c r="G1774" s="23">
        <f t="shared" si="6"/>
        <v>451.8</v>
      </c>
      <c r="H1774" s="23"/>
      <c r="I1774" s="23"/>
    </row>
    <row r="1775" spans="1:9">
      <c r="A1775" s="21" t="s">
        <v>7008</v>
      </c>
      <c r="B1775" s="21" t="s">
        <v>3265</v>
      </c>
      <c r="C1775" s="22">
        <v>1047</v>
      </c>
      <c r="D1775" s="21">
        <v>1043.54</v>
      </c>
      <c r="E1775" s="21" t="s">
        <v>5796</v>
      </c>
      <c r="F1775" s="23"/>
      <c r="G1775" s="23">
        <f t="shared" si="6"/>
        <v>1043.54</v>
      </c>
      <c r="H1775" s="23"/>
      <c r="I1775" s="23"/>
    </row>
    <row r="1776" spans="1:9">
      <c r="A1776" s="21" t="s">
        <v>7009</v>
      </c>
      <c r="B1776" s="21" t="s">
        <v>5616</v>
      </c>
      <c r="C1776" s="22">
        <v>3189</v>
      </c>
      <c r="D1776" s="21">
        <v>23.06</v>
      </c>
      <c r="E1776" s="21" t="s">
        <v>5796</v>
      </c>
      <c r="F1776" s="23"/>
      <c r="G1776" s="23">
        <f t="shared" si="6"/>
        <v>23.06</v>
      </c>
      <c r="H1776" s="23"/>
      <c r="I1776" s="23"/>
    </row>
    <row r="1777" spans="1:9">
      <c r="A1777" s="24" t="s">
        <v>285</v>
      </c>
      <c r="B1777" s="24" t="s">
        <v>287</v>
      </c>
      <c r="C1777" s="25">
        <v>102</v>
      </c>
      <c r="D1777" s="24">
        <v>49232.7</v>
      </c>
      <c r="E1777" s="24" t="s">
        <v>5800</v>
      </c>
      <c r="F1777" s="26"/>
      <c r="G1777" s="23">
        <f t="shared" si="6"/>
        <v>49232.7</v>
      </c>
      <c r="H1777" s="26"/>
      <c r="I1777" s="26"/>
    </row>
    <row r="1778" spans="1:9">
      <c r="A1778" s="21" t="s">
        <v>2417</v>
      </c>
      <c r="B1778" s="21" t="s">
        <v>2419</v>
      </c>
      <c r="C1778" s="22">
        <v>709</v>
      </c>
      <c r="D1778" s="21">
        <v>2498.5</v>
      </c>
      <c r="E1778" s="21" t="s">
        <v>5796</v>
      </c>
      <c r="F1778" s="23"/>
      <c r="G1778" s="23">
        <f t="shared" si="6"/>
        <v>2498.5</v>
      </c>
      <c r="H1778" s="23"/>
      <c r="I1778" s="23"/>
    </row>
    <row r="1779" spans="1:9">
      <c r="A1779" s="21" t="s">
        <v>7010</v>
      </c>
      <c r="B1779" s="21" t="s">
        <v>3526</v>
      </c>
      <c r="C1779" s="22">
        <v>1438</v>
      </c>
      <c r="D1779" s="21">
        <v>388.61</v>
      </c>
      <c r="E1779" s="21" t="s">
        <v>5796</v>
      </c>
      <c r="F1779" s="23"/>
      <c r="G1779" s="23">
        <f t="shared" si="6"/>
        <v>388.61</v>
      </c>
      <c r="H1779" s="23"/>
      <c r="I1779" s="23"/>
    </row>
    <row r="1780" spans="1:9">
      <c r="A1780" s="21" t="s">
        <v>7011</v>
      </c>
      <c r="B1780" s="21" t="s">
        <v>4660</v>
      </c>
      <c r="C1780" s="22">
        <v>1759</v>
      </c>
      <c r="D1780" s="21">
        <v>210.5</v>
      </c>
      <c r="E1780" s="21" t="s">
        <v>5796</v>
      </c>
      <c r="F1780" s="23"/>
      <c r="G1780" s="23">
        <f t="shared" si="6"/>
        <v>210.5</v>
      </c>
      <c r="H1780" s="23"/>
      <c r="I1780" s="23"/>
    </row>
    <row r="1781" spans="1:9">
      <c r="A1781" s="21" t="s">
        <v>7012</v>
      </c>
      <c r="B1781" s="21" t="s">
        <v>4900</v>
      </c>
      <c r="C1781" s="22">
        <v>2022</v>
      </c>
      <c r="D1781" s="21">
        <v>137.47999999999999</v>
      </c>
      <c r="E1781" s="21" t="s">
        <v>5796</v>
      </c>
      <c r="F1781" s="23"/>
      <c r="G1781" s="23">
        <f t="shared" si="6"/>
        <v>137.47999999999999</v>
      </c>
      <c r="H1781" s="23"/>
      <c r="I1781" s="23"/>
    </row>
    <row r="1782" spans="1:9">
      <c r="A1782" s="21" t="s">
        <v>5764</v>
      </c>
      <c r="B1782" s="21" t="s">
        <v>5766</v>
      </c>
      <c r="C1782" s="22">
        <v>3835</v>
      </c>
      <c r="D1782" s="21">
        <v>8.7799999999999994</v>
      </c>
      <c r="E1782" s="21" t="s">
        <v>5796</v>
      </c>
      <c r="F1782" s="23"/>
      <c r="G1782" s="23">
        <f t="shared" si="6"/>
        <v>8.7799999999999994</v>
      </c>
      <c r="H1782" s="23"/>
      <c r="I1782" s="23"/>
    </row>
    <row r="1783" spans="1:9">
      <c r="A1783" s="21" t="s">
        <v>7013</v>
      </c>
      <c r="B1783" s="21" t="s">
        <v>5092</v>
      </c>
      <c r="C1783" s="22">
        <v>2206</v>
      </c>
      <c r="D1783" s="21">
        <v>102.65</v>
      </c>
      <c r="E1783" s="21" t="s">
        <v>5796</v>
      </c>
      <c r="F1783" s="23"/>
      <c r="G1783" s="23">
        <f t="shared" si="6"/>
        <v>102.65</v>
      </c>
      <c r="H1783" s="23"/>
      <c r="I1783" s="23"/>
    </row>
    <row r="1784" spans="1:9">
      <c r="A1784" s="21" t="s">
        <v>7014</v>
      </c>
      <c r="B1784" s="21" t="s">
        <v>2941</v>
      </c>
      <c r="C1784" s="22">
        <v>989</v>
      </c>
      <c r="D1784" s="21">
        <v>1202.9000000000001</v>
      </c>
      <c r="E1784" s="21" t="s">
        <v>5796</v>
      </c>
      <c r="F1784" s="23"/>
      <c r="G1784" s="23">
        <f t="shared" si="6"/>
        <v>1202.9000000000001</v>
      </c>
      <c r="H1784" s="23"/>
      <c r="I1784" s="23"/>
    </row>
    <row r="1785" spans="1:9">
      <c r="A1785" s="21" t="s">
        <v>7015</v>
      </c>
      <c r="B1785" s="21" t="s">
        <v>4081</v>
      </c>
      <c r="C1785" s="22">
        <v>1347</v>
      </c>
      <c r="D1785" s="21">
        <v>457.59</v>
      </c>
      <c r="E1785" s="21" t="s">
        <v>5796</v>
      </c>
      <c r="F1785" s="23"/>
      <c r="G1785" s="23">
        <f t="shared" si="6"/>
        <v>457.59</v>
      </c>
      <c r="H1785" s="23"/>
      <c r="I1785" s="23"/>
    </row>
    <row r="1786" spans="1:9">
      <c r="A1786" s="24" t="s">
        <v>531</v>
      </c>
      <c r="B1786" s="24" t="s">
        <v>533</v>
      </c>
      <c r="C1786" s="25">
        <v>172</v>
      </c>
      <c r="D1786" s="24">
        <v>29857.88</v>
      </c>
      <c r="E1786" s="24" t="s">
        <v>5800</v>
      </c>
      <c r="F1786" s="26"/>
      <c r="G1786" s="23">
        <f t="shared" si="6"/>
        <v>29857.88</v>
      </c>
      <c r="H1786" s="26"/>
      <c r="I1786" s="26"/>
    </row>
    <row r="1787" spans="1:9">
      <c r="A1787" s="27" t="s">
        <v>450</v>
      </c>
      <c r="B1787" s="27" t="s">
        <v>452</v>
      </c>
      <c r="C1787" s="28">
        <v>93</v>
      </c>
      <c r="D1787" s="27">
        <v>53947.53</v>
      </c>
      <c r="E1787" s="27" t="s">
        <v>5815</v>
      </c>
      <c r="F1787" s="29"/>
      <c r="G1787" s="23">
        <f t="shared" si="6"/>
        <v>53947.53</v>
      </c>
      <c r="H1787" s="29"/>
      <c r="I1787" s="29"/>
    </row>
    <row r="1788" spans="1:9">
      <c r="A1788" s="21" t="s">
        <v>3869</v>
      </c>
      <c r="B1788" s="21" t="s">
        <v>3871</v>
      </c>
      <c r="C1788" s="22">
        <v>1355</v>
      </c>
      <c r="D1788" s="21">
        <v>451.53</v>
      </c>
      <c r="E1788" s="21" t="s">
        <v>5796</v>
      </c>
      <c r="F1788" s="23"/>
      <c r="G1788" s="23">
        <f t="shared" ref="G1788:G2042" si="7">VALUE(SUBSTITUTE(D1788, ",", ""))</f>
        <v>451.53</v>
      </c>
      <c r="H1788" s="23"/>
      <c r="I1788" s="23"/>
    </row>
    <row r="1789" spans="1:9">
      <c r="A1789" s="21" t="s">
        <v>7016</v>
      </c>
      <c r="B1789" s="21" t="s">
        <v>1241</v>
      </c>
      <c r="C1789" s="22">
        <v>439</v>
      </c>
      <c r="D1789" s="21">
        <v>6540.6</v>
      </c>
      <c r="E1789" s="21" t="s">
        <v>5796</v>
      </c>
      <c r="F1789" s="23"/>
      <c r="G1789" s="23">
        <f t="shared" si="7"/>
        <v>6540.6</v>
      </c>
      <c r="H1789" s="23"/>
      <c r="I1789" s="23"/>
    </row>
    <row r="1790" spans="1:9">
      <c r="A1790" s="21" t="s">
        <v>7017</v>
      </c>
      <c r="B1790" s="21" t="s">
        <v>4702</v>
      </c>
      <c r="C1790" s="22">
        <v>1876</v>
      </c>
      <c r="D1790" s="21">
        <v>171.16</v>
      </c>
      <c r="E1790" s="21" t="s">
        <v>5796</v>
      </c>
      <c r="F1790" s="23"/>
      <c r="G1790" s="23">
        <f t="shared" si="7"/>
        <v>171.16</v>
      </c>
      <c r="H1790" s="23"/>
      <c r="I1790" s="23"/>
    </row>
    <row r="1791" spans="1:9">
      <c r="A1791" s="21" t="s">
        <v>1215</v>
      </c>
      <c r="B1791" s="21" t="s">
        <v>1217</v>
      </c>
      <c r="C1791" s="22">
        <v>369</v>
      </c>
      <c r="D1791" s="21">
        <v>8864.76</v>
      </c>
      <c r="E1791" s="21" t="s">
        <v>5796</v>
      </c>
      <c r="F1791" s="23"/>
      <c r="G1791" s="23">
        <f t="shared" si="7"/>
        <v>8864.76</v>
      </c>
      <c r="H1791" s="23"/>
      <c r="I1791" s="23"/>
    </row>
    <row r="1792" spans="1:9">
      <c r="A1792" s="21" t="s">
        <v>7018</v>
      </c>
      <c r="B1792" s="21" t="s">
        <v>2962</v>
      </c>
      <c r="C1792" s="22">
        <v>1054</v>
      </c>
      <c r="D1792" s="21">
        <v>1022.28</v>
      </c>
      <c r="E1792" s="21" t="s">
        <v>5796</v>
      </c>
      <c r="F1792" s="23"/>
      <c r="G1792" s="23">
        <f t="shared" si="7"/>
        <v>1022.28</v>
      </c>
      <c r="H1792" s="23"/>
      <c r="I1792" s="23"/>
    </row>
    <row r="1793" spans="1:9">
      <c r="A1793" s="21" t="s">
        <v>3812</v>
      </c>
      <c r="B1793" s="21" t="s">
        <v>3814</v>
      </c>
      <c r="C1793" s="22">
        <v>1559</v>
      </c>
      <c r="D1793" s="21">
        <v>309.07</v>
      </c>
      <c r="E1793" s="21" t="s">
        <v>5796</v>
      </c>
      <c r="F1793" s="23"/>
      <c r="G1793" s="23">
        <f t="shared" si="7"/>
        <v>309.07</v>
      </c>
      <c r="H1793" s="23"/>
      <c r="I1793" s="23"/>
    </row>
    <row r="1794" spans="1:9">
      <c r="A1794" s="21" t="s">
        <v>7019</v>
      </c>
      <c r="B1794" s="21" t="s">
        <v>2779</v>
      </c>
      <c r="C1794" s="22">
        <v>833</v>
      </c>
      <c r="D1794" s="21">
        <v>1759.37</v>
      </c>
      <c r="E1794" s="21" t="s">
        <v>5796</v>
      </c>
      <c r="F1794" s="23"/>
      <c r="G1794" s="23">
        <f t="shared" si="7"/>
        <v>1759.37</v>
      </c>
      <c r="H1794" s="23"/>
      <c r="I1794" s="23"/>
    </row>
    <row r="1795" spans="1:9">
      <c r="A1795" s="21" t="s">
        <v>7020</v>
      </c>
      <c r="B1795" s="21" t="s">
        <v>1595</v>
      </c>
      <c r="C1795" s="22">
        <v>510</v>
      </c>
      <c r="D1795" s="21">
        <v>5050.8999999999996</v>
      </c>
      <c r="E1795" s="21" t="s">
        <v>5796</v>
      </c>
      <c r="F1795" s="23"/>
      <c r="G1795" s="23">
        <f t="shared" si="7"/>
        <v>5050.8999999999996</v>
      </c>
      <c r="H1795" s="23"/>
      <c r="I1795" s="23"/>
    </row>
    <row r="1796" spans="1:9">
      <c r="A1796" s="21" t="s">
        <v>7021</v>
      </c>
      <c r="B1796" s="21" t="s">
        <v>4957</v>
      </c>
      <c r="C1796" s="22">
        <v>1961</v>
      </c>
      <c r="D1796" s="21">
        <v>151.49</v>
      </c>
      <c r="E1796" s="21" t="s">
        <v>5796</v>
      </c>
      <c r="F1796" s="23"/>
      <c r="G1796" s="23">
        <f t="shared" si="7"/>
        <v>151.49</v>
      </c>
      <c r="H1796" s="23"/>
      <c r="I1796" s="23"/>
    </row>
    <row r="1797" spans="1:9">
      <c r="A1797" s="21" t="s">
        <v>2786</v>
      </c>
      <c r="B1797" s="21" t="s">
        <v>2788</v>
      </c>
      <c r="C1797" s="22">
        <v>843</v>
      </c>
      <c r="D1797" s="21">
        <v>1737.2</v>
      </c>
      <c r="E1797" s="21" t="s">
        <v>5796</v>
      </c>
      <c r="F1797" s="23"/>
      <c r="G1797" s="23">
        <f t="shared" si="7"/>
        <v>1737.2</v>
      </c>
      <c r="H1797" s="23"/>
      <c r="I1797" s="23"/>
    </row>
    <row r="1798" spans="1:9">
      <c r="A1798" s="21" t="s">
        <v>3122</v>
      </c>
      <c r="B1798" s="21" t="s">
        <v>3124</v>
      </c>
      <c r="C1798" s="22">
        <v>944</v>
      </c>
      <c r="D1798" s="21">
        <v>1337.62</v>
      </c>
      <c r="E1798" s="21" t="s">
        <v>5796</v>
      </c>
      <c r="F1798" s="23"/>
      <c r="G1798" s="23">
        <f t="shared" si="7"/>
        <v>1337.62</v>
      </c>
      <c r="H1798" s="23"/>
      <c r="I1798" s="23"/>
    </row>
    <row r="1799" spans="1:9">
      <c r="A1799" s="21" t="s">
        <v>7022</v>
      </c>
      <c r="B1799" s="21" t="s">
        <v>4090</v>
      </c>
      <c r="C1799" s="22">
        <v>1403</v>
      </c>
      <c r="D1799" s="21">
        <v>405.41</v>
      </c>
      <c r="E1799" s="21" t="s">
        <v>5796</v>
      </c>
      <c r="F1799" s="23"/>
      <c r="G1799" s="23">
        <f t="shared" si="7"/>
        <v>405.41</v>
      </c>
      <c r="H1799" s="23"/>
      <c r="I1799" s="23"/>
    </row>
    <row r="1800" spans="1:9">
      <c r="A1800" s="21" t="s">
        <v>7023</v>
      </c>
      <c r="B1800" s="21" t="s">
        <v>4981</v>
      </c>
      <c r="C1800" s="22">
        <v>2425</v>
      </c>
      <c r="D1800" s="21">
        <v>70.98</v>
      </c>
      <c r="E1800" s="21" t="s">
        <v>5796</v>
      </c>
      <c r="F1800" s="23"/>
      <c r="G1800" s="23">
        <f t="shared" si="7"/>
        <v>70.98</v>
      </c>
      <c r="H1800" s="23"/>
      <c r="I1800" s="23"/>
    </row>
    <row r="1801" spans="1:9">
      <c r="A1801" s="21" t="s">
        <v>1563</v>
      </c>
      <c r="B1801" s="21" t="s">
        <v>1565</v>
      </c>
      <c r="C1801" s="22">
        <v>549</v>
      </c>
      <c r="D1801" s="21">
        <v>4345.24</v>
      </c>
      <c r="E1801" s="21" t="s">
        <v>5796</v>
      </c>
      <c r="F1801" s="23"/>
      <c r="G1801" s="23">
        <f t="shared" si="7"/>
        <v>4345.24</v>
      </c>
      <c r="H1801" s="23"/>
      <c r="I1801" s="23"/>
    </row>
    <row r="1802" spans="1:9">
      <c r="A1802" s="21" t="s">
        <v>3077</v>
      </c>
      <c r="B1802" s="21" t="s">
        <v>3079</v>
      </c>
      <c r="C1802" s="22">
        <v>1180</v>
      </c>
      <c r="D1802" s="21">
        <v>725.56</v>
      </c>
      <c r="E1802" s="21" t="s">
        <v>5796</v>
      </c>
      <c r="F1802" s="23"/>
      <c r="G1802" s="23">
        <f t="shared" si="7"/>
        <v>725.56</v>
      </c>
      <c r="H1802" s="23"/>
      <c r="I1802" s="23"/>
    </row>
    <row r="1803" spans="1:9">
      <c r="A1803" s="21" t="s">
        <v>5341</v>
      </c>
      <c r="B1803" s="21" t="s">
        <v>5343</v>
      </c>
      <c r="C1803" s="22">
        <v>2489</v>
      </c>
      <c r="D1803" s="21">
        <v>65.31</v>
      </c>
      <c r="E1803" s="21" t="s">
        <v>5796</v>
      </c>
      <c r="F1803" s="23"/>
      <c r="G1803" s="23">
        <f t="shared" si="7"/>
        <v>65.31</v>
      </c>
      <c r="H1803" s="23"/>
      <c r="I1803" s="23"/>
    </row>
    <row r="1804" spans="1:9">
      <c r="A1804" s="27" t="s">
        <v>156</v>
      </c>
      <c r="B1804" s="27" t="s">
        <v>158</v>
      </c>
      <c r="C1804" s="28">
        <v>56</v>
      </c>
      <c r="D1804" s="27">
        <v>91870.51</v>
      </c>
      <c r="E1804" s="27" t="s">
        <v>5815</v>
      </c>
      <c r="F1804" s="29"/>
      <c r="G1804" s="23">
        <f t="shared" si="7"/>
        <v>91870.51</v>
      </c>
      <c r="H1804" s="29"/>
      <c r="I1804" s="29"/>
    </row>
    <row r="1805" spans="1:9">
      <c r="A1805" s="21" t="s">
        <v>7024</v>
      </c>
      <c r="B1805" s="21" t="s">
        <v>5577</v>
      </c>
      <c r="C1805" s="22">
        <v>3042</v>
      </c>
      <c r="D1805" s="21">
        <v>28.58</v>
      </c>
      <c r="E1805" s="21" t="s">
        <v>5796</v>
      </c>
      <c r="F1805" s="23"/>
      <c r="G1805" s="23">
        <f t="shared" si="7"/>
        <v>28.58</v>
      </c>
      <c r="H1805" s="23"/>
      <c r="I1805" s="23"/>
    </row>
    <row r="1806" spans="1:9">
      <c r="A1806" s="27" t="s">
        <v>213</v>
      </c>
      <c r="B1806" s="27" t="s">
        <v>215</v>
      </c>
      <c r="C1806" s="28">
        <v>49</v>
      </c>
      <c r="D1806" s="27">
        <v>108408.8</v>
      </c>
      <c r="E1806" s="27" t="s">
        <v>5815</v>
      </c>
      <c r="F1806" s="29"/>
      <c r="G1806" s="23">
        <f t="shared" si="7"/>
        <v>108408.8</v>
      </c>
      <c r="H1806" s="29"/>
      <c r="I1806" s="29"/>
    </row>
    <row r="1807" spans="1:9">
      <c r="A1807" s="21" t="s">
        <v>7025</v>
      </c>
      <c r="B1807" s="21" t="s">
        <v>2371</v>
      </c>
      <c r="C1807" s="22">
        <v>728</v>
      </c>
      <c r="D1807" s="21">
        <v>2362.35</v>
      </c>
      <c r="E1807" s="21" t="s">
        <v>5796</v>
      </c>
      <c r="F1807" s="23"/>
      <c r="G1807" s="23">
        <f t="shared" si="7"/>
        <v>2362.35</v>
      </c>
      <c r="H1807" s="23"/>
      <c r="I1807" s="23"/>
    </row>
    <row r="1808" spans="1:9">
      <c r="A1808" s="21" t="s">
        <v>2372</v>
      </c>
      <c r="B1808" s="21" t="s">
        <v>2374</v>
      </c>
      <c r="C1808" s="22">
        <v>851</v>
      </c>
      <c r="D1808" s="21">
        <v>1724.58</v>
      </c>
      <c r="E1808" s="21" t="s">
        <v>5796</v>
      </c>
      <c r="F1808" s="23"/>
      <c r="G1808" s="23">
        <f t="shared" si="7"/>
        <v>1724.58</v>
      </c>
      <c r="H1808" s="23"/>
      <c r="I1808" s="23"/>
    </row>
    <row r="1809" spans="1:9">
      <c r="A1809" s="21" t="s">
        <v>7026</v>
      </c>
      <c r="B1809" s="21" t="s">
        <v>4204</v>
      </c>
      <c r="C1809" s="22">
        <v>1670</v>
      </c>
      <c r="D1809" s="21">
        <v>251.36</v>
      </c>
      <c r="E1809" s="21" t="s">
        <v>5796</v>
      </c>
      <c r="F1809" s="23"/>
      <c r="G1809" s="23">
        <f t="shared" si="7"/>
        <v>251.36</v>
      </c>
      <c r="H1809" s="23"/>
      <c r="I1809" s="23"/>
    </row>
    <row r="1810" spans="1:9">
      <c r="A1810" s="21" t="s">
        <v>3032</v>
      </c>
      <c r="B1810" s="21" t="s">
        <v>3034</v>
      </c>
      <c r="C1810" s="22">
        <v>981</v>
      </c>
      <c r="D1810" s="21">
        <v>1240.8900000000001</v>
      </c>
      <c r="E1810" s="21" t="s">
        <v>5796</v>
      </c>
      <c r="F1810" s="23"/>
      <c r="G1810" s="23">
        <f t="shared" si="7"/>
        <v>1240.8900000000001</v>
      </c>
      <c r="H1810" s="23"/>
      <c r="I1810" s="23"/>
    </row>
    <row r="1811" spans="1:9">
      <c r="A1811" s="21" t="s">
        <v>7027</v>
      </c>
      <c r="B1811" s="21" t="s">
        <v>4195</v>
      </c>
      <c r="C1811" s="22">
        <v>1625</v>
      </c>
      <c r="D1811" s="21">
        <v>271.64999999999998</v>
      </c>
      <c r="E1811" s="21" t="s">
        <v>5796</v>
      </c>
      <c r="F1811" s="23"/>
      <c r="G1811" s="23">
        <f t="shared" si="7"/>
        <v>271.64999999999998</v>
      </c>
      <c r="H1811" s="23"/>
      <c r="I1811" s="23"/>
    </row>
    <row r="1812" spans="1:9">
      <c r="A1812" s="21" t="s">
        <v>7028</v>
      </c>
      <c r="B1812" s="21" t="s">
        <v>1583</v>
      </c>
      <c r="C1812" s="22">
        <v>597</v>
      </c>
      <c r="D1812" s="21">
        <v>3740.32</v>
      </c>
      <c r="E1812" s="21" t="s">
        <v>5796</v>
      </c>
      <c r="F1812" s="23"/>
      <c r="G1812" s="23">
        <f t="shared" si="7"/>
        <v>3740.32</v>
      </c>
      <c r="H1812" s="23"/>
      <c r="I1812" s="23"/>
    </row>
    <row r="1813" spans="1:9">
      <c r="A1813" s="21" t="s">
        <v>7029</v>
      </c>
      <c r="B1813" s="21" t="s">
        <v>4585</v>
      </c>
      <c r="C1813" s="22">
        <v>1835</v>
      </c>
      <c r="D1813" s="21">
        <v>184.83</v>
      </c>
      <c r="E1813" s="21" t="s">
        <v>5796</v>
      </c>
      <c r="F1813" s="23"/>
      <c r="G1813" s="23">
        <f t="shared" si="7"/>
        <v>184.83</v>
      </c>
      <c r="H1813" s="23"/>
      <c r="I1813" s="23"/>
    </row>
    <row r="1814" spans="1:9">
      <c r="A1814" s="21" t="s">
        <v>7030</v>
      </c>
      <c r="B1814" s="21" t="s">
        <v>1034</v>
      </c>
      <c r="C1814" s="22">
        <v>325</v>
      </c>
      <c r="D1814" s="21">
        <v>10901.71</v>
      </c>
      <c r="E1814" s="21" t="s">
        <v>5796</v>
      </c>
      <c r="F1814" s="23"/>
      <c r="G1814" s="23">
        <f t="shared" si="7"/>
        <v>10901.71</v>
      </c>
      <c r="H1814" s="23"/>
      <c r="I1814" s="23"/>
    </row>
    <row r="1815" spans="1:9">
      <c r="A1815" s="21" t="s">
        <v>3437</v>
      </c>
      <c r="B1815" s="21" t="s">
        <v>3439</v>
      </c>
      <c r="C1815" s="22">
        <v>1099</v>
      </c>
      <c r="D1815" s="21">
        <v>870.35</v>
      </c>
      <c r="E1815" s="21" t="s">
        <v>5796</v>
      </c>
      <c r="F1815" s="23"/>
      <c r="G1815" s="23">
        <f t="shared" si="7"/>
        <v>870.35</v>
      </c>
      <c r="H1815" s="23"/>
      <c r="I1815" s="23"/>
    </row>
    <row r="1816" spans="1:9">
      <c r="A1816" s="21" t="s">
        <v>7031</v>
      </c>
      <c r="B1816" s="21" t="s">
        <v>7032</v>
      </c>
      <c r="C1816" s="22">
        <v>3732</v>
      </c>
      <c r="D1816" s="21">
        <v>9.9700000000000006</v>
      </c>
      <c r="E1816" s="21" t="s">
        <v>5796</v>
      </c>
      <c r="F1816" s="23"/>
      <c r="G1816" s="23">
        <f t="shared" si="7"/>
        <v>9.9700000000000006</v>
      </c>
      <c r="H1816" s="23"/>
      <c r="I1816" s="23"/>
    </row>
    <row r="1817" spans="1:9">
      <c r="A1817" s="21" t="s">
        <v>2660</v>
      </c>
      <c r="B1817" s="21" t="s">
        <v>2662</v>
      </c>
      <c r="C1817" s="22">
        <v>829</v>
      </c>
      <c r="D1817" s="21">
        <v>1778.87</v>
      </c>
      <c r="E1817" s="21" t="s">
        <v>5796</v>
      </c>
      <c r="F1817" s="23"/>
      <c r="G1817" s="23">
        <f t="shared" si="7"/>
        <v>1778.87</v>
      </c>
      <c r="H1817" s="23"/>
      <c r="I1817" s="23"/>
    </row>
    <row r="1818" spans="1:9">
      <c r="A1818" s="21" t="s">
        <v>1758</v>
      </c>
      <c r="B1818" s="21" t="s">
        <v>1760</v>
      </c>
      <c r="C1818" s="22">
        <v>568</v>
      </c>
      <c r="D1818" s="21">
        <v>4076.04</v>
      </c>
      <c r="E1818" s="21" t="s">
        <v>5796</v>
      </c>
      <c r="F1818" s="23"/>
      <c r="G1818" s="23">
        <f t="shared" si="7"/>
        <v>4076.04</v>
      </c>
      <c r="H1818" s="23"/>
      <c r="I1818" s="23"/>
    </row>
    <row r="1819" spans="1:9">
      <c r="A1819" s="21" t="s">
        <v>7033</v>
      </c>
      <c r="B1819" s="21" t="s">
        <v>5715</v>
      </c>
      <c r="C1819" s="22">
        <v>3290</v>
      </c>
      <c r="D1819" s="21">
        <v>19.93</v>
      </c>
      <c r="E1819" s="21" t="s">
        <v>5796</v>
      </c>
      <c r="F1819" s="23"/>
      <c r="G1819" s="23">
        <f t="shared" si="7"/>
        <v>19.93</v>
      </c>
      <c r="H1819" s="23"/>
      <c r="I1819" s="23"/>
    </row>
    <row r="1820" spans="1:9">
      <c r="A1820" s="21" t="s">
        <v>4145</v>
      </c>
      <c r="B1820" s="21" t="s">
        <v>4147</v>
      </c>
      <c r="C1820" s="22">
        <v>1597</v>
      </c>
      <c r="D1820" s="21">
        <v>289.75</v>
      </c>
      <c r="E1820" s="21" t="s">
        <v>5796</v>
      </c>
      <c r="F1820" s="23"/>
      <c r="G1820" s="23">
        <f t="shared" si="7"/>
        <v>289.75</v>
      </c>
      <c r="H1820" s="23"/>
      <c r="I1820" s="23"/>
    </row>
    <row r="1821" spans="1:9">
      <c r="A1821" s="21" t="s">
        <v>7034</v>
      </c>
      <c r="B1821" s="21" t="s">
        <v>3745</v>
      </c>
      <c r="C1821" s="22">
        <v>1305</v>
      </c>
      <c r="D1821" s="21">
        <v>516.4</v>
      </c>
      <c r="E1821" s="21" t="s">
        <v>5796</v>
      </c>
      <c r="F1821" s="23"/>
      <c r="G1821" s="23">
        <f t="shared" si="7"/>
        <v>516.4</v>
      </c>
      <c r="H1821" s="23"/>
      <c r="I1821" s="23"/>
    </row>
    <row r="1822" spans="1:9">
      <c r="A1822" s="21" t="s">
        <v>7035</v>
      </c>
      <c r="B1822" s="21" t="s">
        <v>3328</v>
      </c>
      <c r="C1822" s="22">
        <v>1137</v>
      </c>
      <c r="D1822" s="21">
        <v>815.99</v>
      </c>
      <c r="E1822" s="21" t="s">
        <v>5796</v>
      </c>
      <c r="F1822" s="23"/>
      <c r="G1822" s="23">
        <f t="shared" si="7"/>
        <v>815.99</v>
      </c>
      <c r="H1822" s="23"/>
      <c r="I1822" s="23"/>
    </row>
    <row r="1823" spans="1:9">
      <c r="A1823" s="24" t="s">
        <v>7036</v>
      </c>
      <c r="B1823" s="24" t="s">
        <v>860</v>
      </c>
      <c r="C1823" s="25">
        <v>232</v>
      </c>
      <c r="D1823" s="24">
        <v>19367.240000000002</v>
      </c>
      <c r="E1823" s="24" t="s">
        <v>5800</v>
      </c>
      <c r="F1823" s="26"/>
      <c r="G1823" s="23">
        <f t="shared" si="7"/>
        <v>19367.240000000002</v>
      </c>
      <c r="H1823" s="26"/>
      <c r="I1823" s="26"/>
    </row>
    <row r="1824" spans="1:9">
      <c r="A1824" s="21" t="s">
        <v>7037</v>
      </c>
      <c r="B1824" s="21" t="s">
        <v>2422</v>
      </c>
      <c r="C1824" s="22">
        <v>768</v>
      </c>
      <c r="D1824" s="21">
        <v>2089.1799999999998</v>
      </c>
      <c r="E1824" s="21" t="s">
        <v>5796</v>
      </c>
      <c r="F1824" s="23"/>
      <c r="G1824" s="23">
        <f t="shared" si="7"/>
        <v>2089.1799999999998</v>
      </c>
      <c r="H1824" s="23"/>
      <c r="I1824" s="23"/>
    </row>
    <row r="1825" spans="1:9">
      <c r="A1825" s="21" t="s">
        <v>5458</v>
      </c>
      <c r="B1825" s="21" t="s">
        <v>5460</v>
      </c>
      <c r="C1825" s="22">
        <v>2695</v>
      </c>
      <c r="D1825" s="21">
        <v>46.52</v>
      </c>
      <c r="E1825" s="21" t="s">
        <v>5796</v>
      </c>
      <c r="F1825" s="23"/>
      <c r="G1825" s="23">
        <f t="shared" si="7"/>
        <v>46.52</v>
      </c>
      <c r="H1825" s="23"/>
      <c r="I1825" s="23"/>
    </row>
    <row r="1826" spans="1:9">
      <c r="A1826" s="21" t="s">
        <v>7038</v>
      </c>
      <c r="B1826" s="21" t="s">
        <v>5292</v>
      </c>
      <c r="C1826" s="22">
        <v>1778</v>
      </c>
      <c r="D1826" s="21">
        <v>202.83</v>
      </c>
      <c r="E1826" s="21" t="s">
        <v>5796</v>
      </c>
      <c r="F1826" s="23"/>
      <c r="G1826" s="23">
        <f t="shared" si="7"/>
        <v>202.83</v>
      </c>
      <c r="H1826" s="23"/>
      <c r="I1826" s="23"/>
    </row>
    <row r="1827" spans="1:9">
      <c r="A1827" s="21" t="s">
        <v>7039</v>
      </c>
      <c r="B1827" s="21" t="s">
        <v>3535</v>
      </c>
      <c r="C1827" s="22">
        <v>1143</v>
      </c>
      <c r="D1827" s="21">
        <v>801.68</v>
      </c>
      <c r="E1827" s="21" t="s">
        <v>5796</v>
      </c>
      <c r="F1827" s="23"/>
      <c r="G1827" s="23">
        <f t="shared" si="7"/>
        <v>801.68</v>
      </c>
      <c r="H1827" s="23"/>
      <c r="I1827" s="23"/>
    </row>
    <row r="1828" spans="1:9">
      <c r="A1828" s="21" t="s">
        <v>4190</v>
      </c>
      <c r="B1828" s="21" t="s">
        <v>4192</v>
      </c>
      <c r="C1828" s="22">
        <v>1466</v>
      </c>
      <c r="D1828" s="21">
        <v>370.19</v>
      </c>
      <c r="E1828" s="21" t="s">
        <v>5796</v>
      </c>
      <c r="F1828" s="23"/>
      <c r="G1828" s="23">
        <f t="shared" si="7"/>
        <v>370.19</v>
      </c>
      <c r="H1828" s="23"/>
      <c r="I1828" s="23"/>
    </row>
    <row r="1829" spans="1:9">
      <c r="A1829" s="21" t="s">
        <v>7040</v>
      </c>
      <c r="B1829" s="21" t="s">
        <v>1322</v>
      </c>
      <c r="C1829" s="22">
        <v>368</v>
      </c>
      <c r="D1829" s="21">
        <v>8941.1200000000008</v>
      </c>
      <c r="E1829" s="21" t="s">
        <v>5796</v>
      </c>
      <c r="F1829" s="23"/>
      <c r="G1829" s="23">
        <f t="shared" si="7"/>
        <v>8941.1200000000008</v>
      </c>
      <c r="H1829" s="23"/>
      <c r="I1829" s="23"/>
    </row>
    <row r="1830" spans="1:9">
      <c r="A1830" s="21" t="s">
        <v>4697</v>
      </c>
      <c r="B1830" s="21" t="s">
        <v>4699</v>
      </c>
      <c r="C1830" s="22">
        <v>1853</v>
      </c>
      <c r="D1830" s="21">
        <v>178.34</v>
      </c>
      <c r="E1830" s="21" t="s">
        <v>5796</v>
      </c>
      <c r="F1830" s="23"/>
      <c r="G1830" s="23">
        <f t="shared" si="7"/>
        <v>178.34</v>
      </c>
      <c r="H1830" s="23"/>
      <c r="I1830" s="23"/>
    </row>
    <row r="1831" spans="1:9">
      <c r="A1831" s="21" t="s">
        <v>4397</v>
      </c>
      <c r="B1831" s="21" t="s">
        <v>4399</v>
      </c>
      <c r="C1831" s="22">
        <v>1556</v>
      </c>
      <c r="D1831" s="21">
        <v>310.73</v>
      </c>
      <c r="E1831" s="21" t="s">
        <v>5796</v>
      </c>
      <c r="F1831" s="23"/>
      <c r="G1831" s="23">
        <f t="shared" si="7"/>
        <v>310.73</v>
      </c>
      <c r="H1831" s="23"/>
      <c r="I1831" s="23"/>
    </row>
    <row r="1832" spans="1:9">
      <c r="A1832" s="21" t="s">
        <v>7041</v>
      </c>
      <c r="B1832" s="21" t="s">
        <v>3637</v>
      </c>
      <c r="C1832" s="22">
        <v>1198</v>
      </c>
      <c r="D1832" s="21">
        <v>698</v>
      </c>
      <c r="E1832" s="21" t="s">
        <v>5796</v>
      </c>
      <c r="F1832" s="23"/>
      <c r="G1832" s="23">
        <f t="shared" si="7"/>
        <v>698</v>
      </c>
      <c r="H1832" s="23"/>
      <c r="I1832" s="23"/>
    </row>
    <row r="1833" spans="1:9">
      <c r="A1833" s="21" t="s">
        <v>7042</v>
      </c>
      <c r="B1833" s="21" t="s">
        <v>7043</v>
      </c>
      <c r="C1833" s="22">
        <v>2007</v>
      </c>
      <c r="D1833" s="21">
        <v>142.59</v>
      </c>
      <c r="E1833" s="21" t="s">
        <v>5796</v>
      </c>
      <c r="F1833" s="23"/>
      <c r="G1833" s="23">
        <f t="shared" si="7"/>
        <v>142.59</v>
      </c>
      <c r="H1833" s="23"/>
      <c r="I1833" s="23"/>
    </row>
    <row r="1834" spans="1:9">
      <c r="A1834" s="21" t="s">
        <v>7044</v>
      </c>
      <c r="B1834" s="21" t="s">
        <v>4843</v>
      </c>
      <c r="C1834" s="22">
        <v>1859</v>
      </c>
      <c r="D1834" s="21">
        <v>176.92</v>
      </c>
      <c r="E1834" s="21" t="s">
        <v>5796</v>
      </c>
      <c r="F1834" s="23"/>
      <c r="G1834" s="23">
        <f t="shared" si="7"/>
        <v>176.92</v>
      </c>
      <c r="H1834" s="23"/>
      <c r="I1834" s="23"/>
    </row>
    <row r="1835" spans="1:9">
      <c r="A1835" s="21" t="s">
        <v>2624</v>
      </c>
      <c r="B1835" s="21" t="s">
        <v>2626</v>
      </c>
      <c r="C1835" s="22">
        <v>830</v>
      </c>
      <c r="D1835" s="21">
        <v>1776.31</v>
      </c>
      <c r="E1835" s="21" t="s">
        <v>5796</v>
      </c>
      <c r="F1835" s="23"/>
      <c r="G1835" s="23">
        <f t="shared" si="7"/>
        <v>1776.31</v>
      </c>
      <c r="H1835" s="23"/>
      <c r="I1835" s="23"/>
    </row>
    <row r="1836" spans="1:9">
      <c r="A1836" s="21" t="s">
        <v>4361</v>
      </c>
      <c r="B1836" s="21" t="s">
        <v>4363</v>
      </c>
      <c r="C1836" s="22">
        <v>1557</v>
      </c>
      <c r="D1836" s="21">
        <v>310.33</v>
      </c>
      <c r="E1836" s="21" t="s">
        <v>5796</v>
      </c>
      <c r="F1836" s="23"/>
      <c r="G1836" s="23">
        <f t="shared" si="7"/>
        <v>310.33</v>
      </c>
      <c r="H1836" s="23"/>
      <c r="I1836" s="23"/>
    </row>
    <row r="1837" spans="1:9">
      <c r="A1837" s="21" t="s">
        <v>7045</v>
      </c>
      <c r="B1837" s="21" t="s">
        <v>5619</v>
      </c>
      <c r="C1837" s="22">
        <v>3052</v>
      </c>
      <c r="D1837" s="21">
        <v>28.23</v>
      </c>
      <c r="E1837" s="21" t="s">
        <v>5796</v>
      </c>
      <c r="F1837" s="23"/>
      <c r="G1837" s="23">
        <f t="shared" si="7"/>
        <v>28.23</v>
      </c>
      <c r="H1837" s="23"/>
      <c r="I1837" s="23"/>
    </row>
    <row r="1838" spans="1:9">
      <c r="A1838" s="21" t="s">
        <v>7046</v>
      </c>
      <c r="B1838" s="21" t="s">
        <v>7047</v>
      </c>
      <c r="C1838" s="22">
        <v>2510</v>
      </c>
      <c r="D1838" s="21">
        <v>62.29</v>
      </c>
      <c r="E1838" s="21" t="s">
        <v>5796</v>
      </c>
      <c r="F1838" s="23"/>
      <c r="G1838" s="23">
        <f t="shared" si="7"/>
        <v>62.29</v>
      </c>
      <c r="H1838" s="23"/>
      <c r="I1838" s="23"/>
    </row>
    <row r="1839" spans="1:9">
      <c r="A1839" s="21" t="s">
        <v>3674</v>
      </c>
      <c r="B1839" s="21" t="s">
        <v>3676</v>
      </c>
      <c r="C1839" s="22">
        <v>1225</v>
      </c>
      <c r="D1839" s="21">
        <v>645.52</v>
      </c>
      <c r="E1839" s="21" t="s">
        <v>5796</v>
      </c>
      <c r="F1839" s="23"/>
      <c r="G1839" s="23">
        <f t="shared" si="7"/>
        <v>645.52</v>
      </c>
      <c r="H1839" s="23"/>
      <c r="I1839" s="23"/>
    </row>
    <row r="1840" spans="1:9">
      <c r="A1840" s="21" t="s">
        <v>2022</v>
      </c>
      <c r="B1840" s="21" t="s">
        <v>2024</v>
      </c>
      <c r="C1840" s="22">
        <v>529</v>
      </c>
      <c r="D1840" s="21">
        <v>4613.6099999999997</v>
      </c>
      <c r="E1840" s="21" t="s">
        <v>5796</v>
      </c>
      <c r="F1840" s="23"/>
      <c r="G1840" s="23">
        <f t="shared" si="7"/>
        <v>4613.6099999999997</v>
      </c>
      <c r="H1840" s="23"/>
      <c r="I1840" s="23"/>
    </row>
    <row r="1841" spans="1:9">
      <c r="A1841" s="21" t="s">
        <v>7048</v>
      </c>
      <c r="B1841" s="21" t="s">
        <v>1802</v>
      </c>
      <c r="C1841" s="22">
        <v>644</v>
      </c>
      <c r="D1841" s="21">
        <v>3117.03</v>
      </c>
      <c r="E1841" s="21" t="s">
        <v>5796</v>
      </c>
      <c r="F1841" s="23"/>
      <c r="G1841" s="23">
        <f t="shared" si="7"/>
        <v>3117.03</v>
      </c>
      <c r="H1841" s="23"/>
      <c r="I1841" s="23"/>
    </row>
    <row r="1842" spans="1:9">
      <c r="A1842" s="24" t="s">
        <v>7049</v>
      </c>
      <c r="B1842" s="24" t="s">
        <v>650</v>
      </c>
      <c r="C1842" s="25">
        <v>178</v>
      </c>
      <c r="D1842" s="24">
        <v>27277.58</v>
      </c>
      <c r="E1842" s="24" t="s">
        <v>5800</v>
      </c>
      <c r="F1842" s="26"/>
      <c r="G1842" s="23">
        <f t="shared" si="7"/>
        <v>27277.58</v>
      </c>
      <c r="H1842" s="26"/>
      <c r="I1842" s="26"/>
    </row>
    <row r="1843" spans="1:9">
      <c r="A1843" s="21" t="s">
        <v>1653</v>
      </c>
      <c r="B1843" s="21" t="s">
        <v>1655</v>
      </c>
      <c r="C1843" s="22">
        <v>487</v>
      </c>
      <c r="D1843" s="21">
        <v>5431.23</v>
      </c>
      <c r="E1843" s="21" t="s">
        <v>5796</v>
      </c>
      <c r="F1843" s="23"/>
      <c r="G1843" s="23">
        <f t="shared" si="7"/>
        <v>5431.23</v>
      </c>
      <c r="H1843" s="23"/>
      <c r="I1843" s="23"/>
    </row>
    <row r="1844" spans="1:9">
      <c r="A1844" s="21" t="s">
        <v>7050</v>
      </c>
      <c r="B1844" s="21" t="s">
        <v>2881</v>
      </c>
      <c r="C1844" s="22">
        <v>890</v>
      </c>
      <c r="D1844" s="21">
        <v>1498.98</v>
      </c>
      <c r="E1844" s="21" t="s">
        <v>5796</v>
      </c>
      <c r="F1844" s="23"/>
      <c r="G1844" s="23">
        <f t="shared" si="7"/>
        <v>1498.98</v>
      </c>
      <c r="H1844" s="23"/>
      <c r="I1844" s="23"/>
    </row>
    <row r="1845" spans="1:9">
      <c r="A1845" s="21" t="s">
        <v>7051</v>
      </c>
      <c r="B1845" s="21" t="s">
        <v>1778</v>
      </c>
      <c r="C1845" s="22">
        <v>515</v>
      </c>
      <c r="D1845" s="21">
        <v>4983.43</v>
      </c>
      <c r="E1845" s="21" t="s">
        <v>5796</v>
      </c>
      <c r="F1845" s="23"/>
      <c r="G1845" s="23">
        <f t="shared" si="7"/>
        <v>4983.43</v>
      </c>
      <c r="H1845" s="23"/>
      <c r="I1845" s="23"/>
    </row>
    <row r="1846" spans="1:9">
      <c r="A1846" s="21" t="s">
        <v>7052</v>
      </c>
      <c r="B1846" s="21" t="s">
        <v>2275</v>
      </c>
      <c r="C1846" s="22">
        <v>763</v>
      </c>
      <c r="D1846" s="21">
        <v>2108.6999999999998</v>
      </c>
      <c r="E1846" s="21" t="s">
        <v>5796</v>
      </c>
      <c r="F1846" s="23"/>
      <c r="G1846" s="23">
        <f t="shared" si="7"/>
        <v>2108.6999999999998</v>
      </c>
      <c r="H1846" s="23"/>
      <c r="I1846" s="23"/>
    </row>
    <row r="1847" spans="1:9">
      <c r="A1847" s="21" t="s">
        <v>7053</v>
      </c>
      <c r="B1847" s="21" t="s">
        <v>1157</v>
      </c>
      <c r="C1847" s="22">
        <v>362</v>
      </c>
      <c r="D1847" s="21">
        <v>9219.56</v>
      </c>
      <c r="E1847" s="21" t="s">
        <v>5796</v>
      </c>
      <c r="F1847" s="23"/>
      <c r="G1847" s="23">
        <f t="shared" si="7"/>
        <v>9219.56</v>
      </c>
      <c r="H1847" s="23"/>
      <c r="I1847" s="23"/>
    </row>
    <row r="1848" spans="1:9">
      <c r="A1848" s="21" t="s">
        <v>2225</v>
      </c>
      <c r="B1848" s="21" t="s">
        <v>2227</v>
      </c>
      <c r="C1848" s="22">
        <v>730</v>
      </c>
      <c r="D1848" s="21">
        <v>2351.08</v>
      </c>
      <c r="E1848" s="21" t="s">
        <v>5796</v>
      </c>
      <c r="F1848" s="23"/>
      <c r="G1848" s="23">
        <f t="shared" si="7"/>
        <v>2351.08</v>
      </c>
      <c r="H1848" s="23"/>
      <c r="I1848" s="23"/>
    </row>
    <row r="1849" spans="1:9">
      <c r="A1849" s="21" t="s">
        <v>7054</v>
      </c>
      <c r="B1849" s="21" t="s">
        <v>3784</v>
      </c>
      <c r="C1849" s="22">
        <v>1553</v>
      </c>
      <c r="D1849" s="21">
        <v>314.89999999999998</v>
      </c>
      <c r="E1849" s="21" t="s">
        <v>5796</v>
      </c>
      <c r="F1849" s="23"/>
      <c r="G1849" s="23">
        <f t="shared" si="7"/>
        <v>314.89999999999998</v>
      </c>
      <c r="H1849" s="23"/>
      <c r="I1849" s="23"/>
    </row>
    <row r="1850" spans="1:9">
      <c r="A1850" s="21" t="s">
        <v>4526</v>
      </c>
      <c r="B1850" s="21" t="s">
        <v>4528</v>
      </c>
      <c r="C1850" s="22">
        <v>1995</v>
      </c>
      <c r="D1850" s="21">
        <v>145.24</v>
      </c>
      <c r="E1850" s="21" t="s">
        <v>5796</v>
      </c>
      <c r="F1850" s="23"/>
      <c r="G1850" s="23">
        <f t="shared" si="7"/>
        <v>145.24</v>
      </c>
      <c r="H1850" s="23"/>
      <c r="I1850" s="23"/>
    </row>
    <row r="1851" spans="1:9">
      <c r="A1851" s="21" t="s">
        <v>7055</v>
      </c>
      <c r="B1851" s="21" t="s">
        <v>4219</v>
      </c>
      <c r="C1851" s="22">
        <v>1518</v>
      </c>
      <c r="D1851" s="21">
        <v>334.03</v>
      </c>
      <c r="E1851" s="21" t="s">
        <v>5796</v>
      </c>
      <c r="F1851" s="23"/>
      <c r="G1851" s="23">
        <f t="shared" si="7"/>
        <v>334.03</v>
      </c>
      <c r="H1851" s="23"/>
      <c r="I1851" s="23"/>
    </row>
    <row r="1852" spans="1:9">
      <c r="A1852" s="21" t="s">
        <v>3824</v>
      </c>
      <c r="B1852" s="21" t="s">
        <v>3826</v>
      </c>
      <c r="C1852" s="22">
        <v>1517</v>
      </c>
      <c r="D1852" s="21">
        <v>335.34</v>
      </c>
      <c r="E1852" s="21" t="s">
        <v>5796</v>
      </c>
      <c r="F1852" s="23"/>
      <c r="G1852" s="23">
        <f t="shared" si="7"/>
        <v>335.34</v>
      </c>
      <c r="H1852" s="23"/>
      <c r="I1852" s="23"/>
    </row>
    <row r="1853" spans="1:9">
      <c r="A1853" s="21" t="s">
        <v>7056</v>
      </c>
      <c r="B1853" s="21" t="s">
        <v>4822</v>
      </c>
      <c r="C1853" s="22">
        <v>1927</v>
      </c>
      <c r="D1853" s="21">
        <v>160.22</v>
      </c>
      <c r="E1853" s="21" t="s">
        <v>5796</v>
      </c>
      <c r="F1853" s="23"/>
      <c r="G1853" s="23">
        <f t="shared" si="7"/>
        <v>160.22</v>
      </c>
      <c r="H1853" s="23"/>
      <c r="I1853" s="23"/>
    </row>
    <row r="1854" spans="1:9">
      <c r="A1854" s="21" t="s">
        <v>7057</v>
      </c>
      <c r="B1854" s="21" t="s">
        <v>4243</v>
      </c>
      <c r="C1854" s="22">
        <v>1562</v>
      </c>
      <c r="D1854" s="21">
        <v>308.16000000000003</v>
      </c>
      <c r="E1854" s="21" t="s">
        <v>5796</v>
      </c>
      <c r="F1854" s="23"/>
      <c r="G1854" s="23">
        <f t="shared" si="7"/>
        <v>308.16000000000003</v>
      </c>
      <c r="H1854" s="23"/>
      <c r="I1854" s="23"/>
    </row>
    <row r="1855" spans="1:9">
      <c r="A1855" s="21" t="s">
        <v>1173</v>
      </c>
      <c r="B1855" s="21" t="s">
        <v>1175</v>
      </c>
      <c r="C1855" s="22">
        <v>464</v>
      </c>
      <c r="D1855" s="21">
        <v>5833.73</v>
      </c>
      <c r="E1855" s="21" t="s">
        <v>5796</v>
      </c>
      <c r="F1855" s="23"/>
      <c r="G1855" s="23">
        <f t="shared" si="7"/>
        <v>5833.73</v>
      </c>
      <c r="H1855" s="23"/>
      <c r="I1855" s="23"/>
    </row>
    <row r="1856" spans="1:9">
      <c r="A1856" s="21" t="s">
        <v>2037</v>
      </c>
      <c r="B1856" s="21" t="s">
        <v>2039</v>
      </c>
      <c r="C1856" s="22">
        <v>752</v>
      </c>
      <c r="D1856" s="21">
        <v>2166.67</v>
      </c>
      <c r="E1856" s="21" t="s">
        <v>5796</v>
      </c>
      <c r="F1856" s="23"/>
      <c r="G1856" s="23">
        <f t="shared" si="7"/>
        <v>2166.67</v>
      </c>
      <c r="H1856" s="23"/>
      <c r="I1856" s="23"/>
    </row>
    <row r="1857" spans="1:9">
      <c r="A1857" s="21" t="s">
        <v>7058</v>
      </c>
      <c r="B1857" s="21" t="s">
        <v>4726</v>
      </c>
      <c r="C1857" s="22">
        <v>2170</v>
      </c>
      <c r="D1857" s="21">
        <v>108.7</v>
      </c>
      <c r="E1857" s="21" t="s">
        <v>5796</v>
      </c>
      <c r="F1857" s="23"/>
      <c r="G1857" s="23">
        <f t="shared" si="7"/>
        <v>108.7</v>
      </c>
      <c r="H1857" s="23"/>
      <c r="I1857" s="23"/>
    </row>
    <row r="1858" spans="1:9">
      <c r="A1858" s="21" t="s">
        <v>7059</v>
      </c>
      <c r="B1858" s="21" t="s">
        <v>4723</v>
      </c>
      <c r="C1858" s="22">
        <v>403</v>
      </c>
      <c r="D1858" s="21">
        <v>7547.59</v>
      </c>
      <c r="E1858" s="21" t="s">
        <v>5796</v>
      </c>
      <c r="F1858" s="23"/>
      <c r="G1858" s="23">
        <f t="shared" si="7"/>
        <v>7547.59</v>
      </c>
      <c r="H1858" s="23"/>
      <c r="I1858" s="23"/>
    </row>
    <row r="1859" spans="1:9">
      <c r="A1859" s="21" t="s">
        <v>7060</v>
      </c>
      <c r="B1859" s="21" t="s">
        <v>2410</v>
      </c>
      <c r="C1859" s="22">
        <v>847</v>
      </c>
      <c r="D1859" s="21">
        <v>1730.19</v>
      </c>
      <c r="E1859" s="21" t="s">
        <v>5796</v>
      </c>
      <c r="F1859" s="23"/>
      <c r="G1859" s="23">
        <f t="shared" si="7"/>
        <v>1730.19</v>
      </c>
      <c r="H1859" s="23"/>
      <c r="I1859" s="23"/>
    </row>
    <row r="1860" spans="1:9">
      <c r="A1860" s="21" t="s">
        <v>1005</v>
      </c>
      <c r="B1860" s="21" t="s">
        <v>1007</v>
      </c>
      <c r="C1860" s="22">
        <v>316</v>
      </c>
      <c r="D1860" s="21">
        <v>11472.54</v>
      </c>
      <c r="E1860" s="21" t="s">
        <v>5796</v>
      </c>
      <c r="F1860" s="23"/>
      <c r="G1860" s="23">
        <f t="shared" si="7"/>
        <v>11472.54</v>
      </c>
      <c r="H1860" s="23"/>
      <c r="I1860" s="23"/>
    </row>
    <row r="1861" spans="1:9">
      <c r="A1861" s="21" t="s">
        <v>7061</v>
      </c>
      <c r="B1861" s="21" t="s">
        <v>5331</v>
      </c>
      <c r="C1861" s="22">
        <v>2746</v>
      </c>
      <c r="D1861" s="21">
        <v>43.29</v>
      </c>
      <c r="E1861" s="21" t="s">
        <v>5796</v>
      </c>
      <c r="F1861" s="23"/>
      <c r="G1861" s="23">
        <f t="shared" si="7"/>
        <v>43.29</v>
      </c>
      <c r="H1861" s="23"/>
      <c r="I1861" s="23"/>
    </row>
    <row r="1862" spans="1:9">
      <c r="A1862" s="21" t="s">
        <v>7062</v>
      </c>
      <c r="B1862" s="21" t="s">
        <v>2836</v>
      </c>
      <c r="C1862" s="22">
        <v>943</v>
      </c>
      <c r="D1862" s="21">
        <v>1339.46</v>
      </c>
      <c r="E1862" s="21" t="s">
        <v>5796</v>
      </c>
      <c r="F1862" s="23"/>
      <c r="G1862" s="23">
        <f t="shared" si="7"/>
        <v>1339.46</v>
      </c>
      <c r="H1862" s="23"/>
      <c r="I1862" s="23"/>
    </row>
    <row r="1863" spans="1:9">
      <c r="A1863" s="24" t="s">
        <v>7063</v>
      </c>
      <c r="B1863" s="24" t="s">
        <v>821</v>
      </c>
      <c r="C1863" s="25">
        <v>250</v>
      </c>
      <c r="D1863" s="24">
        <v>17409.32</v>
      </c>
      <c r="E1863" s="24" t="s">
        <v>5800</v>
      </c>
      <c r="F1863" s="26"/>
      <c r="G1863" s="23">
        <f t="shared" si="7"/>
        <v>17409.32</v>
      </c>
      <c r="H1863" s="26"/>
      <c r="I1863" s="26"/>
    </row>
    <row r="1864" spans="1:9">
      <c r="A1864" s="21" t="s">
        <v>7064</v>
      </c>
      <c r="B1864" s="21" t="s">
        <v>5613</v>
      </c>
      <c r="C1864" s="22">
        <v>3198</v>
      </c>
      <c r="D1864" s="21">
        <v>22.64</v>
      </c>
      <c r="E1864" s="21" t="s">
        <v>5796</v>
      </c>
      <c r="F1864" s="23"/>
      <c r="G1864" s="23">
        <f t="shared" si="7"/>
        <v>22.64</v>
      </c>
      <c r="H1864" s="23"/>
      <c r="I1864" s="23"/>
    </row>
    <row r="1865" spans="1:9">
      <c r="A1865" s="21" t="s">
        <v>3596</v>
      </c>
      <c r="B1865" s="21" t="s">
        <v>3598</v>
      </c>
      <c r="C1865" s="22">
        <v>1274</v>
      </c>
      <c r="D1865" s="21">
        <v>557.01</v>
      </c>
      <c r="E1865" s="21" t="s">
        <v>5796</v>
      </c>
      <c r="F1865" s="23"/>
      <c r="G1865" s="23">
        <f t="shared" si="7"/>
        <v>557.01</v>
      </c>
      <c r="H1865" s="23"/>
      <c r="I1865" s="23"/>
    </row>
    <row r="1866" spans="1:9">
      <c r="A1866" s="21" t="s">
        <v>4028</v>
      </c>
      <c r="B1866" s="21" t="s">
        <v>4030</v>
      </c>
      <c r="C1866" s="22">
        <v>1580</v>
      </c>
      <c r="D1866" s="21">
        <v>297.63</v>
      </c>
      <c r="E1866" s="21" t="s">
        <v>5796</v>
      </c>
      <c r="F1866" s="23"/>
      <c r="G1866" s="23">
        <f t="shared" si="7"/>
        <v>297.63</v>
      </c>
      <c r="H1866" s="23"/>
      <c r="I1866" s="23"/>
    </row>
    <row r="1867" spans="1:9">
      <c r="A1867" s="21" t="s">
        <v>7065</v>
      </c>
      <c r="B1867" s="21" t="s">
        <v>5110</v>
      </c>
      <c r="C1867" s="22">
        <v>2369</v>
      </c>
      <c r="D1867" s="21">
        <v>76.849999999999994</v>
      </c>
      <c r="E1867" s="21" t="s">
        <v>5796</v>
      </c>
      <c r="F1867" s="23"/>
      <c r="G1867" s="23">
        <f t="shared" si="7"/>
        <v>76.849999999999994</v>
      </c>
      <c r="H1867" s="23"/>
      <c r="I1867" s="23"/>
    </row>
    <row r="1868" spans="1:9">
      <c r="A1868" s="27" t="s">
        <v>7066</v>
      </c>
      <c r="B1868" s="27" t="s">
        <v>92</v>
      </c>
      <c r="C1868" s="28">
        <v>25</v>
      </c>
      <c r="D1868" s="27">
        <v>212996.82</v>
      </c>
      <c r="E1868" s="27" t="s">
        <v>5815</v>
      </c>
      <c r="F1868" s="29"/>
      <c r="G1868" s="23">
        <f t="shared" si="7"/>
        <v>212996.82</v>
      </c>
      <c r="H1868" s="29"/>
      <c r="I1868" s="29"/>
    </row>
    <row r="1869" spans="1:9">
      <c r="A1869" s="21" t="s">
        <v>7067</v>
      </c>
      <c r="B1869" s="21" t="s">
        <v>2042</v>
      </c>
      <c r="C1869" s="22">
        <v>684</v>
      </c>
      <c r="D1869" s="21">
        <v>2714.14</v>
      </c>
      <c r="E1869" s="21" t="s">
        <v>5796</v>
      </c>
      <c r="F1869" s="23"/>
      <c r="G1869" s="23">
        <f t="shared" si="7"/>
        <v>2714.14</v>
      </c>
      <c r="H1869" s="23"/>
      <c r="I1869" s="23"/>
    </row>
    <row r="1870" spans="1:9">
      <c r="A1870" s="21" t="s">
        <v>1962</v>
      </c>
      <c r="B1870" s="21" t="s">
        <v>1964</v>
      </c>
      <c r="C1870" s="22">
        <v>712</v>
      </c>
      <c r="D1870" s="21">
        <v>2487.46</v>
      </c>
      <c r="E1870" s="21" t="s">
        <v>5796</v>
      </c>
      <c r="F1870" s="23"/>
      <c r="G1870" s="23">
        <f t="shared" si="7"/>
        <v>2487.46</v>
      </c>
      <c r="H1870" s="23"/>
      <c r="I1870" s="23"/>
    </row>
    <row r="1871" spans="1:9">
      <c r="A1871" s="21" t="s">
        <v>7068</v>
      </c>
      <c r="B1871" s="21" t="s">
        <v>4837</v>
      </c>
      <c r="C1871" s="22">
        <v>1931</v>
      </c>
      <c r="D1871" s="21">
        <v>159.21</v>
      </c>
      <c r="E1871" s="21" t="s">
        <v>5796</v>
      </c>
      <c r="F1871" s="23"/>
      <c r="G1871" s="23">
        <f t="shared" si="7"/>
        <v>159.21</v>
      </c>
      <c r="H1871" s="23"/>
      <c r="I1871" s="23"/>
    </row>
    <row r="1872" spans="1:9">
      <c r="A1872" s="21" t="s">
        <v>7069</v>
      </c>
      <c r="B1872" s="21" t="s">
        <v>3994</v>
      </c>
      <c r="C1872" s="22">
        <v>1845</v>
      </c>
      <c r="D1872" s="21">
        <v>182.84</v>
      </c>
      <c r="E1872" s="21" t="s">
        <v>5796</v>
      </c>
      <c r="F1872" s="23"/>
      <c r="G1872" s="23">
        <f t="shared" si="7"/>
        <v>182.84</v>
      </c>
      <c r="H1872" s="23"/>
      <c r="I1872" s="23"/>
    </row>
    <row r="1873" spans="1:9">
      <c r="A1873" s="21" t="s">
        <v>1959</v>
      </c>
      <c r="B1873" s="21" t="s">
        <v>1961</v>
      </c>
      <c r="C1873" s="22">
        <v>618</v>
      </c>
      <c r="D1873" s="21">
        <v>3480.45</v>
      </c>
      <c r="E1873" s="21" t="s">
        <v>5796</v>
      </c>
      <c r="F1873" s="23"/>
      <c r="G1873" s="23">
        <f t="shared" si="7"/>
        <v>3480.45</v>
      </c>
      <c r="H1873" s="23"/>
      <c r="I1873" s="23"/>
    </row>
    <row r="1874" spans="1:9">
      <c r="A1874" s="21" t="s">
        <v>3287</v>
      </c>
      <c r="B1874" s="21" t="s">
        <v>3289</v>
      </c>
      <c r="C1874" s="22">
        <v>1199</v>
      </c>
      <c r="D1874" s="21">
        <v>697.82</v>
      </c>
      <c r="E1874" s="21" t="s">
        <v>5796</v>
      </c>
      <c r="F1874" s="23"/>
      <c r="G1874" s="23">
        <f t="shared" si="7"/>
        <v>697.82</v>
      </c>
      <c r="H1874" s="23"/>
      <c r="I1874" s="23"/>
    </row>
    <row r="1875" spans="1:9">
      <c r="A1875" s="21" t="s">
        <v>7070</v>
      </c>
      <c r="B1875" s="21" t="s">
        <v>5020</v>
      </c>
      <c r="C1875" s="22">
        <v>1888</v>
      </c>
      <c r="D1875" s="21">
        <v>167.37</v>
      </c>
      <c r="E1875" s="21" t="s">
        <v>5796</v>
      </c>
      <c r="F1875" s="23"/>
      <c r="G1875" s="23">
        <f t="shared" si="7"/>
        <v>167.37</v>
      </c>
      <c r="H1875" s="23"/>
      <c r="I1875" s="23"/>
    </row>
    <row r="1876" spans="1:9">
      <c r="A1876" s="21" t="s">
        <v>7071</v>
      </c>
      <c r="B1876" s="21" t="s">
        <v>2800</v>
      </c>
      <c r="C1876" s="22">
        <v>985</v>
      </c>
      <c r="D1876" s="21">
        <v>1229.17</v>
      </c>
      <c r="E1876" s="21" t="s">
        <v>5796</v>
      </c>
      <c r="F1876" s="23"/>
      <c r="G1876" s="23">
        <f t="shared" si="7"/>
        <v>1229.17</v>
      </c>
      <c r="H1876" s="23"/>
      <c r="I1876" s="23"/>
    </row>
    <row r="1877" spans="1:9">
      <c r="A1877" s="21" t="s">
        <v>7072</v>
      </c>
      <c r="B1877" s="21" t="s">
        <v>5140</v>
      </c>
      <c r="C1877" s="22">
        <v>2035</v>
      </c>
      <c r="D1877" s="21">
        <v>133.1</v>
      </c>
      <c r="E1877" s="21" t="s">
        <v>5796</v>
      </c>
      <c r="F1877" s="23"/>
      <c r="G1877" s="23">
        <f t="shared" si="7"/>
        <v>133.1</v>
      </c>
      <c r="H1877" s="23"/>
      <c r="I1877" s="23"/>
    </row>
    <row r="1878" spans="1:9">
      <c r="A1878" s="24" t="s">
        <v>7073</v>
      </c>
      <c r="B1878" s="24" t="s">
        <v>386</v>
      </c>
      <c r="C1878" s="25">
        <v>109</v>
      </c>
      <c r="D1878" s="24">
        <v>48018.99</v>
      </c>
      <c r="E1878" s="24" t="s">
        <v>5800</v>
      </c>
      <c r="F1878" s="26"/>
      <c r="G1878" s="23">
        <f t="shared" si="7"/>
        <v>48018.99</v>
      </c>
      <c r="H1878" s="26"/>
      <c r="I1878" s="26"/>
    </row>
    <row r="1879" spans="1:9">
      <c r="A1879" s="21" t="s">
        <v>7074</v>
      </c>
      <c r="B1879" s="21" t="s">
        <v>3502</v>
      </c>
      <c r="C1879" s="22">
        <v>1218</v>
      </c>
      <c r="D1879" s="21">
        <v>667.93</v>
      </c>
      <c r="E1879" s="21" t="s">
        <v>5796</v>
      </c>
      <c r="F1879" s="23"/>
      <c r="G1879" s="23">
        <f t="shared" si="7"/>
        <v>667.93</v>
      </c>
      <c r="H1879" s="23"/>
      <c r="I1879" s="23"/>
    </row>
    <row r="1880" spans="1:9">
      <c r="A1880" s="24" t="s">
        <v>7075</v>
      </c>
      <c r="B1880" s="24" t="s">
        <v>704</v>
      </c>
      <c r="C1880" s="25">
        <v>226</v>
      </c>
      <c r="D1880" s="24">
        <v>19602.349999999999</v>
      </c>
      <c r="E1880" s="24" t="s">
        <v>5800</v>
      </c>
      <c r="F1880" s="26"/>
      <c r="G1880" s="23">
        <f t="shared" si="7"/>
        <v>19602.349999999999</v>
      </c>
      <c r="H1880" s="26"/>
      <c r="I1880" s="26"/>
    </row>
    <row r="1881" spans="1:9">
      <c r="A1881" s="21" t="s">
        <v>7076</v>
      </c>
      <c r="B1881" s="21" t="s">
        <v>4825</v>
      </c>
      <c r="C1881" s="22">
        <v>2013</v>
      </c>
      <c r="D1881" s="21">
        <v>141.13</v>
      </c>
      <c r="E1881" s="21" t="s">
        <v>5796</v>
      </c>
      <c r="F1881" s="23"/>
      <c r="G1881" s="23">
        <f t="shared" si="7"/>
        <v>141.13</v>
      </c>
      <c r="H1881" s="23"/>
      <c r="I1881" s="23"/>
    </row>
    <row r="1882" spans="1:9">
      <c r="A1882" s="21" t="s">
        <v>3545</v>
      </c>
      <c r="B1882" s="21" t="s">
        <v>3547</v>
      </c>
      <c r="C1882" s="22">
        <v>1242</v>
      </c>
      <c r="D1882" s="21">
        <v>618.22</v>
      </c>
      <c r="E1882" s="21" t="s">
        <v>5796</v>
      </c>
      <c r="F1882" s="23"/>
      <c r="G1882" s="23">
        <f t="shared" si="7"/>
        <v>618.22</v>
      </c>
      <c r="H1882" s="23"/>
      <c r="I1882" s="23"/>
    </row>
    <row r="1883" spans="1:9">
      <c r="A1883" s="21" t="s">
        <v>7077</v>
      </c>
      <c r="B1883" s="21" t="s">
        <v>5397</v>
      </c>
      <c r="C1883" s="22">
        <v>2633</v>
      </c>
      <c r="D1883" s="21">
        <v>50.67</v>
      </c>
      <c r="E1883" s="21" t="s">
        <v>5796</v>
      </c>
      <c r="F1883" s="23"/>
      <c r="G1883" s="23">
        <f t="shared" si="7"/>
        <v>50.67</v>
      </c>
      <c r="H1883" s="23"/>
      <c r="I1883" s="23"/>
    </row>
    <row r="1884" spans="1:9">
      <c r="A1884" s="21" t="s">
        <v>7078</v>
      </c>
      <c r="B1884" s="21" t="s">
        <v>5361</v>
      </c>
      <c r="C1884" s="22">
        <v>2504</v>
      </c>
      <c r="D1884" s="21">
        <v>63.53</v>
      </c>
      <c r="E1884" s="21" t="s">
        <v>5796</v>
      </c>
      <c r="F1884" s="23"/>
      <c r="G1884" s="23">
        <f t="shared" si="7"/>
        <v>63.53</v>
      </c>
      <c r="H1884" s="23"/>
      <c r="I1884" s="23"/>
    </row>
    <row r="1885" spans="1:9">
      <c r="A1885" s="21" t="s">
        <v>7079</v>
      </c>
      <c r="B1885" s="21" t="s">
        <v>1127</v>
      </c>
      <c r="C1885" s="22">
        <v>432</v>
      </c>
      <c r="D1885" s="21">
        <v>6659.72</v>
      </c>
      <c r="E1885" s="21" t="s">
        <v>5796</v>
      </c>
      <c r="F1885" s="23"/>
      <c r="G1885" s="23">
        <f t="shared" si="7"/>
        <v>6659.72</v>
      </c>
      <c r="H1885" s="23"/>
      <c r="I1885" s="23"/>
    </row>
    <row r="1886" spans="1:9">
      <c r="A1886" s="21" t="s">
        <v>7080</v>
      </c>
      <c r="B1886" s="21" t="s">
        <v>1694</v>
      </c>
      <c r="C1886" s="22">
        <v>734</v>
      </c>
      <c r="D1886" s="21">
        <v>2327.2800000000002</v>
      </c>
      <c r="E1886" s="21" t="s">
        <v>5796</v>
      </c>
      <c r="F1886" s="23"/>
      <c r="G1886" s="23">
        <f t="shared" si="7"/>
        <v>2327.2800000000002</v>
      </c>
      <c r="H1886" s="23"/>
      <c r="I1886" s="23"/>
    </row>
    <row r="1887" spans="1:9">
      <c r="A1887" s="24" t="s">
        <v>645</v>
      </c>
      <c r="B1887" s="24" t="s">
        <v>647</v>
      </c>
      <c r="C1887" s="25">
        <v>228</v>
      </c>
      <c r="D1887" s="24">
        <v>19506.11</v>
      </c>
      <c r="E1887" s="24" t="s">
        <v>5800</v>
      </c>
      <c r="F1887" s="26"/>
      <c r="G1887" s="23">
        <f t="shared" si="7"/>
        <v>19506.11</v>
      </c>
      <c r="H1887" s="26"/>
      <c r="I1887" s="26"/>
    </row>
    <row r="1888" spans="1:9">
      <c r="A1888" s="21" t="s">
        <v>7081</v>
      </c>
      <c r="B1888" s="21" t="s">
        <v>3847</v>
      </c>
      <c r="C1888" s="22">
        <v>1378</v>
      </c>
      <c r="D1888" s="21">
        <v>431.79</v>
      </c>
      <c r="E1888" s="21" t="s">
        <v>5796</v>
      </c>
      <c r="F1888" s="23"/>
      <c r="G1888" s="23">
        <f t="shared" si="7"/>
        <v>431.79</v>
      </c>
      <c r="H1888" s="23"/>
      <c r="I1888" s="23"/>
    </row>
    <row r="1889" spans="1:9">
      <c r="A1889" s="21" t="s">
        <v>4652</v>
      </c>
      <c r="B1889" s="21" t="s">
        <v>4654</v>
      </c>
      <c r="C1889" s="22">
        <v>1906</v>
      </c>
      <c r="D1889" s="21">
        <v>164.84</v>
      </c>
      <c r="E1889" s="21" t="s">
        <v>5796</v>
      </c>
      <c r="F1889" s="23"/>
      <c r="G1889" s="23">
        <f t="shared" si="7"/>
        <v>164.84</v>
      </c>
      <c r="H1889" s="23"/>
      <c r="I1889" s="23"/>
    </row>
    <row r="1890" spans="1:9">
      <c r="A1890" s="21" t="s">
        <v>7082</v>
      </c>
      <c r="B1890" s="21" t="s">
        <v>4369</v>
      </c>
      <c r="C1890" s="22">
        <v>1699</v>
      </c>
      <c r="D1890" s="21">
        <v>240.82</v>
      </c>
      <c r="E1890" s="21" t="s">
        <v>5796</v>
      </c>
      <c r="F1890" s="23"/>
      <c r="G1890" s="23">
        <f t="shared" si="7"/>
        <v>240.82</v>
      </c>
      <c r="H1890" s="23"/>
      <c r="I1890" s="23"/>
    </row>
    <row r="1891" spans="1:9">
      <c r="A1891" s="27" t="s">
        <v>216</v>
      </c>
      <c r="B1891" s="27" t="s">
        <v>218</v>
      </c>
      <c r="C1891" s="28">
        <v>97</v>
      </c>
      <c r="D1891" s="27">
        <v>50363.01</v>
      </c>
      <c r="E1891" s="27" t="s">
        <v>5815</v>
      </c>
      <c r="F1891" s="29"/>
      <c r="G1891" s="23">
        <f t="shared" si="7"/>
        <v>50363.01</v>
      </c>
      <c r="H1891" s="29"/>
      <c r="I1891" s="29"/>
    </row>
    <row r="1892" spans="1:9">
      <c r="A1892" s="21" t="s">
        <v>7083</v>
      </c>
      <c r="B1892" s="21" t="s">
        <v>3295</v>
      </c>
      <c r="C1892" s="22">
        <v>1157</v>
      </c>
      <c r="D1892" s="21">
        <v>779.7</v>
      </c>
      <c r="E1892" s="21" t="s">
        <v>5796</v>
      </c>
      <c r="F1892" s="23"/>
      <c r="G1892" s="23">
        <f t="shared" si="7"/>
        <v>779.7</v>
      </c>
      <c r="H1892" s="23"/>
      <c r="I1892" s="23"/>
    </row>
    <row r="1893" spans="1:9">
      <c r="A1893" s="21" t="s">
        <v>7084</v>
      </c>
      <c r="B1893" s="21" t="s">
        <v>3712</v>
      </c>
      <c r="C1893" s="22">
        <v>1257</v>
      </c>
      <c r="D1893" s="21">
        <v>593.12</v>
      </c>
      <c r="E1893" s="21" t="s">
        <v>5796</v>
      </c>
      <c r="F1893" s="23"/>
      <c r="G1893" s="23">
        <f t="shared" si="7"/>
        <v>593.12</v>
      </c>
      <c r="H1893" s="23"/>
      <c r="I1893" s="23"/>
    </row>
    <row r="1894" spans="1:9">
      <c r="A1894" s="21" t="s">
        <v>7085</v>
      </c>
      <c r="B1894" s="21" t="s">
        <v>4045</v>
      </c>
      <c r="C1894" s="22">
        <v>1443</v>
      </c>
      <c r="D1894" s="21">
        <v>384.75</v>
      </c>
      <c r="E1894" s="21" t="s">
        <v>5796</v>
      </c>
      <c r="F1894" s="23"/>
      <c r="G1894" s="23">
        <f t="shared" si="7"/>
        <v>384.75</v>
      </c>
      <c r="H1894" s="23"/>
      <c r="I1894" s="23"/>
    </row>
    <row r="1895" spans="1:9">
      <c r="A1895" s="24" t="s">
        <v>324</v>
      </c>
      <c r="B1895" s="24" t="s">
        <v>326</v>
      </c>
      <c r="C1895" s="25">
        <v>101</v>
      </c>
      <c r="D1895" s="24">
        <v>49546.83</v>
      </c>
      <c r="E1895" s="24" t="s">
        <v>5800</v>
      </c>
      <c r="F1895" s="26"/>
      <c r="G1895" s="23">
        <f t="shared" si="7"/>
        <v>49546.83</v>
      </c>
      <c r="H1895" s="26"/>
      <c r="I1895" s="26"/>
    </row>
    <row r="1896" spans="1:9">
      <c r="A1896" s="21" t="s">
        <v>1233</v>
      </c>
      <c r="B1896" s="21" t="s">
        <v>1235</v>
      </c>
      <c r="C1896" s="22">
        <v>358</v>
      </c>
      <c r="D1896" s="21">
        <v>9445.32</v>
      </c>
      <c r="E1896" s="21" t="s">
        <v>5796</v>
      </c>
      <c r="F1896" s="23"/>
      <c r="G1896" s="23">
        <f t="shared" si="7"/>
        <v>9445.32</v>
      </c>
      <c r="H1896" s="23"/>
      <c r="I1896" s="23"/>
    </row>
    <row r="1897" spans="1:9">
      <c r="A1897" s="27" t="s">
        <v>7086</v>
      </c>
      <c r="B1897" s="27"/>
      <c r="C1897" s="28">
        <v>26</v>
      </c>
      <c r="D1897" s="27">
        <v>195893.95</v>
      </c>
      <c r="E1897" s="27" t="s">
        <v>5815</v>
      </c>
      <c r="F1897" s="29"/>
      <c r="G1897" s="23">
        <f t="shared" si="7"/>
        <v>195893.95</v>
      </c>
      <c r="H1897" s="29"/>
      <c r="I1897" s="29"/>
    </row>
    <row r="1898" spans="1:9">
      <c r="A1898" s="24" t="s">
        <v>7087</v>
      </c>
      <c r="B1898" s="24"/>
      <c r="C1898" s="25">
        <v>112</v>
      </c>
      <c r="D1898" s="24">
        <v>45935.58</v>
      </c>
      <c r="E1898" s="24" t="s">
        <v>5800</v>
      </c>
      <c r="F1898" s="26"/>
      <c r="G1898" s="23">
        <f t="shared" si="7"/>
        <v>45935.58</v>
      </c>
      <c r="H1898" s="26"/>
      <c r="I1898" s="26"/>
    </row>
    <row r="1899" spans="1:9">
      <c r="A1899" s="24" t="s">
        <v>7088</v>
      </c>
      <c r="B1899" s="24"/>
      <c r="C1899" s="25">
        <v>235</v>
      </c>
      <c r="D1899" s="24">
        <v>19290.03</v>
      </c>
      <c r="E1899" s="24" t="s">
        <v>5800</v>
      </c>
      <c r="F1899" s="26"/>
      <c r="G1899" s="23">
        <f t="shared" si="7"/>
        <v>19290.03</v>
      </c>
      <c r="H1899" s="26"/>
      <c r="I1899" s="26"/>
    </row>
    <row r="1900" spans="1:9">
      <c r="A1900" s="21" t="s">
        <v>7089</v>
      </c>
      <c r="B1900" s="21"/>
      <c r="C1900" s="22">
        <v>279</v>
      </c>
      <c r="D1900" s="21">
        <v>14510.29</v>
      </c>
      <c r="E1900" s="21" t="s">
        <v>5796</v>
      </c>
      <c r="F1900" s="23"/>
      <c r="G1900" s="23">
        <f t="shared" si="7"/>
        <v>14510.29</v>
      </c>
      <c r="H1900" s="23"/>
      <c r="I1900" s="23"/>
    </row>
    <row r="1901" spans="1:9">
      <c r="A1901" s="21" t="s">
        <v>7090</v>
      </c>
      <c r="B1901" s="21"/>
      <c r="C1901" s="22">
        <v>347</v>
      </c>
      <c r="D1901" s="21">
        <v>9958.27</v>
      </c>
      <c r="E1901" s="21" t="s">
        <v>5796</v>
      </c>
      <c r="F1901" s="23"/>
      <c r="G1901" s="23">
        <f t="shared" si="7"/>
        <v>9958.27</v>
      </c>
      <c r="H1901" s="23"/>
      <c r="I1901" s="23"/>
    </row>
    <row r="1902" spans="1:9">
      <c r="A1902" s="21" t="s">
        <v>7091</v>
      </c>
      <c r="B1902" s="21"/>
      <c r="C1902" s="22">
        <v>367</v>
      </c>
      <c r="D1902" s="21">
        <v>8952</v>
      </c>
      <c r="E1902" s="21" t="s">
        <v>5796</v>
      </c>
      <c r="F1902" s="23"/>
      <c r="G1902" s="23">
        <f t="shared" si="7"/>
        <v>8952</v>
      </c>
      <c r="H1902" s="23"/>
      <c r="I1902" s="23"/>
    </row>
    <row r="1903" spans="1:9">
      <c r="A1903" s="21" t="s">
        <v>7092</v>
      </c>
      <c r="B1903" s="21"/>
      <c r="C1903" s="22">
        <v>393</v>
      </c>
      <c r="D1903" s="21">
        <v>7940.99</v>
      </c>
      <c r="E1903" s="21" t="s">
        <v>5796</v>
      </c>
      <c r="F1903" s="23"/>
      <c r="G1903" s="23">
        <f t="shared" si="7"/>
        <v>7940.99</v>
      </c>
      <c r="H1903" s="23"/>
      <c r="I1903" s="23"/>
    </row>
    <row r="1904" spans="1:9">
      <c r="A1904" s="21" t="s">
        <v>7093</v>
      </c>
      <c r="B1904" s="21"/>
      <c r="C1904" s="22">
        <v>406</v>
      </c>
      <c r="D1904" s="21">
        <v>7481.96</v>
      </c>
      <c r="E1904" s="21" t="s">
        <v>5796</v>
      </c>
      <c r="F1904" s="23"/>
      <c r="G1904" s="23">
        <f t="shared" si="7"/>
        <v>7481.96</v>
      </c>
      <c r="H1904" s="23"/>
      <c r="I1904" s="23"/>
    </row>
    <row r="1905" spans="1:9">
      <c r="A1905" s="21" t="s">
        <v>7094</v>
      </c>
      <c r="B1905" s="21"/>
      <c r="C1905" s="22">
        <v>461</v>
      </c>
      <c r="D1905" s="21">
        <v>5894.64</v>
      </c>
      <c r="E1905" s="21" t="s">
        <v>5796</v>
      </c>
      <c r="F1905" s="23"/>
      <c r="G1905" s="23">
        <f t="shared" si="7"/>
        <v>5894.64</v>
      </c>
      <c r="H1905" s="23"/>
      <c r="I1905" s="23"/>
    </row>
    <row r="1906" spans="1:9">
      <c r="A1906" s="21" t="s">
        <v>7095</v>
      </c>
      <c r="B1906" s="21"/>
      <c r="C1906" s="22">
        <v>514</v>
      </c>
      <c r="D1906" s="21">
        <v>4994.29</v>
      </c>
      <c r="E1906" s="21" t="s">
        <v>5796</v>
      </c>
      <c r="F1906" s="23"/>
      <c r="G1906" s="23">
        <f t="shared" si="7"/>
        <v>4994.29</v>
      </c>
      <c r="H1906" s="23"/>
      <c r="I1906" s="23"/>
    </row>
    <row r="1907" spans="1:9">
      <c r="A1907" s="21" t="s">
        <v>7096</v>
      </c>
      <c r="B1907" s="21"/>
      <c r="C1907" s="22">
        <v>531</v>
      </c>
      <c r="D1907" s="21">
        <v>4594.3</v>
      </c>
      <c r="E1907" s="21" t="s">
        <v>5796</v>
      </c>
      <c r="F1907" s="23"/>
      <c r="G1907" s="23">
        <f t="shared" si="7"/>
        <v>4594.3</v>
      </c>
      <c r="H1907" s="23"/>
      <c r="I1907" s="23"/>
    </row>
    <row r="1908" spans="1:9">
      <c r="A1908" s="21" t="s">
        <v>7097</v>
      </c>
      <c r="B1908" s="21"/>
      <c r="C1908" s="22">
        <v>533</v>
      </c>
      <c r="D1908" s="21">
        <v>4583.78</v>
      </c>
      <c r="E1908" s="21" t="s">
        <v>5796</v>
      </c>
      <c r="F1908" s="23"/>
      <c r="G1908" s="23">
        <f t="shared" si="7"/>
        <v>4583.78</v>
      </c>
      <c r="H1908" s="23"/>
      <c r="I1908" s="23"/>
    </row>
    <row r="1909" spans="1:9">
      <c r="A1909" s="21" t="s">
        <v>7098</v>
      </c>
      <c r="B1909" s="21"/>
      <c r="C1909" s="22">
        <v>565</v>
      </c>
      <c r="D1909" s="21">
        <v>4147.09</v>
      </c>
      <c r="E1909" s="21" t="s">
        <v>5796</v>
      </c>
      <c r="F1909" s="23"/>
      <c r="G1909" s="23">
        <f t="shared" si="7"/>
        <v>4147.09</v>
      </c>
      <c r="H1909" s="23"/>
      <c r="I1909" s="23"/>
    </row>
    <row r="1910" spans="1:9">
      <c r="A1910" s="21" t="s">
        <v>7099</v>
      </c>
      <c r="B1910" s="21"/>
      <c r="C1910" s="22">
        <v>593</v>
      </c>
      <c r="D1910" s="21">
        <v>3786.74</v>
      </c>
      <c r="E1910" s="21" t="s">
        <v>5796</v>
      </c>
      <c r="F1910" s="23"/>
      <c r="G1910" s="23">
        <f t="shared" si="7"/>
        <v>3786.74</v>
      </c>
      <c r="H1910" s="23"/>
      <c r="I1910" s="23"/>
    </row>
    <row r="1911" spans="1:9">
      <c r="A1911" s="21" t="s">
        <v>7100</v>
      </c>
      <c r="B1911" s="21"/>
      <c r="C1911" s="22">
        <v>625</v>
      </c>
      <c r="D1911" s="21">
        <v>3404.88</v>
      </c>
      <c r="E1911" s="21" t="s">
        <v>5796</v>
      </c>
      <c r="F1911" s="23"/>
      <c r="G1911" s="23">
        <f t="shared" si="7"/>
        <v>3404.88</v>
      </c>
      <c r="H1911" s="23"/>
      <c r="I1911" s="23"/>
    </row>
    <row r="1912" spans="1:9">
      <c r="A1912" s="21" t="s">
        <v>7101</v>
      </c>
      <c r="B1912" s="21"/>
      <c r="C1912" s="22">
        <v>629</v>
      </c>
      <c r="D1912" s="21">
        <v>3290.92</v>
      </c>
      <c r="E1912" s="21" t="s">
        <v>5796</v>
      </c>
      <c r="F1912" s="23"/>
      <c r="G1912" s="23">
        <f t="shared" si="7"/>
        <v>3290.92</v>
      </c>
      <c r="H1912" s="23"/>
      <c r="I1912" s="23"/>
    </row>
    <row r="1913" spans="1:9">
      <c r="A1913" s="21" t="s">
        <v>7102</v>
      </c>
      <c r="B1913" s="21"/>
      <c r="C1913" s="22">
        <v>661</v>
      </c>
      <c r="D1913" s="21">
        <v>2903.34</v>
      </c>
      <c r="E1913" s="21" t="s">
        <v>5796</v>
      </c>
      <c r="F1913" s="23"/>
      <c r="G1913" s="23">
        <f t="shared" si="7"/>
        <v>2903.34</v>
      </c>
      <c r="H1913" s="23"/>
      <c r="I1913" s="23"/>
    </row>
    <row r="1914" spans="1:9">
      <c r="A1914" s="21" t="s">
        <v>7103</v>
      </c>
      <c r="B1914" s="21"/>
      <c r="C1914" s="22">
        <v>687</v>
      </c>
      <c r="D1914" s="21">
        <v>2647.46</v>
      </c>
      <c r="E1914" s="21" t="s">
        <v>5796</v>
      </c>
      <c r="F1914" s="23"/>
      <c r="G1914" s="23">
        <f t="shared" si="7"/>
        <v>2647.46</v>
      </c>
      <c r="H1914" s="23"/>
      <c r="I1914" s="23"/>
    </row>
    <row r="1915" spans="1:9">
      <c r="A1915" s="21" t="s">
        <v>7104</v>
      </c>
      <c r="B1915" s="21"/>
      <c r="C1915" s="22">
        <v>699</v>
      </c>
      <c r="D1915" s="21">
        <v>2578.17</v>
      </c>
      <c r="E1915" s="21" t="s">
        <v>5796</v>
      </c>
      <c r="F1915" s="23"/>
      <c r="G1915" s="23">
        <f t="shared" si="7"/>
        <v>2578.17</v>
      </c>
      <c r="H1915" s="23"/>
      <c r="I1915" s="23"/>
    </row>
    <row r="1916" spans="1:9">
      <c r="A1916" s="21" t="s">
        <v>7105</v>
      </c>
      <c r="B1916" s="21"/>
      <c r="C1916" s="22">
        <v>735</v>
      </c>
      <c r="D1916" s="21">
        <v>2311.7800000000002</v>
      </c>
      <c r="E1916" s="21" t="s">
        <v>5796</v>
      </c>
      <c r="F1916" s="23"/>
      <c r="G1916" s="23">
        <f t="shared" si="7"/>
        <v>2311.7800000000002</v>
      </c>
      <c r="H1916" s="23"/>
      <c r="I1916" s="23"/>
    </row>
    <row r="1917" spans="1:9">
      <c r="A1917" s="21" t="s">
        <v>7106</v>
      </c>
      <c r="B1917" s="21"/>
      <c r="C1917" s="22">
        <v>743</v>
      </c>
      <c r="D1917" s="21">
        <v>2259.48</v>
      </c>
      <c r="E1917" s="21" t="s">
        <v>5796</v>
      </c>
      <c r="F1917" s="23"/>
      <c r="G1917" s="23">
        <f t="shared" si="7"/>
        <v>2259.48</v>
      </c>
      <c r="H1917" s="23"/>
      <c r="I1917" s="23"/>
    </row>
    <row r="1918" spans="1:9">
      <c r="A1918" s="21" t="s">
        <v>7107</v>
      </c>
      <c r="B1918" s="21"/>
      <c r="C1918" s="22">
        <v>751</v>
      </c>
      <c r="D1918" s="21">
        <v>2174.46</v>
      </c>
      <c r="E1918" s="21" t="s">
        <v>5796</v>
      </c>
      <c r="F1918" s="23"/>
      <c r="G1918" s="23">
        <f t="shared" si="7"/>
        <v>2174.46</v>
      </c>
      <c r="H1918" s="23"/>
      <c r="I1918" s="23"/>
    </row>
    <row r="1919" spans="1:9">
      <c r="A1919" s="21" t="s">
        <v>7108</v>
      </c>
      <c r="B1919" s="21"/>
      <c r="C1919" s="22">
        <v>754</v>
      </c>
      <c r="D1919" s="21">
        <v>2151.67</v>
      </c>
      <c r="E1919" s="21" t="s">
        <v>5796</v>
      </c>
      <c r="F1919" s="23"/>
      <c r="G1919" s="23">
        <f t="shared" si="7"/>
        <v>2151.67</v>
      </c>
      <c r="H1919" s="23"/>
      <c r="I1919" s="23"/>
    </row>
    <row r="1920" spans="1:9">
      <c r="A1920" s="21" t="s">
        <v>7109</v>
      </c>
      <c r="B1920" s="21"/>
      <c r="C1920" s="22">
        <v>755</v>
      </c>
      <c r="D1920" s="21">
        <v>2150.12</v>
      </c>
      <c r="E1920" s="21" t="s">
        <v>5796</v>
      </c>
      <c r="F1920" s="23"/>
      <c r="G1920" s="23">
        <f t="shared" si="7"/>
        <v>2150.12</v>
      </c>
      <c r="H1920" s="23"/>
      <c r="I1920" s="23"/>
    </row>
    <row r="1921" spans="1:9">
      <c r="A1921" s="21" t="s">
        <v>7110</v>
      </c>
      <c r="B1921" s="21"/>
      <c r="C1921" s="22">
        <v>758</v>
      </c>
      <c r="D1921" s="21">
        <v>2125.46</v>
      </c>
      <c r="E1921" s="21" t="s">
        <v>5796</v>
      </c>
      <c r="F1921" s="23"/>
      <c r="G1921" s="23">
        <f t="shared" si="7"/>
        <v>2125.46</v>
      </c>
      <c r="H1921" s="23"/>
      <c r="I1921" s="23"/>
    </row>
    <row r="1922" spans="1:9">
      <c r="A1922" s="21" t="s">
        <v>7111</v>
      </c>
      <c r="B1922" s="21"/>
      <c r="C1922" s="22">
        <v>766</v>
      </c>
      <c r="D1922" s="21">
        <v>2089.75</v>
      </c>
      <c r="E1922" s="21" t="s">
        <v>5796</v>
      </c>
      <c r="F1922" s="23"/>
      <c r="G1922" s="23">
        <f t="shared" si="7"/>
        <v>2089.75</v>
      </c>
      <c r="H1922" s="23"/>
      <c r="I1922" s="23"/>
    </row>
    <row r="1923" spans="1:9">
      <c r="A1923" s="21" t="s">
        <v>7112</v>
      </c>
      <c r="B1923" s="21"/>
      <c r="C1923" s="22">
        <v>794</v>
      </c>
      <c r="D1923" s="21">
        <v>1956.53</v>
      </c>
      <c r="E1923" s="21" t="s">
        <v>5796</v>
      </c>
      <c r="F1923" s="23"/>
      <c r="G1923" s="23">
        <f t="shared" si="7"/>
        <v>1956.53</v>
      </c>
      <c r="H1923" s="23"/>
      <c r="I1923" s="23"/>
    </row>
    <row r="1924" spans="1:9">
      <c r="A1924" s="21" t="s">
        <v>7113</v>
      </c>
      <c r="B1924" s="21"/>
      <c r="C1924" s="22">
        <v>795</v>
      </c>
      <c r="D1924" s="21">
        <v>1953.7</v>
      </c>
      <c r="E1924" s="21" t="s">
        <v>5796</v>
      </c>
      <c r="F1924" s="23"/>
      <c r="G1924" s="23">
        <f t="shared" si="7"/>
        <v>1953.7</v>
      </c>
      <c r="H1924" s="23"/>
      <c r="I1924" s="23"/>
    </row>
    <row r="1925" spans="1:9">
      <c r="A1925" s="21" t="s">
        <v>7114</v>
      </c>
      <c r="B1925" s="21"/>
      <c r="C1925" s="22">
        <v>796</v>
      </c>
      <c r="D1925" s="21">
        <v>1948.87</v>
      </c>
      <c r="E1925" s="21" t="s">
        <v>5796</v>
      </c>
      <c r="F1925" s="23"/>
      <c r="G1925" s="23">
        <f t="shared" si="7"/>
        <v>1948.87</v>
      </c>
      <c r="H1925" s="23"/>
      <c r="I1925" s="23"/>
    </row>
    <row r="1926" spans="1:9">
      <c r="A1926" s="21" t="s">
        <v>7115</v>
      </c>
      <c r="B1926" s="21"/>
      <c r="C1926" s="22">
        <v>797</v>
      </c>
      <c r="D1926" s="21">
        <v>1942.51</v>
      </c>
      <c r="E1926" s="21" t="s">
        <v>5796</v>
      </c>
      <c r="F1926" s="23"/>
      <c r="G1926" s="23">
        <f t="shared" si="7"/>
        <v>1942.51</v>
      </c>
      <c r="H1926" s="23"/>
      <c r="I1926" s="23"/>
    </row>
    <row r="1927" spans="1:9">
      <c r="A1927" s="21" t="s">
        <v>7116</v>
      </c>
      <c r="B1927" s="21"/>
      <c r="C1927" s="22">
        <v>809</v>
      </c>
      <c r="D1927" s="21">
        <v>1903.67</v>
      </c>
      <c r="E1927" s="21" t="s">
        <v>5796</v>
      </c>
      <c r="F1927" s="23"/>
      <c r="G1927" s="23">
        <f t="shared" si="7"/>
        <v>1903.67</v>
      </c>
      <c r="H1927" s="23"/>
      <c r="I1927" s="23"/>
    </row>
    <row r="1928" spans="1:9">
      <c r="A1928" s="21" t="s">
        <v>7117</v>
      </c>
      <c r="B1928" s="21"/>
      <c r="C1928" s="22">
        <v>832</v>
      </c>
      <c r="D1928" s="21">
        <v>1763.31</v>
      </c>
      <c r="E1928" s="21" t="s">
        <v>5796</v>
      </c>
      <c r="F1928" s="23"/>
      <c r="G1928" s="23">
        <f t="shared" si="7"/>
        <v>1763.31</v>
      </c>
      <c r="H1928" s="23"/>
      <c r="I1928" s="23"/>
    </row>
    <row r="1929" spans="1:9">
      <c r="A1929" s="21" t="s">
        <v>7118</v>
      </c>
      <c r="B1929" s="21"/>
      <c r="C1929" s="22">
        <v>838</v>
      </c>
      <c r="D1929" s="21">
        <v>1744.2</v>
      </c>
      <c r="E1929" s="21" t="s">
        <v>5796</v>
      </c>
      <c r="F1929" s="23"/>
      <c r="G1929" s="23">
        <f t="shared" si="7"/>
        <v>1744.2</v>
      </c>
      <c r="H1929" s="23"/>
      <c r="I1929" s="23"/>
    </row>
    <row r="1930" spans="1:9">
      <c r="A1930" s="21" t="s">
        <v>7119</v>
      </c>
      <c r="B1930" s="21"/>
      <c r="C1930" s="22">
        <v>842</v>
      </c>
      <c r="D1930" s="21">
        <v>1737.55</v>
      </c>
      <c r="E1930" s="21" t="s">
        <v>5796</v>
      </c>
      <c r="F1930" s="23"/>
      <c r="G1930" s="23">
        <f t="shared" si="7"/>
        <v>1737.55</v>
      </c>
      <c r="H1930" s="23"/>
      <c r="I1930" s="23"/>
    </row>
    <row r="1931" spans="1:9">
      <c r="A1931" s="21" t="s">
        <v>7120</v>
      </c>
      <c r="B1931" s="21"/>
      <c r="C1931" s="22">
        <v>853</v>
      </c>
      <c r="D1931" s="21">
        <v>1713.88</v>
      </c>
      <c r="E1931" s="21" t="s">
        <v>5796</v>
      </c>
      <c r="F1931" s="23"/>
      <c r="G1931" s="23">
        <f t="shared" si="7"/>
        <v>1713.88</v>
      </c>
      <c r="H1931" s="23"/>
      <c r="I1931" s="23"/>
    </row>
    <row r="1932" spans="1:9">
      <c r="A1932" s="21" t="s">
        <v>7121</v>
      </c>
      <c r="B1932" s="21"/>
      <c r="C1932" s="22">
        <v>872</v>
      </c>
      <c r="D1932" s="21">
        <v>1607.78</v>
      </c>
      <c r="E1932" s="21" t="s">
        <v>5796</v>
      </c>
      <c r="F1932" s="23"/>
      <c r="G1932" s="23">
        <f t="shared" si="7"/>
        <v>1607.78</v>
      </c>
      <c r="H1932" s="23"/>
      <c r="I1932" s="23"/>
    </row>
    <row r="1933" spans="1:9">
      <c r="A1933" s="21" t="s">
        <v>7122</v>
      </c>
      <c r="B1933" s="21"/>
      <c r="C1933" s="22">
        <v>877</v>
      </c>
      <c r="D1933" s="21">
        <v>1589.37</v>
      </c>
      <c r="E1933" s="21" t="s">
        <v>5796</v>
      </c>
      <c r="F1933" s="23"/>
      <c r="G1933" s="23">
        <f t="shared" si="7"/>
        <v>1589.37</v>
      </c>
      <c r="H1933" s="23"/>
      <c r="I1933" s="23"/>
    </row>
    <row r="1934" spans="1:9">
      <c r="A1934" s="21" t="s">
        <v>7123</v>
      </c>
      <c r="B1934" s="21"/>
      <c r="C1934" s="22">
        <v>878</v>
      </c>
      <c r="D1934" s="21">
        <v>1587.92</v>
      </c>
      <c r="E1934" s="21" t="s">
        <v>5796</v>
      </c>
      <c r="F1934" s="23"/>
      <c r="G1934" s="23">
        <f t="shared" si="7"/>
        <v>1587.92</v>
      </c>
      <c r="H1934" s="23"/>
      <c r="I1934" s="23"/>
    </row>
    <row r="1935" spans="1:9">
      <c r="A1935" s="21" t="s">
        <v>7124</v>
      </c>
      <c r="B1935" s="21"/>
      <c r="C1935" s="22">
        <v>901</v>
      </c>
      <c r="D1935" s="21">
        <v>1469.18</v>
      </c>
      <c r="E1935" s="21" t="s">
        <v>5796</v>
      </c>
      <c r="F1935" s="23"/>
      <c r="G1935" s="23">
        <f t="shared" si="7"/>
        <v>1469.18</v>
      </c>
      <c r="H1935" s="23"/>
      <c r="I1935" s="23"/>
    </row>
    <row r="1936" spans="1:9">
      <c r="A1936" s="21" t="s">
        <v>7125</v>
      </c>
      <c r="B1936" s="21"/>
      <c r="C1936" s="22">
        <v>910</v>
      </c>
      <c r="D1936" s="21">
        <v>1435.61</v>
      </c>
      <c r="E1936" s="21" t="s">
        <v>5796</v>
      </c>
      <c r="F1936" s="23"/>
      <c r="G1936" s="23">
        <f t="shared" si="7"/>
        <v>1435.61</v>
      </c>
      <c r="H1936" s="23"/>
      <c r="I1936" s="23"/>
    </row>
    <row r="1937" spans="1:9">
      <c r="A1937" s="21" t="s">
        <v>7126</v>
      </c>
      <c r="B1937" s="21"/>
      <c r="C1937" s="22">
        <v>919</v>
      </c>
      <c r="D1937" s="21">
        <v>1403.73</v>
      </c>
      <c r="E1937" s="21" t="s">
        <v>5796</v>
      </c>
      <c r="F1937" s="23"/>
      <c r="G1937" s="23">
        <f t="shared" si="7"/>
        <v>1403.73</v>
      </c>
      <c r="H1937" s="23"/>
      <c r="I1937" s="23"/>
    </row>
    <row r="1938" spans="1:9">
      <c r="A1938" s="21" t="s">
        <v>7127</v>
      </c>
      <c r="B1938" s="21"/>
      <c r="C1938" s="22">
        <v>928</v>
      </c>
      <c r="D1938" s="21">
        <v>1385.18</v>
      </c>
      <c r="E1938" s="21" t="s">
        <v>5796</v>
      </c>
      <c r="F1938" s="23"/>
      <c r="G1938" s="23">
        <f t="shared" si="7"/>
        <v>1385.18</v>
      </c>
      <c r="H1938" s="23"/>
      <c r="I1938" s="23"/>
    </row>
    <row r="1939" spans="1:9">
      <c r="A1939" s="21" t="s">
        <v>7128</v>
      </c>
      <c r="B1939" s="21"/>
      <c r="C1939" s="22">
        <v>939</v>
      </c>
      <c r="D1939" s="21">
        <v>1343.63</v>
      </c>
      <c r="E1939" s="21" t="s">
        <v>5796</v>
      </c>
      <c r="F1939" s="23"/>
      <c r="G1939" s="23">
        <f t="shared" si="7"/>
        <v>1343.63</v>
      </c>
      <c r="H1939" s="23"/>
      <c r="I1939" s="23"/>
    </row>
    <row r="1940" spans="1:9">
      <c r="A1940" s="21" t="s">
        <v>7129</v>
      </c>
      <c r="B1940" s="21"/>
      <c r="C1940" s="22">
        <v>962</v>
      </c>
      <c r="D1940" s="21">
        <v>1277.6400000000001</v>
      </c>
      <c r="E1940" s="21" t="s">
        <v>5796</v>
      </c>
      <c r="F1940" s="23"/>
      <c r="G1940" s="23">
        <f t="shared" si="7"/>
        <v>1277.6400000000001</v>
      </c>
      <c r="H1940" s="23"/>
      <c r="I1940" s="23"/>
    </row>
    <row r="1941" spans="1:9">
      <c r="A1941" s="21" t="s">
        <v>7130</v>
      </c>
      <c r="B1941" s="21"/>
      <c r="C1941" s="22">
        <v>965</v>
      </c>
      <c r="D1941" s="21">
        <v>1273.23</v>
      </c>
      <c r="E1941" s="21" t="s">
        <v>5796</v>
      </c>
      <c r="F1941" s="23"/>
      <c r="G1941" s="23">
        <f t="shared" si="7"/>
        <v>1273.23</v>
      </c>
      <c r="H1941" s="23"/>
      <c r="I1941" s="23"/>
    </row>
    <row r="1942" spans="1:9">
      <c r="A1942" s="21" t="s">
        <v>2477</v>
      </c>
      <c r="B1942" s="21"/>
      <c r="C1942" s="22">
        <v>970</v>
      </c>
      <c r="D1942" s="21">
        <v>1262.03</v>
      </c>
      <c r="E1942" s="21" t="s">
        <v>5796</v>
      </c>
      <c r="F1942" s="23"/>
      <c r="G1942" s="23">
        <f t="shared" si="7"/>
        <v>1262.03</v>
      </c>
      <c r="H1942" s="23"/>
      <c r="I1942" s="23"/>
    </row>
    <row r="1943" spans="1:9">
      <c r="A1943" s="21" t="s">
        <v>7131</v>
      </c>
      <c r="B1943" s="21"/>
      <c r="C1943" s="22">
        <v>978</v>
      </c>
      <c r="D1943" s="21">
        <v>1244.26</v>
      </c>
      <c r="E1943" s="21" t="s">
        <v>5796</v>
      </c>
      <c r="F1943" s="23"/>
      <c r="G1943" s="23">
        <f t="shared" si="7"/>
        <v>1244.26</v>
      </c>
      <c r="H1943" s="23"/>
      <c r="I1943" s="23"/>
    </row>
    <row r="1944" spans="1:9">
      <c r="A1944" s="21" t="s">
        <v>7132</v>
      </c>
      <c r="B1944" s="21"/>
      <c r="C1944" s="22">
        <v>986</v>
      </c>
      <c r="D1944" s="21">
        <v>1217.24</v>
      </c>
      <c r="E1944" s="21" t="s">
        <v>5796</v>
      </c>
      <c r="F1944" s="23"/>
      <c r="G1944" s="23">
        <f t="shared" si="7"/>
        <v>1217.24</v>
      </c>
      <c r="H1944" s="23"/>
      <c r="I1944" s="23"/>
    </row>
    <row r="1945" spans="1:9">
      <c r="A1945" s="21" t="s">
        <v>7133</v>
      </c>
      <c r="B1945" s="21"/>
      <c r="C1945" s="22">
        <v>990</v>
      </c>
      <c r="D1945" s="21">
        <v>1201.02</v>
      </c>
      <c r="E1945" s="21" t="s">
        <v>5796</v>
      </c>
      <c r="F1945" s="23"/>
      <c r="G1945" s="23">
        <f t="shared" si="7"/>
        <v>1201.02</v>
      </c>
      <c r="H1945" s="23"/>
      <c r="I1945" s="23"/>
    </row>
    <row r="1946" spans="1:9">
      <c r="A1946" s="21" t="s">
        <v>7134</v>
      </c>
      <c r="B1946" s="21"/>
      <c r="C1946" s="22">
        <v>991</v>
      </c>
      <c r="D1946" s="21">
        <v>1200.72</v>
      </c>
      <c r="E1946" s="21" t="s">
        <v>5796</v>
      </c>
      <c r="F1946" s="23"/>
      <c r="G1946" s="23">
        <f t="shared" si="7"/>
        <v>1200.72</v>
      </c>
      <c r="H1946" s="23"/>
      <c r="I1946" s="23"/>
    </row>
    <row r="1947" spans="1:9">
      <c r="A1947" s="21" t="s">
        <v>7135</v>
      </c>
      <c r="B1947" s="21"/>
      <c r="C1947" s="22">
        <v>994</v>
      </c>
      <c r="D1947" s="21">
        <v>1188.43</v>
      </c>
      <c r="E1947" s="21" t="s">
        <v>5796</v>
      </c>
      <c r="F1947" s="23"/>
      <c r="G1947" s="23">
        <f t="shared" si="7"/>
        <v>1188.43</v>
      </c>
      <c r="H1947" s="23"/>
      <c r="I1947" s="23"/>
    </row>
    <row r="1948" spans="1:9">
      <c r="A1948" s="21" t="s">
        <v>7136</v>
      </c>
      <c r="B1948" s="21"/>
      <c r="C1948" s="22">
        <v>999</v>
      </c>
      <c r="D1948" s="21">
        <v>1181.8599999999999</v>
      </c>
      <c r="E1948" s="21" t="s">
        <v>5796</v>
      </c>
      <c r="F1948" s="23"/>
      <c r="G1948" s="23">
        <f t="shared" si="7"/>
        <v>1181.8599999999999</v>
      </c>
      <c r="H1948" s="23"/>
      <c r="I1948" s="23"/>
    </row>
    <row r="1949" spans="1:9">
      <c r="A1949" s="21" t="s">
        <v>7137</v>
      </c>
      <c r="B1949" s="21"/>
      <c r="C1949" s="22">
        <v>1002</v>
      </c>
      <c r="D1949" s="21">
        <v>1162.95</v>
      </c>
      <c r="E1949" s="21" t="s">
        <v>5796</v>
      </c>
      <c r="F1949" s="23"/>
      <c r="G1949" s="23">
        <f t="shared" si="7"/>
        <v>1162.95</v>
      </c>
      <c r="H1949" s="23"/>
      <c r="I1949" s="23"/>
    </row>
    <row r="1950" spans="1:9">
      <c r="A1950" s="21" t="s">
        <v>7138</v>
      </c>
      <c r="B1950" s="21"/>
      <c r="C1950" s="22">
        <v>1004</v>
      </c>
      <c r="D1950" s="21">
        <v>1143.27</v>
      </c>
      <c r="E1950" s="21" t="s">
        <v>5796</v>
      </c>
      <c r="F1950" s="23"/>
      <c r="G1950" s="23">
        <f t="shared" si="7"/>
        <v>1143.27</v>
      </c>
      <c r="H1950" s="23"/>
      <c r="I1950" s="23"/>
    </row>
    <row r="1951" spans="1:9">
      <c r="A1951" s="21" t="s">
        <v>7139</v>
      </c>
      <c r="B1951" s="21"/>
      <c r="C1951" s="22">
        <v>1006</v>
      </c>
      <c r="D1951" s="21">
        <v>1131.42</v>
      </c>
      <c r="E1951" s="21" t="s">
        <v>5796</v>
      </c>
      <c r="F1951" s="23"/>
      <c r="G1951" s="23">
        <f t="shared" si="7"/>
        <v>1131.42</v>
      </c>
      <c r="H1951" s="23"/>
      <c r="I1951" s="23"/>
    </row>
    <row r="1952" spans="1:9">
      <c r="A1952" s="21" t="s">
        <v>7140</v>
      </c>
      <c r="B1952" s="21"/>
      <c r="C1952" s="22">
        <v>1007</v>
      </c>
      <c r="D1952" s="21">
        <v>1126.8599999999999</v>
      </c>
      <c r="E1952" s="21" t="s">
        <v>5796</v>
      </c>
      <c r="F1952" s="23"/>
      <c r="G1952" s="23">
        <f t="shared" si="7"/>
        <v>1126.8599999999999</v>
      </c>
      <c r="H1952" s="23"/>
      <c r="I1952" s="23"/>
    </row>
    <row r="1953" spans="1:9">
      <c r="A1953" s="21" t="s">
        <v>7141</v>
      </c>
      <c r="B1953" s="21"/>
      <c r="C1953" s="22">
        <v>1012</v>
      </c>
      <c r="D1953" s="21">
        <v>1115.3399999999999</v>
      </c>
      <c r="E1953" s="21" t="s">
        <v>5796</v>
      </c>
      <c r="F1953" s="23"/>
      <c r="G1953" s="23">
        <f t="shared" si="7"/>
        <v>1115.3399999999999</v>
      </c>
      <c r="H1953" s="23"/>
      <c r="I1953" s="23"/>
    </row>
    <row r="1954" spans="1:9">
      <c r="A1954" s="21" t="s">
        <v>7142</v>
      </c>
      <c r="B1954" s="21"/>
      <c r="C1954" s="22">
        <v>1025</v>
      </c>
      <c r="D1954" s="21">
        <v>1079.02</v>
      </c>
      <c r="E1954" s="21" t="s">
        <v>5796</v>
      </c>
      <c r="F1954" s="23"/>
      <c r="G1954" s="23">
        <f t="shared" si="7"/>
        <v>1079.02</v>
      </c>
      <c r="H1954" s="23"/>
      <c r="I1954" s="23"/>
    </row>
    <row r="1955" spans="1:9">
      <c r="A1955" s="21" t="s">
        <v>7143</v>
      </c>
      <c r="B1955" s="21"/>
      <c r="C1955" s="22">
        <v>1027</v>
      </c>
      <c r="D1955" s="21">
        <v>1076.29</v>
      </c>
      <c r="E1955" s="21" t="s">
        <v>5796</v>
      </c>
      <c r="F1955" s="23"/>
      <c r="G1955" s="23">
        <f t="shared" si="7"/>
        <v>1076.29</v>
      </c>
      <c r="H1955" s="23"/>
      <c r="I1955" s="23"/>
    </row>
    <row r="1956" spans="1:9">
      <c r="A1956" s="21" t="s">
        <v>7144</v>
      </c>
      <c r="B1956" s="21"/>
      <c r="C1956" s="22">
        <v>1030</v>
      </c>
      <c r="D1956" s="21">
        <v>1071.3499999999999</v>
      </c>
      <c r="E1956" s="21" t="s">
        <v>5796</v>
      </c>
      <c r="F1956" s="23"/>
      <c r="G1956" s="23">
        <f t="shared" si="7"/>
        <v>1071.3499999999999</v>
      </c>
      <c r="H1956" s="23"/>
      <c r="I1956" s="23"/>
    </row>
    <row r="1957" spans="1:9">
      <c r="A1957" s="21" t="s">
        <v>7145</v>
      </c>
      <c r="B1957" s="21"/>
      <c r="C1957" s="22">
        <v>1036</v>
      </c>
      <c r="D1957" s="21">
        <v>1057.8</v>
      </c>
      <c r="E1957" s="21" t="s">
        <v>5796</v>
      </c>
      <c r="F1957" s="23"/>
      <c r="G1957" s="23">
        <f t="shared" si="7"/>
        <v>1057.8</v>
      </c>
      <c r="H1957" s="23"/>
      <c r="I1957" s="23"/>
    </row>
    <row r="1958" spans="1:9">
      <c r="A1958" s="21" t="s">
        <v>7146</v>
      </c>
      <c r="B1958" s="21"/>
      <c r="C1958" s="22">
        <v>1040</v>
      </c>
      <c r="D1958" s="21">
        <v>1050.82</v>
      </c>
      <c r="E1958" s="21" t="s">
        <v>5796</v>
      </c>
      <c r="F1958" s="23"/>
      <c r="G1958" s="23">
        <f t="shared" si="7"/>
        <v>1050.82</v>
      </c>
      <c r="H1958" s="23"/>
      <c r="I1958" s="23"/>
    </row>
    <row r="1959" spans="1:9">
      <c r="A1959" s="21" t="s">
        <v>7147</v>
      </c>
      <c r="B1959" s="21"/>
      <c r="C1959" s="22">
        <v>1041</v>
      </c>
      <c r="D1959" s="21">
        <v>1050.1199999999999</v>
      </c>
      <c r="E1959" s="21" t="s">
        <v>5796</v>
      </c>
      <c r="F1959" s="23"/>
      <c r="G1959" s="23">
        <f t="shared" si="7"/>
        <v>1050.1199999999999</v>
      </c>
      <c r="H1959" s="23"/>
      <c r="I1959" s="23"/>
    </row>
    <row r="1960" spans="1:9">
      <c r="A1960" s="21" t="s">
        <v>7148</v>
      </c>
      <c r="B1960" s="21"/>
      <c r="C1960" s="22">
        <v>1043</v>
      </c>
      <c r="D1960" s="21">
        <v>1045.49</v>
      </c>
      <c r="E1960" s="21" t="s">
        <v>5796</v>
      </c>
      <c r="F1960" s="23"/>
      <c r="G1960" s="23">
        <f t="shared" si="7"/>
        <v>1045.49</v>
      </c>
      <c r="H1960" s="23"/>
      <c r="I1960" s="23"/>
    </row>
    <row r="1961" spans="1:9">
      <c r="A1961" s="21" t="s">
        <v>7149</v>
      </c>
      <c r="B1961" s="21"/>
      <c r="C1961" s="22">
        <v>1044</v>
      </c>
      <c r="D1961" s="21">
        <v>1044.45</v>
      </c>
      <c r="E1961" s="21" t="s">
        <v>5796</v>
      </c>
      <c r="F1961" s="23"/>
      <c r="G1961" s="23">
        <f t="shared" si="7"/>
        <v>1044.45</v>
      </c>
      <c r="H1961" s="23"/>
      <c r="I1961" s="23"/>
    </row>
    <row r="1962" spans="1:9">
      <c r="A1962" s="21" t="s">
        <v>7150</v>
      </c>
      <c r="B1962" s="21"/>
      <c r="C1962" s="22">
        <v>1057</v>
      </c>
      <c r="D1962" s="21">
        <v>1007.51</v>
      </c>
      <c r="E1962" s="21" t="s">
        <v>5796</v>
      </c>
      <c r="F1962" s="23"/>
      <c r="G1962" s="23">
        <f t="shared" si="7"/>
        <v>1007.51</v>
      </c>
      <c r="H1962" s="23"/>
      <c r="I1962" s="23"/>
    </row>
    <row r="1963" spans="1:9">
      <c r="A1963" s="21" t="s">
        <v>7151</v>
      </c>
      <c r="B1963" s="21"/>
      <c r="C1963" s="22">
        <v>1059</v>
      </c>
      <c r="D1963" s="21">
        <v>1000.49</v>
      </c>
      <c r="E1963" s="21" t="s">
        <v>5796</v>
      </c>
      <c r="F1963" s="23"/>
      <c r="G1963" s="23">
        <f t="shared" si="7"/>
        <v>1000.49</v>
      </c>
      <c r="H1963" s="23"/>
      <c r="I1963" s="23"/>
    </row>
    <row r="1964" spans="1:9">
      <c r="A1964" s="21" t="s">
        <v>7152</v>
      </c>
      <c r="B1964" s="21"/>
      <c r="C1964" s="22">
        <v>1064</v>
      </c>
      <c r="D1964" s="21">
        <v>989.18</v>
      </c>
      <c r="E1964" s="21" t="s">
        <v>5796</v>
      </c>
      <c r="F1964" s="23"/>
      <c r="G1964" s="23">
        <f t="shared" si="7"/>
        <v>989.18</v>
      </c>
      <c r="H1964" s="23"/>
      <c r="I1964" s="23"/>
    </row>
    <row r="1965" spans="1:9">
      <c r="A1965" s="21" t="s">
        <v>7153</v>
      </c>
      <c r="B1965" s="21"/>
      <c r="C1965" s="22">
        <v>1066</v>
      </c>
      <c r="D1965" s="21">
        <v>974.8</v>
      </c>
      <c r="E1965" s="21" t="s">
        <v>5796</v>
      </c>
      <c r="F1965" s="23"/>
      <c r="G1965" s="23">
        <f t="shared" si="7"/>
        <v>974.8</v>
      </c>
      <c r="H1965" s="23"/>
      <c r="I1965" s="23"/>
    </row>
    <row r="1966" spans="1:9">
      <c r="A1966" s="21" t="s">
        <v>7154</v>
      </c>
      <c r="B1966" s="21"/>
      <c r="C1966" s="22">
        <v>1067</v>
      </c>
      <c r="D1966" s="21">
        <v>974.07</v>
      </c>
      <c r="E1966" s="21" t="s">
        <v>5796</v>
      </c>
      <c r="F1966" s="23"/>
      <c r="G1966" s="23">
        <f t="shared" si="7"/>
        <v>974.07</v>
      </c>
      <c r="H1966" s="23"/>
      <c r="I1966" s="23"/>
    </row>
    <row r="1967" spans="1:9">
      <c r="A1967" s="21" t="s">
        <v>7155</v>
      </c>
      <c r="B1967" s="21"/>
      <c r="C1967" s="22">
        <v>1068</v>
      </c>
      <c r="D1967" s="21">
        <v>973.16</v>
      </c>
      <c r="E1967" s="21" t="s">
        <v>5796</v>
      </c>
      <c r="F1967" s="23"/>
      <c r="G1967" s="23">
        <f t="shared" si="7"/>
        <v>973.16</v>
      </c>
      <c r="H1967" s="23"/>
      <c r="I1967" s="23"/>
    </row>
    <row r="1968" spans="1:9">
      <c r="A1968" s="21" t="s">
        <v>7156</v>
      </c>
      <c r="B1968" s="21"/>
      <c r="C1968" s="22">
        <v>1070</v>
      </c>
      <c r="D1968" s="21">
        <v>965.91</v>
      </c>
      <c r="E1968" s="21" t="s">
        <v>5796</v>
      </c>
      <c r="F1968" s="23"/>
      <c r="G1968" s="23">
        <f t="shared" si="7"/>
        <v>965.91</v>
      </c>
      <c r="H1968" s="23"/>
      <c r="I1968" s="23"/>
    </row>
    <row r="1969" spans="1:9">
      <c r="A1969" s="21" t="s">
        <v>7157</v>
      </c>
      <c r="B1969" s="21"/>
      <c r="C1969" s="22">
        <v>1073</v>
      </c>
      <c r="D1969" s="21">
        <v>961.29</v>
      </c>
      <c r="E1969" s="21" t="s">
        <v>5796</v>
      </c>
      <c r="F1969" s="23"/>
      <c r="G1969" s="23">
        <f t="shared" si="7"/>
        <v>961.29</v>
      </c>
      <c r="H1969" s="23"/>
      <c r="I1969" s="23"/>
    </row>
    <row r="1970" spans="1:9">
      <c r="A1970" s="21" t="s">
        <v>7158</v>
      </c>
      <c r="B1970" s="21"/>
      <c r="C1970" s="22">
        <v>1086</v>
      </c>
      <c r="D1970" s="21">
        <v>922.81</v>
      </c>
      <c r="E1970" s="21" t="s">
        <v>5796</v>
      </c>
      <c r="F1970" s="23"/>
      <c r="G1970" s="23">
        <f t="shared" si="7"/>
        <v>922.81</v>
      </c>
      <c r="H1970" s="23"/>
      <c r="I1970" s="23"/>
    </row>
    <row r="1971" spans="1:9">
      <c r="A1971" s="21" t="s">
        <v>7159</v>
      </c>
      <c r="B1971" s="21"/>
      <c r="C1971" s="22">
        <v>1092</v>
      </c>
      <c r="D1971" s="21">
        <v>895.44</v>
      </c>
      <c r="E1971" s="21" t="s">
        <v>5796</v>
      </c>
      <c r="F1971" s="23"/>
      <c r="G1971" s="23">
        <f t="shared" si="7"/>
        <v>895.44</v>
      </c>
      <c r="H1971" s="23"/>
      <c r="I1971" s="23"/>
    </row>
    <row r="1972" spans="1:9">
      <c r="A1972" s="21" t="s">
        <v>7160</v>
      </c>
      <c r="B1972" s="21"/>
      <c r="C1972" s="22">
        <v>1094</v>
      </c>
      <c r="D1972" s="21">
        <v>892.13</v>
      </c>
      <c r="E1972" s="21" t="s">
        <v>5796</v>
      </c>
      <c r="F1972" s="23"/>
      <c r="G1972" s="23">
        <f t="shared" si="7"/>
        <v>892.13</v>
      </c>
      <c r="H1972" s="23"/>
      <c r="I1972" s="23"/>
    </row>
    <row r="1973" spans="1:9">
      <c r="A1973" s="21" t="s">
        <v>7161</v>
      </c>
      <c r="B1973" s="21"/>
      <c r="C1973" s="22">
        <v>1102</v>
      </c>
      <c r="D1973" s="21">
        <v>866.63</v>
      </c>
      <c r="E1973" s="21" t="s">
        <v>5796</v>
      </c>
      <c r="F1973" s="23"/>
      <c r="G1973" s="23">
        <f t="shared" si="7"/>
        <v>866.63</v>
      </c>
      <c r="H1973" s="23"/>
      <c r="I1973" s="23"/>
    </row>
    <row r="1974" spans="1:9">
      <c r="A1974" s="21" t="s">
        <v>7162</v>
      </c>
      <c r="B1974" s="21"/>
      <c r="C1974" s="22">
        <v>1109</v>
      </c>
      <c r="D1974" s="21">
        <v>855.27</v>
      </c>
      <c r="E1974" s="21" t="s">
        <v>5796</v>
      </c>
      <c r="F1974" s="23"/>
      <c r="G1974" s="23">
        <f t="shared" si="7"/>
        <v>855.27</v>
      </c>
      <c r="H1974" s="23"/>
      <c r="I1974" s="23"/>
    </row>
    <row r="1975" spans="1:9">
      <c r="A1975" s="21" t="s">
        <v>7163</v>
      </c>
      <c r="B1975" s="21"/>
      <c r="C1975" s="22">
        <v>1112</v>
      </c>
      <c r="D1975" s="21">
        <v>853.1</v>
      </c>
      <c r="E1975" s="21" t="s">
        <v>5796</v>
      </c>
      <c r="F1975" s="23"/>
      <c r="G1975" s="23">
        <f t="shared" si="7"/>
        <v>853.1</v>
      </c>
      <c r="H1975" s="23"/>
      <c r="I1975" s="23"/>
    </row>
    <row r="1976" spans="1:9">
      <c r="A1976" s="21" t="s">
        <v>7164</v>
      </c>
      <c r="B1976" s="21"/>
      <c r="C1976" s="22">
        <v>1119</v>
      </c>
      <c r="D1976" s="21">
        <v>842.22</v>
      </c>
      <c r="E1976" s="21" t="s">
        <v>5796</v>
      </c>
      <c r="F1976" s="23"/>
      <c r="G1976" s="23">
        <f t="shared" si="7"/>
        <v>842.22</v>
      </c>
      <c r="H1976" s="23"/>
      <c r="I1976" s="23"/>
    </row>
    <row r="1977" spans="1:9">
      <c r="A1977" s="21" t="s">
        <v>7165</v>
      </c>
      <c r="B1977" s="21"/>
      <c r="C1977" s="22">
        <v>1124</v>
      </c>
      <c r="D1977" s="21">
        <v>835.33</v>
      </c>
      <c r="E1977" s="21" t="s">
        <v>5796</v>
      </c>
      <c r="F1977" s="23"/>
      <c r="G1977" s="23">
        <f t="shared" si="7"/>
        <v>835.33</v>
      </c>
      <c r="H1977" s="23"/>
      <c r="I1977" s="23"/>
    </row>
    <row r="1978" spans="1:9">
      <c r="A1978" s="21" t="s">
        <v>7166</v>
      </c>
      <c r="B1978" s="21"/>
      <c r="C1978" s="22">
        <v>1131</v>
      </c>
      <c r="D1978" s="21">
        <v>828.86</v>
      </c>
      <c r="E1978" s="21" t="s">
        <v>5796</v>
      </c>
      <c r="F1978" s="23"/>
      <c r="G1978" s="23">
        <f t="shared" si="7"/>
        <v>828.86</v>
      </c>
      <c r="H1978" s="23"/>
      <c r="I1978" s="23"/>
    </row>
    <row r="1979" spans="1:9">
      <c r="A1979" s="21" t="s">
        <v>7167</v>
      </c>
      <c r="B1979" s="21"/>
      <c r="C1979" s="22">
        <v>1132</v>
      </c>
      <c r="D1979" s="21">
        <v>821.93</v>
      </c>
      <c r="E1979" s="21" t="s">
        <v>5796</v>
      </c>
      <c r="F1979" s="23"/>
      <c r="G1979" s="23">
        <f t="shared" si="7"/>
        <v>821.93</v>
      </c>
      <c r="H1979" s="23"/>
      <c r="I1979" s="23"/>
    </row>
    <row r="1980" spans="1:9">
      <c r="A1980" s="21" t="s">
        <v>7168</v>
      </c>
      <c r="B1980" s="21"/>
      <c r="C1980" s="22">
        <v>1138</v>
      </c>
      <c r="D1980" s="21">
        <v>812.86</v>
      </c>
      <c r="E1980" s="21" t="s">
        <v>5796</v>
      </c>
      <c r="F1980" s="23"/>
      <c r="G1980" s="23">
        <f t="shared" si="7"/>
        <v>812.86</v>
      </c>
      <c r="H1980" s="23"/>
      <c r="I1980" s="23"/>
    </row>
    <row r="1981" spans="1:9">
      <c r="A1981" s="21" t="s">
        <v>7169</v>
      </c>
      <c r="B1981" s="21"/>
      <c r="C1981" s="22">
        <v>1146</v>
      </c>
      <c r="D1981" s="21">
        <v>798.21</v>
      </c>
      <c r="E1981" s="21" t="s">
        <v>5796</v>
      </c>
      <c r="F1981" s="23"/>
      <c r="G1981" s="23">
        <f t="shared" si="7"/>
        <v>798.21</v>
      </c>
      <c r="H1981" s="23"/>
      <c r="I1981" s="23"/>
    </row>
    <row r="1982" spans="1:9">
      <c r="A1982" s="21" t="s">
        <v>7170</v>
      </c>
      <c r="B1982" s="21"/>
      <c r="C1982" s="22">
        <v>1148</v>
      </c>
      <c r="D1982" s="21">
        <v>793.28</v>
      </c>
      <c r="E1982" s="21" t="s">
        <v>5796</v>
      </c>
      <c r="F1982" s="23"/>
      <c r="G1982" s="23">
        <f t="shared" si="7"/>
        <v>793.28</v>
      </c>
      <c r="H1982" s="23"/>
      <c r="I1982" s="23"/>
    </row>
    <row r="1983" spans="1:9">
      <c r="A1983" s="21" t="s">
        <v>7171</v>
      </c>
      <c r="B1983" s="21"/>
      <c r="C1983" s="22">
        <v>1163</v>
      </c>
      <c r="D1983" s="21">
        <v>768.13</v>
      </c>
      <c r="E1983" s="21" t="s">
        <v>5796</v>
      </c>
      <c r="F1983" s="23"/>
      <c r="G1983" s="23">
        <f t="shared" si="7"/>
        <v>768.13</v>
      </c>
      <c r="H1983" s="23"/>
      <c r="I1983" s="23"/>
    </row>
    <row r="1984" spans="1:9">
      <c r="A1984" s="21" t="s">
        <v>7172</v>
      </c>
      <c r="B1984" s="21"/>
      <c r="C1984" s="22">
        <v>1168</v>
      </c>
      <c r="D1984" s="21">
        <v>760.03</v>
      </c>
      <c r="E1984" s="21" t="s">
        <v>5796</v>
      </c>
      <c r="F1984" s="23"/>
      <c r="G1984" s="23">
        <f t="shared" si="7"/>
        <v>760.03</v>
      </c>
      <c r="H1984" s="23"/>
      <c r="I1984" s="23"/>
    </row>
    <row r="1985" spans="1:9">
      <c r="A1985" s="21" t="s">
        <v>7173</v>
      </c>
      <c r="B1985" s="21"/>
      <c r="C1985" s="22">
        <v>1173</v>
      </c>
      <c r="D1985" s="21">
        <v>744.49</v>
      </c>
      <c r="E1985" s="21" t="s">
        <v>5796</v>
      </c>
      <c r="F1985" s="23"/>
      <c r="G1985" s="23">
        <f t="shared" si="7"/>
        <v>744.49</v>
      </c>
      <c r="H1985" s="23"/>
      <c r="I1985" s="23"/>
    </row>
    <row r="1986" spans="1:9">
      <c r="A1986" s="21" t="s">
        <v>7174</v>
      </c>
      <c r="B1986" s="21"/>
      <c r="C1986" s="22">
        <v>1177</v>
      </c>
      <c r="D1986" s="21">
        <v>730.76</v>
      </c>
      <c r="E1986" s="21" t="s">
        <v>5796</v>
      </c>
      <c r="F1986" s="23"/>
      <c r="G1986" s="23">
        <f t="shared" si="7"/>
        <v>730.76</v>
      </c>
      <c r="H1986" s="23"/>
      <c r="I1986" s="23"/>
    </row>
    <row r="1987" spans="1:9">
      <c r="A1987" s="21" t="s">
        <v>7175</v>
      </c>
      <c r="B1987" s="21"/>
      <c r="C1987" s="22">
        <v>1184</v>
      </c>
      <c r="D1987" s="21">
        <v>722.32</v>
      </c>
      <c r="E1987" s="21" t="s">
        <v>5796</v>
      </c>
      <c r="F1987" s="23"/>
      <c r="G1987" s="23">
        <f t="shared" si="7"/>
        <v>722.32</v>
      </c>
      <c r="H1987" s="23"/>
      <c r="I1987" s="23"/>
    </row>
    <row r="1988" spans="1:9">
      <c r="A1988" s="21" t="s">
        <v>7176</v>
      </c>
      <c r="B1988" s="21"/>
      <c r="C1988" s="22">
        <v>1191</v>
      </c>
      <c r="D1988" s="21">
        <v>709.12</v>
      </c>
      <c r="E1988" s="21" t="s">
        <v>5796</v>
      </c>
      <c r="F1988" s="23"/>
      <c r="G1988" s="23">
        <f t="shared" si="7"/>
        <v>709.12</v>
      </c>
      <c r="H1988" s="23"/>
      <c r="I1988" s="23"/>
    </row>
    <row r="1989" spans="1:9">
      <c r="A1989" s="21" t="s">
        <v>7177</v>
      </c>
      <c r="B1989" s="21"/>
      <c r="C1989" s="22">
        <v>1194</v>
      </c>
      <c r="D1989" s="21">
        <v>706.82</v>
      </c>
      <c r="E1989" s="21" t="s">
        <v>5796</v>
      </c>
      <c r="F1989" s="23"/>
      <c r="G1989" s="23">
        <f t="shared" si="7"/>
        <v>706.82</v>
      </c>
      <c r="H1989" s="23"/>
      <c r="I1989" s="23"/>
    </row>
    <row r="1990" spans="1:9">
      <c r="A1990" s="21" t="s">
        <v>7178</v>
      </c>
      <c r="B1990" s="21"/>
      <c r="C1990" s="22">
        <v>1204</v>
      </c>
      <c r="D1990" s="21">
        <v>688.69</v>
      </c>
      <c r="E1990" s="21" t="s">
        <v>5796</v>
      </c>
      <c r="F1990" s="23"/>
      <c r="G1990" s="23">
        <f t="shared" si="7"/>
        <v>688.69</v>
      </c>
      <c r="H1990" s="23"/>
      <c r="I1990" s="23"/>
    </row>
    <row r="1991" spans="1:9">
      <c r="A1991" s="21" t="s">
        <v>7179</v>
      </c>
      <c r="B1991" s="21"/>
      <c r="C1991" s="22">
        <v>1205</v>
      </c>
      <c r="D1991" s="21">
        <v>688.29</v>
      </c>
      <c r="E1991" s="21" t="s">
        <v>5796</v>
      </c>
      <c r="F1991" s="23"/>
      <c r="G1991" s="23">
        <f t="shared" si="7"/>
        <v>688.29</v>
      </c>
      <c r="H1991" s="23"/>
      <c r="I1991" s="23"/>
    </row>
    <row r="1992" spans="1:9">
      <c r="A1992" s="21" t="s">
        <v>7180</v>
      </c>
      <c r="B1992" s="21"/>
      <c r="C1992" s="22">
        <v>1224</v>
      </c>
      <c r="D1992" s="21">
        <v>645.6</v>
      </c>
      <c r="E1992" s="21" t="s">
        <v>5796</v>
      </c>
      <c r="F1992" s="23"/>
      <c r="G1992" s="23">
        <f t="shared" si="7"/>
        <v>645.6</v>
      </c>
      <c r="H1992" s="23"/>
      <c r="I1992" s="23"/>
    </row>
    <row r="1993" spans="1:9">
      <c r="A1993" s="21" t="s">
        <v>7181</v>
      </c>
      <c r="B1993" s="21"/>
      <c r="C1993" s="22">
        <v>1226</v>
      </c>
      <c r="D1993" s="21">
        <v>643.04999999999995</v>
      </c>
      <c r="E1993" s="21" t="s">
        <v>5796</v>
      </c>
      <c r="F1993" s="23"/>
      <c r="G1993" s="23">
        <f t="shared" si="7"/>
        <v>643.04999999999995</v>
      </c>
      <c r="H1993" s="23"/>
      <c r="I1993" s="23"/>
    </row>
    <row r="1994" spans="1:9">
      <c r="A1994" s="21" t="s">
        <v>7182</v>
      </c>
      <c r="B1994" s="21"/>
      <c r="C1994" s="22">
        <v>1230</v>
      </c>
      <c r="D1994" s="21">
        <v>633.15</v>
      </c>
      <c r="E1994" s="21" t="s">
        <v>5796</v>
      </c>
      <c r="F1994" s="23"/>
      <c r="G1994" s="23">
        <f t="shared" si="7"/>
        <v>633.15</v>
      </c>
      <c r="H1994" s="23"/>
      <c r="I1994" s="23"/>
    </row>
    <row r="1995" spans="1:9">
      <c r="A1995" s="21" t="s">
        <v>7183</v>
      </c>
      <c r="B1995" s="21"/>
      <c r="C1995" s="22">
        <v>1234</v>
      </c>
      <c r="D1995" s="21">
        <v>626.86</v>
      </c>
      <c r="E1995" s="21" t="s">
        <v>5796</v>
      </c>
      <c r="F1995" s="23"/>
      <c r="G1995" s="23">
        <f t="shared" si="7"/>
        <v>626.86</v>
      </c>
      <c r="H1995" s="23"/>
      <c r="I1995" s="23"/>
    </row>
    <row r="1996" spans="1:9">
      <c r="A1996" s="21" t="s">
        <v>7184</v>
      </c>
      <c r="B1996" s="21"/>
      <c r="C1996" s="22">
        <v>1235</v>
      </c>
      <c r="D1996" s="21">
        <v>626.45000000000005</v>
      </c>
      <c r="E1996" s="21" t="s">
        <v>5796</v>
      </c>
      <c r="F1996" s="23"/>
      <c r="G1996" s="23">
        <f t="shared" si="7"/>
        <v>626.45000000000005</v>
      </c>
      <c r="H1996" s="23"/>
      <c r="I1996" s="23"/>
    </row>
    <row r="1997" spans="1:9">
      <c r="A1997" s="21" t="s">
        <v>7185</v>
      </c>
      <c r="B1997" s="21"/>
      <c r="C1997" s="22">
        <v>1239</v>
      </c>
      <c r="D1997" s="21">
        <v>620.72</v>
      </c>
      <c r="E1997" s="21" t="s">
        <v>5796</v>
      </c>
      <c r="F1997" s="23"/>
      <c r="G1997" s="23">
        <f t="shared" si="7"/>
        <v>620.72</v>
      </c>
      <c r="H1997" s="23"/>
      <c r="I1997" s="23"/>
    </row>
    <row r="1998" spans="1:9">
      <c r="A1998" s="21" t="s">
        <v>7186</v>
      </c>
      <c r="B1998" s="21"/>
      <c r="C1998" s="22">
        <v>1240</v>
      </c>
      <c r="D1998" s="21">
        <v>620.71</v>
      </c>
      <c r="E1998" s="21" t="s">
        <v>5796</v>
      </c>
      <c r="F1998" s="23"/>
      <c r="G1998" s="23">
        <f t="shared" si="7"/>
        <v>620.71</v>
      </c>
      <c r="H1998" s="23"/>
      <c r="I1998" s="23"/>
    </row>
    <row r="1999" spans="1:9">
      <c r="A1999" s="21" t="s">
        <v>7187</v>
      </c>
      <c r="B1999" s="21"/>
      <c r="C1999" s="22">
        <v>1246</v>
      </c>
      <c r="D1999" s="21">
        <v>613.52</v>
      </c>
      <c r="E1999" s="21" t="s">
        <v>5796</v>
      </c>
      <c r="F1999" s="23"/>
      <c r="G1999" s="23">
        <f t="shared" si="7"/>
        <v>613.52</v>
      </c>
      <c r="H1999" s="23"/>
      <c r="I1999" s="23"/>
    </row>
    <row r="2000" spans="1:9">
      <c r="A2000" s="21" t="s">
        <v>7188</v>
      </c>
      <c r="B2000" s="21"/>
      <c r="C2000" s="22">
        <v>1250</v>
      </c>
      <c r="D2000" s="21">
        <v>605.58000000000004</v>
      </c>
      <c r="E2000" s="21" t="s">
        <v>5796</v>
      </c>
      <c r="F2000" s="23"/>
      <c r="G2000" s="23">
        <f t="shared" si="7"/>
        <v>605.58000000000004</v>
      </c>
      <c r="H2000" s="23"/>
      <c r="I2000" s="23"/>
    </row>
    <row r="2001" spans="1:9">
      <c r="A2001" s="21" t="s">
        <v>7189</v>
      </c>
      <c r="B2001" s="21"/>
      <c r="C2001" s="22">
        <v>1251</v>
      </c>
      <c r="D2001" s="21">
        <v>602.6</v>
      </c>
      <c r="E2001" s="21" t="s">
        <v>5796</v>
      </c>
      <c r="F2001" s="23"/>
      <c r="G2001" s="23">
        <f t="shared" si="7"/>
        <v>602.6</v>
      </c>
      <c r="H2001" s="23"/>
      <c r="I2001" s="23"/>
    </row>
    <row r="2002" spans="1:9">
      <c r="A2002" s="21" t="s">
        <v>7190</v>
      </c>
      <c r="B2002" s="21"/>
      <c r="C2002" s="22">
        <v>1252</v>
      </c>
      <c r="D2002" s="21">
        <v>599.48</v>
      </c>
      <c r="E2002" s="21" t="s">
        <v>5796</v>
      </c>
      <c r="F2002" s="23"/>
      <c r="G2002" s="23">
        <f t="shared" si="7"/>
        <v>599.48</v>
      </c>
      <c r="H2002" s="23"/>
      <c r="I2002" s="23"/>
    </row>
    <row r="2003" spans="1:9">
      <c r="A2003" s="21" t="s">
        <v>7191</v>
      </c>
      <c r="B2003" s="21"/>
      <c r="C2003" s="22">
        <v>1253</v>
      </c>
      <c r="D2003" s="21">
        <v>598.38</v>
      </c>
      <c r="E2003" s="21" t="s">
        <v>5796</v>
      </c>
      <c r="F2003" s="23"/>
      <c r="G2003" s="23">
        <f t="shared" si="7"/>
        <v>598.38</v>
      </c>
      <c r="H2003" s="23"/>
      <c r="I2003" s="23"/>
    </row>
    <row r="2004" spans="1:9">
      <c r="A2004" s="21" t="s">
        <v>7192</v>
      </c>
      <c r="B2004" s="21"/>
      <c r="C2004" s="22">
        <v>1254</v>
      </c>
      <c r="D2004" s="21">
        <v>596.04999999999995</v>
      </c>
      <c r="E2004" s="21" t="s">
        <v>5796</v>
      </c>
      <c r="F2004" s="23"/>
      <c r="G2004" s="23">
        <f t="shared" si="7"/>
        <v>596.04999999999995</v>
      </c>
      <c r="H2004" s="23"/>
      <c r="I2004" s="23"/>
    </row>
    <row r="2005" spans="1:9">
      <c r="A2005" s="21" t="s">
        <v>7193</v>
      </c>
      <c r="B2005" s="21"/>
      <c r="C2005" s="22">
        <v>1255</v>
      </c>
      <c r="D2005" s="21">
        <v>595.83000000000004</v>
      </c>
      <c r="E2005" s="21" t="s">
        <v>5796</v>
      </c>
      <c r="F2005" s="23"/>
      <c r="G2005" s="23">
        <f t="shared" si="7"/>
        <v>595.83000000000004</v>
      </c>
      <c r="H2005" s="23"/>
      <c r="I2005" s="23"/>
    </row>
    <row r="2006" spans="1:9">
      <c r="A2006" s="21" t="s">
        <v>7194</v>
      </c>
      <c r="B2006" s="21"/>
      <c r="C2006" s="22">
        <v>1265</v>
      </c>
      <c r="D2006" s="21">
        <v>576.99</v>
      </c>
      <c r="E2006" s="21" t="s">
        <v>5796</v>
      </c>
      <c r="F2006" s="23"/>
      <c r="G2006" s="23">
        <f t="shared" si="7"/>
        <v>576.99</v>
      </c>
      <c r="H2006" s="23"/>
      <c r="I2006" s="23"/>
    </row>
    <row r="2007" spans="1:9">
      <c r="A2007" s="21" t="s">
        <v>7195</v>
      </c>
      <c r="B2007" s="21"/>
      <c r="C2007" s="22">
        <v>1266</v>
      </c>
      <c r="D2007" s="21">
        <v>571.02</v>
      </c>
      <c r="E2007" s="21" t="s">
        <v>5796</v>
      </c>
      <c r="F2007" s="23"/>
      <c r="G2007" s="23">
        <f t="shared" si="7"/>
        <v>571.02</v>
      </c>
      <c r="H2007" s="23"/>
      <c r="I2007" s="23"/>
    </row>
    <row r="2008" spans="1:9">
      <c r="A2008" s="21" t="s">
        <v>7196</v>
      </c>
      <c r="B2008" s="21"/>
      <c r="C2008" s="22">
        <v>1269</v>
      </c>
      <c r="D2008" s="21">
        <v>569.42999999999995</v>
      </c>
      <c r="E2008" s="21" t="s">
        <v>5796</v>
      </c>
      <c r="F2008" s="23"/>
      <c r="G2008" s="23">
        <f t="shared" si="7"/>
        <v>569.42999999999995</v>
      </c>
      <c r="H2008" s="23"/>
      <c r="I2008" s="23"/>
    </row>
    <row r="2009" spans="1:9">
      <c r="A2009" s="21" t="s">
        <v>7197</v>
      </c>
      <c r="B2009" s="21"/>
      <c r="C2009" s="22">
        <v>1271</v>
      </c>
      <c r="D2009" s="21">
        <v>567.04</v>
      </c>
      <c r="E2009" s="21" t="s">
        <v>5796</v>
      </c>
      <c r="F2009" s="23"/>
      <c r="G2009" s="23">
        <f t="shared" si="7"/>
        <v>567.04</v>
      </c>
      <c r="H2009" s="23"/>
      <c r="I2009" s="23"/>
    </row>
    <row r="2010" spans="1:9">
      <c r="A2010" s="21" t="s">
        <v>7198</v>
      </c>
      <c r="B2010" s="21"/>
      <c r="C2010" s="22">
        <v>1272</v>
      </c>
      <c r="D2010" s="21">
        <v>560.59</v>
      </c>
      <c r="E2010" s="21" t="s">
        <v>5796</v>
      </c>
      <c r="F2010" s="23"/>
      <c r="G2010" s="23">
        <f t="shared" si="7"/>
        <v>560.59</v>
      </c>
      <c r="H2010" s="23"/>
      <c r="I2010" s="23"/>
    </row>
    <row r="2011" spans="1:9">
      <c r="A2011" s="21" t="s">
        <v>7199</v>
      </c>
      <c r="B2011" s="21"/>
      <c r="C2011" s="22">
        <v>1277</v>
      </c>
      <c r="D2011" s="21">
        <v>554.32000000000005</v>
      </c>
      <c r="E2011" s="21" t="s">
        <v>5796</v>
      </c>
      <c r="F2011" s="23"/>
      <c r="G2011" s="23">
        <f t="shared" si="7"/>
        <v>554.32000000000005</v>
      </c>
      <c r="H2011" s="23"/>
      <c r="I2011" s="23"/>
    </row>
    <row r="2012" spans="1:9">
      <c r="A2012" s="21" t="s">
        <v>7200</v>
      </c>
      <c r="B2012" s="21"/>
      <c r="C2012" s="22">
        <v>1278</v>
      </c>
      <c r="D2012" s="21">
        <v>552.5</v>
      </c>
      <c r="E2012" s="21" t="s">
        <v>5796</v>
      </c>
      <c r="F2012" s="23"/>
      <c r="G2012" s="23">
        <f t="shared" si="7"/>
        <v>552.5</v>
      </c>
      <c r="H2012" s="23"/>
      <c r="I2012" s="23"/>
    </row>
    <row r="2013" spans="1:9">
      <c r="A2013" s="21" t="s">
        <v>7201</v>
      </c>
      <c r="B2013" s="21"/>
      <c r="C2013" s="22">
        <v>1279</v>
      </c>
      <c r="D2013" s="21">
        <v>551.88</v>
      </c>
      <c r="E2013" s="21" t="s">
        <v>5796</v>
      </c>
      <c r="F2013" s="23"/>
      <c r="G2013" s="23">
        <f t="shared" si="7"/>
        <v>551.88</v>
      </c>
      <c r="H2013" s="23"/>
      <c r="I2013" s="23"/>
    </row>
    <row r="2014" spans="1:9">
      <c r="A2014" s="21" t="s">
        <v>7202</v>
      </c>
      <c r="B2014" s="21"/>
      <c r="C2014" s="22">
        <v>1281</v>
      </c>
      <c r="D2014" s="21">
        <v>551.51</v>
      </c>
      <c r="E2014" s="21" t="s">
        <v>5796</v>
      </c>
      <c r="F2014" s="23"/>
      <c r="G2014" s="23">
        <f t="shared" si="7"/>
        <v>551.51</v>
      </c>
      <c r="H2014" s="23"/>
      <c r="I2014" s="23"/>
    </row>
    <row r="2015" spans="1:9">
      <c r="A2015" s="21" t="s">
        <v>7203</v>
      </c>
      <c r="B2015" s="21"/>
      <c r="C2015" s="22">
        <v>1282</v>
      </c>
      <c r="D2015" s="21">
        <v>551.16999999999996</v>
      </c>
      <c r="E2015" s="21" t="s">
        <v>5796</v>
      </c>
      <c r="F2015" s="23"/>
      <c r="G2015" s="23">
        <f t="shared" si="7"/>
        <v>551.16999999999996</v>
      </c>
      <c r="H2015" s="23"/>
      <c r="I2015" s="23"/>
    </row>
    <row r="2016" spans="1:9">
      <c r="A2016" s="21" t="s">
        <v>7204</v>
      </c>
      <c r="B2016" s="21"/>
      <c r="C2016" s="22">
        <v>1288</v>
      </c>
      <c r="D2016" s="21">
        <v>546.21</v>
      </c>
      <c r="E2016" s="21" t="s">
        <v>5796</v>
      </c>
      <c r="F2016" s="23"/>
      <c r="G2016" s="23">
        <f t="shared" si="7"/>
        <v>546.21</v>
      </c>
      <c r="H2016" s="23"/>
      <c r="I2016" s="23"/>
    </row>
    <row r="2017" spans="1:9">
      <c r="A2017" s="21" t="s">
        <v>7205</v>
      </c>
      <c r="B2017" s="21"/>
      <c r="C2017" s="22">
        <v>1292</v>
      </c>
      <c r="D2017" s="21">
        <v>538.23</v>
      </c>
      <c r="E2017" s="21" t="s">
        <v>5796</v>
      </c>
      <c r="F2017" s="23"/>
      <c r="G2017" s="23">
        <f t="shared" si="7"/>
        <v>538.23</v>
      </c>
      <c r="H2017" s="23"/>
      <c r="I2017" s="23"/>
    </row>
    <row r="2018" spans="1:9">
      <c r="A2018" s="21" t="s">
        <v>7206</v>
      </c>
      <c r="B2018" s="21"/>
      <c r="C2018" s="22">
        <v>1296</v>
      </c>
      <c r="D2018" s="21">
        <v>533.25</v>
      </c>
      <c r="E2018" s="21" t="s">
        <v>5796</v>
      </c>
      <c r="F2018" s="23"/>
      <c r="G2018" s="23">
        <f t="shared" si="7"/>
        <v>533.25</v>
      </c>
      <c r="H2018" s="23"/>
      <c r="I2018" s="23"/>
    </row>
    <row r="2019" spans="1:9">
      <c r="A2019" s="21" t="s">
        <v>7207</v>
      </c>
      <c r="B2019" s="21"/>
      <c r="C2019" s="22">
        <v>1297</v>
      </c>
      <c r="D2019" s="21">
        <v>533.02</v>
      </c>
      <c r="E2019" s="21" t="s">
        <v>5796</v>
      </c>
      <c r="F2019" s="23"/>
      <c r="G2019" s="23">
        <f t="shared" si="7"/>
        <v>533.02</v>
      </c>
      <c r="H2019" s="23"/>
      <c r="I2019" s="23"/>
    </row>
    <row r="2020" spans="1:9">
      <c r="A2020" s="21" t="s">
        <v>7208</v>
      </c>
      <c r="B2020" s="21"/>
      <c r="C2020" s="22">
        <v>1298</v>
      </c>
      <c r="D2020" s="21">
        <v>530.88</v>
      </c>
      <c r="E2020" s="21" t="s">
        <v>5796</v>
      </c>
      <c r="F2020" s="23"/>
      <c r="G2020" s="23">
        <f t="shared" si="7"/>
        <v>530.88</v>
      </c>
      <c r="H2020" s="23"/>
      <c r="I2020" s="23"/>
    </row>
    <row r="2021" spans="1:9">
      <c r="A2021" s="21" t="s">
        <v>7209</v>
      </c>
      <c r="B2021" s="21"/>
      <c r="C2021" s="22">
        <v>1300</v>
      </c>
      <c r="D2021" s="21">
        <v>529.08000000000004</v>
      </c>
      <c r="E2021" s="21" t="s">
        <v>5796</v>
      </c>
      <c r="F2021" s="23"/>
      <c r="G2021" s="23">
        <f t="shared" si="7"/>
        <v>529.08000000000004</v>
      </c>
      <c r="H2021" s="23"/>
      <c r="I2021" s="23"/>
    </row>
    <row r="2022" spans="1:9">
      <c r="A2022" s="21" t="s">
        <v>7210</v>
      </c>
      <c r="B2022" s="21"/>
      <c r="C2022" s="22">
        <v>1302</v>
      </c>
      <c r="D2022" s="21">
        <v>520.62</v>
      </c>
      <c r="E2022" s="21" t="s">
        <v>5796</v>
      </c>
      <c r="F2022" s="23"/>
      <c r="G2022" s="23">
        <f t="shared" si="7"/>
        <v>520.62</v>
      </c>
      <c r="H2022" s="23"/>
      <c r="I2022" s="23"/>
    </row>
    <row r="2023" spans="1:9">
      <c r="A2023" s="21" t="s">
        <v>7211</v>
      </c>
      <c r="B2023" s="21"/>
      <c r="C2023" s="22">
        <v>1303</v>
      </c>
      <c r="D2023" s="21">
        <v>519.45000000000005</v>
      </c>
      <c r="E2023" s="21" t="s">
        <v>5796</v>
      </c>
      <c r="F2023" s="23"/>
      <c r="G2023" s="23">
        <f t="shared" si="7"/>
        <v>519.45000000000005</v>
      </c>
      <c r="H2023" s="23"/>
      <c r="I2023" s="23"/>
    </row>
    <row r="2024" spans="1:9">
      <c r="A2024" s="21" t="s">
        <v>7212</v>
      </c>
      <c r="B2024" s="21"/>
      <c r="C2024" s="22">
        <v>1308</v>
      </c>
      <c r="D2024" s="21">
        <v>510.29</v>
      </c>
      <c r="E2024" s="21" t="s">
        <v>5796</v>
      </c>
      <c r="F2024" s="23"/>
      <c r="G2024" s="23">
        <f t="shared" si="7"/>
        <v>510.29</v>
      </c>
      <c r="H2024" s="23"/>
      <c r="I2024" s="23"/>
    </row>
    <row r="2025" spans="1:9">
      <c r="A2025" s="21" t="s">
        <v>7213</v>
      </c>
      <c r="B2025" s="21"/>
      <c r="C2025" s="22">
        <v>1309</v>
      </c>
      <c r="D2025" s="21">
        <v>508.75</v>
      </c>
      <c r="E2025" s="21" t="s">
        <v>5796</v>
      </c>
      <c r="F2025" s="23"/>
      <c r="G2025" s="23">
        <f t="shared" si="7"/>
        <v>508.75</v>
      </c>
      <c r="H2025" s="23"/>
      <c r="I2025" s="23"/>
    </row>
    <row r="2026" spans="1:9">
      <c r="A2026" s="21" t="s">
        <v>7214</v>
      </c>
      <c r="B2026" s="21"/>
      <c r="C2026" s="22">
        <v>1315</v>
      </c>
      <c r="D2026" s="21">
        <v>494.41</v>
      </c>
      <c r="E2026" s="21" t="s">
        <v>5796</v>
      </c>
      <c r="F2026" s="23"/>
      <c r="G2026" s="23">
        <f t="shared" si="7"/>
        <v>494.41</v>
      </c>
      <c r="H2026" s="23"/>
      <c r="I2026" s="23"/>
    </row>
    <row r="2027" spans="1:9">
      <c r="A2027" s="21" t="s">
        <v>7215</v>
      </c>
      <c r="B2027" s="21"/>
      <c r="C2027" s="22">
        <v>1317</v>
      </c>
      <c r="D2027" s="21">
        <v>493.13</v>
      </c>
      <c r="E2027" s="21" t="s">
        <v>5796</v>
      </c>
      <c r="F2027" s="23"/>
      <c r="G2027" s="23">
        <f t="shared" si="7"/>
        <v>493.13</v>
      </c>
      <c r="H2027" s="23"/>
      <c r="I2027" s="23"/>
    </row>
    <row r="2028" spans="1:9">
      <c r="A2028" s="21" t="s">
        <v>7216</v>
      </c>
      <c r="B2028" s="21"/>
      <c r="C2028" s="22">
        <v>1325</v>
      </c>
      <c r="D2028" s="21">
        <v>487.07</v>
      </c>
      <c r="E2028" s="21" t="s">
        <v>5796</v>
      </c>
      <c r="F2028" s="23"/>
      <c r="G2028" s="23">
        <f t="shared" si="7"/>
        <v>487.07</v>
      </c>
      <c r="H2028" s="23"/>
      <c r="I2028" s="23"/>
    </row>
    <row r="2029" spans="1:9">
      <c r="A2029" s="21" t="s">
        <v>7217</v>
      </c>
      <c r="B2029" s="21"/>
      <c r="C2029" s="22">
        <v>1328</v>
      </c>
      <c r="D2029" s="21">
        <v>486.34</v>
      </c>
      <c r="E2029" s="21" t="s">
        <v>5796</v>
      </c>
      <c r="F2029" s="23"/>
      <c r="G2029" s="23">
        <f t="shared" si="7"/>
        <v>486.34</v>
      </c>
      <c r="H2029" s="23"/>
      <c r="I2029" s="23"/>
    </row>
    <row r="2030" spans="1:9">
      <c r="A2030" s="21" t="s">
        <v>7218</v>
      </c>
      <c r="B2030" s="21"/>
      <c r="C2030" s="22">
        <v>1329</v>
      </c>
      <c r="D2030" s="21">
        <v>486.02</v>
      </c>
      <c r="E2030" s="21" t="s">
        <v>5796</v>
      </c>
      <c r="F2030" s="23"/>
      <c r="G2030" s="23">
        <f t="shared" si="7"/>
        <v>486.02</v>
      </c>
      <c r="H2030" s="23"/>
      <c r="I2030" s="23"/>
    </row>
    <row r="2031" spans="1:9">
      <c r="A2031" s="21" t="s">
        <v>7219</v>
      </c>
      <c r="B2031" s="21"/>
      <c r="C2031" s="22">
        <v>1332</v>
      </c>
      <c r="D2031" s="21">
        <v>478.8</v>
      </c>
      <c r="E2031" s="21" t="s">
        <v>5796</v>
      </c>
      <c r="F2031" s="23"/>
      <c r="G2031" s="23">
        <f t="shared" si="7"/>
        <v>478.8</v>
      </c>
      <c r="H2031" s="23"/>
      <c r="I2031" s="23"/>
    </row>
    <row r="2032" spans="1:9">
      <c r="A2032" s="21" t="s">
        <v>7220</v>
      </c>
      <c r="B2032" s="21"/>
      <c r="C2032" s="22">
        <v>1333</v>
      </c>
      <c r="D2032" s="21">
        <v>478.17</v>
      </c>
      <c r="E2032" s="21" t="s">
        <v>5796</v>
      </c>
      <c r="F2032" s="23"/>
      <c r="G2032" s="23">
        <f t="shared" si="7"/>
        <v>478.17</v>
      </c>
      <c r="H2032" s="23"/>
      <c r="I2032" s="23"/>
    </row>
    <row r="2033" spans="1:9">
      <c r="A2033" s="21" t="s">
        <v>7221</v>
      </c>
      <c r="B2033" s="21"/>
      <c r="C2033" s="22">
        <v>1334</v>
      </c>
      <c r="D2033" s="21">
        <v>475.65</v>
      </c>
      <c r="E2033" s="21" t="s">
        <v>5796</v>
      </c>
      <c r="F2033" s="23"/>
      <c r="G2033" s="23">
        <f t="shared" si="7"/>
        <v>475.65</v>
      </c>
      <c r="H2033" s="23"/>
      <c r="I2033" s="23"/>
    </row>
    <row r="2034" spans="1:9">
      <c r="A2034" s="21" t="s">
        <v>7222</v>
      </c>
      <c r="B2034" s="21"/>
      <c r="C2034" s="22">
        <v>1335</v>
      </c>
      <c r="D2034" s="21">
        <v>474.21</v>
      </c>
      <c r="E2034" s="21" t="s">
        <v>5796</v>
      </c>
      <c r="F2034" s="23"/>
      <c r="G2034" s="23">
        <f t="shared" si="7"/>
        <v>474.21</v>
      </c>
      <c r="H2034" s="23"/>
      <c r="I2034" s="23"/>
    </row>
    <row r="2035" spans="1:9">
      <c r="A2035" s="21" t="s">
        <v>7223</v>
      </c>
      <c r="B2035" s="21"/>
      <c r="C2035" s="22">
        <v>1336</v>
      </c>
      <c r="D2035" s="21">
        <v>474.03</v>
      </c>
      <c r="E2035" s="21" t="s">
        <v>5796</v>
      </c>
      <c r="F2035" s="23"/>
      <c r="G2035" s="23">
        <f t="shared" si="7"/>
        <v>474.03</v>
      </c>
      <c r="H2035" s="23"/>
      <c r="I2035" s="23"/>
    </row>
    <row r="2036" spans="1:9">
      <c r="A2036" s="21" t="s">
        <v>7224</v>
      </c>
      <c r="B2036" s="21"/>
      <c r="C2036" s="22">
        <v>1337</v>
      </c>
      <c r="D2036" s="21">
        <v>472.34</v>
      </c>
      <c r="E2036" s="21" t="s">
        <v>5796</v>
      </c>
      <c r="F2036" s="23"/>
      <c r="G2036" s="23">
        <f t="shared" si="7"/>
        <v>472.34</v>
      </c>
      <c r="H2036" s="23"/>
      <c r="I2036" s="23"/>
    </row>
    <row r="2037" spans="1:9">
      <c r="A2037" s="21" t="s">
        <v>7225</v>
      </c>
      <c r="B2037" s="21"/>
      <c r="C2037" s="22">
        <v>1338</v>
      </c>
      <c r="D2037" s="21">
        <v>470.42</v>
      </c>
      <c r="E2037" s="21" t="s">
        <v>5796</v>
      </c>
      <c r="F2037" s="23"/>
      <c r="G2037" s="23">
        <f t="shared" si="7"/>
        <v>470.42</v>
      </c>
      <c r="H2037" s="23"/>
      <c r="I2037" s="23"/>
    </row>
    <row r="2038" spans="1:9">
      <c r="A2038" s="21" t="s">
        <v>7226</v>
      </c>
      <c r="B2038" s="21"/>
      <c r="C2038" s="22">
        <v>1339</v>
      </c>
      <c r="D2038" s="21">
        <v>469.29</v>
      </c>
      <c r="E2038" s="21" t="s">
        <v>5796</v>
      </c>
      <c r="F2038" s="23"/>
      <c r="G2038" s="23">
        <f t="shared" si="7"/>
        <v>469.29</v>
      </c>
      <c r="H2038" s="23"/>
      <c r="I2038" s="23"/>
    </row>
    <row r="2039" spans="1:9">
      <c r="A2039" s="21" t="s">
        <v>7227</v>
      </c>
      <c r="B2039" s="21"/>
      <c r="C2039" s="22">
        <v>1345</v>
      </c>
      <c r="D2039" s="21">
        <v>461.68</v>
      </c>
      <c r="E2039" s="21" t="s">
        <v>5796</v>
      </c>
      <c r="F2039" s="23"/>
      <c r="G2039" s="23">
        <f t="shared" si="7"/>
        <v>461.68</v>
      </c>
      <c r="H2039" s="23"/>
      <c r="I2039" s="23"/>
    </row>
    <row r="2040" spans="1:9">
      <c r="A2040" s="21" t="s">
        <v>7228</v>
      </c>
      <c r="B2040" s="21"/>
      <c r="C2040" s="22">
        <v>1348</v>
      </c>
      <c r="D2040" s="21">
        <v>455.24</v>
      </c>
      <c r="E2040" s="21" t="s">
        <v>5796</v>
      </c>
      <c r="F2040" s="23"/>
      <c r="G2040" s="23">
        <f t="shared" si="7"/>
        <v>455.24</v>
      </c>
      <c r="H2040" s="23"/>
      <c r="I2040" s="23"/>
    </row>
    <row r="2041" spans="1:9">
      <c r="A2041" s="21" t="s">
        <v>7229</v>
      </c>
      <c r="B2041" s="21"/>
      <c r="C2041" s="22">
        <v>1349</v>
      </c>
      <c r="D2041" s="21">
        <v>455.22</v>
      </c>
      <c r="E2041" s="21" t="s">
        <v>5796</v>
      </c>
      <c r="F2041" s="23"/>
      <c r="G2041" s="23">
        <f t="shared" si="7"/>
        <v>455.22</v>
      </c>
      <c r="H2041" s="23"/>
      <c r="I2041" s="23"/>
    </row>
    <row r="2042" spans="1:9">
      <c r="A2042" s="21" t="s">
        <v>7230</v>
      </c>
      <c r="B2042" s="21"/>
      <c r="C2042" s="22">
        <v>1356</v>
      </c>
      <c r="D2042" s="21">
        <v>450.17</v>
      </c>
      <c r="E2042" s="21" t="s">
        <v>5796</v>
      </c>
      <c r="F2042" s="23"/>
      <c r="G2042" s="23">
        <f t="shared" si="7"/>
        <v>450.17</v>
      </c>
      <c r="H2042" s="23"/>
      <c r="I2042" s="23"/>
    </row>
    <row r="2043" spans="1:9">
      <c r="A2043" s="21" t="s">
        <v>7231</v>
      </c>
      <c r="B2043" s="21"/>
      <c r="C2043" s="22">
        <v>1358</v>
      </c>
      <c r="D2043" s="21">
        <v>447.25</v>
      </c>
      <c r="E2043" s="21" t="s">
        <v>5796</v>
      </c>
      <c r="F2043" s="23"/>
      <c r="G2043" s="23">
        <f t="shared" ref="G2043:G2297" si="8">VALUE(SUBSTITUTE(D2043, ",", ""))</f>
        <v>447.25</v>
      </c>
      <c r="H2043" s="23"/>
      <c r="I2043" s="23"/>
    </row>
    <row r="2044" spans="1:9">
      <c r="A2044" s="21" t="s">
        <v>7232</v>
      </c>
      <c r="B2044" s="21"/>
      <c r="C2044" s="22">
        <v>1359</v>
      </c>
      <c r="D2044" s="21">
        <v>446.51</v>
      </c>
      <c r="E2044" s="21" t="s">
        <v>5796</v>
      </c>
      <c r="F2044" s="23"/>
      <c r="G2044" s="23">
        <f t="shared" si="8"/>
        <v>446.51</v>
      </c>
      <c r="H2044" s="23"/>
      <c r="I2044" s="23"/>
    </row>
    <row r="2045" spans="1:9">
      <c r="A2045" s="21" t="s">
        <v>7233</v>
      </c>
      <c r="B2045" s="21"/>
      <c r="C2045" s="22">
        <v>1364</v>
      </c>
      <c r="D2045" s="21">
        <v>442.56</v>
      </c>
      <c r="E2045" s="21" t="s">
        <v>5796</v>
      </c>
      <c r="F2045" s="23"/>
      <c r="G2045" s="23">
        <f t="shared" si="8"/>
        <v>442.56</v>
      </c>
      <c r="H2045" s="23"/>
      <c r="I2045" s="23"/>
    </row>
    <row r="2046" spans="1:9">
      <c r="A2046" s="21" t="s">
        <v>7234</v>
      </c>
      <c r="B2046" s="21"/>
      <c r="C2046" s="22">
        <v>1365</v>
      </c>
      <c r="D2046" s="21">
        <v>441.76</v>
      </c>
      <c r="E2046" s="21" t="s">
        <v>5796</v>
      </c>
      <c r="F2046" s="23"/>
      <c r="G2046" s="23">
        <f t="shared" si="8"/>
        <v>441.76</v>
      </c>
      <c r="H2046" s="23"/>
      <c r="I2046" s="23"/>
    </row>
    <row r="2047" spans="1:9">
      <c r="A2047" s="21" t="s">
        <v>7235</v>
      </c>
      <c r="B2047" s="21"/>
      <c r="C2047" s="22">
        <v>1366</v>
      </c>
      <c r="D2047" s="21">
        <v>441.36</v>
      </c>
      <c r="E2047" s="21" t="s">
        <v>5796</v>
      </c>
      <c r="F2047" s="23"/>
      <c r="G2047" s="23">
        <f t="shared" si="8"/>
        <v>441.36</v>
      </c>
      <c r="H2047" s="23"/>
      <c r="I2047" s="23"/>
    </row>
    <row r="2048" spans="1:9">
      <c r="A2048" s="21" t="s">
        <v>7236</v>
      </c>
      <c r="B2048" s="21"/>
      <c r="C2048" s="22">
        <v>1367</v>
      </c>
      <c r="D2048" s="21">
        <v>441.29</v>
      </c>
      <c r="E2048" s="21" t="s">
        <v>5796</v>
      </c>
      <c r="F2048" s="23"/>
      <c r="G2048" s="23">
        <f t="shared" si="8"/>
        <v>441.29</v>
      </c>
      <c r="H2048" s="23"/>
      <c r="I2048" s="23"/>
    </row>
    <row r="2049" spans="1:9">
      <c r="A2049" s="21" t="s">
        <v>7237</v>
      </c>
      <c r="B2049" s="21"/>
      <c r="C2049" s="22">
        <v>1369</v>
      </c>
      <c r="D2049" s="21">
        <v>439.42</v>
      </c>
      <c r="E2049" s="21" t="s">
        <v>5796</v>
      </c>
      <c r="F2049" s="23"/>
      <c r="G2049" s="23">
        <f t="shared" si="8"/>
        <v>439.42</v>
      </c>
      <c r="H2049" s="23"/>
      <c r="I2049" s="23"/>
    </row>
    <row r="2050" spans="1:9">
      <c r="A2050" s="21" t="s">
        <v>7238</v>
      </c>
      <c r="B2050" s="21"/>
      <c r="C2050" s="22">
        <v>1373</v>
      </c>
      <c r="D2050" s="21">
        <v>435.39</v>
      </c>
      <c r="E2050" s="21" t="s">
        <v>5796</v>
      </c>
      <c r="F2050" s="23"/>
      <c r="G2050" s="23">
        <f t="shared" si="8"/>
        <v>435.39</v>
      </c>
      <c r="H2050" s="23"/>
      <c r="I2050" s="23"/>
    </row>
    <row r="2051" spans="1:9">
      <c r="A2051" s="21" t="s">
        <v>7239</v>
      </c>
      <c r="B2051" s="21"/>
      <c r="C2051" s="22">
        <v>1380</v>
      </c>
      <c r="D2051" s="21">
        <v>430.72</v>
      </c>
      <c r="E2051" s="21" t="s">
        <v>5796</v>
      </c>
      <c r="F2051" s="23"/>
      <c r="G2051" s="23">
        <f t="shared" si="8"/>
        <v>430.72</v>
      </c>
      <c r="H2051" s="23"/>
      <c r="I2051" s="23"/>
    </row>
    <row r="2052" spans="1:9">
      <c r="A2052" s="21" t="s">
        <v>7240</v>
      </c>
      <c r="B2052" s="21"/>
      <c r="C2052" s="22">
        <v>1381</v>
      </c>
      <c r="D2052" s="21">
        <v>430.61</v>
      </c>
      <c r="E2052" s="21" t="s">
        <v>5796</v>
      </c>
      <c r="F2052" s="23"/>
      <c r="G2052" s="23">
        <f t="shared" si="8"/>
        <v>430.61</v>
      </c>
      <c r="H2052" s="23"/>
      <c r="I2052" s="23"/>
    </row>
    <row r="2053" spans="1:9">
      <c r="A2053" s="21" t="s">
        <v>7241</v>
      </c>
      <c r="B2053" s="21"/>
      <c r="C2053" s="22">
        <v>1384</v>
      </c>
      <c r="D2053" s="21">
        <v>426.83</v>
      </c>
      <c r="E2053" s="21" t="s">
        <v>5796</v>
      </c>
      <c r="F2053" s="23"/>
      <c r="G2053" s="23">
        <f t="shared" si="8"/>
        <v>426.83</v>
      </c>
      <c r="H2053" s="23"/>
      <c r="I2053" s="23"/>
    </row>
    <row r="2054" spans="1:9">
      <c r="A2054" s="21" t="s">
        <v>7242</v>
      </c>
      <c r="B2054" s="21"/>
      <c r="C2054" s="22">
        <v>1386</v>
      </c>
      <c r="D2054" s="21">
        <v>426.3</v>
      </c>
      <c r="E2054" s="21" t="s">
        <v>5796</v>
      </c>
      <c r="F2054" s="23"/>
      <c r="G2054" s="23">
        <f t="shared" si="8"/>
        <v>426.3</v>
      </c>
      <c r="H2054" s="23"/>
      <c r="I2054" s="23"/>
    </row>
    <row r="2055" spans="1:9">
      <c r="A2055" s="21" t="s">
        <v>7243</v>
      </c>
      <c r="B2055" s="21"/>
      <c r="C2055" s="22">
        <v>1389</v>
      </c>
      <c r="D2055" s="21">
        <v>424.67</v>
      </c>
      <c r="E2055" s="21" t="s">
        <v>5796</v>
      </c>
      <c r="F2055" s="23"/>
      <c r="G2055" s="23">
        <f t="shared" si="8"/>
        <v>424.67</v>
      </c>
      <c r="H2055" s="23"/>
      <c r="I2055" s="23"/>
    </row>
    <row r="2056" spans="1:9">
      <c r="A2056" s="21" t="s">
        <v>7244</v>
      </c>
      <c r="B2056" s="21"/>
      <c r="C2056" s="22">
        <v>1391</v>
      </c>
      <c r="D2056" s="21">
        <v>418.15</v>
      </c>
      <c r="E2056" s="21" t="s">
        <v>5796</v>
      </c>
      <c r="F2056" s="23"/>
      <c r="G2056" s="23">
        <f t="shared" si="8"/>
        <v>418.15</v>
      </c>
      <c r="H2056" s="23"/>
      <c r="I2056" s="23"/>
    </row>
    <row r="2057" spans="1:9">
      <c r="A2057" s="21" t="s">
        <v>7245</v>
      </c>
      <c r="B2057" s="21"/>
      <c r="C2057" s="22">
        <v>1392</v>
      </c>
      <c r="D2057" s="21">
        <v>417.21</v>
      </c>
      <c r="E2057" s="21" t="s">
        <v>5796</v>
      </c>
      <c r="F2057" s="23"/>
      <c r="G2057" s="23">
        <f t="shared" si="8"/>
        <v>417.21</v>
      </c>
      <c r="H2057" s="23"/>
      <c r="I2057" s="23"/>
    </row>
    <row r="2058" spans="1:9">
      <c r="A2058" s="21" t="s">
        <v>7246</v>
      </c>
      <c r="B2058" s="21"/>
      <c r="C2058" s="22">
        <v>1397</v>
      </c>
      <c r="D2058" s="21">
        <v>410</v>
      </c>
      <c r="E2058" s="21" t="s">
        <v>5796</v>
      </c>
      <c r="F2058" s="23"/>
      <c r="G2058" s="23">
        <f t="shared" si="8"/>
        <v>410</v>
      </c>
      <c r="H2058" s="23"/>
      <c r="I2058" s="23"/>
    </row>
    <row r="2059" spans="1:9">
      <c r="A2059" s="21" t="s">
        <v>7247</v>
      </c>
      <c r="B2059" s="21"/>
      <c r="C2059" s="22">
        <v>1402</v>
      </c>
      <c r="D2059" s="21">
        <v>407.42</v>
      </c>
      <c r="E2059" s="21" t="s">
        <v>5796</v>
      </c>
      <c r="F2059" s="23"/>
      <c r="G2059" s="23">
        <f t="shared" si="8"/>
        <v>407.42</v>
      </c>
      <c r="H2059" s="23"/>
      <c r="I2059" s="23"/>
    </row>
    <row r="2060" spans="1:9">
      <c r="A2060" s="21" t="s">
        <v>7248</v>
      </c>
      <c r="B2060" s="21"/>
      <c r="C2060" s="22">
        <v>1406</v>
      </c>
      <c r="D2060" s="21">
        <v>404.37</v>
      </c>
      <c r="E2060" s="21" t="s">
        <v>5796</v>
      </c>
      <c r="F2060" s="23"/>
      <c r="G2060" s="23">
        <f t="shared" si="8"/>
        <v>404.37</v>
      </c>
      <c r="H2060" s="23"/>
      <c r="I2060" s="23"/>
    </row>
    <row r="2061" spans="1:9">
      <c r="A2061" s="21" t="s">
        <v>7249</v>
      </c>
      <c r="B2061" s="21"/>
      <c r="C2061" s="22">
        <v>1407</v>
      </c>
      <c r="D2061" s="21">
        <v>403.58</v>
      </c>
      <c r="E2061" s="21" t="s">
        <v>5796</v>
      </c>
      <c r="F2061" s="23"/>
      <c r="G2061" s="23">
        <f t="shared" si="8"/>
        <v>403.58</v>
      </c>
      <c r="H2061" s="23"/>
      <c r="I2061" s="23"/>
    </row>
    <row r="2062" spans="1:9">
      <c r="A2062" s="21" t="s">
        <v>7250</v>
      </c>
      <c r="B2062" s="21"/>
      <c r="C2062" s="22">
        <v>1418</v>
      </c>
      <c r="D2062" s="21">
        <v>398.41</v>
      </c>
      <c r="E2062" s="21" t="s">
        <v>5796</v>
      </c>
      <c r="F2062" s="23"/>
      <c r="G2062" s="23">
        <f t="shared" si="8"/>
        <v>398.41</v>
      </c>
      <c r="H2062" s="23"/>
      <c r="I2062" s="23"/>
    </row>
    <row r="2063" spans="1:9">
      <c r="A2063" s="21" t="s">
        <v>7251</v>
      </c>
      <c r="B2063" s="21"/>
      <c r="C2063" s="22">
        <v>1422</v>
      </c>
      <c r="D2063" s="21">
        <v>397.37</v>
      </c>
      <c r="E2063" s="21" t="s">
        <v>5796</v>
      </c>
      <c r="F2063" s="23"/>
      <c r="G2063" s="23">
        <f t="shared" si="8"/>
        <v>397.37</v>
      </c>
      <c r="H2063" s="23"/>
      <c r="I2063" s="23"/>
    </row>
    <row r="2064" spans="1:9">
      <c r="A2064" s="21" t="s">
        <v>7252</v>
      </c>
      <c r="B2064" s="21"/>
      <c r="C2064" s="22">
        <v>1425</v>
      </c>
      <c r="D2064" s="21">
        <v>395.02</v>
      </c>
      <c r="E2064" s="21" t="s">
        <v>5796</v>
      </c>
      <c r="F2064" s="23"/>
      <c r="G2064" s="23">
        <f t="shared" si="8"/>
        <v>395.02</v>
      </c>
      <c r="H2064" s="23"/>
      <c r="I2064" s="23"/>
    </row>
    <row r="2065" spans="1:9">
      <c r="A2065" s="21" t="s">
        <v>7253</v>
      </c>
      <c r="B2065" s="21"/>
      <c r="C2065" s="22">
        <v>1431</v>
      </c>
      <c r="D2065" s="21">
        <v>391.88</v>
      </c>
      <c r="E2065" s="21" t="s">
        <v>5796</v>
      </c>
      <c r="F2065" s="23"/>
      <c r="G2065" s="23">
        <f t="shared" si="8"/>
        <v>391.88</v>
      </c>
      <c r="H2065" s="23"/>
      <c r="I2065" s="23"/>
    </row>
    <row r="2066" spans="1:9">
      <c r="A2066" s="21" t="s">
        <v>7254</v>
      </c>
      <c r="B2066" s="21"/>
      <c r="C2066" s="22">
        <v>1434</v>
      </c>
      <c r="D2066" s="21">
        <v>390.02</v>
      </c>
      <c r="E2066" s="21" t="s">
        <v>5796</v>
      </c>
      <c r="F2066" s="23"/>
      <c r="G2066" s="23">
        <f t="shared" si="8"/>
        <v>390.02</v>
      </c>
      <c r="H2066" s="23"/>
      <c r="I2066" s="23"/>
    </row>
    <row r="2067" spans="1:9">
      <c r="A2067" s="21" t="s">
        <v>7255</v>
      </c>
      <c r="B2067" s="21"/>
      <c r="C2067" s="22">
        <v>1436</v>
      </c>
      <c r="D2067" s="21">
        <v>389.46</v>
      </c>
      <c r="E2067" s="21" t="s">
        <v>5796</v>
      </c>
      <c r="F2067" s="23"/>
      <c r="G2067" s="23">
        <f t="shared" si="8"/>
        <v>389.46</v>
      </c>
      <c r="H2067" s="23"/>
      <c r="I2067" s="23"/>
    </row>
    <row r="2068" spans="1:9">
      <c r="A2068" s="21" t="s">
        <v>7256</v>
      </c>
      <c r="B2068" s="21"/>
      <c r="C2068" s="22">
        <v>1437</v>
      </c>
      <c r="D2068" s="21">
        <v>388.75</v>
      </c>
      <c r="E2068" s="21" t="s">
        <v>5796</v>
      </c>
      <c r="F2068" s="23"/>
      <c r="G2068" s="23">
        <f t="shared" si="8"/>
        <v>388.75</v>
      </c>
      <c r="H2068" s="23"/>
      <c r="I2068" s="23"/>
    </row>
    <row r="2069" spans="1:9">
      <c r="A2069" s="21" t="s">
        <v>7257</v>
      </c>
      <c r="B2069" s="21"/>
      <c r="C2069" s="22">
        <v>1444</v>
      </c>
      <c r="D2069" s="21">
        <v>383.49</v>
      </c>
      <c r="E2069" s="21" t="s">
        <v>5796</v>
      </c>
      <c r="F2069" s="23"/>
      <c r="G2069" s="23">
        <f t="shared" si="8"/>
        <v>383.49</v>
      </c>
      <c r="H2069" s="23"/>
      <c r="I2069" s="23"/>
    </row>
    <row r="2070" spans="1:9">
      <c r="A2070" s="21" t="s">
        <v>7258</v>
      </c>
      <c r="B2070" s="21"/>
      <c r="C2070" s="22">
        <v>1447</v>
      </c>
      <c r="D2070" s="21">
        <v>381.99</v>
      </c>
      <c r="E2070" s="21" t="s">
        <v>5796</v>
      </c>
      <c r="F2070" s="23"/>
      <c r="G2070" s="23">
        <f t="shared" si="8"/>
        <v>381.99</v>
      </c>
      <c r="H2070" s="23"/>
      <c r="I2070" s="23"/>
    </row>
    <row r="2071" spans="1:9">
      <c r="A2071" s="21" t="s">
        <v>4844</v>
      </c>
      <c r="B2071" s="21"/>
      <c r="C2071" s="22">
        <v>1455</v>
      </c>
      <c r="D2071" s="21">
        <v>376.57</v>
      </c>
      <c r="E2071" s="21" t="s">
        <v>5796</v>
      </c>
      <c r="F2071" s="23"/>
      <c r="G2071" s="23">
        <f t="shared" si="8"/>
        <v>376.57</v>
      </c>
      <c r="H2071" s="23"/>
      <c r="I2071" s="23"/>
    </row>
    <row r="2072" spans="1:9">
      <c r="A2072" s="21" t="s">
        <v>7259</v>
      </c>
      <c r="B2072" s="21"/>
      <c r="C2072" s="22">
        <v>1456</v>
      </c>
      <c r="D2072" s="21">
        <v>376.48</v>
      </c>
      <c r="E2072" s="21" t="s">
        <v>5796</v>
      </c>
      <c r="F2072" s="23"/>
      <c r="G2072" s="23">
        <f t="shared" si="8"/>
        <v>376.48</v>
      </c>
      <c r="H2072" s="23"/>
      <c r="I2072" s="23"/>
    </row>
    <row r="2073" spans="1:9">
      <c r="A2073" s="21" t="s">
        <v>7260</v>
      </c>
      <c r="B2073" s="21"/>
      <c r="C2073" s="22">
        <v>1463</v>
      </c>
      <c r="D2073" s="21">
        <v>372.67</v>
      </c>
      <c r="E2073" s="21" t="s">
        <v>5796</v>
      </c>
      <c r="F2073" s="23"/>
      <c r="G2073" s="23">
        <f t="shared" si="8"/>
        <v>372.67</v>
      </c>
      <c r="H2073" s="23"/>
      <c r="I2073" s="23"/>
    </row>
    <row r="2074" spans="1:9">
      <c r="A2074" s="21" t="s">
        <v>7261</v>
      </c>
      <c r="B2074" s="21"/>
      <c r="C2074" s="22">
        <v>1464</v>
      </c>
      <c r="D2074" s="21">
        <v>371.5</v>
      </c>
      <c r="E2074" s="21" t="s">
        <v>5796</v>
      </c>
      <c r="F2074" s="23"/>
      <c r="G2074" s="23">
        <f t="shared" si="8"/>
        <v>371.5</v>
      </c>
      <c r="H2074" s="23"/>
      <c r="I2074" s="23"/>
    </row>
    <row r="2075" spans="1:9">
      <c r="A2075" s="21" t="s">
        <v>7262</v>
      </c>
      <c r="B2075" s="21"/>
      <c r="C2075" s="22">
        <v>1465</v>
      </c>
      <c r="D2075" s="21">
        <v>370.71</v>
      </c>
      <c r="E2075" s="21" t="s">
        <v>5796</v>
      </c>
      <c r="F2075" s="23"/>
      <c r="G2075" s="23">
        <f t="shared" si="8"/>
        <v>370.71</v>
      </c>
      <c r="H2075" s="23"/>
      <c r="I2075" s="23"/>
    </row>
    <row r="2076" spans="1:9">
      <c r="A2076" s="21" t="s">
        <v>7263</v>
      </c>
      <c r="B2076" s="21"/>
      <c r="C2076" s="22">
        <v>1467</v>
      </c>
      <c r="D2076" s="21">
        <v>368.23</v>
      </c>
      <c r="E2076" s="21" t="s">
        <v>5796</v>
      </c>
      <c r="F2076" s="23"/>
      <c r="G2076" s="23">
        <f t="shared" si="8"/>
        <v>368.23</v>
      </c>
      <c r="H2076" s="23"/>
      <c r="I2076" s="23"/>
    </row>
    <row r="2077" spans="1:9">
      <c r="A2077" s="21" t="s">
        <v>7264</v>
      </c>
      <c r="B2077" s="21"/>
      <c r="C2077" s="22">
        <v>1469</v>
      </c>
      <c r="D2077" s="21">
        <v>368.04</v>
      </c>
      <c r="E2077" s="21" t="s">
        <v>5796</v>
      </c>
      <c r="F2077" s="23"/>
      <c r="G2077" s="23">
        <f t="shared" si="8"/>
        <v>368.04</v>
      </c>
      <c r="H2077" s="23"/>
      <c r="I2077" s="23"/>
    </row>
    <row r="2078" spans="1:9">
      <c r="A2078" s="21" t="s">
        <v>7265</v>
      </c>
      <c r="B2078" s="21"/>
      <c r="C2078" s="22">
        <v>1470</v>
      </c>
      <c r="D2078" s="21">
        <v>367.09</v>
      </c>
      <c r="E2078" s="21" t="s">
        <v>5796</v>
      </c>
      <c r="F2078" s="23"/>
      <c r="G2078" s="23">
        <f t="shared" si="8"/>
        <v>367.09</v>
      </c>
      <c r="H2078" s="23"/>
      <c r="I2078" s="23"/>
    </row>
    <row r="2079" spans="1:9">
      <c r="A2079" s="21" t="s">
        <v>7266</v>
      </c>
      <c r="B2079" s="21"/>
      <c r="C2079" s="22">
        <v>1473</v>
      </c>
      <c r="D2079" s="21">
        <v>362.81</v>
      </c>
      <c r="E2079" s="21" t="s">
        <v>5796</v>
      </c>
      <c r="F2079" s="23"/>
      <c r="G2079" s="23">
        <f t="shared" si="8"/>
        <v>362.81</v>
      </c>
      <c r="H2079" s="23"/>
      <c r="I2079" s="23"/>
    </row>
    <row r="2080" spans="1:9">
      <c r="A2080" s="21" t="s">
        <v>7267</v>
      </c>
      <c r="B2080" s="21"/>
      <c r="C2080" s="22">
        <v>1474</v>
      </c>
      <c r="D2080" s="21">
        <v>362.39</v>
      </c>
      <c r="E2080" s="21" t="s">
        <v>5796</v>
      </c>
      <c r="F2080" s="23"/>
      <c r="G2080" s="23">
        <f t="shared" si="8"/>
        <v>362.39</v>
      </c>
      <c r="H2080" s="23"/>
      <c r="I2080" s="23"/>
    </row>
    <row r="2081" spans="1:9">
      <c r="A2081" s="21" t="s">
        <v>7268</v>
      </c>
      <c r="B2081" s="21"/>
      <c r="C2081" s="22">
        <v>1477</v>
      </c>
      <c r="D2081" s="21">
        <v>361</v>
      </c>
      <c r="E2081" s="21" t="s">
        <v>5796</v>
      </c>
      <c r="F2081" s="23"/>
      <c r="G2081" s="23">
        <f t="shared" si="8"/>
        <v>361</v>
      </c>
      <c r="H2081" s="23"/>
      <c r="I2081" s="23"/>
    </row>
    <row r="2082" spans="1:9">
      <c r="A2082" s="21" t="s">
        <v>7269</v>
      </c>
      <c r="B2082" s="21"/>
      <c r="C2082" s="22">
        <v>1479</v>
      </c>
      <c r="D2082" s="21">
        <v>358.98</v>
      </c>
      <c r="E2082" s="21" t="s">
        <v>5796</v>
      </c>
      <c r="F2082" s="23"/>
      <c r="G2082" s="23">
        <f t="shared" si="8"/>
        <v>358.98</v>
      </c>
      <c r="H2082" s="23"/>
      <c r="I2082" s="23"/>
    </row>
    <row r="2083" spans="1:9">
      <c r="A2083" s="21" t="s">
        <v>7270</v>
      </c>
      <c r="B2083" s="21"/>
      <c r="C2083" s="22">
        <v>1481</v>
      </c>
      <c r="D2083" s="21">
        <v>357.31</v>
      </c>
      <c r="E2083" s="21" t="s">
        <v>5796</v>
      </c>
      <c r="F2083" s="23"/>
      <c r="G2083" s="23">
        <f t="shared" si="8"/>
        <v>357.31</v>
      </c>
      <c r="H2083" s="23"/>
      <c r="I2083" s="23"/>
    </row>
    <row r="2084" spans="1:9">
      <c r="A2084" s="21" t="s">
        <v>7271</v>
      </c>
      <c r="B2084" s="21"/>
      <c r="C2084" s="22">
        <v>1483</v>
      </c>
      <c r="D2084" s="21">
        <v>357.13</v>
      </c>
      <c r="E2084" s="21" t="s">
        <v>5796</v>
      </c>
      <c r="F2084" s="23"/>
      <c r="G2084" s="23">
        <f t="shared" si="8"/>
        <v>357.13</v>
      </c>
      <c r="H2084" s="23"/>
      <c r="I2084" s="23"/>
    </row>
    <row r="2085" spans="1:9">
      <c r="A2085" s="21" t="s">
        <v>7272</v>
      </c>
      <c r="B2085" s="21"/>
      <c r="C2085" s="22">
        <v>1485</v>
      </c>
      <c r="D2085" s="21">
        <v>355.81</v>
      </c>
      <c r="E2085" s="21" t="s">
        <v>5796</v>
      </c>
      <c r="F2085" s="23"/>
      <c r="G2085" s="23">
        <f t="shared" si="8"/>
        <v>355.81</v>
      </c>
      <c r="H2085" s="23"/>
      <c r="I2085" s="23"/>
    </row>
    <row r="2086" spans="1:9">
      <c r="A2086" s="21" t="s">
        <v>7273</v>
      </c>
      <c r="B2086" s="21"/>
      <c r="C2086" s="22">
        <v>1493</v>
      </c>
      <c r="D2086" s="21">
        <v>350.87</v>
      </c>
      <c r="E2086" s="21" t="s">
        <v>5796</v>
      </c>
      <c r="F2086" s="23"/>
      <c r="G2086" s="23">
        <f t="shared" si="8"/>
        <v>350.87</v>
      </c>
      <c r="H2086" s="23"/>
      <c r="I2086" s="23"/>
    </row>
    <row r="2087" spans="1:9">
      <c r="A2087" s="21" t="s">
        <v>7274</v>
      </c>
      <c r="B2087" s="21"/>
      <c r="C2087" s="22">
        <v>1496</v>
      </c>
      <c r="D2087" s="21">
        <v>349.39</v>
      </c>
      <c r="E2087" s="21" t="s">
        <v>5796</v>
      </c>
      <c r="F2087" s="23"/>
      <c r="G2087" s="23">
        <f t="shared" si="8"/>
        <v>349.39</v>
      </c>
      <c r="H2087" s="23"/>
      <c r="I2087" s="23"/>
    </row>
    <row r="2088" spans="1:9">
      <c r="A2088" s="21" t="s">
        <v>7275</v>
      </c>
      <c r="B2088" s="21"/>
      <c r="C2088" s="22">
        <v>1499</v>
      </c>
      <c r="D2088" s="21">
        <v>348</v>
      </c>
      <c r="E2088" s="21" t="s">
        <v>5796</v>
      </c>
      <c r="F2088" s="23"/>
      <c r="G2088" s="23">
        <f t="shared" si="8"/>
        <v>348</v>
      </c>
      <c r="H2088" s="23"/>
      <c r="I2088" s="23"/>
    </row>
    <row r="2089" spans="1:9">
      <c r="A2089" s="21" t="s">
        <v>7276</v>
      </c>
      <c r="B2089" s="21"/>
      <c r="C2089" s="22">
        <v>1500</v>
      </c>
      <c r="D2089" s="21">
        <v>345.47</v>
      </c>
      <c r="E2089" s="21" t="s">
        <v>5796</v>
      </c>
      <c r="F2089" s="23"/>
      <c r="G2089" s="23">
        <f t="shared" si="8"/>
        <v>345.47</v>
      </c>
      <c r="H2089" s="23"/>
      <c r="I2089" s="23"/>
    </row>
    <row r="2090" spans="1:9">
      <c r="A2090" s="21" t="s">
        <v>7277</v>
      </c>
      <c r="B2090" s="21"/>
      <c r="C2090" s="22">
        <v>1501</v>
      </c>
      <c r="D2090" s="21">
        <v>345.44</v>
      </c>
      <c r="E2090" s="21" t="s">
        <v>5796</v>
      </c>
      <c r="F2090" s="23"/>
      <c r="G2090" s="23">
        <f t="shared" si="8"/>
        <v>345.44</v>
      </c>
      <c r="H2090" s="23"/>
      <c r="I2090" s="23"/>
    </row>
    <row r="2091" spans="1:9">
      <c r="A2091" s="21" t="s">
        <v>7278</v>
      </c>
      <c r="B2091" s="21"/>
      <c r="C2091" s="22">
        <v>1503</v>
      </c>
      <c r="D2091" s="21">
        <v>342.79</v>
      </c>
      <c r="E2091" s="21" t="s">
        <v>5796</v>
      </c>
      <c r="F2091" s="23"/>
      <c r="G2091" s="23">
        <f t="shared" si="8"/>
        <v>342.79</v>
      </c>
      <c r="H2091" s="23"/>
      <c r="I2091" s="23"/>
    </row>
    <row r="2092" spans="1:9">
      <c r="A2092" s="21" t="s">
        <v>7279</v>
      </c>
      <c r="B2092" s="21"/>
      <c r="C2092" s="22">
        <v>1504</v>
      </c>
      <c r="D2092" s="21">
        <v>342.47</v>
      </c>
      <c r="E2092" s="21" t="s">
        <v>5796</v>
      </c>
      <c r="F2092" s="23"/>
      <c r="G2092" s="23">
        <f t="shared" si="8"/>
        <v>342.47</v>
      </c>
      <c r="H2092" s="23"/>
      <c r="I2092" s="23"/>
    </row>
    <row r="2093" spans="1:9">
      <c r="A2093" s="21" t="s">
        <v>7280</v>
      </c>
      <c r="B2093" s="21"/>
      <c r="C2093" s="22">
        <v>1511</v>
      </c>
      <c r="D2093" s="21">
        <v>338.61</v>
      </c>
      <c r="E2093" s="21" t="s">
        <v>5796</v>
      </c>
      <c r="F2093" s="23"/>
      <c r="G2093" s="23">
        <f t="shared" si="8"/>
        <v>338.61</v>
      </c>
      <c r="H2093" s="23"/>
      <c r="I2093" s="23"/>
    </row>
    <row r="2094" spans="1:9">
      <c r="A2094" s="21" t="s">
        <v>7281</v>
      </c>
      <c r="B2094" s="21"/>
      <c r="C2094" s="22">
        <v>1512</v>
      </c>
      <c r="D2094" s="21">
        <v>337.91</v>
      </c>
      <c r="E2094" s="21" t="s">
        <v>5796</v>
      </c>
      <c r="F2094" s="23"/>
      <c r="G2094" s="23">
        <f t="shared" si="8"/>
        <v>337.91</v>
      </c>
      <c r="H2094" s="23"/>
      <c r="I2094" s="23"/>
    </row>
    <row r="2095" spans="1:9">
      <c r="A2095" s="21" t="s">
        <v>7282</v>
      </c>
      <c r="B2095" s="21"/>
      <c r="C2095" s="22">
        <v>1513</v>
      </c>
      <c r="D2095" s="21">
        <v>337.55</v>
      </c>
      <c r="E2095" s="21" t="s">
        <v>5796</v>
      </c>
      <c r="F2095" s="23"/>
      <c r="G2095" s="23">
        <f t="shared" si="8"/>
        <v>337.55</v>
      </c>
      <c r="H2095" s="23"/>
      <c r="I2095" s="23"/>
    </row>
    <row r="2096" spans="1:9">
      <c r="A2096" s="21" t="s">
        <v>7283</v>
      </c>
      <c r="B2096" s="21"/>
      <c r="C2096" s="22">
        <v>1514</v>
      </c>
      <c r="D2096" s="21">
        <v>337.05</v>
      </c>
      <c r="E2096" s="21" t="s">
        <v>5796</v>
      </c>
      <c r="F2096" s="23"/>
      <c r="G2096" s="23">
        <f t="shared" si="8"/>
        <v>337.05</v>
      </c>
      <c r="H2096" s="23"/>
      <c r="I2096" s="23"/>
    </row>
    <row r="2097" spans="1:9">
      <c r="A2097" s="21" t="s">
        <v>7284</v>
      </c>
      <c r="B2097" s="21"/>
      <c r="C2097" s="22">
        <v>1521</v>
      </c>
      <c r="D2097" s="21">
        <v>332.12</v>
      </c>
      <c r="E2097" s="21" t="s">
        <v>5796</v>
      </c>
      <c r="F2097" s="23"/>
      <c r="G2097" s="23">
        <f t="shared" si="8"/>
        <v>332.12</v>
      </c>
      <c r="H2097" s="23"/>
      <c r="I2097" s="23"/>
    </row>
    <row r="2098" spans="1:9">
      <c r="A2098" s="21" t="s">
        <v>7285</v>
      </c>
      <c r="B2098" s="21"/>
      <c r="C2098" s="22">
        <v>1524</v>
      </c>
      <c r="D2098" s="21">
        <v>330.59</v>
      </c>
      <c r="E2098" s="21" t="s">
        <v>5796</v>
      </c>
      <c r="F2098" s="23"/>
      <c r="G2098" s="23">
        <f t="shared" si="8"/>
        <v>330.59</v>
      </c>
      <c r="H2098" s="23"/>
      <c r="I2098" s="23"/>
    </row>
    <row r="2099" spans="1:9">
      <c r="A2099" s="21" t="s">
        <v>7286</v>
      </c>
      <c r="B2099" s="21"/>
      <c r="C2099" s="22">
        <v>1525</v>
      </c>
      <c r="D2099" s="21">
        <v>330.36</v>
      </c>
      <c r="E2099" s="21" t="s">
        <v>5796</v>
      </c>
      <c r="F2099" s="23"/>
      <c r="G2099" s="23">
        <f t="shared" si="8"/>
        <v>330.36</v>
      </c>
      <c r="H2099" s="23"/>
      <c r="I2099" s="23"/>
    </row>
    <row r="2100" spans="1:9">
      <c r="A2100" s="21" t="s">
        <v>7287</v>
      </c>
      <c r="B2100" s="21"/>
      <c r="C2100" s="22">
        <v>1527</v>
      </c>
      <c r="D2100" s="21">
        <v>329.42</v>
      </c>
      <c r="E2100" s="21" t="s">
        <v>5796</v>
      </c>
      <c r="F2100" s="23"/>
      <c r="G2100" s="23">
        <f t="shared" si="8"/>
        <v>329.42</v>
      </c>
      <c r="H2100" s="23"/>
      <c r="I2100" s="23"/>
    </row>
    <row r="2101" spans="1:9">
      <c r="A2101" s="21" t="s">
        <v>7288</v>
      </c>
      <c r="B2101" s="21"/>
      <c r="C2101" s="22">
        <v>1530</v>
      </c>
      <c r="D2101" s="21">
        <v>326.98</v>
      </c>
      <c r="E2101" s="21" t="s">
        <v>5796</v>
      </c>
      <c r="F2101" s="23"/>
      <c r="G2101" s="23">
        <f t="shared" si="8"/>
        <v>326.98</v>
      </c>
      <c r="H2101" s="23"/>
      <c r="I2101" s="23"/>
    </row>
    <row r="2102" spans="1:9">
      <c r="A2102" s="21" t="s">
        <v>7289</v>
      </c>
      <c r="B2102" s="21"/>
      <c r="C2102" s="22">
        <v>1531</v>
      </c>
      <c r="D2102" s="21">
        <v>326.70999999999998</v>
      </c>
      <c r="E2102" s="21" t="s">
        <v>5796</v>
      </c>
      <c r="F2102" s="23"/>
      <c r="G2102" s="23">
        <f t="shared" si="8"/>
        <v>326.70999999999998</v>
      </c>
      <c r="H2102" s="23"/>
      <c r="I2102" s="23"/>
    </row>
    <row r="2103" spans="1:9">
      <c r="A2103" s="21" t="s">
        <v>7290</v>
      </c>
      <c r="B2103" s="21"/>
      <c r="C2103" s="22">
        <v>1533</v>
      </c>
      <c r="D2103" s="21">
        <v>325.45999999999998</v>
      </c>
      <c r="E2103" s="21" t="s">
        <v>5796</v>
      </c>
      <c r="F2103" s="23"/>
      <c r="G2103" s="23">
        <f t="shared" si="8"/>
        <v>325.45999999999998</v>
      </c>
      <c r="H2103" s="23"/>
      <c r="I2103" s="23"/>
    </row>
    <row r="2104" spans="1:9">
      <c r="A2104" s="21" t="s">
        <v>7291</v>
      </c>
      <c r="B2104" s="21"/>
      <c r="C2104" s="22">
        <v>1534</v>
      </c>
      <c r="D2104" s="21">
        <v>324.74</v>
      </c>
      <c r="E2104" s="21" t="s">
        <v>5796</v>
      </c>
      <c r="F2104" s="23"/>
      <c r="G2104" s="23">
        <f t="shared" si="8"/>
        <v>324.74</v>
      </c>
      <c r="H2104" s="23"/>
      <c r="I2104" s="23"/>
    </row>
    <row r="2105" spans="1:9">
      <c r="A2105" s="21" t="s">
        <v>7292</v>
      </c>
      <c r="B2105" s="21"/>
      <c r="C2105" s="22">
        <v>1536</v>
      </c>
      <c r="D2105" s="21">
        <v>324.39</v>
      </c>
      <c r="E2105" s="21" t="s">
        <v>5796</v>
      </c>
      <c r="F2105" s="23"/>
      <c r="G2105" s="23">
        <f t="shared" si="8"/>
        <v>324.39</v>
      </c>
      <c r="H2105" s="23"/>
      <c r="I2105" s="23"/>
    </row>
    <row r="2106" spans="1:9">
      <c r="A2106" s="21" t="s">
        <v>7293</v>
      </c>
      <c r="B2106" s="21"/>
      <c r="C2106" s="22">
        <v>1539</v>
      </c>
      <c r="D2106" s="21">
        <v>322.49</v>
      </c>
      <c r="E2106" s="21" t="s">
        <v>5796</v>
      </c>
      <c r="F2106" s="23"/>
      <c r="G2106" s="23">
        <f t="shared" si="8"/>
        <v>322.49</v>
      </c>
      <c r="H2106" s="23"/>
      <c r="I2106" s="23"/>
    </row>
    <row r="2107" spans="1:9">
      <c r="A2107" s="21" t="s">
        <v>7294</v>
      </c>
      <c r="B2107" s="21"/>
      <c r="C2107" s="22">
        <v>1540</v>
      </c>
      <c r="D2107" s="21">
        <v>321.83</v>
      </c>
      <c r="E2107" s="21" t="s">
        <v>5796</v>
      </c>
      <c r="F2107" s="23"/>
      <c r="G2107" s="23">
        <f t="shared" si="8"/>
        <v>321.83</v>
      </c>
      <c r="H2107" s="23"/>
      <c r="I2107" s="23"/>
    </row>
    <row r="2108" spans="1:9">
      <c r="A2108" s="21" t="s">
        <v>7295</v>
      </c>
      <c r="B2108" s="21"/>
      <c r="C2108" s="22">
        <v>1541</v>
      </c>
      <c r="D2108" s="21">
        <v>321.33</v>
      </c>
      <c r="E2108" s="21" t="s">
        <v>5796</v>
      </c>
      <c r="F2108" s="23"/>
      <c r="G2108" s="23">
        <f t="shared" si="8"/>
        <v>321.33</v>
      </c>
      <c r="H2108" s="23"/>
      <c r="I2108" s="23"/>
    </row>
    <row r="2109" spans="1:9">
      <c r="A2109" s="21" t="s">
        <v>7296</v>
      </c>
      <c r="B2109" s="21"/>
      <c r="C2109" s="22">
        <v>1545</v>
      </c>
      <c r="D2109" s="21">
        <v>318.94</v>
      </c>
      <c r="E2109" s="21" t="s">
        <v>5796</v>
      </c>
      <c r="F2109" s="23"/>
      <c r="G2109" s="23">
        <f t="shared" si="8"/>
        <v>318.94</v>
      </c>
      <c r="H2109" s="23"/>
      <c r="I2109" s="23"/>
    </row>
    <row r="2110" spans="1:9">
      <c r="A2110" s="21" t="s">
        <v>7297</v>
      </c>
      <c r="B2110" s="21"/>
      <c r="C2110" s="22">
        <v>1548</v>
      </c>
      <c r="D2110" s="21">
        <v>316.99</v>
      </c>
      <c r="E2110" s="21" t="s">
        <v>5796</v>
      </c>
      <c r="F2110" s="23"/>
      <c r="G2110" s="23">
        <f t="shared" si="8"/>
        <v>316.99</v>
      </c>
      <c r="H2110" s="23"/>
      <c r="I2110" s="23"/>
    </row>
    <row r="2111" spans="1:9">
      <c r="A2111" s="21" t="s">
        <v>7298</v>
      </c>
      <c r="B2111" s="21"/>
      <c r="C2111" s="22">
        <v>1549</v>
      </c>
      <c r="D2111" s="21">
        <v>316.61</v>
      </c>
      <c r="E2111" s="21" t="s">
        <v>5796</v>
      </c>
      <c r="F2111" s="23"/>
      <c r="G2111" s="23">
        <f t="shared" si="8"/>
        <v>316.61</v>
      </c>
      <c r="H2111" s="23"/>
      <c r="I2111" s="23"/>
    </row>
    <row r="2112" spans="1:9">
      <c r="A2112" s="21" t="s">
        <v>7299</v>
      </c>
      <c r="B2112" s="21"/>
      <c r="C2112" s="22">
        <v>1551</v>
      </c>
      <c r="D2112" s="21">
        <v>315.99</v>
      </c>
      <c r="E2112" s="21" t="s">
        <v>5796</v>
      </c>
      <c r="F2112" s="23"/>
      <c r="G2112" s="23">
        <f t="shared" si="8"/>
        <v>315.99</v>
      </c>
      <c r="H2112" s="23"/>
      <c r="I2112" s="23"/>
    </row>
    <row r="2113" spans="1:9">
      <c r="A2113" s="21" t="s">
        <v>7300</v>
      </c>
      <c r="B2113" s="21"/>
      <c r="C2113" s="22">
        <v>1552</v>
      </c>
      <c r="D2113" s="21">
        <v>315.29000000000002</v>
      </c>
      <c r="E2113" s="21" t="s">
        <v>5796</v>
      </c>
      <c r="F2113" s="23"/>
      <c r="G2113" s="23">
        <f t="shared" si="8"/>
        <v>315.29000000000002</v>
      </c>
      <c r="H2113" s="23"/>
      <c r="I2113" s="23"/>
    </row>
    <row r="2114" spans="1:9">
      <c r="A2114" s="21" t="s">
        <v>7301</v>
      </c>
      <c r="B2114" s="21"/>
      <c r="C2114" s="22">
        <v>1554</v>
      </c>
      <c r="D2114" s="21">
        <v>312.47000000000003</v>
      </c>
      <c r="E2114" s="21" t="s">
        <v>5796</v>
      </c>
      <c r="F2114" s="23"/>
      <c r="G2114" s="23">
        <f t="shared" si="8"/>
        <v>312.47000000000003</v>
      </c>
      <c r="H2114" s="23"/>
      <c r="I2114" s="23"/>
    </row>
    <row r="2115" spans="1:9">
      <c r="A2115" s="21" t="s">
        <v>7302</v>
      </c>
      <c r="B2115" s="21"/>
      <c r="C2115" s="22">
        <v>1560</v>
      </c>
      <c r="D2115" s="21">
        <v>309.07</v>
      </c>
      <c r="E2115" s="21" t="s">
        <v>5796</v>
      </c>
      <c r="F2115" s="23"/>
      <c r="G2115" s="23">
        <f t="shared" si="8"/>
        <v>309.07</v>
      </c>
      <c r="H2115" s="23"/>
      <c r="I2115" s="23"/>
    </row>
    <row r="2116" spans="1:9">
      <c r="A2116" s="21" t="s">
        <v>7303</v>
      </c>
      <c r="B2116" s="21"/>
      <c r="C2116" s="22">
        <v>1563</v>
      </c>
      <c r="D2116" s="21">
        <v>308.08</v>
      </c>
      <c r="E2116" s="21" t="s">
        <v>5796</v>
      </c>
      <c r="F2116" s="23"/>
      <c r="G2116" s="23">
        <f t="shared" si="8"/>
        <v>308.08</v>
      </c>
      <c r="H2116" s="23"/>
      <c r="I2116" s="23"/>
    </row>
    <row r="2117" spans="1:9">
      <c r="A2117" s="21" t="s">
        <v>7304</v>
      </c>
      <c r="B2117" s="21"/>
      <c r="C2117" s="22">
        <v>1565</v>
      </c>
      <c r="D2117" s="21">
        <v>307.2</v>
      </c>
      <c r="E2117" s="21" t="s">
        <v>5796</v>
      </c>
      <c r="F2117" s="23"/>
      <c r="G2117" s="23">
        <f t="shared" si="8"/>
        <v>307.2</v>
      </c>
      <c r="H2117" s="23"/>
      <c r="I2117" s="23"/>
    </row>
    <row r="2118" spans="1:9">
      <c r="A2118" s="21" t="s">
        <v>7305</v>
      </c>
      <c r="B2118" s="21"/>
      <c r="C2118" s="22">
        <v>1568</v>
      </c>
      <c r="D2118" s="21">
        <v>306.17</v>
      </c>
      <c r="E2118" s="21" t="s">
        <v>5796</v>
      </c>
      <c r="F2118" s="23"/>
      <c r="G2118" s="23">
        <f t="shared" si="8"/>
        <v>306.17</v>
      </c>
      <c r="H2118" s="23"/>
      <c r="I2118" s="23"/>
    </row>
    <row r="2119" spans="1:9">
      <c r="A2119" s="21" t="s">
        <v>7306</v>
      </c>
      <c r="B2119" s="21"/>
      <c r="C2119" s="22">
        <v>1572</v>
      </c>
      <c r="D2119" s="21">
        <v>303.79000000000002</v>
      </c>
      <c r="E2119" s="21" t="s">
        <v>5796</v>
      </c>
      <c r="F2119" s="23"/>
      <c r="G2119" s="23">
        <f t="shared" si="8"/>
        <v>303.79000000000002</v>
      </c>
      <c r="H2119" s="23"/>
      <c r="I2119" s="23"/>
    </row>
    <row r="2120" spans="1:9">
      <c r="A2120" s="21" t="s">
        <v>7307</v>
      </c>
      <c r="B2120" s="21"/>
      <c r="C2120" s="22">
        <v>1575</v>
      </c>
      <c r="D2120" s="21">
        <v>303.12</v>
      </c>
      <c r="E2120" s="21" t="s">
        <v>5796</v>
      </c>
      <c r="F2120" s="23"/>
      <c r="G2120" s="23">
        <f t="shared" si="8"/>
        <v>303.12</v>
      </c>
      <c r="H2120" s="23"/>
      <c r="I2120" s="23"/>
    </row>
    <row r="2121" spans="1:9">
      <c r="A2121" s="21" t="s">
        <v>7308</v>
      </c>
      <c r="B2121" s="21"/>
      <c r="C2121" s="22">
        <v>1577</v>
      </c>
      <c r="D2121" s="21">
        <v>300.41000000000003</v>
      </c>
      <c r="E2121" s="21" t="s">
        <v>5796</v>
      </c>
      <c r="F2121" s="23"/>
      <c r="G2121" s="23">
        <f t="shared" si="8"/>
        <v>300.41000000000003</v>
      </c>
      <c r="H2121" s="23"/>
      <c r="I2121" s="23"/>
    </row>
    <row r="2122" spans="1:9">
      <c r="A2122" s="21" t="s">
        <v>7309</v>
      </c>
      <c r="B2122" s="21"/>
      <c r="C2122" s="22">
        <v>1581</v>
      </c>
      <c r="D2122" s="21">
        <v>297.62</v>
      </c>
      <c r="E2122" s="21" t="s">
        <v>5796</v>
      </c>
      <c r="F2122" s="23"/>
      <c r="G2122" s="23">
        <f t="shared" si="8"/>
        <v>297.62</v>
      </c>
      <c r="H2122" s="23"/>
      <c r="I2122" s="23"/>
    </row>
    <row r="2123" spans="1:9">
      <c r="A2123" s="21" t="s">
        <v>7310</v>
      </c>
      <c r="B2123" s="21"/>
      <c r="C2123" s="22">
        <v>1582</v>
      </c>
      <c r="D2123" s="21">
        <v>296.7</v>
      </c>
      <c r="E2123" s="21" t="s">
        <v>5796</v>
      </c>
      <c r="F2123" s="23"/>
      <c r="G2123" s="23">
        <f t="shared" si="8"/>
        <v>296.7</v>
      </c>
      <c r="H2123" s="23"/>
      <c r="I2123" s="23"/>
    </row>
    <row r="2124" spans="1:9">
      <c r="A2124" s="21" t="s">
        <v>7311</v>
      </c>
      <c r="B2124" s="21"/>
      <c r="C2124" s="22">
        <v>1583</v>
      </c>
      <c r="D2124" s="21">
        <v>296.52</v>
      </c>
      <c r="E2124" s="21" t="s">
        <v>5796</v>
      </c>
      <c r="F2124" s="23"/>
      <c r="G2124" s="23">
        <f t="shared" si="8"/>
        <v>296.52</v>
      </c>
      <c r="H2124" s="23"/>
      <c r="I2124" s="23"/>
    </row>
    <row r="2125" spans="1:9">
      <c r="A2125" s="21" t="s">
        <v>7312</v>
      </c>
      <c r="B2125" s="21"/>
      <c r="C2125" s="22">
        <v>1585</v>
      </c>
      <c r="D2125" s="21">
        <v>293.64999999999998</v>
      </c>
      <c r="E2125" s="21" t="s">
        <v>5796</v>
      </c>
      <c r="F2125" s="23"/>
      <c r="G2125" s="23">
        <f t="shared" si="8"/>
        <v>293.64999999999998</v>
      </c>
      <c r="H2125" s="23"/>
      <c r="I2125" s="23"/>
    </row>
    <row r="2126" spans="1:9">
      <c r="A2126" s="21" t="s">
        <v>7313</v>
      </c>
      <c r="B2126" s="21"/>
      <c r="C2126" s="22">
        <v>1586</v>
      </c>
      <c r="D2126" s="21">
        <v>293.5</v>
      </c>
      <c r="E2126" s="21" t="s">
        <v>5796</v>
      </c>
      <c r="F2126" s="23"/>
      <c r="G2126" s="23">
        <f t="shared" si="8"/>
        <v>293.5</v>
      </c>
      <c r="H2126" s="23"/>
      <c r="I2126" s="23"/>
    </row>
    <row r="2127" spans="1:9">
      <c r="A2127" s="21" t="s">
        <v>7314</v>
      </c>
      <c r="B2127" s="21"/>
      <c r="C2127" s="22">
        <v>1588</v>
      </c>
      <c r="D2127" s="21">
        <v>293.11</v>
      </c>
      <c r="E2127" s="21" t="s">
        <v>5796</v>
      </c>
      <c r="F2127" s="23"/>
      <c r="G2127" s="23">
        <f t="shared" si="8"/>
        <v>293.11</v>
      </c>
      <c r="H2127" s="23"/>
      <c r="I2127" s="23"/>
    </row>
    <row r="2128" spans="1:9">
      <c r="A2128" s="21" t="s">
        <v>7315</v>
      </c>
      <c r="B2128" s="21"/>
      <c r="C2128" s="22">
        <v>1590</v>
      </c>
      <c r="D2128" s="21">
        <v>292.60000000000002</v>
      </c>
      <c r="E2128" s="21" t="s">
        <v>5796</v>
      </c>
      <c r="F2128" s="23"/>
      <c r="G2128" s="23">
        <f t="shared" si="8"/>
        <v>292.60000000000002</v>
      </c>
      <c r="H2128" s="23"/>
      <c r="I2128" s="23"/>
    </row>
    <row r="2129" spans="1:9">
      <c r="A2129" s="21" t="s">
        <v>7316</v>
      </c>
      <c r="B2129" s="21"/>
      <c r="C2129" s="22">
        <v>1591</v>
      </c>
      <c r="D2129" s="21">
        <v>292.56</v>
      </c>
      <c r="E2129" s="21" t="s">
        <v>5796</v>
      </c>
      <c r="F2129" s="23"/>
      <c r="G2129" s="23">
        <f t="shared" si="8"/>
        <v>292.56</v>
      </c>
      <c r="H2129" s="23"/>
      <c r="I2129" s="23"/>
    </row>
    <row r="2130" spans="1:9">
      <c r="A2130" s="21" t="s">
        <v>7317</v>
      </c>
      <c r="B2130" s="21"/>
      <c r="C2130" s="22">
        <v>1593</v>
      </c>
      <c r="D2130" s="21">
        <v>291.7</v>
      </c>
      <c r="E2130" s="21" t="s">
        <v>5796</v>
      </c>
      <c r="F2130" s="23"/>
      <c r="G2130" s="23">
        <f t="shared" si="8"/>
        <v>291.7</v>
      </c>
      <c r="H2130" s="23"/>
      <c r="I2130" s="23"/>
    </row>
    <row r="2131" spans="1:9">
      <c r="A2131" s="21" t="s">
        <v>7318</v>
      </c>
      <c r="B2131" s="21"/>
      <c r="C2131" s="22">
        <v>1595</v>
      </c>
      <c r="D2131" s="21">
        <v>291.22000000000003</v>
      </c>
      <c r="E2131" s="21" t="s">
        <v>5796</v>
      </c>
      <c r="F2131" s="23"/>
      <c r="G2131" s="23">
        <f t="shared" si="8"/>
        <v>291.22000000000003</v>
      </c>
      <c r="H2131" s="23"/>
      <c r="I2131" s="23"/>
    </row>
    <row r="2132" spans="1:9">
      <c r="A2132" s="21" t="s">
        <v>7319</v>
      </c>
      <c r="B2132" s="21"/>
      <c r="C2132" s="22">
        <v>1596</v>
      </c>
      <c r="D2132" s="21">
        <v>290.31</v>
      </c>
      <c r="E2132" s="21" t="s">
        <v>5796</v>
      </c>
      <c r="F2132" s="23"/>
      <c r="G2132" s="23">
        <f t="shared" si="8"/>
        <v>290.31</v>
      </c>
      <c r="H2132" s="23"/>
      <c r="I2132" s="23"/>
    </row>
    <row r="2133" spans="1:9">
      <c r="A2133" s="21" t="s">
        <v>7320</v>
      </c>
      <c r="B2133" s="21"/>
      <c r="C2133" s="22">
        <v>1598</v>
      </c>
      <c r="D2133" s="21">
        <v>289.63</v>
      </c>
      <c r="E2133" s="21" t="s">
        <v>5796</v>
      </c>
      <c r="F2133" s="23"/>
      <c r="G2133" s="23">
        <f t="shared" si="8"/>
        <v>289.63</v>
      </c>
      <c r="H2133" s="23"/>
      <c r="I2133" s="23"/>
    </row>
    <row r="2134" spans="1:9">
      <c r="A2134" s="21" t="s">
        <v>7321</v>
      </c>
      <c r="B2134" s="21"/>
      <c r="C2134" s="22">
        <v>1600</v>
      </c>
      <c r="D2134" s="21">
        <v>289.05</v>
      </c>
      <c r="E2134" s="21" t="s">
        <v>5796</v>
      </c>
      <c r="F2134" s="23"/>
      <c r="G2134" s="23">
        <f t="shared" si="8"/>
        <v>289.05</v>
      </c>
      <c r="H2134" s="23"/>
      <c r="I2134" s="23"/>
    </row>
    <row r="2135" spans="1:9">
      <c r="A2135" s="21" t="s">
        <v>7322</v>
      </c>
      <c r="B2135" s="21"/>
      <c r="C2135" s="22">
        <v>1602</v>
      </c>
      <c r="D2135" s="21">
        <v>286.77999999999997</v>
      </c>
      <c r="E2135" s="21" t="s">
        <v>5796</v>
      </c>
      <c r="F2135" s="23"/>
      <c r="G2135" s="23">
        <f t="shared" si="8"/>
        <v>286.77999999999997</v>
      </c>
      <c r="H2135" s="23"/>
      <c r="I2135" s="23"/>
    </row>
    <row r="2136" spans="1:9">
      <c r="A2136" s="21" t="s">
        <v>7323</v>
      </c>
      <c r="B2136" s="21"/>
      <c r="C2136" s="22">
        <v>1603</v>
      </c>
      <c r="D2136" s="21">
        <v>286.37</v>
      </c>
      <c r="E2136" s="21" t="s">
        <v>5796</v>
      </c>
      <c r="F2136" s="23"/>
      <c r="G2136" s="23">
        <f t="shared" si="8"/>
        <v>286.37</v>
      </c>
      <c r="H2136" s="23"/>
      <c r="I2136" s="23"/>
    </row>
    <row r="2137" spans="1:9">
      <c r="A2137" s="21" t="s">
        <v>7324</v>
      </c>
      <c r="B2137" s="21"/>
      <c r="C2137" s="22">
        <v>1604</v>
      </c>
      <c r="D2137" s="21">
        <v>285.57</v>
      </c>
      <c r="E2137" s="21" t="s">
        <v>5796</v>
      </c>
      <c r="F2137" s="23"/>
      <c r="G2137" s="23">
        <f t="shared" si="8"/>
        <v>285.57</v>
      </c>
      <c r="H2137" s="23"/>
      <c r="I2137" s="23"/>
    </row>
    <row r="2138" spans="1:9">
      <c r="A2138" s="21" t="s">
        <v>7325</v>
      </c>
      <c r="B2138" s="21"/>
      <c r="C2138" s="22">
        <v>1606</v>
      </c>
      <c r="D2138" s="21">
        <v>284.88</v>
      </c>
      <c r="E2138" s="21" t="s">
        <v>5796</v>
      </c>
      <c r="F2138" s="23"/>
      <c r="G2138" s="23">
        <f t="shared" si="8"/>
        <v>284.88</v>
      </c>
      <c r="H2138" s="23"/>
      <c r="I2138" s="23"/>
    </row>
    <row r="2139" spans="1:9">
      <c r="A2139" s="21" t="s">
        <v>7326</v>
      </c>
      <c r="B2139" s="21"/>
      <c r="C2139" s="22">
        <v>1607</v>
      </c>
      <c r="D2139" s="21">
        <v>284.55</v>
      </c>
      <c r="E2139" s="21" t="s">
        <v>5796</v>
      </c>
      <c r="F2139" s="23"/>
      <c r="G2139" s="23">
        <f t="shared" si="8"/>
        <v>284.55</v>
      </c>
      <c r="H2139" s="23"/>
      <c r="I2139" s="23"/>
    </row>
    <row r="2140" spans="1:9">
      <c r="A2140" s="21" t="s">
        <v>7327</v>
      </c>
      <c r="B2140" s="21"/>
      <c r="C2140" s="22">
        <v>1608</v>
      </c>
      <c r="D2140" s="21">
        <v>282.45</v>
      </c>
      <c r="E2140" s="21" t="s">
        <v>5796</v>
      </c>
      <c r="F2140" s="23"/>
      <c r="G2140" s="23">
        <f t="shared" si="8"/>
        <v>282.45</v>
      </c>
      <c r="H2140" s="23"/>
      <c r="I2140" s="23"/>
    </row>
    <row r="2141" spans="1:9">
      <c r="A2141" s="21" t="s">
        <v>7328</v>
      </c>
      <c r="B2141" s="21"/>
      <c r="C2141" s="22">
        <v>1609</v>
      </c>
      <c r="D2141" s="21">
        <v>282.39999999999998</v>
      </c>
      <c r="E2141" s="21" t="s">
        <v>5796</v>
      </c>
      <c r="F2141" s="23"/>
      <c r="G2141" s="23">
        <f t="shared" si="8"/>
        <v>282.39999999999998</v>
      </c>
      <c r="H2141" s="23"/>
      <c r="I2141" s="23"/>
    </row>
    <row r="2142" spans="1:9">
      <c r="A2142" s="21" t="s">
        <v>7329</v>
      </c>
      <c r="B2142" s="21"/>
      <c r="C2142" s="22">
        <v>1611</v>
      </c>
      <c r="D2142" s="21">
        <v>282.27</v>
      </c>
      <c r="E2142" s="21" t="s">
        <v>5796</v>
      </c>
      <c r="F2142" s="23"/>
      <c r="G2142" s="23">
        <f t="shared" si="8"/>
        <v>282.27</v>
      </c>
      <c r="H2142" s="23"/>
      <c r="I2142" s="23"/>
    </row>
    <row r="2143" spans="1:9">
      <c r="A2143" s="21" t="s">
        <v>7330</v>
      </c>
      <c r="B2143" s="21"/>
      <c r="C2143" s="22">
        <v>1613</v>
      </c>
      <c r="D2143" s="21">
        <v>279.24</v>
      </c>
      <c r="E2143" s="21" t="s">
        <v>5796</v>
      </c>
      <c r="F2143" s="23"/>
      <c r="G2143" s="23">
        <f t="shared" si="8"/>
        <v>279.24</v>
      </c>
      <c r="H2143" s="23"/>
      <c r="I2143" s="23"/>
    </row>
    <row r="2144" spans="1:9">
      <c r="A2144" s="21" t="s">
        <v>7331</v>
      </c>
      <c r="B2144" s="21"/>
      <c r="C2144" s="22">
        <v>1615</v>
      </c>
      <c r="D2144" s="21">
        <v>278.60000000000002</v>
      </c>
      <c r="E2144" s="21" t="s">
        <v>5796</v>
      </c>
      <c r="F2144" s="23"/>
      <c r="G2144" s="23">
        <f t="shared" si="8"/>
        <v>278.60000000000002</v>
      </c>
      <c r="H2144" s="23"/>
      <c r="I2144" s="23"/>
    </row>
    <row r="2145" spans="1:9">
      <c r="A2145" s="21" t="s">
        <v>7332</v>
      </c>
      <c r="B2145" s="21"/>
      <c r="C2145" s="22">
        <v>1621</v>
      </c>
      <c r="D2145" s="21">
        <v>274.23</v>
      </c>
      <c r="E2145" s="21" t="s">
        <v>5796</v>
      </c>
      <c r="F2145" s="23"/>
      <c r="G2145" s="23">
        <f t="shared" si="8"/>
        <v>274.23</v>
      </c>
      <c r="H2145" s="23"/>
      <c r="I2145" s="23"/>
    </row>
    <row r="2146" spans="1:9">
      <c r="A2146" s="21" t="s">
        <v>7333</v>
      </c>
      <c r="B2146" s="21"/>
      <c r="C2146" s="22">
        <v>1622</v>
      </c>
      <c r="D2146" s="21">
        <v>273.23</v>
      </c>
      <c r="E2146" s="21" t="s">
        <v>5796</v>
      </c>
      <c r="F2146" s="23"/>
      <c r="G2146" s="23">
        <f t="shared" si="8"/>
        <v>273.23</v>
      </c>
      <c r="H2146" s="23"/>
      <c r="I2146" s="23"/>
    </row>
    <row r="2147" spans="1:9">
      <c r="A2147" s="21" t="s">
        <v>7334</v>
      </c>
      <c r="B2147" s="21"/>
      <c r="C2147" s="22">
        <v>1623</v>
      </c>
      <c r="D2147" s="21">
        <v>272.25</v>
      </c>
      <c r="E2147" s="21" t="s">
        <v>5796</v>
      </c>
      <c r="F2147" s="23"/>
      <c r="G2147" s="23">
        <f t="shared" si="8"/>
        <v>272.25</v>
      </c>
      <c r="H2147" s="23"/>
      <c r="I2147" s="23"/>
    </row>
    <row r="2148" spans="1:9">
      <c r="A2148" s="21" t="s">
        <v>7335</v>
      </c>
      <c r="B2148" s="21"/>
      <c r="C2148" s="22">
        <v>1627</v>
      </c>
      <c r="D2148" s="21">
        <v>271.3</v>
      </c>
      <c r="E2148" s="21" t="s">
        <v>5796</v>
      </c>
      <c r="F2148" s="23"/>
      <c r="G2148" s="23">
        <f t="shared" si="8"/>
        <v>271.3</v>
      </c>
      <c r="H2148" s="23"/>
      <c r="I2148" s="23"/>
    </row>
    <row r="2149" spans="1:9">
      <c r="A2149" s="21" t="s">
        <v>7336</v>
      </c>
      <c r="B2149" s="21"/>
      <c r="C2149" s="22">
        <v>1629</v>
      </c>
      <c r="D2149" s="21">
        <v>270.91000000000003</v>
      </c>
      <c r="E2149" s="21" t="s">
        <v>5796</v>
      </c>
      <c r="F2149" s="23"/>
      <c r="G2149" s="23">
        <f t="shared" si="8"/>
        <v>270.91000000000003</v>
      </c>
      <c r="H2149" s="23"/>
      <c r="I2149" s="23"/>
    </row>
    <row r="2150" spans="1:9">
      <c r="A2150" s="21" t="s">
        <v>7337</v>
      </c>
      <c r="B2150" s="21"/>
      <c r="C2150" s="22">
        <v>1630</v>
      </c>
      <c r="D2150" s="21">
        <v>270.88</v>
      </c>
      <c r="E2150" s="21" t="s">
        <v>5796</v>
      </c>
      <c r="F2150" s="23"/>
      <c r="G2150" s="23">
        <f t="shared" si="8"/>
        <v>270.88</v>
      </c>
      <c r="H2150" s="23"/>
      <c r="I2150" s="23"/>
    </row>
    <row r="2151" spans="1:9">
      <c r="A2151" s="21" t="s">
        <v>7338</v>
      </c>
      <c r="B2151" s="21"/>
      <c r="C2151" s="22">
        <v>1631</v>
      </c>
      <c r="D2151" s="21">
        <v>270.38</v>
      </c>
      <c r="E2151" s="21" t="s">
        <v>5796</v>
      </c>
      <c r="F2151" s="23"/>
      <c r="G2151" s="23">
        <f t="shared" si="8"/>
        <v>270.38</v>
      </c>
      <c r="H2151" s="23"/>
      <c r="I2151" s="23"/>
    </row>
    <row r="2152" spans="1:9">
      <c r="A2152" s="21" t="s">
        <v>7339</v>
      </c>
      <c r="B2152" s="21"/>
      <c r="C2152" s="22">
        <v>1633</v>
      </c>
      <c r="D2152" s="21">
        <v>269.95</v>
      </c>
      <c r="E2152" s="21" t="s">
        <v>5796</v>
      </c>
      <c r="F2152" s="23"/>
      <c r="G2152" s="23">
        <f t="shared" si="8"/>
        <v>269.95</v>
      </c>
      <c r="H2152" s="23"/>
      <c r="I2152" s="23"/>
    </row>
    <row r="2153" spans="1:9">
      <c r="A2153" s="21" t="s">
        <v>7340</v>
      </c>
      <c r="B2153" s="21"/>
      <c r="C2153" s="22">
        <v>1637</v>
      </c>
      <c r="D2153" s="21">
        <v>268.14</v>
      </c>
      <c r="E2153" s="21" t="s">
        <v>5796</v>
      </c>
      <c r="F2153" s="23"/>
      <c r="G2153" s="23">
        <f t="shared" si="8"/>
        <v>268.14</v>
      </c>
      <c r="H2153" s="23"/>
      <c r="I2153" s="23"/>
    </row>
    <row r="2154" spans="1:9">
      <c r="A2154" s="21" t="s">
        <v>7341</v>
      </c>
      <c r="B2154" s="21"/>
      <c r="C2154" s="22">
        <v>1638</v>
      </c>
      <c r="D2154" s="21">
        <v>267.97000000000003</v>
      </c>
      <c r="E2154" s="21" t="s">
        <v>5796</v>
      </c>
      <c r="F2154" s="23"/>
      <c r="G2154" s="23">
        <f t="shared" si="8"/>
        <v>267.97000000000003</v>
      </c>
      <c r="H2154" s="23"/>
      <c r="I2154" s="23"/>
    </row>
    <row r="2155" spans="1:9">
      <c r="A2155" s="21" t="s">
        <v>7342</v>
      </c>
      <c r="B2155" s="21"/>
      <c r="C2155" s="22">
        <v>1639</v>
      </c>
      <c r="D2155" s="21">
        <v>267.68</v>
      </c>
      <c r="E2155" s="21" t="s">
        <v>5796</v>
      </c>
      <c r="F2155" s="23"/>
      <c r="G2155" s="23">
        <f t="shared" si="8"/>
        <v>267.68</v>
      </c>
      <c r="H2155" s="23"/>
      <c r="I2155" s="23"/>
    </row>
    <row r="2156" spans="1:9">
      <c r="A2156" s="21" t="s">
        <v>7343</v>
      </c>
      <c r="B2156" s="21"/>
      <c r="C2156" s="22">
        <v>1642</v>
      </c>
      <c r="D2156" s="21">
        <v>266.97000000000003</v>
      </c>
      <c r="E2156" s="21" t="s">
        <v>5796</v>
      </c>
      <c r="F2156" s="23"/>
      <c r="G2156" s="23">
        <f t="shared" si="8"/>
        <v>266.97000000000003</v>
      </c>
      <c r="H2156" s="23"/>
      <c r="I2156" s="23"/>
    </row>
    <row r="2157" spans="1:9">
      <c r="A2157" s="21" t="s">
        <v>7344</v>
      </c>
      <c r="B2157" s="21"/>
      <c r="C2157" s="22">
        <v>1645</v>
      </c>
      <c r="D2157" s="21">
        <v>265.77999999999997</v>
      </c>
      <c r="E2157" s="21" t="s">
        <v>5796</v>
      </c>
      <c r="F2157" s="23"/>
      <c r="G2157" s="23">
        <f t="shared" si="8"/>
        <v>265.77999999999997</v>
      </c>
      <c r="H2157" s="23"/>
      <c r="I2157" s="23"/>
    </row>
    <row r="2158" spans="1:9">
      <c r="A2158" s="21" t="s">
        <v>7345</v>
      </c>
      <c r="B2158" s="21"/>
      <c r="C2158" s="22">
        <v>1650</v>
      </c>
      <c r="D2158" s="21">
        <v>263.92</v>
      </c>
      <c r="E2158" s="21" t="s">
        <v>5796</v>
      </c>
      <c r="F2158" s="23"/>
      <c r="G2158" s="23">
        <f t="shared" si="8"/>
        <v>263.92</v>
      </c>
      <c r="H2158" s="23"/>
      <c r="I2158" s="23"/>
    </row>
    <row r="2159" spans="1:9">
      <c r="A2159" s="21" t="s">
        <v>7346</v>
      </c>
      <c r="B2159" s="21"/>
      <c r="C2159" s="22">
        <v>1651</v>
      </c>
      <c r="D2159" s="21">
        <v>263</v>
      </c>
      <c r="E2159" s="21" t="s">
        <v>5796</v>
      </c>
      <c r="F2159" s="23"/>
      <c r="G2159" s="23">
        <f t="shared" si="8"/>
        <v>263</v>
      </c>
      <c r="H2159" s="23"/>
      <c r="I2159" s="23"/>
    </row>
    <row r="2160" spans="1:9">
      <c r="A2160" s="21" t="s">
        <v>7347</v>
      </c>
      <c r="B2160" s="21"/>
      <c r="C2160" s="22">
        <v>1652</v>
      </c>
      <c r="D2160" s="21">
        <v>262.64999999999998</v>
      </c>
      <c r="E2160" s="21" t="s">
        <v>5796</v>
      </c>
      <c r="F2160" s="23"/>
      <c r="G2160" s="23">
        <f t="shared" si="8"/>
        <v>262.64999999999998</v>
      </c>
      <c r="H2160" s="23"/>
      <c r="I2160" s="23"/>
    </row>
    <row r="2161" spans="1:9">
      <c r="A2161" s="21" t="s">
        <v>7348</v>
      </c>
      <c r="B2161" s="21"/>
      <c r="C2161" s="22">
        <v>1653</v>
      </c>
      <c r="D2161" s="21">
        <v>261.74</v>
      </c>
      <c r="E2161" s="21" t="s">
        <v>5796</v>
      </c>
      <c r="F2161" s="23"/>
      <c r="G2161" s="23">
        <f t="shared" si="8"/>
        <v>261.74</v>
      </c>
      <c r="H2161" s="23"/>
      <c r="I2161" s="23"/>
    </row>
    <row r="2162" spans="1:9">
      <c r="A2162" s="21" t="s">
        <v>7349</v>
      </c>
      <c r="B2162" s="21"/>
      <c r="C2162" s="22">
        <v>1655</v>
      </c>
      <c r="D2162" s="21">
        <v>261.24</v>
      </c>
      <c r="E2162" s="21" t="s">
        <v>5796</v>
      </c>
      <c r="F2162" s="23"/>
      <c r="G2162" s="23">
        <f t="shared" si="8"/>
        <v>261.24</v>
      </c>
      <c r="H2162" s="23"/>
      <c r="I2162" s="23"/>
    </row>
    <row r="2163" spans="1:9">
      <c r="A2163" s="21" t="s">
        <v>7350</v>
      </c>
      <c r="B2163" s="21"/>
      <c r="C2163" s="22">
        <v>1657</v>
      </c>
      <c r="D2163" s="21">
        <v>258.14999999999998</v>
      </c>
      <c r="E2163" s="21" t="s">
        <v>5796</v>
      </c>
      <c r="F2163" s="23"/>
      <c r="G2163" s="23">
        <f t="shared" si="8"/>
        <v>258.14999999999998</v>
      </c>
      <c r="H2163" s="23"/>
      <c r="I2163" s="23"/>
    </row>
    <row r="2164" spans="1:9">
      <c r="A2164" s="21" t="s">
        <v>7351</v>
      </c>
      <c r="B2164" s="21"/>
      <c r="C2164" s="22">
        <v>1658</v>
      </c>
      <c r="D2164" s="21">
        <v>256.82</v>
      </c>
      <c r="E2164" s="21" t="s">
        <v>5796</v>
      </c>
      <c r="F2164" s="23"/>
      <c r="G2164" s="23">
        <f t="shared" si="8"/>
        <v>256.82</v>
      </c>
      <c r="H2164" s="23"/>
      <c r="I2164" s="23"/>
    </row>
    <row r="2165" spans="1:9">
      <c r="A2165" s="21" t="s">
        <v>7352</v>
      </c>
      <c r="B2165" s="21"/>
      <c r="C2165" s="22">
        <v>1660</v>
      </c>
      <c r="D2165" s="21">
        <v>255.87</v>
      </c>
      <c r="E2165" s="21" t="s">
        <v>5796</v>
      </c>
      <c r="F2165" s="23"/>
      <c r="G2165" s="23">
        <f t="shared" si="8"/>
        <v>255.87</v>
      </c>
      <c r="H2165" s="23"/>
      <c r="I2165" s="23"/>
    </row>
    <row r="2166" spans="1:9">
      <c r="A2166" s="21" t="s">
        <v>7353</v>
      </c>
      <c r="B2166" s="21"/>
      <c r="C2166" s="22">
        <v>1662</v>
      </c>
      <c r="D2166" s="21">
        <v>255.64</v>
      </c>
      <c r="E2166" s="21" t="s">
        <v>5796</v>
      </c>
      <c r="F2166" s="23"/>
      <c r="G2166" s="23">
        <f t="shared" si="8"/>
        <v>255.64</v>
      </c>
      <c r="H2166" s="23"/>
      <c r="I2166" s="23"/>
    </row>
    <row r="2167" spans="1:9">
      <c r="A2167" s="21" t="s">
        <v>7354</v>
      </c>
      <c r="B2167" s="21"/>
      <c r="C2167" s="22">
        <v>1663</v>
      </c>
      <c r="D2167" s="21">
        <v>255.54</v>
      </c>
      <c r="E2167" s="21" t="s">
        <v>5796</v>
      </c>
      <c r="F2167" s="23"/>
      <c r="G2167" s="23">
        <f t="shared" si="8"/>
        <v>255.54</v>
      </c>
      <c r="H2167" s="23"/>
      <c r="I2167" s="23"/>
    </row>
    <row r="2168" spans="1:9">
      <c r="A2168" s="21" t="s">
        <v>7355</v>
      </c>
      <c r="B2168" s="21"/>
      <c r="C2168" s="22">
        <v>1664</v>
      </c>
      <c r="D2168" s="21">
        <v>254.92</v>
      </c>
      <c r="E2168" s="21" t="s">
        <v>5796</v>
      </c>
      <c r="F2168" s="23"/>
      <c r="G2168" s="23">
        <f t="shared" si="8"/>
        <v>254.92</v>
      </c>
      <c r="H2168" s="23"/>
      <c r="I2168" s="23"/>
    </row>
    <row r="2169" spans="1:9">
      <c r="A2169" s="21" t="s">
        <v>7356</v>
      </c>
      <c r="B2169" s="21"/>
      <c r="C2169" s="22">
        <v>1667</v>
      </c>
      <c r="D2169" s="21">
        <v>253.48</v>
      </c>
      <c r="E2169" s="21" t="s">
        <v>5796</v>
      </c>
      <c r="F2169" s="23"/>
      <c r="G2169" s="23">
        <f t="shared" si="8"/>
        <v>253.48</v>
      </c>
      <c r="H2169" s="23"/>
      <c r="I2169" s="23"/>
    </row>
    <row r="2170" spans="1:9">
      <c r="A2170" s="21" t="s">
        <v>7357</v>
      </c>
      <c r="B2170" s="21"/>
      <c r="C2170" s="22">
        <v>1669</v>
      </c>
      <c r="D2170" s="21">
        <v>251.51</v>
      </c>
      <c r="E2170" s="21" t="s">
        <v>5796</v>
      </c>
      <c r="F2170" s="23"/>
      <c r="G2170" s="23">
        <f t="shared" si="8"/>
        <v>251.51</v>
      </c>
      <c r="H2170" s="23"/>
      <c r="I2170" s="23"/>
    </row>
    <row r="2171" spans="1:9">
      <c r="A2171" s="21" t="s">
        <v>7358</v>
      </c>
      <c r="B2171" s="21"/>
      <c r="C2171" s="22">
        <v>1674</v>
      </c>
      <c r="D2171" s="21">
        <v>250.99</v>
      </c>
      <c r="E2171" s="21" t="s">
        <v>5796</v>
      </c>
      <c r="F2171" s="23"/>
      <c r="G2171" s="23">
        <f t="shared" si="8"/>
        <v>250.99</v>
      </c>
      <c r="H2171" s="23"/>
      <c r="I2171" s="23"/>
    </row>
    <row r="2172" spans="1:9">
      <c r="A2172" s="21" t="s">
        <v>7359</v>
      </c>
      <c r="B2172" s="21"/>
      <c r="C2172" s="22">
        <v>1675</v>
      </c>
      <c r="D2172" s="21">
        <v>250.5</v>
      </c>
      <c r="E2172" s="21" t="s">
        <v>5796</v>
      </c>
      <c r="F2172" s="23"/>
      <c r="G2172" s="23">
        <f t="shared" si="8"/>
        <v>250.5</v>
      </c>
      <c r="H2172" s="23"/>
      <c r="I2172" s="23"/>
    </row>
    <row r="2173" spans="1:9">
      <c r="A2173" s="21" t="s">
        <v>7360</v>
      </c>
      <c r="B2173" s="21"/>
      <c r="C2173" s="22">
        <v>1676</v>
      </c>
      <c r="D2173" s="21">
        <v>250.44</v>
      </c>
      <c r="E2173" s="21" t="s">
        <v>5796</v>
      </c>
      <c r="F2173" s="23"/>
      <c r="G2173" s="23">
        <f t="shared" si="8"/>
        <v>250.44</v>
      </c>
      <c r="H2173" s="23"/>
      <c r="I2173" s="23"/>
    </row>
    <row r="2174" spans="1:9">
      <c r="A2174" s="21" t="s">
        <v>7361</v>
      </c>
      <c r="B2174" s="21"/>
      <c r="C2174" s="22">
        <v>1678</v>
      </c>
      <c r="D2174" s="21">
        <v>249.26</v>
      </c>
      <c r="E2174" s="21" t="s">
        <v>5796</v>
      </c>
      <c r="F2174" s="23"/>
      <c r="G2174" s="23">
        <f t="shared" si="8"/>
        <v>249.26</v>
      </c>
      <c r="H2174" s="23"/>
      <c r="I2174" s="23"/>
    </row>
    <row r="2175" spans="1:9">
      <c r="A2175" s="21" t="s">
        <v>7362</v>
      </c>
      <c r="B2175" s="21"/>
      <c r="C2175" s="22">
        <v>1679</v>
      </c>
      <c r="D2175" s="21">
        <v>247.58</v>
      </c>
      <c r="E2175" s="21" t="s">
        <v>5796</v>
      </c>
      <c r="F2175" s="23"/>
      <c r="G2175" s="23">
        <f t="shared" si="8"/>
        <v>247.58</v>
      </c>
      <c r="H2175" s="23"/>
      <c r="I2175" s="23"/>
    </row>
    <row r="2176" spans="1:9">
      <c r="A2176" s="21" t="s">
        <v>7363</v>
      </c>
      <c r="B2176" s="21"/>
      <c r="C2176" s="22">
        <v>1680</v>
      </c>
      <c r="D2176" s="21">
        <v>246.67</v>
      </c>
      <c r="E2176" s="21" t="s">
        <v>5796</v>
      </c>
      <c r="F2176" s="23"/>
      <c r="G2176" s="23">
        <f t="shared" si="8"/>
        <v>246.67</v>
      </c>
      <c r="H2176" s="23"/>
      <c r="I2176" s="23"/>
    </row>
    <row r="2177" spans="1:9">
      <c r="A2177" s="21" t="s">
        <v>4316</v>
      </c>
      <c r="B2177" s="21"/>
      <c r="C2177" s="22">
        <v>1681</v>
      </c>
      <c r="D2177" s="21">
        <v>246.64</v>
      </c>
      <c r="E2177" s="21" t="s">
        <v>5796</v>
      </c>
      <c r="F2177" s="23"/>
      <c r="G2177" s="23">
        <f t="shared" si="8"/>
        <v>246.64</v>
      </c>
      <c r="H2177" s="23"/>
      <c r="I2177" s="23"/>
    </row>
    <row r="2178" spans="1:9">
      <c r="A2178" s="21" t="s">
        <v>7364</v>
      </c>
      <c r="B2178" s="21"/>
      <c r="C2178" s="22">
        <v>1682</v>
      </c>
      <c r="D2178" s="21">
        <v>246.5</v>
      </c>
      <c r="E2178" s="21" t="s">
        <v>5796</v>
      </c>
      <c r="F2178" s="23"/>
      <c r="G2178" s="23">
        <f t="shared" si="8"/>
        <v>246.5</v>
      </c>
      <c r="H2178" s="23"/>
      <c r="I2178" s="23"/>
    </row>
    <row r="2179" spans="1:9">
      <c r="A2179" s="21" t="s">
        <v>7365</v>
      </c>
      <c r="B2179" s="21"/>
      <c r="C2179" s="22">
        <v>1683</v>
      </c>
      <c r="D2179" s="21">
        <v>246.13</v>
      </c>
      <c r="E2179" s="21" t="s">
        <v>5796</v>
      </c>
      <c r="F2179" s="23"/>
      <c r="G2179" s="23">
        <f t="shared" si="8"/>
        <v>246.13</v>
      </c>
      <c r="H2179" s="23"/>
      <c r="I2179" s="23"/>
    </row>
    <row r="2180" spans="1:9">
      <c r="A2180" s="21" t="s">
        <v>7366</v>
      </c>
      <c r="B2180" s="21"/>
      <c r="C2180" s="22">
        <v>1684</v>
      </c>
      <c r="D2180" s="21">
        <v>245.65</v>
      </c>
      <c r="E2180" s="21" t="s">
        <v>5796</v>
      </c>
      <c r="F2180" s="23"/>
      <c r="G2180" s="23">
        <f t="shared" si="8"/>
        <v>245.65</v>
      </c>
      <c r="H2180" s="23"/>
      <c r="I2180" s="23"/>
    </row>
    <row r="2181" spans="1:9">
      <c r="A2181" s="21" t="s">
        <v>7367</v>
      </c>
      <c r="B2181" s="21"/>
      <c r="C2181" s="22">
        <v>1687</v>
      </c>
      <c r="D2181" s="21">
        <v>245.09</v>
      </c>
      <c r="E2181" s="21" t="s">
        <v>5796</v>
      </c>
      <c r="F2181" s="23"/>
      <c r="G2181" s="23">
        <f t="shared" si="8"/>
        <v>245.09</v>
      </c>
      <c r="H2181" s="23"/>
      <c r="I2181" s="23"/>
    </row>
    <row r="2182" spans="1:9">
      <c r="A2182" s="21" t="s">
        <v>7368</v>
      </c>
      <c r="B2182" s="21"/>
      <c r="C2182" s="22">
        <v>1688</v>
      </c>
      <c r="D2182" s="21">
        <v>245.08</v>
      </c>
      <c r="E2182" s="21" t="s">
        <v>5796</v>
      </c>
      <c r="F2182" s="23"/>
      <c r="G2182" s="23">
        <f t="shared" si="8"/>
        <v>245.08</v>
      </c>
      <c r="H2182" s="23"/>
      <c r="I2182" s="23"/>
    </row>
    <row r="2183" spans="1:9">
      <c r="A2183" s="21" t="s">
        <v>7369</v>
      </c>
      <c r="B2183" s="21"/>
      <c r="C2183" s="22">
        <v>1689</v>
      </c>
      <c r="D2183" s="21">
        <v>244.9</v>
      </c>
      <c r="E2183" s="21" t="s">
        <v>5796</v>
      </c>
      <c r="F2183" s="23"/>
      <c r="G2183" s="23">
        <f t="shared" si="8"/>
        <v>244.9</v>
      </c>
      <c r="H2183" s="23"/>
      <c r="I2183" s="23"/>
    </row>
    <row r="2184" spans="1:9">
      <c r="A2184" s="21" t="s">
        <v>7370</v>
      </c>
      <c r="B2184" s="21"/>
      <c r="C2184" s="22">
        <v>1690</v>
      </c>
      <c r="D2184" s="21">
        <v>244.16</v>
      </c>
      <c r="E2184" s="21" t="s">
        <v>5796</v>
      </c>
      <c r="F2184" s="23"/>
      <c r="G2184" s="23">
        <f t="shared" si="8"/>
        <v>244.16</v>
      </c>
      <c r="H2184" s="23"/>
      <c r="I2184" s="23"/>
    </row>
    <row r="2185" spans="1:9">
      <c r="A2185" s="21" t="s">
        <v>7371</v>
      </c>
      <c r="B2185" s="21"/>
      <c r="C2185" s="22">
        <v>1692</v>
      </c>
      <c r="D2185" s="21">
        <v>243.69</v>
      </c>
      <c r="E2185" s="21" t="s">
        <v>5796</v>
      </c>
      <c r="F2185" s="23"/>
      <c r="G2185" s="23">
        <f t="shared" si="8"/>
        <v>243.69</v>
      </c>
      <c r="H2185" s="23"/>
      <c r="I2185" s="23"/>
    </row>
    <row r="2186" spans="1:9">
      <c r="A2186" s="21" t="s">
        <v>7372</v>
      </c>
      <c r="B2186" s="21"/>
      <c r="C2186" s="22">
        <v>1694</v>
      </c>
      <c r="D2186" s="21">
        <v>242.48</v>
      </c>
      <c r="E2186" s="21" t="s">
        <v>5796</v>
      </c>
      <c r="F2186" s="23"/>
      <c r="G2186" s="23">
        <f t="shared" si="8"/>
        <v>242.48</v>
      </c>
      <c r="H2186" s="23"/>
      <c r="I2186" s="23"/>
    </row>
    <row r="2187" spans="1:9">
      <c r="A2187" s="21" t="s">
        <v>7373</v>
      </c>
      <c r="B2187" s="21"/>
      <c r="C2187" s="22">
        <v>1695</v>
      </c>
      <c r="D2187" s="21">
        <v>242.25</v>
      </c>
      <c r="E2187" s="21" t="s">
        <v>5796</v>
      </c>
      <c r="F2187" s="23"/>
      <c r="G2187" s="23">
        <f t="shared" si="8"/>
        <v>242.25</v>
      </c>
      <c r="H2187" s="23"/>
      <c r="I2187" s="23"/>
    </row>
    <row r="2188" spans="1:9">
      <c r="A2188" s="21" t="s">
        <v>7374</v>
      </c>
      <c r="B2188" s="21"/>
      <c r="C2188" s="22">
        <v>1696</v>
      </c>
      <c r="D2188" s="21">
        <v>242.19</v>
      </c>
      <c r="E2188" s="21" t="s">
        <v>5796</v>
      </c>
      <c r="F2188" s="23"/>
      <c r="G2188" s="23">
        <f t="shared" si="8"/>
        <v>242.19</v>
      </c>
      <c r="H2188" s="23"/>
      <c r="I2188" s="23"/>
    </row>
    <row r="2189" spans="1:9">
      <c r="A2189" s="21" t="s">
        <v>7375</v>
      </c>
      <c r="B2189" s="21"/>
      <c r="C2189" s="22">
        <v>1697</v>
      </c>
      <c r="D2189" s="21">
        <v>241.96</v>
      </c>
      <c r="E2189" s="21" t="s">
        <v>5796</v>
      </c>
      <c r="F2189" s="23"/>
      <c r="G2189" s="23">
        <f t="shared" si="8"/>
        <v>241.96</v>
      </c>
      <c r="H2189" s="23"/>
      <c r="I2189" s="23"/>
    </row>
    <row r="2190" spans="1:9">
      <c r="A2190" s="21" t="s">
        <v>7376</v>
      </c>
      <c r="B2190" s="21"/>
      <c r="C2190" s="22">
        <v>1700</v>
      </c>
      <c r="D2190" s="21">
        <v>240.33</v>
      </c>
      <c r="E2190" s="21" t="s">
        <v>5796</v>
      </c>
      <c r="F2190" s="23"/>
      <c r="G2190" s="23">
        <f t="shared" si="8"/>
        <v>240.33</v>
      </c>
      <c r="H2190" s="23"/>
      <c r="I2190" s="23"/>
    </row>
    <row r="2191" spans="1:9">
      <c r="A2191" s="21" t="s">
        <v>7377</v>
      </c>
      <c r="B2191" s="21"/>
      <c r="C2191" s="22">
        <v>1704</v>
      </c>
      <c r="D2191" s="21">
        <v>239.98</v>
      </c>
      <c r="E2191" s="21" t="s">
        <v>5796</v>
      </c>
      <c r="F2191" s="23"/>
      <c r="G2191" s="23">
        <f t="shared" si="8"/>
        <v>239.98</v>
      </c>
      <c r="H2191" s="23"/>
      <c r="I2191" s="23"/>
    </row>
    <row r="2192" spans="1:9">
      <c r="A2192" s="21" t="s">
        <v>7378</v>
      </c>
      <c r="B2192" s="21"/>
      <c r="C2192" s="22">
        <v>1706</v>
      </c>
      <c r="D2192" s="21">
        <v>239.07</v>
      </c>
      <c r="E2192" s="21" t="s">
        <v>5796</v>
      </c>
      <c r="F2192" s="23"/>
      <c r="G2192" s="23">
        <f t="shared" si="8"/>
        <v>239.07</v>
      </c>
      <c r="H2192" s="23"/>
      <c r="I2192" s="23"/>
    </row>
    <row r="2193" spans="1:9">
      <c r="A2193" s="21" t="s">
        <v>7379</v>
      </c>
      <c r="B2193" s="21"/>
      <c r="C2193" s="22">
        <v>1709</v>
      </c>
      <c r="D2193" s="21">
        <v>237.95</v>
      </c>
      <c r="E2193" s="21" t="s">
        <v>5796</v>
      </c>
      <c r="F2193" s="23"/>
      <c r="G2193" s="23">
        <f t="shared" si="8"/>
        <v>237.95</v>
      </c>
      <c r="H2193" s="23"/>
      <c r="I2193" s="23"/>
    </row>
    <row r="2194" spans="1:9">
      <c r="A2194" s="21" t="s">
        <v>7380</v>
      </c>
      <c r="B2194" s="21"/>
      <c r="C2194" s="22">
        <v>1714</v>
      </c>
      <c r="D2194" s="21">
        <v>236.6</v>
      </c>
      <c r="E2194" s="21" t="s">
        <v>5796</v>
      </c>
      <c r="F2194" s="23"/>
      <c r="G2194" s="23">
        <f t="shared" si="8"/>
        <v>236.6</v>
      </c>
      <c r="H2194" s="23"/>
      <c r="I2194" s="23"/>
    </row>
    <row r="2195" spans="1:9">
      <c r="A2195" s="21" t="s">
        <v>7381</v>
      </c>
      <c r="B2195" s="21"/>
      <c r="C2195" s="22">
        <v>1715</v>
      </c>
      <c r="D2195" s="21">
        <v>235.66</v>
      </c>
      <c r="E2195" s="21" t="s">
        <v>5796</v>
      </c>
      <c r="F2195" s="23"/>
      <c r="G2195" s="23">
        <f t="shared" si="8"/>
        <v>235.66</v>
      </c>
      <c r="H2195" s="23"/>
      <c r="I2195" s="23"/>
    </row>
    <row r="2196" spans="1:9">
      <c r="A2196" s="21" t="s">
        <v>7382</v>
      </c>
      <c r="B2196" s="21"/>
      <c r="C2196" s="22">
        <v>1716</v>
      </c>
      <c r="D2196" s="21">
        <v>235.57</v>
      </c>
      <c r="E2196" s="21" t="s">
        <v>5796</v>
      </c>
      <c r="F2196" s="23"/>
      <c r="G2196" s="23">
        <f t="shared" si="8"/>
        <v>235.57</v>
      </c>
      <c r="H2196" s="23"/>
      <c r="I2196" s="23"/>
    </row>
    <row r="2197" spans="1:9">
      <c r="A2197" s="21" t="s">
        <v>7383</v>
      </c>
      <c r="B2197" s="21"/>
      <c r="C2197" s="22">
        <v>1718</v>
      </c>
      <c r="D2197" s="21">
        <v>232.89</v>
      </c>
      <c r="E2197" s="21" t="s">
        <v>5796</v>
      </c>
      <c r="F2197" s="23"/>
      <c r="G2197" s="23">
        <f t="shared" si="8"/>
        <v>232.89</v>
      </c>
      <c r="H2197" s="23"/>
      <c r="I2197" s="23"/>
    </row>
    <row r="2198" spans="1:9">
      <c r="A2198" s="21" t="s">
        <v>7384</v>
      </c>
      <c r="B2198" s="21"/>
      <c r="C2198" s="22">
        <v>1719</v>
      </c>
      <c r="D2198" s="21">
        <v>231.51</v>
      </c>
      <c r="E2198" s="21" t="s">
        <v>5796</v>
      </c>
      <c r="F2198" s="23"/>
      <c r="G2198" s="23">
        <f t="shared" si="8"/>
        <v>231.51</v>
      </c>
      <c r="H2198" s="23"/>
      <c r="I2198" s="23"/>
    </row>
    <row r="2199" spans="1:9">
      <c r="A2199" s="21" t="s">
        <v>7385</v>
      </c>
      <c r="B2199" s="21"/>
      <c r="C2199" s="22">
        <v>1724</v>
      </c>
      <c r="D2199" s="21">
        <v>229.9</v>
      </c>
      <c r="E2199" s="21" t="s">
        <v>5796</v>
      </c>
      <c r="F2199" s="23"/>
      <c r="G2199" s="23">
        <f t="shared" si="8"/>
        <v>229.9</v>
      </c>
      <c r="H2199" s="23"/>
      <c r="I2199" s="23"/>
    </row>
    <row r="2200" spans="1:9">
      <c r="A2200" s="21" t="s">
        <v>7386</v>
      </c>
      <c r="B2200" s="21"/>
      <c r="C2200" s="22">
        <v>1725</v>
      </c>
      <c r="D2200" s="21">
        <v>228.46</v>
      </c>
      <c r="E2200" s="21" t="s">
        <v>5796</v>
      </c>
      <c r="F2200" s="23"/>
      <c r="G2200" s="23">
        <f t="shared" si="8"/>
        <v>228.46</v>
      </c>
      <c r="H2200" s="23"/>
      <c r="I2200" s="23"/>
    </row>
    <row r="2201" spans="1:9">
      <c r="A2201" s="21" t="s">
        <v>7387</v>
      </c>
      <c r="B2201" s="21"/>
      <c r="C2201" s="22">
        <v>1726</v>
      </c>
      <c r="D2201" s="21">
        <v>227.55</v>
      </c>
      <c r="E2201" s="21" t="s">
        <v>5796</v>
      </c>
      <c r="F2201" s="23"/>
      <c r="G2201" s="23">
        <f t="shared" si="8"/>
        <v>227.55</v>
      </c>
      <c r="H2201" s="23"/>
      <c r="I2201" s="23"/>
    </row>
    <row r="2202" spans="1:9">
      <c r="A2202" s="21" t="s">
        <v>7388</v>
      </c>
      <c r="B2202" s="21"/>
      <c r="C2202" s="22">
        <v>1732</v>
      </c>
      <c r="D2202" s="21">
        <v>224.26</v>
      </c>
      <c r="E2202" s="21" t="s">
        <v>5796</v>
      </c>
      <c r="F2202" s="23"/>
      <c r="G2202" s="23">
        <f t="shared" si="8"/>
        <v>224.26</v>
      </c>
      <c r="H2202" s="23"/>
      <c r="I2202" s="23"/>
    </row>
    <row r="2203" spans="1:9">
      <c r="A2203" s="21" t="s">
        <v>7389</v>
      </c>
      <c r="B2203" s="21"/>
      <c r="C2203" s="22">
        <v>1734</v>
      </c>
      <c r="D2203" s="21">
        <v>224.21</v>
      </c>
      <c r="E2203" s="21" t="s">
        <v>5796</v>
      </c>
      <c r="F2203" s="23"/>
      <c r="G2203" s="23">
        <f t="shared" si="8"/>
        <v>224.21</v>
      </c>
      <c r="H2203" s="23"/>
      <c r="I2203" s="23"/>
    </row>
    <row r="2204" spans="1:9">
      <c r="A2204" s="21" t="s">
        <v>7390</v>
      </c>
      <c r="B2204" s="21"/>
      <c r="C2204" s="22">
        <v>1741</v>
      </c>
      <c r="D2204" s="21">
        <v>218.66</v>
      </c>
      <c r="E2204" s="21" t="s">
        <v>5796</v>
      </c>
      <c r="F2204" s="23"/>
      <c r="G2204" s="23">
        <f t="shared" si="8"/>
        <v>218.66</v>
      </c>
      <c r="H2204" s="23"/>
      <c r="I2204" s="23"/>
    </row>
    <row r="2205" spans="1:9">
      <c r="A2205" s="21" t="s">
        <v>7391</v>
      </c>
      <c r="B2205" s="21"/>
      <c r="C2205" s="22">
        <v>1744</v>
      </c>
      <c r="D2205" s="21">
        <v>217.46</v>
      </c>
      <c r="E2205" s="21" t="s">
        <v>5796</v>
      </c>
      <c r="F2205" s="23"/>
      <c r="G2205" s="23">
        <f t="shared" si="8"/>
        <v>217.46</v>
      </c>
      <c r="H2205" s="23"/>
      <c r="I2205" s="23"/>
    </row>
    <row r="2206" spans="1:9">
      <c r="A2206" s="21" t="s">
        <v>7392</v>
      </c>
      <c r="B2206" s="21"/>
      <c r="C2206" s="22">
        <v>1745</v>
      </c>
      <c r="D2206" s="21">
        <v>216.58</v>
      </c>
      <c r="E2206" s="21" t="s">
        <v>5796</v>
      </c>
      <c r="F2206" s="23"/>
      <c r="G2206" s="23">
        <f t="shared" si="8"/>
        <v>216.58</v>
      </c>
      <c r="H2206" s="23"/>
      <c r="I2206" s="23"/>
    </row>
    <row r="2207" spans="1:9">
      <c r="A2207" s="21" t="s">
        <v>7393</v>
      </c>
      <c r="B2207" s="21"/>
      <c r="C2207" s="22">
        <v>1747</v>
      </c>
      <c r="D2207" s="21">
        <v>215.95</v>
      </c>
      <c r="E2207" s="21" t="s">
        <v>5796</v>
      </c>
      <c r="F2207" s="23"/>
      <c r="G2207" s="23">
        <f t="shared" si="8"/>
        <v>215.95</v>
      </c>
      <c r="H2207" s="23"/>
      <c r="I2207" s="23"/>
    </row>
    <row r="2208" spans="1:9">
      <c r="A2208" s="21" t="s">
        <v>7394</v>
      </c>
      <c r="B2208" s="21"/>
      <c r="C2208" s="22">
        <v>1748</v>
      </c>
      <c r="D2208" s="21">
        <v>215.71</v>
      </c>
      <c r="E2208" s="21" t="s">
        <v>5796</v>
      </c>
      <c r="F2208" s="23"/>
      <c r="G2208" s="23">
        <f t="shared" si="8"/>
        <v>215.71</v>
      </c>
      <c r="H2208" s="23"/>
      <c r="I2208" s="23"/>
    </row>
    <row r="2209" spans="1:9">
      <c r="A2209" s="21" t="s">
        <v>7395</v>
      </c>
      <c r="B2209" s="21"/>
      <c r="C2209" s="22">
        <v>1749</v>
      </c>
      <c r="D2209" s="21">
        <v>214.7</v>
      </c>
      <c r="E2209" s="21" t="s">
        <v>5796</v>
      </c>
      <c r="F2209" s="23"/>
      <c r="G2209" s="23">
        <f t="shared" si="8"/>
        <v>214.7</v>
      </c>
      <c r="H2209" s="23"/>
      <c r="I2209" s="23"/>
    </row>
    <row r="2210" spans="1:9">
      <c r="A2210" s="21" t="s">
        <v>7396</v>
      </c>
      <c r="B2210" s="21"/>
      <c r="C2210" s="22">
        <v>1750</v>
      </c>
      <c r="D2210" s="21">
        <v>214.69</v>
      </c>
      <c r="E2210" s="21" t="s">
        <v>5796</v>
      </c>
      <c r="F2210" s="23"/>
      <c r="G2210" s="23">
        <f t="shared" si="8"/>
        <v>214.69</v>
      </c>
      <c r="H2210" s="23"/>
      <c r="I2210" s="23"/>
    </row>
    <row r="2211" spans="1:9">
      <c r="A2211" s="21" t="s">
        <v>7397</v>
      </c>
      <c r="B2211" s="21"/>
      <c r="C2211" s="22">
        <v>1752</v>
      </c>
      <c r="D2211" s="21">
        <v>214.42</v>
      </c>
      <c r="E2211" s="21" t="s">
        <v>5796</v>
      </c>
      <c r="F2211" s="23"/>
      <c r="G2211" s="23">
        <f t="shared" si="8"/>
        <v>214.42</v>
      </c>
      <c r="H2211" s="23"/>
      <c r="I2211" s="23"/>
    </row>
    <row r="2212" spans="1:9">
      <c r="A2212" s="21" t="s">
        <v>7398</v>
      </c>
      <c r="B2212" s="21"/>
      <c r="C2212" s="22">
        <v>1754</v>
      </c>
      <c r="D2212" s="21">
        <v>212.44</v>
      </c>
      <c r="E2212" s="21" t="s">
        <v>5796</v>
      </c>
      <c r="F2212" s="23"/>
      <c r="G2212" s="23">
        <f t="shared" si="8"/>
        <v>212.44</v>
      </c>
      <c r="H2212" s="23"/>
      <c r="I2212" s="23"/>
    </row>
    <row r="2213" spans="1:9">
      <c r="A2213" s="21" t="s">
        <v>7399</v>
      </c>
      <c r="B2213" s="21"/>
      <c r="C2213" s="22">
        <v>1755</v>
      </c>
      <c r="D2213" s="21">
        <v>212.07</v>
      </c>
      <c r="E2213" s="21" t="s">
        <v>5796</v>
      </c>
      <c r="F2213" s="23"/>
      <c r="G2213" s="23">
        <f t="shared" si="8"/>
        <v>212.07</v>
      </c>
      <c r="H2213" s="23"/>
      <c r="I2213" s="23"/>
    </row>
    <row r="2214" spans="1:9">
      <c r="A2214" s="21" t="s">
        <v>7400</v>
      </c>
      <c r="B2214" s="21"/>
      <c r="C2214" s="22">
        <v>1758</v>
      </c>
      <c r="D2214" s="21">
        <v>210.59</v>
      </c>
      <c r="E2214" s="21" t="s">
        <v>5796</v>
      </c>
      <c r="F2214" s="23"/>
      <c r="G2214" s="23">
        <f t="shared" si="8"/>
        <v>210.59</v>
      </c>
      <c r="H2214" s="23"/>
      <c r="I2214" s="23"/>
    </row>
    <row r="2215" spans="1:9">
      <c r="A2215" s="21" t="s">
        <v>7401</v>
      </c>
      <c r="B2215" s="21"/>
      <c r="C2215" s="22">
        <v>1763</v>
      </c>
      <c r="D2215" s="21">
        <v>208.61</v>
      </c>
      <c r="E2215" s="21" t="s">
        <v>5796</v>
      </c>
      <c r="F2215" s="23"/>
      <c r="G2215" s="23">
        <f t="shared" si="8"/>
        <v>208.61</v>
      </c>
      <c r="H2215" s="23"/>
      <c r="I2215" s="23"/>
    </row>
    <row r="2216" spans="1:9">
      <c r="A2216" s="21" t="s">
        <v>7402</v>
      </c>
      <c r="B2216" s="21"/>
      <c r="C2216" s="22">
        <v>1767</v>
      </c>
      <c r="D2216" s="21">
        <v>206.08</v>
      </c>
      <c r="E2216" s="21" t="s">
        <v>5796</v>
      </c>
      <c r="F2216" s="23"/>
      <c r="G2216" s="23">
        <f t="shared" si="8"/>
        <v>206.08</v>
      </c>
      <c r="H2216" s="23"/>
      <c r="I2216" s="23"/>
    </row>
    <row r="2217" spans="1:9">
      <c r="A2217" s="21" t="s">
        <v>7403</v>
      </c>
      <c r="B2217" s="21"/>
      <c r="C2217" s="22">
        <v>1768</v>
      </c>
      <c r="D2217" s="21">
        <v>205.93</v>
      </c>
      <c r="E2217" s="21" t="s">
        <v>5796</v>
      </c>
      <c r="F2217" s="23"/>
      <c r="G2217" s="23">
        <f t="shared" si="8"/>
        <v>205.93</v>
      </c>
      <c r="H2217" s="23"/>
      <c r="I2217" s="23"/>
    </row>
    <row r="2218" spans="1:9">
      <c r="A2218" s="21" t="s">
        <v>7404</v>
      </c>
      <c r="B2218" s="21"/>
      <c r="C2218" s="22">
        <v>1769</v>
      </c>
      <c r="D2218" s="21">
        <v>205.67</v>
      </c>
      <c r="E2218" s="21" t="s">
        <v>5796</v>
      </c>
      <c r="F2218" s="23"/>
      <c r="G2218" s="23">
        <f t="shared" si="8"/>
        <v>205.67</v>
      </c>
      <c r="H2218" s="23"/>
      <c r="I2218" s="23"/>
    </row>
    <row r="2219" spans="1:9">
      <c r="A2219" s="21" t="s">
        <v>7405</v>
      </c>
      <c r="B2219" s="21"/>
      <c r="C2219" s="22">
        <v>1771</v>
      </c>
      <c r="D2219" s="21">
        <v>204.95</v>
      </c>
      <c r="E2219" s="21" t="s">
        <v>5796</v>
      </c>
      <c r="F2219" s="23"/>
      <c r="G2219" s="23">
        <f t="shared" si="8"/>
        <v>204.95</v>
      </c>
      <c r="H2219" s="23"/>
      <c r="I2219" s="23"/>
    </row>
    <row r="2220" spans="1:9">
      <c r="A2220" s="21" t="s">
        <v>7406</v>
      </c>
      <c r="B2220" s="21"/>
      <c r="C2220" s="22">
        <v>1773</v>
      </c>
      <c r="D2220" s="21">
        <v>204.47</v>
      </c>
      <c r="E2220" s="21" t="s">
        <v>5796</v>
      </c>
      <c r="F2220" s="23"/>
      <c r="G2220" s="23">
        <f t="shared" si="8"/>
        <v>204.47</v>
      </c>
      <c r="H2220" s="23"/>
      <c r="I2220" s="23"/>
    </row>
    <row r="2221" spans="1:9">
      <c r="A2221" s="21" t="s">
        <v>7407</v>
      </c>
      <c r="B2221" s="21"/>
      <c r="C2221" s="22">
        <v>1774</v>
      </c>
      <c r="D2221" s="21">
        <v>204.41</v>
      </c>
      <c r="E2221" s="21" t="s">
        <v>5796</v>
      </c>
      <c r="F2221" s="23"/>
      <c r="G2221" s="23">
        <f t="shared" si="8"/>
        <v>204.41</v>
      </c>
      <c r="H2221" s="23"/>
      <c r="I2221" s="23"/>
    </row>
    <row r="2222" spans="1:9">
      <c r="A2222" s="21" t="s">
        <v>7408</v>
      </c>
      <c r="B2222" s="21"/>
      <c r="C2222" s="22">
        <v>1776</v>
      </c>
      <c r="D2222" s="21">
        <v>203.63</v>
      </c>
      <c r="E2222" s="21" t="s">
        <v>5796</v>
      </c>
      <c r="F2222" s="23"/>
      <c r="G2222" s="23">
        <f t="shared" si="8"/>
        <v>203.63</v>
      </c>
      <c r="H2222" s="23"/>
      <c r="I2222" s="23"/>
    </row>
    <row r="2223" spans="1:9">
      <c r="A2223" s="21" t="s">
        <v>7409</v>
      </c>
      <c r="B2223" s="21"/>
      <c r="C2223" s="22">
        <v>1777</v>
      </c>
      <c r="D2223" s="21">
        <v>203.02</v>
      </c>
      <c r="E2223" s="21" t="s">
        <v>5796</v>
      </c>
      <c r="F2223" s="23"/>
      <c r="G2223" s="23">
        <f t="shared" si="8"/>
        <v>203.02</v>
      </c>
      <c r="H2223" s="23"/>
      <c r="I2223" s="23"/>
    </row>
    <row r="2224" spans="1:9">
      <c r="A2224" s="21" t="s">
        <v>7410</v>
      </c>
      <c r="B2224" s="21"/>
      <c r="C2224" s="22">
        <v>1779</v>
      </c>
      <c r="D2224" s="21">
        <v>202.16</v>
      </c>
      <c r="E2224" s="21" t="s">
        <v>5796</v>
      </c>
      <c r="F2224" s="23"/>
      <c r="G2224" s="23">
        <f t="shared" si="8"/>
        <v>202.16</v>
      </c>
      <c r="H2224" s="23"/>
      <c r="I2224" s="23"/>
    </row>
    <row r="2225" spans="1:9">
      <c r="A2225" s="21" t="s">
        <v>7411</v>
      </c>
      <c r="B2225" s="21"/>
      <c r="C2225" s="22">
        <v>1782</v>
      </c>
      <c r="D2225" s="21">
        <v>201.19</v>
      </c>
      <c r="E2225" s="21" t="s">
        <v>5796</v>
      </c>
      <c r="F2225" s="23"/>
      <c r="G2225" s="23">
        <f t="shared" si="8"/>
        <v>201.19</v>
      </c>
      <c r="H2225" s="23"/>
      <c r="I2225" s="23"/>
    </row>
    <row r="2226" spans="1:9">
      <c r="A2226" s="21" t="s">
        <v>7412</v>
      </c>
      <c r="B2226" s="21"/>
      <c r="C2226" s="22">
        <v>1784</v>
      </c>
      <c r="D2226" s="21">
        <v>200.83</v>
      </c>
      <c r="E2226" s="21" t="s">
        <v>5796</v>
      </c>
      <c r="F2226" s="23"/>
      <c r="G2226" s="23">
        <f t="shared" si="8"/>
        <v>200.83</v>
      </c>
      <c r="H2226" s="23"/>
      <c r="I2226" s="23"/>
    </row>
    <row r="2227" spans="1:9">
      <c r="A2227" s="21" t="s">
        <v>7413</v>
      </c>
      <c r="B2227" s="21"/>
      <c r="C2227" s="22">
        <v>1786</v>
      </c>
      <c r="D2227" s="21">
        <v>200.64</v>
      </c>
      <c r="E2227" s="21" t="s">
        <v>5796</v>
      </c>
      <c r="F2227" s="23"/>
      <c r="G2227" s="23">
        <f t="shared" si="8"/>
        <v>200.64</v>
      </c>
      <c r="H2227" s="23"/>
      <c r="I2227" s="23"/>
    </row>
    <row r="2228" spans="1:9">
      <c r="A2228" s="21" t="s">
        <v>7414</v>
      </c>
      <c r="B2228" s="21"/>
      <c r="C2228" s="22">
        <v>1787</v>
      </c>
      <c r="D2228" s="21">
        <v>200.63</v>
      </c>
      <c r="E2228" s="21" t="s">
        <v>5796</v>
      </c>
      <c r="F2228" s="23"/>
      <c r="G2228" s="23">
        <f t="shared" si="8"/>
        <v>200.63</v>
      </c>
      <c r="H2228" s="23"/>
      <c r="I2228" s="23"/>
    </row>
    <row r="2229" spans="1:9">
      <c r="A2229" s="21" t="s">
        <v>7415</v>
      </c>
      <c r="B2229" s="21"/>
      <c r="C2229" s="22">
        <v>1789</v>
      </c>
      <c r="D2229" s="21">
        <v>199.94</v>
      </c>
      <c r="E2229" s="21" t="s">
        <v>5796</v>
      </c>
      <c r="F2229" s="23"/>
      <c r="G2229" s="23">
        <f t="shared" si="8"/>
        <v>199.94</v>
      </c>
      <c r="H2229" s="23"/>
      <c r="I2229" s="23"/>
    </row>
    <row r="2230" spans="1:9">
      <c r="A2230" s="21" t="s">
        <v>7416</v>
      </c>
      <c r="B2230" s="21"/>
      <c r="C2230" s="22">
        <v>1791</v>
      </c>
      <c r="D2230" s="21">
        <v>198.93</v>
      </c>
      <c r="E2230" s="21" t="s">
        <v>5796</v>
      </c>
      <c r="F2230" s="23"/>
      <c r="G2230" s="23">
        <f t="shared" si="8"/>
        <v>198.93</v>
      </c>
      <c r="H2230" s="23"/>
      <c r="I2230" s="23"/>
    </row>
    <row r="2231" spans="1:9">
      <c r="A2231" s="21" t="s">
        <v>7417</v>
      </c>
      <c r="B2231" s="21"/>
      <c r="C2231" s="22">
        <v>1793</v>
      </c>
      <c r="D2231" s="21">
        <v>198.67</v>
      </c>
      <c r="E2231" s="21" t="s">
        <v>5796</v>
      </c>
      <c r="F2231" s="23"/>
      <c r="G2231" s="23">
        <f t="shared" si="8"/>
        <v>198.67</v>
      </c>
      <c r="H2231" s="23"/>
      <c r="I2231" s="23"/>
    </row>
    <row r="2232" spans="1:9">
      <c r="A2232" s="21" t="s">
        <v>7418</v>
      </c>
      <c r="B2232" s="21"/>
      <c r="C2232" s="22">
        <v>1794</v>
      </c>
      <c r="D2232" s="21">
        <v>197.67</v>
      </c>
      <c r="E2232" s="21" t="s">
        <v>5796</v>
      </c>
      <c r="F2232" s="23"/>
      <c r="G2232" s="23">
        <f t="shared" si="8"/>
        <v>197.67</v>
      </c>
      <c r="H2232" s="23"/>
      <c r="I2232" s="23"/>
    </row>
    <row r="2233" spans="1:9">
      <c r="A2233" s="21" t="s">
        <v>7419</v>
      </c>
      <c r="B2233" s="21"/>
      <c r="C2233" s="22">
        <v>1795</v>
      </c>
      <c r="D2233" s="21">
        <v>197.17</v>
      </c>
      <c r="E2233" s="21" t="s">
        <v>5796</v>
      </c>
      <c r="F2233" s="23"/>
      <c r="G2233" s="23">
        <f t="shared" si="8"/>
        <v>197.17</v>
      </c>
      <c r="H2233" s="23"/>
      <c r="I2233" s="23"/>
    </row>
    <row r="2234" spans="1:9">
      <c r="A2234" s="21" t="s">
        <v>7420</v>
      </c>
      <c r="B2234" s="21"/>
      <c r="C2234" s="22">
        <v>1796</v>
      </c>
      <c r="D2234" s="21">
        <v>196.72</v>
      </c>
      <c r="E2234" s="21" t="s">
        <v>5796</v>
      </c>
      <c r="F2234" s="23"/>
      <c r="G2234" s="23">
        <f t="shared" si="8"/>
        <v>196.72</v>
      </c>
      <c r="H2234" s="23"/>
      <c r="I2234" s="23"/>
    </row>
    <row r="2235" spans="1:9">
      <c r="A2235" s="21" t="s">
        <v>7421</v>
      </c>
      <c r="B2235" s="21"/>
      <c r="C2235" s="22">
        <v>1797</v>
      </c>
      <c r="D2235" s="21">
        <v>196.33</v>
      </c>
      <c r="E2235" s="21" t="s">
        <v>5796</v>
      </c>
      <c r="F2235" s="23"/>
      <c r="G2235" s="23">
        <f t="shared" si="8"/>
        <v>196.33</v>
      </c>
      <c r="H2235" s="23"/>
      <c r="I2235" s="23"/>
    </row>
    <row r="2236" spans="1:9">
      <c r="A2236" s="21" t="s">
        <v>7422</v>
      </c>
      <c r="B2236" s="21"/>
      <c r="C2236" s="22">
        <v>1802</v>
      </c>
      <c r="D2236" s="21">
        <v>195.43</v>
      </c>
      <c r="E2236" s="21" t="s">
        <v>5796</v>
      </c>
      <c r="F2236" s="23"/>
      <c r="G2236" s="23">
        <f t="shared" si="8"/>
        <v>195.43</v>
      </c>
      <c r="H2236" s="23"/>
      <c r="I2236" s="23"/>
    </row>
    <row r="2237" spans="1:9">
      <c r="A2237" s="21" t="s">
        <v>7423</v>
      </c>
      <c r="B2237" s="21"/>
      <c r="C2237" s="22">
        <v>1804</v>
      </c>
      <c r="D2237" s="21">
        <v>194.09</v>
      </c>
      <c r="E2237" s="21" t="s">
        <v>5796</v>
      </c>
      <c r="F2237" s="23"/>
      <c r="G2237" s="23">
        <f t="shared" si="8"/>
        <v>194.09</v>
      </c>
      <c r="H2237" s="23"/>
      <c r="I2237" s="23"/>
    </row>
    <row r="2238" spans="1:9">
      <c r="A2238" s="21" t="s">
        <v>7424</v>
      </c>
      <c r="B2238" s="21"/>
      <c r="C2238" s="22">
        <v>1805</v>
      </c>
      <c r="D2238" s="21">
        <v>193.98</v>
      </c>
      <c r="E2238" s="21" t="s">
        <v>5796</v>
      </c>
      <c r="F2238" s="23"/>
      <c r="G2238" s="23">
        <f t="shared" si="8"/>
        <v>193.98</v>
      </c>
      <c r="H2238" s="23"/>
      <c r="I2238" s="23"/>
    </row>
    <row r="2239" spans="1:9">
      <c r="A2239" s="21" t="s">
        <v>7425</v>
      </c>
      <c r="B2239" s="21"/>
      <c r="C2239" s="22">
        <v>1807</v>
      </c>
      <c r="D2239" s="21">
        <v>193.74</v>
      </c>
      <c r="E2239" s="21" t="s">
        <v>5796</v>
      </c>
      <c r="F2239" s="23"/>
      <c r="G2239" s="23">
        <f t="shared" si="8"/>
        <v>193.74</v>
      </c>
      <c r="H2239" s="23"/>
      <c r="I2239" s="23"/>
    </row>
    <row r="2240" spans="1:9">
      <c r="A2240" s="21" t="s">
        <v>7426</v>
      </c>
      <c r="B2240" s="21"/>
      <c r="C2240" s="22">
        <v>1810</v>
      </c>
      <c r="D2240" s="21">
        <v>191.7</v>
      </c>
      <c r="E2240" s="21" t="s">
        <v>5796</v>
      </c>
      <c r="F2240" s="23"/>
      <c r="G2240" s="23">
        <f t="shared" si="8"/>
        <v>191.7</v>
      </c>
      <c r="H2240" s="23"/>
      <c r="I2240" s="23"/>
    </row>
    <row r="2241" spans="1:9">
      <c r="A2241" s="21" t="s">
        <v>7427</v>
      </c>
      <c r="B2241" s="21"/>
      <c r="C2241" s="22">
        <v>1811</v>
      </c>
      <c r="D2241" s="21">
        <v>191.6</v>
      </c>
      <c r="E2241" s="21" t="s">
        <v>5796</v>
      </c>
      <c r="F2241" s="23"/>
      <c r="G2241" s="23">
        <f t="shared" si="8"/>
        <v>191.6</v>
      </c>
      <c r="H2241" s="23"/>
      <c r="I2241" s="23"/>
    </row>
    <row r="2242" spans="1:9">
      <c r="A2242" s="21" t="s">
        <v>7428</v>
      </c>
      <c r="B2242" s="21"/>
      <c r="C2242" s="22">
        <v>1812</v>
      </c>
      <c r="D2242" s="21">
        <v>191.07</v>
      </c>
      <c r="E2242" s="21" t="s">
        <v>5796</v>
      </c>
      <c r="F2242" s="23"/>
      <c r="G2242" s="23">
        <f t="shared" si="8"/>
        <v>191.07</v>
      </c>
      <c r="H2242" s="23"/>
      <c r="I2242" s="23"/>
    </row>
    <row r="2243" spans="1:9">
      <c r="A2243" s="21" t="s">
        <v>7429</v>
      </c>
      <c r="B2243" s="21"/>
      <c r="C2243" s="22">
        <v>1814</v>
      </c>
      <c r="D2243" s="21">
        <v>190.73</v>
      </c>
      <c r="E2243" s="21" t="s">
        <v>5796</v>
      </c>
      <c r="F2243" s="23"/>
      <c r="G2243" s="23">
        <f t="shared" si="8"/>
        <v>190.73</v>
      </c>
      <c r="H2243" s="23"/>
      <c r="I2243" s="23"/>
    </row>
    <row r="2244" spans="1:9">
      <c r="A2244" s="21" t="s">
        <v>7430</v>
      </c>
      <c r="B2244" s="21"/>
      <c r="C2244" s="22">
        <v>1816</v>
      </c>
      <c r="D2244" s="21">
        <v>190</v>
      </c>
      <c r="E2244" s="21" t="s">
        <v>5796</v>
      </c>
      <c r="F2244" s="23"/>
      <c r="G2244" s="23">
        <f t="shared" si="8"/>
        <v>190</v>
      </c>
      <c r="H2244" s="23"/>
      <c r="I2244" s="23"/>
    </row>
    <row r="2245" spans="1:9">
      <c r="A2245" s="21" t="s">
        <v>7431</v>
      </c>
      <c r="B2245" s="21"/>
      <c r="C2245" s="22">
        <v>1817</v>
      </c>
      <c r="D2245" s="21">
        <v>189.45</v>
      </c>
      <c r="E2245" s="21" t="s">
        <v>5796</v>
      </c>
      <c r="F2245" s="23"/>
      <c r="G2245" s="23">
        <f t="shared" si="8"/>
        <v>189.45</v>
      </c>
      <c r="H2245" s="23"/>
      <c r="I2245" s="23"/>
    </row>
    <row r="2246" spans="1:9">
      <c r="A2246" s="21" t="s">
        <v>7432</v>
      </c>
      <c r="B2246" s="21"/>
      <c r="C2246" s="22">
        <v>1818</v>
      </c>
      <c r="D2246" s="21">
        <v>189.39</v>
      </c>
      <c r="E2246" s="21" t="s">
        <v>5796</v>
      </c>
      <c r="F2246" s="23"/>
      <c r="G2246" s="23">
        <f t="shared" si="8"/>
        <v>189.39</v>
      </c>
      <c r="H2246" s="23"/>
      <c r="I2246" s="23"/>
    </row>
    <row r="2247" spans="1:9">
      <c r="A2247" s="21" t="s">
        <v>7433</v>
      </c>
      <c r="B2247" s="21"/>
      <c r="C2247" s="22">
        <v>1820</v>
      </c>
      <c r="D2247" s="21">
        <v>189.25</v>
      </c>
      <c r="E2247" s="21" t="s">
        <v>5796</v>
      </c>
      <c r="F2247" s="23"/>
      <c r="G2247" s="23">
        <f t="shared" si="8"/>
        <v>189.25</v>
      </c>
      <c r="H2247" s="23"/>
      <c r="I2247" s="23"/>
    </row>
    <row r="2248" spans="1:9">
      <c r="A2248" s="21" t="s">
        <v>7434</v>
      </c>
      <c r="B2248" s="21"/>
      <c r="C2248" s="22">
        <v>1822</v>
      </c>
      <c r="D2248" s="21">
        <v>188.76</v>
      </c>
      <c r="E2248" s="21" t="s">
        <v>5796</v>
      </c>
      <c r="F2248" s="23"/>
      <c r="G2248" s="23">
        <f t="shared" si="8"/>
        <v>188.76</v>
      </c>
      <c r="H2248" s="23"/>
      <c r="I2248" s="23"/>
    </row>
    <row r="2249" spans="1:9">
      <c r="A2249" s="21" t="s">
        <v>7435</v>
      </c>
      <c r="B2249" s="21"/>
      <c r="C2249" s="22">
        <v>1824</v>
      </c>
      <c r="D2249" s="21">
        <v>188.46</v>
      </c>
      <c r="E2249" s="21" t="s">
        <v>5796</v>
      </c>
      <c r="F2249" s="23"/>
      <c r="G2249" s="23">
        <f t="shared" si="8"/>
        <v>188.46</v>
      </c>
      <c r="H2249" s="23"/>
      <c r="I2249" s="23"/>
    </row>
    <row r="2250" spans="1:9">
      <c r="A2250" s="21" t="s">
        <v>7436</v>
      </c>
      <c r="B2250" s="21"/>
      <c r="C2250" s="22">
        <v>1825</v>
      </c>
      <c r="D2250" s="21">
        <v>188.26</v>
      </c>
      <c r="E2250" s="21" t="s">
        <v>5796</v>
      </c>
      <c r="F2250" s="23"/>
      <c r="G2250" s="23">
        <f t="shared" si="8"/>
        <v>188.26</v>
      </c>
      <c r="H2250" s="23"/>
      <c r="I2250" s="23"/>
    </row>
    <row r="2251" spans="1:9">
      <c r="A2251" s="21" t="s">
        <v>7437</v>
      </c>
      <c r="B2251" s="21"/>
      <c r="C2251" s="22">
        <v>1826</v>
      </c>
      <c r="D2251" s="21">
        <v>187.51</v>
      </c>
      <c r="E2251" s="21" t="s">
        <v>5796</v>
      </c>
      <c r="F2251" s="23"/>
      <c r="G2251" s="23">
        <f t="shared" si="8"/>
        <v>187.51</v>
      </c>
      <c r="H2251" s="23"/>
      <c r="I2251" s="23"/>
    </row>
    <row r="2252" spans="1:9">
      <c r="A2252" s="21" t="s">
        <v>7438</v>
      </c>
      <c r="B2252" s="21"/>
      <c r="C2252" s="22">
        <v>1832</v>
      </c>
      <c r="D2252" s="21">
        <v>186.09</v>
      </c>
      <c r="E2252" s="21" t="s">
        <v>5796</v>
      </c>
      <c r="F2252" s="23"/>
      <c r="G2252" s="23">
        <f t="shared" si="8"/>
        <v>186.09</v>
      </c>
      <c r="H2252" s="23"/>
      <c r="I2252" s="23"/>
    </row>
    <row r="2253" spans="1:9">
      <c r="A2253" s="21" t="s">
        <v>7439</v>
      </c>
      <c r="B2253" s="21"/>
      <c r="C2253" s="22">
        <v>1833</v>
      </c>
      <c r="D2253" s="21">
        <v>185.42</v>
      </c>
      <c r="E2253" s="21" t="s">
        <v>5796</v>
      </c>
      <c r="F2253" s="23"/>
      <c r="G2253" s="23">
        <f t="shared" si="8"/>
        <v>185.42</v>
      </c>
      <c r="H2253" s="23"/>
      <c r="I2253" s="23"/>
    </row>
    <row r="2254" spans="1:9">
      <c r="A2254" s="21" t="s">
        <v>7440</v>
      </c>
      <c r="B2254" s="21"/>
      <c r="C2254" s="22">
        <v>1837</v>
      </c>
      <c r="D2254" s="21">
        <v>184.51</v>
      </c>
      <c r="E2254" s="21" t="s">
        <v>5796</v>
      </c>
      <c r="F2254" s="23"/>
      <c r="G2254" s="23">
        <f t="shared" si="8"/>
        <v>184.51</v>
      </c>
      <c r="H2254" s="23"/>
      <c r="I2254" s="23"/>
    </row>
    <row r="2255" spans="1:9">
      <c r="A2255" s="21" t="s">
        <v>7441</v>
      </c>
      <c r="B2255" s="21"/>
      <c r="C2255" s="22">
        <v>1838</v>
      </c>
      <c r="D2255" s="21">
        <v>184.35</v>
      </c>
      <c r="E2255" s="21" t="s">
        <v>5796</v>
      </c>
      <c r="F2255" s="23"/>
      <c r="G2255" s="23">
        <f t="shared" si="8"/>
        <v>184.35</v>
      </c>
      <c r="H2255" s="23"/>
      <c r="I2255" s="23"/>
    </row>
    <row r="2256" spans="1:9">
      <c r="A2256" s="21" t="s">
        <v>7442</v>
      </c>
      <c r="B2256" s="21"/>
      <c r="C2256" s="22">
        <v>1839</v>
      </c>
      <c r="D2256" s="21">
        <v>184.05</v>
      </c>
      <c r="E2256" s="21" t="s">
        <v>5796</v>
      </c>
      <c r="F2256" s="23"/>
      <c r="G2256" s="23">
        <f t="shared" si="8"/>
        <v>184.05</v>
      </c>
      <c r="H2256" s="23"/>
      <c r="I2256" s="23"/>
    </row>
    <row r="2257" spans="1:9">
      <c r="A2257" s="21" t="s">
        <v>7443</v>
      </c>
      <c r="B2257" s="21"/>
      <c r="C2257" s="22">
        <v>1842</v>
      </c>
      <c r="D2257" s="21">
        <v>183.44</v>
      </c>
      <c r="E2257" s="21" t="s">
        <v>5796</v>
      </c>
      <c r="F2257" s="23"/>
      <c r="G2257" s="23">
        <f t="shared" si="8"/>
        <v>183.44</v>
      </c>
      <c r="H2257" s="23"/>
      <c r="I2257" s="23"/>
    </row>
    <row r="2258" spans="1:9">
      <c r="A2258" s="21" t="s">
        <v>7444</v>
      </c>
      <c r="B2258" s="21"/>
      <c r="C2258" s="22">
        <v>1846</v>
      </c>
      <c r="D2258" s="21">
        <v>182.04</v>
      </c>
      <c r="E2258" s="21" t="s">
        <v>5796</v>
      </c>
      <c r="F2258" s="23"/>
      <c r="G2258" s="23">
        <f t="shared" si="8"/>
        <v>182.04</v>
      </c>
      <c r="H2258" s="23"/>
      <c r="I2258" s="23"/>
    </row>
    <row r="2259" spans="1:9">
      <c r="A2259" s="21" t="s">
        <v>7445</v>
      </c>
      <c r="B2259" s="21"/>
      <c r="C2259" s="22">
        <v>1848</v>
      </c>
      <c r="D2259" s="21">
        <v>181.22</v>
      </c>
      <c r="E2259" s="21" t="s">
        <v>5796</v>
      </c>
      <c r="F2259" s="23"/>
      <c r="G2259" s="23">
        <f t="shared" si="8"/>
        <v>181.22</v>
      </c>
      <c r="H2259" s="23"/>
      <c r="I2259" s="23"/>
    </row>
    <row r="2260" spans="1:9">
      <c r="A2260" s="21" t="s">
        <v>7446</v>
      </c>
      <c r="B2260" s="21"/>
      <c r="C2260" s="22">
        <v>1849</v>
      </c>
      <c r="D2260" s="21">
        <v>180.1</v>
      </c>
      <c r="E2260" s="21" t="s">
        <v>5796</v>
      </c>
      <c r="F2260" s="23"/>
      <c r="G2260" s="23">
        <f t="shared" si="8"/>
        <v>180.1</v>
      </c>
      <c r="H2260" s="23"/>
      <c r="I2260" s="23"/>
    </row>
    <row r="2261" spans="1:9">
      <c r="A2261" s="21" t="s">
        <v>7447</v>
      </c>
      <c r="B2261" s="21"/>
      <c r="C2261" s="22">
        <v>1850</v>
      </c>
      <c r="D2261" s="21">
        <v>179.77</v>
      </c>
      <c r="E2261" s="21" t="s">
        <v>5796</v>
      </c>
      <c r="F2261" s="23"/>
      <c r="G2261" s="23">
        <f t="shared" si="8"/>
        <v>179.77</v>
      </c>
      <c r="H2261" s="23"/>
      <c r="I2261" s="23"/>
    </row>
    <row r="2262" spans="1:9">
      <c r="A2262" s="21" t="s">
        <v>7448</v>
      </c>
      <c r="B2262" s="21"/>
      <c r="C2262" s="22">
        <v>1851</v>
      </c>
      <c r="D2262" s="21">
        <v>178.58</v>
      </c>
      <c r="E2262" s="21" t="s">
        <v>5796</v>
      </c>
      <c r="F2262" s="23"/>
      <c r="G2262" s="23">
        <f t="shared" si="8"/>
        <v>178.58</v>
      </c>
      <c r="H2262" s="23"/>
      <c r="I2262" s="23"/>
    </row>
    <row r="2263" spans="1:9">
      <c r="A2263" s="21" t="s">
        <v>7449</v>
      </c>
      <c r="B2263" s="21"/>
      <c r="C2263" s="22">
        <v>1854</v>
      </c>
      <c r="D2263" s="21">
        <v>178.13</v>
      </c>
      <c r="E2263" s="21" t="s">
        <v>5796</v>
      </c>
      <c r="F2263" s="23"/>
      <c r="G2263" s="23">
        <f t="shared" si="8"/>
        <v>178.13</v>
      </c>
      <c r="H2263" s="23"/>
      <c r="I2263" s="23"/>
    </row>
    <row r="2264" spans="1:9">
      <c r="A2264" s="21" t="s">
        <v>7450</v>
      </c>
      <c r="B2264" s="21"/>
      <c r="C2264" s="22">
        <v>1855</v>
      </c>
      <c r="D2264" s="21">
        <v>178.11</v>
      </c>
      <c r="E2264" s="21" t="s">
        <v>5796</v>
      </c>
      <c r="F2264" s="23"/>
      <c r="G2264" s="23">
        <f t="shared" si="8"/>
        <v>178.11</v>
      </c>
      <c r="H2264" s="23"/>
      <c r="I2264" s="23"/>
    </row>
    <row r="2265" spans="1:9">
      <c r="A2265" s="21" t="s">
        <v>7451</v>
      </c>
      <c r="B2265" s="21"/>
      <c r="C2265" s="22">
        <v>1856</v>
      </c>
      <c r="D2265" s="21">
        <v>178.05</v>
      </c>
      <c r="E2265" s="21" t="s">
        <v>5796</v>
      </c>
      <c r="F2265" s="23"/>
      <c r="G2265" s="23">
        <f t="shared" si="8"/>
        <v>178.05</v>
      </c>
      <c r="H2265" s="23"/>
      <c r="I2265" s="23"/>
    </row>
    <row r="2266" spans="1:9">
      <c r="A2266" s="21" t="s">
        <v>7452</v>
      </c>
      <c r="B2266" s="21"/>
      <c r="C2266" s="22">
        <v>1858</v>
      </c>
      <c r="D2266" s="21">
        <v>177.47</v>
      </c>
      <c r="E2266" s="21" t="s">
        <v>5796</v>
      </c>
      <c r="F2266" s="23"/>
      <c r="G2266" s="23">
        <f t="shared" si="8"/>
        <v>177.47</v>
      </c>
      <c r="H2266" s="23"/>
      <c r="I2266" s="23"/>
    </row>
    <row r="2267" spans="1:9">
      <c r="A2267" s="21" t="s">
        <v>7453</v>
      </c>
      <c r="B2267" s="21"/>
      <c r="C2267" s="22">
        <v>1860</v>
      </c>
      <c r="D2267" s="21">
        <v>176.82</v>
      </c>
      <c r="E2267" s="21" t="s">
        <v>5796</v>
      </c>
      <c r="F2267" s="23"/>
      <c r="G2267" s="23">
        <f t="shared" si="8"/>
        <v>176.82</v>
      </c>
      <c r="H2267" s="23"/>
      <c r="I2267" s="23"/>
    </row>
    <row r="2268" spans="1:9">
      <c r="A2268" s="21" t="s">
        <v>7454</v>
      </c>
      <c r="B2268" s="21"/>
      <c r="C2268" s="22">
        <v>1861</v>
      </c>
      <c r="D2268" s="21">
        <v>176.31</v>
      </c>
      <c r="E2268" s="21" t="s">
        <v>5796</v>
      </c>
      <c r="F2268" s="23"/>
      <c r="G2268" s="23">
        <f t="shared" si="8"/>
        <v>176.31</v>
      </c>
      <c r="H2268" s="23"/>
      <c r="I2268" s="23"/>
    </row>
    <row r="2269" spans="1:9">
      <c r="A2269" s="21" t="s">
        <v>7455</v>
      </c>
      <c r="B2269" s="21"/>
      <c r="C2269" s="22">
        <v>1864</v>
      </c>
      <c r="D2269" s="21">
        <v>175.48</v>
      </c>
      <c r="E2269" s="21" t="s">
        <v>5796</v>
      </c>
      <c r="F2269" s="23"/>
      <c r="G2269" s="23">
        <f t="shared" si="8"/>
        <v>175.48</v>
      </c>
      <c r="H2269" s="23"/>
      <c r="I2269" s="23"/>
    </row>
    <row r="2270" spans="1:9">
      <c r="A2270" s="21" t="s">
        <v>7456</v>
      </c>
      <c r="B2270" s="21"/>
      <c r="C2270" s="22">
        <v>1865</v>
      </c>
      <c r="D2270" s="21">
        <v>175.46</v>
      </c>
      <c r="E2270" s="21" t="s">
        <v>5796</v>
      </c>
      <c r="F2270" s="23"/>
      <c r="G2270" s="23">
        <f t="shared" si="8"/>
        <v>175.46</v>
      </c>
      <c r="H2270" s="23"/>
      <c r="I2270" s="23"/>
    </row>
    <row r="2271" spans="1:9">
      <c r="A2271" s="21" t="s">
        <v>7457</v>
      </c>
      <c r="B2271" s="21"/>
      <c r="C2271" s="22">
        <v>1866</v>
      </c>
      <c r="D2271" s="21">
        <v>174.56</v>
      </c>
      <c r="E2271" s="21" t="s">
        <v>5796</v>
      </c>
      <c r="F2271" s="23"/>
      <c r="G2271" s="23">
        <f t="shared" si="8"/>
        <v>174.56</v>
      </c>
      <c r="H2271" s="23"/>
      <c r="I2271" s="23"/>
    </row>
    <row r="2272" spans="1:9">
      <c r="A2272" s="21" t="s">
        <v>7458</v>
      </c>
      <c r="B2272" s="21"/>
      <c r="C2272" s="22">
        <v>1869</v>
      </c>
      <c r="D2272" s="21">
        <v>174.23</v>
      </c>
      <c r="E2272" s="21" t="s">
        <v>5796</v>
      </c>
      <c r="F2272" s="23"/>
      <c r="G2272" s="23">
        <f t="shared" si="8"/>
        <v>174.23</v>
      </c>
      <c r="H2272" s="23"/>
      <c r="I2272" s="23"/>
    </row>
    <row r="2273" spans="1:9">
      <c r="A2273" s="21" t="s">
        <v>7459</v>
      </c>
      <c r="B2273" s="21"/>
      <c r="C2273" s="22">
        <v>1871</v>
      </c>
      <c r="D2273" s="21">
        <v>172.93</v>
      </c>
      <c r="E2273" s="21" t="s">
        <v>5796</v>
      </c>
      <c r="F2273" s="23"/>
      <c r="G2273" s="23">
        <f t="shared" si="8"/>
        <v>172.93</v>
      </c>
      <c r="H2273" s="23"/>
      <c r="I2273" s="23"/>
    </row>
    <row r="2274" spans="1:9">
      <c r="A2274" s="21" t="s">
        <v>7460</v>
      </c>
      <c r="B2274" s="21"/>
      <c r="C2274" s="22">
        <v>1872</v>
      </c>
      <c r="D2274" s="21">
        <v>172.8</v>
      </c>
      <c r="E2274" s="21" t="s">
        <v>5796</v>
      </c>
      <c r="F2274" s="23"/>
      <c r="G2274" s="23">
        <f t="shared" si="8"/>
        <v>172.8</v>
      </c>
      <c r="H2274" s="23"/>
      <c r="I2274" s="23"/>
    </row>
    <row r="2275" spans="1:9">
      <c r="A2275" s="21" t="s">
        <v>7461</v>
      </c>
      <c r="B2275" s="21"/>
      <c r="C2275" s="22">
        <v>1874</v>
      </c>
      <c r="D2275" s="21">
        <v>171.83</v>
      </c>
      <c r="E2275" s="21" t="s">
        <v>5796</v>
      </c>
      <c r="F2275" s="23"/>
      <c r="G2275" s="23">
        <f t="shared" si="8"/>
        <v>171.83</v>
      </c>
      <c r="H2275" s="23"/>
      <c r="I2275" s="23"/>
    </row>
    <row r="2276" spans="1:9">
      <c r="A2276" s="21" t="s">
        <v>7462</v>
      </c>
      <c r="B2276" s="21"/>
      <c r="C2276" s="22">
        <v>1875</v>
      </c>
      <c r="D2276" s="21">
        <v>171.66</v>
      </c>
      <c r="E2276" s="21" t="s">
        <v>5796</v>
      </c>
      <c r="F2276" s="23"/>
      <c r="G2276" s="23">
        <f t="shared" si="8"/>
        <v>171.66</v>
      </c>
      <c r="H2276" s="23"/>
      <c r="I2276" s="23"/>
    </row>
    <row r="2277" spans="1:9">
      <c r="A2277" s="21" t="s">
        <v>7463</v>
      </c>
      <c r="B2277" s="21"/>
      <c r="C2277" s="22">
        <v>1877</v>
      </c>
      <c r="D2277" s="21">
        <v>171.13</v>
      </c>
      <c r="E2277" s="21" t="s">
        <v>5796</v>
      </c>
      <c r="F2277" s="23"/>
      <c r="G2277" s="23">
        <f t="shared" si="8"/>
        <v>171.13</v>
      </c>
      <c r="H2277" s="23"/>
      <c r="I2277" s="23"/>
    </row>
    <row r="2278" spans="1:9">
      <c r="A2278" s="21" t="s">
        <v>7464</v>
      </c>
      <c r="B2278" s="21"/>
      <c r="C2278" s="22">
        <v>1879</v>
      </c>
      <c r="D2278" s="21">
        <v>170.9</v>
      </c>
      <c r="E2278" s="21" t="s">
        <v>5796</v>
      </c>
      <c r="F2278" s="23"/>
      <c r="G2278" s="23">
        <f t="shared" si="8"/>
        <v>170.9</v>
      </c>
      <c r="H2278" s="23"/>
      <c r="I2278" s="23"/>
    </row>
    <row r="2279" spans="1:9">
      <c r="A2279" s="21" t="s">
        <v>7465</v>
      </c>
      <c r="B2279" s="21"/>
      <c r="C2279" s="22">
        <v>1883</v>
      </c>
      <c r="D2279" s="21">
        <v>169.84</v>
      </c>
      <c r="E2279" s="21" t="s">
        <v>5796</v>
      </c>
      <c r="F2279" s="23"/>
      <c r="G2279" s="23">
        <f t="shared" si="8"/>
        <v>169.84</v>
      </c>
      <c r="H2279" s="23"/>
      <c r="I2279" s="23"/>
    </row>
    <row r="2280" spans="1:9">
      <c r="A2280" s="21" t="s">
        <v>7466</v>
      </c>
      <c r="B2280" s="21"/>
      <c r="C2280" s="22">
        <v>1886</v>
      </c>
      <c r="D2280" s="21">
        <v>167.64</v>
      </c>
      <c r="E2280" s="21" t="s">
        <v>5796</v>
      </c>
      <c r="F2280" s="23"/>
      <c r="G2280" s="23">
        <f t="shared" si="8"/>
        <v>167.64</v>
      </c>
      <c r="H2280" s="23"/>
      <c r="I2280" s="23"/>
    </row>
    <row r="2281" spans="1:9">
      <c r="A2281" s="21" t="s">
        <v>7467</v>
      </c>
      <c r="B2281" s="21"/>
      <c r="C2281" s="22">
        <v>1887</v>
      </c>
      <c r="D2281" s="21">
        <v>167.41</v>
      </c>
      <c r="E2281" s="21" t="s">
        <v>5796</v>
      </c>
      <c r="F2281" s="23"/>
      <c r="G2281" s="23">
        <f t="shared" si="8"/>
        <v>167.41</v>
      </c>
      <c r="H2281" s="23"/>
      <c r="I2281" s="23"/>
    </row>
    <row r="2282" spans="1:9">
      <c r="A2282" s="21" t="s">
        <v>7468</v>
      </c>
      <c r="B2282" s="21"/>
      <c r="C2282" s="22">
        <v>1893</v>
      </c>
      <c r="D2282" s="21">
        <v>167.09</v>
      </c>
      <c r="E2282" s="21" t="s">
        <v>5796</v>
      </c>
      <c r="F2282" s="23"/>
      <c r="G2282" s="23">
        <f t="shared" si="8"/>
        <v>167.09</v>
      </c>
      <c r="H2282" s="23"/>
      <c r="I2282" s="23"/>
    </row>
    <row r="2283" spans="1:9">
      <c r="A2283" s="21" t="s">
        <v>7469</v>
      </c>
      <c r="B2283" s="21"/>
      <c r="C2283" s="22">
        <v>1895</v>
      </c>
      <c r="D2283" s="21">
        <v>166.84</v>
      </c>
      <c r="E2283" s="21" t="s">
        <v>5796</v>
      </c>
      <c r="F2283" s="23"/>
      <c r="G2283" s="23">
        <f t="shared" si="8"/>
        <v>166.84</v>
      </c>
      <c r="H2283" s="23"/>
      <c r="I2283" s="23"/>
    </row>
    <row r="2284" spans="1:9">
      <c r="A2284" s="21" t="s">
        <v>7470</v>
      </c>
      <c r="B2284" s="21"/>
      <c r="C2284" s="22">
        <v>1896</v>
      </c>
      <c r="D2284" s="21">
        <v>166.83</v>
      </c>
      <c r="E2284" s="21" t="s">
        <v>5796</v>
      </c>
      <c r="F2284" s="23"/>
      <c r="G2284" s="23">
        <f t="shared" si="8"/>
        <v>166.83</v>
      </c>
      <c r="H2284" s="23"/>
      <c r="I2284" s="23"/>
    </row>
    <row r="2285" spans="1:9">
      <c r="A2285" s="21" t="s">
        <v>7471</v>
      </c>
      <c r="B2285" s="21"/>
      <c r="C2285" s="22">
        <v>1899</v>
      </c>
      <c r="D2285" s="21">
        <v>165.88</v>
      </c>
      <c r="E2285" s="21" t="s">
        <v>5796</v>
      </c>
      <c r="F2285" s="23"/>
      <c r="G2285" s="23">
        <f t="shared" si="8"/>
        <v>165.88</v>
      </c>
      <c r="H2285" s="23"/>
      <c r="I2285" s="23"/>
    </row>
    <row r="2286" spans="1:9">
      <c r="A2286" s="21" t="s">
        <v>7472</v>
      </c>
      <c r="B2286" s="21"/>
      <c r="C2286" s="22">
        <v>1901</v>
      </c>
      <c r="D2286" s="21">
        <v>165.8</v>
      </c>
      <c r="E2286" s="21" t="s">
        <v>5796</v>
      </c>
      <c r="F2286" s="23"/>
      <c r="G2286" s="23">
        <f t="shared" si="8"/>
        <v>165.8</v>
      </c>
      <c r="H2286" s="23"/>
      <c r="I2286" s="23"/>
    </row>
    <row r="2287" spans="1:9">
      <c r="A2287" s="21" t="s">
        <v>7473</v>
      </c>
      <c r="B2287" s="21"/>
      <c r="C2287" s="22">
        <v>1903</v>
      </c>
      <c r="D2287" s="21">
        <v>165.19</v>
      </c>
      <c r="E2287" s="21" t="s">
        <v>5796</v>
      </c>
      <c r="F2287" s="23"/>
      <c r="G2287" s="23">
        <f t="shared" si="8"/>
        <v>165.19</v>
      </c>
      <c r="H2287" s="23"/>
      <c r="I2287" s="23"/>
    </row>
    <row r="2288" spans="1:9">
      <c r="A2288" s="21" t="s">
        <v>7474</v>
      </c>
      <c r="B2288" s="21"/>
      <c r="C2288" s="22">
        <v>1904</v>
      </c>
      <c r="D2288" s="21">
        <v>165</v>
      </c>
      <c r="E2288" s="21" t="s">
        <v>5796</v>
      </c>
      <c r="F2288" s="23"/>
      <c r="G2288" s="23">
        <f t="shared" si="8"/>
        <v>165</v>
      </c>
      <c r="H2288" s="23"/>
      <c r="I2288" s="23"/>
    </row>
    <row r="2289" spans="1:9">
      <c r="A2289" s="21" t="s">
        <v>7475</v>
      </c>
      <c r="B2289" s="21"/>
      <c r="C2289" s="22">
        <v>1905</v>
      </c>
      <c r="D2289" s="21">
        <v>164.87</v>
      </c>
      <c r="E2289" s="21" t="s">
        <v>5796</v>
      </c>
      <c r="F2289" s="23"/>
      <c r="G2289" s="23">
        <f t="shared" si="8"/>
        <v>164.87</v>
      </c>
      <c r="H2289" s="23"/>
      <c r="I2289" s="23"/>
    </row>
    <row r="2290" spans="1:9">
      <c r="A2290" s="21" t="s">
        <v>7476</v>
      </c>
      <c r="B2290" s="21"/>
      <c r="C2290" s="22">
        <v>1907</v>
      </c>
      <c r="D2290" s="21">
        <v>164.57</v>
      </c>
      <c r="E2290" s="21" t="s">
        <v>5796</v>
      </c>
      <c r="F2290" s="23"/>
      <c r="G2290" s="23">
        <f t="shared" si="8"/>
        <v>164.57</v>
      </c>
      <c r="H2290" s="23"/>
      <c r="I2290" s="23"/>
    </row>
    <row r="2291" spans="1:9">
      <c r="A2291" s="21" t="s">
        <v>7477</v>
      </c>
      <c r="B2291" s="21"/>
      <c r="C2291" s="22">
        <v>1908</v>
      </c>
      <c r="D2291" s="21">
        <v>164.23</v>
      </c>
      <c r="E2291" s="21" t="s">
        <v>5796</v>
      </c>
      <c r="F2291" s="23"/>
      <c r="G2291" s="23">
        <f t="shared" si="8"/>
        <v>164.23</v>
      </c>
      <c r="H2291" s="23"/>
      <c r="I2291" s="23"/>
    </row>
    <row r="2292" spans="1:9">
      <c r="A2292" s="21" t="s">
        <v>7478</v>
      </c>
      <c r="B2292" s="21"/>
      <c r="C2292" s="22">
        <v>1909</v>
      </c>
      <c r="D2292" s="21">
        <v>163.96</v>
      </c>
      <c r="E2292" s="21" t="s">
        <v>5796</v>
      </c>
      <c r="F2292" s="23"/>
      <c r="G2292" s="23">
        <f t="shared" si="8"/>
        <v>163.96</v>
      </c>
      <c r="H2292" s="23"/>
      <c r="I2292" s="23"/>
    </row>
    <row r="2293" spans="1:9">
      <c r="A2293" s="21" t="s">
        <v>7479</v>
      </c>
      <c r="B2293" s="21"/>
      <c r="C2293" s="22">
        <v>1911</v>
      </c>
      <c r="D2293" s="21">
        <v>163.47</v>
      </c>
      <c r="E2293" s="21" t="s">
        <v>5796</v>
      </c>
      <c r="F2293" s="23"/>
      <c r="G2293" s="23">
        <f t="shared" si="8"/>
        <v>163.47</v>
      </c>
      <c r="H2293" s="23"/>
      <c r="I2293" s="23"/>
    </row>
    <row r="2294" spans="1:9">
      <c r="A2294" s="21" t="s">
        <v>7480</v>
      </c>
      <c r="B2294" s="21"/>
      <c r="C2294" s="22">
        <v>1912</v>
      </c>
      <c r="D2294" s="21">
        <v>163.27000000000001</v>
      </c>
      <c r="E2294" s="21" t="s">
        <v>5796</v>
      </c>
      <c r="F2294" s="23"/>
      <c r="G2294" s="23">
        <f t="shared" si="8"/>
        <v>163.27000000000001</v>
      </c>
      <c r="H2294" s="23"/>
      <c r="I2294" s="23"/>
    </row>
    <row r="2295" spans="1:9">
      <c r="A2295" s="21" t="s">
        <v>7481</v>
      </c>
      <c r="B2295" s="21"/>
      <c r="C2295" s="22">
        <v>1914</v>
      </c>
      <c r="D2295" s="21">
        <v>162.97999999999999</v>
      </c>
      <c r="E2295" s="21" t="s">
        <v>5796</v>
      </c>
      <c r="F2295" s="23"/>
      <c r="G2295" s="23">
        <f t="shared" si="8"/>
        <v>162.97999999999999</v>
      </c>
      <c r="H2295" s="23"/>
      <c r="I2295" s="23"/>
    </row>
    <row r="2296" spans="1:9">
      <c r="A2296" s="21" t="s">
        <v>7482</v>
      </c>
      <c r="B2296" s="21"/>
      <c r="C2296" s="22">
        <v>1922</v>
      </c>
      <c r="D2296" s="21">
        <v>161.41</v>
      </c>
      <c r="E2296" s="21" t="s">
        <v>5796</v>
      </c>
      <c r="F2296" s="23"/>
      <c r="G2296" s="23">
        <f t="shared" si="8"/>
        <v>161.41</v>
      </c>
      <c r="H2296" s="23"/>
      <c r="I2296" s="23"/>
    </row>
    <row r="2297" spans="1:9">
      <c r="A2297" s="21" t="s">
        <v>7483</v>
      </c>
      <c r="B2297" s="21"/>
      <c r="C2297" s="22">
        <v>1923</v>
      </c>
      <c r="D2297" s="21">
        <v>160.91</v>
      </c>
      <c r="E2297" s="21" t="s">
        <v>5796</v>
      </c>
      <c r="F2297" s="23"/>
      <c r="G2297" s="23">
        <f t="shared" si="8"/>
        <v>160.91</v>
      </c>
      <c r="H2297" s="23"/>
      <c r="I2297" s="23"/>
    </row>
    <row r="2298" spans="1:9">
      <c r="A2298" s="21" t="s">
        <v>7484</v>
      </c>
      <c r="B2298" s="21"/>
      <c r="C2298" s="22">
        <v>1924</v>
      </c>
      <c r="D2298" s="21">
        <v>160.49</v>
      </c>
      <c r="E2298" s="21" t="s">
        <v>5796</v>
      </c>
      <c r="F2298" s="23"/>
      <c r="G2298" s="23">
        <f t="shared" ref="G2298:G2552" si="9">VALUE(SUBSTITUTE(D2298, ",", ""))</f>
        <v>160.49</v>
      </c>
      <c r="H2298" s="23"/>
      <c r="I2298" s="23"/>
    </row>
    <row r="2299" spans="1:9">
      <c r="A2299" s="21" t="s">
        <v>7485</v>
      </c>
      <c r="B2299" s="21"/>
      <c r="C2299" s="22">
        <v>1925</v>
      </c>
      <c r="D2299" s="21">
        <v>160.22999999999999</v>
      </c>
      <c r="E2299" s="21" t="s">
        <v>5796</v>
      </c>
      <c r="F2299" s="23"/>
      <c r="G2299" s="23">
        <f t="shared" si="9"/>
        <v>160.22999999999999</v>
      </c>
      <c r="H2299" s="23"/>
      <c r="I2299" s="23"/>
    </row>
    <row r="2300" spans="1:9">
      <c r="A2300" s="21" t="s">
        <v>7486</v>
      </c>
      <c r="B2300" s="21"/>
      <c r="C2300" s="22">
        <v>1929</v>
      </c>
      <c r="D2300" s="21">
        <v>159.93</v>
      </c>
      <c r="E2300" s="21" t="s">
        <v>5796</v>
      </c>
      <c r="F2300" s="23"/>
      <c r="G2300" s="23">
        <f t="shared" si="9"/>
        <v>159.93</v>
      </c>
      <c r="H2300" s="23"/>
      <c r="I2300" s="23"/>
    </row>
    <row r="2301" spans="1:9">
      <c r="A2301" s="21" t="s">
        <v>7487</v>
      </c>
      <c r="B2301" s="21"/>
      <c r="C2301" s="22">
        <v>1930</v>
      </c>
      <c r="D2301" s="21">
        <v>159.69999999999999</v>
      </c>
      <c r="E2301" s="21" t="s">
        <v>5796</v>
      </c>
      <c r="F2301" s="23"/>
      <c r="G2301" s="23">
        <f t="shared" si="9"/>
        <v>159.69999999999999</v>
      </c>
      <c r="H2301" s="23"/>
      <c r="I2301" s="23"/>
    </row>
    <row r="2302" spans="1:9">
      <c r="A2302" s="21" t="s">
        <v>7488</v>
      </c>
      <c r="B2302" s="21"/>
      <c r="C2302" s="22">
        <v>1934</v>
      </c>
      <c r="D2302" s="21">
        <v>158.88999999999999</v>
      </c>
      <c r="E2302" s="21" t="s">
        <v>5796</v>
      </c>
      <c r="F2302" s="23"/>
      <c r="G2302" s="23">
        <f t="shared" si="9"/>
        <v>158.88999999999999</v>
      </c>
      <c r="H2302" s="23"/>
      <c r="I2302" s="23"/>
    </row>
    <row r="2303" spans="1:9">
      <c r="A2303" s="21" t="s">
        <v>7489</v>
      </c>
      <c r="B2303" s="21"/>
      <c r="C2303" s="22">
        <v>1935</v>
      </c>
      <c r="D2303" s="21">
        <v>158.80000000000001</v>
      </c>
      <c r="E2303" s="21" t="s">
        <v>5796</v>
      </c>
      <c r="F2303" s="23"/>
      <c r="G2303" s="23">
        <f t="shared" si="9"/>
        <v>158.80000000000001</v>
      </c>
      <c r="H2303" s="23"/>
      <c r="I2303" s="23"/>
    </row>
    <row r="2304" spans="1:9">
      <c r="A2304" s="21" t="s">
        <v>7490</v>
      </c>
      <c r="B2304" s="21"/>
      <c r="C2304" s="22">
        <v>1936</v>
      </c>
      <c r="D2304" s="21">
        <v>158.51</v>
      </c>
      <c r="E2304" s="21" t="s">
        <v>5796</v>
      </c>
      <c r="F2304" s="23"/>
      <c r="G2304" s="23">
        <f t="shared" si="9"/>
        <v>158.51</v>
      </c>
      <c r="H2304" s="23"/>
      <c r="I2304" s="23"/>
    </row>
    <row r="2305" spans="1:9">
      <c r="A2305" s="21" t="s">
        <v>7491</v>
      </c>
      <c r="B2305" s="21"/>
      <c r="C2305" s="22">
        <v>1937</v>
      </c>
      <c r="D2305" s="21">
        <v>158.06</v>
      </c>
      <c r="E2305" s="21" t="s">
        <v>5796</v>
      </c>
      <c r="F2305" s="23"/>
      <c r="G2305" s="23">
        <f t="shared" si="9"/>
        <v>158.06</v>
      </c>
      <c r="H2305" s="23"/>
      <c r="I2305" s="23"/>
    </row>
    <row r="2306" spans="1:9">
      <c r="A2306" s="21" t="s">
        <v>7492</v>
      </c>
      <c r="B2306" s="21"/>
      <c r="C2306" s="22">
        <v>1940</v>
      </c>
      <c r="D2306" s="21">
        <v>157.13</v>
      </c>
      <c r="E2306" s="21" t="s">
        <v>5796</v>
      </c>
      <c r="F2306" s="23"/>
      <c r="G2306" s="23">
        <f t="shared" si="9"/>
        <v>157.13</v>
      </c>
      <c r="H2306" s="23"/>
      <c r="I2306" s="23"/>
    </row>
    <row r="2307" spans="1:9">
      <c r="A2307" s="21" t="s">
        <v>7493</v>
      </c>
      <c r="B2307" s="21"/>
      <c r="C2307" s="22">
        <v>1944</v>
      </c>
      <c r="D2307" s="21">
        <v>156.49</v>
      </c>
      <c r="E2307" s="21" t="s">
        <v>5796</v>
      </c>
      <c r="F2307" s="23"/>
      <c r="G2307" s="23">
        <f t="shared" si="9"/>
        <v>156.49</v>
      </c>
      <c r="H2307" s="23"/>
      <c r="I2307" s="23"/>
    </row>
    <row r="2308" spans="1:9">
      <c r="A2308" s="21" t="s">
        <v>7494</v>
      </c>
      <c r="B2308" s="21"/>
      <c r="C2308" s="22">
        <v>1946</v>
      </c>
      <c r="D2308" s="21">
        <v>155.94999999999999</v>
      </c>
      <c r="E2308" s="21" t="s">
        <v>5796</v>
      </c>
      <c r="F2308" s="23"/>
      <c r="G2308" s="23">
        <f t="shared" si="9"/>
        <v>155.94999999999999</v>
      </c>
      <c r="H2308" s="23"/>
      <c r="I2308" s="23"/>
    </row>
    <row r="2309" spans="1:9">
      <c r="A2309" s="21" t="s">
        <v>7495</v>
      </c>
      <c r="B2309" s="21"/>
      <c r="C2309" s="22">
        <v>1947</v>
      </c>
      <c r="D2309" s="21">
        <v>155.52000000000001</v>
      </c>
      <c r="E2309" s="21" t="s">
        <v>5796</v>
      </c>
      <c r="F2309" s="23"/>
      <c r="G2309" s="23">
        <f t="shared" si="9"/>
        <v>155.52000000000001</v>
      </c>
      <c r="H2309" s="23"/>
      <c r="I2309" s="23"/>
    </row>
    <row r="2310" spans="1:9">
      <c r="A2310" s="21" t="s">
        <v>7496</v>
      </c>
      <c r="B2310" s="21"/>
      <c r="C2310" s="22">
        <v>1948</v>
      </c>
      <c r="D2310" s="21">
        <v>155.12</v>
      </c>
      <c r="E2310" s="21" t="s">
        <v>5796</v>
      </c>
      <c r="F2310" s="23"/>
      <c r="G2310" s="23">
        <f t="shared" si="9"/>
        <v>155.12</v>
      </c>
      <c r="H2310" s="23"/>
      <c r="I2310" s="23"/>
    </row>
    <row r="2311" spans="1:9">
      <c r="A2311" s="21" t="s">
        <v>7497</v>
      </c>
      <c r="B2311" s="21"/>
      <c r="C2311" s="22">
        <v>1949</v>
      </c>
      <c r="D2311" s="21">
        <v>154.86000000000001</v>
      </c>
      <c r="E2311" s="21" t="s">
        <v>5796</v>
      </c>
      <c r="F2311" s="23"/>
      <c r="G2311" s="23">
        <f t="shared" si="9"/>
        <v>154.86000000000001</v>
      </c>
      <c r="H2311" s="23"/>
      <c r="I2311" s="23"/>
    </row>
    <row r="2312" spans="1:9">
      <c r="A2312" s="21" t="s">
        <v>7498</v>
      </c>
      <c r="B2312" s="21"/>
      <c r="C2312" s="22">
        <v>1950</v>
      </c>
      <c r="D2312" s="21">
        <v>154.56</v>
      </c>
      <c r="E2312" s="21" t="s">
        <v>5796</v>
      </c>
      <c r="F2312" s="23"/>
      <c r="G2312" s="23">
        <f t="shared" si="9"/>
        <v>154.56</v>
      </c>
      <c r="H2312" s="23"/>
      <c r="I2312" s="23"/>
    </row>
    <row r="2313" spans="1:9">
      <c r="A2313" s="21" t="s">
        <v>7499</v>
      </c>
      <c r="B2313" s="21"/>
      <c r="C2313" s="22">
        <v>1952</v>
      </c>
      <c r="D2313" s="21">
        <v>153.91999999999999</v>
      </c>
      <c r="E2313" s="21" t="s">
        <v>5796</v>
      </c>
      <c r="F2313" s="23"/>
      <c r="G2313" s="23">
        <f t="shared" si="9"/>
        <v>153.91999999999999</v>
      </c>
      <c r="H2313" s="23"/>
      <c r="I2313" s="23"/>
    </row>
    <row r="2314" spans="1:9">
      <c r="A2314" s="21" t="s">
        <v>7500</v>
      </c>
      <c r="B2314" s="21"/>
      <c r="C2314" s="22">
        <v>1954</v>
      </c>
      <c r="D2314" s="21">
        <v>152.99</v>
      </c>
      <c r="E2314" s="21" t="s">
        <v>5796</v>
      </c>
      <c r="F2314" s="23"/>
      <c r="G2314" s="23">
        <f t="shared" si="9"/>
        <v>152.99</v>
      </c>
      <c r="H2314" s="23"/>
      <c r="I2314" s="23"/>
    </row>
    <row r="2315" spans="1:9">
      <c r="A2315" s="21" t="s">
        <v>7501</v>
      </c>
      <c r="B2315" s="21"/>
      <c r="C2315" s="22">
        <v>1955</v>
      </c>
      <c r="D2315" s="21">
        <v>152.65</v>
      </c>
      <c r="E2315" s="21" t="s">
        <v>5796</v>
      </c>
      <c r="F2315" s="23"/>
      <c r="G2315" s="23">
        <f t="shared" si="9"/>
        <v>152.65</v>
      </c>
      <c r="H2315" s="23"/>
      <c r="I2315" s="23"/>
    </row>
    <row r="2316" spans="1:9">
      <c r="A2316" s="21" t="s">
        <v>7502</v>
      </c>
      <c r="B2316" s="21"/>
      <c r="C2316" s="22">
        <v>1956</v>
      </c>
      <c r="D2316" s="21">
        <v>152.53</v>
      </c>
      <c r="E2316" s="21" t="s">
        <v>5796</v>
      </c>
      <c r="F2316" s="23"/>
      <c r="G2316" s="23">
        <f t="shared" si="9"/>
        <v>152.53</v>
      </c>
      <c r="H2316" s="23"/>
      <c r="I2316" s="23"/>
    </row>
    <row r="2317" spans="1:9">
      <c r="A2317" s="21" t="s">
        <v>7503</v>
      </c>
      <c r="B2317" s="21"/>
      <c r="C2317" s="22">
        <v>1957</v>
      </c>
      <c r="D2317" s="21">
        <v>152.19999999999999</v>
      </c>
      <c r="E2317" s="21" t="s">
        <v>5796</v>
      </c>
      <c r="F2317" s="23"/>
      <c r="G2317" s="23">
        <f t="shared" si="9"/>
        <v>152.19999999999999</v>
      </c>
      <c r="H2317" s="23"/>
      <c r="I2317" s="23"/>
    </row>
    <row r="2318" spans="1:9">
      <c r="A2318" s="21" t="s">
        <v>7504</v>
      </c>
      <c r="B2318" s="21"/>
      <c r="C2318" s="22">
        <v>1962</v>
      </c>
      <c r="D2318" s="21">
        <v>151.35</v>
      </c>
      <c r="E2318" s="21" t="s">
        <v>5796</v>
      </c>
      <c r="F2318" s="23"/>
      <c r="G2318" s="23">
        <f t="shared" si="9"/>
        <v>151.35</v>
      </c>
      <c r="H2318" s="23"/>
      <c r="I2318" s="23"/>
    </row>
    <row r="2319" spans="1:9">
      <c r="A2319" s="21" t="s">
        <v>7505</v>
      </c>
      <c r="B2319" s="21"/>
      <c r="C2319" s="22">
        <v>1963</v>
      </c>
      <c r="D2319" s="21">
        <v>151.06</v>
      </c>
      <c r="E2319" s="21" t="s">
        <v>5796</v>
      </c>
      <c r="F2319" s="23"/>
      <c r="G2319" s="23">
        <f t="shared" si="9"/>
        <v>151.06</v>
      </c>
      <c r="H2319" s="23"/>
      <c r="I2319" s="23"/>
    </row>
    <row r="2320" spans="1:9">
      <c r="A2320" s="21" t="s">
        <v>7506</v>
      </c>
      <c r="B2320" s="21"/>
      <c r="C2320" s="22">
        <v>1965</v>
      </c>
      <c r="D2320" s="21">
        <v>150.65</v>
      </c>
      <c r="E2320" s="21" t="s">
        <v>5796</v>
      </c>
      <c r="F2320" s="23"/>
      <c r="G2320" s="23">
        <f t="shared" si="9"/>
        <v>150.65</v>
      </c>
      <c r="H2320" s="23"/>
      <c r="I2320" s="23"/>
    </row>
    <row r="2321" spans="1:9">
      <c r="A2321" s="21" t="s">
        <v>7507</v>
      </c>
      <c r="B2321" s="21"/>
      <c r="C2321" s="22">
        <v>1967</v>
      </c>
      <c r="D2321" s="21">
        <v>149.97</v>
      </c>
      <c r="E2321" s="21" t="s">
        <v>5796</v>
      </c>
      <c r="F2321" s="23"/>
      <c r="G2321" s="23">
        <f t="shared" si="9"/>
        <v>149.97</v>
      </c>
      <c r="H2321" s="23"/>
      <c r="I2321" s="23"/>
    </row>
    <row r="2322" spans="1:9">
      <c r="A2322" s="21" t="s">
        <v>7508</v>
      </c>
      <c r="B2322" s="21"/>
      <c r="C2322" s="22">
        <v>1968</v>
      </c>
      <c r="D2322" s="21">
        <v>149.86000000000001</v>
      </c>
      <c r="E2322" s="21" t="s">
        <v>5796</v>
      </c>
      <c r="F2322" s="23"/>
      <c r="G2322" s="23">
        <f t="shared" si="9"/>
        <v>149.86000000000001</v>
      </c>
      <c r="H2322" s="23"/>
      <c r="I2322" s="23"/>
    </row>
    <row r="2323" spans="1:9">
      <c r="A2323" s="21" t="s">
        <v>7509</v>
      </c>
      <c r="B2323" s="21"/>
      <c r="C2323" s="22">
        <v>1970</v>
      </c>
      <c r="D2323" s="21">
        <v>149.56</v>
      </c>
      <c r="E2323" s="21" t="s">
        <v>5796</v>
      </c>
      <c r="F2323" s="23"/>
      <c r="G2323" s="23">
        <f t="shared" si="9"/>
        <v>149.56</v>
      </c>
      <c r="H2323" s="23"/>
      <c r="I2323" s="23"/>
    </row>
    <row r="2324" spans="1:9">
      <c r="A2324" s="21" t="s">
        <v>7510</v>
      </c>
      <c r="B2324" s="21"/>
      <c r="C2324" s="22">
        <v>1973</v>
      </c>
      <c r="D2324" s="21">
        <v>148.93</v>
      </c>
      <c r="E2324" s="21" t="s">
        <v>5796</v>
      </c>
      <c r="F2324" s="23"/>
      <c r="G2324" s="23">
        <f t="shared" si="9"/>
        <v>148.93</v>
      </c>
      <c r="H2324" s="23"/>
      <c r="I2324" s="23"/>
    </row>
    <row r="2325" spans="1:9">
      <c r="A2325" s="21" t="s">
        <v>7511</v>
      </c>
      <c r="B2325" s="21"/>
      <c r="C2325" s="22">
        <v>1974</v>
      </c>
      <c r="D2325" s="21">
        <v>148.91</v>
      </c>
      <c r="E2325" s="21" t="s">
        <v>5796</v>
      </c>
      <c r="F2325" s="23"/>
      <c r="G2325" s="23">
        <f t="shared" si="9"/>
        <v>148.91</v>
      </c>
      <c r="H2325" s="23"/>
      <c r="I2325" s="23"/>
    </row>
    <row r="2326" spans="1:9">
      <c r="A2326" s="21" t="s">
        <v>7512</v>
      </c>
      <c r="B2326" s="21"/>
      <c r="C2326" s="22">
        <v>1977</v>
      </c>
      <c r="D2326" s="21">
        <v>148.77000000000001</v>
      </c>
      <c r="E2326" s="21" t="s">
        <v>5796</v>
      </c>
      <c r="F2326" s="23"/>
      <c r="G2326" s="23">
        <f t="shared" si="9"/>
        <v>148.77000000000001</v>
      </c>
      <c r="H2326" s="23"/>
      <c r="I2326" s="23"/>
    </row>
    <row r="2327" spans="1:9">
      <c r="A2327" s="21" t="s">
        <v>7513</v>
      </c>
      <c r="B2327" s="21"/>
      <c r="C2327" s="22">
        <v>1979</v>
      </c>
      <c r="D2327" s="21">
        <v>148.63999999999999</v>
      </c>
      <c r="E2327" s="21" t="s">
        <v>5796</v>
      </c>
      <c r="F2327" s="23"/>
      <c r="G2327" s="23">
        <f t="shared" si="9"/>
        <v>148.63999999999999</v>
      </c>
      <c r="H2327" s="23"/>
      <c r="I2327" s="23"/>
    </row>
    <row r="2328" spans="1:9">
      <c r="A2328" s="21" t="s">
        <v>7514</v>
      </c>
      <c r="B2328" s="21"/>
      <c r="C2328" s="22">
        <v>1982</v>
      </c>
      <c r="D2328" s="21">
        <v>147.11000000000001</v>
      </c>
      <c r="E2328" s="21" t="s">
        <v>5796</v>
      </c>
      <c r="F2328" s="23"/>
      <c r="G2328" s="23">
        <f t="shared" si="9"/>
        <v>147.11000000000001</v>
      </c>
      <c r="H2328" s="23"/>
      <c r="I2328" s="23"/>
    </row>
    <row r="2329" spans="1:9">
      <c r="A2329" s="21" t="s">
        <v>7515</v>
      </c>
      <c r="B2329" s="21"/>
      <c r="C2329" s="22">
        <v>1985</v>
      </c>
      <c r="D2329" s="21">
        <v>146.71</v>
      </c>
      <c r="E2329" s="21" t="s">
        <v>5796</v>
      </c>
      <c r="F2329" s="23"/>
      <c r="G2329" s="23">
        <f t="shared" si="9"/>
        <v>146.71</v>
      </c>
      <c r="H2329" s="23"/>
      <c r="I2329" s="23"/>
    </row>
    <row r="2330" spans="1:9">
      <c r="A2330" s="21" t="s">
        <v>7516</v>
      </c>
      <c r="B2330" s="21"/>
      <c r="C2330" s="22">
        <v>1987</v>
      </c>
      <c r="D2330" s="21">
        <v>146.66</v>
      </c>
      <c r="E2330" s="21" t="s">
        <v>5796</v>
      </c>
      <c r="F2330" s="23"/>
      <c r="G2330" s="23">
        <f t="shared" si="9"/>
        <v>146.66</v>
      </c>
      <c r="H2330" s="23"/>
      <c r="I2330" s="23"/>
    </row>
    <row r="2331" spans="1:9">
      <c r="A2331" s="21" t="s">
        <v>7517</v>
      </c>
      <c r="B2331" s="21"/>
      <c r="C2331" s="22">
        <v>1988</v>
      </c>
      <c r="D2331" s="21">
        <v>146.66</v>
      </c>
      <c r="E2331" s="21" t="s">
        <v>5796</v>
      </c>
      <c r="F2331" s="23"/>
      <c r="G2331" s="23">
        <f t="shared" si="9"/>
        <v>146.66</v>
      </c>
      <c r="H2331" s="23"/>
      <c r="I2331" s="23"/>
    </row>
    <row r="2332" spans="1:9">
      <c r="A2332" s="21" t="s">
        <v>7518</v>
      </c>
      <c r="B2332" s="21"/>
      <c r="C2332" s="22">
        <v>1990</v>
      </c>
      <c r="D2332" s="21">
        <v>146.41</v>
      </c>
      <c r="E2332" s="21" t="s">
        <v>5796</v>
      </c>
      <c r="F2332" s="23"/>
      <c r="G2332" s="23">
        <f t="shared" si="9"/>
        <v>146.41</v>
      </c>
      <c r="H2332" s="23"/>
      <c r="I2332" s="23"/>
    </row>
    <row r="2333" spans="1:9">
      <c r="A2333" s="21" t="s">
        <v>7519</v>
      </c>
      <c r="B2333" s="21"/>
      <c r="C2333" s="22">
        <v>1992</v>
      </c>
      <c r="D2333" s="21">
        <v>145.44999999999999</v>
      </c>
      <c r="E2333" s="21" t="s">
        <v>5796</v>
      </c>
      <c r="F2333" s="23"/>
      <c r="G2333" s="23">
        <f t="shared" si="9"/>
        <v>145.44999999999999</v>
      </c>
      <c r="H2333" s="23"/>
      <c r="I2333" s="23"/>
    </row>
    <row r="2334" spans="1:9">
      <c r="A2334" s="21" t="s">
        <v>7520</v>
      </c>
      <c r="B2334" s="21"/>
      <c r="C2334" s="22">
        <v>1996</v>
      </c>
      <c r="D2334" s="21">
        <v>144.91</v>
      </c>
      <c r="E2334" s="21" t="s">
        <v>5796</v>
      </c>
      <c r="F2334" s="23"/>
      <c r="G2334" s="23">
        <f t="shared" si="9"/>
        <v>144.91</v>
      </c>
      <c r="H2334" s="23"/>
      <c r="I2334" s="23"/>
    </row>
    <row r="2335" spans="1:9">
      <c r="A2335" s="21" t="s">
        <v>7521</v>
      </c>
      <c r="B2335" s="21"/>
      <c r="C2335" s="22">
        <v>1997</v>
      </c>
      <c r="D2335" s="21">
        <v>144.69</v>
      </c>
      <c r="E2335" s="21" t="s">
        <v>5796</v>
      </c>
      <c r="F2335" s="23"/>
      <c r="G2335" s="23">
        <f t="shared" si="9"/>
        <v>144.69</v>
      </c>
      <c r="H2335" s="23"/>
      <c r="I2335" s="23"/>
    </row>
    <row r="2336" spans="1:9">
      <c r="A2336" s="21" t="s">
        <v>7522</v>
      </c>
      <c r="B2336" s="21"/>
      <c r="C2336" s="22">
        <v>1998</v>
      </c>
      <c r="D2336" s="21">
        <v>144.59</v>
      </c>
      <c r="E2336" s="21" t="s">
        <v>5796</v>
      </c>
      <c r="F2336" s="23"/>
      <c r="G2336" s="23">
        <f t="shared" si="9"/>
        <v>144.59</v>
      </c>
      <c r="H2336" s="23"/>
      <c r="I2336" s="23"/>
    </row>
    <row r="2337" spans="1:9">
      <c r="A2337" s="21" t="s">
        <v>7523</v>
      </c>
      <c r="B2337" s="21"/>
      <c r="C2337" s="22">
        <v>2000</v>
      </c>
      <c r="D2337" s="21">
        <v>143.96</v>
      </c>
      <c r="E2337" s="21" t="s">
        <v>5796</v>
      </c>
      <c r="F2337" s="23"/>
      <c r="G2337" s="23">
        <f t="shared" si="9"/>
        <v>143.96</v>
      </c>
      <c r="H2337" s="23"/>
      <c r="I2337" s="23"/>
    </row>
    <row r="2338" spans="1:9">
      <c r="A2338" s="21" t="s">
        <v>7524</v>
      </c>
      <c r="B2338" s="21"/>
      <c r="C2338" s="22">
        <v>2002</v>
      </c>
      <c r="D2338" s="21">
        <v>143.85</v>
      </c>
      <c r="E2338" s="21" t="s">
        <v>5796</v>
      </c>
      <c r="F2338" s="23"/>
      <c r="G2338" s="23">
        <f t="shared" si="9"/>
        <v>143.85</v>
      </c>
      <c r="H2338" s="23"/>
      <c r="I2338" s="23"/>
    </row>
    <row r="2339" spans="1:9">
      <c r="A2339" s="21" t="s">
        <v>7525</v>
      </c>
      <c r="B2339" s="21"/>
      <c r="C2339" s="22">
        <v>2003</v>
      </c>
      <c r="D2339" s="21">
        <v>143.77000000000001</v>
      </c>
      <c r="E2339" s="21" t="s">
        <v>5796</v>
      </c>
      <c r="F2339" s="23"/>
      <c r="G2339" s="23">
        <f t="shared" si="9"/>
        <v>143.77000000000001</v>
      </c>
      <c r="H2339" s="23"/>
      <c r="I2339" s="23"/>
    </row>
    <row r="2340" spans="1:9">
      <c r="A2340" s="21" t="s">
        <v>7526</v>
      </c>
      <c r="B2340" s="21"/>
      <c r="C2340" s="22">
        <v>2006</v>
      </c>
      <c r="D2340" s="21">
        <v>142.80000000000001</v>
      </c>
      <c r="E2340" s="21" t="s">
        <v>5796</v>
      </c>
      <c r="F2340" s="23"/>
      <c r="G2340" s="23">
        <f t="shared" si="9"/>
        <v>142.80000000000001</v>
      </c>
      <c r="H2340" s="23"/>
      <c r="I2340" s="23"/>
    </row>
    <row r="2341" spans="1:9">
      <c r="A2341" s="21" t="s">
        <v>7527</v>
      </c>
      <c r="B2341" s="21"/>
      <c r="C2341" s="22">
        <v>2008</v>
      </c>
      <c r="D2341" s="21">
        <v>142.47999999999999</v>
      </c>
      <c r="E2341" s="21" t="s">
        <v>5796</v>
      </c>
      <c r="F2341" s="23"/>
      <c r="G2341" s="23">
        <f t="shared" si="9"/>
        <v>142.47999999999999</v>
      </c>
      <c r="H2341" s="23"/>
      <c r="I2341" s="23"/>
    </row>
    <row r="2342" spans="1:9">
      <c r="A2342" s="21" t="s">
        <v>7528</v>
      </c>
      <c r="B2342" s="21"/>
      <c r="C2342" s="22">
        <v>2010</v>
      </c>
      <c r="D2342" s="21">
        <v>141.91</v>
      </c>
      <c r="E2342" s="21" t="s">
        <v>5796</v>
      </c>
      <c r="F2342" s="23"/>
      <c r="G2342" s="23">
        <f t="shared" si="9"/>
        <v>141.91</v>
      </c>
      <c r="H2342" s="23"/>
      <c r="I2342" s="23"/>
    </row>
    <row r="2343" spans="1:9">
      <c r="A2343" s="21" t="s">
        <v>7529</v>
      </c>
      <c r="B2343" s="21"/>
      <c r="C2343" s="22">
        <v>2011</v>
      </c>
      <c r="D2343" s="21">
        <v>141.88999999999999</v>
      </c>
      <c r="E2343" s="21" t="s">
        <v>5796</v>
      </c>
      <c r="F2343" s="23"/>
      <c r="G2343" s="23">
        <f t="shared" si="9"/>
        <v>141.88999999999999</v>
      </c>
      <c r="H2343" s="23"/>
      <c r="I2343" s="23"/>
    </row>
    <row r="2344" spans="1:9">
      <c r="A2344" s="21" t="s">
        <v>7530</v>
      </c>
      <c r="B2344" s="21"/>
      <c r="C2344" s="22">
        <v>2014</v>
      </c>
      <c r="D2344" s="21">
        <v>140.65</v>
      </c>
      <c r="E2344" s="21" t="s">
        <v>5796</v>
      </c>
      <c r="F2344" s="23"/>
      <c r="G2344" s="23">
        <f t="shared" si="9"/>
        <v>140.65</v>
      </c>
      <c r="H2344" s="23"/>
      <c r="I2344" s="23"/>
    </row>
    <row r="2345" spans="1:9">
      <c r="A2345" s="21" t="s">
        <v>7531</v>
      </c>
      <c r="B2345" s="21"/>
      <c r="C2345" s="22">
        <v>2017</v>
      </c>
      <c r="D2345" s="21">
        <v>139.63</v>
      </c>
      <c r="E2345" s="21" t="s">
        <v>5796</v>
      </c>
      <c r="F2345" s="23"/>
      <c r="G2345" s="23">
        <f t="shared" si="9"/>
        <v>139.63</v>
      </c>
      <c r="H2345" s="23"/>
      <c r="I2345" s="23"/>
    </row>
    <row r="2346" spans="1:9">
      <c r="A2346" s="21" t="s">
        <v>7532</v>
      </c>
      <c r="B2346" s="21"/>
      <c r="C2346" s="22">
        <v>2018</v>
      </c>
      <c r="D2346" s="21">
        <v>139.34</v>
      </c>
      <c r="E2346" s="21" t="s">
        <v>5796</v>
      </c>
      <c r="F2346" s="23"/>
      <c r="G2346" s="23">
        <f t="shared" si="9"/>
        <v>139.34</v>
      </c>
      <c r="H2346" s="23"/>
      <c r="I2346" s="23"/>
    </row>
    <row r="2347" spans="1:9">
      <c r="A2347" s="21" t="s">
        <v>7533</v>
      </c>
      <c r="B2347" s="21"/>
      <c r="C2347" s="22">
        <v>2019</v>
      </c>
      <c r="D2347" s="21">
        <v>139.30000000000001</v>
      </c>
      <c r="E2347" s="21" t="s">
        <v>5796</v>
      </c>
      <c r="F2347" s="23"/>
      <c r="G2347" s="23">
        <f t="shared" si="9"/>
        <v>139.30000000000001</v>
      </c>
      <c r="H2347" s="23"/>
      <c r="I2347" s="23"/>
    </row>
    <row r="2348" spans="1:9">
      <c r="A2348" s="21" t="s">
        <v>7534</v>
      </c>
      <c r="B2348" s="21"/>
      <c r="C2348" s="22">
        <v>2020</v>
      </c>
      <c r="D2348" s="21">
        <v>139.30000000000001</v>
      </c>
      <c r="E2348" s="21" t="s">
        <v>5796</v>
      </c>
      <c r="F2348" s="23"/>
      <c r="G2348" s="23">
        <f t="shared" si="9"/>
        <v>139.30000000000001</v>
      </c>
      <c r="H2348" s="23"/>
      <c r="I2348" s="23"/>
    </row>
    <row r="2349" spans="1:9">
      <c r="A2349" s="21" t="s">
        <v>7535</v>
      </c>
      <c r="B2349" s="21"/>
      <c r="C2349" s="22">
        <v>2021</v>
      </c>
      <c r="D2349" s="21">
        <v>139.19999999999999</v>
      </c>
      <c r="E2349" s="21" t="s">
        <v>5796</v>
      </c>
      <c r="F2349" s="23"/>
      <c r="G2349" s="23">
        <f t="shared" si="9"/>
        <v>139.19999999999999</v>
      </c>
      <c r="H2349" s="23"/>
      <c r="I2349" s="23"/>
    </row>
    <row r="2350" spans="1:9">
      <c r="A2350" s="21" t="s">
        <v>7536</v>
      </c>
      <c r="B2350" s="21"/>
      <c r="C2350" s="22">
        <v>2026</v>
      </c>
      <c r="D2350" s="21">
        <v>135.9</v>
      </c>
      <c r="E2350" s="21" t="s">
        <v>5796</v>
      </c>
      <c r="F2350" s="23"/>
      <c r="G2350" s="23">
        <f t="shared" si="9"/>
        <v>135.9</v>
      </c>
      <c r="H2350" s="23"/>
      <c r="I2350" s="23"/>
    </row>
    <row r="2351" spans="1:9">
      <c r="A2351" s="21" t="s">
        <v>7537</v>
      </c>
      <c r="B2351" s="21"/>
      <c r="C2351" s="22">
        <v>2027</v>
      </c>
      <c r="D2351" s="21">
        <v>135.66999999999999</v>
      </c>
      <c r="E2351" s="21" t="s">
        <v>5796</v>
      </c>
      <c r="F2351" s="23"/>
      <c r="G2351" s="23">
        <f t="shared" si="9"/>
        <v>135.66999999999999</v>
      </c>
      <c r="H2351" s="23"/>
      <c r="I2351" s="23"/>
    </row>
    <row r="2352" spans="1:9">
      <c r="A2352" s="21" t="s">
        <v>7538</v>
      </c>
      <c r="B2352" s="21"/>
      <c r="C2352" s="22">
        <v>2028</v>
      </c>
      <c r="D2352" s="21">
        <v>135.52000000000001</v>
      </c>
      <c r="E2352" s="21" t="s">
        <v>5796</v>
      </c>
      <c r="F2352" s="23"/>
      <c r="G2352" s="23">
        <f t="shared" si="9"/>
        <v>135.52000000000001</v>
      </c>
      <c r="H2352" s="23"/>
      <c r="I2352" s="23"/>
    </row>
    <row r="2353" spans="1:9">
      <c r="A2353" s="21" t="s">
        <v>7539</v>
      </c>
      <c r="B2353" s="21"/>
      <c r="C2353" s="22">
        <v>2030</v>
      </c>
      <c r="D2353" s="21">
        <v>134.83000000000001</v>
      </c>
      <c r="E2353" s="21" t="s">
        <v>5796</v>
      </c>
      <c r="F2353" s="23"/>
      <c r="G2353" s="23">
        <f t="shared" si="9"/>
        <v>134.83000000000001</v>
      </c>
      <c r="H2353" s="23"/>
      <c r="I2353" s="23"/>
    </row>
    <row r="2354" spans="1:9">
      <c r="A2354" s="21" t="s">
        <v>7540</v>
      </c>
      <c r="B2354" s="21"/>
      <c r="C2354" s="22">
        <v>2033</v>
      </c>
      <c r="D2354" s="21">
        <v>133.6</v>
      </c>
      <c r="E2354" s="21" t="s">
        <v>5796</v>
      </c>
      <c r="F2354" s="23"/>
      <c r="G2354" s="23">
        <f t="shared" si="9"/>
        <v>133.6</v>
      </c>
      <c r="H2354" s="23"/>
      <c r="I2354" s="23"/>
    </row>
    <row r="2355" spans="1:9">
      <c r="A2355" s="21" t="s">
        <v>7541</v>
      </c>
      <c r="B2355" s="21"/>
      <c r="C2355" s="22">
        <v>2036</v>
      </c>
      <c r="D2355" s="21">
        <v>132.94</v>
      </c>
      <c r="E2355" s="21" t="s">
        <v>5796</v>
      </c>
      <c r="F2355" s="23"/>
      <c r="G2355" s="23">
        <f t="shared" si="9"/>
        <v>132.94</v>
      </c>
      <c r="H2355" s="23"/>
      <c r="I2355" s="23"/>
    </row>
    <row r="2356" spans="1:9">
      <c r="A2356" s="21" t="s">
        <v>7542</v>
      </c>
      <c r="B2356" s="21"/>
      <c r="C2356" s="22">
        <v>2039</v>
      </c>
      <c r="D2356" s="21">
        <v>132.76</v>
      </c>
      <c r="E2356" s="21" t="s">
        <v>5796</v>
      </c>
      <c r="F2356" s="23"/>
      <c r="G2356" s="23">
        <f t="shared" si="9"/>
        <v>132.76</v>
      </c>
      <c r="H2356" s="23"/>
      <c r="I2356" s="23"/>
    </row>
    <row r="2357" spans="1:9">
      <c r="A2357" s="21" t="s">
        <v>7543</v>
      </c>
      <c r="B2357" s="21"/>
      <c r="C2357" s="22">
        <v>2041</v>
      </c>
      <c r="D2357" s="21">
        <v>132.54</v>
      </c>
      <c r="E2357" s="21" t="s">
        <v>5796</v>
      </c>
      <c r="F2357" s="23"/>
      <c r="G2357" s="23">
        <f t="shared" si="9"/>
        <v>132.54</v>
      </c>
      <c r="H2357" s="23"/>
      <c r="I2357" s="23"/>
    </row>
    <row r="2358" spans="1:9">
      <c r="A2358" s="21" t="s">
        <v>7544</v>
      </c>
      <c r="B2358" s="21"/>
      <c r="C2358" s="22">
        <v>2044</v>
      </c>
      <c r="D2358" s="21">
        <v>132.41999999999999</v>
      </c>
      <c r="E2358" s="21" t="s">
        <v>5796</v>
      </c>
      <c r="F2358" s="23"/>
      <c r="G2358" s="23">
        <f t="shared" si="9"/>
        <v>132.41999999999999</v>
      </c>
      <c r="H2358" s="23"/>
      <c r="I2358" s="23"/>
    </row>
    <row r="2359" spans="1:9">
      <c r="A2359" s="21" t="s">
        <v>7545</v>
      </c>
      <c r="B2359" s="21"/>
      <c r="C2359" s="22">
        <v>2045</v>
      </c>
      <c r="D2359" s="21">
        <v>132.25</v>
      </c>
      <c r="E2359" s="21" t="s">
        <v>5796</v>
      </c>
      <c r="F2359" s="23"/>
      <c r="G2359" s="23">
        <f t="shared" si="9"/>
        <v>132.25</v>
      </c>
      <c r="H2359" s="23"/>
      <c r="I2359" s="23"/>
    </row>
    <row r="2360" spans="1:9">
      <c r="A2360" s="21" t="s">
        <v>7546</v>
      </c>
      <c r="B2360" s="21"/>
      <c r="C2360" s="22">
        <v>2047</v>
      </c>
      <c r="D2360" s="21">
        <v>132.16999999999999</v>
      </c>
      <c r="E2360" s="21" t="s">
        <v>5796</v>
      </c>
      <c r="F2360" s="23"/>
      <c r="G2360" s="23">
        <f t="shared" si="9"/>
        <v>132.16999999999999</v>
      </c>
      <c r="H2360" s="23"/>
      <c r="I2360" s="23"/>
    </row>
    <row r="2361" spans="1:9">
      <c r="A2361" s="21" t="s">
        <v>7547</v>
      </c>
      <c r="B2361" s="21"/>
      <c r="C2361" s="22">
        <v>2048</v>
      </c>
      <c r="D2361" s="21">
        <v>132.08000000000001</v>
      </c>
      <c r="E2361" s="21" t="s">
        <v>5796</v>
      </c>
      <c r="F2361" s="23"/>
      <c r="G2361" s="23">
        <f t="shared" si="9"/>
        <v>132.08000000000001</v>
      </c>
      <c r="H2361" s="23"/>
      <c r="I2361" s="23"/>
    </row>
    <row r="2362" spans="1:9">
      <c r="A2362" s="21" t="s">
        <v>7548</v>
      </c>
      <c r="B2362" s="21"/>
      <c r="C2362" s="22">
        <v>2051</v>
      </c>
      <c r="D2362" s="21">
        <v>131.22999999999999</v>
      </c>
      <c r="E2362" s="21" t="s">
        <v>5796</v>
      </c>
      <c r="F2362" s="23"/>
      <c r="G2362" s="23">
        <f t="shared" si="9"/>
        <v>131.22999999999999</v>
      </c>
      <c r="H2362" s="23"/>
      <c r="I2362" s="23"/>
    </row>
    <row r="2363" spans="1:9">
      <c r="A2363" s="21" t="s">
        <v>7549</v>
      </c>
      <c r="B2363" s="21"/>
      <c r="C2363" s="22">
        <v>2052</v>
      </c>
      <c r="D2363" s="21">
        <v>131.07</v>
      </c>
      <c r="E2363" s="21" t="s">
        <v>5796</v>
      </c>
      <c r="F2363" s="23"/>
      <c r="G2363" s="23">
        <f t="shared" si="9"/>
        <v>131.07</v>
      </c>
      <c r="H2363" s="23"/>
      <c r="I2363" s="23"/>
    </row>
    <row r="2364" spans="1:9">
      <c r="A2364" s="21" t="s">
        <v>7550</v>
      </c>
      <c r="B2364" s="21"/>
      <c r="C2364" s="22">
        <v>2053</v>
      </c>
      <c r="D2364" s="21">
        <v>131.06</v>
      </c>
      <c r="E2364" s="21" t="s">
        <v>5796</v>
      </c>
      <c r="F2364" s="23"/>
      <c r="G2364" s="23">
        <f t="shared" si="9"/>
        <v>131.06</v>
      </c>
      <c r="H2364" s="23"/>
      <c r="I2364" s="23"/>
    </row>
    <row r="2365" spans="1:9">
      <c r="A2365" s="21" t="s">
        <v>7551</v>
      </c>
      <c r="B2365" s="21"/>
      <c r="C2365" s="22">
        <v>2054</v>
      </c>
      <c r="D2365" s="21">
        <v>130.96</v>
      </c>
      <c r="E2365" s="21" t="s">
        <v>5796</v>
      </c>
      <c r="F2365" s="23"/>
      <c r="G2365" s="23">
        <f t="shared" si="9"/>
        <v>130.96</v>
      </c>
      <c r="H2365" s="23"/>
      <c r="I2365" s="23"/>
    </row>
    <row r="2366" spans="1:9">
      <c r="A2366" s="21" t="s">
        <v>7552</v>
      </c>
      <c r="B2366" s="21"/>
      <c r="C2366" s="22">
        <v>2055</v>
      </c>
      <c r="D2366" s="21">
        <v>130.69</v>
      </c>
      <c r="E2366" s="21" t="s">
        <v>5796</v>
      </c>
      <c r="F2366" s="23"/>
      <c r="G2366" s="23">
        <f t="shared" si="9"/>
        <v>130.69</v>
      </c>
      <c r="H2366" s="23"/>
      <c r="I2366" s="23"/>
    </row>
    <row r="2367" spans="1:9">
      <c r="A2367" s="21" t="s">
        <v>7553</v>
      </c>
      <c r="B2367" s="21"/>
      <c r="C2367" s="22">
        <v>2060</v>
      </c>
      <c r="D2367" s="21">
        <v>129.19</v>
      </c>
      <c r="E2367" s="21" t="s">
        <v>5796</v>
      </c>
      <c r="F2367" s="23"/>
      <c r="G2367" s="23">
        <f t="shared" si="9"/>
        <v>129.19</v>
      </c>
      <c r="H2367" s="23"/>
      <c r="I2367" s="23"/>
    </row>
    <row r="2368" spans="1:9">
      <c r="A2368" s="21" t="s">
        <v>7554</v>
      </c>
      <c r="B2368" s="21"/>
      <c r="C2368" s="22">
        <v>2062</v>
      </c>
      <c r="D2368" s="21">
        <v>128.68</v>
      </c>
      <c r="E2368" s="21" t="s">
        <v>5796</v>
      </c>
      <c r="F2368" s="23"/>
      <c r="G2368" s="23">
        <f t="shared" si="9"/>
        <v>128.68</v>
      </c>
      <c r="H2368" s="23"/>
      <c r="I2368" s="23"/>
    </row>
    <row r="2369" spans="1:9">
      <c r="A2369" s="21" t="s">
        <v>7555</v>
      </c>
      <c r="B2369" s="21"/>
      <c r="C2369" s="22">
        <v>2064</v>
      </c>
      <c r="D2369" s="21">
        <v>128</v>
      </c>
      <c r="E2369" s="21" t="s">
        <v>5796</v>
      </c>
      <c r="F2369" s="23"/>
      <c r="G2369" s="23">
        <f t="shared" si="9"/>
        <v>128</v>
      </c>
      <c r="H2369" s="23"/>
      <c r="I2369" s="23"/>
    </row>
    <row r="2370" spans="1:9">
      <c r="A2370" s="21" t="s">
        <v>7556</v>
      </c>
      <c r="B2370" s="21"/>
      <c r="C2370" s="22">
        <v>2065</v>
      </c>
      <c r="D2370" s="21">
        <v>127.63</v>
      </c>
      <c r="E2370" s="21" t="s">
        <v>5796</v>
      </c>
      <c r="F2370" s="23"/>
      <c r="G2370" s="23">
        <f t="shared" si="9"/>
        <v>127.63</v>
      </c>
      <c r="H2370" s="23"/>
      <c r="I2370" s="23"/>
    </row>
    <row r="2371" spans="1:9">
      <c r="A2371" s="21" t="s">
        <v>7557</v>
      </c>
      <c r="B2371" s="21"/>
      <c r="C2371" s="22">
        <v>2066</v>
      </c>
      <c r="D2371" s="21">
        <v>127.56</v>
      </c>
      <c r="E2371" s="21" t="s">
        <v>5796</v>
      </c>
      <c r="F2371" s="23"/>
      <c r="G2371" s="23">
        <f t="shared" si="9"/>
        <v>127.56</v>
      </c>
      <c r="H2371" s="23"/>
      <c r="I2371" s="23"/>
    </row>
    <row r="2372" spans="1:9">
      <c r="A2372" s="21" t="s">
        <v>7558</v>
      </c>
      <c r="B2372" s="21"/>
      <c r="C2372" s="22">
        <v>2067</v>
      </c>
      <c r="D2372" s="21">
        <v>127.54</v>
      </c>
      <c r="E2372" s="21" t="s">
        <v>5796</v>
      </c>
      <c r="F2372" s="23"/>
      <c r="G2372" s="23">
        <f t="shared" si="9"/>
        <v>127.54</v>
      </c>
      <c r="H2372" s="23"/>
      <c r="I2372" s="23"/>
    </row>
    <row r="2373" spans="1:9">
      <c r="A2373" s="21" t="s">
        <v>7559</v>
      </c>
      <c r="B2373" s="21"/>
      <c r="C2373" s="22">
        <v>2068</v>
      </c>
      <c r="D2373" s="21">
        <v>127.43</v>
      </c>
      <c r="E2373" s="21" t="s">
        <v>5796</v>
      </c>
      <c r="F2373" s="23"/>
      <c r="G2373" s="23">
        <f t="shared" si="9"/>
        <v>127.43</v>
      </c>
      <c r="H2373" s="23"/>
      <c r="I2373" s="23"/>
    </row>
    <row r="2374" spans="1:9">
      <c r="A2374" s="21" t="s">
        <v>7560</v>
      </c>
      <c r="B2374" s="21"/>
      <c r="C2374" s="22">
        <v>2071</v>
      </c>
      <c r="D2374" s="21">
        <v>126.7</v>
      </c>
      <c r="E2374" s="21" t="s">
        <v>5796</v>
      </c>
      <c r="F2374" s="23"/>
      <c r="G2374" s="23">
        <f t="shared" si="9"/>
        <v>126.7</v>
      </c>
      <c r="H2374" s="23"/>
      <c r="I2374" s="23"/>
    </row>
    <row r="2375" spans="1:9">
      <c r="A2375" s="21" t="s">
        <v>7561</v>
      </c>
      <c r="B2375" s="21"/>
      <c r="C2375" s="22">
        <v>2072</v>
      </c>
      <c r="D2375" s="21">
        <v>126.67</v>
      </c>
      <c r="E2375" s="21" t="s">
        <v>5796</v>
      </c>
      <c r="F2375" s="23"/>
      <c r="G2375" s="23">
        <f t="shared" si="9"/>
        <v>126.67</v>
      </c>
      <c r="H2375" s="23"/>
      <c r="I2375" s="23"/>
    </row>
    <row r="2376" spans="1:9">
      <c r="A2376" s="21" t="s">
        <v>7562</v>
      </c>
      <c r="B2376" s="21"/>
      <c r="C2376" s="22">
        <v>2074</v>
      </c>
      <c r="D2376" s="21">
        <v>125.57</v>
      </c>
      <c r="E2376" s="21" t="s">
        <v>5796</v>
      </c>
      <c r="F2376" s="23"/>
      <c r="G2376" s="23">
        <f t="shared" si="9"/>
        <v>125.57</v>
      </c>
      <c r="H2376" s="23"/>
      <c r="I2376" s="23"/>
    </row>
    <row r="2377" spans="1:9">
      <c r="A2377" s="21" t="s">
        <v>7563</v>
      </c>
      <c r="B2377" s="21"/>
      <c r="C2377" s="22">
        <v>2075</v>
      </c>
      <c r="D2377" s="21">
        <v>125.49</v>
      </c>
      <c r="E2377" s="21" t="s">
        <v>5796</v>
      </c>
      <c r="F2377" s="23"/>
      <c r="G2377" s="23">
        <f t="shared" si="9"/>
        <v>125.49</v>
      </c>
      <c r="H2377" s="23"/>
      <c r="I2377" s="23"/>
    </row>
    <row r="2378" spans="1:9">
      <c r="A2378" s="21" t="s">
        <v>7564</v>
      </c>
      <c r="B2378" s="21"/>
      <c r="C2378" s="22">
        <v>2076</v>
      </c>
      <c r="D2378" s="21">
        <v>125.12</v>
      </c>
      <c r="E2378" s="21" t="s">
        <v>5796</v>
      </c>
      <c r="F2378" s="23"/>
      <c r="G2378" s="23">
        <f t="shared" si="9"/>
        <v>125.12</v>
      </c>
      <c r="H2378" s="23"/>
      <c r="I2378" s="23"/>
    </row>
    <row r="2379" spans="1:9">
      <c r="A2379" s="21" t="s">
        <v>7565</v>
      </c>
      <c r="B2379" s="21"/>
      <c r="C2379" s="22">
        <v>2078</v>
      </c>
      <c r="D2379" s="21">
        <v>124.71</v>
      </c>
      <c r="E2379" s="21" t="s">
        <v>5796</v>
      </c>
      <c r="F2379" s="23"/>
      <c r="G2379" s="23">
        <f t="shared" si="9"/>
        <v>124.71</v>
      </c>
      <c r="H2379" s="23"/>
      <c r="I2379" s="23"/>
    </row>
    <row r="2380" spans="1:9">
      <c r="A2380" s="21" t="s">
        <v>7566</v>
      </c>
      <c r="B2380" s="21"/>
      <c r="C2380" s="22">
        <v>2079</v>
      </c>
      <c r="D2380" s="21">
        <v>124.43</v>
      </c>
      <c r="E2380" s="21" t="s">
        <v>5796</v>
      </c>
      <c r="F2380" s="23"/>
      <c r="G2380" s="23">
        <f t="shared" si="9"/>
        <v>124.43</v>
      </c>
      <c r="H2380" s="23"/>
      <c r="I2380" s="23"/>
    </row>
    <row r="2381" spans="1:9">
      <c r="A2381" s="21" t="s">
        <v>7567</v>
      </c>
      <c r="B2381" s="21"/>
      <c r="C2381" s="22">
        <v>2080</v>
      </c>
      <c r="D2381" s="21">
        <v>124.43</v>
      </c>
      <c r="E2381" s="21" t="s">
        <v>5796</v>
      </c>
      <c r="F2381" s="23"/>
      <c r="G2381" s="23">
        <f t="shared" si="9"/>
        <v>124.43</v>
      </c>
      <c r="H2381" s="23"/>
      <c r="I2381" s="23"/>
    </row>
    <row r="2382" spans="1:9">
      <c r="A2382" s="21" t="s">
        <v>7568</v>
      </c>
      <c r="B2382" s="21"/>
      <c r="C2382" s="22">
        <v>2081</v>
      </c>
      <c r="D2382" s="21">
        <v>124.31</v>
      </c>
      <c r="E2382" s="21" t="s">
        <v>5796</v>
      </c>
      <c r="F2382" s="23"/>
      <c r="G2382" s="23">
        <f t="shared" si="9"/>
        <v>124.31</v>
      </c>
      <c r="H2382" s="23"/>
      <c r="I2382" s="23"/>
    </row>
    <row r="2383" spans="1:9">
      <c r="A2383" s="21" t="s">
        <v>7569</v>
      </c>
      <c r="B2383" s="21"/>
      <c r="C2383" s="22">
        <v>2082</v>
      </c>
      <c r="D2383" s="21">
        <v>124.18</v>
      </c>
      <c r="E2383" s="21" t="s">
        <v>5796</v>
      </c>
      <c r="F2383" s="23"/>
      <c r="G2383" s="23">
        <f t="shared" si="9"/>
        <v>124.18</v>
      </c>
      <c r="H2383" s="23"/>
      <c r="I2383" s="23"/>
    </row>
    <row r="2384" spans="1:9">
      <c r="A2384" s="21" t="s">
        <v>7570</v>
      </c>
      <c r="B2384" s="21"/>
      <c r="C2384" s="22">
        <v>2083</v>
      </c>
      <c r="D2384" s="21">
        <v>124.17</v>
      </c>
      <c r="E2384" s="21" t="s">
        <v>5796</v>
      </c>
      <c r="F2384" s="23"/>
      <c r="G2384" s="23">
        <f t="shared" si="9"/>
        <v>124.17</v>
      </c>
      <c r="H2384" s="23"/>
      <c r="I2384" s="23"/>
    </row>
    <row r="2385" spans="1:9">
      <c r="A2385" s="21" t="s">
        <v>7571</v>
      </c>
      <c r="B2385" s="21"/>
      <c r="C2385" s="22">
        <v>2087</v>
      </c>
      <c r="D2385" s="21">
        <v>123.71</v>
      </c>
      <c r="E2385" s="21" t="s">
        <v>5796</v>
      </c>
      <c r="F2385" s="23"/>
      <c r="G2385" s="23">
        <f t="shared" si="9"/>
        <v>123.71</v>
      </c>
      <c r="H2385" s="23"/>
      <c r="I2385" s="23"/>
    </row>
    <row r="2386" spans="1:9">
      <c r="A2386" s="21" t="s">
        <v>7572</v>
      </c>
      <c r="B2386" s="21"/>
      <c r="C2386" s="22">
        <v>2088</v>
      </c>
      <c r="D2386" s="21">
        <v>122.72</v>
      </c>
      <c r="E2386" s="21" t="s">
        <v>5796</v>
      </c>
      <c r="F2386" s="23"/>
      <c r="G2386" s="23">
        <f t="shared" si="9"/>
        <v>122.72</v>
      </c>
      <c r="H2386" s="23"/>
      <c r="I2386" s="23"/>
    </row>
    <row r="2387" spans="1:9">
      <c r="A2387" s="21" t="s">
        <v>7573</v>
      </c>
      <c r="B2387" s="21"/>
      <c r="C2387" s="22">
        <v>2090</v>
      </c>
      <c r="D2387" s="21">
        <v>122.65</v>
      </c>
      <c r="E2387" s="21" t="s">
        <v>5796</v>
      </c>
      <c r="F2387" s="23"/>
      <c r="G2387" s="23">
        <f t="shared" si="9"/>
        <v>122.65</v>
      </c>
      <c r="H2387" s="23"/>
      <c r="I2387" s="23"/>
    </row>
    <row r="2388" spans="1:9">
      <c r="A2388" s="21" t="s">
        <v>7574</v>
      </c>
      <c r="B2388" s="21"/>
      <c r="C2388" s="22">
        <v>2092</v>
      </c>
      <c r="D2388" s="21">
        <v>122.54</v>
      </c>
      <c r="E2388" s="21" t="s">
        <v>5796</v>
      </c>
      <c r="F2388" s="23"/>
      <c r="G2388" s="23">
        <f t="shared" si="9"/>
        <v>122.54</v>
      </c>
      <c r="H2388" s="23"/>
      <c r="I2388" s="23"/>
    </row>
    <row r="2389" spans="1:9">
      <c r="A2389" s="21" t="s">
        <v>7575</v>
      </c>
      <c r="B2389" s="21"/>
      <c r="C2389" s="22">
        <v>2093</v>
      </c>
      <c r="D2389" s="21">
        <v>122.31</v>
      </c>
      <c r="E2389" s="21" t="s">
        <v>5796</v>
      </c>
      <c r="F2389" s="23"/>
      <c r="G2389" s="23">
        <f t="shared" si="9"/>
        <v>122.31</v>
      </c>
      <c r="H2389" s="23"/>
      <c r="I2389" s="23"/>
    </row>
    <row r="2390" spans="1:9">
      <c r="A2390" s="21" t="s">
        <v>7576</v>
      </c>
      <c r="B2390" s="21"/>
      <c r="C2390" s="22">
        <v>2094</v>
      </c>
      <c r="D2390" s="21">
        <v>122.13</v>
      </c>
      <c r="E2390" s="21" t="s">
        <v>5796</v>
      </c>
      <c r="F2390" s="23"/>
      <c r="G2390" s="23">
        <f t="shared" si="9"/>
        <v>122.13</v>
      </c>
      <c r="H2390" s="23"/>
      <c r="I2390" s="23"/>
    </row>
    <row r="2391" spans="1:9">
      <c r="A2391" s="21" t="s">
        <v>7577</v>
      </c>
      <c r="B2391" s="21"/>
      <c r="C2391" s="22">
        <v>2095</v>
      </c>
      <c r="D2391" s="21">
        <v>122.02</v>
      </c>
      <c r="E2391" s="21" t="s">
        <v>5796</v>
      </c>
      <c r="F2391" s="23"/>
      <c r="G2391" s="23">
        <f t="shared" si="9"/>
        <v>122.02</v>
      </c>
      <c r="H2391" s="23"/>
      <c r="I2391" s="23"/>
    </row>
    <row r="2392" spans="1:9">
      <c r="A2392" s="21" t="s">
        <v>7578</v>
      </c>
      <c r="B2392" s="21"/>
      <c r="C2392" s="22">
        <v>2096</v>
      </c>
      <c r="D2392" s="21">
        <v>121.7</v>
      </c>
      <c r="E2392" s="21" t="s">
        <v>5796</v>
      </c>
      <c r="F2392" s="23"/>
      <c r="G2392" s="23">
        <f t="shared" si="9"/>
        <v>121.7</v>
      </c>
      <c r="H2392" s="23"/>
      <c r="I2392" s="23"/>
    </row>
    <row r="2393" spans="1:9">
      <c r="A2393" s="21" t="s">
        <v>7579</v>
      </c>
      <c r="B2393" s="21"/>
      <c r="C2393" s="22">
        <v>2097</v>
      </c>
      <c r="D2393" s="21">
        <v>121.68</v>
      </c>
      <c r="E2393" s="21" t="s">
        <v>5796</v>
      </c>
      <c r="F2393" s="23"/>
      <c r="G2393" s="23">
        <f t="shared" si="9"/>
        <v>121.68</v>
      </c>
      <c r="H2393" s="23"/>
      <c r="I2393" s="23"/>
    </row>
    <row r="2394" spans="1:9">
      <c r="A2394" s="21" t="s">
        <v>7580</v>
      </c>
      <c r="B2394" s="21"/>
      <c r="C2394" s="22">
        <v>2098</v>
      </c>
      <c r="D2394" s="21">
        <v>121.66</v>
      </c>
      <c r="E2394" s="21" t="s">
        <v>5796</v>
      </c>
      <c r="F2394" s="23"/>
      <c r="G2394" s="23">
        <f t="shared" si="9"/>
        <v>121.66</v>
      </c>
      <c r="H2394" s="23"/>
      <c r="I2394" s="23"/>
    </row>
    <row r="2395" spans="1:9">
      <c r="A2395" s="21" t="s">
        <v>7581</v>
      </c>
      <c r="B2395" s="21"/>
      <c r="C2395" s="22">
        <v>2099</v>
      </c>
      <c r="D2395" s="21">
        <v>121.15</v>
      </c>
      <c r="E2395" s="21" t="s">
        <v>5796</v>
      </c>
      <c r="F2395" s="23"/>
      <c r="G2395" s="23">
        <f t="shared" si="9"/>
        <v>121.15</v>
      </c>
      <c r="H2395" s="23"/>
      <c r="I2395" s="23"/>
    </row>
    <row r="2396" spans="1:9">
      <c r="A2396" s="21" t="s">
        <v>7582</v>
      </c>
      <c r="B2396" s="21"/>
      <c r="C2396" s="22">
        <v>2100</v>
      </c>
      <c r="D2396" s="21">
        <v>120.64</v>
      </c>
      <c r="E2396" s="21" t="s">
        <v>5796</v>
      </c>
      <c r="F2396" s="23"/>
      <c r="G2396" s="23">
        <f t="shared" si="9"/>
        <v>120.64</v>
      </c>
      <c r="H2396" s="23"/>
      <c r="I2396" s="23"/>
    </row>
    <row r="2397" spans="1:9">
      <c r="A2397" s="21" t="s">
        <v>7583</v>
      </c>
      <c r="B2397" s="21"/>
      <c r="C2397" s="22">
        <v>2101</v>
      </c>
      <c r="D2397" s="21">
        <v>120.47</v>
      </c>
      <c r="E2397" s="21" t="s">
        <v>5796</v>
      </c>
      <c r="F2397" s="23"/>
      <c r="G2397" s="23">
        <f t="shared" si="9"/>
        <v>120.47</v>
      </c>
      <c r="H2397" s="23"/>
      <c r="I2397" s="23"/>
    </row>
    <row r="2398" spans="1:9">
      <c r="A2398" s="21" t="s">
        <v>7584</v>
      </c>
      <c r="B2398" s="21"/>
      <c r="C2398" s="22">
        <v>2102</v>
      </c>
      <c r="D2398" s="21">
        <v>120.43</v>
      </c>
      <c r="E2398" s="21" t="s">
        <v>5796</v>
      </c>
      <c r="F2398" s="23"/>
      <c r="G2398" s="23">
        <f t="shared" si="9"/>
        <v>120.43</v>
      </c>
      <c r="H2398" s="23"/>
      <c r="I2398" s="23"/>
    </row>
    <row r="2399" spans="1:9">
      <c r="A2399" s="21" t="s">
        <v>7585</v>
      </c>
      <c r="B2399" s="21"/>
      <c r="C2399" s="22">
        <v>2103</v>
      </c>
      <c r="D2399" s="21">
        <v>120.28</v>
      </c>
      <c r="E2399" s="21" t="s">
        <v>5796</v>
      </c>
      <c r="F2399" s="23"/>
      <c r="G2399" s="23">
        <f t="shared" si="9"/>
        <v>120.28</v>
      </c>
      <c r="H2399" s="23"/>
      <c r="I2399" s="23"/>
    </row>
    <row r="2400" spans="1:9">
      <c r="A2400" s="21" t="s">
        <v>7586</v>
      </c>
      <c r="B2400" s="21"/>
      <c r="C2400" s="22">
        <v>2104</v>
      </c>
      <c r="D2400" s="21">
        <v>119.92</v>
      </c>
      <c r="E2400" s="21" t="s">
        <v>5796</v>
      </c>
      <c r="F2400" s="23"/>
      <c r="G2400" s="23">
        <f t="shared" si="9"/>
        <v>119.92</v>
      </c>
      <c r="H2400" s="23"/>
      <c r="I2400" s="23"/>
    </row>
    <row r="2401" spans="1:9">
      <c r="A2401" s="21" t="s">
        <v>7587</v>
      </c>
      <c r="B2401" s="21"/>
      <c r="C2401" s="22">
        <v>2106</v>
      </c>
      <c r="D2401" s="21">
        <v>119.9</v>
      </c>
      <c r="E2401" s="21" t="s">
        <v>5796</v>
      </c>
      <c r="F2401" s="23"/>
      <c r="G2401" s="23">
        <f t="shared" si="9"/>
        <v>119.9</v>
      </c>
      <c r="H2401" s="23"/>
      <c r="I2401" s="23"/>
    </row>
    <row r="2402" spans="1:9">
      <c r="A2402" s="21" t="s">
        <v>7588</v>
      </c>
      <c r="B2402" s="21"/>
      <c r="C2402" s="22">
        <v>2107</v>
      </c>
      <c r="D2402" s="21">
        <v>119.9</v>
      </c>
      <c r="E2402" s="21" t="s">
        <v>5796</v>
      </c>
      <c r="F2402" s="23"/>
      <c r="G2402" s="23">
        <f t="shared" si="9"/>
        <v>119.9</v>
      </c>
      <c r="H2402" s="23"/>
      <c r="I2402" s="23"/>
    </row>
    <row r="2403" spans="1:9">
      <c r="A2403" s="21" t="s">
        <v>7589</v>
      </c>
      <c r="B2403" s="21"/>
      <c r="C2403" s="22">
        <v>2108</v>
      </c>
      <c r="D2403" s="21">
        <v>119.76</v>
      </c>
      <c r="E2403" s="21" t="s">
        <v>5796</v>
      </c>
      <c r="F2403" s="23"/>
      <c r="G2403" s="23">
        <f t="shared" si="9"/>
        <v>119.76</v>
      </c>
      <c r="H2403" s="23"/>
      <c r="I2403" s="23"/>
    </row>
    <row r="2404" spans="1:9">
      <c r="A2404" s="21" t="s">
        <v>7590</v>
      </c>
      <c r="B2404" s="21"/>
      <c r="C2404" s="22">
        <v>2109</v>
      </c>
      <c r="D2404" s="21">
        <v>119.43</v>
      </c>
      <c r="E2404" s="21" t="s">
        <v>5796</v>
      </c>
      <c r="F2404" s="23"/>
      <c r="G2404" s="23">
        <f t="shared" si="9"/>
        <v>119.43</v>
      </c>
      <c r="H2404" s="23"/>
      <c r="I2404" s="23"/>
    </row>
    <row r="2405" spans="1:9">
      <c r="A2405" s="21" t="s">
        <v>7591</v>
      </c>
      <c r="B2405" s="21"/>
      <c r="C2405" s="22">
        <v>2110</v>
      </c>
      <c r="D2405" s="21">
        <v>119.36</v>
      </c>
      <c r="E2405" s="21" t="s">
        <v>5796</v>
      </c>
      <c r="F2405" s="23"/>
      <c r="G2405" s="23">
        <f t="shared" si="9"/>
        <v>119.36</v>
      </c>
      <c r="H2405" s="23"/>
      <c r="I2405" s="23"/>
    </row>
    <row r="2406" spans="1:9">
      <c r="A2406" s="21" t="s">
        <v>7592</v>
      </c>
      <c r="B2406" s="21"/>
      <c r="C2406" s="22">
        <v>2112</v>
      </c>
      <c r="D2406" s="21">
        <v>119.28</v>
      </c>
      <c r="E2406" s="21" t="s">
        <v>5796</v>
      </c>
      <c r="F2406" s="23"/>
      <c r="G2406" s="23">
        <f t="shared" si="9"/>
        <v>119.28</v>
      </c>
      <c r="H2406" s="23"/>
      <c r="I2406" s="23"/>
    </row>
    <row r="2407" spans="1:9">
      <c r="A2407" s="21" t="s">
        <v>7593</v>
      </c>
      <c r="B2407" s="21"/>
      <c r="C2407" s="22">
        <v>2113</v>
      </c>
      <c r="D2407" s="21">
        <v>118.96</v>
      </c>
      <c r="E2407" s="21" t="s">
        <v>5796</v>
      </c>
      <c r="F2407" s="23"/>
      <c r="G2407" s="23">
        <f t="shared" si="9"/>
        <v>118.96</v>
      </c>
      <c r="H2407" s="23"/>
      <c r="I2407" s="23"/>
    </row>
    <row r="2408" spans="1:9">
      <c r="A2408" s="21" t="s">
        <v>7594</v>
      </c>
      <c r="B2408" s="21"/>
      <c r="C2408" s="22">
        <v>2117</v>
      </c>
      <c r="D2408" s="21">
        <v>118.59</v>
      </c>
      <c r="E2408" s="21" t="s">
        <v>5796</v>
      </c>
      <c r="F2408" s="23"/>
      <c r="G2408" s="23">
        <f t="shared" si="9"/>
        <v>118.59</v>
      </c>
      <c r="H2408" s="23"/>
      <c r="I2408" s="23"/>
    </row>
    <row r="2409" spans="1:9">
      <c r="A2409" s="21" t="s">
        <v>7595</v>
      </c>
      <c r="B2409" s="21"/>
      <c r="C2409" s="22">
        <v>2119</v>
      </c>
      <c r="D2409" s="21">
        <v>117.75</v>
      </c>
      <c r="E2409" s="21" t="s">
        <v>5796</v>
      </c>
      <c r="F2409" s="23"/>
      <c r="G2409" s="23">
        <f t="shared" si="9"/>
        <v>117.75</v>
      </c>
      <c r="H2409" s="23"/>
      <c r="I2409" s="23"/>
    </row>
    <row r="2410" spans="1:9">
      <c r="A2410" s="21" t="s">
        <v>7596</v>
      </c>
      <c r="B2410" s="21"/>
      <c r="C2410" s="22">
        <v>2122</v>
      </c>
      <c r="D2410" s="21">
        <v>117.59</v>
      </c>
      <c r="E2410" s="21" t="s">
        <v>5796</v>
      </c>
      <c r="F2410" s="23"/>
      <c r="G2410" s="23">
        <f t="shared" si="9"/>
        <v>117.59</v>
      </c>
      <c r="H2410" s="23"/>
      <c r="I2410" s="23"/>
    </row>
    <row r="2411" spans="1:9">
      <c r="A2411" s="21" t="s">
        <v>7597</v>
      </c>
      <c r="B2411" s="21"/>
      <c r="C2411" s="22">
        <v>2123</v>
      </c>
      <c r="D2411" s="21">
        <v>117.49</v>
      </c>
      <c r="E2411" s="21" t="s">
        <v>5796</v>
      </c>
      <c r="F2411" s="23"/>
      <c r="G2411" s="23">
        <f t="shared" si="9"/>
        <v>117.49</v>
      </c>
      <c r="H2411" s="23"/>
      <c r="I2411" s="23"/>
    </row>
    <row r="2412" spans="1:9">
      <c r="A2412" s="21" t="s">
        <v>7598</v>
      </c>
      <c r="B2412" s="21"/>
      <c r="C2412" s="22">
        <v>2124</v>
      </c>
      <c r="D2412" s="21">
        <v>117.31</v>
      </c>
      <c r="E2412" s="21" t="s">
        <v>5796</v>
      </c>
      <c r="F2412" s="23"/>
      <c r="G2412" s="23">
        <f t="shared" si="9"/>
        <v>117.31</v>
      </c>
      <c r="H2412" s="23"/>
      <c r="I2412" s="23"/>
    </row>
    <row r="2413" spans="1:9">
      <c r="A2413" s="21" t="s">
        <v>7599</v>
      </c>
      <c r="B2413" s="21"/>
      <c r="C2413" s="22">
        <v>2125</v>
      </c>
      <c r="D2413" s="21">
        <v>117.29</v>
      </c>
      <c r="E2413" s="21" t="s">
        <v>5796</v>
      </c>
      <c r="F2413" s="23"/>
      <c r="G2413" s="23">
        <f t="shared" si="9"/>
        <v>117.29</v>
      </c>
      <c r="H2413" s="23"/>
      <c r="I2413" s="23"/>
    </row>
    <row r="2414" spans="1:9">
      <c r="A2414" s="21" t="s">
        <v>7600</v>
      </c>
      <c r="B2414" s="21"/>
      <c r="C2414" s="22">
        <v>2126</v>
      </c>
      <c r="D2414" s="21">
        <v>117.17</v>
      </c>
      <c r="E2414" s="21" t="s">
        <v>5796</v>
      </c>
      <c r="F2414" s="23"/>
      <c r="G2414" s="23">
        <f t="shared" si="9"/>
        <v>117.17</v>
      </c>
      <c r="H2414" s="23"/>
      <c r="I2414" s="23"/>
    </row>
    <row r="2415" spans="1:9">
      <c r="A2415" s="21" t="s">
        <v>7601</v>
      </c>
      <c r="B2415" s="21"/>
      <c r="C2415" s="22">
        <v>2127</v>
      </c>
      <c r="D2415" s="21">
        <v>117.08</v>
      </c>
      <c r="E2415" s="21" t="s">
        <v>5796</v>
      </c>
      <c r="F2415" s="23"/>
      <c r="G2415" s="23">
        <f t="shared" si="9"/>
        <v>117.08</v>
      </c>
      <c r="H2415" s="23"/>
      <c r="I2415" s="23"/>
    </row>
    <row r="2416" spans="1:9">
      <c r="A2416" s="21" t="s">
        <v>7602</v>
      </c>
      <c r="B2416" s="21"/>
      <c r="C2416" s="22">
        <v>2134</v>
      </c>
      <c r="D2416" s="21">
        <v>115.56</v>
      </c>
      <c r="E2416" s="21" t="s">
        <v>5796</v>
      </c>
      <c r="F2416" s="23"/>
      <c r="G2416" s="23">
        <f t="shared" si="9"/>
        <v>115.56</v>
      </c>
      <c r="H2416" s="23"/>
      <c r="I2416" s="23"/>
    </row>
    <row r="2417" spans="1:9">
      <c r="A2417" s="21" t="s">
        <v>7603</v>
      </c>
      <c r="B2417" s="21"/>
      <c r="C2417" s="22">
        <v>2135</v>
      </c>
      <c r="D2417" s="21">
        <v>115.3</v>
      </c>
      <c r="E2417" s="21" t="s">
        <v>5796</v>
      </c>
      <c r="F2417" s="23"/>
      <c r="G2417" s="23">
        <f t="shared" si="9"/>
        <v>115.3</v>
      </c>
      <c r="H2417" s="23"/>
      <c r="I2417" s="23"/>
    </row>
    <row r="2418" spans="1:9">
      <c r="A2418" s="21" t="s">
        <v>7604</v>
      </c>
      <c r="B2418" s="21"/>
      <c r="C2418" s="22">
        <v>2137</v>
      </c>
      <c r="D2418" s="21">
        <v>115.05</v>
      </c>
      <c r="E2418" s="21" t="s">
        <v>5796</v>
      </c>
      <c r="F2418" s="23"/>
      <c r="G2418" s="23">
        <f t="shared" si="9"/>
        <v>115.05</v>
      </c>
      <c r="H2418" s="23"/>
      <c r="I2418" s="23"/>
    </row>
    <row r="2419" spans="1:9">
      <c r="A2419" s="21" t="s">
        <v>7605</v>
      </c>
      <c r="B2419" s="21"/>
      <c r="C2419" s="22">
        <v>2138</v>
      </c>
      <c r="D2419" s="21">
        <v>115.04</v>
      </c>
      <c r="E2419" s="21" t="s">
        <v>5796</v>
      </c>
      <c r="F2419" s="23"/>
      <c r="G2419" s="23">
        <f t="shared" si="9"/>
        <v>115.04</v>
      </c>
      <c r="H2419" s="23"/>
      <c r="I2419" s="23"/>
    </row>
    <row r="2420" spans="1:9">
      <c r="A2420" s="21" t="s">
        <v>7606</v>
      </c>
      <c r="B2420" s="21"/>
      <c r="C2420" s="22">
        <v>2139</v>
      </c>
      <c r="D2420" s="21">
        <v>114.91</v>
      </c>
      <c r="E2420" s="21" t="s">
        <v>5796</v>
      </c>
      <c r="F2420" s="23"/>
      <c r="G2420" s="23">
        <f t="shared" si="9"/>
        <v>114.91</v>
      </c>
      <c r="H2420" s="23"/>
      <c r="I2420" s="23"/>
    </row>
    <row r="2421" spans="1:9">
      <c r="A2421" s="21" t="s">
        <v>7607</v>
      </c>
      <c r="B2421" s="21"/>
      <c r="C2421" s="22">
        <v>2141</v>
      </c>
      <c r="D2421" s="21">
        <v>114.64</v>
      </c>
      <c r="E2421" s="21" t="s">
        <v>5796</v>
      </c>
      <c r="F2421" s="23"/>
      <c r="G2421" s="23">
        <f t="shared" si="9"/>
        <v>114.64</v>
      </c>
      <c r="H2421" s="23"/>
      <c r="I2421" s="23"/>
    </row>
    <row r="2422" spans="1:9">
      <c r="A2422" s="21" t="s">
        <v>7608</v>
      </c>
      <c r="B2422" s="21"/>
      <c r="C2422" s="22">
        <v>2143</v>
      </c>
      <c r="D2422" s="21">
        <v>114.08</v>
      </c>
      <c r="E2422" s="21" t="s">
        <v>5796</v>
      </c>
      <c r="F2422" s="23"/>
      <c r="G2422" s="23">
        <f t="shared" si="9"/>
        <v>114.08</v>
      </c>
      <c r="H2422" s="23"/>
      <c r="I2422" s="23"/>
    </row>
    <row r="2423" spans="1:9">
      <c r="A2423" s="21" t="s">
        <v>7609</v>
      </c>
      <c r="B2423" s="21"/>
      <c r="C2423" s="22">
        <v>2145</v>
      </c>
      <c r="D2423" s="21">
        <v>113.75</v>
      </c>
      <c r="E2423" s="21" t="s">
        <v>5796</v>
      </c>
      <c r="F2423" s="23"/>
      <c r="G2423" s="23">
        <f t="shared" si="9"/>
        <v>113.75</v>
      </c>
      <c r="H2423" s="23"/>
      <c r="I2423" s="23"/>
    </row>
    <row r="2424" spans="1:9">
      <c r="A2424" s="21" t="s">
        <v>7610</v>
      </c>
      <c r="B2424" s="21"/>
      <c r="C2424" s="22">
        <v>2146</v>
      </c>
      <c r="D2424" s="21">
        <v>113.48</v>
      </c>
      <c r="E2424" s="21" t="s">
        <v>5796</v>
      </c>
      <c r="F2424" s="23"/>
      <c r="G2424" s="23">
        <f t="shared" si="9"/>
        <v>113.48</v>
      </c>
      <c r="H2424" s="23"/>
      <c r="I2424" s="23"/>
    </row>
    <row r="2425" spans="1:9">
      <c r="A2425" s="21" t="s">
        <v>7611</v>
      </c>
      <c r="B2425" s="21"/>
      <c r="C2425" s="22">
        <v>2147</v>
      </c>
      <c r="D2425" s="21">
        <v>113.45</v>
      </c>
      <c r="E2425" s="21" t="s">
        <v>5796</v>
      </c>
      <c r="F2425" s="23"/>
      <c r="G2425" s="23">
        <f t="shared" si="9"/>
        <v>113.45</v>
      </c>
      <c r="H2425" s="23"/>
      <c r="I2425" s="23"/>
    </row>
    <row r="2426" spans="1:9">
      <c r="A2426" s="21" t="s">
        <v>7612</v>
      </c>
      <c r="B2426" s="21"/>
      <c r="C2426" s="22">
        <v>2148</v>
      </c>
      <c r="D2426" s="21">
        <v>113.4</v>
      </c>
      <c r="E2426" s="21" t="s">
        <v>5796</v>
      </c>
      <c r="F2426" s="23"/>
      <c r="G2426" s="23">
        <f t="shared" si="9"/>
        <v>113.4</v>
      </c>
      <c r="H2426" s="23"/>
      <c r="I2426" s="23"/>
    </row>
    <row r="2427" spans="1:9">
      <c r="A2427" s="21" t="s">
        <v>7613</v>
      </c>
      <c r="B2427" s="21"/>
      <c r="C2427" s="22">
        <v>2150</v>
      </c>
      <c r="D2427" s="21">
        <v>112.96</v>
      </c>
      <c r="E2427" s="21" t="s">
        <v>5796</v>
      </c>
      <c r="F2427" s="23"/>
      <c r="G2427" s="23">
        <f t="shared" si="9"/>
        <v>112.96</v>
      </c>
      <c r="H2427" s="23"/>
      <c r="I2427" s="23"/>
    </row>
    <row r="2428" spans="1:9">
      <c r="A2428" s="21" t="s">
        <v>7614</v>
      </c>
      <c r="B2428" s="21"/>
      <c r="C2428" s="22">
        <v>2151</v>
      </c>
      <c r="D2428" s="21">
        <v>112.87</v>
      </c>
      <c r="E2428" s="21" t="s">
        <v>5796</v>
      </c>
      <c r="F2428" s="23"/>
      <c r="G2428" s="23">
        <f t="shared" si="9"/>
        <v>112.87</v>
      </c>
      <c r="H2428" s="23"/>
      <c r="I2428" s="23"/>
    </row>
    <row r="2429" spans="1:9">
      <c r="A2429" s="21" t="s">
        <v>7615</v>
      </c>
      <c r="B2429" s="21"/>
      <c r="C2429" s="22">
        <v>2152</v>
      </c>
      <c r="D2429" s="21">
        <v>112.76</v>
      </c>
      <c r="E2429" s="21" t="s">
        <v>5796</v>
      </c>
      <c r="F2429" s="23"/>
      <c r="G2429" s="23">
        <f t="shared" si="9"/>
        <v>112.76</v>
      </c>
      <c r="H2429" s="23"/>
      <c r="I2429" s="23"/>
    </row>
    <row r="2430" spans="1:9">
      <c r="A2430" s="21" t="s">
        <v>7616</v>
      </c>
      <c r="B2430" s="21"/>
      <c r="C2430" s="22">
        <v>2155</v>
      </c>
      <c r="D2430" s="21">
        <v>112.06</v>
      </c>
      <c r="E2430" s="21" t="s">
        <v>5796</v>
      </c>
      <c r="F2430" s="23"/>
      <c r="G2430" s="23">
        <f t="shared" si="9"/>
        <v>112.06</v>
      </c>
      <c r="H2430" s="23"/>
      <c r="I2430" s="23"/>
    </row>
    <row r="2431" spans="1:9">
      <c r="A2431" s="21" t="s">
        <v>7617</v>
      </c>
      <c r="B2431" s="21"/>
      <c r="C2431" s="22">
        <v>2156</v>
      </c>
      <c r="D2431" s="21">
        <v>112.05</v>
      </c>
      <c r="E2431" s="21" t="s">
        <v>5796</v>
      </c>
      <c r="F2431" s="23"/>
      <c r="G2431" s="23">
        <f t="shared" si="9"/>
        <v>112.05</v>
      </c>
      <c r="H2431" s="23"/>
      <c r="I2431" s="23"/>
    </row>
    <row r="2432" spans="1:9">
      <c r="A2432" s="21" t="s">
        <v>7618</v>
      </c>
      <c r="B2432" s="21"/>
      <c r="C2432" s="22">
        <v>2158</v>
      </c>
      <c r="D2432" s="21">
        <v>111.68</v>
      </c>
      <c r="E2432" s="21" t="s">
        <v>5796</v>
      </c>
      <c r="F2432" s="23"/>
      <c r="G2432" s="23">
        <f t="shared" si="9"/>
        <v>111.68</v>
      </c>
      <c r="H2432" s="23"/>
      <c r="I2432" s="23"/>
    </row>
    <row r="2433" spans="1:9">
      <c r="A2433" s="21" t="s">
        <v>7619</v>
      </c>
      <c r="B2433" s="21"/>
      <c r="C2433" s="22">
        <v>2161</v>
      </c>
      <c r="D2433" s="21">
        <v>111.02</v>
      </c>
      <c r="E2433" s="21" t="s">
        <v>5796</v>
      </c>
      <c r="F2433" s="23"/>
      <c r="G2433" s="23">
        <f t="shared" si="9"/>
        <v>111.02</v>
      </c>
      <c r="H2433" s="23"/>
      <c r="I2433" s="23"/>
    </row>
    <row r="2434" spans="1:9">
      <c r="A2434" s="21" t="s">
        <v>7620</v>
      </c>
      <c r="B2434" s="21"/>
      <c r="C2434" s="22">
        <v>2163</v>
      </c>
      <c r="D2434" s="21">
        <v>110.23</v>
      </c>
      <c r="E2434" s="21" t="s">
        <v>5796</v>
      </c>
      <c r="F2434" s="23"/>
      <c r="G2434" s="23">
        <f t="shared" si="9"/>
        <v>110.23</v>
      </c>
      <c r="H2434" s="23"/>
      <c r="I2434" s="23"/>
    </row>
    <row r="2435" spans="1:9">
      <c r="A2435" s="21" t="s">
        <v>7621</v>
      </c>
      <c r="B2435" s="21"/>
      <c r="C2435" s="22">
        <v>2165</v>
      </c>
      <c r="D2435" s="21">
        <v>109.57</v>
      </c>
      <c r="E2435" s="21" t="s">
        <v>5796</v>
      </c>
      <c r="F2435" s="23"/>
      <c r="G2435" s="23">
        <f t="shared" si="9"/>
        <v>109.57</v>
      </c>
      <c r="H2435" s="23"/>
      <c r="I2435" s="23"/>
    </row>
    <row r="2436" spans="1:9">
      <c r="A2436" s="21" t="s">
        <v>7622</v>
      </c>
      <c r="B2436" s="21"/>
      <c r="C2436" s="22">
        <v>2166</v>
      </c>
      <c r="D2436" s="21">
        <v>109.51</v>
      </c>
      <c r="E2436" s="21" t="s">
        <v>5796</v>
      </c>
      <c r="F2436" s="23"/>
      <c r="G2436" s="23">
        <f t="shared" si="9"/>
        <v>109.51</v>
      </c>
      <c r="H2436" s="23"/>
      <c r="I2436" s="23"/>
    </row>
    <row r="2437" spans="1:9">
      <c r="A2437" s="21" t="s">
        <v>7623</v>
      </c>
      <c r="B2437" s="21"/>
      <c r="C2437" s="22">
        <v>2167</v>
      </c>
      <c r="D2437" s="21">
        <v>109.5</v>
      </c>
      <c r="E2437" s="21" t="s">
        <v>5796</v>
      </c>
      <c r="F2437" s="23"/>
      <c r="G2437" s="23">
        <f t="shared" si="9"/>
        <v>109.5</v>
      </c>
      <c r="H2437" s="23"/>
      <c r="I2437" s="23"/>
    </row>
    <row r="2438" spans="1:9">
      <c r="A2438" s="21" t="s">
        <v>7624</v>
      </c>
      <c r="B2438" s="21"/>
      <c r="C2438" s="22">
        <v>2168</v>
      </c>
      <c r="D2438" s="21">
        <v>108.99</v>
      </c>
      <c r="E2438" s="21" t="s">
        <v>5796</v>
      </c>
      <c r="F2438" s="23"/>
      <c r="G2438" s="23">
        <f t="shared" si="9"/>
        <v>108.99</v>
      </c>
      <c r="H2438" s="23"/>
      <c r="I2438" s="23"/>
    </row>
    <row r="2439" spans="1:9">
      <c r="A2439" s="21" t="s">
        <v>7625</v>
      </c>
      <c r="B2439" s="21"/>
      <c r="C2439" s="22">
        <v>2171</v>
      </c>
      <c r="D2439" s="21">
        <v>108.67</v>
      </c>
      <c r="E2439" s="21" t="s">
        <v>5796</v>
      </c>
      <c r="F2439" s="23"/>
      <c r="G2439" s="23">
        <f t="shared" si="9"/>
        <v>108.67</v>
      </c>
      <c r="H2439" s="23"/>
      <c r="I2439" s="23"/>
    </row>
    <row r="2440" spans="1:9">
      <c r="A2440" s="21" t="s">
        <v>7626</v>
      </c>
      <c r="B2440" s="21"/>
      <c r="C2440" s="22">
        <v>2172</v>
      </c>
      <c r="D2440" s="21">
        <v>108.42</v>
      </c>
      <c r="E2440" s="21" t="s">
        <v>5796</v>
      </c>
      <c r="F2440" s="23"/>
      <c r="G2440" s="23">
        <f t="shared" si="9"/>
        <v>108.42</v>
      </c>
      <c r="H2440" s="23"/>
      <c r="I2440" s="23"/>
    </row>
    <row r="2441" spans="1:9">
      <c r="A2441" s="21" t="s">
        <v>7627</v>
      </c>
      <c r="B2441" s="21"/>
      <c r="C2441" s="22">
        <v>2175</v>
      </c>
      <c r="D2441" s="21">
        <v>107.67</v>
      </c>
      <c r="E2441" s="21" t="s">
        <v>5796</v>
      </c>
      <c r="F2441" s="23"/>
      <c r="G2441" s="23">
        <f t="shared" si="9"/>
        <v>107.67</v>
      </c>
      <c r="H2441" s="23"/>
      <c r="I2441" s="23"/>
    </row>
    <row r="2442" spans="1:9">
      <c r="A2442" s="21" t="s">
        <v>7628</v>
      </c>
      <c r="B2442" s="21"/>
      <c r="C2442" s="22">
        <v>2177</v>
      </c>
      <c r="D2442" s="21">
        <v>107.23</v>
      </c>
      <c r="E2442" s="21" t="s">
        <v>5796</v>
      </c>
      <c r="F2442" s="23"/>
      <c r="G2442" s="23">
        <f t="shared" si="9"/>
        <v>107.23</v>
      </c>
      <c r="H2442" s="23"/>
      <c r="I2442" s="23"/>
    </row>
    <row r="2443" spans="1:9">
      <c r="A2443" s="21" t="s">
        <v>7629</v>
      </c>
      <c r="B2443" s="21"/>
      <c r="C2443" s="22">
        <v>2178</v>
      </c>
      <c r="D2443" s="21">
        <v>107.01</v>
      </c>
      <c r="E2443" s="21" t="s">
        <v>5796</v>
      </c>
      <c r="F2443" s="23"/>
      <c r="G2443" s="23">
        <f t="shared" si="9"/>
        <v>107.01</v>
      </c>
      <c r="H2443" s="23"/>
      <c r="I2443" s="23"/>
    </row>
    <row r="2444" spans="1:9">
      <c r="A2444" s="21" t="s">
        <v>7630</v>
      </c>
      <c r="B2444" s="21"/>
      <c r="C2444" s="22">
        <v>2179</v>
      </c>
      <c r="D2444" s="21">
        <v>106.89</v>
      </c>
      <c r="E2444" s="21" t="s">
        <v>5796</v>
      </c>
      <c r="F2444" s="23"/>
      <c r="G2444" s="23">
        <f t="shared" si="9"/>
        <v>106.89</v>
      </c>
      <c r="H2444" s="23"/>
      <c r="I2444" s="23"/>
    </row>
    <row r="2445" spans="1:9">
      <c r="A2445" s="21" t="s">
        <v>7631</v>
      </c>
      <c r="B2445" s="21"/>
      <c r="C2445" s="22">
        <v>2183</v>
      </c>
      <c r="D2445" s="21">
        <v>106.1</v>
      </c>
      <c r="E2445" s="21" t="s">
        <v>5796</v>
      </c>
      <c r="F2445" s="23"/>
      <c r="G2445" s="23">
        <f t="shared" si="9"/>
        <v>106.1</v>
      </c>
      <c r="H2445" s="23"/>
      <c r="I2445" s="23"/>
    </row>
    <row r="2446" spans="1:9">
      <c r="A2446" s="21" t="s">
        <v>7632</v>
      </c>
      <c r="B2446" s="21"/>
      <c r="C2446" s="22">
        <v>2187</v>
      </c>
      <c r="D2446" s="21">
        <v>105.84</v>
      </c>
      <c r="E2446" s="21" t="s">
        <v>5796</v>
      </c>
      <c r="F2446" s="23"/>
      <c r="G2446" s="23">
        <f t="shared" si="9"/>
        <v>105.84</v>
      </c>
      <c r="H2446" s="23"/>
      <c r="I2446" s="23"/>
    </row>
    <row r="2447" spans="1:9">
      <c r="A2447" s="21" t="s">
        <v>7633</v>
      </c>
      <c r="B2447" s="21"/>
      <c r="C2447" s="22">
        <v>2188</v>
      </c>
      <c r="D2447" s="21">
        <v>105.74</v>
      </c>
      <c r="E2447" s="21" t="s">
        <v>5796</v>
      </c>
      <c r="F2447" s="23"/>
      <c r="G2447" s="23">
        <f t="shared" si="9"/>
        <v>105.74</v>
      </c>
      <c r="H2447" s="23"/>
      <c r="I2447" s="23"/>
    </row>
    <row r="2448" spans="1:9">
      <c r="A2448" s="21" t="s">
        <v>7634</v>
      </c>
      <c r="B2448" s="21"/>
      <c r="C2448" s="22">
        <v>2189</v>
      </c>
      <c r="D2448" s="21">
        <v>105.61</v>
      </c>
      <c r="E2448" s="21" t="s">
        <v>5796</v>
      </c>
      <c r="F2448" s="23"/>
      <c r="G2448" s="23">
        <f t="shared" si="9"/>
        <v>105.61</v>
      </c>
      <c r="H2448" s="23"/>
      <c r="I2448" s="23"/>
    </row>
    <row r="2449" spans="1:9">
      <c r="A2449" s="21" t="s">
        <v>7635</v>
      </c>
      <c r="B2449" s="21"/>
      <c r="C2449" s="22">
        <v>2193</v>
      </c>
      <c r="D2449" s="21">
        <v>104.64</v>
      </c>
      <c r="E2449" s="21" t="s">
        <v>5796</v>
      </c>
      <c r="F2449" s="23"/>
      <c r="G2449" s="23">
        <f t="shared" si="9"/>
        <v>104.64</v>
      </c>
      <c r="H2449" s="23"/>
      <c r="I2449" s="23"/>
    </row>
    <row r="2450" spans="1:9">
      <c r="A2450" s="21" t="s">
        <v>7636</v>
      </c>
      <c r="B2450" s="21"/>
      <c r="C2450" s="22">
        <v>2194</v>
      </c>
      <c r="D2450" s="21">
        <v>104.55</v>
      </c>
      <c r="E2450" s="21" t="s">
        <v>5796</v>
      </c>
      <c r="F2450" s="23"/>
      <c r="G2450" s="23">
        <f t="shared" si="9"/>
        <v>104.55</v>
      </c>
      <c r="H2450" s="23"/>
      <c r="I2450" s="23"/>
    </row>
    <row r="2451" spans="1:9">
      <c r="A2451" s="21" t="s">
        <v>7637</v>
      </c>
      <c r="B2451" s="21"/>
      <c r="C2451" s="22">
        <v>2195</v>
      </c>
      <c r="D2451" s="21">
        <v>104.43</v>
      </c>
      <c r="E2451" s="21" t="s">
        <v>5796</v>
      </c>
      <c r="F2451" s="23"/>
      <c r="G2451" s="23">
        <f t="shared" si="9"/>
        <v>104.43</v>
      </c>
      <c r="H2451" s="23"/>
      <c r="I2451" s="23"/>
    </row>
    <row r="2452" spans="1:9">
      <c r="A2452" s="21" t="s">
        <v>7638</v>
      </c>
      <c r="B2452" s="21"/>
      <c r="C2452" s="22">
        <v>2197</v>
      </c>
      <c r="D2452" s="21">
        <v>104.14</v>
      </c>
      <c r="E2452" s="21" t="s">
        <v>5796</v>
      </c>
      <c r="F2452" s="23"/>
      <c r="G2452" s="23">
        <f t="shared" si="9"/>
        <v>104.14</v>
      </c>
      <c r="H2452" s="23"/>
      <c r="I2452" s="23"/>
    </row>
    <row r="2453" spans="1:9">
      <c r="A2453" s="21" t="s">
        <v>7639</v>
      </c>
      <c r="B2453" s="21"/>
      <c r="C2453" s="22">
        <v>2200</v>
      </c>
      <c r="D2453" s="21">
        <v>103.59</v>
      </c>
      <c r="E2453" s="21" t="s">
        <v>5796</v>
      </c>
      <c r="F2453" s="23"/>
      <c r="G2453" s="23">
        <f t="shared" si="9"/>
        <v>103.59</v>
      </c>
      <c r="H2453" s="23"/>
      <c r="I2453" s="23"/>
    </row>
    <row r="2454" spans="1:9">
      <c r="A2454" s="21" t="s">
        <v>7640</v>
      </c>
      <c r="B2454" s="21"/>
      <c r="C2454" s="22">
        <v>2201</v>
      </c>
      <c r="D2454" s="21">
        <v>103.48</v>
      </c>
      <c r="E2454" s="21" t="s">
        <v>5796</v>
      </c>
      <c r="F2454" s="23"/>
      <c r="G2454" s="23">
        <f t="shared" si="9"/>
        <v>103.48</v>
      </c>
      <c r="H2454" s="23"/>
      <c r="I2454" s="23"/>
    </row>
    <row r="2455" spans="1:9">
      <c r="A2455" s="21" t="s">
        <v>7641</v>
      </c>
      <c r="B2455" s="21"/>
      <c r="C2455" s="22">
        <v>2202</v>
      </c>
      <c r="D2455" s="21">
        <v>103.4</v>
      </c>
      <c r="E2455" s="21" t="s">
        <v>5796</v>
      </c>
      <c r="F2455" s="23"/>
      <c r="G2455" s="23">
        <f t="shared" si="9"/>
        <v>103.4</v>
      </c>
      <c r="H2455" s="23"/>
      <c r="I2455" s="23"/>
    </row>
    <row r="2456" spans="1:9">
      <c r="A2456" s="21" t="s">
        <v>7642</v>
      </c>
      <c r="B2456" s="21"/>
      <c r="C2456" s="22">
        <v>2203</v>
      </c>
      <c r="D2456" s="21">
        <v>103.36</v>
      </c>
      <c r="E2456" s="21" t="s">
        <v>5796</v>
      </c>
      <c r="F2456" s="23"/>
      <c r="G2456" s="23">
        <f t="shared" si="9"/>
        <v>103.36</v>
      </c>
      <c r="H2456" s="23"/>
      <c r="I2456" s="23"/>
    </row>
    <row r="2457" spans="1:9">
      <c r="A2457" s="21" t="s">
        <v>7643</v>
      </c>
      <c r="B2457" s="21"/>
      <c r="C2457" s="22">
        <v>2204</v>
      </c>
      <c r="D2457" s="21">
        <v>103.08</v>
      </c>
      <c r="E2457" s="21" t="s">
        <v>5796</v>
      </c>
      <c r="F2457" s="23"/>
      <c r="G2457" s="23">
        <f t="shared" si="9"/>
        <v>103.08</v>
      </c>
      <c r="H2457" s="23"/>
      <c r="I2457" s="23"/>
    </row>
    <row r="2458" spans="1:9">
      <c r="A2458" s="21" t="s">
        <v>7644</v>
      </c>
      <c r="B2458" s="21"/>
      <c r="C2458" s="22">
        <v>2205</v>
      </c>
      <c r="D2458" s="21">
        <v>102.77</v>
      </c>
      <c r="E2458" s="21" t="s">
        <v>5796</v>
      </c>
      <c r="F2458" s="23"/>
      <c r="G2458" s="23">
        <f t="shared" si="9"/>
        <v>102.77</v>
      </c>
      <c r="H2458" s="23"/>
      <c r="I2458" s="23"/>
    </row>
    <row r="2459" spans="1:9">
      <c r="A2459" s="21" t="s">
        <v>7645</v>
      </c>
      <c r="B2459" s="21"/>
      <c r="C2459" s="22">
        <v>2208</v>
      </c>
      <c r="D2459" s="21">
        <v>101.96</v>
      </c>
      <c r="E2459" s="21" t="s">
        <v>5796</v>
      </c>
      <c r="F2459" s="23"/>
      <c r="G2459" s="23">
        <f t="shared" si="9"/>
        <v>101.96</v>
      </c>
      <c r="H2459" s="23"/>
      <c r="I2459" s="23"/>
    </row>
    <row r="2460" spans="1:9">
      <c r="A2460" s="21" t="s">
        <v>7646</v>
      </c>
      <c r="B2460" s="21"/>
      <c r="C2460" s="22">
        <v>2209</v>
      </c>
      <c r="D2460" s="21">
        <v>101.75</v>
      </c>
      <c r="E2460" s="21" t="s">
        <v>5796</v>
      </c>
      <c r="F2460" s="23"/>
      <c r="G2460" s="23">
        <f t="shared" si="9"/>
        <v>101.75</v>
      </c>
      <c r="H2460" s="23"/>
      <c r="I2460" s="23"/>
    </row>
    <row r="2461" spans="1:9">
      <c r="A2461" s="21" t="s">
        <v>7647</v>
      </c>
      <c r="B2461" s="21"/>
      <c r="C2461" s="22">
        <v>2211</v>
      </c>
      <c r="D2461" s="21">
        <v>101.63</v>
      </c>
      <c r="E2461" s="21" t="s">
        <v>5796</v>
      </c>
      <c r="F2461" s="23"/>
      <c r="G2461" s="23">
        <f t="shared" si="9"/>
        <v>101.63</v>
      </c>
      <c r="H2461" s="23"/>
      <c r="I2461" s="23"/>
    </row>
    <row r="2462" spans="1:9">
      <c r="A2462" s="21" t="s">
        <v>7648</v>
      </c>
      <c r="B2462" s="21"/>
      <c r="C2462" s="22">
        <v>2212</v>
      </c>
      <c r="D2462" s="21">
        <v>101.48</v>
      </c>
      <c r="E2462" s="21" t="s">
        <v>5796</v>
      </c>
      <c r="F2462" s="23"/>
      <c r="G2462" s="23">
        <f t="shared" si="9"/>
        <v>101.48</v>
      </c>
      <c r="H2462" s="23"/>
      <c r="I2462" s="23"/>
    </row>
    <row r="2463" spans="1:9">
      <c r="A2463" s="21" t="s">
        <v>7649</v>
      </c>
      <c r="B2463" s="21"/>
      <c r="C2463" s="22">
        <v>2213</v>
      </c>
      <c r="D2463" s="21">
        <v>101.42</v>
      </c>
      <c r="E2463" s="21" t="s">
        <v>5796</v>
      </c>
      <c r="F2463" s="23"/>
      <c r="G2463" s="23">
        <f t="shared" si="9"/>
        <v>101.42</v>
      </c>
      <c r="H2463" s="23"/>
      <c r="I2463" s="23"/>
    </row>
    <row r="2464" spans="1:9">
      <c r="A2464" s="21" t="s">
        <v>7650</v>
      </c>
      <c r="B2464" s="21"/>
      <c r="C2464" s="22">
        <v>2215</v>
      </c>
      <c r="D2464" s="21">
        <v>101.36</v>
      </c>
      <c r="E2464" s="21" t="s">
        <v>5796</v>
      </c>
      <c r="F2464" s="23"/>
      <c r="G2464" s="23">
        <f t="shared" si="9"/>
        <v>101.36</v>
      </c>
      <c r="H2464" s="23"/>
      <c r="I2464" s="23"/>
    </row>
    <row r="2465" spans="1:9">
      <c r="A2465" s="21" t="s">
        <v>7651</v>
      </c>
      <c r="B2465" s="21"/>
      <c r="C2465" s="22">
        <v>2216</v>
      </c>
      <c r="D2465" s="21">
        <v>101.29</v>
      </c>
      <c r="E2465" s="21" t="s">
        <v>5796</v>
      </c>
      <c r="F2465" s="23"/>
      <c r="G2465" s="23">
        <f t="shared" si="9"/>
        <v>101.29</v>
      </c>
      <c r="H2465" s="23"/>
      <c r="I2465" s="23"/>
    </row>
    <row r="2466" spans="1:9">
      <c r="A2466" s="21" t="s">
        <v>7652</v>
      </c>
      <c r="B2466" s="21"/>
      <c r="C2466" s="22">
        <v>2217</v>
      </c>
      <c r="D2466" s="21">
        <v>101.2</v>
      </c>
      <c r="E2466" s="21" t="s">
        <v>5796</v>
      </c>
      <c r="F2466" s="23"/>
      <c r="G2466" s="23">
        <f t="shared" si="9"/>
        <v>101.2</v>
      </c>
      <c r="H2466" s="23"/>
      <c r="I2466" s="23"/>
    </row>
    <row r="2467" spans="1:9">
      <c r="A2467" s="21" t="s">
        <v>7653</v>
      </c>
      <c r="B2467" s="21"/>
      <c r="C2467" s="22">
        <v>2218</v>
      </c>
      <c r="D2467" s="21">
        <v>100.96</v>
      </c>
      <c r="E2467" s="21" t="s">
        <v>5796</v>
      </c>
      <c r="F2467" s="23"/>
      <c r="G2467" s="23">
        <f t="shared" si="9"/>
        <v>100.96</v>
      </c>
      <c r="H2467" s="23"/>
      <c r="I2467" s="23"/>
    </row>
    <row r="2468" spans="1:9">
      <c r="A2468" s="21" t="s">
        <v>7654</v>
      </c>
      <c r="B2468" s="21"/>
      <c r="C2468" s="22">
        <v>2219</v>
      </c>
      <c r="D2468" s="21">
        <v>100.88</v>
      </c>
      <c r="E2468" s="21" t="s">
        <v>5796</v>
      </c>
      <c r="F2468" s="23"/>
      <c r="G2468" s="23">
        <f t="shared" si="9"/>
        <v>100.88</v>
      </c>
      <c r="H2468" s="23"/>
      <c r="I2468" s="23"/>
    </row>
    <row r="2469" spans="1:9">
      <c r="A2469" s="21" t="s">
        <v>7655</v>
      </c>
      <c r="B2469" s="21"/>
      <c r="C2469" s="22">
        <v>2220</v>
      </c>
      <c r="D2469" s="21">
        <v>100.67</v>
      </c>
      <c r="E2469" s="21" t="s">
        <v>5796</v>
      </c>
      <c r="F2469" s="23"/>
      <c r="G2469" s="23">
        <f t="shared" si="9"/>
        <v>100.67</v>
      </c>
      <c r="H2469" s="23"/>
      <c r="I2469" s="23"/>
    </row>
    <row r="2470" spans="1:9">
      <c r="A2470" s="21" t="s">
        <v>7656</v>
      </c>
      <c r="B2470" s="21"/>
      <c r="C2470" s="22">
        <v>2221</v>
      </c>
      <c r="D2470" s="21">
        <v>100.33</v>
      </c>
      <c r="E2470" s="21" t="s">
        <v>5796</v>
      </c>
      <c r="F2470" s="23"/>
      <c r="G2470" s="23">
        <f t="shared" si="9"/>
        <v>100.33</v>
      </c>
      <c r="H2470" s="23"/>
      <c r="I2470" s="23"/>
    </row>
    <row r="2471" spans="1:9">
      <c r="A2471" s="21" t="s">
        <v>7657</v>
      </c>
      <c r="B2471" s="21"/>
      <c r="C2471" s="22">
        <v>2222</v>
      </c>
      <c r="D2471" s="21">
        <v>99.72</v>
      </c>
      <c r="E2471" s="21" t="s">
        <v>5796</v>
      </c>
      <c r="F2471" s="23"/>
      <c r="G2471" s="23">
        <f t="shared" si="9"/>
        <v>99.72</v>
      </c>
      <c r="H2471" s="23"/>
      <c r="I2471" s="23"/>
    </row>
    <row r="2472" spans="1:9">
      <c r="A2472" s="21" t="s">
        <v>7658</v>
      </c>
      <c r="B2472" s="21"/>
      <c r="C2472" s="22">
        <v>2223</v>
      </c>
      <c r="D2472" s="21">
        <v>99.35</v>
      </c>
      <c r="E2472" s="21" t="s">
        <v>5796</v>
      </c>
      <c r="F2472" s="23"/>
      <c r="G2472" s="23">
        <f t="shared" si="9"/>
        <v>99.35</v>
      </c>
      <c r="H2472" s="23"/>
      <c r="I2472" s="23"/>
    </row>
    <row r="2473" spans="1:9">
      <c r="A2473" s="21" t="s">
        <v>7659</v>
      </c>
      <c r="B2473" s="21"/>
      <c r="C2473" s="22">
        <v>2226</v>
      </c>
      <c r="D2473" s="21">
        <v>98.85</v>
      </c>
      <c r="E2473" s="21" t="s">
        <v>5796</v>
      </c>
      <c r="F2473" s="23"/>
      <c r="G2473" s="23">
        <f t="shared" si="9"/>
        <v>98.85</v>
      </c>
      <c r="H2473" s="23"/>
      <c r="I2473" s="23"/>
    </row>
    <row r="2474" spans="1:9">
      <c r="A2474" s="21" t="s">
        <v>7660</v>
      </c>
      <c r="B2474" s="21"/>
      <c r="C2474" s="22">
        <v>2228</v>
      </c>
      <c r="D2474" s="21">
        <v>97.95</v>
      </c>
      <c r="E2474" s="21" t="s">
        <v>5796</v>
      </c>
      <c r="F2474" s="23"/>
      <c r="G2474" s="23">
        <f t="shared" si="9"/>
        <v>97.95</v>
      </c>
      <c r="H2474" s="23"/>
      <c r="I2474" s="23"/>
    </row>
    <row r="2475" spans="1:9">
      <c r="A2475" s="21" t="s">
        <v>7661</v>
      </c>
      <c r="B2475" s="21"/>
      <c r="C2475" s="22">
        <v>2230</v>
      </c>
      <c r="D2475" s="21">
        <v>97.84</v>
      </c>
      <c r="E2475" s="21" t="s">
        <v>5796</v>
      </c>
      <c r="F2475" s="23"/>
      <c r="G2475" s="23">
        <f t="shared" si="9"/>
        <v>97.84</v>
      </c>
      <c r="H2475" s="23"/>
      <c r="I2475" s="23"/>
    </row>
    <row r="2476" spans="1:9">
      <c r="A2476" s="21" t="s">
        <v>7662</v>
      </c>
      <c r="B2476" s="21"/>
      <c r="C2476" s="22">
        <v>2231</v>
      </c>
      <c r="D2476" s="21">
        <v>97.62</v>
      </c>
      <c r="E2476" s="21" t="s">
        <v>5796</v>
      </c>
      <c r="F2476" s="23"/>
      <c r="G2476" s="23">
        <f t="shared" si="9"/>
        <v>97.62</v>
      </c>
      <c r="H2476" s="23"/>
      <c r="I2476" s="23"/>
    </row>
    <row r="2477" spans="1:9">
      <c r="A2477" s="21" t="s">
        <v>7663</v>
      </c>
      <c r="B2477" s="21"/>
      <c r="C2477" s="22">
        <v>2232</v>
      </c>
      <c r="D2477" s="21">
        <v>97.5</v>
      </c>
      <c r="E2477" s="21" t="s">
        <v>5796</v>
      </c>
      <c r="F2477" s="23"/>
      <c r="G2477" s="23">
        <f t="shared" si="9"/>
        <v>97.5</v>
      </c>
      <c r="H2477" s="23"/>
      <c r="I2477" s="23"/>
    </row>
    <row r="2478" spans="1:9">
      <c r="A2478" s="21" t="s">
        <v>7664</v>
      </c>
      <c r="B2478" s="21"/>
      <c r="C2478" s="22">
        <v>2234</v>
      </c>
      <c r="D2478" s="21">
        <v>97.08</v>
      </c>
      <c r="E2478" s="21" t="s">
        <v>5796</v>
      </c>
      <c r="F2478" s="23"/>
      <c r="G2478" s="23">
        <f t="shared" si="9"/>
        <v>97.08</v>
      </c>
      <c r="H2478" s="23"/>
      <c r="I2478" s="23"/>
    </row>
    <row r="2479" spans="1:9">
      <c r="A2479" s="21" t="s">
        <v>7665</v>
      </c>
      <c r="B2479" s="21"/>
      <c r="C2479" s="22">
        <v>2235</v>
      </c>
      <c r="D2479" s="21">
        <v>96.97</v>
      </c>
      <c r="E2479" s="21" t="s">
        <v>5796</v>
      </c>
      <c r="F2479" s="23"/>
      <c r="G2479" s="23">
        <f t="shared" si="9"/>
        <v>96.97</v>
      </c>
      <c r="H2479" s="23"/>
      <c r="I2479" s="23"/>
    </row>
    <row r="2480" spans="1:9">
      <c r="A2480" s="21" t="s">
        <v>7666</v>
      </c>
      <c r="B2480" s="21"/>
      <c r="C2480" s="22">
        <v>2236</v>
      </c>
      <c r="D2480" s="21">
        <v>96.96</v>
      </c>
      <c r="E2480" s="21" t="s">
        <v>5796</v>
      </c>
      <c r="F2480" s="23"/>
      <c r="G2480" s="23">
        <f t="shared" si="9"/>
        <v>96.96</v>
      </c>
      <c r="H2480" s="23"/>
      <c r="I2480" s="23"/>
    </row>
    <row r="2481" spans="1:9">
      <c r="A2481" s="21" t="s">
        <v>7667</v>
      </c>
      <c r="B2481" s="21"/>
      <c r="C2481" s="22">
        <v>2237</v>
      </c>
      <c r="D2481" s="21">
        <v>96.9</v>
      </c>
      <c r="E2481" s="21" t="s">
        <v>5796</v>
      </c>
      <c r="F2481" s="23"/>
      <c r="G2481" s="23">
        <f t="shared" si="9"/>
        <v>96.9</v>
      </c>
      <c r="H2481" s="23"/>
      <c r="I2481" s="23"/>
    </row>
    <row r="2482" spans="1:9">
      <c r="A2482" s="21" t="s">
        <v>7668</v>
      </c>
      <c r="B2482" s="21"/>
      <c r="C2482" s="22">
        <v>2239</v>
      </c>
      <c r="D2482" s="21">
        <v>96.46</v>
      </c>
      <c r="E2482" s="21" t="s">
        <v>5796</v>
      </c>
      <c r="F2482" s="23"/>
      <c r="G2482" s="23">
        <f t="shared" si="9"/>
        <v>96.46</v>
      </c>
      <c r="H2482" s="23"/>
      <c r="I2482" s="23"/>
    </row>
    <row r="2483" spans="1:9">
      <c r="A2483" s="21" t="s">
        <v>7669</v>
      </c>
      <c r="B2483" s="21"/>
      <c r="C2483" s="22">
        <v>2240</v>
      </c>
      <c r="D2483" s="21">
        <v>96.26</v>
      </c>
      <c r="E2483" s="21" t="s">
        <v>5796</v>
      </c>
      <c r="F2483" s="23"/>
      <c r="G2483" s="23">
        <f t="shared" si="9"/>
        <v>96.26</v>
      </c>
      <c r="H2483" s="23"/>
      <c r="I2483" s="23"/>
    </row>
    <row r="2484" spans="1:9">
      <c r="A2484" s="21" t="s">
        <v>7670</v>
      </c>
      <c r="B2484" s="21"/>
      <c r="C2484" s="22">
        <v>2241</v>
      </c>
      <c r="D2484" s="21">
        <v>96.17</v>
      </c>
      <c r="E2484" s="21" t="s">
        <v>5796</v>
      </c>
      <c r="F2484" s="23"/>
      <c r="G2484" s="23">
        <f t="shared" si="9"/>
        <v>96.17</v>
      </c>
      <c r="H2484" s="23"/>
      <c r="I2484" s="23"/>
    </row>
    <row r="2485" spans="1:9">
      <c r="A2485" s="21" t="s">
        <v>7671</v>
      </c>
      <c r="B2485" s="21"/>
      <c r="C2485" s="22">
        <v>2243</v>
      </c>
      <c r="D2485" s="21">
        <v>95.78</v>
      </c>
      <c r="E2485" s="21" t="s">
        <v>5796</v>
      </c>
      <c r="F2485" s="23"/>
      <c r="G2485" s="23">
        <f t="shared" si="9"/>
        <v>95.78</v>
      </c>
      <c r="H2485" s="23"/>
      <c r="I2485" s="23"/>
    </row>
    <row r="2486" spans="1:9">
      <c r="A2486" s="21" t="s">
        <v>7672</v>
      </c>
      <c r="B2486" s="21"/>
      <c r="C2486" s="22">
        <v>2244</v>
      </c>
      <c r="D2486" s="21">
        <v>95.64</v>
      </c>
      <c r="E2486" s="21" t="s">
        <v>5796</v>
      </c>
      <c r="F2486" s="23"/>
      <c r="G2486" s="23">
        <f t="shared" si="9"/>
        <v>95.64</v>
      </c>
      <c r="H2486" s="23"/>
      <c r="I2486" s="23"/>
    </row>
    <row r="2487" spans="1:9">
      <c r="A2487" s="21" t="s">
        <v>7673</v>
      </c>
      <c r="B2487" s="21"/>
      <c r="C2487" s="22">
        <v>2246</v>
      </c>
      <c r="D2487" s="21">
        <v>94.98</v>
      </c>
      <c r="E2487" s="21" t="s">
        <v>5796</v>
      </c>
      <c r="F2487" s="23"/>
      <c r="G2487" s="23">
        <f t="shared" si="9"/>
        <v>94.98</v>
      </c>
      <c r="H2487" s="23"/>
      <c r="I2487" s="23"/>
    </row>
    <row r="2488" spans="1:9">
      <c r="A2488" s="21" t="s">
        <v>7674</v>
      </c>
      <c r="B2488" s="21"/>
      <c r="C2488" s="22">
        <v>2250</v>
      </c>
      <c r="D2488" s="21">
        <v>94.35</v>
      </c>
      <c r="E2488" s="21" t="s">
        <v>5796</v>
      </c>
      <c r="F2488" s="23"/>
      <c r="G2488" s="23">
        <f t="shared" si="9"/>
        <v>94.35</v>
      </c>
      <c r="H2488" s="23"/>
      <c r="I2488" s="23"/>
    </row>
    <row r="2489" spans="1:9">
      <c r="A2489" s="21" t="s">
        <v>7675</v>
      </c>
      <c r="B2489" s="21"/>
      <c r="C2489" s="22">
        <v>2251</v>
      </c>
      <c r="D2489" s="21">
        <v>94.25</v>
      </c>
      <c r="E2489" s="21" t="s">
        <v>5796</v>
      </c>
      <c r="F2489" s="23"/>
      <c r="G2489" s="23">
        <f t="shared" si="9"/>
        <v>94.25</v>
      </c>
      <c r="H2489" s="23"/>
      <c r="I2489" s="23"/>
    </row>
    <row r="2490" spans="1:9">
      <c r="A2490" s="21" t="s">
        <v>7676</v>
      </c>
      <c r="B2490" s="21"/>
      <c r="C2490" s="22">
        <v>2255</v>
      </c>
      <c r="D2490" s="21">
        <v>93.65</v>
      </c>
      <c r="E2490" s="21" t="s">
        <v>5796</v>
      </c>
      <c r="F2490" s="23"/>
      <c r="G2490" s="23">
        <f t="shared" si="9"/>
        <v>93.65</v>
      </c>
      <c r="H2490" s="23"/>
      <c r="I2490" s="23"/>
    </row>
    <row r="2491" spans="1:9">
      <c r="A2491" s="21" t="s">
        <v>7677</v>
      </c>
      <c r="B2491" s="21"/>
      <c r="C2491" s="22">
        <v>2256</v>
      </c>
      <c r="D2491" s="21">
        <v>93.49</v>
      </c>
      <c r="E2491" s="21" t="s">
        <v>5796</v>
      </c>
      <c r="F2491" s="23"/>
      <c r="G2491" s="23">
        <f t="shared" si="9"/>
        <v>93.49</v>
      </c>
      <c r="H2491" s="23"/>
      <c r="I2491" s="23"/>
    </row>
    <row r="2492" spans="1:9">
      <c r="A2492" s="21" t="s">
        <v>7678</v>
      </c>
      <c r="B2492" s="21"/>
      <c r="C2492" s="22">
        <v>2257</v>
      </c>
      <c r="D2492" s="21">
        <v>93.45</v>
      </c>
      <c r="E2492" s="21" t="s">
        <v>5796</v>
      </c>
      <c r="F2492" s="23"/>
      <c r="G2492" s="23">
        <f t="shared" si="9"/>
        <v>93.45</v>
      </c>
      <c r="H2492" s="23"/>
      <c r="I2492" s="23"/>
    </row>
    <row r="2493" spans="1:9">
      <c r="A2493" s="21" t="s">
        <v>7679</v>
      </c>
      <c r="B2493" s="21"/>
      <c r="C2493" s="22">
        <v>2261</v>
      </c>
      <c r="D2493" s="21">
        <v>93.13</v>
      </c>
      <c r="E2493" s="21" t="s">
        <v>5796</v>
      </c>
      <c r="F2493" s="23"/>
      <c r="G2493" s="23">
        <f t="shared" si="9"/>
        <v>93.13</v>
      </c>
      <c r="H2493" s="23"/>
      <c r="I2493" s="23"/>
    </row>
    <row r="2494" spans="1:9">
      <c r="A2494" s="21" t="s">
        <v>7680</v>
      </c>
      <c r="B2494" s="21"/>
      <c r="C2494" s="22">
        <v>2263</v>
      </c>
      <c r="D2494" s="21">
        <v>93.03</v>
      </c>
      <c r="E2494" s="21" t="s">
        <v>5796</v>
      </c>
      <c r="F2494" s="23"/>
      <c r="G2494" s="23">
        <f t="shared" si="9"/>
        <v>93.03</v>
      </c>
      <c r="H2494" s="23"/>
      <c r="I2494" s="23"/>
    </row>
    <row r="2495" spans="1:9">
      <c r="A2495" s="21" t="s">
        <v>7681</v>
      </c>
      <c r="B2495" s="21"/>
      <c r="C2495" s="22">
        <v>2264</v>
      </c>
      <c r="D2495" s="21">
        <v>92.62</v>
      </c>
      <c r="E2495" s="21" t="s">
        <v>5796</v>
      </c>
      <c r="F2495" s="23"/>
      <c r="G2495" s="23">
        <f t="shared" si="9"/>
        <v>92.62</v>
      </c>
      <c r="H2495" s="23"/>
      <c r="I2495" s="23"/>
    </row>
    <row r="2496" spans="1:9">
      <c r="A2496" s="21" t="s">
        <v>7682</v>
      </c>
      <c r="B2496" s="21"/>
      <c r="C2496" s="22">
        <v>2265</v>
      </c>
      <c r="D2496" s="21">
        <v>92.61</v>
      </c>
      <c r="E2496" s="21" t="s">
        <v>5796</v>
      </c>
      <c r="F2496" s="23"/>
      <c r="G2496" s="23">
        <f t="shared" si="9"/>
        <v>92.61</v>
      </c>
      <c r="H2496" s="23"/>
      <c r="I2496" s="23"/>
    </row>
    <row r="2497" spans="1:9">
      <c r="A2497" s="21" t="s">
        <v>7683</v>
      </c>
      <c r="B2497" s="21"/>
      <c r="C2497" s="22">
        <v>2267</v>
      </c>
      <c r="D2497" s="21">
        <v>92.38</v>
      </c>
      <c r="E2497" s="21" t="s">
        <v>5796</v>
      </c>
      <c r="F2497" s="23"/>
      <c r="G2497" s="23">
        <f t="shared" si="9"/>
        <v>92.38</v>
      </c>
      <c r="H2497" s="23"/>
      <c r="I2497" s="23"/>
    </row>
    <row r="2498" spans="1:9">
      <c r="A2498" s="21" t="s">
        <v>7684</v>
      </c>
      <c r="B2498" s="21"/>
      <c r="C2498" s="22">
        <v>2268</v>
      </c>
      <c r="D2498" s="21">
        <v>92.32</v>
      </c>
      <c r="E2498" s="21" t="s">
        <v>5796</v>
      </c>
      <c r="F2498" s="23"/>
      <c r="G2498" s="23">
        <f t="shared" si="9"/>
        <v>92.32</v>
      </c>
      <c r="H2498" s="23"/>
      <c r="I2498" s="23"/>
    </row>
    <row r="2499" spans="1:9">
      <c r="A2499" s="21" t="s">
        <v>7685</v>
      </c>
      <c r="B2499" s="21"/>
      <c r="C2499" s="22">
        <v>2269</v>
      </c>
      <c r="D2499" s="21">
        <v>92.17</v>
      </c>
      <c r="E2499" s="21" t="s">
        <v>5796</v>
      </c>
      <c r="F2499" s="23"/>
      <c r="G2499" s="23">
        <f t="shared" si="9"/>
        <v>92.17</v>
      </c>
      <c r="H2499" s="23"/>
      <c r="I2499" s="23"/>
    </row>
    <row r="2500" spans="1:9">
      <c r="A2500" s="21" t="s">
        <v>7686</v>
      </c>
      <c r="B2500" s="21"/>
      <c r="C2500" s="22">
        <v>2270</v>
      </c>
      <c r="D2500" s="21">
        <v>92.15</v>
      </c>
      <c r="E2500" s="21" t="s">
        <v>5796</v>
      </c>
      <c r="F2500" s="23"/>
      <c r="G2500" s="23">
        <f t="shared" si="9"/>
        <v>92.15</v>
      </c>
      <c r="H2500" s="23"/>
      <c r="I2500" s="23"/>
    </row>
    <row r="2501" spans="1:9">
      <c r="A2501" s="21" t="s">
        <v>7687</v>
      </c>
      <c r="B2501" s="21"/>
      <c r="C2501" s="22">
        <v>2271</v>
      </c>
      <c r="D2501" s="21">
        <v>92.13</v>
      </c>
      <c r="E2501" s="21" t="s">
        <v>5796</v>
      </c>
      <c r="F2501" s="23"/>
      <c r="G2501" s="23">
        <f t="shared" si="9"/>
        <v>92.13</v>
      </c>
      <c r="H2501" s="23"/>
      <c r="I2501" s="23"/>
    </row>
    <row r="2502" spans="1:9">
      <c r="A2502" s="21" t="s">
        <v>7688</v>
      </c>
      <c r="B2502" s="21"/>
      <c r="C2502" s="22">
        <v>2272</v>
      </c>
      <c r="D2502" s="21">
        <v>92.01</v>
      </c>
      <c r="E2502" s="21" t="s">
        <v>5796</v>
      </c>
      <c r="F2502" s="23"/>
      <c r="G2502" s="23">
        <f t="shared" si="9"/>
        <v>92.01</v>
      </c>
      <c r="H2502" s="23"/>
      <c r="I2502" s="23"/>
    </row>
    <row r="2503" spans="1:9">
      <c r="A2503" s="21" t="s">
        <v>7689</v>
      </c>
      <c r="B2503" s="21"/>
      <c r="C2503" s="22">
        <v>2273</v>
      </c>
      <c r="D2503" s="21">
        <v>91.99</v>
      </c>
      <c r="E2503" s="21" t="s">
        <v>5796</v>
      </c>
      <c r="F2503" s="23"/>
      <c r="G2503" s="23">
        <f t="shared" si="9"/>
        <v>91.99</v>
      </c>
      <c r="H2503" s="23"/>
      <c r="I2503" s="23"/>
    </row>
    <row r="2504" spans="1:9">
      <c r="A2504" s="21" t="s">
        <v>7690</v>
      </c>
      <c r="B2504" s="21"/>
      <c r="C2504" s="22">
        <v>2274</v>
      </c>
      <c r="D2504" s="21">
        <v>91.67</v>
      </c>
      <c r="E2504" s="21" t="s">
        <v>5796</v>
      </c>
      <c r="F2504" s="23"/>
      <c r="G2504" s="23">
        <f t="shared" si="9"/>
        <v>91.67</v>
      </c>
      <c r="H2504" s="23"/>
      <c r="I2504" s="23"/>
    </row>
    <row r="2505" spans="1:9">
      <c r="A2505" s="21" t="s">
        <v>7691</v>
      </c>
      <c r="B2505" s="21"/>
      <c r="C2505" s="22">
        <v>2275</v>
      </c>
      <c r="D2505" s="21">
        <v>91.5</v>
      </c>
      <c r="E2505" s="21" t="s">
        <v>5796</v>
      </c>
      <c r="F2505" s="23"/>
      <c r="G2505" s="23">
        <f t="shared" si="9"/>
        <v>91.5</v>
      </c>
      <c r="H2505" s="23"/>
      <c r="I2505" s="23"/>
    </row>
    <row r="2506" spans="1:9">
      <c r="A2506" s="21" t="s">
        <v>7692</v>
      </c>
      <c r="B2506" s="21"/>
      <c r="C2506" s="22">
        <v>2277</v>
      </c>
      <c r="D2506" s="21">
        <v>91.2</v>
      </c>
      <c r="E2506" s="21" t="s">
        <v>5796</v>
      </c>
      <c r="F2506" s="23"/>
      <c r="G2506" s="23">
        <f t="shared" si="9"/>
        <v>91.2</v>
      </c>
      <c r="H2506" s="23"/>
      <c r="I2506" s="23"/>
    </row>
    <row r="2507" spans="1:9">
      <c r="A2507" s="21" t="s">
        <v>7693</v>
      </c>
      <c r="B2507" s="21"/>
      <c r="C2507" s="22">
        <v>2279</v>
      </c>
      <c r="D2507" s="21">
        <v>90.43</v>
      </c>
      <c r="E2507" s="21" t="s">
        <v>5796</v>
      </c>
      <c r="F2507" s="23"/>
      <c r="G2507" s="23">
        <f t="shared" si="9"/>
        <v>90.43</v>
      </c>
      <c r="H2507" s="23"/>
      <c r="I2507" s="23"/>
    </row>
    <row r="2508" spans="1:9">
      <c r="A2508" s="21" t="s">
        <v>7694</v>
      </c>
      <c r="B2508" s="21"/>
      <c r="C2508" s="22">
        <v>2280</v>
      </c>
      <c r="D2508" s="21">
        <v>90.39</v>
      </c>
      <c r="E2508" s="21" t="s">
        <v>5796</v>
      </c>
      <c r="F2508" s="23"/>
      <c r="G2508" s="23">
        <f t="shared" si="9"/>
        <v>90.39</v>
      </c>
      <c r="H2508" s="23"/>
      <c r="I2508" s="23"/>
    </row>
    <row r="2509" spans="1:9">
      <c r="A2509" s="21" t="s">
        <v>7695</v>
      </c>
      <c r="B2509" s="21"/>
      <c r="C2509" s="22">
        <v>2282</v>
      </c>
      <c r="D2509" s="21">
        <v>90.26</v>
      </c>
      <c r="E2509" s="21" t="s">
        <v>5796</v>
      </c>
      <c r="F2509" s="23"/>
      <c r="G2509" s="23">
        <f t="shared" si="9"/>
        <v>90.26</v>
      </c>
      <c r="H2509" s="23"/>
      <c r="I2509" s="23"/>
    </row>
    <row r="2510" spans="1:9">
      <c r="A2510" s="21" t="s">
        <v>7696</v>
      </c>
      <c r="B2510" s="21"/>
      <c r="C2510" s="22">
        <v>2283</v>
      </c>
      <c r="D2510" s="21">
        <v>90.09</v>
      </c>
      <c r="E2510" s="21" t="s">
        <v>5796</v>
      </c>
      <c r="F2510" s="23"/>
      <c r="G2510" s="23">
        <f t="shared" si="9"/>
        <v>90.09</v>
      </c>
      <c r="H2510" s="23"/>
      <c r="I2510" s="23"/>
    </row>
    <row r="2511" spans="1:9">
      <c r="A2511" s="21" t="s">
        <v>7697</v>
      </c>
      <c r="B2511" s="21"/>
      <c r="C2511" s="22">
        <v>2284</v>
      </c>
      <c r="D2511" s="21">
        <v>89.64</v>
      </c>
      <c r="E2511" s="21" t="s">
        <v>5796</v>
      </c>
      <c r="F2511" s="23"/>
      <c r="G2511" s="23">
        <f t="shared" si="9"/>
        <v>89.64</v>
      </c>
      <c r="H2511" s="23"/>
      <c r="I2511" s="23"/>
    </row>
    <row r="2512" spans="1:9">
      <c r="A2512" s="21" t="s">
        <v>7698</v>
      </c>
      <c r="B2512" s="21"/>
      <c r="C2512" s="22">
        <v>2286</v>
      </c>
      <c r="D2512" s="21">
        <v>89.34</v>
      </c>
      <c r="E2512" s="21" t="s">
        <v>5796</v>
      </c>
      <c r="F2512" s="23"/>
      <c r="G2512" s="23">
        <f t="shared" si="9"/>
        <v>89.34</v>
      </c>
      <c r="H2512" s="23"/>
      <c r="I2512" s="23"/>
    </row>
    <row r="2513" spans="1:9">
      <c r="A2513" s="21" t="s">
        <v>7699</v>
      </c>
      <c r="B2513" s="21"/>
      <c r="C2513" s="22">
        <v>2287</v>
      </c>
      <c r="D2513" s="21">
        <v>89.03</v>
      </c>
      <c r="E2513" s="21" t="s">
        <v>5796</v>
      </c>
      <c r="F2513" s="23"/>
      <c r="G2513" s="23">
        <f t="shared" si="9"/>
        <v>89.03</v>
      </c>
      <c r="H2513" s="23"/>
      <c r="I2513" s="23"/>
    </row>
    <row r="2514" spans="1:9">
      <c r="A2514" s="21" t="s">
        <v>7700</v>
      </c>
      <c r="B2514" s="21"/>
      <c r="C2514" s="22">
        <v>2288</v>
      </c>
      <c r="D2514" s="21">
        <v>88.78</v>
      </c>
      <c r="E2514" s="21" t="s">
        <v>5796</v>
      </c>
      <c r="F2514" s="23"/>
      <c r="G2514" s="23">
        <f t="shared" si="9"/>
        <v>88.78</v>
      </c>
      <c r="H2514" s="23"/>
      <c r="I2514" s="23"/>
    </row>
    <row r="2515" spans="1:9">
      <c r="A2515" s="21" t="s">
        <v>7701</v>
      </c>
      <c r="B2515" s="21"/>
      <c r="C2515" s="22">
        <v>2289</v>
      </c>
      <c r="D2515" s="21">
        <v>88.63</v>
      </c>
      <c r="E2515" s="21" t="s">
        <v>5796</v>
      </c>
      <c r="F2515" s="23"/>
      <c r="G2515" s="23">
        <f t="shared" si="9"/>
        <v>88.63</v>
      </c>
      <c r="H2515" s="23"/>
      <c r="I2515" s="23"/>
    </row>
    <row r="2516" spans="1:9">
      <c r="A2516" s="21" t="s">
        <v>7702</v>
      </c>
      <c r="B2516" s="21"/>
      <c r="C2516" s="22">
        <v>2291</v>
      </c>
      <c r="D2516" s="21">
        <v>88.35</v>
      </c>
      <c r="E2516" s="21" t="s">
        <v>5796</v>
      </c>
      <c r="F2516" s="23"/>
      <c r="G2516" s="23">
        <f t="shared" si="9"/>
        <v>88.35</v>
      </c>
      <c r="H2516" s="23"/>
      <c r="I2516" s="23"/>
    </row>
    <row r="2517" spans="1:9">
      <c r="A2517" s="21" t="s">
        <v>7703</v>
      </c>
      <c r="B2517" s="21"/>
      <c r="C2517" s="22">
        <v>2292</v>
      </c>
      <c r="D2517" s="21">
        <v>88.35</v>
      </c>
      <c r="E2517" s="21" t="s">
        <v>5796</v>
      </c>
      <c r="F2517" s="23"/>
      <c r="G2517" s="23">
        <f t="shared" si="9"/>
        <v>88.35</v>
      </c>
      <c r="H2517" s="23"/>
      <c r="I2517" s="23"/>
    </row>
    <row r="2518" spans="1:9">
      <c r="A2518" s="21" t="s">
        <v>7704</v>
      </c>
      <c r="B2518" s="21"/>
      <c r="C2518" s="22">
        <v>2293</v>
      </c>
      <c r="D2518" s="21">
        <v>88.28</v>
      </c>
      <c r="E2518" s="21" t="s">
        <v>5796</v>
      </c>
      <c r="F2518" s="23"/>
      <c r="G2518" s="23">
        <f t="shared" si="9"/>
        <v>88.28</v>
      </c>
      <c r="H2518" s="23"/>
      <c r="I2518" s="23"/>
    </row>
    <row r="2519" spans="1:9">
      <c r="A2519" s="21" t="s">
        <v>7705</v>
      </c>
      <c r="B2519" s="21"/>
      <c r="C2519" s="22">
        <v>2294</v>
      </c>
      <c r="D2519" s="21">
        <v>88.28</v>
      </c>
      <c r="E2519" s="21" t="s">
        <v>5796</v>
      </c>
      <c r="F2519" s="23"/>
      <c r="G2519" s="23">
        <f t="shared" si="9"/>
        <v>88.28</v>
      </c>
      <c r="H2519" s="23"/>
      <c r="I2519" s="23"/>
    </row>
    <row r="2520" spans="1:9">
      <c r="A2520" s="21" t="s">
        <v>7706</v>
      </c>
      <c r="B2520" s="21"/>
      <c r="C2520" s="22">
        <v>2295</v>
      </c>
      <c r="D2520" s="21">
        <v>88.27</v>
      </c>
      <c r="E2520" s="21" t="s">
        <v>5796</v>
      </c>
      <c r="F2520" s="23"/>
      <c r="G2520" s="23">
        <f t="shared" si="9"/>
        <v>88.27</v>
      </c>
      <c r="H2520" s="23"/>
      <c r="I2520" s="23"/>
    </row>
    <row r="2521" spans="1:9">
      <c r="A2521" s="21" t="s">
        <v>7707</v>
      </c>
      <c r="B2521" s="21"/>
      <c r="C2521" s="22">
        <v>2296</v>
      </c>
      <c r="D2521" s="21">
        <v>88.22</v>
      </c>
      <c r="E2521" s="21" t="s">
        <v>5796</v>
      </c>
      <c r="F2521" s="23"/>
      <c r="G2521" s="23">
        <f t="shared" si="9"/>
        <v>88.22</v>
      </c>
      <c r="H2521" s="23"/>
      <c r="I2521" s="23"/>
    </row>
    <row r="2522" spans="1:9">
      <c r="A2522" s="21" t="s">
        <v>7708</v>
      </c>
      <c r="B2522" s="21"/>
      <c r="C2522" s="22">
        <v>2297</v>
      </c>
      <c r="D2522" s="21">
        <v>88.22</v>
      </c>
      <c r="E2522" s="21" t="s">
        <v>5796</v>
      </c>
      <c r="F2522" s="23"/>
      <c r="G2522" s="23">
        <f t="shared" si="9"/>
        <v>88.22</v>
      </c>
      <c r="H2522" s="23"/>
      <c r="I2522" s="23"/>
    </row>
    <row r="2523" spans="1:9">
      <c r="A2523" s="21" t="s">
        <v>7709</v>
      </c>
      <c r="B2523" s="21"/>
      <c r="C2523" s="22">
        <v>2298</v>
      </c>
      <c r="D2523" s="21">
        <v>88.2</v>
      </c>
      <c r="E2523" s="21" t="s">
        <v>5796</v>
      </c>
      <c r="F2523" s="23"/>
      <c r="G2523" s="23">
        <f t="shared" si="9"/>
        <v>88.2</v>
      </c>
      <c r="H2523" s="23"/>
      <c r="I2523" s="23"/>
    </row>
    <row r="2524" spans="1:9">
      <c r="A2524" s="21" t="s">
        <v>7710</v>
      </c>
      <c r="B2524" s="21"/>
      <c r="C2524" s="22">
        <v>2299</v>
      </c>
      <c r="D2524" s="21">
        <v>88.11</v>
      </c>
      <c r="E2524" s="21" t="s">
        <v>5796</v>
      </c>
      <c r="F2524" s="23"/>
      <c r="G2524" s="23">
        <f t="shared" si="9"/>
        <v>88.11</v>
      </c>
      <c r="H2524" s="23"/>
      <c r="I2524" s="23"/>
    </row>
    <row r="2525" spans="1:9">
      <c r="A2525" s="21" t="s">
        <v>7711</v>
      </c>
      <c r="B2525" s="21"/>
      <c r="C2525" s="22">
        <v>2304</v>
      </c>
      <c r="D2525" s="21">
        <v>86.41</v>
      </c>
      <c r="E2525" s="21" t="s">
        <v>5796</v>
      </c>
      <c r="F2525" s="23"/>
      <c r="G2525" s="23">
        <f t="shared" si="9"/>
        <v>86.41</v>
      </c>
      <c r="H2525" s="23"/>
      <c r="I2525" s="23"/>
    </row>
    <row r="2526" spans="1:9">
      <c r="A2526" s="21" t="s">
        <v>7712</v>
      </c>
      <c r="B2526" s="21"/>
      <c r="C2526" s="22">
        <v>2306</v>
      </c>
      <c r="D2526" s="21">
        <v>86.25</v>
      </c>
      <c r="E2526" s="21" t="s">
        <v>5796</v>
      </c>
      <c r="F2526" s="23"/>
      <c r="G2526" s="23">
        <f t="shared" si="9"/>
        <v>86.25</v>
      </c>
      <c r="H2526" s="23"/>
      <c r="I2526" s="23"/>
    </row>
    <row r="2527" spans="1:9">
      <c r="A2527" s="21" t="s">
        <v>7713</v>
      </c>
      <c r="B2527" s="21"/>
      <c r="C2527" s="22">
        <v>2309</v>
      </c>
      <c r="D2527" s="21">
        <v>85.9</v>
      </c>
      <c r="E2527" s="21" t="s">
        <v>5796</v>
      </c>
      <c r="F2527" s="23"/>
      <c r="G2527" s="23">
        <f t="shared" si="9"/>
        <v>85.9</v>
      </c>
      <c r="H2527" s="23"/>
      <c r="I2527" s="23"/>
    </row>
    <row r="2528" spans="1:9">
      <c r="A2528" s="21" t="s">
        <v>7714</v>
      </c>
      <c r="B2528" s="21"/>
      <c r="C2528" s="22">
        <v>2311</v>
      </c>
      <c r="D2528" s="21">
        <v>85.55</v>
      </c>
      <c r="E2528" s="21" t="s">
        <v>5796</v>
      </c>
      <c r="F2528" s="23"/>
      <c r="G2528" s="23">
        <f t="shared" si="9"/>
        <v>85.55</v>
      </c>
      <c r="H2528" s="23"/>
      <c r="I2528" s="23"/>
    </row>
    <row r="2529" spans="1:9">
      <c r="A2529" s="21" t="s">
        <v>7715</v>
      </c>
      <c r="B2529" s="21"/>
      <c r="C2529" s="22">
        <v>2312</v>
      </c>
      <c r="D2529" s="21">
        <v>85.23</v>
      </c>
      <c r="E2529" s="21" t="s">
        <v>5796</v>
      </c>
      <c r="F2529" s="23"/>
      <c r="G2529" s="23">
        <f t="shared" si="9"/>
        <v>85.23</v>
      </c>
      <c r="H2529" s="23"/>
      <c r="I2529" s="23"/>
    </row>
    <row r="2530" spans="1:9">
      <c r="A2530" s="21" t="s">
        <v>7716</v>
      </c>
      <c r="B2530" s="21"/>
      <c r="C2530" s="22">
        <v>2313</v>
      </c>
      <c r="D2530" s="21">
        <v>85.17</v>
      </c>
      <c r="E2530" s="21" t="s">
        <v>5796</v>
      </c>
      <c r="F2530" s="23"/>
      <c r="G2530" s="23">
        <f t="shared" si="9"/>
        <v>85.17</v>
      </c>
      <c r="H2530" s="23"/>
      <c r="I2530" s="23"/>
    </row>
    <row r="2531" spans="1:9">
      <c r="A2531" s="21" t="s">
        <v>7717</v>
      </c>
      <c r="B2531" s="21"/>
      <c r="C2531" s="22">
        <v>2316</v>
      </c>
      <c r="D2531" s="21">
        <v>84.75</v>
      </c>
      <c r="E2531" s="21" t="s">
        <v>5796</v>
      </c>
      <c r="F2531" s="23"/>
      <c r="G2531" s="23">
        <f t="shared" si="9"/>
        <v>84.75</v>
      </c>
      <c r="H2531" s="23"/>
      <c r="I2531" s="23"/>
    </row>
    <row r="2532" spans="1:9">
      <c r="A2532" s="21" t="s">
        <v>7718</v>
      </c>
      <c r="B2532" s="21"/>
      <c r="C2532" s="22">
        <v>2317</v>
      </c>
      <c r="D2532" s="21">
        <v>84.67</v>
      </c>
      <c r="E2532" s="21" t="s">
        <v>5796</v>
      </c>
      <c r="F2532" s="23"/>
      <c r="G2532" s="23">
        <f t="shared" si="9"/>
        <v>84.67</v>
      </c>
      <c r="H2532" s="23"/>
      <c r="I2532" s="23"/>
    </row>
    <row r="2533" spans="1:9">
      <c r="A2533" s="21" t="s">
        <v>7719</v>
      </c>
      <c r="B2533" s="21"/>
      <c r="C2533" s="22">
        <v>2318</v>
      </c>
      <c r="D2533" s="21">
        <v>84.37</v>
      </c>
      <c r="E2533" s="21" t="s">
        <v>5796</v>
      </c>
      <c r="F2533" s="23"/>
      <c r="G2533" s="23">
        <f t="shared" si="9"/>
        <v>84.37</v>
      </c>
      <c r="H2533" s="23"/>
      <c r="I2533" s="23"/>
    </row>
    <row r="2534" spans="1:9">
      <c r="A2534" s="21" t="s">
        <v>7720</v>
      </c>
      <c r="B2534" s="21"/>
      <c r="C2534" s="22">
        <v>2321</v>
      </c>
      <c r="D2534" s="21">
        <v>84.22</v>
      </c>
      <c r="E2534" s="21" t="s">
        <v>5796</v>
      </c>
      <c r="F2534" s="23"/>
      <c r="G2534" s="23">
        <f t="shared" si="9"/>
        <v>84.22</v>
      </c>
      <c r="H2534" s="23"/>
      <c r="I2534" s="23"/>
    </row>
    <row r="2535" spans="1:9">
      <c r="A2535" s="21" t="s">
        <v>7721</v>
      </c>
      <c r="B2535" s="21"/>
      <c r="C2535" s="22">
        <v>2322</v>
      </c>
      <c r="D2535" s="21">
        <v>84.05</v>
      </c>
      <c r="E2535" s="21" t="s">
        <v>5796</v>
      </c>
      <c r="F2535" s="23"/>
      <c r="G2535" s="23">
        <f t="shared" si="9"/>
        <v>84.05</v>
      </c>
      <c r="H2535" s="23"/>
      <c r="I2535" s="23"/>
    </row>
    <row r="2536" spans="1:9">
      <c r="A2536" s="21" t="s">
        <v>7722</v>
      </c>
      <c r="B2536" s="21"/>
      <c r="C2536" s="22">
        <v>2323</v>
      </c>
      <c r="D2536" s="21">
        <v>83.93</v>
      </c>
      <c r="E2536" s="21" t="s">
        <v>5796</v>
      </c>
      <c r="F2536" s="23"/>
      <c r="G2536" s="23">
        <f t="shared" si="9"/>
        <v>83.93</v>
      </c>
      <c r="H2536" s="23"/>
      <c r="I2536" s="23"/>
    </row>
    <row r="2537" spans="1:9">
      <c r="A2537" s="21" t="s">
        <v>7723</v>
      </c>
      <c r="B2537" s="21"/>
      <c r="C2537" s="22">
        <v>2325</v>
      </c>
      <c r="D2537" s="21">
        <v>83.55</v>
      </c>
      <c r="E2537" s="21" t="s">
        <v>5796</v>
      </c>
      <c r="F2537" s="23"/>
      <c r="G2537" s="23">
        <f t="shared" si="9"/>
        <v>83.55</v>
      </c>
      <c r="H2537" s="23"/>
      <c r="I2537" s="23"/>
    </row>
    <row r="2538" spans="1:9">
      <c r="A2538" s="21" t="s">
        <v>7724</v>
      </c>
      <c r="B2538" s="21"/>
      <c r="C2538" s="22">
        <v>2326</v>
      </c>
      <c r="D2538" s="21">
        <v>83.52</v>
      </c>
      <c r="E2538" s="21" t="s">
        <v>5796</v>
      </c>
      <c r="F2538" s="23"/>
      <c r="G2538" s="23">
        <f t="shared" si="9"/>
        <v>83.52</v>
      </c>
      <c r="H2538" s="23"/>
      <c r="I2538" s="23"/>
    </row>
    <row r="2539" spans="1:9">
      <c r="A2539" s="21" t="s">
        <v>7725</v>
      </c>
      <c r="B2539" s="21"/>
      <c r="C2539" s="22">
        <v>2327</v>
      </c>
      <c r="D2539" s="21">
        <v>82.94</v>
      </c>
      <c r="E2539" s="21" t="s">
        <v>5796</v>
      </c>
      <c r="F2539" s="23"/>
      <c r="G2539" s="23">
        <f t="shared" si="9"/>
        <v>82.94</v>
      </c>
      <c r="H2539" s="23"/>
      <c r="I2539" s="23"/>
    </row>
    <row r="2540" spans="1:9">
      <c r="A2540" s="21" t="s">
        <v>7726</v>
      </c>
      <c r="B2540" s="21"/>
      <c r="C2540" s="22">
        <v>2328</v>
      </c>
      <c r="D2540" s="21">
        <v>82.67</v>
      </c>
      <c r="E2540" s="21" t="s">
        <v>5796</v>
      </c>
      <c r="F2540" s="23"/>
      <c r="G2540" s="23">
        <f t="shared" si="9"/>
        <v>82.67</v>
      </c>
      <c r="H2540" s="23"/>
      <c r="I2540" s="23"/>
    </row>
    <row r="2541" spans="1:9">
      <c r="A2541" s="21" t="s">
        <v>7727</v>
      </c>
      <c r="B2541" s="21"/>
      <c r="C2541" s="22">
        <v>2329</v>
      </c>
      <c r="D2541" s="21">
        <v>82.36</v>
      </c>
      <c r="E2541" s="21" t="s">
        <v>5796</v>
      </c>
      <c r="F2541" s="23"/>
      <c r="G2541" s="23">
        <f t="shared" si="9"/>
        <v>82.36</v>
      </c>
      <c r="H2541" s="23"/>
      <c r="I2541" s="23"/>
    </row>
    <row r="2542" spans="1:9">
      <c r="A2542" s="21" t="s">
        <v>7728</v>
      </c>
      <c r="B2542" s="21"/>
      <c r="C2542" s="22">
        <v>2330</v>
      </c>
      <c r="D2542" s="21">
        <v>82.33</v>
      </c>
      <c r="E2542" s="21" t="s">
        <v>5796</v>
      </c>
      <c r="F2542" s="23"/>
      <c r="G2542" s="23">
        <f t="shared" si="9"/>
        <v>82.33</v>
      </c>
      <c r="H2542" s="23"/>
      <c r="I2542" s="23"/>
    </row>
    <row r="2543" spans="1:9">
      <c r="A2543" s="21" t="s">
        <v>7729</v>
      </c>
      <c r="B2543" s="21"/>
      <c r="C2543" s="22">
        <v>2333</v>
      </c>
      <c r="D2543" s="21">
        <v>82.09</v>
      </c>
      <c r="E2543" s="21" t="s">
        <v>5796</v>
      </c>
      <c r="F2543" s="23"/>
      <c r="G2543" s="23">
        <f t="shared" si="9"/>
        <v>82.09</v>
      </c>
      <c r="H2543" s="23"/>
      <c r="I2543" s="23"/>
    </row>
    <row r="2544" spans="1:9">
      <c r="A2544" s="21" t="s">
        <v>7730</v>
      </c>
      <c r="B2544" s="21"/>
      <c r="C2544" s="22">
        <v>2334</v>
      </c>
      <c r="D2544" s="21">
        <v>81.790000000000006</v>
      </c>
      <c r="E2544" s="21" t="s">
        <v>5796</v>
      </c>
      <c r="F2544" s="23"/>
      <c r="G2544" s="23">
        <f t="shared" si="9"/>
        <v>81.790000000000006</v>
      </c>
      <c r="H2544" s="23"/>
      <c r="I2544" s="23"/>
    </row>
    <row r="2545" spans="1:9">
      <c r="A2545" s="21" t="s">
        <v>7731</v>
      </c>
      <c r="B2545" s="21"/>
      <c r="C2545" s="22">
        <v>2335</v>
      </c>
      <c r="D2545" s="21">
        <v>81.45</v>
      </c>
      <c r="E2545" s="21" t="s">
        <v>5796</v>
      </c>
      <c r="F2545" s="23"/>
      <c r="G2545" s="23">
        <f t="shared" si="9"/>
        <v>81.45</v>
      </c>
      <c r="H2545" s="23"/>
      <c r="I2545" s="23"/>
    </row>
    <row r="2546" spans="1:9">
      <c r="A2546" s="21" t="s">
        <v>7732</v>
      </c>
      <c r="B2546" s="21"/>
      <c r="C2546" s="22">
        <v>2336</v>
      </c>
      <c r="D2546" s="21">
        <v>81.36</v>
      </c>
      <c r="E2546" s="21" t="s">
        <v>5796</v>
      </c>
      <c r="F2546" s="23"/>
      <c r="G2546" s="23">
        <f t="shared" si="9"/>
        <v>81.36</v>
      </c>
      <c r="H2546" s="23"/>
      <c r="I2546" s="23"/>
    </row>
    <row r="2547" spans="1:9">
      <c r="A2547" s="21" t="s">
        <v>7733</v>
      </c>
      <c r="B2547" s="21"/>
      <c r="C2547" s="22">
        <v>2337</v>
      </c>
      <c r="D2547" s="21">
        <v>80.900000000000006</v>
      </c>
      <c r="E2547" s="21" t="s">
        <v>5796</v>
      </c>
      <c r="F2547" s="23"/>
      <c r="G2547" s="23">
        <f t="shared" si="9"/>
        <v>80.900000000000006</v>
      </c>
      <c r="H2547" s="23"/>
      <c r="I2547" s="23"/>
    </row>
    <row r="2548" spans="1:9">
      <c r="A2548" s="21" t="s">
        <v>7734</v>
      </c>
      <c r="B2548" s="21"/>
      <c r="C2548" s="22">
        <v>2343</v>
      </c>
      <c r="D2548" s="21">
        <v>79.760000000000005</v>
      </c>
      <c r="E2548" s="21" t="s">
        <v>5796</v>
      </c>
      <c r="F2548" s="23"/>
      <c r="G2548" s="23">
        <f t="shared" si="9"/>
        <v>79.760000000000005</v>
      </c>
      <c r="H2548" s="23"/>
      <c r="I2548" s="23"/>
    </row>
    <row r="2549" spans="1:9">
      <c r="A2549" s="21" t="s">
        <v>7735</v>
      </c>
      <c r="B2549" s="21"/>
      <c r="C2549" s="22">
        <v>2344</v>
      </c>
      <c r="D2549" s="21">
        <v>79.680000000000007</v>
      </c>
      <c r="E2549" s="21" t="s">
        <v>5796</v>
      </c>
      <c r="F2549" s="23"/>
      <c r="G2549" s="23">
        <f t="shared" si="9"/>
        <v>79.680000000000007</v>
      </c>
      <c r="H2549" s="23"/>
      <c r="I2549" s="23"/>
    </row>
    <row r="2550" spans="1:9">
      <c r="A2550" s="21" t="s">
        <v>7736</v>
      </c>
      <c r="B2550" s="21"/>
      <c r="C2550" s="22">
        <v>2345</v>
      </c>
      <c r="D2550" s="21">
        <v>79.59</v>
      </c>
      <c r="E2550" s="21" t="s">
        <v>5796</v>
      </c>
      <c r="F2550" s="23"/>
      <c r="G2550" s="23">
        <f t="shared" si="9"/>
        <v>79.59</v>
      </c>
      <c r="H2550" s="23"/>
      <c r="I2550" s="23"/>
    </row>
    <row r="2551" spans="1:9">
      <c r="A2551" s="21" t="s">
        <v>7737</v>
      </c>
      <c r="B2551" s="21"/>
      <c r="C2551" s="22">
        <v>2346</v>
      </c>
      <c r="D2551" s="21">
        <v>79.28</v>
      </c>
      <c r="E2551" s="21" t="s">
        <v>5796</v>
      </c>
      <c r="F2551" s="23"/>
      <c r="G2551" s="23">
        <f t="shared" si="9"/>
        <v>79.28</v>
      </c>
      <c r="H2551" s="23"/>
      <c r="I2551" s="23"/>
    </row>
    <row r="2552" spans="1:9">
      <c r="A2552" s="21" t="s">
        <v>7738</v>
      </c>
      <c r="B2552" s="21"/>
      <c r="C2552" s="22">
        <v>2347</v>
      </c>
      <c r="D2552" s="21">
        <v>79.180000000000007</v>
      </c>
      <c r="E2552" s="21" t="s">
        <v>5796</v>
      </c>
      <c r="F2552" s="23"/>
      <c r="G2552" s="23">
        <f t="shared" si="9"/>
        <v>79.180000000000007</v>
      </c>
      <c r="H2552" s="23"/>
      <c r="I2552" s="23"/>
    </row>
    <row r="2553" spans="1:9">
      <c r="A2553" s="21" t="s">
        <v>7739</v>
      </c>
      <c r="B2553" s="21"/>
      <c r="C2553" s="22">
        <v>2348</v>
      </c>
      <c r="D2553" s="21">
        <v>78.760000000000005</v>
      </c>
      <c r="E2553" s="21" t="s">
        <v>5796</v>
      </c>
      <c r="F2553" s="23"/>
      <c r="G2553" s="23">
        <f t="shared" ref="G2553:G2807" si="10">VALUE(SUBSTITUTE(D2553, ",", ""))</f>
        <v>78.760000000000005</v>
      </c>
      <c r="H2553" s="23"/>
      <c r="I2553" s="23"/>
    </row>
    <row r="2554" spans="1:9">
      <c r="A2554" s="21" t="s">
        <v>7740</v>
      </c>
      <c r="B2554" s="21"/>
      <c r="C2554" s="22">
        <v>2351</v>
      </c>
      <c r="D2554" s="21">
        <v>78.39</v>
      </c>
      <c r="E2554" s="21" t="s">
        <v>5796</v>
      </c>
      <c r="F2554" s="23"/>
      <c r="G2554" s="23">
        <f t="shared" si="10"/>
        <v>78.39</v>
      </c>
      <c r="H2554" s="23"/>
      <c r="I2554" s="23"/>
    </row>
    <row r="2555" spans="1:9">
      <c r="A2555" s="21" t="s">
        <v>7741</v>
      </c>
      <c r="B2555" s="21"/>
      <c r="C2555" s="22">
        <v>2352</v>
      </c>
      <c r="D2555" s="21">
        <v>78.37</v>
      </c>
      <c r="E2555" s="21" t="s">
        <v>5796</v>
      </c>
      <c r="F2555" s="23"/>
      <c r="G2555" s="23">
        <f t="shared" si="10"/>
        <v>78.37</v>
      </c>
      <c r="H2555" s="23"/>
      <c r="I2555" s="23"/>
    </row>
    <row r="2556" spans="1:9">
      <c r="A2556" s="21" t="s">
        <v>7742</v>
      </c>
      <c r="B2556" s="21"/>
      <c r="C2556" s="22">
        <v>2353</v>
      </c>
      <c r="D2556" s="21">
        <v>78.25</v>
      </c>
      <c r="E2556" s="21" t="s">
        <v>5796</v>
      </c>
      <c r="F2556" s="23"/>
      <c r="G2556" s="23">
        <f t="shared" si="10"/>
        <v>78.25</v>
      </c>
      <c r="H2556" s="23"/>
      <c r="I2556" s="23"/>
    </row>
    <row r="2557" spans="1:9">
      <c r="A2557" s="21" t="s">
        <v>7743</v>
      </c>
      <c r="B2557" s="21"/>
      <c r="C2557" s="22">
        <v>2354</v>
      </c>
      <c r="D2557" s="21">
        <v>78.010000000000005</v>
      </c>
      <c r="E2557" s="21" t="s">
        <v>5796</v>
      </c>
      <c r="F2557" s="23"/>
      <c r="G2557" s="23">
        <f t="shared" si="10"/>
        <v>78.010000000000005</v>
      </c>
      <c r="H2557" s="23"/>
      <c r="I2557" s="23"/>
    </row>
    <row r="2558" spans="1:9">
      <c r="A2558" s="21" t="s">
        <v>7744</v>
      </c>
      <c r="B2558" s="21"/>
      <c r="C2558" s="22">
        <v>2355</v>
      </c>
      <c r="D2558" s="21">
        <v>77.95</v>
      </c>
      <c r="E2558" s="21" t="s">
        <v>5796</v>
      </c>
      <c r="F2558" s="23"/>
      <c r="G2558" s="23">
        <f t="shared" si="10"/>
        <v>77.95</v>
      </c>
      <c r="H2558" s="23"/>
      <c r="I2558" s="23"/>
    </row>
    <row r="2559" spans="1:9">
      <c r="A2559" s="21" t="s">
        <v>7745</v>
      </c>
      <c r="B2559" s="21"/>
      <c r="C2559" s="22">
        <v>2356</v>
      </c>
      <c r="D2559" s="21">
        <v>77.89</v>
      </c>
      <c r="E2559" s="21" t="s">
        <v>5796</v>
      </c>
      <c r="F2559" s="23"/>
      <c r="G2559" s="23">
        <f t="shared" si="10"/>
        <v>77.89</v>
      </c>
      <c r="H2559" s="23"/>
      <c r="I2559" s="23"/>
    </row>
    <row r="2560" spans="1:9">
      <c r="A2560" s="21" t="s">
        <v>7746</v>
      </c>
      <c r="B2560" s="21"/>
      <c r="C2560" s="22">
        <v>2361</v>
      </c>
      <c r="D2560" s="21">
        <v>77.25</v>
      </c>
      <c r="E2560" s="21" t="s">
        <v>5796</v>
      </c>
      <c r="F2560" s="23"/>
      <c r="G2560" s="23">
        <f t="shared" si="10"/>
        <v>77.25</v>
      </c>
      <c r="H2560" s="23"/>
      <c r="I2560" s="23"/>
    </row>
    <row r="2561" spans="1:9">
      <c r="A2561" s="21" t="s">
        <v>7747</v>
      </c>
      <c r="B2561" s="21"/>
      <c r="C2561" s="22">
        <v>2362</v>
      </c>
      <c r="D2561" s="21">
        <v>77.239999999999995</v>
      </c>
      <c r="E2561" s="21" t="s">
        <v>5796</v>
      </c>
      <c r="F2561" s="23"/>
      <c r="G2561" s="23">
        <f t="shared" si="10"/>
        <v>77.239999999999995</v>
      </c>
      <c r="H2561" s="23"/>
      <c r="I2561" s="23"/>
    </row>
    <row r="2562" spans="1:9">
      <c r="A2562" s="21" t="s">
        <v>7748</v>
      </c>
      <c r="B2562" s="21"/>
      <c r="C2562" s="22">
        <v>2364</v>
      </c>
      <c r="D2562" s="21">
        <v>77.11</v>
      </c>
      <c r="E2562" s="21" t="s">
        <v>5796</v>
      </c>
      <c r="F2562" s="23"/>
      <c r="G2562" s="23">
        <f t="shared" si="10"/>
        <v>77.11</v>
      </c>
      <c r="H2562" s="23"/>
      <c r="I2562" s="23"/>
    </row>
    <row r="2563" spans="1:9">
      <c r="A2563" s="21" t="s">
        <v>7749</v>
      </c>
      <c r="B2563" s="21"/>
      <c r="C2563" s="22">
        <v>2365</v>
      </c>
      <c r="D2563" s="21">
        <v>77.08</v>
      </c>
      <c r="E2563" s="21" t="s">
        <v>5796</v>
      </c>
      <c r="F2563" s="23"/>
      <c r="G2563" s="23">
        <f t="shared" si="10"/>
        <v>77.08</v>
      </c>
      <c r="H2563" s="23"/>
      <c r="I2563" s="23"/>
    </row>
    <row r="2564" spans="1:9">
      <c r="A2564" s="21" t="s">
        <v>7750</v>
      </c>
      <c r="B2564" s="21"/>
      <c r="C2564" s="22">
        <v>2366</v>
      </c>
      <c r="D2564" s="21">
        <v>77.03</v>
      </c>
      <c r="E2564" s="21" t="s">
        <v>5796</v>
      </c>
      <c r="F2564" s="23"/>
      <c r="G2564" s="23">
        <f t="shared" si="10"/>
        <v>77.03</v>
      </c>
      <c r="H2564" s="23"/>
      <c r="I2564" s="23"/>
    </row>
    <row r="2565" spans="1:9">
      <c r="A2565" s="21" t="s">
        <v>7751</v>
      </c>
      <c r="B2565" s="21"/>
      <c r="C2565" s="22">
        <v>2371</v>
      </c>
      <c r="D2565" s="21">
        <v>76.36</v>
      </c>
      <c r="E2565" s="21" t="s">
        <v>5796</v>
      </c>
      <c r="F2565" s="23"/>
      <c r="G2565" s="23">
        <f t="shared" si="10"/>
        <v>76.36</v>
      </c>
      <c r="H2565" s="23"/>
      <c r="I2565" s="23"/>
    </row>
    <row r="2566" spans="1:9">
      <c r="A2566" s="21" t="s">
        <v>7752</v>
      </c>
      <c r="B2566" s="21"/>
      <c r="C2566" s="22">
        <v>2372</v>
      </c>
      <c r="D2566" s="21">
        <v>76.36</v>
      </c>
      <c r="E2566" s="21" t="s">
        <v>5796</v>
      </c>
      <c r="F2566" s="23"/>
      <c r="G2566" s="23">
        <f t="shared" si="10"/>
        <v>76.36</v>
      </c>
      <c r="H2566" s="23"/>
      <c r="I2566" s="23"/>
    </row>
    <row r="2567" spans="1:9">
      <c r="A2567" s="21" t="s">
        <v>7753</v>
      </c>
      <c r="B2567" s="21"/>
      <c r="C2567" s="22">
        <v>2373</v>
      </c>
      <c r="D2567" s="21">
        <v>76.34</v>
      </c>
      <c r="E2567" s="21" t="s">
        <v>5796</v>
      </c>
      <c r="F2567" s="23"/>
      <c r="G2567" s="23">
        <f t="shared" si="10"/>
        <v>76.34</v>
      </c>
      <c r="H2567" s="23"/>
      <c r="I2567" s="23"/>
    </row>
    <row r="2568" spans="1:9">
      <c r="A2568" s="21" t="s">
        <v>7754</v>
      </c>
      <c r="B2568" s="21"/>
      <c r="C2568" s="22">
        <v>2374</v>
      </c>
      <c r="D2568" s="21">
        <v>75.95</v>
      </c>
      <c r="E2568" s="21" t="s">
        <v>5796</v>
      </c>
      <c r="F2568" s="23"/>
      <c r="G2568" s="23">
        <f t="shared" si="10"/>
        <v>75.95</v>
      </c>
      <c r="H2568" s="23"/>
      <c r="I2568" s="23"/>
    </row>
    <row r="2569" spans="1:9">
      <c r="A2569" s="21" t="s">
        <v>7755</v>
      </c>
      <c r="B2569" s="21"/>
      <c r="C2569" s="22">
        <v>2375</v>
      </c>
      <c r="D2569" s="21">
        <v>75.84</v>
      </c>
      <c r="E2569" s="21" t="s">
        <v>5796</v>
      </c>
      <c r="F2569" s="23"/>
      <c r="G2569" s="23">
        <f t="shared" si="10"/>
        <v>75.84</v>
      </c>
      <c r="H2569" s="23"/>
      <c r="I2569" s="23"/>
    </row>
    <row r="2570" spans="1:9">
      <c r="A2570" s="21" t="s">
        <v>7756</v>
      </c>
      <c r="B2570" s="21"/>
      <c r="C2570" s="22">
        <v>2376</v>
      </c>
      <c r="D2570" s="21">
        <v>75.62</v>
      </c>
      <c r="E2570" s="21" t="s">
        <v>5796</v>
      </c>
      <c r="F2570" s="23"/>
      <c r="G2570" s="23">
        <f t="shared" si="10"/>
        <v>75.62</v>
      </c>
      <c r="H2570" s="23"/>
      <c r="I2570" s="23"/>
    </row>
    <row r="2571" spans="1:9">
      <c r="A2571" s="21" t="s">
        <v>7757</v>
      </c>
      <c r="B2571" s="21"/>
      <c r="C2571" s="22">
        <v>2377</v>
      </c>
      <c r="D2571" s="21">
        <v>75.569999999999993</v>
      </c>
      <c r="E2571" s="21" t="s">
        <v>5796</v>
      </c>
      <c r="F2571" s="23"/>
      <c r="G2571" s="23">
        <f t="shared" si="10"/>
        <v>75.569999999999993</v>
      </c>
      <c r="H2571" s="23"/>
      <c r="I2571" s="23"/>
    </row>
    <row r="2572" spans="1:9">
      <c r="A2572" s="21" t="s">
        <v>7758</v>
      </c>
      <c r="B2572" s="21"/>
      <c r="C2572" s="22">
        <v>2378</v>
      </c>
      <c r="D2572" s="21">
        <v>75.55</v>
      </c>
      <c r="E2572" s="21" t="s">
        <v>5796</v>
      </c>
      <c r="F2572" s="23"/>
      <c r="G2572" s="23">
        <f t="shared" si="10"/>
        <v>75.55</v>
      </c>
      <c r="H2572" s="23"/>
      <c r="I2572" s="23"/>
    </row>
    <row r="2573" spans="1:9">
      <c r="A2573" s="21" t="s">
        <v>7759</v>
      </c>
      <c r="B2573" s="21"/>
      <c r="C2573" s="22">
        <v>2380</v>
      </c>
      <c r="D2573" s="21">
        <v>75.260000000000005</v>
      </c>
      <c r="E2573" s="21" t="s">
        <v>5796</v>
      </c>
      <c r="F2573" s="23"/>
      <c r="G2573" s="23">
        <f t="shared" si="10"/>
        <v>75.260000000000005</v>
      </c>
      <c r="H2573" s="23"/>
      <c r="I2573" s="23"/>
    </row>
    <row r="2574" spans="1:9">
      <c r="A2574" s="21" t="s">
        <v>7760</v>
      </c>
      <c r="B2574" s="21"/>
      <c r="C2574" s="22">
        <v>2381</v>
      </c>
      <c r="D2574" s="21">
        <v>75.14</v>
      </c>
      <c r="E2574" s="21" t="s">
        <v>5796</v>
      </c>
      <c r="F2574" s="23"/>
      <c r="G2574" s="23">
        <f t="shared" si="10"/>
        <v>75.14</v>
      </c>
      <c r="H2574" s="23"/>
      <c r="I2574" s="23"/>
    </row>
    <row r="2575" spans="1:9">
      <c r="A2575" s="21" t="s">
        <v>7761</v>
      </c>
      <c r="B2575" s="21"/>
      <c r="C2575" s="22">
        <v>2382</v>
      </c>
      <c r="D2575" s="21">
        <v>75.05</v>
      </c>
      <c r="E2575" s="21" t="s">
        <v>5796</v>
      </c>
      <c r="F2575" s="23"/>
      <c r="G2575" s="23">
        <f t="shared" si="10"/>
        <v>75.05</v>
      </c>
      <c r="H2575" s="23"/>
      <c r="I2575" s="23"/>
    </row>
    <row r="2576" spans="1:9">
      <c r="A2576" s="21" t="s">
        <v>7762</v>
      </c>
      <c r="B2576" s="21"/>
      <c r="C2576" s="22">
        <v>2383</v>
      </c>
      <c r="D2576" s="21">
        <v>74.97</v>
      </c>
      <c r="E2576" s="21" t="s">
        <v>5796</v>
      </c>
      <c r="F2576" s="23"/>
      <c r="G2576" s="23">
        <f t="shared" si="10"/>
        <v>74.97</v>
      </c>
      <c r="H2576" s="23"/>
      <c r="I2576" s="23"/>
    </row>
    <row r="2577" spans="1:9">
      <c r="A2577" s="21" t="s">
        <v>7763</v>
      </c>
      <c r="B2577" s="21"/>
      <c r="C2577" s="22">
        <v>2384</v>
      </c>
      <c r="D2577" s="21">
        <v>74.930000000000007</v>
      </c>
      <c r="E2577" s="21" t="s">
        <v>5796</v>
      </c>
      <c r="F2577" s="23"/>
      <c r="G2577" s="23">
        <f t="shared" si="10"/>
        <v>74.930000000000007</v>
      </c>
      <c r="H2577" s="23"/>
      <c r="I2577" s="23"/>
    </row>
    <row r="2578" spans="1:9">
      <c r="A2578" s="21" t="s">
        <v>7764</v>
      </c>
      <c r="B2578" s="21"/>
      <c r="C2578" s="22">
        <v>2385</v>
      </c>
      <c r="D2578" s="21">
        <v>74.84</v>
      </c>
      <c r="E2578" s="21" t="s">
        <v>5796</v>
      </c>
      <c r="F2578" s="23"/>
      <c r="G2578" s="23">
        <f t="shared" si="10"/>
        <v>74.84</v>
      </c>
      <c r="H2578" s="23"/>
      <c r="I2578" s="23"/>
    </row>
    <row r="2579" spans="1:9">
      <c r="A2579" s="21" t="s">
        <v>4904</v>
      </c>
      <c r="B2579" s="21"/>
      <c r="C2579" s="22">
        <v>2386</v>
      </c>
      <c r="D2579" s="21">
        <v>74.599999999999994</v>
      </c>
      <c r="E2579" s="21" t="s">
        <v>5796</v>
      </c>
      <c r="F2579" s="23"/>
      <c r="G2579" s="23">
        <f t="shared" si="10"/>
        <v>74.599999999999994</v>
      </c>
      <c r="H2579" s="23"/>
      <c r="I2579" s="23"/>
    </row>
    <row r="2580" spans="1:9">
      <c r="A2580" s="21" t="s">
        <v>7765</v>
      </c>
      <c r="B2580" s="21"/>
      <c r="C2580" s="22">
        <v>2388</v>
      </c>
      <c r="D2580" s="21">
        <v>74.53</v>
      </c>
      <c r="E2580" s="21" t="s">
        <v>5796</v>
      </c>
      <c r="F2580" s="23"/>
      <c r="G2580" s="23">
        <f t="shared" si="10"/>
        <v>74.53</v>
      </c>
      <c r="H2580" s="23"/>
      <c r="I2580" s="23"/>
    </row>
    <row r="2581" spans="1:9">
      <c r="A2581" s="21" t="s">
        <v>7766</v>
      </c>
      <c r="B2581" s="21"/>
      <c r="C2581" s="22">
        <v>2390</v>
      </c>
      <c r="D2581" s="21">
        <v>74.31</v>
      </c>
      <c r="E2581" s="21" t="s">
        <v>5796</v>
      </c>
      <c r="F2581" s="23"/>
      <c r="G2581" s="23">
        <f t="shared" si="10"/>
        <v>74.31</v>
      </c>
      <c r="H2581" s="23"/>
      <c r="I2581" s="23"/>
    </row>
    <row r="2582" spans="1:9">
      <c r="A2582" s="21" t="s">
        <v>7767</v>
      </c>
      <c r="B2582" s="21"/>
      <c r="C2582" s="22">
        <v>2391</v>
      </c>
      <c r="D2582" s="21">
        <v>74.16</v>
      </c>
      <c r="E2582" s="21" t="s">
        <v>5796</v>
      </c>
      <c r="F2582" s="23"/>
      <c r="G2582" s="23">
        <f t="shared" si="10"/>
        <v>74.16</v>
      </c>
      <c r="H2582" s="23"/>
      <c r="I2582" s="23"/>
    </row>
    <row r="2583" spans="1:9">
      <c r="A2583" s="21" t="s">
        <v>7768</v>
      </c>
      <c r="B2583" s="21"/>
      <c r="C2583" s="22">
        <v>2395</v>
      </c>
      <c r="D2583" s="21">
        <v>73.64</v>
      </c>
      <c r="E2583" s="21" t="s">
        <v>5796</v>
      </c>
      <c r="F2583" s="23"/>
      <c r="G2583" s="23">
        <f t="shared" si="10"/>
        <v>73.64</v>
      </c>
      <c r="H2583" s="23"/>
      <c r="I2583" s="23"/>
    </row>
    <row r="2584" spans="1:9">
      <c r="A2584" s="21" t="s">
        <v>7769</v>
      </c>
      <c r="B2584" s="21"/>
      <c r="C2584" s="22">
        <v>2397</v>
      </c>
      <c r="D2584" s="21">
        <v>73.45</v>
      </c>
      <c r="E2584" s="21" t="s">
        <v>5796</v>
      </c>
      <c r="F2584" s="23"/>
      <c r="G2584" s="23">
        <f t="shared" si="10"/>
        <v>73.45</v>
      </c>
      <c r="H2584" s="23"/>
      <c r="I2584" s="23"/>
    </row>
    <row r="2585" spans="1:9">
      <c r="A2585" s="21" t="s">
        <v>7770</v>
      </c>
      <c r="B2585" s="21"/>
      <c r="C2585" s="22">
        <v>2398</v>
      </c>
      <c r="D2585" s="21">
        <v>73.239999999999995</v>
      </c>
      <c r="E2585" s="21" t="s">
        <v>5796</v>
      </c>
      <c r="F2585" s="23"/>
      <c r="G2585" s="23">
        <f t="shared" si="10"/>
        <v>73.239999999999995</v>
      </c>
      <c r="H2585" s="23"/>
      <c r="I2585" s="23"/>
    </row>
    <row r="2586" spans="1:9">
      <c r="A2586" s="21" t="s">
        <v>7771</v>
      </c>
      <c r="B2586" s="21"/>
      <c r="C2586" s="22">
        <v>2401</v>
      </c>
      <c r="D2586" s="21">
        <v>73.010000000000005</v>
      </c>
      <c r="E2586" s="21" t="s">
        <v>5796</v>
      </c>
      <c r="F2586" s="23"/>
      <c r="G2586" s="23">
        <f t="shared" si="10"/>
        <v>73.010000000000005</v>
      </c>
      <c r="H2586" s="23"/>
      <c r="I2586" s="23"/>
    </row>
    <row r="2587" spans="1:9">
      <c r="A2587" s="21" t="s">
        <v>7772</v>
      </c>
      <c r="B2587" s="21"/>
      <c r="C2587" s="22">
        <v>2402</v>
      </c>
      <c r="D2587" s="21">
        <v>72.959999999999994</v>
      </c>
      <c r="E2587" s="21" t="s">
        <v>5796</v>
      </c>
      <c r="F2587" s="23"/>
      <c r="G2587" s="23">
        <f t="shared" si="10"/>
        <v>72.959999999999994</v>
      </c>
      <c r="H2587" s="23"/>
      <c r="I2587" s="23"/>
    </row>
    <row r="2588" spans="1:9">
      <c r="A2588" s="21" t="s">
        <v>7773</v>
      </c>
      <c r="B2588" s="21"/>
      <c r="C2588" s="22">
        <v>2403</v>
      </c>
      <c r="D2588" s="21">
        <v>72.92</v>
      </c>
      <c r="E2588" s="21" t="s">
        <v>5796</v>
      </c>
      <c r="F2588" s="23"/>
      <c r="G2588" s="23">
        <f t="shared" si="10"/>
        <v>72.92</v>
      </c>
      <c r="H2588" s="23"/>
      <c r="I2588" s="23"/>
    </row>
    <row r="2589" spans="1:9">
      <c r="A2589" s="21" t="s">
        <v>7774</v>
      </c>
      <c r="B2589" s="21"/>
      <c r="C2589" s="22">
        <v>2404</v>
      </c>
      <c r="D2589" s="21">
        <v>72.819999999999993</v>
      </c>
      <c r="E2589" s="21" t="s">
        <v>5796</v>
      </c>
      <c r="F2589" s="23"/>
      <c r="G2589" s="23">
        <f t="shared" si="10"/>
        <v>72.819999999999993</v>
      </c>
      <c r="H2589" s="23"/>
      <c r="I2589" s="23"/>
    </row>
    <row r="2590" spans="1:9">
      <c r="A2590" s="21" t="s">
        <v>7775</v>
      </c>
      <c r="B2590" s="21"/>
      <c r="C2590" s="22">
        <v>2405</v>
      </c>
      <c r="D2590" s="21">
        <v>72.67</v>
      </c>
      <c r="E2590" s="21" t="s">
        <v>5796</v>
      </c>
      <c r="F2590" s="23"/>
      <c r="G2590" s="23">
        <f t="shared" si="10"/>
        <v>72.67</v>
      </c>
      <c r="H2590" s="23"/>
      <c r="I2590" s="23"/>
    </row>
    <row r="2591" spans="1:9">
      <c r="A2591" s="21" t="s">
        <v>7776</v>
      </c>
      <c r="B2591" s="21"/>
      <c r="C2591" s="22">
        <v>2406</v>
      </c>
      <c r="D2591" s="21">
        <v>72.489999999999995</v>
      </c>
      <c r="E2591" s="21" t="s">
        <v>5796</v>
      </c>
      <c r="F2591" s="23"/>
      <c r="G2591" s="23">
        <f t="shared" si="10"/>
        <v>72.489999999999995</v>
      </c>
      <c r="H2591" s="23"/>
      <c r="I2591" s="23"/>
    </row>
    <row r="2592" spans="1:9">
      <c r="A2592" s="21" t="s">
        <v>7777</v>
      </c>
      <c r="B2592" s="21"/>
      <c r="C2592" s="22">
        <v>2407</v>
      </c>
      <c r="D2592" s="21">
        <v>72.459999999999994</v>
      </c>
      <c r="E2592" s="21" t="s">
        <v>5796</v>
      </c>
      <c r="F2592" s="23"/>
      <c r="G2592" s="23">
        <f t="shared" si="10"/>
        <v>72.459999999999994</v>
      </c>
      <c r="H2592" s="23"/>
      <c r="I2592" s="23"/>
    </row>
    <row r="2593" spans="1:9">
      <c r="A2593" s="21" t="s">
        <v>7778</v>
      </c>
      <c r="B2593" s="21"/>
      <c r="C2593" s="22">
        <v>2408</v>
      </c>
      <c r="D2593" s="21">
        <v>72.290000000000006</v>
      </c>
      <c r="E2593" s="21" t="s">
        <v>5796</v>
      </c>
      <c r="F2593" s="23"/>
      <c r="G2593" s="23">
        <f t="shared" si="10"/>
        <v>72.290000000000006</v>
      </c>
      <c r="H2593" s="23"/>
      <c r="I2593" s="23"/>
    </row>
    <row r="2594" spans="1:9">
      <c r="A2594" s="21" t="s">
        <v>7779</v>
      </c>
      <c r="B2594" s="21"/>
      <c r="C2594" s="22">
        <v>2409</v>
      </c>
      <c r="D2594" s="21">
        <v>72.2</v>
      </c>
      <c r="E2594" s="21" t="s">
        <v>5796</v>
      </c>
      <c r="F2594" s="23"/>
      <c r="G2594" s="23">
        <f t="shared" si="10"/>
        <v>72.2</v>
      </c>
      <c r="H2594" s="23"/>
      <c r="I2594" s="23"/>
    </row>
    <row r="2595" spans="1:9">
      <c r="A2595" s="21" t="s">
        <v>7780</v>
      </c>
      <c r="B2595" s="21"/>
      <c r="C2595" s="22">
        <v>2411</v>
      </c>
      <c r="D2595" s="21">
        <v>72.150000000000006</v>
      </c>
      <c r="E2595" s="21" t="s">
        <v>5796</v>
      </c>
      <c r="F2595" s="23"/>
      <c r="G2595" s="23">
        <f t="shared" si="10"/>
        <v>72.150000000000006</v>
      </c>
      <c r="H2595" s="23"/>
      <c r="I2595" s="23"/>
    </row>
    <row r="2596" spans="1:9">
      <c r="A2596" s="21" t="s">
        <v>7781</v>
      </c>
      <c r="B2596" s="21"/>
      <c r="C2596" s="22">
        <v>2412</v>
      </c>
      <c r="D2596" s="21">
        <v>72.14</v>
      </c>
      <c r="E2596" s="21" t="s">
        <v>5796</v>
      </c>
      <c r="F2596" s="23"/>
      <c r="G2596" s="23">
        <f t="shared" si="10"/>
        <v>72.14</v>
      </c>
      <c r="H2596" s="23"/>
      <c r="I2596" s="23"/>
    </row>
    <row r="2597" spans="1:9">
      <c r="A2597" s="21" t="s">
        <v>7782</v>
      </c>
      <c r="B2597" s="21"/>
      <c r="C2597" s="22">
        <v>2414</v>
      </c>
      <c r="D2597" s="21">
        <v>71.86</v>
      </c>
      <c r="E2597" s="21" t="s">
        <v>5796</v>
      </c>
      <c r="F2597" s="23"/>
      <c r="G2597" s="23">
        <f t="shared" si="10"/>
        <v>71.86</v>
      </c>
      <c r="H2597" s="23"/>
      <c r="I2597" s="23"/>
    </row>
    <row r="2598" spans="1:9">
      <c r="A2598" s="21" t="s">
        <v>7783</v>
      </c>
      <c r="B2598" s="21"/>
      <c r="C2598" s="22">
        <v>2415</v>
      </c>
      <c r="D2598" s="21">
        <v>71.72</v>
      </c>
      <c r="E2598" s="21" t="s">
        <v>5796</v>
      </c>
      <c r="F2598" s="23"/>
      <c r="G2598" s="23">
        <f t="shared" si="10"/>
        <v>71.72</v>
      </c>
      <c r="H2598" s="23"/>
      <c r="I2598" s="23"/>
    </row>
    <row r="2599" spans="1:9">
      <c r="A2599" s="21" t="s">
        <v>7784</v>
      </c>
      <c r="B2599" s="21"/>
      <c r="C2599" s="22">
        <v>2416</v>
      </c>
      <c r="D2599" s="21">
        <v>71.59</v>
      </c>
      <c r="E2599" s="21" t="s">
        <v>5796</v>
      </c>
      <c r="F2599" s="23"/>
      <c r="G2599" s="23">
        <f t="shared" si="10"/>
        <v>71.59</v>
      </c>
      <c r="H2599" s="23"/>
      <c r="I2599" s="23"/>
    </row>
    <row r="2600" spans="1:9">
      <c r="A2600" s="21" t="s">
        <v>7785</v>
      </c>
      <c r="B2600" s="21"/>
      <c r="C2600" s="22">
        <v>2417</v>
      </c>
      <c r="D2600" s="21">
        <v>71.489999999999995</v>
      </c>
      <c r="E2600" s="21" t="s">
        <v>5796</v>
      </c>
      <c r="F2600" s="23"/>
      <c r="G2600" s="23">
        <f t="shared" si="10"/>
        <v>71.489999999999995</v>
      </c>
      <c r="H2600" s="23"/>
      <c r="I2600" s="23"/>
    </row>
    <row r="2601" spans="1:9">
      <c r="A2601" s="21" t="s">
        <v>7786</v>
      </c>
      <c r="B2601" s="21"/>
      <c r="C2601" s="22">
        <v>2419</v>
      </c>
      <c r="D2601" s="21">
        <v>71.430000000000007</v>
      </c>
      <c r="E2601" s="21" t="s">
        <v>5796</v>
      </c>
      <c r="F2601" s="23"/>
      <c r="G2601" s="23">
        <f t="shared" si="10"/>
        <v>71.430000000000007</v>
      </c>
      <c r="H2601" s="23"/>
      <c r="I2601" s="23"/>
    </row>
    <row r="2602" spans="1:9">
      <c r="A2602" s="21" t="s">
        <v>7787</v>
      </c>
      <c r="B2602" s="21"/>
      <c r="C2602" s="22">
        <v>2421</v>
      </c>
      <c r="D2602" s="21">
        <v>71.260000000000005</v>
      </c>
      <c r="E2602" s="21" t="s">
        <v>5796</v>
      </c>
      <c r="F2602" s="23"/>
      <c r="G2602" s="23">
        <f t="shared" si="10"/>
        <v>71.260000000000005</v>
      </c>
      <c r="H2602" s="23"/>
      <c r="I2602" s="23"/>
    </row>
    <row r="2603" spans="1:9">
      <c r="A2603" s="21" t="s">
        <v>7788</v>
      </c>
      <c r="B2603" s="21"/>
      <c r="C2603" s="22">
        <v>2422</v>
      </c>
      <c r="D2603" s="21">
        <v>71.239999999999995</v>
      </c>
      <c r="E2603" s="21" t="s">
        <v>5796</v>
      </c>
      <c r="F2603" s="23"/>
      <c r="G2603" s="23">
        <f t="shared" si="10"/>
        <v>71.239999999999995</v>
      </c>
      <c r="H2603" s="23"/>
      <c r="I2603" s="23"/>
    </row>
    <row r="2604" spans="1:9">
      <c r="A2604" s="21" t="s">
        <v>7789</v>
      </c>
      <c r="B2604" s="21"/>
      <c r="C2604" s="22">
        <v>2423</v>
      </c>
      <c r="D2604" s="21">
        <v>71.23</v>
      </c>
      <c r="E2604" s="21" t="s">
        <v>5796</v>
      </c>
      <c r="F2604" s="23"/>
      <c r="G2604" s="23">
        <f t="shared" si="10"/>
        <v>71.23</v>
      </c>
      <c r="H2604" s="23"/>
      <c r="I2604" s="23"/>
    </row>
    <row r="2605" spans="1:9">
      <c r="A2605" s="21" t="s">
        <v>7790</v>
      </c>
      <c r="B2605" s="21"/>
      <c r="C2605" s="22">
        <v>2426</v>
      </c>
      <c r="D2605" s="21">
        <v>70.91</v>
      </c>
      <c r="E2605" s="21" t="s">
        <v>5796</v>
      </c>
      <c r="F2605" s="23"/>
      <c r="G2605" s="23">
        <f t="shared" si="10"/>
        <v>70.91</v>
      </c>
      <c r="H2605" s="23"/>
      <c r="I2605" s="23"/>
    </row>
    <row r="2606" spans="1:9">
      <c r="A2606" s="21" t="s">
        <v>7791</v>
      </c>
      <c r="B2606" s="21"/>
      <c r="C2606" s="22">
        <v>2427</v>
      </c>
      <c r="D2606" s="21">
        <v>70.84</v>
      </c>
      <c r="E2606" s="21" t="s">
        <v>5796</v>
      </c>
      <c r="F2606" s="23"/>
      <c r="G2606" s="23">
        <f t="shared" si="10"/>
        <v>70.84</v>
      </c>
      <c r="H2606" s="23"/>
      <c r="I2606" s="23"/>
    </row>
    <row r="2607" spans="1:9">
      <c r="A2607" s="21" t="s">
        <v>7792</v>
      </c>
      <c r="B2607" s="21"/>
      <c r="C2607" s="22">
        <v>2428</v>
      </c>
      <c r="D2607" s="21">
        <v>70.72</v>
      </c>
      <c r="E2607" s="21" t="s">
        <v>5796</v>
      </c>
      <c r="F2607" s="23"/>
      <c r="G2607" s="23">
        <f t="shared" si="10"/>
        <v>70.72</v>
      </c>
      <c r="H2607" s="23"/>
      <c r="I2607" s="23"/>
    </row>
    <row r="2608" spans="1:9">
      <c r="A2608" s="21" t="s">
        <v>7793</v>
      </c>
      <c r="B2608" s="21"/>
      <c r="C2608" s="22">
        <v>2429</v>
      </c>
      <c r="D2608" s="21">
        <v>70.64</v>
      </c>
      <c r="E2608" s="21" t="s">
        <v>5796</v>
      </c>
      <c r="F2608" s="23"/>
      <c r="G2608" s="23">
        <f t="shared" si="10"/>
        <v>70.64</v>
      </c>
      <c r="H2608" s="23"/>
      <c r="I2608" s="23"/>
    </row>
    <row r="2609" spans="1:9">
      <c r="A2609" s="21" t="s">
        <v>7794</v>
      </c>
      <c r="B2609" s="21"/>
      <c r="C2609" s="22">
        <v>2430</v>
      </c>
      <c r="D2609" s="21">
        <v>70.62</v>
      </c>
      <c r="E2609" s="21" t="s">
        <v>5796</v>
      </c>
      <c r="F2609" s="23"/>
      <c r="G2609" s="23">
        <f t="shared" si="10"/>
        <v>70.62</v>
      </c>
      <c r="H2609" s="23"/>
      <c r="I2609" s="23"/>
    </row>
    <row r="2610" spans="1:9">
      <c r="A2610" s="21" t="s">
        <v>7795</v>
      </c>
      <c r="B2610" s="21"/>
      <c r="C2610" s="22">
        <v>2431</v>
      </c>
      <c r="D2610" s="21">
        <v>70.569999999999993</v>
      </c>
      <c r="E2610" s="21" t="s">
        <v>5796</v>
      </c>
      <c r="F2610" s="23"/>
      <c r="G2610" s="23">
        <f t="shared" si="10"/>
        <v>70.569999999999993</v>
      </c>
      <c r="H2610" s="23"/>
      <c r="I2610" s="23"/>
    </row>
    <row r="2611" spans="1:9">
      <c r="A2611" s="21" t="s">
        <v>7796</v>
      </c>
      <c r="B2611" s="21"/>
      <c r="C2611" s="22">
        <v>2432</v>
      </c>
      <c r="D2611" s="21">
        <v>70.319999999999993</v>
      </c>
      <c r="E2611" s="21" t="s">
        <v>5796</v>
      </c>
      <c r="F2611" s="23"/>
      <c r="G2611" s="23">
        <f t="shared" si="10"/>
        <v>70.319999999999993</v>
      </c>
      <c r="H2611" s="23"/>
      <c r="I2611" s="23"/>
    </row>
    <row r="2612" spans="1:9">
      <c r="A2612" s="21" t="s">
        <v>7797</v>
      </c>
      <c r="B2612" s="21"/>
      <c r="C2612" s="22">
        <v>2433</v>
      </c>
      <c r="D2612" s="21">
        <v>70.28</v>
      </c>
      <c r="E2612" s="21" t="s">
        <v>5796</v>
      </c>
      <c r="F2612" s="23"/>
      <c r="G2612" s="23">
        <f t="shared" si="10"/>
        <v>70.28</v>
      </c>
      <c r="H2612" s="23"/>
      <c r="I2612" s="23"/>
    </row>
    <row r="2613" spans="1:9">
      <c r="A2613" s="21" t="s">
        <v>7798</v>
      </c>
      <c r="B2613" s="21"/>
      <c r="C2613" s="22">
        <v>2434</v>
      </c>
      <c r="D2613" s="21">
        <v>69.91</v>
      </c>
      <c r="E2613" s="21" t="s">
        <v>5796</v>
      </c>
      <c r="F2613" s="23"/>
      <c r="G2613" s="23">
        <f t="shared" si="10"/>
        <v>69.91</v>
      </c>
      <c r="H2613" s="23"/>
      <c r="I2613" s="23"/>
    </row>
    <row r="2614" spans="1:9">
      <c r="A2614" s="21" t="s">
        <v>7799</v>
      </c>
      <c r="B2614" s="21"/>
      <c r="C2614" s="22">
        <v>2435</v>
      </c>
      <c r="D2614" s="21">
        <v>69.900000000000006</v>
      </c>
      <c r="E2614" s="21" t="s">
        <v>5796</v>
      </c>
      <c r="F2614" s="23"/>
      <c r="G2614" s="23">
        <f t="shared" si="10"/>
        <v>69.900000000000006</v>
      </c>
      <c r="H2614" s="23"/>
      <c r="I2614" s="23"/>
    </row>
    <row r="2615" spans="1:9">
      <c r="A2615" s="21" t="s">
        <v>7800</v>
      </c>
      <c r="B2615" s="21"/>
      <c r="C2615" s="22">
        <v>2436</v>
      </c>
      <c r="D2615" s="21">
        <v>69.7</v>
      </c>
      <c r="E2615" s="21" t="s">
        <v>5796</v>
      </c>
      <c r="F2615" s="23"/>
      <c r="G2615" s="23">
        <f t="shared" si="10"/>
        <v>69.7</v>
      </c>
      <c r="H2615" s="23"/>
      <c r="I2615" s="23"/>
    </row>
    <row r="2616" spans="1:9">
      <c r="A2616" s="21" t="s">
        <v>7801</v>
      </c>
      <c r="B2616" s="21"/>
      <c r="C2616" s="22">
        <v>2437</v>
      </c>
      <c r="D2616" s="21">
        <v>69.69</v>
      </c>
      <c r="E2616" s="21" t="s">
        <v>5796</v>
      </c>
      <c r="F2616" s="23"/>
      <c r="G2616" s="23">
        <f t="shared" si="10"/>
        <v>69.69</v>
      </c>
      <c r="H2616" s="23"/>
      <c r="I2616" s="23"/>
    </row>
    <row r="2617" spans="1:9">
      <c r="A2617" s="21" t="s">
        <v>7802</v>
      </c>
      <c r="B2617" s="21"/>
      <c r="C2617" s="22">
        <v>2439</v>
      </c>
      <c r="D2617" s="21">
        <v>69.489999999999995</v>
      </c>
      <c r="E2617" s="21" t="s">
        <v>5796</v>
      </c>
      <c r="F2617" s="23"/>
      <c r="G2617" s="23">
        <f t="shared" si="10"/>
        <v>69.489999999999995</v>
      </c>
      <c r="H2617" s="23"/>
      <c r="I2617" s="23"/>
    </row>
    <row r="2618" spans="1:9">
      <c r="A2618" s="21" t="s">
        <v>7803</v>
      </c>
      <c r="B2618" s="21"/>
      <c r="C2618" s="22">
        <v>2440</v>
      </c>
      <c r="D2618" s="21">
        <v>69.38</v>
      </c>
      <c r="E2618" s="21" t="s">
        <v>5796</v>
      </c>
      <c r="F2618" s="23"/>
      <c r="G2618" s="23">
        <f t="shared" si="10"/>
        <v>69.38</v>
      </c>
      <c r="H2618" s="23"/>
      <c r="I2618" s="23"/>
    </row>
    <row r="2619" spans="1:9">
      <c r="A2619" s="21" t="s">
        <v>7804</v>
      </c>
      <c r="B2619" s="21"/>
      <c r="C2619" s="22">
        <v>2441</v>
      </c>
      <c r="D2619" s="21">
        <v>69.349999999999994</v>
      </c>
      <c r="E2619" s="21" t="s">
        <v>5796</v>
      </c>
      <c r="F2619" s="23"/>
      <c r="G2619" s="23">
        <f t="shared" si="10"/>
        <v>69.349999999999994</v>
      </c>
      <c r="H2619" s="23"/>
      <c r="I2619" s="23"/>
    </row>
    <row r="2620" spans="1:9">
      <c r="A2620" s="21" t="s">
        <v>7805</v>
      </c>
      <c r="B2620" s="21"/>
      <c r="C2620" s="22">
        <v>2442</v>
      </c>
      <c r="D2620" s="21">
        <v>69.31</v>
      </c>
      <c r="E2620" s="21" t="s">
        <v>5796</v>
      </c>
      <c r="F2620" s="23"/>
      <c r="G2620" s="23">
        <f t="shared" si="10"/>
        <v>69.31</v>
      </c>
      <c r="H2620" s="23"/>
      <c r="I2620" s="23"/>
    </row>
    <row r="2621" spans="1:9">
      <c r="A2621" s="21" t="s">
        <v>7806</v>
      </c>
      <c r="B2621" s="21"/>
      <c r="C2621" s="22">
        <v>2444</v>
      </c>
      <c r="D2621" s="21">
        <v>69.06</v>
      </c>
      <c r="E2621" s="21" t="s">
        <v>5796</v>
      </c>
      <c r="F2621" s="23"/>
      <c r="G2621" s="23">
        <f t="shared" si="10"/>
        <v>69.06</v>
      </c>
      <c r="H2621" s="23"/>
      <c r="I2621" s="23"/>
    </row>
    <row r="2622" spans="1:9">
      <c r="A2622" s="21" t="s">
        <v>7807</v>
      </c>
      <c r="B2622" s="21"/>
      <c r="C2622" s="22">
        <v>2445</v>
      </c>
      <c r="D2622" s="21">
        <v>68.94</v>
      </c>
      <c r="E2622" s="21" t="s">
        <v>5796</v>
      </c>
      <c r="F2622" s="23"/>
      <c r="G2622" s="23">
        <f t="shared" si="10"/>
        <v>68.94</v>
      </c>
      <c r="H2622" s="23"/>
      <c r="I2622" s="23"/>
    </row>
    <row r="2623" spans="1:9">
      <c r="A2623" s="21" t="s">
        <v>7808</v>
      </c>
      <c r="B2623" s="21"/>
      <c r="C2623" s="22">
        <v>2447</v>
      </c>
      <c r="D2623" s="21">
        <v>68.819999999999993</v>
      </c>
      <c r="E2623" s="21" t="s">
        <v>5796</v>
      </c>
      <c r="F2623" s="23"/>
      <c r="G2623" s="23">
        <f t="shared" si="10"/>
        <v>68.819999999999993</v>
      </c>
      <c r="H2623" s="23"/>
      <c r="I2623" s="23"/>
    </row>
    <row r="2624" spans="1:9">
      <c r="A2624" s="21" t="s">
        <v>7809</v>
      </c>
      <c r="B2624" s="21"/>
      <c r="C2624" s="22">
        <v>2448</v>
      </c>
      <c r="D2624" s="21">
        <v>68.739999999999995</v>
      </c>
      <c r="E2624" s="21" t="s">
        <v>5796</v>
      </c>
      <c r="F2624" s="23"/>
      <c r="G2624" s="23">
        <f t="shared" si="10"/>
        <v>68.739999999999995</v>
      </c>
      <c r="H2624" s="23"/>
      <c r="I2624" s="23"/>
    </row>
    <row r="2625" spans="1:9">
      <c r="A2625" s="21" t="s">
        <v>7810</v>
      </c>
      <c r="B2625" s="21"/>
      <c r="C2625" s="22">
        <v>2450</v>
      </c>
      <c r="D2625" s="21">
        <v>68.64</v>
      </c>
      <c r="E2625" s="21" t="s">
        <v>5796</v>
      </c>
      <c r="F2625" s="23"/>
      <c r="G2625" s="23">
        <f t="shared" si="10"/>
        <v>68.64</v>
      </c>
      <c r="H2625" s="23"/>
      <c r="I2625" s="23"/>
    </row>
    <row r="2626" spans="1:9">
      <c r="A2626" s="21" t="s">
        <v>7811</v>
      </c>
      <c r="B2626" s="21"/>
      <c r="C2626" s="22">
        <v>2451</v>
      </c>
      <c r="D2626" s="21">
        <v>68.5</v>
      </c>
      <c r="E2626" s="21" t="s">
        <v>5796</v>
      </c>
      <c r="F2626" s="23"/>
      <c r="G2626" s="23">
        <f t="shared" si="10"/>
        <v>68.5</v>
      </c>
      <c r="H2626" s="23"/>
      <c r="I2626" s="23"/>
    </row>
    <row r="2627" spans="1:9">
      <c r="A2627" s="21" t="s">
        <v>7812</v>
      </c>
      <c r="B2627" s="21"/>
      <c r="C2627" s="22">
        <v>2452</v>
      </c>
      <c r="D2627" s="21">
        <v>68.47</v>
      </c>
      <c r="E2627" s="21" t="s">
        <v>5796</v>
      </c>
      <c r="F2627" s="23"/>
      <c r="G2627" s="23">
        <f t="shared" si="10"/>
        <v>68.47</v>
      </c>
      <c r="H2627" s="23"/>
      <c r="I2627" s="23"/>
    </row>
    <row r="2628" spans="1:9">
      <c r="A2628" s="21" t="s">
        <v>7813</v>
      </c>
      <c r="B2628" s="21"/>
      <c r="C2628" s="22">
        <v>2453</v>
      </c>
      <c r="D2628" s="21">
        <v>68.349999999999994</v>
      </c>
      <c r="E2628" s="21" t="s">
        <v>5796</v>
      </c>
      <c r="F2628" s="23"/>
      <c r="G2628" s="23">
        <f t="shared" si="10"/>
        <v>68.349999999999994</v>
      </c>
      <c r="H2628" s="23"/>
      <c r="I2628" s="23"/>
    </row>
    <row r="2629" spans="1:9">
      <c r="A2629" s="21" t="s">
        <v>7814</v>
      </c>
      <c r="B2629" s="21"/>
      <c r="C2629" s="22">
        <v>2454</v>
      </c>
      <c r="D2629" s="21">
        <v>68.22</v>
      </c>
      <c r="E2629" s="21" t="s">
        <v>5796</v>
      </c>
      <c r="F2629" s="23"/>
      <c r="G2629" s="23">
        <f t="shared" si="10"/>
        <v>68.22</v>
      </c>
      <c r="H2629" s="23"/>
      <c r="I2629" s="23"/>
    </row>
    <row r="2630" spans="1:9">
      <c r="A2630" s="21" t="s">
        <v>7815</v>
      </c>
      <c r="B2630" s="21"/>
      <c r="C2630" s="22">
        <v>2455</v>
      </c>
      <c r="D2630" s="21">
        <v>68.13</v>
      </c>
      <c r="E2630" s="21" t="s">
        <v>5796</v>
      </c>
      <c r="F2630" s="23"/>
      <c r="G2630" s="23">
        <f t="shared" si="10"/>
        <v>68.13</v>
      </c>
      <c r="H2630" s="23"/>
      <c r="I2630" s="23"/>
    </row>
    <row r="2631" spans="1:9">
      <c r="A2631" s="21" t="s">
        <v>7816</v>
      </c>
      <c r="B2631" s="21"/>
      <c r="C2631" s="22">
        <v>2456</v>
      </c>
      <c r="D2631" s="21">
        <v>68.099999999999994</v>
      </c>
      <c r="E2631" s="21" t="s">
        <v>5796</v>
      </c>
      <c r="F2631" s="23"/>
      <c r="G2631" s="23">
        <f t="shared" si="10"/>
        <v>68.099999999999994</v>
      </c>
      <c r="H2631" s="23"/>
      <c r="I2631" s="23"/>
    </row>
    <row r="2632" spans="1:9">
      <c r="A2632" s="21" t="s">
        <v>7817</v>
      </c>
      <c r="B2632" s="21"/>
      <c r="C2632" s="22">
        <v>2457</v>
      </c>
      <c r="D2632" s="21">
        <v>68.02</v>
      </c>
      <c r="E2632" s="21" t="s">
        <v>5796</v>
      </c>
      <c r="F2632" s="23"/>
      <c r="G2632" s="23">
        <f t="shared" si="10"/>
        <v>68.02</v>
      </c>
      <c r="H2632" s="23"/>
      <c r="I2632" s="23"/>
    </row>
    <row r="2633" spans="1:9">
      <c r="A2633" s="21" t="s">
        <v>7818</v>
      </c>
      <c r="B2633" s="21"/>
      <c r="C2633" s="22">
        <v>2459</v>
      </c>
      <c r="D2633" s="21">
        <v>67.92</v>
      </c>
      <c r="E2633" s="21" t="s">
        <v>5796</v>
      </c>
      <c r="F2633" s="23"/>
      <c r="G2633" s="23">
        <f t="shared" si="10"/>
        <v>67.92</v>
      </c>
      <c r="H2633" s="23"/>
      <c r="I2633" s="23"/>
    </row>
    <row r="2634" spans="1:9">
      <c r="A2634" s="21" t="s">
        <v>7819</v>
      </c>
      <c r="B2634" s="21"/>
      <c r="C2634" s="22">
        <v>2460</v>
      </c>
      <c r="D2634" s="21">
        <v>67.89</v>
      </c>
      <c r="E2634" s="21" t="s">
        <v>5796</v>
      </c>
      <c r="F2634" s="23"/>
      <c r="G2634" s="23">
        <f t="shared" si="10"/>
        <v>67.89</v>
      </c>
      <c r="H2634" s="23"/>
      <c r="I2634" s="23"/>
    </row>
    <row r="2635" spans="1:9">
      <c r="A2635" s="21" t="s">
        <v>7820</v>
      </c>
      <c r="B2635" s="21"/>
      <c r="C2635" s="22">
        <v>2461</v>
      </c>
      <c r="D2635" s="21">
        <v>67.84</v>
      </c>
      <c r="E2635" s="21" t="s">
        <v>5796</v>
      </c>
      <c r="F2635" s="23"/>
      <c r="G2635" s="23">
        <f t="shared" si="10"/>
        <v>67.84</v>
      </c>
      <c r="H2635" s="23"/>
      <c r="I2635" s="23"/>
    </row>
    <row r="2636" spans="1:9">
      <c r="A2636" s="21" t="s">
        <v>7821</v>
      </c>
      <c r="B2636" s="21"/>
      <c r="C2636" s="22">
        <v>2462</v>
      </c>
      <c r="D2636" s="21">
        <v>67.8</v>
      </c>
      <c r="E2636" s="21" t="s">
        <v>5796</v>
      </c>
      <c r="F2636" s="23"/>
      <c r="G2636" s="23">
        <f t="shared" si="10"/>
        <v>67.8</v>
      </c>
      <c r="H2636" s="23"/>
      <c r="I2636" s="23"/>
    </row>
    <row r="2637" spans="1:9">
      <c r="A2637" s="21" t="s">
        <v>7822</v>
      </c>
      <c r="B2637" s="21"/>
      <c r="C2637" s="22">
        <v>2464</v>
      </c>
      <c r="D2637" s="21">
        <v>67.63</v>
      </c>
      <c r="E2637" s="21" t="s">
        <v>5796</v>
      </c>
      <c r="F2637" s="23"/>
      <c r="G2637" s="23">
        <f t="shared" si="10"/>
        <v>67.63</v>
      </c>
      <c r="H2637" s="23"/>
      <c r="I2637" s="23"/>
    </row>
    <row r="2638" spans="1:9">
      <c r="A2638" s="21" t="s">
        <v>7823</v>
      </c>
      <c r="B2638" s="21"/>
      <c r="C2638" s="22">
        <v>2465</v>
      </c>
      <c r="D2638" s="21">
        <v>67.63</v>
      </c>
      <c r="E2638" s="21" t="s">
        <v>5796</v>
      </c>
      <c r="F2638" s="23"/>
      <c r="G2638" s="23">
        <f t="shared" si="10"/>
        <v>67.63</v>
      </c>
      <c r="H2638" s="23"/>
      <c r="I2638" s="23"/>
    </row>
    <row r="2639" spans="1:9">
      <c r="A2639" s="21" t="s">
        <v>7824</v>
      </c>
      <c r="B2639" s="21"/>
      <c r="C2639" s="22">
        <v>2467</v>
      </c>
      <c r="D2639" s="21">
        <v>67.5</v>
      </c>
      <c r="E2639" s="21" t="s">
        <v>5796</v>
      </c>
      <c r="F2639" s="23"/>
      <c r="G2639" s="23">
        <f t="shared" si="10"/>
        <v>67.5</v>
      </c>
      <c r="H2639" s="23"/>
      <c r="I2639" s="23"/>
    </row>
    <row r="2640" spans="1:9">
      <c r="A2640" s="21" t="s">
        <v>7825</v>
      </c>
      <c r="B2640" s="21"/>
      <c r="C2640" s="22">
        <v>2468</v>
      </c>
      <c r="D2640" s="21">
        <v>67.48</v>
      </c>
      <c r="E2640" s="21" t="s">
        <v>5796</v>
      </c>
      <c r="F2640" s="23"/>
      <c r="G2640" s="23">
        <f t="shared" si="10"/>
        <v>67.48</v>
      </c>
      <c r="H2640" s="23"/>
      <c r="I2640" s="23"/>
    </row>
    <row r="2641" spans="1:9">
      <c r="A2641" s="21" t="s">
        <v>7826</v>
      </c>
      <c r="B2641" s="21"/>
      <c r="C2641" s="22">
        <v>2469</v>
      </c>
      <c r="D2641" s="21">
        <v>67.349999999999994</v>
      </c>
      <c r="E2641" s="21" t="s">
        <v>5796</v>
      </c>
      <c r="F2641" s="23"/>
      <c r="G2641" s="23">
        <f t="shared" si="10"/>
        <v>67.349999999999994</v>
      </c>
      <c r="H2641" s="23"/>
      <c r="I2641" s="23"/>
    </row>
    <row r="2642" spans="1:9">
      <c r="A2642" s="21" t="s">
        <v>7827</v>
      </c>
      <c r="B2642" s="21"/>
      <c r="C2642" s="22">
        <v>2470</v>
      </c>
      <c r="D2642" s="21">
        <v>66.989999999999995</v>
      </c>
      <c r="E2642" s="21" t="s">
        <v>5796</v>
      </c>
      <c r="F2642" s="23"/>
      <c r="G2642" s="23">
        <f t="shared" si="10"/>
        <v>66.989999999999995</v>
      </c>
      <c r="H2642" s="23"/>
      <c r="I2642" s="23"/>
    </row>
    <row r="2643" spans="1:9">
      <c r="A2643" s="21" t="s">
        <v>7828</v>
      </c>
      <c r="B2643" s="21"/>
      <c r="C2643" s="22">
        <v>2471</v>
      </c>
      <c r="D2643" s="21">
        <v>66.63</v>
      </c>
      <c r="E2643" s="21" t="s">
        <v>5796</v>
      </c>
      <c r="F2643" s="23"/>
      <c r="G2643" s="23">
        <f t="shared" si="10"/>
        <v>66.63</v>
      </c>
      <c r="H2643" s="23"/>
      <c r="I2643" s="23"/>
    </row>
    <row r="2644" spans="1:9">
      <c r="A2644" s="21" t="s">
        <v>7829</v>
      </c>
      <c r="B2644" s="21"/>
      <c r="C2644" s="22">
        <v>2472</v>
      </c>
      <c r="D2644" s="21">
        <v>66.63</v>
      </c>
      <c r="E2644" s="21" t="s">
        <v>5796</v>
      </c>
      <c r="F2644" s="23"/>
      <c r="G2644" s="23">
        <f t="shared" si="10"/>
        <v>66.63</v>
      </c>
      <c r="H2644" s="23"/>
      <c r="I2644" s="23"/>
    </row>
    <row r="2645" spans="1:9">
      <c r="A2645" s="21" t="s">
        <v>7830</v>
      </c>
      <c r="B2645" s="21"/>
      <c r="C2645" s="22">
        <v>2475</v>
      </c>
      <c r="D2645" s="21">
        <v>66.349999999999994</v>
      </c>
      <c r="E2645" s="21" t="s">
        <v>5796</v>
      </c>
      <c r="F2645" s="23"/>
      <c r="G2645" s="23">
        <f t="shared" si="10"/>
        <v>66.349999999999994</v>
      </c>
      <c r="H2645" s="23"/>
      <c r="I2645" s="23"/>
    </row>
    <row r="2646" spans="1:9">
      <c r="A2646" s="21" t="s">
        <v>7831</v>
      </c>
      <c r="B2646" s="21"/>
      <c r="C2646" s="22">
        <v>2476</v>
      </c>
      <c r="D2646" s="21">
        <v>66.349999999999994</v>
      </c>
      <c r="E2646" s="21" t="s">
        <v>5796</v>
      </c>
      <c r="F2646" s="23"/>
      <c r="G2646" s="23">
        <f t="shared" si="10"/>
        <v>66.349999999999994</v>
      </c>
      <c r="H2646" s="23"/>
      <c r="I2646" s="23"/>
    </row>
    <row r="2647" spans="1:9">
      <c r="A2647" s="21" t="s">
        <v>7832</v>
      </c>
      <c r="B2647" s="21"/>
      <c r="C2647" s="22">
        <v>2477</v>
      </c>
      <c r="D2647" s="21">
        <v>66.3</v>
      </c>
      <c r="E2647" s="21" t="s">
        <v>5796</v>
      </c>
      <c r="F2647" s="23"/>
      <c r="G2647" s="23">
        <f t="shared" si="10"/>
        <v>66.3</v>
      </c>
      <c r="H2647" s="23"/>
      <c r="I2647" s="23"/>
    </row>
    <row r="2648" spans="1:9">
      <c r="A2648" s="21" t="s">
        <v>7833</v>
      </c>
      <c r="B2648" s="21"/>
      <c r="C2648" s="22">
        <v>2478</v>
      </c>
      <c r="D2648" s="21">
        <v>65.849999999999994</v>
      </c>
      <c r="E2648" s="21" t="s">
        <v>5796</v>
      </c>
      <c r="F2648" s="23"/>
      <c r="G2648" s="23">
        <f t="shared" si="10"/>
        <v>65.849999999999994</v>
      </c>
      <c r="H2648" s="23"/>
      <c r="I2648" s="23"/>
    </row>
    <row r="2649" spans="1:9">
      <c r="A2649" s="21" t="s">
        <v>7834</v>
      </c>
      <c r="B2649" s="21"/>
      <c r="C2649" s="22">
        <v>2479</v>
      </c>
      <c r="D2649" s="21">
        <v>65.849999999999994</v>
      </c>
      <c r="E2649" s="21" t="s">
        <v>5796</v>
      </c>
      <c r="F2649" s="23"/>
      <c r="G2649" s="23">
        <f t="shared" si="10"/>
        <v>65.849999999999994</v>
      </c>
      <c r="H2649" s="23"/>
      <c r="I2649" s="23"/>
    </row>
    <row r="2650" spans="1:9">
      <c r="A2650" s="21" t="s">
        <v>7835</v>
      </c>
      <c r="B2650" s="21"/>
      <c r="C2650" s="22">
        <v>2480</v>
      </c>
      <c r="D2650" s="21">
        <v>65.819999999999993</v>
      </c>
      <c r="E2650" s="21" t="s">
        <v>5796</v>
      </c>
      <c r="F2650" s="23"/>
      <c r="G2650" s="23">
        <f t="shared" si="10"/>
        <v>65.819999999999993</v>
      </c>
      <c r="H2650" s="23"/>
      <c r="I2650" s="23"/>
    </row>
    <row r="2651" spans="1:9">
      <c r="A2651" s="21" t="s">
        <v>7836</v>
      </c>
      <c r="B2651" s="21"/>
      <c r="C2651" s="22">
        <v>2481</v>
      </c>
      <c r="D2651" s="21">
        <v>65.69</v>
      </c>
      <c r="E2651" s="21" t="s">
        <v>5796</v>
      </c>
      <c r="F2651" s="23"/>
      <c r="G2651" s="23">
        <f t="shared" si="10"/>
        <v>65.69</v>
      </c>
      <c r="H2651" s="23"/>
      <c r="I2651" s="23"/>
    </row>
    <row r="2652" spans="1:9">
      <c r="A2652" s="21" t="s">
        <v>7837</v>
      </c>
      <c r="B2652" s="21"/>
      <c r="C2652" s="22">
        <v>2482</v>
      </c>
      <c r="D2652" s="21">
        <v>65.67</v>
      </c>
      <c r="E2652" s="21" t="s">
        <v>5796</v>
      </c>
      <c r="F2652" s="23"/>
      <c r="G2652" s="23">
        <f t="shared" si="10"/>
        <v>65.67</v>
      </c>
      <c r="H2652" s="23"/>
      <c r="I2652" s="23"/>
    </row>
    <row r="2653" spans="1:9">
      <c r="A2653" s="21" t="s">
        <v>7838</v>
      </c>
      <c r="B2653" s="21"/>
      <c r="C2653" s="22">
        <v>2483</v>
      </c>
      <c r="D2653" s="21">
        <v>65.59</v>
      </c>
      <c r="E2653" s="21" t="s">
        <v>5796</v>
      </c>
      <c r="F2653" s="23"/>
      <c r="G2653" s="23">
        <f t="shared" si="10"/>
        <v>65.59</v>
      </c>
      <c r="H2653" s="23"/>
      <c r="I2653" s="23"/>
    </row>
    <row r="2654" spans="1:9">
      <c r="A2654" s="21" t="s">
        <v>7839</v>
      </c>
      <c r="B2654" s="21"/>
      <c r="C2654" s="22">
        <v>2484</v>
      </c>
      <c r="D2654" s="21">
        <v>65.56</v>
      </c>
      <c r="E2654" s="21" t="s">
        <v>5796</v>
      </c>
      <c r="F2654" s="23"/>
      <c r="G2654" s="23">
        <f t="shared" si="10"/>
        <v>65.56</v>
      </c>
      <c r="H2654" s="23"/>
      <c r="I2654" s="23"/>
    </row>
    <row r="2655" spans="1:9">
      <c r="A2655" s="21" t="s">
        <v>7840</v>
      </c>
      <c r="B2655" s="21"/>
      <c r="C2655" s="22">
        <v>2485</v>
      </c>
      <c r="D2655" s="21">
        <v>65.55</v>
      </c>
      <c r="E2655" s="21" t="s">
        <v>5796</v>
      </c>
      <c r="F2655" s="23"/>
      <c r="G2655" s="23">
        <f t="shared" si="10"/>
        <v>65.55</v>
      </c>
      <c r="H2655" s="23"/>
      <c r="I2655" s="23"/>
    </row>
    <row r="2656" spans="1:9">
      <c r="A2656" s="21" t="s">
        <v>7841</v>
      </c>
      <c r="B2656" s="21"/>
      <c r="C2656" s="22">
        <v>2487</v>
      </c>
      <c r="D2656" s="21">
        <v>65.400000000000006</v>
      </c>
      <c r="E2656" s="21" t="s">
        <v>5796</v>
      </c>
      <c r="F2656" s="23"/>
      <c r="G2656" s="23">
        <f t="shared" si="10"/>
        <v>65.400000000000006</v>
      </c>
      <c r="H2656" s="23"/>
      <c r="I2656" s="23"/>
    </row>
    <row r="2657" spans="1:9">
      <c r="A2657" s="21" t="s">
        <v>7842</v>
      </c>
      <c r="B2657" s="21"/>
      <c r="C2657" s="22">
        <v>2488</v>
      </c>
      <c r="D2657" s="21">
        <v>65.319999999999993</v>
      </c>
      <c r="E2657" s="21" t="s">
        <v>5796</v>
      </c>
      <c r="F2657" s="23"/>
      <c r="G2657" s="23">
        <f t="shared" si="10"/>
        <v>65.319999999999993</v>
      </c>
      <c r="H2657" s="23"/>
      <c r="I2657" s="23"/>
    </row>
    <row r="2658" spans="1:9">
      <c r="A2658" s="21" t="s">
        <v>7843</v>
      </c>
      <c r="B2658" s="21"/>
      <c r="C2658" s="22">
        <v>2490</v>
      </c>
      <c r="D2658" s="21">
        <v>65.239999999999995</v>
      </c>
      <c r="E2658" s="21" t="s">
        <v>5796</v>
      </c>
      <c r="F2658" s="23"/>
      <c r="G2658" s="23">
        <f t="shared" si="10"/>
        <v>65.239999999999995</v>
      </c>
      <c r="H2658" s="23"/>
      <c r="I2658" s="23"/>
    </row>
    <row r="2659" spans="1:9">
      <c r="A2659" s="21" t="s">
        <v>7844</v>
      </c>
      <c r="B2659" s="21"/>
      <c r="C2659" s="22">
        <v>2492</v>
      </c>
      <c r="D2659" s="21">
        <v>65.150000000000006</v>
      </c>
      <c r="E2659" s="21" t="s">
        <v>5796</v>
      </c>
      <c r="F2659" s="23"/>
      <c r="G2659" s="23">
        <f t="shared" si="10"/>
        <v>65.150000000000006</v>
      </c>
      <c r="H2659" s="23"/>
      <c r="I2659" s="23"/>
    </row>
    <row r="2660" spans="1:9">
      <c r="A2660" s="21" t="s">
        <v>7845</v>
      </c>
      <c r="B2660" s="21"/>
      <c r="C2660" s="22">
        <v>2493</v>
      </c>
      <c r="D2660" s="21">
        <v>65.14</v>
      </c>
      <c r="E2660" s="21" t="s">
        <v>5796</v>
      </c>
      <c r="F2660" s="23"/>
      <c r="G2660" s="23">
        <f t="shared" si="10"/>
        <v>65.14</v>
      </c>
      <c r="H2660" s="23"/>
      <c r="I2660" s="23"/>
    </row>
    <row r="2661" spans="1:9">
      <c r="A2661" s="21" t="s">
        <v>7846</v>
      </c>
      <c r="B2661" s="21"/>
      <c r="C2661" s="22">
        <v>2494</v>
      </c>
      <c r="D2661" s="21">
        <v>65</v>
      </c>
      <c r="E2661" s="21" t="s">
        <v>5796</v>
      </c>
      <c r="F2661" s="23"/>
      <c r="G2661" s="23">
        <f t="shared" si="10"/>
        <v>65</v>
      </c>
      <c r="H2661" s="23"/>
      <c r="I2661" s="23"/>
    </row>
    <row r="2662" spans="1:9">
      <c r="A2662" s="21" t="s">
        <v>7847</v>
      </c>
      <c r="B2662" s="21"/>
      <c r="C2662" s="22">
        <v>2496</v>
      </c>
      <c r="D2662" s="21">
        <v>64.67</v>
      </c>
      <c r="E2662" s="21" t="s">
        <v>5796</v>
      </c>
      <c r="F2662" s="23"/>
      <c r="G2662" s="23">
        <f t="shared" si="10"/>
        <v>64.67</v>
      </c>
      <c r="H2662" s="23"/>
      <c r="I2662" s="23"/>
    </row>
    <row r="2663" spans="1:9">
      <c r="A2663" s="21" t="s">
        <v>7848</v>
      </c>
      <c r="B2663" s="21"/>
      <c r="C2663" s="22">
        <v>2497</v>
      </c>
      <c r="D2663" s="21">
        <v>64.55</v>
      </c>
      <c r="E2663" s="21" t="s">
        <v>5796</v>
      </c>
      <c r="F2663" s="23"/>
      <c r="G2663" s="23">
        <f t="shared" si="10"/>
        <v>64.55</v>
      </c>
      <c r="H2663" s="23"/>
      <c r="I2663" s="23"/>
    </row>
    <row r="2664" spans="1:9">
      <c r="A2664" s="21" t="s">
        <v>7849</v>
      </c>
      <c r="B2664" s="21"/>
      <c r="C2664" s="22">
        <v>2498</v>
      </c>
      <c r="D2664" s="21">
        <v>64.22</v>
      </c>
      <c r="E2664" s="21" t="s">
        <v>5796</v>
      </c>
      <c r="F2664" s="23"/>
      <c r="G2664" s="23">
        <f t="shared" si="10"/>
        <v>64.22</v>
      </c>
      <c r="H2664" s="23"/>
      <c r="I2664" s="23"/>
    </row>
    <row r="2665" spans="1:9">
      <c r="A2665" s="21" t="s">
        <v>7850</v>
      </c>
      <c r="B2665" s="21"/>
      <c r="C2665" s="22">
        <v>2499</v>
      </c>
      <c r="D2665" s="21">
        <v>63.89</v>
      </c>
      <c r="E2665" s="21" t="s">
        <v>5796</v>
      </c>
      <c r="F2665" s="23"/>
      <c r="G2665" s="23">
        <f t="shared" si="10"/>
        <v>63.89</v>
      </c>
      <c r="H2665" s="23"/>
      <c r="I2665" s="23"/>
    </row>
    <row r="2666" spans="1:9">
      <c r="A2666" s="21" t="s">
        <v>7851</v>
      </c>
      <c r="B2666" s="21"/>
      <c r="C2666" s="22">
        <v>2500</v>
      </c>
      <c r="D2666" s="21">
        <v>63.85</v>
      </c>
      <c r="E2666" s="21" t="s">
        <v>5796</v>
      </c>
      <c r="F2666" s="23"/>
      <c r="G2666" s="23">
        <f t="shared" si="10"/>
        <v>63.85</v>
      </c>
      <c r="H2666" s="23"/>
      <c r="I2666" s="23"/>
    </row>
    <row r="2667" spans="1:9">
      <c r="A2667" s="21" t="s">
        <v>7852</v>
      </c>
      <c r="B2667" s="21"/>
      <c r="C2667" s="22">
        <v>2501</v>
      </c>
      <c r="D2667" s="21">
        <v>63.81</v>
      </c>
      <c r="E2667" s="21" t="s">
        <v>5796</v>
      </c>
      <c r="F2667" s="23"/>
      <c r="G2667" s="23">
        <f t="shared" si="10"/>
        <v>63.81</v>
      </c>
      <c r="H2667" s="23"/>
      <c r="I2667" s="23"/>
    </row>
    <row r="2668" spans="1:9">
      <c r="A2668" s="21" t="s">
        <v>7853</v>
      </c>
      <c r="B2668" s="21"/>
      <c r="C2668" s="22">
        <v>2502</v>
      </c>
      <c r="D2668" s="21">
        <v>63.73</v>
      </c>
      <c r="E2668" s="21" t="s">
        <v>5796</v>
      </c>
      <c r="F2668" s="23"/>
      <c r="G2668" s="23">
        <f t="shared" si="10"/>
        <v>63.73</v>
      </c>
      <c r="H2668" s="23"/>
      <c r="I2668" s="23"/>
    </row>
    <row r="2669" spans="1:9">
      <c r="A2669" s="21" t="s">
        <v>7854</v>
      </c>
      <c r="B2669" s="21"/>
      <c r="C2669" s="22">
        <v>2505</v>
      </c>
      <c r="D2669" s="21">
        <v>63.45</v>
      </c>
      <c r="E2669" s="21" t="s">
        <v>5796</v>
      </c>
      <c r="F2669" s="23"/>
      <c r="G2669" s="23">
        <f t="shared" si="10"/>
        <v>63.45</v>
      </c>
      <c r="H2669" s="23"/>
      <c r="I2669" s="23"/>
    </row>
    <row r="2670" spans="1:9">
      <c r="A2670" s="21" t="s">
        <v>7855</v>
      </c>
      <c r="B2670" s="21"/>
      <c r="C2670" s="22">
        <v>2506</v>
      </c>
      <c r="D2670" s="21">
        <v>63.04</v>
      </c>
      <c r="E2670" s="21" t="s">
        <v>5796</v>
      </c>
      <c r="F2670" s="23"/>
      <c r="G2670" s="23">
        <f t="shared" si="10"/>
        <v>63.04</v>
      </c>
      <c r="H2670" s="23"/>
      <c r="I2670" s="23"/>
    </row>
    <row r="2671" spans="1:9">
      <c r="A2671" s="21" t="s">
        <v>7856</v>
      </c>
      <c r="B2671" s="21"/>
      <c r="C2671" s="22">
        <v>2507</v>
      </c>
      <c r="D2671" s="21">
        <v>62.61</v>
      </c>
      <c r="E2671" s="21" t="s">
        <v>5796</v>
      </c>
      <c r="F2671" s="23"/>
      <c r="G2671" s="23">
        <f t="shared" si="10"/>
        <v>62.61</v>
      </c>
      <c r="H2671" s="23"/>
      <c r="I2671" s="23"/>
    </row>
    <row r="2672" spans="1:9">
      <c r="A2672" s="21" t="s">
        <v>7857</v>
      </c>
      <c r="B2672" s="21"/>
      <c r="C2672" s="22">
        <v>2508</v>
      </c>
      <c r="D2672" s="21">
        <v>62.6</v>
      </c>
      <c r="E2672" s="21" t="s">
        <v>5796</v>
      </c>
      <c r="F2672" s="23"/>
      <c r="G2672" s="23">
        <f t="shared" si="10"/>
        <v>62.6</v>
      </c>
      <c r="H2672" s="23"/>
      <c r="I2672" s="23"/>
    </row>
    <row r="2673" spans="1:9">
      <c r="A2673" s="21" t="s">
        <v>7858</v>
      </c>
      <c r="B2673" s="21"/>
      <c r="C2673" s="22">
        <v>2509</v>
      </c>
      <c r="D2673" s="21">
        <v>62.45</v>
      </c>
      <c r="E2673" s="21" t="s">
        <v>5796</v>
      </c>
      <c r="F2673" s="23"/>
      <c r="G2673" s="23">
        <f t="shared" si="10"/>
        <v>62.45</v>
      </c>
      <c r="H2673" s="23"/>
      <c r="I2673" s="23"/>
    </row>
    <row r="2674" spans="1:9">
      <c r="A2674" s="21" t="s">
        <v>7859</v>
      </c>
      <c r="B2674" s="21"/>
      <c r="C2674" s="22">
        <v>2511</v>
      </c>
      <c r="D2674" s="21">
        <v>62.19</v>
      </c>
      <c r="E2674" s="21" t="s">
        <v>5796</v>
      </c>
      <c r="F2674" s="23"/>
      <c r="G2674" s="23">
        <f t="shared" si="10"/>
        <v>62.19</v>
      </c>
      <c r="H2674" s="23"/>
      <c r="I2674" s="23"/>
    </row>
    <row r="2675" spans="1:9">
      <c r="A2675" s="21" t="s">
        <v>7860</v>
      </c>
      <c r="B2675" s="21"/>
      <c r="C2675" s="22">
        <v>2512</v>
      </c>
      <c r="D2675" s="21">
        <v>62.14</v>
      </c>
      <c r="E2675" s="21" t="s">
        <v>5796</v>
      </c>
      <c r="F2675" s="23"/>
      <c r="G2675" s="23">
        <f t="shared" si="10"/>
        <v>62.14</v>
      </c>
      <c r="H2675" s="23"/>
      <c r="I2675" s="23"/>
    </row>
    <row r="2676" spans="1:9">
      <c r="A2676" s="21" t="s">
        <v>7861</v>
      </c>
      <c r="B2676" s="21"/>
      <c r="C2676" s="22">
        <v>2513</v>
      </c>
      <c r="D2676" s="21">
        <v>62.12</v>
      </c>
      <c r="E2676" s="21" t="s">
        <v>5796</v>
      </c>
      <c r="F2676" s="23"/>
      <c r="G2676" s="23">
        <f t="shared" si="10"/>
        <v>62.12</v>
      </c>
      <c r="H2676" s="23"/>
      <c r="I2676" s="23"/>
    </row>
    <row r="2677" spans="1:9">
      <c r="A2677" s="21" t="s">
        <v>7862</v>
      </c>
      <c r="B2677" s="21"/>
      <c r="C2677" s="22">
        <v>2514</v>
      </c>
      <c r="D2677" s="21">
        <v>62.06</v>
      </c>
      <c r="E2677" s="21" t="s">
        <v>5796</v>
      </c>
      <c r="F2677" s="23"/>
      <c r="G2677" s="23">
        <f t="shared" si="10"/>
        <v>62.06</v>
      </c>
      <c r="H2677" s="23"/>
      <c r="I2677" s="23"/>
    </row>
    <row r="2678" spans="1:9">
      <c r="A2678" s="21" t="s">
        <v>7863</v>
      </c>
      <c r="B2678" s="21"/>
      <c r="C2678" s="22">
        <v>2515</v>
      </c>
      <c r="D2678" s="21">
        <v>61.74</v>
      </c>
      <c r="E2678" s="21" t="s">
        <v>5796</v>
      </c>
      <c r="F2678" s="23"/>
      <c r="G2678" s="23">
        <f t="shared" si="10"/>
        <v>61.74</v>
      </c>
      <c r="H2678" s="23"/>
      <c r="I2678" s="23"/>
    </row>
    <row r="2679" spans="1:9">
      <c r="A2679" s="21" t="s">
        <v>7864</v>
      </c>
      <c r="B2679" s="21"/>
      <c r="C2679" s="22">
        <v>2517</v>
      </c>
      <c r="D2679" s="21">
        <v>61.47</v>
      </c>
      <c r="E2679" s="21" t="s">
        <v>5796</v>
      </c>
      <c r="F2679" s="23"/>
      <c r="G2679" s="23">
        <f t="shared" si="10"/>
        <v>61.47</v>
      </c>
      <c r="H2679" s="23"/>
      <c r="I2679" s="23"/>
    </row>
    <row r="2680" spans="1:9">
      <c r="A2680" s="21" t="s">
        <v>7865</v>
      </c>
      <c r="B2680" s="21"/>
      <c r="C2680" s="22">
        <v>2518</v>
      </c>
      <c r="D2680" s="21">
        <v>61.38</v>
      </c>
      <c r="E2680" s="21" t="s">
        <v>5796</v>
      </c>
      <c r="F2680" s="23"/>
      <c r="G2680" s="23">
        <f t="shared" si="10"/>
        <v>61.38</v>
      </c>
      <c r="H2680" s="23"/>
      <c r="I2680" s="23"/>
    </row>
    <row r="2681" spans="1:9">
      <c r="A2681" s="21" t="s">
        <v>7866</v>
      </c>
      <c r="B2681" s="21"/>
      <c r="C2681" s="22">
        <v>2519</v>
      </c>
      <c r="D2681" s="21">
        <v>61.25</v>
      </c>
      <c r="E2681" s="21" t="s">
        <v>5796</v>
      </c>
      <c r="F2681" s="23"/>
      <c r="G2681" s="23">
        <f t="shared" si="10"/>
        <v>61.25</v>
      </c>
      <c r="H2681" s="23"/>
      <c r="I2681" s="23"/>
    </row>
    <row r="2682" spans="1:9">
      <c r="A2682" s="21" t="s">
        <v>7867</v>
      </c>
      <c r="B2682" s="21"/>
      <c r="C2682" s="22">
        <v>2520</v>
      </c>
      <c r="D2682" s="21">
        <v>61.22</v>
      </c>
      <c r="E2682" s="21" t="s">
        <v>5796</v>
      </c>
      <c r="F2682" s="23"/>
      <c r="G2682" s="23">
        <f t="shared" si="10"/>
        <v>61.22</v>
      </c>
      <c r="H2682" s="23"/>
      <c r="I2682" s="23"/>
    </row>
    <row r="2683" spans="1:9">
      <c r="A2683" s="21" t="s">
        <v>7868</v>
      </c>
      <c r="B2683" s="21"/>
      <c r="C2683" s="22">
        <v>2521</v>
      </c>
      <c r="D2683" s="21">
        <v>61.17</v>
      </c>
      <c r="E2683" s="21" t="s">
        <v>5796</v>
      </c>
      <c r="F2683" s="23"/>
      <c r="G2683" s="23">
        <f t="shared" si="10"/>
        <v>61.17</v>
      </c>
      <c r="H2683" s="23"/>
      <c r="I2683" s="23"/>
    </row>
    <row r="2684" spans="1:9">
      <c r="A2684" s="21" t="s">
        <v>7869</v>
      </c>
      <c r="B2684" s="21"/>
      <c r="C2684" s="22">
        <v>2522</v>
      </c>
      <c r="D2684" s="21">
        <v>61.1</v>
      </c>
      <c r="E2684" s="21" t="s">
        <v>5796</v>
      </c>
      <c r="F2684" s="23"/>
      <c r="G2684" s="23">
        <f t="shared" si="10"/>
        <v>61.1</v>
      </c>
      <c r="H2684" s="23"/>
      <c r="I2684" s="23"/>
    </row>
    <row r="2685" spans="1:9">
      <c r="A2685" s="21" t="s">
        <v>7870</v>
      </c>
      <c r="B2685" s="21"/>
      <c r="C2685" s="22">
        <v>2523</v>
      </c>
      <c r="D2685" s="21">
        <v>60.89</v>
      </c>
      <c r="E2685" s="21" t="s">
        <v>5796</v>
      </c>
      <c r="F2685" s="23"/>
      <c r="G2685" s="23">
        <f t="shared" si="10"/>
        <v>60.89</v>
      </c>
      <c r="H2685" s="23"/>
      <c r="I2685" s="23"/>
    </row>
    <row r="2686" spans="1:9">
      <c r="A2686" s="21" t="s">
        <v>7871</v>
      </c>
      <c r="B2686" s="21"/>
      <c r="C2686" s="22">
        <v>2525</v>
      </c>
      <c r="D2686" s="21">
        <v>60.77</v>
      </c>
      <c r="E2686" s="21" t="s">
        <v>5796</v>
      </c>
      <c r="F2686" s="23"/>
      <c r="G2686" s="23">
        <f t="shared" si="10"/>
        <v>60.77</v>
      </c>
      <c r="H2686" s="23"/>
      <c r="I2686" s="23"/>
    </row>
    <row r="2687" spans="1:9">
      <c r="A2687" s="21" t="s">
        <v>7872</v>
      </c>
      <c r="B2687" s="21"/>
      <c r="C2687" s="22">
        <v>2526</v>
      </c>
      <c r="D2687" s="21">
        <v>60.75</v>
      </c>
      <c r="E2687" s="21" t="s">
        <v>5796</v>
      </c>
      <c r="F2687" s="23"/>
      <c r="G2687" s="23">
        <f t="shared" si="10"/>
        <v>60.75</v>
      </c>
      <c r="H2687" s="23"/>
      <c r="I2687" s="23"/>
    </row>
    <row r="2688" spans="1:9">
      <c r="A2688" s="21" t="s">
        <v>7873</v>
      </c>
      <c r="B2688" s="21"/>
      <c r="C2688" s="22">
        <v>2530</v>
      </c>
      <c r="D2688" s="21">
        <v>59.94</v>
      </c>
      <c r="E2688" s="21" t="s">
        <v>5796</v>
      </c>
      <c r="F2688" s="23"/>
      <c r="G2688" s="23">
        <f t="shared" si="10"/>
        <v>59.94</v>
      </c>
      <c r="H2688" s="23"/>
      <c r="I2688" s="23"/>
    </row>
    <row r="2689" spans="1:9">
      <c r="A2689" s="21" t="s">
        <v>7874</v>
      </c>
      <c r="B2689" s="21"/>
      <c r="C2689" s="22">
        <v>2531</v>
      </c>
      <c r="D2689" s="21">
        <v>59.93</v>
      </c>
      <c r="E2689" s="21" t="s">
        <v>5796</v>
      </c>
      <c r="F2689" s="23"/>
      <c r="G2689" s="23">
        <f t="shared" si="10"/>
        <v>59.93</v>
      </c>
      <c r="H2689" s="23"/>
      <c r="I2689" s="23"/>
    </row>
    <row r="2690" spans="1:9">
      <c r="A2690" s="21" t="s">
        <v>7875</v>
      </c>
      <c r="B2690" s="21"/>
      <c r="C2690" s="22">
        <v>2533</v>
      </c>
      <c r="D2690" s="21">
        <v>59.87</v>
      </c>
      <c r="E2690" s="21" t="s">
        <v>5796</v>
      </c>
      <c r="F2690" s="23"/>
      <c r="G2690" s="23">
        <f t="shared" si="10"/>
        <v>59.87</v>
      </c>
      <c r="H2690" s="23"/>
      <c r="I2690" s="23"/>
    </row>
    <row r="2691" spans="1:9">
      <c r="A2691" s="21" t="s">
        <v>7876</v>
      </c>
      <c r="B2691" s="21"/>
      <c r="C2691" s="22">
        <v>2534</v>
      </c>
      <c r="D2691" s="21">
        <v>59.84</v>
      </c>
      <c r="E2691" s="21" t="s">
        <v>5796</v>
      </c>
      <c r="F2691" s="23"/>
      <c r="G2691" s="23">
        <f t="shared" si="10"/>
        <v>59.84</v>
      </c>
      <c r="H2691" s="23"/>
      <c r="I2691" s="23"/>
    </row>
    <row r="2692" spans="1:9">
      <c r="A2692" s="21" t="s">
        <v>7877</v>
      </c>
      <c r="B2692" s="21"/>
      <c r="C2692" s="22">
        <v>2536</v>
      </c>
      <c r="D2692" s="21">
        <v>59.73</v>
      </c>
      <c r="E2692" s="21" t="s">
        <v>5796</v>
      </c>
      <c r="F2692" s="23"/>
      <c r="G2692" s="23">
        <f t="shared" si="10"/>
        <v>59.73</v>
      </c>
      <c r="H2692" s="23"/>
      <c r="I2692" s="23"/>
    </row>
    <row r="2693" spans="1:9">
      <c r="A2693" s="21" t="s">
        <v>7878</v>
      </c>
      <c r="B2693" s="21"/>
      <c r="C2693" s="22">
        <v>2537</v>
      </c>
      <c r="D2693" s="21">
        <v>59.72</v>
      </c>
      <c r="E2693" s="21" t="s">
        <v>5796</v>
      </c>
      <c r="F2693" s="23"/>
      <c r="G2693" s="23">
        <f t="shared" si="10"/>
        <v>59.72</v>
      </c>
      <c r="H2693" s="23"/>
      <c r="I2693" s="23"/>
    </row>
    <row r="2694" spans="1:9">
      <c r="A2694" s="21" t="s">
        <v>7879</v>
      </c>
      <c r="B2694" s="21"/>
      <c r="C2694" s="22">
        <v>2538</v>
      </c>
      <c r="D2694" s="21">
        <v>59.63</v>
      </c>
      <c r="E2694" s="21" t="s">
        <v>5796</v>
      </c>
      <c r="F2694" s="23"/>
      <c r="G2694" s="23">
        <f t="shared" si="10"/>
        <v>59.63</v>
      </c>
      <c r="H2694" s="23"/>
      <c r="I2694" s="23"/>
    </row>
    <row r="2695" spans="1:9">
      <c r="A2695" s="21" t="s">
        <v>7880</v>
      </c>
      <c r="B2695" s="21"/>
      <c r="C2695" s="22">
        <v>2539</v>
      </c>
      <c r="D2695" s="21">
        <v>59.52</v>
      </c>
      <c r="E2695" s="21" t="s">
        <v>5796</v>
      </c>
      <c r="F2695" s="23"/>
      <c r="G2695" s="23">
        <f t="shared" si="10"/>
        <v>59.52</v>
      </c>
      <c r="H2695" s="23"/>
      <c r="I2695" s="23"/>
    </row>
    <row r="2696" spans="1:9">
      <c r="A2696" s="21" t="s">
        <v>7881</v>
      </c>
      <c r="B2696" s="21"/>
      <c r="C2696" s="22">
        <v>2540</v>
      </c>
      <c r="D2696" s="21">
        <v>59.39</v>
      </c>
      <c r="E2696" s="21" t="s">
        <v>5796</v>
      </c>
      <c r="F2696" s="23"/>
      <c r="G2696" s="23">
        <f t="shared" si="10"/>
        <v>59.39</v>
      </c>
      <c r="H2696" s="23"/>
      <c r="I2696" s="23"/>
    </row>
    <row r="2697" spans="1:9">
      <c r="A2697" s="21" t="s">
        <v>7882</v>
      </c>
      <c r="B2697" s="21"/>
      <c r="C2697" s="22">
        <v>2541</v>
      </c>
      <c r="D2697" s="21">
        <v>59.29</v>
      </c>
      <c r="E2697" s="21" t="s">
        <v>5796</v>
      </c>
      <c r="F2697" s="23"/>
      <c r="G2697" s="23">
        <f t="shared" si="10"/>
        <v>59.29</v>
      </c>
      <c r="H2697" s="23"/>
      <c r="I2697" s="23"/>
    </row>
    <row r="2698" spans="1:9">
      <c r="A2698" s="21" t="s">
        <v>7883</v>
      </c>
      <c r="B2698" s="21"/>
      <c r="C2698" s="22">
        <v>2542</v>
      </c>
      <c r="D2698" s="21">
        <v>58.98</v>
      </c>
      <c r="E2698" s="21" t="s">
        <v>5796</v>
      </c>
      <c r="F2698" s="23"/>
      <c r="G2698" s="23">
        <f t="shared" si="10"/>
        <v>58.98</v>
      </c>
      <c r="H2698" s="23"/>
      <c r="I2698" s="23"/>
    </row>
    <row r="2699" spans="1:9">
      <c r="A2699" s="21" t="s">
        <v>7884</v>
      </c>
      <c r="B2699" s="21"/>
      <c r="C2699" s="22">
        <v>2544</v>
      </c>
      <c r="D2699" s="21">
        <v>58.92</v>
      </c>
      <c r="E2699" s="21" t="s">
        <v>5796</v>
      </c>
      <c r="F2699" s="23"/>
      <c r="G2699" s="23">
        <f t="shared" si="10"/>
        <v>58.92</v>
      </c>
      <c r="H2699" s="23"/>
      <c r="I2699" s="23"/>
    </row>
    <row r="2700" spans="1:9">
      <c r="A2700" s="21" t="s">
        <v>7885</v>
      </c>
      <c r="B2700" s="21"/>
      <c r="C2700" s="22">
        <v>2545</v>
      </c>
      <c r="D2700" s="21">
        <v>58.59</v>
      </c>
      <c r="E2700" s="21" t="s">
        <v>5796</v>
      </c>
      <c r="F2700" s="23"/>
      <c r="G2700" s="23">
        <f t="shared" si="10"/>
        <v>58.59</v>
      </c>
      <c r="H2700" s="23"/>
      <c r="I2700" s="23"/>
    </row>
    <row r="2701" spans="1:9">
      <c r="A2701" s="21" t="s">
        <v>7886</v>
      </c>
      <c r="B2701" s="21"/>
      <c r="C2701" s="22">
        <v>2546</v>
      </c>
      <c r="D2701" s="21">
        <v>58.41</v>
      </c>
      <c r="E2701" s="21" t="s">
        <v>5796</v>
      </c>
      <c r="F2701" s="23"/>
      <c r="G2701" s="23">
        <f t="shared" si="10"/>
        <v>58.41</v>
      </c>
      <c r="H2701" s="23"/>
      <c r="I2701" s="23"/>
    </row>
    <row r="2702" spans="1:9">
      <c r="A2702" s="21" t="s">
        <v>7887</v>
      </c>
      <c r="B2702" s="21"/>
      <c r="C2702" s="22">
        <v>2547</v>
      </c>
      <c r="D2702" s="21">
        <v>58.31</v>
      </c>
      <c r="E2702" s="21" t="s">
        <v>5796</v>
      </c>
      <c r="F2702" s="23"/>
      <c r="G2702" s="23">
        <f t="shared" si="10"/>
        <v>58.31</v>
      </c>
      <c r="H2702" s="23"/>
      <c r="I2702" s="23"/>
    </row>
    <row r="2703" spans="1:9">
      <c r="A2703" s="21" t="s">
        <v>7888</v>
      </c>
      <c r="B2703" s="21"/>
      <c r="C2703" s="22">
        <v>2548</v>
      </c>
      <c r="D2703" s="21">
        <v>58.31</v>
      </c>
      <c r="E2703" s="21" t="s">
        <v>5796</v>
      </c>
      <c r="F2703" s="23"/>
      <c r="G2703" s="23">
        <f t="shared" si="10"/>
        <v>58.31</v>
      </c>
      <c r="H2703" s="23"/>
      <c r="I2703" s="23"/>
    </row>
    <row r="2704" spans="1:9">
      <c r="A2704" s="21" t="s">
        <v>7889</v>
      </c>
      <c r="B2704" s="21"/>
      <c r="C2704" s="22">
        <v>2549</v>
      </c>
      <c r="D2704" s="21">
        <v>58.28</v>
      </c>
      <c r="E2704" s="21" t="s">
        <v>5796</v>
      </c>
      <c r="F2704" s="23"/>
      <c r="G2704" s="23">
        <f t="shared" si="10"/>
        <v>58.28</v>
      </c>
      <c r="H2704" s="23"/>
      <c r="I2704" s="23"/>
    </row>
    <row r="2705" spans="1:9">
      <c r="A2705" s="21" t="s">
        <v>7890</v>
      </c>
      <c r="B2705" s="21"/>
      <c r="C2705" s="22">
        <v>2550</v>
      </c>
      <c r="D2705" s="21">
        <v>58.16</v>
      </c>
      <c r="E2705" s="21" t="s">
        <v>5796</v>
      </c>
      <c r="F2705" s="23"/>
      <c r="G2705" s="23">
        <f t="shared" si="10"/>
        <v>58.16</v>
      </c>
      <c r="H2705" s="23"/>
      <c r="I2705" s="23"/>
    </row>
    <row r="2706" spans="1:9">
      <c r="A2706" s="21" t="s">
        <v>7891</v>
      </c>
      <c r="B2706" s="21"/>
      <c r="C2706" s="22">
        <v>2551</v>
      </c>
      <c r="D2706" s="21">
        <v>58.08</v>
      </c>
      <c r="E2706" s="21" t="s">
        <v>5796</v>
      </c>
      <c r="F2706" s="23"/>
      <c r="G2706" s="23">
        <f t="shared" si="10"/>
        <v>58.08</v>
      </c>
      <c r="H2706" s="23"/>
      <c r="I2706" s="23"/>
    </row>
    <row r="2707" spans="1:9">
      <c r="A2707" s="21" t="s">
        <v>7892</v>
      </c>
      <c r="B2707" s="21"/>
      <c r="C2707" s="22">
        <v>2552</v>
      </c>
      <c r="D2707" s="21">
        <v>57.87</v>
      </c>
      <c r="E2707" s="21" t="s">
        <v>5796</v>
      </c>
      <c r="F2707" s="23"/>
      <c r="G2707" s="23">
        <f t="shared" si="10"/>
        <v>57.87</v>
      </c>
      <c r="H2707" s="23"/>
      <c r="I2707" s="23"/>
    </row>
    <row r="2708" spans="1:9">
      <c r="A2708" s="21" t="s">
        <v>7893</v>
      </c>
      <c r="B2708" s="21"/>
      <c r="C2708" s="22">
        <v>2553</v>
      </c>
      <c r="D2708" s="21">
        <v>57.79</v>
      </c>
      <c r="E2708" s="21" t="s">
        <v>5796</v>
      </c>
      <c r="F2708" s="23"/>
      <c r="G2708" s="23">
        <f t="shared" si="10"/>
        <v>57.79</v>
      </c>
      <c r="H2708" s="23"/>
      <c r="I2708" s="23"/>
    </row>
    <row r="2709" spans="1:9">
      <c r="A2709" s="21" t="s">
        <v>7894</v>
      </c>
      <c r="B2709" s="21"/>
      <c r="C2709" s="22">
        <v>2554</v>
      </c>
      <c r="D2709" s="21">
        <v>57.78</v>
      </c>
      <c r="E2709" s="21" t="s">
        <v>5796</v>
      </c>
      <c r="F2709" s="23"/>
      <c r="G2709" s="23">
        <f t="shared" si="10"/>
        <v>57.78</v>
      </c>
      <c r="H2709" s="23"/>
      <c r="I2709" s="23"/>
    </row>
    <row r="2710" spans="1:9">
      <c r="A2710" s="21" t="s">
        <v>7895</v>
      </c>
      <c r="B2710" s="21"/>
      <c r="C2710" s="22">
        <v>2555</v>
      </c>
      <c r="D2710" s="21">
        <v>57.04</v>
      </c>
      <c r="E2710" s="21" t="s">
        <v>5796</v>
      </c>
      <c r="F2710" s="23"/>
      <c r="G2710" s="23">
        <f t="shared" si="10"/>
        <v>57.04</v>
      </c>
      <c r="H2710" s="23"/>
      <c r="I2710" s="23"/>
    </row>
    <row r="2711" spans="1:9">
      <c r="A2711" s="21" t="s">
        <v>7896</v>
      </c>
      <c r="B2711" s="21"/>
      <c r="C2711" s="22">
        <v>2556</v>
      </c>
      <c r="D2711" s="21">
        <v>57.03</v>
      </c>
      <c r="E2711" s="21" t="s">
        <v>5796</v>
      </c>
      <c r="F2711" s="23"/>
      <c r="G2711" s="23">
        <f t="shared" si="10"/>
        <v>57.03</v>
      </c>
      <c r="H2711" s="23"/>
      <c r="I2711" s="23"/>
    </row>
    <row r="2712" spans="1:9">
      <c r="A2712" s="21" t="s">
        <v>7897</v>
      </c>
      <c r="B2712" s="21"/>
      <c r="C2712" s="22">
        <v>2557</v>
      </c>
      <c r="D2712" s="21">
        <v>56.94</v>
      </c>
      <c r="E2712" s="21" t="s">
        <v>5796</v>
      </c>
      <c r="F2712" s="23"/>
      <c r="G2712" s="23">
        <f t="shared" si="10"/>
        <v>56.94</v>
      </c>
      <c r="H2712" s="23"/>
      <c r="I2712" s="23"/>
    </row>
    <row r="2713" spans="1:9">
      <c r="A2713" s="21" t="s">
        <v>7898</v>
      </c>
      <c r="B2713" s="21"/>
      <c r="C2713" s="22">
        <v>2558</v>
      </c>
      <c r="D2713" s="21">
        <v>56.79</v>
      </c>
      <c r="E2713" s="21" t="s">
        <v>5796</v>
      </c>
      <c r="F2713" s="23"/>
      <c r="G2713" s="23">
        <f t="shared" si="10"/>
        <v>56.79</v>
      </c>
      <c r="H2713" s="23"/>
      <c r="I2713" s="23"/>
    </row>
    <row r="2714" spans="1:9">
      <c r="A2714" s="21" t="s">
        <v>7899</v>
      </c>
      <c r="B2714" s="21"/>
      <c r="C2714" s="22">
        <v>2559</v>
      </c>
      <c r="D2714" s="21">
        <v>56.71</v>
      </c>
      <c r="E2714" s="21" t="s">
        <v>5796</v>
      </c>
      <c r="F2714" s="23"/>
      <c r="G2714" s="23">
        <f t="shared" si="10"/>
        <v>56.71</v>
      </c>
      <c r="H2714" s="23"/>
      <c r="I2714" s="23"/>
    </row>
    <row r="2715" spans="1:9">
      <c r="A2715" s="21" t="s">
        <v>7900</v>
      </c>
      <c r="B2715" s="21"/>
      <c r="C2715" s="22">
        <v>2561</v>
      </c>
      <c r="D2715" s="21">
        <v>56.39</v>
      </c>
      <c r="E2715" s="21" t="s">
        <v>5796</v>
      </c>
      <c r="F2715" s="23"/>
      <c r="G2715" s="23">
        <f t="shared" si="10"/>
        <v>56.39</v>
      </c>
      <c r="H2715" s="23"/>
      <c r="I2715" s="23"/>
    </row>
    <row r="2716" spans="1:9">
      <c r="A2716" s="21" t="s">
        <v>7901</v>
      </c>
      <c r="B2716" s="21"/>
      <c r="C2716" s="22">
        <v>2563</v>
      </c>
      <c r="D2716" s="21">
        <v>56.32</v>
      </c>
      <c r="E2716" s="21" t="s">
        <v>5796</v>
      </c>
      <c r="F2716" s="23"/>
      <c r="G2716" s="23">
        <f t="shared" si="10"/>
        <v>56.32</v>
      </c>
      <c r="H2716" s="23"/>
      <c r="I2716" s="23"/>
    </row>
    <row r="2717" spans="1:9">
      <c r="A2717" s="21" t="s">
        <v>7902</v>
      </c>
      <c r="B2717" s="21"/>
      <c r="C2717" s="22">
        <v>2564</v>
      </c>
      <c r="D2717" s="21">
        <v>56.31</v>
      </c>
      <c r="E2717" s="21" t="s">
        <v>5796</v>
      </c>
      <c r="F2717" s="23"/>
      <c r="G2717" s="23">
        <f t="shared" si="10"/>
        <v>56.31</v>
      </c>
      <c r="H2717" s="23"/>
      <c r="I2717" s="23"/>
    </row>
    <row r="2718" spans="1:9">
      <c r="A2718" s="21" t="s">
        <v>7903</v>
      </c>
      <c r="B2718" s="21"/>
      <c r="C2718" s="22">
        <v>2565</v>
      </c>
      <c r="D2718" s="21">
        <v>56.12</v>
      </c>
      <c r="E2718" s="21" t="s">
        <v>5796</v>
      </c>
      <c r="F2718" s="23"/>
      <c r="G2718" s="23">
        <f t="shared" si="10"/>
        <v>56.12</v>
      </c>
      <c r="H2718" s="23"/>
      <c r="I2718" s="23"/>
    </row>
    <row r="2719" spans="1:9">
      <c r="A2719" s="21" t="s">
        <v>7904</v>
      </c>
      <c r="B2719" s="21"/>
      <c r="C2719" s="22">
        <v>2566</v>
      </c>
      <c r="D2719" s="21">
        <v>55.93</v>
      </c>
      <c r="E2719" s="21" t="s">
        <v>5796</v>
      </c>
      <c r="F2719" s="23"/>
      <c r="G2719" s="23">
        <f t="shared" si="10"/>
        <v>55.93</v>
      </c>
      <c r="H2719" s="23"/>
      <c r="I2719" s="23"/>
    </row>
    <row r="2720" spans="1:9">
      <c r="A2720" s="21" t="s">
        <v>7905</v>
      </c>
      <c r="B2720" s="21"/>
      <c r="C2720" s="22">
        <v>2567</v>
      </c>
      <c r="D2720" s="21">
        <v>55.93</v>
      </c>
      <c r="E2720" s="21" t="s">
        <v>5796</v>
      </c>
      <c r="F2720" s="23"/>
      <c r="G2720" s="23">
        <f t="shared" si="10"/>
        <v>55.93</v>
      </c>
      <c r="H2720" s="23"/>
      <c r="I2720" s="23"/>
    </row>
    <row r="2721" spans="1:9">
      <c r="A2721" s="21" t="s">
        <v>7906</v>
      </c>
      <c r="B2721" s="21"/>
      <c r="C2721" s="22">
        <v>2568</v>
      </c>
      <c r="D2721" s="21">
        <v>55.91</v>
      </c>
      <c r="E2721" s="21" t="s">
        <v>5796</v>
      </c>
      <c r="F2721" s="23"/>
      <c r="G2721" s="23">
        <f t="shared" si="10"/>
        <v>55.91</v>
      </c>
      <c r="H2721" s="23"/>
      <c r="I2721" s="23"/>
    </row>
    <row r="2722" spans="1:9">
      <c r="A2722" s="21" t="s">
        <v>7907</v>
      </c>
      <c r="B2722" s="21"/>
      <c r="C2722" s="22">
        <v>2569</v>
      </c>
      <c r="D2722" s="21">
        <v>55.9</v>
      </c>
      <c r="E2722" s="21" t="s">
        <v>5796</v>
      </c>
      <c r="F2722" s="23"/>
      <c r="G2722" s="23">
        <f t="shared" si="10"/>
        <v>55.9</v>
      </c>
      <c r="H2722" s="23"/>
      <c r="I2722" s="23"/>
    </row>
    <row r="2723" spans="1:9">
      <c r="A2723" s="21" t="s">
        <v>7908</v>
      </c>
      <c r="B2723" s="21"/>
      <c r="C2723" s="22">
        <v>2570</v>
      </c>
      <c r="D2723" s="21">
        <v>55.75</v>
      </c>
      <c r="E2723" s="21" t="s">
        <v>5796</v>
      </c>
      <c r="F2723" s="23"/>
      <c r="G2723" s="23">
        <f t="shared" si="10"/>
        <v>55.75</v>
      </c>
      <c r="H2723" s="23"/>
      <c r="I2723" s="23"/>
    </row>
    <row r="2724" spans="1:9">
      <c r="A2724" s="21" t="s">
        <v>7909</v>
      </c>
      <c r="B2724" s="21"/>
      <c r="C2724" s="22">
        <v>2572</v>
      </c>
      <c r="D2724" s="21">
        <v>55.66</v>
      </c>
      <c r="E2724" s="21" t="s">
        <v>5796</v>
      </c>
      <c r="F2724" s="23"/>
      <c r="G2724" s="23">
        <f t="shared" si="10"/>
        <v>55.66</v>
      </c>
      <c r="H2724" s="23"/>
      <c r="I2724" s="23"/>
    </row>
    <row r="2725" spans="1:9">
      <c r="A2725" s="21" t="s">
        <v>7910</v>
      </c>
      <c r="B2725" s="21"/>
      <c r="C2725" s="22">
        <v>2574</v>
      </c>
      <c r="D2725" s="21">
        <v>55.5</v>
      </c>
      <c r="E2725" s="21" t="s">
        <v>5796</v>
      </c>
      <c r="F2725" s="23"/>
      <c r="G2725" s="23">
        <f t="shared" si="10"/>
        <v>55.5</v>
      </c>
      <c r="H2725" s="23"/>
      <c r="I2725" s="23"/>
    </row>
    <row r="2726" spans="1:9">
      <c r="A2726" s="21" t="s">
        <v>7911</v>
      </c>
      <c r="B2726" s="21"/>
      <c r="C2726" s="22">
        <v>2575</v>
      </c>
      <c r="D2726" s="21">
        <v>55.45</v>
      </c>
      <c r="E2726" s="21" t="s">
        <v>5796</v>
      </c>
      <c r="F2726" s="23"/>
      <c r="G2726" s="23">
        <f t="shared" si="10"/>
        <v>55.45</v>
      </c>
      <c r="H2726" s="23"/>
      <c r="I2726" s="23"/>
    </row>
    <row r="2727" spans="1:9">
      <c r="A2727" s="21" t="s">
        <v>7912</v>
      </c>
      <c r="B2727" s="21"/>
      <c r="C2727" s="22">
        <v>2576</v>
      </c>
      <c r="D2727" s="21">
        <v>55.41</v>
      </c>
      <c r="E2727" s="21" t="s">
        <v>5796</v>
      </c>
      <c r="F2727" s="23"/>
      <c r="G2727" s="23">
        <f t="shared" si="10"/>
        <v>55.41</v>
      </c>
      <c r="H2727" s="23"/>
      <c r="I2727" s="23"/>
    </row>
    <row r="2728" spans="1:9">
      <c r="A2728" s="21" t="s">
        <v>7913</v>
      </c>
      <c r="B2728" s="21"/>
      <c r="C2728" s="22">
        <v>2577</v>
      </c>
      <c r="D2728" s="21">
        <v>55.33</v>
      </c>
      <c r="E2728" s="21" t="s">
        <v>5796</v>
      </c>
      <c r="F2728" s="23"/>
      <c r="G2728" s="23">
        <f t="shared" si="10"/>
        <v>55.33</v>
      </c>
      <c r="H2728" s="23"/>
      <c r="I2728" s="23"/>
    </row>
    <row r="2729" spans="1:9">
      <c r="A2729" s="21" t="s">
        <v>7914</v>
      </c>
      <c r="B2729" s="21"/>
      <c r="C2729" s="22">
        <v>2578</v>
      </c>
      <c r="D2729" s="21">
        <v>54.89</v>
      </c>
      <c r="E2729" s="21" t="s">
        <v>5796</v>
      </c>
      <c r="F2729" s="23"/>
      <c r="G2729" s="23">
        <f t="shared" si="10"/>
        <v>54.89</v>
      </c>
      <c r="H2729" s="23"/>
      <c r="I2729" s="23"/>
    </row>
    <row r="2730" spans="1:9">
      <c r="A2730" s="21" t="s">
        <v>7915</v>
      </c>
      <c r="B2730" s="21"/>
      <c r="C2730" s="22">
        <v>2579</v>
      </c>
      <c r="D2730" s="21">
        <v>54.81</v>
      </c>
      <c r="E2730" s="21" t="s">
        <v>5796</v>
      </c>
      <c r="F2730" s="23"/>
      <c r="G2730" s="23">
        <f t="shared" si="10"/>
        <v>54.81</v>
      </c>
      <c r="H2730" s="23"/>
      <c r="I2730" s="23"/>
    </row>
    <row r="2731" spans="1:9">
      <c r="A2731" s="21" t="s">
        <v>7916</v>
      </c>
      <c r="B2731" s="21"/>
      <c r="C2731" s="22">
        <v>2580</v>
      </c>
      <c r="D2731" s="21">
        <v>54.78</v>
      </c>
      <c r="E2731" s="21" t="s">
        <v>5796</v>
      </c>
      <c r="F2731" s="23"/>
      <c r="G2731" s="23">
        <f t="shared" si="10"/>
        <v>54.78</v>
      </c>
      <c r="H2731" s="23"/>
      <c r="I2731" s="23"/>
    </row>
    <row r="2732" spans="1:9">
      <c r="A2732" s="21" t="s">
        <v>7917</v>
      </c>
      <c r="B2732" s="21"/>
      <c r="C2732" s="22">
        <v>2581</v>
      </c>
      <c r="D2732" s="21">
        <v>54.78</v>
      </c>
      <c r="E2732" s="21" t="s">
        <v>5796</v>
      </c>
      <c r="F2732" s="23"/>
      <c r="G2732" s="23">
        <f t="shared" si="10"/>
        <v>54.78</v>
      </c>
      <c r="H2732" s="23"/>
      <c r="I2732" s="23"/>
    </row>
    <row r="2733" spans="1:9">
      <c r="A2733" s="21" t="s">
        <v>7918</v>
      </c>
      <c r="B2733" s="21"/>
      <c r="C2733" s="22">
        <v>2582</v>
      </c>
      <c r="D2733" s="21">
        <v>54.55</v>
      </c>
      <c r="E2733" s="21" t="s">
        <v>5796</v>
      </c>
      <c r="F2733" s="23"/>
      <c r="G2733" s="23">
        <f t="shared" si="10"/>
        <v>54.55</v>
      </c>
      <c r="H2733" s="23"/>
      <c r="I2733" s="23"/>
    </row>
    <row r="2734" spans="1:9">
      <c r="A2734" s="21" t="s">
        <v>7919</v>
      </c>
      <c r="B2734" s="21"/>
      <c r="C2734" s="22">
        <v>2583</v>
      </c>
      <c r="D2734" s="21">
        <v>54.42</v>
      </c>
      <c r="E2734" s="21" t="s">
        <v>5796</v>
      </c>
      <c r="F2734" s="23"/>
      <c r="G2734" s="23">
        <f t="shared" si="10"/>
        <v>54.42</v>
      </c>
      <c r="H2734" s="23"/>
      <c r="I2734" s="23"/>
    </row>
    <row r="2735" spans="1:9">
      <c r="A2735" s="21" t="s">
        <v>7920</v>
      </c>
      <c r="B2735" s="21"/>
      <c r="C2735" s="22">
        <v>2584</v>
      </c>
      <c r="D2735" s="21">
        <v>54.18</v>
      </c>
      <c r="E2735" s="21" t="s">
        <v>5796</v>
      </c>
      <c r="F2735" s="23"/>
      <c r="G2735" s="23">
        <f t="shared" si="10"/>
        <v>54.18</v>
      </c>
      <c r="H2735" s="23"/>
      <c r="I2735" s="23"/>
    </row>
    <row r="2736" spans="1:9">
      <c r="A2736" s="21" t="s">
        <v>7921</v>
      </c>
      <c r="B2736" s="21"/>
      <c r="C2736" s="22">
        <v>2585</v>
      </c>
      <c r="D2736" s="21">
        <v>54.17</v>
      </c>
      <c r="E2736" s="21" t="s">
        <v>5796</v>
      </c>
      <c r="F2736" s="23"/>
      <c r="G2736" s="23">
        <f t="shared" si="10"/>
        <v>54.17</v>
      </c>
      <c r="H2736" s="23"/>
      <c r="I2736" s="23"/>
    </row>
    <row r="2737" spans="1:9">
      <c r="A2737" s="21" t="s">
        <v>7922</v>
      </c>
      <c r="B2737" s="21"/>
      <c r="C2737" s="22">
        <v>2586</v>
      </c>
      <c r="D2737" s="21">
        <v>54.12</v>
      </c>
      <c r="E2737" s="21" t="s">
        <v>5796</v>
      </c>
      <c r="F2737" s="23"/>
      <c r="G2737" s="23">
        <f t="shared" si="10"/>
        <v>54.12</v>
      </c>
      <c r="H2737" s="23"/>
      <c r="I2737" s="23"/>
    </row>
    <row r="2738" spans="1:9">
      <c r="A2738" s="21" t="s">
        <v>7923</v>
      </c>
      <c r="B2738" s="21"/>
      <c r="C2738" s="22">
        <v>2588</v>
      </c>
      <c r="D2738" s="21">
        <v>53.97</v>
      </c>
      <c r="E2738" s="21" t="s">
        <v>5796</v>
      </c>
      <c r="F2738" s="23"/>
      <c r="G2738" s="23">
        <f t="shared" si="10"/>
        <v>53.97</v>
      </c>
      <c r="H2738" s="23"/>
      <c r="I2738" s="23"/>
    </row>
    <row r="2739" spans="1:9">
      <c r="A2739" s="21" t="s">
        <v>7924</v>
      </c>
      <c r="B2739" s="21"/>
      <c r="C2739" s="22">
        <v>2589</v>
      </c>
      <c r="D2739" s="21">
        <v>53.85</v>
      </c>
      <c r="E2739" s="21" t="s">
        <v>5796</v>
      </c>
      <c r="F2739" s="23"/>
      <c r="G2739" s="23">
        <f t="shared" si="10"/>
        <v>53.85</v>
      </c>
      <c r="H2739" s="23"/>
      <c r="I2739" s="23"/>
    </row>
    <row r="2740" spans="1:9">
      <c r="A2740" s="21" t="s">
        <v>7925</v>
      </c>
      <c r="B2740" s="21"/>
      <c r="C2740" s="22">
        <v>2590</v>
      </c>
      <c r="D2740" s="21">
        <v>53.76</v>
      </c>
      <c r="E2740" s="21" t="s">
        <v>5796</v>
      </c>
      <c r="F2740" s="23"/>
      <c r="G2740" s="23">
        <f t="shared" si="10"/>
        <v>53.76</v>
      </c>
      <c r="H2740" s="23"/>
      <c r="I2740" s="23"/>
    </row>
    <row r="2741" spans="1:9">
      <c r="A2741" s="21" t="s">
        <v>7926</v>
      </c>
      <c r="B2741" s="21"/>
      <c r="C2741" s="22">
        <v>2591</v>
      </c>
      <c r="D2741" s="21">
        <v>53.64</v>
      </c>
      <c r="E2741" s="21" t="s">
        <v>5796</v>
      </c>
      <c r="F2741" s="23"/>
      <c r="G2741" s="23">
        <f t="shared" si="10"/>
        <v>53.64</v>
      </c>
      <c r="H2741" s="23"/>
      <c r="I2741" s="23"/>
    </row>
    <row r="2742" spans="1:9">
      <c r="A2742" s="21" t="s">
        <v>7927</v>
      </c>
      <c r="B2742" s="21"/>
      <c r="C2742" s="22">
        <v>2592</v>
      </c>
      <c r="D2742" s="21">
        <v>53.58</v>
      </c>
      <c r="E2742" s="21" t="s">
        <v>5796</v>
      </c>
      <c r="F2742" s="23"/>
      <c r="G2742" s="23">
        <f t="shared" si="10"/>
        <v>53.58</v>
      </c>
      <c r="H2742" s="23"/>
      <c r="I2742" s="23"/>
    </row>
    <row r="2743" spans="1:9">
      <c r="A2743" s="21" t="s">
        <v>7928</v>
      </c>
      <c r="B2743" s="21"/>
      <c r="C2743" s="22">
        <v>2593</v>
      </c>
      <c r="D2743" s="21">
        <v>53.55</v>
      </c>
      <c r="E2743" s="21" t="s">
        <v>5796</v>
      </c>
      <c r="F2743" s="23"/>
      <c r="G2743" s="23">
        <f t="shared" si="10"/>
        <v>53.55</v>
      </c>
      <c r="H2743" s="23"/>
      <c r="I2743" s="23"/>
    </row>
    <row r="2744" spans="1:9">
      <c r="A2744" s="21" t="s">
        <v>7929</v>
      </c>
      <c r="B2744" s="21"/>
      <c r="C2744" s="22">
        <v>2594</v>
      </c>
      <c r="D2744" s="21">
        <v>53.51</v>
      </c>
      <c r="E2744" s="21" t="s">
        <v>5796</v>
      </c>
      <c r="F2744" s="23"/>
      <c r="G2744" s="23">
        <f t="shared" si="10"/>
        <v>53.51</v>
      </c>
      <c r="H2744" s="23"/>
      <c r="I2744" s="23"/>
    </row>
    <row r="2745" spans="1:9">
      <c r="A2745" s="21" t="s">
        <v>7930</v>
      </c>
      <c r="B2745" s="21"/>
      <c r="C2745" s="22">
        <v>2595</v>
      </c>
      <c r="D2745" s="21">
        <v>53.48</v>
      </c>
      <c r="E2745" s="21" t="s">
        <v>5796</v>
      </c>
      <c r="F2745" s="23"/>
      <c r="G2745" s="23">
        <f t="shared" si="10"/>
        <v>53.48</v>
      </c>
      <c r="H2745" s="23"/>
      <c r="I2745" s="23"/>
    </row>
    <row r="2746" spans="1:9">
      <c r="A2746" s="21" t="s">
        <v>7931</v>
      </c>
      <c r="B2746" s="21"/>
      <c r="C2746" s="22">
        <v>2596</v>
      </c>
      <c r="D2746" s="21">
        <v>53.26</v>
      </c>
      <c r="E2746" s="21" t="s">
        <v>5796</v>
      </c>
      <c r="F2746" s="23"/>
      <c r="G2746" s="23">
        <f t="shared" si="10"/>
        <v>53.26</v>
      </c>
      <c r="H2746" s="23"/>
      <c r="I2746" s="23"/>
    </row>
    <row r="2747" spans="1:9">
      <c r="A2747" s="21" t="s">
        <v>7932</v>
      </c>
      <c r="B2747" s="21"/>
      <c r="C2747" s="22">
        <v>2597</v>
      </c>
      <c r="D2747" s="21">
        <v>53.19</v>
      </c>
      <c r="E2747" s="21" t="s">
        <v>5796</v>
      </c>
      <c r="F2747" s="23"/>
      <c r="G2747" s="23">
        <f t="shared" si="10"/>
        <v>53.19</v>
      </c>
      <c r="H2747" s="23"/>
      <c r="I2747" s="23"/>
    </row>
    <row r="2748" spans="1:9">
      <c r="A2748" s="21" t="s">
        <v>7933</v>
      </c>
      <c r="B2748" s="21"/>
      <c r="C2748" s="22">
        <v>2599</v>
      </c>
      <c r="D2748" s="21">
        <v>53.12</v>
      </c>
      <c r="E2748" s="21" t="s">
        <v>5796</v>
      </c>
      <c r="F2748" s="23"/>
      <c r="G2748" s="23">
        <f t="shared" si="10"/>
        <v>53.12</v>
      </c>
      <c r="H2748" s="23"/>
      <c r="I2748" s="23"/>
    </row>
    <row r="2749" spans="1:9">
      <c r="A2749" s="21" t="s">
        <v>7934</v>
      </c>
      <c r="B2749" s="21"/>
      <c r="C2749" s="22">
        <v>2600</v>
      </c>
      <c r="D2749" s="21">
        <v>53</v>
      </c>
      <c r="E2749" s="21" t="s">
        <v>5796</v>
      </c>
      <c r="F2749" s="23"/>
      <c r="G2749" s="23">
        <f t="shared" si="10"/>
        <v>53</v>
      </c>
      <c r="H2749" s="23"/>
      <c r="I2749" s="23"/>
    </row>
    <row r="2750" spans="1:9">
      <c r="A2750" s="21" t="s">
        <v>7935</v>
      </c>
      <c r="B2750" s="21"/>
      <c r="C2750" s="22">
        <v>2601</v>
      </c>
      <c r="D2750" s="21">
        <v>52.9</v>
      </c>
      <c r="E2750" s="21" t="s">
        <v>5796</v>
      </c>
      <c r="F2750" s="23"/>
      <c r="G2750" s="23">
        <f t="shared" si="10"/>
        <v>52.9</v>
      </c>
      <c r="H2750" s="23"/>
      <c r="I2750" s="23"/>
    </row>
    <row r="2751" spans="1:9">
      <c r="A2751" s="21" t="s">
        <v>7936</v>
      </c>
      <c r="B2751" s="21"/>
      <c r="C2751" s="22">
        <v>2602</v>
      </c>
      <c r="D2751" s="21">
        <v>52.68</v>
      </c>
      <c r="E2751" s="21" t="s">
        <v>5796</v>
      </c>
      <c r="F2751" s="23"/>
      <c r="G2751" s="23">
        <f t="shared" si="10"/>
        <v>52.68</v>
      </c>
      <c r="H2751" s="23"/>
      <c r="I2751" s="23"/>
    </row>
    <row r="2752" spans="1:9">
      <c r="A2752" s="21" t="s">
        <v>7937</v>
      </c>
      <c r="B2752" s="21"/>
      <c r="C2752" s="22">
        <v>2603</v>
      </c>
      <c r="D2752" s="21">
        <v>52.6</v>
      </c>
      <c r="E2752" s="21" t="s">
        <v>5796</v>
      </c>
      <c r="F2752" s="23"/>
      <c r="G2752" s="23">
        <f t="shared" si="10"/>
        <v>52.6</v>
      </c>
      <c r="H2752" s="23"/>
      <c r="I2752" s="23"/>
    </row>
    <row r="2753" spans="1:9">
      <c r="A2753" s="21" t="s">
        <v>7938</v>
      </c>
      <c r="B2753" s="21"/>
      <c r="C2753" s="22">
        <v>2604</v>
      </c>
      <c r="D2753" s="21">
        <v>52.58</v>
      </c>
      <c r="E2753" s="21" t="s">
        <v>5796</v>
      </c>
      <c r="F2753" s="23"/>
      <c r="G2753" s="23">
        <f t="shared" si="10"/>
        <v>52.58</v>
      </c>
      <c r="H2753" s="23"/>
      <c r="I2753" s="23"/>
    </row>
    <row r="2754" spans="1:9">
      <c r="A2754" s="21" t="s">
        <v>7939</v>
      </c>
      <c r="B2754" s="21"/>
      <c r="C2754" s="22">
        <v>2605</v>
      </c>
      <c r="D2754" s="21">
        <v>52.57</v>
      </c>
      <c r="E2754" s="21" t="s">
        <v>5796</v>
      </c>
      <c r="F2754" s="23"/>
      <c r="G2754" s="23">
        <f t="shared" si="10"/>
        <v>52.57</v>
      </c>
      <c r="H2754" s="23"/>
      <c r="I2754" s="23"/>
    </row>
    <row r="2755" spans="1:9">
      <c r="A2755" s="21" t="s">
        <v>7940</v>
      </c>
      <c r="B2755" s="21"/>
      <c r="C2755" s="22">
        <v>2606</v>
      </c>
      <c r="D2755" s="21">
        <v>52.45</v>
      </c>
      <c r="E2755" s="21" t="s">
        <v>5796</v>
      </c>
      <c r="F2755" s="23"/>
      <c r="G2755" s="23">
        <f t="shared" si="10"/>
        <v>52.45</v>
      </c>
      <c r="H2755" s="23"/>
      <c r="I2755" s="23"/>
    </row>
    <row r="2756" spans="1:9">
      <c r="A2756" s="21" t="s">
        <v>7941</v>
      </c>
      <c r="B2756" s="21"/>
      <c r="C2756" s="22">
        <v>2608</v>
      </c>
      <c r="D2756" s="21">
        <v>52.43</v>
      </c>
      <c r="E2756" s="21" t="s">
        <v>5796</v>
      </c>
      <c r="F2756" s="23"/>
      <c r="G2756" s="23">
        <f t="shared" si="10"/>
        <v>52.43</v>
      </c>
      <c r="H2756" s="23"/>
      <c r="I2756" s="23"/>
    </row>
    <row r="2757" spans="1:9">
      <c r="A2757" s="21" t="s">
        <v>7942</v>
      </c>
      <c r="B2757" s="21"/>
      <c r="C2757" s="22">
        <v>2609</v>
      </c>
      <c r="D2757" s="21">
        <v>52.36</v>
      </c>
      <c r="E2757" s="21" t="s">
        <v>5796</v>
      </c>
      <c r="F2757" s="23"/>
      <c r="G2757" s="23">
        <f t="shared" si="10"/>
        <v>52.36</v>
      </c>
      <c r="H2757" s="23"/>
      <c r="I2757" s="23"/>
    </row>
    <row r="2758" spans="1:9">
      <c r="A2758" s="21" t="s">
        <v>7943</v>
      </c>
      <c r="B2758" s="21"/>
      <c r="C2758" s="22">
        <v>2610</v>
      </c>
      <c r="D2758" s="21">
        <v>52.35</v>
      </c>
      <c r="E2758" s="21" t="s">
        <v>5796</v>
      </c>
      <c r="F2758" s="23"/>
      <c r="G2758" s="23">
        <f t="shared" si="10"/>
        <v>52.35</v>
      </c>
      <c r="H2758" s="23"/>
      <c r="I2758" s="23"/>
    </row>
    <row r="2759" spans="1:9">
      <c r="A2759" s="21" t="s">
        <v>5608</v>
      </c>
      <c r="B2759" s="21"/>
      <c r="C2759" s="22">
        <v>2611</v>
      </c>
      <c r="D2759" s="21">
        <v>52.32</v>
      </c>
      <c r="E2759" s="21" t="s">
        <v>5796</v>
      </c>
      <c r="F2759" s="23"/>
      <c r="G2759" s="23">
        <f t="shared" si="10"/>
        <v>52.32</v>
      </c>
      <c r="H2759" s="23"/>
      <c r="I2759" s="23"/>
    </row>
    <row r="2760" spans="1:9">
      <c r="A2760" s="21" t="s">
        <v>7944</v>
      </c>
      <c r="B2760" s="21"/>
      <c r="C2760" s="22">
        <v>2612</v>
      </c>
      <c r="D2760" s="21">
        <v>52.2</v>
      </c>
      <c r="E2760" s="21" t="s">
        <v>5796</v>
      </c>
      <c r="F2760" s="23"/>
      <c r="G2760" s="23">
        <f t="shared" si="10"/>
        <v>52.2</v>
      </c>
      <c r="H2760" s="23"/>
      <c r="I2760" s="23"/>
    </row>
    <row r="2761" spans="1:9">
      <c r="A2761" s="21" t="s">
        <v>7945</v>
      </c>
      <c r="B2761" s="21"/>
      <c r="C2761" s="22">
        <v>2613</v>
      </c>
      <c r="D2761" s="21">
        <v>52.1</v>
      </c>
      <c r="E2761" s="21" t="s">
        <v>5796</v>
      </c>
      <c r="F2761" s="23"/>
      <c r="G2761" s="23">
        <f t="shared" si="10"/>
        <v>52.1</v>
      </c>
      <c r="H2761" s="23"/>
      <c r="I2761" s="23"/>
    </row>
    <row r="2762" spans="1:9">
      <c r="A2762" s="21" t="s">
        <v>7946</v>
      </c>
      <c r="B2762" s="21"/>
      <c r="C2762" s="22">
        <v>2615</v>
      </c>
      <c r="D2762" s="21">
        <v>52.07</v>
      </c>
      <c r="E2762" s="21" t="s">
        <v>5796</v>
      </c>
      <c r="F2762" s="23"/>
      <c r="G2762" s="23">
        <f t="shared" si="10"/>
        <v>52.07</v>
      </c>
      <c r="H2762" s="23"/>
      <c r="I2762" s="23"/>
    </row>
    <row r="2763" spans="1:9">
      <c r="A2763" s="21" t="s">
        <v>7947</v>
      </c>
      <c r="B2763" s="21"/>
      <c r="C2763" s="22">
        <v>2616</v>
      </c>
      <c r="D2763" s="21">
        <v>52.05</v>
      </c>
      <c r="E2763" s="21" t="s">
        <v>5796</v>
      </c>
      <c r="F2763" s="23"/>
      <c r="G2763" s="23">
        <f t="shared" si="10"/>
        <v>52.05</v>
      </c>
      <c r="H2763" s="23"/>
      <c r="I2763" s="23"/>
    </row>
    <row r="2764" spans="1:9">
      <c r="A2764" s="21" t="s">
        <v>7948</v>
      </c>
      <c r="B2764" s="21"/>
      <c r="C2764" s="22">
        <v>2617</v>
      </c>
      <c r="D2764" s="21">
        <v>51.9</v>
      </c>
      <c r="E2764" s="21" t="s">
        <v>5796</v>
      </c>
      <c r="F2764" s="23"/>
      <c r="G2764" s="23">
        <f t="shared" si="10"/>
        <v>51.9</v>
      </c>
      <c r="H2764" s="23"/>
      <c r="I2764" s="23"/>
    </row>
    <row r="2765" spans="1:9">
      <c r="A2765" s="21" t="s">
        <v>7949</v>
      </c>
      <c r="B2765" s="21"/>
      <c r="C2765" s="22">
        <v>2619</v>
      </c>
      <c r="D2765" s="21">
        <v>51.77</v>
      </c>
      <c r="E2765" s="21" t="s">
        <v>5796</v>
      </c>
      <c r="F2765" s="23"/>
      <c r="G2765" s="23">
        <f t="shared" si="10"/>
        <v>51.77</v>
      </c>
      <c r="H2765" s="23"/>
      <c r="I2765" s="23"/>
    </row>
    <row r="2766" spans="1:9">
      <c r="A2766" s="21" t="s">
        <v>7950</v>
      </c>
      <c r="B2766" s="21"/>
      <c r="C2766" s="22">
        <v>2620</v>
      </c>
      <c r="D2766" s="21">
        <v>51.74</v>
      </c>
      <c r="E2766" s="21" t="s">
        <v>5796</v>
      </c>
      <c r="F2766" s="23"/>
      <c r="G2766" s="23">
        <f t="shared" si="10"/>
        <v>51.74</v>
      </c>
      <c r="H2766" s="23"/>
      <c r="I2766" s="23"/>
    </row>
    <row r="2767" spans="1:9">
      <c r="A2767" s="21" t="s">
        <v>7951</v>
      </c>
      <c r="B2767" s="21"/>
      <c r="C2767" s="22">
        <v>2622</v>
      </c>
      <c r="D2767" s="21">
        <v>51.58</v>
      </c>
      <c r="E2767" s="21" t="s">
        <v>5796</v>
      </c>
      <c r="F2767" s="23"/>
      <c r="G2767" s="23">
        <f t="shared" si="10"/>
        <v>51.58</v>
      </c>
      <c r="H2767" s="23"/>
      <c r="I2767" s="23"/>
    </row>
    <row r="2768" spans="1:9">
      <c r="A2768" s="21" t="s">
        <v>7952</v>
      </c>
      <c r="B2768" s="21"/>
      <c r="C2768" s="22">
        <v>2623</v>
      </c>
      <c r="D2768" s="21">
        <v>51.51</v>
      </c>
      <c r="E2768" s="21" t="s">
        <v>5796</v>
      </c>
      <c r="F2768" s="23"/>
      <c r="G2768" s="23">
        <f t="shared" si="10"/>
        <v>51.51</v>
      </c>
      <c r="H2768" s="23"/>
      <c r="I2768" s="23"/>
    </row>
    <row r="2769" spans="1:9">
      <c r="A2769" s="21" t="s">
        <v>7953</v>
      </c>
      <c r="B2769" s="21"/>
      <c r="C2769" s="22">
        <v>2624</v>
      </c>
      <c r="D2769" s="21">
        <v>51.35</v>
      </c>
      <c r="E2769" s="21" t="s">
        <v>5796</v>
      </c>
      <c r="F2769" s="23"/>
      <c r="G2769" s="23">
        <f t="shared" si="10"/>
        <v>51.35</v>
      </c>
      <c r="H2769" s="23"/>
      <c r="I2769" s="23"/>
    </row>
    <row r="2770" spans="1:9">
      <c r="A2770" s="21" t="s">
        <v>7954</v>
      </c>
      <c r="B2770" s="21"/>
      <c r="C2770" s="22">
        <v>2625</v>
      </c>
      <c r="D2770" s="21">
        <v>51.29</v>
      </c>
      <c r="E2770" s="21" t="s">
        <v>5796</v>
      </c>
      <c r="F2770" s="23"/>
      <c r="G2770" s="23">
        <f t="shared" si="10"/>
        <v>51.29</v>
      </c>
      <c r="H2770" s="23"/>
      <c r="I2770" s="23"/>
    </row>
    <row r="2771" spans="1:9">
      <c r="A2771" s="21" t="s">
        <v>7955</v>
      </c>
      <c r="B2771" s="21"/>
      <c r="C2771" s="22">
        <v>2626</v>
      </c>
      <c r="D2771" s="21">
        <v>51.25</v>
      </c>
      <c r="E2771" s="21" t="s">
        <v>5796</v>
      </c>
      <c r="F2771" s="23"/>
      <c r="G2771" s="23">
        <f t="shared" si="10"/>
        <v>51.25</v>
      </c>
      <c r="H2771" s="23"/>
      <c r="I2771" s="23"/>
    </row>
    <row r="2772" spans="1:9">
      <c r="A2772" s="21" t="s">
        <v>7956</v>
      </c>
      <c r="B2772" s="21"/>
      <c r="C2772" s="22">
        <v>2627</v>
      </c>
      <c r="D2772" s="21">
        <v>51.09</v>
      </c>
      <c r="E2772" s="21" t="s">
        <v>5796</v>
      </c>
      <c r="F2772" s="23"/>
      <c r="G2772" s="23">
        <f t="shared" si="10"/>
        <v>51.09</v>
      </c>
      <c r="H2772" s="23"/>
      <c r="I2772" s="23"/>
    </row>
    <row r="2773" spans="1:9">
      <c r="A2773" s="21" t="s">
        <v>7957</v>
      </c>
      <c r="B2773" s="21"/>
      <c r="C2773" s="22">
        <v>2628</v>
      </c>
      <c r="D2773" s="21">
        <v>51.07</v>
      </c>
      <c r="E2773" s="21" t="s">
        <v>5796</v>
      </c>
      <c r="F2773" s="23"/>
      <c r="G2773" s="23">
        <f t="shared" si="10"/>
        <v>51.07</v>
      </c>
      <c r="H2773" s="23"/>
      <c r="I2773" s="23"/>
    </row>
    <row r="2774" spans="1:9">
      <c r="A2774" s="21" t="s">
        <v>7958</v>
      </c>
      <c r="B2774" s="21"/>
      <c r="C2774" s="22">
        <v>2629</v>
      </c>
      <c r="D2774" s="21">
        <v>51.06</v>
      </c>
      <c r="E2774" s="21" t="s">
        <v>5796</v>
      </c>
      <c r="F2774" s="23"/>
      <c r="G2774" s="23">
        <f t="shared" si="10"/>
        <v>51.06</v>
      </c>
      <c r="H2774" s="23"/>
      <c r="I2774" s="23"/>
    </row>
    <row r="2775" spans="1:9">
      <c r="A2775" s="21" t="s">
        <v>7959</v>
      </c>
      <c r="B2775" s="21"/>
      <c r="C2775" s="22">
        <v>2630</v>
      </c>
      <c r="D2775" s="21">
        <v>51.02</v>
      </c>
      <c r="E2775" s="21" t="s">
        <v>5796</v>
      </c>
      <c r="F2775" s="23"/>
      <c r="G2775" s="23">
        <f t="shared" si="10"/>
        <v>51.02</v>
      </c>
      <c r="H2775" s="23"/>
      <c r="I2775" s="23"/>
    </row>
    <row r="2776" spans="1:9">
      <c r="A2776" s="21" t="s">
        <v>7960</v>
      </c>
      <c r="B2776" s="21"/>
      <c r="C2776" s="22">
        <v>2631</v>
      </c>
      <c r="D2776" s="21">
        <v>50.77</v>
      </c>
      <c r="E2776" s="21" t="s">
        <v>5796</v>
      </c>
      <c r="F2776" s="23"/>
      <c r="G2776" s="23">
        <f t="shared" si="10"/>
        <v>50.77</v>
      </c>
      <c r="H2776" s="23"/>
      <c r="I2776" s="23"/>
    </row>
    <row r="2777" spans="1:9">
      <c r="A2777" s="21" t="s">
        <v>7961</v>
      </c>
      <c r="B2777" s="21"/>
      <c r="C2777" s="22">
        <v>2634</v>
      </c>
      <c r="D2777" s="21">
        <v>50.58</v>
      </c>
      <c r="E2777" s="21" t="s">
        <v>5796</v>
      </c>
      <c r="F2777" s="23"/>
      <c r="G2777" s="23">
        <f t="shared" si="10"/>
        <v>50.58</v>
      </c>
      <c r="H2777" s="23"/>
      <c r="I2777" s="23"/>
    </row>
    <row r="2778" spans="1:9">
      <c r="A2778" s="21" t="s">
        <v>7962</v>
      </c>
      <c r="B2778" s="21"/>
      <c r="C2778" s="22">
        <v>2635</v>
      </c>
      <c r="D2778" s="21">
        <v>50.4</v>
      </c>
      <c r="E2778" s="21" t="s">
        <v>5796</v>
      </c>
      <c r="F2778" s="23"/>
      <c r="G2778" s="23">
        <f t="shared" si="10"/>
        <v>50.4</v>
      </c>
      <c r="H2778" s="23"/>
      <c r="I2778" s="23"/>
    </row>
    <row r="2779" spans="1:9">
      <c r="A2779" s="21" t="s">
        <v>7963</v>
      </c>
      <c r="B2779" s="21"/>
      <c r="C2779" s="22">
        <v>2636</v>
      </c>
      <c r="D2779" s="21">
        <v>50.22</v>
      </c>
      <c r="E2779" s="21" t="s">
        <v>5796</v>
      </c>
      <c r="F2779" s="23"/>
      <c r="G2779" s="23">
        <f t="shared" si="10"/>
        <v>50.22</v>
      </c>
      <c r="H2779" s="23"/>
      <c r="I2779" s="23"/>
    </row>
    <row r="2780" spans="1:9">
      <c r="A2780" s="21" t="s">
        <v>7964</v>
      </c>
      <c r="B2780" s="21"/>
      <c r="C2780" s="22">
        <v>2640</v>
      </c>
      <c r="D2780" s="21">
        <v>50.05</v>
      </c>
      <c r="E2780" s="21" t="s">
        <v>5796</v>
      </c>
      <c r="F2780" s="23"/>
      <c r="G2780" s="23">
        <f t="shared" si="10"/>
        <v>50.05</v>
      </c>
      <c r="H2780" s="23"/>
      <c r="I2780" s="23"/>
    </row>
    <row r="2781" spans="1:9">
      <c r="A2781" s="21" t="s">
        <v>7965</v>
      </c>
      <c r="B2781" s="21"/>
      <c r="C2781" s="22">
        <v>2641</v>
      </c>
      <c r="D2781" s="21">
        <v>50.01</v>
      </c>
      <c r="E2781" s="21" t="s">
        <v>5796</v>
      </c>
      <c r="F2781" s="23"/>
      <c r="G2781" s="23">
        <f t="shared" si="10"/>
        <v>50.01</v>
      </c>
      <c r="H2781" s="23"/>
      <c r="I2781" s="23"/>
    </row>
    <row r="2782" spans="1:9">
      <c r="A2782" s="21" t="s">
        <v>7966</v>
      </c>
      <c r="B2782" s="21"/>
      <c r="C2782" s="22">
        <v>2642</v>
      </c>
      <c r="D2782" s="21">
        <v>50</v>
      </c>
      <c r="E2782" s="21" t="s">
        <v>5796</v>
      </c>
      <c r="F2782" s="23"/>
      <c r="G2782" s="23">
        <f t="shared" si="10"/>
        <v>50</v>
      </c>
      <c r="H2782" s="23"/>
      <c r="I2782" s="23"/>
    </row>
    <row r="2783" spans="1:9">
      <c r="A2783" s="21" t="s">
        <v>7967</v>
      </c>
      <c r="B2783" s="21"/>
      <c r="C2783" s="22">
        <v>2644</v>
      </c>
      <c r="D2783" s="21">
        <v>49.89</v>
      </c>
      <c r="E2783" s="21" t="s">
        <v>5796</v>
      </c>
      <c r="F2783" s="23"/>
      <c r="G2783" s="23">
        <f t="shared" si="10"/>
        <v>49.89</v>
      </c>
      <c r="H2783" s="23"/>
      <c r="I2783" s="23"/>
    </row>
    <row r="2784" spans="1:9">
      <c r="A2784" s="21" t="s">
        <v>7968</v>
      </c>
      <c r="B2784" s="21"/>
      <c r="C2784" s="22">
        <v>2646</v>
      </c>
      <c r="D2784" s="21">
        <v>49.72</v>
      </c>
      <c r="E2784" s="21" t="s">
        <v>5796</v>
      </c>
      <c r="F2784" s="23"/>
      <c r="G2784" s="23">
        <f t="shared" si="10"/>
        <v>49.72</v>
      </c>
      <c r="H2784" s="23"/>
      <c r="I2784" s="23"/>
    </row>
    <row r="2785" spans="1:9">
      <c r="A2785" s="21" t="s">
        <v>7969</v>
      </c>
      <c r="B2785" s="21"/>
      <c r="C2785" s="22">
        <v>2647</v>
      </c>
      <c r="D2785" s="21">
        <v>49.57</v>
      </c>
      <c r="E2785" s="21" t="s">
        <v>5796</v>
      </c>
      <c r="F2785" s="23"/>
      <c r="G2785" s="23">
        <f t="shared" si="10"/>
        <v>49.57</v>
      </c>
      <c r="H2785" s="23"/>
      <c r="I2785" s="23"/>
    </row>
    <row r="2786" spans="1:9">
      <c r="A2786" s="21" t="s">
        <v>7970</v>
      </c>
      <c r="B2786" s="21"/>
      <c r="C2786" s="22">
        <v>2648</v>
      </c>
      <c r="D2786" s="21">
        <v>49.47</v>
      </c>
      <c r="E2786" s="21" t="s">
        <v>5796</v>
      </c>
      <c r="F2786" s="23"/>
      <c r="G2786" s="23">
        <f t="shared" si="10"/>
        <v>49.47</v>
      </c>
      <c r="H2786" s="23"/>
      <c r="I2786" s="23"/>
    </row>
    <row r="2787" spans="1:9">
      <c r="A2787" s="21" t="s">
        <v>7971</v>
      </c>
      <c r="B2787" s="21"/>
      <c r="C2787" s="22">
        <v>2650</v>
      </c>
      <c r="D2787" s="21">
        <v>49.29</v>
      </c>
      <c r="E2787" s="21" t="s">
        <v>5796</v>
      </c>
      <c r="F2787" s="23"/>
      <c r="G2787" s="23">
        <f t="shared" si="10"/>
        <v>49.29</v>
      </c>
      <c r="H2787" s="23"/>
      <c r="I2787" s="23"/>
    </row>
    <row r="2788" spans="1:9">
      <c r="A2788" s="21" t="s">
        <v>7972</v>
      </c>
      <c r="B2788" s="21"/>
      <c r="C2788" s="22">
        <v>2651</v>
      </c>
      <c r="D2788" s="21">
        <v>49.27</v>
      </c>
      <c r="E2788" s="21" t="s">
        <v>5796</v>
      </c>
      <c r="F2788" s="23"/>
      <c r="G2788" s="23">
        <f t="shared" si="10"/>
        <v>49.27</v>
      </c>
      <c r="H2788" s="23"/>
      <c r="I2788" s="23"/>
    </row>
    <row r="2789" spans="1:9">
      <c r="A2789" s="21" t="s">
        <v>7973</v>
      </c>
      <c r="B2789" s="21"/>
      <c r="C2789" s="22">
        <v>2652</v>
      </c>
      <c r="D2789" s="21">
        <v>49.21</v>
      </c>
      <c r="E2789" s="21" t="s">
        <v>5796</v>
      </c>
      <c r="F2789" s="23"/>
      <c r="G2789" s="23">
        <f t="shared" si="10"/>
        <v>49.21</v>
      </c>
      <c r="H2789" s="23"/>
      <c r="I2789" s="23"/>
    </row>
    <row r="2790" spans="1:9">
      <c r="A2790" s="21" t="s">
        <v>7974</v>
      </c>
      <c r="B2790" s="21"/>
      <c r="C2790" s="22">
        <v>2653</v>
      </c>
      <c r="D2790" s="21">
        <v>49.18</v>
      </c>
      <c r="E2790" s="21" t="s">
        <v>5796</v>
      </c>
      <c r="F2790" s="23"/>
      <c r="G2790" s="23">
        <f t="shared" si="10"/>
        <v>49.18</v>
      </c>
      <c r="H2790" s="23"/>
      <c r="I2790" s="23"/>
    </row>
    <row r="2791" spans="1:9">
      <c r="A2791" s="21" t="s">
        <v>7975</v>
      </c>
      <c r="B2791" s="21"/>
      <c r="C2791" s="22">
        <v>2654</v>
      </c>
      <c r="D2791" s="21">
        <v>49.15</v>
      </c>
      <c r="E2791" s="21" t="s">
        <v>5796</v>
      </c>
      <c r="F2791" s="23"/>
      <c r="G2791" s="23">
        <f t="shared" si="10"/>
        <v>49.15</v>
      </c>
      <c r="H2791" s="23"/>
      <c r="I2791" s="23"/>
    </row>
    <row r="2792" spans="1:9">
      <c r="A2792" s="21" t="s">
        <v>7976</v>
      </c>
      <c r="B2792" s="21"/>
      <c r="C2792" s="22">
        <v>2655</v>
      </c>
      <c r="D2792" s="21">
        <v>48.94</v>
      </c>
      <c r="E2792" s="21" t="s">
        <v>5796</v>
      </c>
      <c r="F2792" s="23"/>
      <c r="G2792" s="23">
        <f t="shared" si="10"/>
        <v>48.94</v>
      </c>
      <c r="H2792" s="23"/>
      <c r="I2792" s="23"/>
    </row>
    <row r="2793" spans="1:9">
      <c r="A2793" s="21" t="s">
        <v>7977</v>
      </c>
      <c r="B2793" s="21"/>
      <c r="C2793" s="22">
        <v>2656</v>
      </c>
      <c r="D2793" s="21">
        <v>48.64</v>
      </c>
      <c r="E2793" s="21" t="s">
        <v>5796</v>
      </c>
      <c r="F2793" s="23"/>
      <c r="G2793" s="23">
        <f t="shared" si="10"/>
        <v>48.64</v>
      </c>
      <c r="H2793" s="23"/>
      <c r="I2793" s="23"/>
    </row>
    <row r="2794" spans="1:9">
      <c r="A2794" s="21" t="s">
        <v>7978</v>
      </c>
      <c r="B2794" s="21"/>
      <c r="C2794" s="22">
        <v>2657</v>
      </c>
      <c r="D2794" s="21">
        <v>48.61</v>
      </c>
      <c r="E2794" s="21" t="s">
        <v>5796</v>
      </c>
      <c r="F2794" s="23"/>
      <c r="G2794" s="23">
        <f t="shared" si="10"/>
        <v>48.61</v>
      </c>
      <c r="H2794" s="23"/>
      <c r="I2794" s="23"/>
    </row>
    <row r="2795" spans="1:9">
      <c r="A2795" s="21" t="s">
        <v>7979</v>
      </c>
      <c r="B2795" s="21"/>
      <c r="C2795" s="22">
        <v>2658</v>
      </c>
      <c r="D2795" s="21">
        <v>48.6</v>
      </c>
      <c r="E2795" s="21" t="s">
        <v>5796</v>
      </c>
      <c r="F2795" s="23"/>
      <c r="G2795" s="23">
        <f t="shared" si="10"/>
        <v>48.6</v>
      </c>
      <c r="H2795" s="23"/>
      <c r="I2795" s="23"/>
    </row>
    <row r="2796" spans="1:9">
      <c r="A2796" s="21" t="s">
        <v>7980</v>
      </c>
      <c r="B2796" s="21"/>
      <c r="C2796" s="22">
        <v>2659</v>
      </c>
      <c r="D2796" s="21">
        <v>48.53</v>
      </c>
      <c r="E2796" s="21" t="s">
        <v>5796</v>
      </c>
      <c r="F2796" s="23"/>
      <c r="G2796" s="23">
        <f t="shared" si="10"/>
        <v>48.53</v>
      </c>
      <c r="H2796" s="23"/>
      <c r="I2796" s="23"/>
    </row>
    <row r="2797" spans="1:9">
      <c r="A2797" s="21" t="s">
        <v>7981</v>
      </c>
      <c r="B2797" s="21"/>
      <c r="C2797" s="22">
        <v>2660</v>
      </c>
      <c r="D2797" s="21">
        <v>48.53</v>
      </c>
      <c r="E2797" s="21" t="s">
        <v>5796</v>
      </c>
      <c r="F2797" s="23"/>
      <c r="G2797" s="23">
        <f t="shared" si="10"/>
        <v>48.53</v>
      </c>
      <c r="H2797" s="23"/>
      <c r="I2797" s="23"/>
    </row>
    <row r="2798" spans="1:9">
      <c r="A2798" s="21" t="s">
        <v>7982</v>
      </c>
      <c r="B2798" s="21"/>
      <c r="C2798" s="22">
        <v>2661</v>
      </c>
      <c r="D2798" s="21">
        <v>48.51</v>
      </c>
      <c r="E2798" s="21" t="s">
        <v>5796</v>
      </c>
      <c r="F2798" s="23"/>
      <c r="G2798" s="23">
        <f t="shared" si="10"/>
        <v>48.51</v>
      </c>
      <c r="H2798" s="23"/>
      <c r="I2798" s="23"/>
    </row>
    <row r="2799" spans="1:9">
      <c r="A2799" s="21" t="s">
        <v>7983</v>
      </c>
      <c r="B2799" s="21"/>
      <c r="C2799" s="22">
        <v>2662</v>
      </c>
      <c r="D2799" s="21">
        <v>48.3</v>
      </c>
      <c r="E2799" s="21" t="s">
        <v>5796</v>
      </c>
      <c r="F2799" s="23"/>
      <c r="G2799" s="23">
        <f t="shared" si="10"/>
        <v>48.3</v>
      </c>
      <c r="H2799" s="23"/>
      <c r="I2799" s="23"/>
    </row>
    <row r="2800" spans="1:9">
      <c r="A2800" s="21" t="s">
        <v>7984</v>
      </c>
      <c r="B2800" s="21"/>
      <c r="C2800" s="22">
        <v>2663</v>
      </c>
      <c r="D2800" s="21">
        <v>48.3</v>
      </c>
      <c r="E2800" s="21" t="s">
        <v>5796</v>
      </c>
      <c r="F2800" s="23"/>
      <c r="G2800" s="23">
        <f t="shared" si="10"/>
        <v>48.3</v>
      </c>
      <c r="H2800" s="23"/>
      <c r="I2800" s="23"/>
    </row>
    <row r="2801" spans="1:9">
      <c r="A2801" s="21" t="s">
        <v>7985</v>
      </c>
      <c r="B2801" s="21"/>
      <c r="C2801" s="22">
        <v>2664</v>
      </c>
      <c r="D2801" s="21">
        <v>48.26</v>
      </c>
      <c r="E2801" s="21" t="s">
        <v>5796</v>
      </c>
      <c r="F2801" s="23"/>
      <c r="G2801" s="23">
        <f t="shared" si="10"/>
        <v>48.26</v>
      </c>
      <c r="H2801" s="23"/>
      <c r="I2801" s="23"/>
    </row>
    <row r="2802" spans="1:9">
      <c r="A2802" s="21" t="s">
        <v>7986</v>
      </c>
      <c r="B2802" s="21"/>
      <c r="C2802" s="22">
        <v>2665</v>
      </c>
      <c r="D2802" s="21">
        <v>48.22</v>
      </c>
      <c r="E2802" s="21" t="s">
        <v>5796</v>
      </c>
      <c r="F2802" s="23"/>
      <c r="G2802" s="23">
        <f t="shared" si="10"/>
        <v>48.22</v>
      </c>
      <c r="H2802" s="23"/>
      <c r="I2802" s="23"/>
    </row>
    <row r="2803" spans="1:9">
      <c r="A2803" s="21" t="s">
        <v>7987</v>
      </c>
      <c r="B2803" s="21"/>
      <c r="C2803" s="22">
        <v>2666</v>
      </c>
      <c r="D2803" s="21">
        <v>48.18</v>
      </c>
      <c r="E2803" s="21" t="s">
        <v>5796</v>
      </c>
      <c r="F2803" s="23"/>
      <c r="G2803" s="23">
        <f t="shared" si="10"/>
        <v>48.18</v>
      </c>
      <c r="H2803" s="23"/>
      <c r="I2803" s="23"/>
    </row>
    <row r="2804" spans="1:9">
      <c r="A2804" s="21" t="s">
        <v>7988</v>
      </c>
      <c r="B2804" s="21"/>
      <c r="C2804" s="22">
        <v>2667</v>
      </c>
      <c r="D2804" s="21">
        <v>48.11</v>
      </c>
      <c r="E2804" s="21" t="s">
        <v>5796</v>
      </c>
      <c r="F2804" s="23"/>
      <c r="G2804" s="23">
        <f t="shared" si="10"/>
        <v>48.11</v>
      </c>
      <c r="H2804" s="23"/>
      <c r="I2804" s="23"/>
    </row>
    <row r="2805" spans="1:9">
      <c r="A2805" s="21" t="s">
        <v>7989</v>
      </c>
      <c r="B2805" s="21"/>
      <c r="C2805" s="22">
        <v>2668</v>
      </c>
      <c r="D2805" s="21">
        <v>47.88</v>
      </c>
      <c r="E2805" s="21" t="s">
        <v>5796</v>
      </c>
      <c r="F2805" s="23"/>
      <c r="G2805" s="23">
        <f t="shared" si="10"/>
        <v>47.88</v>
      </c>
      <c r="H2805" s="23"/>
      <c r="I2805" s="23"/>
    </row>
    <row r="2806" spans="1:9">
      <c r="A2806" s="21" t="s">
        <v>7990</v>
      </c>
      <c r="B2806" s="21"/>
      <c r="C2806" s="22">
        <v>2669</v>
      </c>
      <c r="D2806" s="21">
        <v>47.87</v>
      </c>
      <c r="E2806" s="21" t="s">
        <v>5796</v>
      </c>
      <c r="F2806" s="23"/>
      <c r="G2806" s="23">
        <f t="shared" si="10"/>
        <v>47.87</v>
      </c>
      <c r="H2806" s="23"/>
      <c r="I2806" s="23"/>
    </row>
    <row r="2807" spans="1:9">
      <c r="A2807" s="21" t="s">
        <v>7991</v>
      </c>
      <c r="B2807" s="21"/>
      <c r="C2807" s="22">
        <v>2670</v>
      </c>
      <c r="D2807" s="21">
        <v>47.84</v>
      </c>
      <c r="E2807" s="21" t="s">
        <v>5796</v>
      </c>
      <c r="F2807" s="23"/>
      <c r="G2807" s="23">
        <f t="shared" si="10"/>
        <v>47.84</v>
      </c>
      <c r="H2807" s="23"/>
      <c r="I2807" s="23"/>
    </row>
    <row r="2808" spans="1:9">
      <c r="A2808" s="21" t="s">
        <v>7992</v>
      </c>
      <c r="B2808" s="21"/>
      <c r="C2808" s="22">
        <v>2671</v>
      </c>
      <c r="D2808" s="21">
        <v>47.83</v>
      </c>
      <c r="E2808" s="21" t="s">
        <v>5796</v>
      </c>
      <c r="F2808" s="23"/>
      <c r="G2808" s="23">
        <f t="shared" ref="G2808:G3062" si="11">VALUE(SUBSTITUTE(D2808, ",", ""))</f>
        <v>47.83</v>
      </c>
      <c r="H2808" s="23"/>
      <c r="I2808" s="23"/>
    </row>
    <row r="2809" spans="1:9">
      <c r="A2809" s="21" t="s">
        <v>7993</v>
      </c>
      <c r="B2809" s="21"/>
      <c r="C2809" s="22">
        <v>2672</v>
      </c>
      <c r="D2809" s="21">
        <v>47.83</v>
      </c>
      <c r="E2809" s="21" t="s">
        <v>5796</v>
      </c>
      <c r="F2809" s="23"/>
      <c r="G2809" s="23">
        <f t="shared" si="11"/>
        <v>47.83</v>
      </c>
      <c r="H2809" s="23"/>
      <c r="I2809" s="23"/>
    </row>
    <row r="2810" spans="1:9">
      <c r="A2810" s="21" t="s">
        <v>7994</v>
      </c>
      <c r="B2810" s="21"/>
      <c r="C2810" s="22">
        <v>2673</v>
      </c>
      <c r="D2810" s="21">
        <v>47.7</v>
      </c>
      <c r="E2810" s="21" t="s">
        <v>5796</v>
      </c>
      <c r="F2810" s="23"/>
      <c r="G2810" s="23">
        <f t="shared" si="11"/>
        <v>47.7</v>
      </c>
      <c r="H2810" s="23"/>
      <c r="I2810" s="23"/>
    </row>
    <row r="2811" spans="1:9">
      <c r="A2811" s="21" t="s">
        <v>7995</v>
      </c>
      <c r="B2811" s="21"/>
      <c r="C2811" s="22">
        <v>2675</v>
      </c>
      <c r="D2811" s="21">
        <v>47.66</v>
      </c>
      <c r="E2811" s="21" t="s">
        <v>5796</v>
      </c>
      <c r="F2811" s="23"/>
      <c r="G2811" s="23">
        <f t="shared" si="11"/>
        <v>47.66</v>
      </c>
      <c r="H2811" s="23"/>
      <c r="I2811" s="23"/>
    </row>
    <row r="2812" spans="1:9">
      <c r="A2812" s="21" t="s">
        <v>7996</v>
      </c>
      <c r="B2812" s="21"/>
      <c r="C2812" s="22">
        <v>2676</v>
      </c>
      <c r="D2812" s="21">
        <v>47.65</v>
      </c>
      <c r="E2812" s="21" t="s">
        <v>5796</v>
      </c>
      <c r="F2812" s="23"/>
      <c r="G2812" s="23">
        <f t="shared" si="11"/>
        <v>47.65</v>
      </c>
      <c r="H2812" s="23"/>
      <c r="I2812" s="23"/>
    </row>
    <row r="2813" spans="1:9">
      <c r="A2813" s="21" t="s">
        <v>7997</v>
      </c>
      <c r="B2813" s="21"/>
      <c r="C2813" s="22">
        <v>2679</v>
      </c>
      <c r="D2813" s="21">
        <v>47.56</v>
      </c>
      <c r="E2813" s="21" t="s">
        <v>5796</v>
      </c>
      <c r="F2813" s="23"/>
      <c r="G2813" s="23">
        <f t="shared" si="11"/>
        <v>47.56</v>
      </c>
      <c r="H2813" s="23"/>
      <c r="I2813" s="23"/>
    </row>
    <row r="2814" spans="1:9">
      <c r="A2814" s="21" t="s">
        <v>7998</v>
      </c>
      <c r="B2814" s="21"/>
      <c r="C2814" s="22">
        <v>2680</v>
      </c>
      <c r="D2814" s="21">
        <v>47.52</v>
      </c>
      <c r="E2814" s="21" t="s">
        <v>5796</v>
      </c>
      <c r="F2814" s="23"/>
      <c r="G2814" s="23">
        <f t="shared" si="11"/>
        <v>47.52</v>
      </c>
      <c r="H2814" s="23"/>
      <c r="I2814" s="23"/>
    </row>
    <row r="2815" spans="1:9">
      <c r="A2815" s="21" t="s">
        <v>7999</v>
      </c>
      <c r="B2815" s="21"/>
      <c r="C2815" s="22">
        <v>2681</v>
      </c>
      <c r="D2815" s="21">
        <v>47.51</v>
      </c>
      <c r="E2815" s="21" t="s">
        <v>5796</v>
      </c>
      <c r="F2815" s="23"/>
      <c r="G2815" s="23">
        <f t="shared" si="11"/>
        <v>47.51</v>
      </c>
      <c r="H2815" s="23"/>
      <c r="I2815" s="23"/>
    </row>
    <row r="2816" spans="1:9">
      <c r="A2816" s="21" t="s">
        <v>8000</v>
      </c>
      <c r="B2816" s="21"/>
      <c r="C2816" s="22">
        <v>2682</v>
      </c>
      <c r="D2816" s="21">
        <v>47.42</v>
      </c>
      <c r="E2816" s="21" t="s">
        <v>5796</v>
      </c>
      <c r="F2816" s="23"/>
      <c r="G2816" s="23">
        <f t="shared" si="11"/>
        <v>47.42</v>
      </c>
      <c r="H2816" s="23"/>
      <c r="I2816" s="23"/>
    </row>
    <row r="2817" spans="1:9">
      <c r="A2817" s="21" t="s">
        <v>8001</v>
      </c>
      <c r="B2817" s="21"/>
      <c r="C2817" s="22">
        <v>2684</v>
      </c>
      <c r="D2817" s="21">
        <v>47.4</v>
      </c>
      <c r="E2817" s="21" t="s">
        <v>5796</v>
      </c>
      <c r="F2817" s="23"/>
      <c r="G2817" s="23">
        <f t="shared" si="11"/>
        <v>47.4</v>
      </c>
      <c r="H2817" s="23"/>
      <c r="I2817" s="23"/>
    </row>
    <row r="2818" spans="1:9">
      <c r="A2818" s="21" t="s">
        <v>8002</v>
      </c>
      <c r="B2818" s="21"/>
      <c r="C2818" s="22">
        <v>2685</v>
      </c>
      <c r="D2818" s="21">
        <v>47.27</v>
      </c>
      <c r="E2818" s="21" t="s">
        <v>5796</v>
      </c>
      <c r="F2818" s="23"/>
      <c r="G2818" s="23">
        <f t="shared" si="11"/>
        <v>47.27</v>
      </c>
      <c r="H2818" s="23"/>
      <c r="I2818" s="23"/>
    </row>
    <row r="2819" spans="1:9">
      <c r="A2819" s="21" t="s">
        <v>8003</v>
      </c>
      <c r="B2819" s="21"/>
      <c r="C2819" s="22">
        <v>2687</v>
      </c>
      <c r="D2819" s="21">
        <v>46.98</v>
      </c>
      <c r="E2819" s="21" t="s">
        <v>5796</v>
      </c>
      <c r="F2819" s="23"/>
      <c r="G2819" s="23">
        <f t="shared" si="11"/>
        <v>46.98</v>
      </c>
      <c r="H2819" s="23"/>
      <c r="I2819" s="23"/>
    </row>
    <row r="2820" spans="1:9">
      <c r="A2820" s="21" t="s">
        <v>8004</v>
      </c>
      <c r="B2820" s="21"/>
      <c r="C2820" s="22">
        <v>2688</v>
      </c>
      <c r="D2820" s="21">
        <v>46.93</v>
      </c>
      <c r="E2820" s="21" t="s">
        <v>5796</v>
      </c>
      <c r="F2820" s="23"/>
      <c r="G2820" s="23">
        <f t="shared" si="11"/>
        <v>46.93</v>
      </c>
      <c r="H2820" s="23"/>
      <c r="I2820" s="23"/>
    </row>
    <row r="2821" spans="1:9">
      <c r="A2821" s="21" t="s">
        <v>8005</v>
      </c>
      <c r="B2821" s="21"/>
      <c r="C2821" s="22">
        <v>2689</v>
      </c>
      <c r="D2821" s="21">
        <v>46.9</v>
      </c>
      <c r="E2821" s="21" t="s">
        <v>5796</v>
      </c>
      <c r="F2821" s="23"/>
      <c r="G2821" s="23">
        <f t="shared" si="11"/>
        <v>46.9</v>
      </c>
      <c r="H2821" s="23"/>
      <c r="I2821" s="23"/>
    </row>
    <row r="2822" spans="1:9">
      <c r="A2822" s="21" t="s">
        <v>8006</v>
      </c>
      <c r="B2822" s="21"/>
      <c r="C2822" s="22">
        <v>2690</v>
      </c>
      <c r="D2822" s="21">
        <v>46.88</v>
      </c>
      <c r="E2822" s="21" t="s">
        <v>5796</v>
      </c>
      <c r="F2822" s="23"/>
      <c r="G2822" s="23">
        <f t="shared" si="11"/>
        <v>46.88</v>
      </c>
      <c r="H2822" s="23"/>
      <c r="I2822" s="23"/>
    </row>
    <row r="2823" spans="1:9">
      <c r="A2823" s="21" t="s">
        <v>8007</v>
      </c>
      <c r="B2823" s="21"/>
      <c r="C2823" s="22">
        <v>2691</v>
      </c>
      <c r="D2823" s="21">
        <v>46.82</v>
      </c>
      <c r="E2823" s="21" t="s">
        <v>5796</v>
      </c>
      <c r="F2823" s="23"/>
      <c r="G2823" s="23">
        <f t="shared" si="11"/>
        <v>46.82</v>
      </c>
      <c r="H2823" s="23"/>
      <c r="I2823" s="23"/>
    </row>
    <row r="2824" spans="1:9">
      <c r="A2824" s="21" t="s">
        <v>8008</v>
      </c>
      <c r="B2824" s="21"/>
      <c r="C2824" s="22">
        <v>2693</v>
      </c>
      <c r="D2824" s="21">
        <v>46.74</v>
      </c>
      <c r="E2824" s="21" t="s">
        <v>5796</v>
      </c>
      <c r="F2824" s="23"/>
      <c r="G2824" s="23">
        <f t="shared" si="11"/>
        <v>46.74</v>
      </c>
      <c r="H2824" s="23"/>
      <c r="I2824" s="23"/>
    </row>
    <row r="2825" spans="1:9">
      <c r="A2825" s="21" t="s">
        <v>8009</v>
      </c>
      <c r="B2825" s="21"/>
      <c r="C2825" s="22">
        <v>2696</v>
      </c>
      <c r="D2825" s="21">
        <v>46.51</v>
      </c>
      <c r="E2825" s="21" t="s">
        <v>5796</v>
      </c>
      <c r="F2825" s="23"/>
      <c r="G2825" s="23">
        <f t="shared" si="11"/>
        <v>46.51</v>
      </c>
      <c r="H2825" s="23"/>
      <c r="I2825" s="23"/>
    </row>
    <row r="2826" spans="1:9">
      <c r="A2826" s="21" t="s">
        <v>4913</v>
      </c>
      <c r="B2826" s="21"/>
      <c r="C2826" s="22">
        <v>2697</v>
      </c>
      <c r="D2826" s="21">
        <v>46.41</v>
      </c>
      <c r="E2826" s="21" t="s">
        <v>5796</v>
      </c>
      <c r="F2826" s="23"/>
      <c r="G2826" s="23">
        <f t="shared" si="11"/>
        <v>46.41</v>
      </c>
      <c r="H2826" s="23"/>
      <c r="I2826" s="23"/>
    </row>
    <row r="2827" spans="1:9">
      <c r="A2827" s="21" t="s">
        <v>8010</v>
      </c>
      <c r="B2827" s="21"/>
      <c r="C2827" s="22">
        <v>2698</v>
      </c>
      <c r="D2827" s="21">
        <v>46.32</v>
      </c>
      <c r="E2827" s="21" t="s">
        <v>5796</v>
      </c>
      <c r="F2827" s="23"/>
      <c r="G2827" s="23">
        <f t="shared" si="11"/>
        <v>46.32</v>
      </c>
      <c r="H2827" s="23"/>
      <c r="I2827" s="23"/>
    </row>
    <row r="2828" spans="1:9">
      <c r="A2828" s="21" t="s">
        <v>8011</v>
      </c>
      <c r="B2828" s="21"/>
      <c r="C2828" s="22">
        <v>2699</v>
      </c>
      <c r="D2828" s="21">
        <v>46.12</v>
      </c>
      <c r="E2828" s="21" t="s">
        <v>5796</v>
      </c>
      <c r="F2828" s="23"/>
      <c r="G2828" s="23">
        <f t="shared" si="11"/>
        <v>46.12</v>
      </c>
      <c r="H2828" s="23"/>
      <c r="I2828" s="23"/>
    </row>
    <row r="2829" spans="1:9">
      <c r="A2829" s="21" t="s">
        <v>8012</v>
      </c>
      <c r="B2829" s="21"/>
      <c r="C2829" s="22">
        <v>2700</v>
      </c>
      <c r="D2829" s="21">
        <v>46.08</v>
      </c>
      <c r="E2829" s="21" t="s">
        <v>5796</v>
      </c>
      <c r="F2829" s="23"/>
      <c r="G2829" s="23">
        <f t="shared" si="11"/>
        <v>46.08</v>
      </c>
      <c r="H2829" s="23"/>
      <c r="I2829" s="23"/>
    </row>
    <row r="2830" spans="1:9">
      <c r="A2830" s="21" t="s">
        <v>8013</v>
      </c>
      <c r="B2830" s="21"/>
      <c r="C2830" s="22">
        <v>2701</v>
      </c>
      <c r="D2830" s="21">
        <v>45.97</v>
      </c>
      <c r="E2830" s="21" t="s">
        <v>5796</v>
      </c>
      <c r="F2830" s="23"/>
      <c r="G2830" s="23">
        <f t="shared" si="11"/>
        <v>45.97</v>
      </c>
      <c r="H2830" s="23"/>
      <c r="I2830" s="23"/>
    </row>
    <row r="2831" spans="1:9">
      <c r="A2831" s="21" t="s">
        <v>8014</v>
      </c>
      <c r="B2831" s="21"/>
      <c r="C2831" s="22">
        <v>2702</v>
      </c>
      <c r="D2831" s="21">
        <v>45.92</v>
      </c>
      <c r="E2831" s="21" t="s">
        <v>5796</v>
      </c>
      <c r="F2831" s="23"/>
      <c r="G2831" s="23">
        <f t="shared" si="11"/>
        <v>45.92</v>
      </c>
      <c r="H2831" s="23"/>
      <c r="I2831" s="23"/>
    </row>
    <row r="2832" spans="1:9">
      <c r="A2832" s="21" t="s">
        <v>8015</v>
      </c>
      <c r="B2832" s="21"/>
      <c r="C2832" s="22">
        <v>2704</v>
      </c>
      <c r="D2832" s="21">
        <v>45.91</v>
      </c>
      <c r="E2832" s="21" t="s">
        <v>5796</v>
      </c>
      <c r="F2832" s="23"/>
      <c r="G2832" s="23">
        <f t="shared" si="11"/>
        <v>45.91</v>
      </c>
      <c r="H2832" s="23"/>
      <c r="I2832" s="23"/>
    </row>
    <row r="2833" spans="1:9">
      <c r="A2833" s="21" t="s">
        <v>8016</v>
      </c>
      <c r="B2833" s="21"/>
      <c r="C2833" s="22">
        <v>2705</v>
      </c>
      <c r="D2833" s="21">
        <v>45.85</v>
      </c>
      <c r="E2833" s="21" t="s">
        <v>5796</v>
      </c>
      <c r="F2833" s="23"/>
      <c r="G2833" s="23">
        <f t="shared" si="11"/>
        <v>45.85</v>
      </c>
      <c r="H2833" s="23"/>
      <c r="I2833" s="23"/>
    </row>
    <row r="2834" spans="1:9">
      <c r="A2834" s="21" t="s">
        <v>8017</v>
      </c>
      <c r="B2834" s="21"/>
      <c r="C2834" s="22">
        <v>2706</v>
      </c>
      <c r="D2834" s="21">
        <v>45.78</v>
      </c>
      <c r="E2834" s="21" t="s">
        <v>5796</v>
      </c>
      <c r="F2834" s="23"/>
      <c r="G2834" s="23">
        <f t="shared" si="11"/>
        <v>45.78</v>
      </c>
      <c r="H2834" s="23"/>
      <c r="I2834" s="23"/>
    </row>
    <row r="2835" spans="1:9">
      <c r="A2835" s="21" t="s">
        <v>8018</v>
      </c>
      <c r="B2835" s="21"/>
      <c r="C2835" s="22">
        <v>2707</v>
      </c>
      <c r="D2835" s="21">
        <v>45.65</v>
      </c>
      <c r="E2835" s="21" t="s">
        <v>5796</v>
      </c>
      <c r="F2835" s="23"/>
      <c r="G2835" s="23">
        <f t="shared" si="11"/>
        <v>45.65</v>
      </c>
      <c r="H2835" s="23"/>
      <c r="I2835" s="23"/>
    </row>
    <row r="2836" spans="1:9">
      <c r="A2836" s="21" t="s">
        <v>8019</v>
      </c>
      <c r="B2836" s="21"/>
      <c r="C2836" s="22">
        <v>2708</v>
      </c>
      <c r="D2836" s="21">
        <v>45.53</v>
      </c>
      <c r="E2836" s="21" t="s">
        <v>5796</v>
      </c>
      <c r="F2836" s="23"/>
      <c r="G2836" s="23">
        <f t="shared" si="11"/>
        <v>45.53</v>
      </c>
      <c r="H2836" s="23"/>
      <c r="I2836" s="23"/>
    </row>
    <row r="2837" spans="1:9">
      <c r="A2837" s="21" t="s">
        <v>8020</v>
      </c>
      <c r="B2837" s="21"/>
      <c r="C2837" s="22">
        <v>2709</v>
      </c>
      <c r="D2837" s="21">
        <v>45.52</v>
      </c>
      <c r="E2837" s="21" t="s">
        <v>5796</v>
      </c>
      <c r="F2837" s="23"/>
      <c r="G2837" s="23">
        <f t="shared" si="11"/>
        <v>45.52</v>
      </c>
      <c r="H2837" s="23"/>
      <c r="I2837" s="23"/>
    </row>
    <row r="2838" spans="1:9">
      <c r="A2838" s="21" t="s">
        <v>8021</v>
      </c>
      <c r="B2838" s="21"/>
      <c r="C2838" s="22">
        <v>2710</v>
      </c>
      <c r="D2838" s="21">
        <v>45.46</v>
      </c>
      <c r="E2838" s="21" t="s">
        <v>5796</v>
      </c>
      <c r="F2838" s="23"/>
      <c r="G2838" s="23">
        <f t="shared" si="11"/>
        <v>45.46</v>
      </c>
      <c r="H2838" s="23"/>
      <c r="I2838" s="23"/>
    </row>
    <row r="2839" spans="1:9">
      <c r="A2839" s="21" t="s">
        <v>8022</v>
      </c>
      <c r="B2839" s="21"/>
      <c r="C2839" s="22">
        <v>2711</v>
      </c>
      <c r="D2839" s="21">
        <v>45.37</v>
      </c>
      <c r="E2839" s="21" t="s">
        <v>5796</v>
      </c>
      <c r="F2839" s="23"/>
      <c r="G2839" s="23">
        <f t="shared" si="11"/>
        <v>45.37</v>
      </c>
      <c r="H2839" s="23"/>
      <c r="I2839" s="23"/>
    </row>
    <row r="2840" spans="1:9">
      <c r="A2840" s="21" t="s">
        <v>8023</v>
      </c>
      <c r="B2840" s="21"/>
      <c r="C2840" s="22">
        <v>2712</v>
      </c>
      <c r="D2840" s="21">
        <v>45.31</v>
      </c>
      <c r="E2840" s="21" t="s">
        <v>5796</v>
      </c>
      <c r="F2840" s="23"/>
      <c r="G2840" s="23">
        <f t="shared" si="11"/>
        <v>45.31</v>
      </c>
      <c r="H2840" s="23"/>
      <c r="I2840" s="23"/>
    </row>
    <row r="2841" spans="1:9">
      <c r="A2841" s="21" t="s">
        <v>8024</v>
      </c>
      <c r="B2841" s="21"/>
      <c r="C2841" s="22">
        <v>2713</v>
      </c>
      <c r="D2841" s="21">
        <v>45.26</v>
      </c>
      <c r="E2841" s="21" t="s">
        <v>5796</v>
      </c>
      <c r="F2841" s="23"/>
      <c r="G2841" s="23">
        <f t="shared" si="11"/>
        <v>45.26</v>
      </c>
      <c r="H2841" s="23"/>
      <c r="I2841" s="23"/>
    </row>
    <row r="2842" spans="1:9">
      <c r="A2842" s="21" t="s">
        <v>8025</v>
      </c>
      <c r="B2842" s="21"/>
      <c r="C2842" s="22">
        <v>2714</v>
      </c>
      <c r="D2842" s="21">
        <v>45.22</v>
      </c>
      <c r="E2842" s="21" t="s">
        <v>5796</v>
      </c>
      <c r="F2842" s="23"/>
      <c r="G2842" s="23">
        <f t="shared" si="11"/>
        <v>45.22</v>
      </c>
      <c r="H2842" s="23"/>
      <c r="I2842" s="23"/>
    </row>
    <row r="2843" spans="1:9">
      <c r="A2843" s="21" t="s">
        <v>8026</v>
      </c>
      <c r="B2843" s="21"/>
      <c r="C2843" s="22">
        <v>2715</v>
      </c>
      <c r="D2843" s="21">
        <v>45.2</v>
      </c>
      <c r="E2843" s="21" t="s">
        <v>5796</v>
      </c>
      <c r="F2843" s="23"/>
      <c r="G2843" s="23">
        <f t="shared" si="11"/>
        <v>45.2</v>
      </c>
      <c r="H2843" s="23"/>
      <c r="I2843" s="23"/>
    </row>
    <row r="2844" spans="1:9">
      <c r="A2844" s="21" t="s">
        <v>8027</v>
      </c>
      <c r="B2844" s="21"/>
      <c r="C2844" s="22">
        <v>2716</v>
      </c>
      <c r="D2844" s="21">
        <v>45.18</v>
      </c>
      <c r="E2844" s="21" t="s">
        <v>5796</v>
      </c>
      <c r="F2844" s="23"/>
      <c r="G2844" s="23">
        <f t="shared" si="11"/>
        <v>45.18</v>
      </c>
      <c r="H2844" s="23"/>
      <c r="I2844" s="23"/>
    </row>
    <row r="2845" spans="1:9">
      <c r="A2845" s="21" t="s">
        <v>8028</v>
      </c>
      <c r="B2845" s="21"/>
      <c r="C2845" s="22">
        <v>2717</v>
      </c>
      <c r="D2845" s="21">
        <v>45.17</v>
      </c>
      <c r="E2845" s="21" t="s">
        <v>5796</v>
      </c>
      <c r="F2845" s="23"/>
      <c r="G2845" s="23">
        <f t="shared" si="11"/>
        <v>45.17</v>
      </c>
      <c r="H2845" s="23"/>
      <c r="I2845" s="23"/>
    </row>
    <row r="2846" spans="1:9">
      <c r="A2846" s="21" t="s">
        <v>8029</v>
      </c>
      <c r="B2846" s="21"/>
      <c r="C2846" s="22">
        <v>2718</v>
      </c>
      <c r="D2846" s="21">
        <v>45.15</v>
      </c>
      <c r="E2846" s="21" t="s">
        <v>5796</v>
      </c>
      <c r="F2846" s="23"/>
      <c r="G2846" s="23">
        <f t="shared" si="11"/>
        <v>45.15</v>
      </c>
      <c r="H2846" s="23"/>
      <c r="I2846" s="23"/>
    </row>
    <row r="2847" spans="1:9">
      <c r="A2847" s="21" t="s">
        <v>8030</v>
      </c>
      <c r="B2847" s="21"/>
      <c r="C2847" s="22">
        <v>2719</v>
      </c>
      <c r="D2847" s="21">
        <v>45.08</v>
      </c>
      <c r="E2847" s="21" t="s">
        <v>5796</v>
      </c>
      <c r="F2847" s="23"/>
      <c r="G2847" s="23">
        <f t="shared" si="11"/>
        <v>45.08</v>
      </c>
      <c r="H2847" s="23"/>
      <c r="I2847" s="23"/>
    </row>
    <row r="2848" spans="1:9">
      <c r="A2848" s="21" t="s">
        <v>8031</v>
      </c>
      <c r="B2848" s="21"/>
      <c r="C2848" s="22">
        <v>2720</v>
      </c>
      <c r="D2848" s="21">
        <v>44.92</v>
      </c>
      <c r="E2848" s="21" t="s">
        <v>5796</v>
      </c>
      <c r="F2848" s="23"/>
      <c r="G2848" s="23">
        <f t="shared" si="11"/>
        <v>44.92</v>
      </c>
      <c r="H2848" s="23"/>
      <c r="I2848" s="23"/>
    </row>
    <row r="2849" spans="1:9">
      <c r="A2849" s="21" t="s">
        <v>8032</v>
      </c>
      <c r="B2849" s="21"/>
      <c r="C2849" s="22">
        <v>2721</v>
      </c>
      <c r="D2849" s="21">
        <v>44.85</v>
      </c>
      <c r="E2849" s="21" t="s">
        <v>5796</v>
      </c>
      <c r="F2849" s="23"/>
      <c r="G2849" s="23">
        <f t="shared" si="11"/>
        <v>44.85</v>
      </c>
      <c r="H2849" s="23"/>
      <c r="I2849" s="23"/>
    </row>
    <row r="2850" spans="1:9">
      <c r="A2850" s="21" t="s">
        <v>8033</v>
      </c>
      <c r="B2850" s="21"/>
      <c r="C2850" s="22">
        <v>2722</v>
      </c>
      <c r="D2850" s="21">
        <v>44.85</v>
      </c>
      <c r="E2850" s="21" t="s">
        <v>5796</v>
      </c>
      <c r="F2850" s="23"/>
      <c r="G2850" s="23">
        <f t="shared" si="11"/>
        <v>44.85</v>
      </c>
      <c r="H2850" s="23"/>
      <c r="I2850" s="23"/>
    </row>
    <row r="2851" spans="1:9">
      <c r="A2851" s="21" t="s">
        <v>8034</v>
      </c>
      <c r="B2851" s="21"/>
      <c r="C2851" s="22">
        <v>2723</v>
      </c>
      <c r="D2851" s="21">
        <v>44.84</v>
      </c>
      <c r="E2851" s="21" t="s">
        <v>5796</v>
      </c>
      <c r="F2851" s="23"/>
      <c r="G2851" s="23">
        <f t="shared" si="11"/>
        <v>44.84</v>
      </c>
      <c r="H2851" s="23"/>
      <c r="I2851" s="23"/>
    </row>
    <row r="2852" spans="1:9">
      <c r="A2852" s="21" t="s">
        <v>8035</v>
      </c>
      <c r="B2852" s="21"/>
      <c r="C2852" s="22">
        <v>2725</v>
      </c>
      <c r="D2852" s="21">
        <v>44.78</v>
      </c>
      <c r="E2852" s="21" t="s">
        <v>5796</v>
      </c>
      <c r="F2852" s="23"/>
      <c r="G2852" s="23">
        <f t="shared" si="11"/>
        <v>44.78</v>
      </c>
      <c r="H2852" s="23"/>
      <c r="I2852" s="23"/>
    </row>
    <row r="2853" spans="1:9">
      <c r="A2853" s="21" t="s">
        <v>8036</v>
      </c>
      <c r="B2853" s="21"/>
      <c r="C2853" s="22">
        <v>2726</v>
      </c>
      <c r="D2853" s="21">
        <v>44.7</v>
      </c>
      <c r="E2853" s="21" t="s">
        <v>5796</v>
      </c>
      <c r="F2853" s="23"/>
      <c r="G2853" s="23">
        <f t="shared" si="11"/>
        <v>44.7</v>
      </c>
      <c r="H2853" s="23"/>
      <c r="I2853" s="23"/>
    </row>
    <row r="2854" spans="1:9">
      <c r="A2854" s="21" t="s">
        <v>8037</v>
      </c>
      <c r="B2854" s="21"/>
      <c r="C2854" s="22">
        <v>2727</v>
      </c>
      <c r="D2854" s="21">
        <v>44.69</v>
      </c>
      <c r="E2854" s="21" t="s">
        <v>5796</v>
      </c>
      <c r="F2854" s="23"/>
      <c r="G2854" s="23">
        <f t="shared" si="11"/>
        <v>44.69</v>
      </c>
      <c r="H2854" s="23"/>
      <c r="I2854" s="23"/>
    </row>
    <row r="2855" spans="1:9">
      <c r="A2855" s="21" t="s">
        <v>8038</v>
      </c>
      <c r="B2855" s="21"/>
      <c r="C2855" s="22">
        <v>2728</v>
      </c>
      <c r="D2855" s="21">
        <v>44.61</v>
      </c>
      <c r="E2855" s="21" t="s">
        <v>5796</v>
      </c>
      <c r="F2855" s="23"/>
      <c r="G2855" s="23">
        <f t="shared" si="11"/>
        <v>44.61</v>
      </c>
      <c r="H2855" s="23"/>
      <c r="I2855" s="23"/>
    </row>
    <row r="2856" spans="1:9">
      <c r="A2856" s="21" t="s">
        <v>8039</v>
      </c>
      <c r="B2856" s="21"/>
      <c r="C2856" s="22">
        <v>2729</v>
      </c>
      <c r="D2856" s="21">
        <v>44.58</v>
      </c>
      <c r="E2856" s="21" t="s">
        <v>5796</v>
      </c>
      <c r="F2856" s="23"/>
      <c r="G2856" s="23">
        <f t="shared" si="11"/>
        <v>44.58</v>
      </c>
      <c r="H2856" s="23"/>
      <c r="I2856" s="23"/>
    </row>
    <row r="2857" spans="1:9">
      <c r="A2857" s="21" t="s">
        <v>8040</v>
      </c>
      <c r="B2857" s="21"/>
      <c r="C2857" s="22">
        <v>2731</v>
      </c>
      <c r="D2857" s="21">
        <v>44.51</v>
      </c>
      <c r="E2857" s="21" t="s">
        <v>5796</v>
      </c>
      <c r="F2857" s="23"/>
      <c r="G2857" s="23">
        <f t="shared" si="11"/>
        <v>44.51</v>
      </c>
      <c r="H2857" s="23"/>
      <c r="I2857" s="23"/>
    </row>
    <row r="2858" spans="1:9">
      <c r="A2858" s="21" t="s">
        <v>8041</v>
      </c>
      <c r="B2858" s="21"/>
      <c r="C2858" s="22">
        <v>2732</v>
      </c>
      <c r="D2858" s="21">
        <v>44.48</v>
      </c>
      <c r="E2858" s="21" t="s">
        <v>5796</v>
      </c>
      <c r="F2858" s="23"/>
      <c r="G2858" s="23">
        <f t="shared" si="11"/>
        <v>44.48</v>
      </c>
      <c r="H2858" s="23"/>
      <c r="I2858" s="23"/>
    </row>
    <row r="2859" spans="1:9">
      <c r="A2859" s="21" t="s">
        <v>8042</v>
      </c>
      <c r="B2859" s="21"/>
      <c r="C2859" s="22">
        <v>2733</v>
      </c>
      <c r="D2859" s="21">
        <v>44.45</v>
      </c>
      <c r="E2859" s="21" t="s">
        <v>5796</v>
      </c>
      <c r="F2859" s="23"/>
      <c r="G2859" s="23">
        <f t="shared" si="11"/>
        <v>44.45</v>
      </c>
      <c r="H2859" s="23"/>
      <c r="I2859" s="23"/>
    </row>
    <row r="2860" spans="1:9">
      <c r="A2860" s="21" t="s">
        <v>8043</v>
      </c>
      <c r="B2860" s="21"/>
      <c r="C2860" s="22">
        <v>2734</v>
      </c>
      <c r="D2860" s="21">
        <v>44.41</v>
      </c>
      <c r="E2860" s="21" t="s">
        <v>5796</v>
      </c>
      <c r="F2860" s="23"/>
      <c r="G2860" s="23">
        <f t="shared" si="11"/>
        <v>44.41</v>
      </c>
      <c r="H2860" s="23"/>
      <c r="I2860" s="23"/>
    </row>
    <row r="2861" spans="1:9">
      <c r="A2861" s="21" t="s">
        <v>8044</v>
      </c>
      <c r="B2861" s="21"/>
      <c r="C2861" s="22">
        <v>2735</v>
      </c>
      <c r="D2861" s="21">
        <v>44.18</v>
      </c>
      <c r="E2861" s="21" t="s">
        <v>5796</v>
      </c>
      <c r="F2861" s="23"/>
      <c r="G2861" s="23">
        <f t="shared" si="11"/>
        <v>44.18</v>
      </c>
      <c r="H2861" s="23"/>
      <c r="I2861" s="23"/>
    </row>
    <row r="2862" spans="1:9">
      <c r="A2862" s="21" t="s">
        <v>8045</v>
      </c>
      <c r="B2862" s="21"/>
      <c r="C2862" s="22">
        <v>2736</v>
      </c>
      <c r="D2862" s="21">
        <v>44.02</v>
      </c>
      <c r="E2862" s="21" t="s">
        <v>5796</v>
      </c>
      <c r="F2862" s="23"/>
      <c r="G2862" s="23">
        <f t="shared" si="11"/>
        <v>44.02</v>
      </c>
      <c r="H2862" s="23"/>
      <c r="I2862" s="23"/>
    </row>
    <row r="2863" spans="1:9">
      <c r="A2863" s="21" t="s">
        <v>8046</v>
      </c>
      <c r="B2863" s="21"/>
      <c r="C2863" s="22">
        <v>2737</v>
      </c>
      <c r="D2863" s="21">
        <v>43.91</v>
      </c>
      <c r="E2863" s="21" t="s">
        <v>5796</v>
      </c>
      <c r="F2863" s="23"/>
      <c r="G2863" s="23">
        <f t="shared" si="11"/>
        <v>43.91</v>
      </c>
      <c r="H2863" s="23"/>
      <c r="I2863" s="23"/>
    </row>
    <row r="2864" spans="1:9">
      <c r="A2864" s="21" t="s">
        <v>8047</v>
      </c>
      <c r="B2864" s="21"/>
      <c r="C2864" s="22">
        <v>2738</v>
      </c>
      <c r="D2864" s="21">
        <v>43.9</v>
      </c>
      <c r="E2864" s="21" t="s">
        <v>5796</v>
      </c>
      <c r="F2864" s="23"/>
      <c r="G2864" s="23">
        <f t="shared" si="11"/>
        <v>43.9</v>
      </c>
      <c r="H2864" s="23"/>
      <c r="I2864" s="23"/>
    </row>
    <row r="2865" spans="1:9">
      <c r="A2865" s="21" t="s">
        <v>8048</v>
      </c>
      <c r="B2865" s="21"/>
      <c r="C2865" s="22">
        <v>2739</v>
      </c>
      <c r="D2865" s="21">
        <v>43.88</v>
      </c>
      <c r="E2865" s="21" t="s">
        <v>5796</v>
      </c>
      <c r="F2865" s="23"/>
      <c r="G2865" s="23">
        <f t="shared" si="11"/>
        <v>43.88</v>
      </c>
      <c r="H2865" s="23"/>
      <c r="I2865" s="23"/>
    </row>
    <row r="2866" spans="1:9">
      <c r="A2866" s="21" t="s">
        <v>8049</v>
      </c>
      <c r="B2866" s="21"/>
      <c r="C2866" s="22">
        <v>2740</v>
      </c>
      <c r="D2866" s="21">
        <v>43.72</v>
      </c>
      <c r="E2866" s="21" t="s">
        <v>5796</v>
      </c>
      <c r="F2866" s="23"/>
      <c r="G2866" s="23">
        <f t="shared" si="11"/>
        <v>43.72</v>
      </c>
      <c r="H2866" s="23"/>
      <c r="I2866" s="23"/>
    </row>
    <row r="2867" spans="1:9">
      <c r="A2867" s="21" t="s">
        <v>8050</v>
      </c>
      <c r="B2867" s="21"/>
      <c r="C2867" s="22">
        <v>2741</v>
      </c>
      <c r="D2867" s="21">
        <v>43.57</v>
      </c>
      <c r="E2867" s="21" t="s">
        <v>5796</v>
      </c>
      <c r="F2867" s="23"/>
      <c r="G2867" s="23">
        <f t="shared" si="11"/>
        <v>43.57</v>
      </c>
      <c r="H2867" s="23"/>
      <c r="I2867" s="23"/>
    </row>
    <row r="2868" spans="1:9">
      <c r="A2868" s="21" t="s">
        <v>8051</v>
      </c>
      <c r="B2868" s="21"/>
      <c r="C2868" s="22">
        <v>2742</v>
      </c>
      <c r="D2868" s="21">
        <v>43.52</v>
      </c>
      <c r="E2868" s="21" t="s">
        <v>5796</v>
      </c>
      <c r="F2868" s="23"/>
      <c r="G2868" s="23">
        <f t="shared" si="11"/>
        <v>43.52</v>
      </c>
      <c r="H2868" s="23"/>
      <c r="I2868" s="23"/>
    </row>
    <row r="2869" spans="1:9">
      <c r="A2869" s="21" t="s">
        <v>8052</v>
      </c>
      <c r="B2869" s="21"/>
      <c r="C2869" s="22">
        <v>2743</v>
      </c>
      <c r="D2869" s="21">
        <v>43.47</v>
      </c>
      <c r="E2869" s="21" t="s">
        <v>5796</v>
      </c>
      <c r="F2869" s="23"/>
      <c r="G2869" s="23">
        <f t="shared" si="11"/>
        <v>43.47</v>
      </c>
      <c r="H2869" s="23"/>
      <c r="I2869" s="23"/>
    </row>
    <row r="2870" spans="1:9">
      <c r="A2870" s="21" t="s">
        <v>8053</v>
      </c>
      <c r="B2870" s="21"/>
      <c r="C2870" s="22">
        <v>2744</v>
      </c>
      <c r="D2870" s="21">
        <v>43.46</v>
      </c>
      <c r="E2870" s="21" t="s">
        <v>5796</v>
      </c>
      <c r="F2870" s="23"/>
      <c r="G2870" s="23">
        <f t="shared" si="11"/>
        <v>43.46</v>
      </c>
      <c r="H2870" s="23"/>
      <c r="I2870" s="23"/>
    </row>
    <row r="2871" spans="1:9">
      <c r="A2871" s="21" t="s">
        <v>8054</v>
      </c>
      <c r="B2871" s="21"/>
      <c r="C2871" s="22">
        <v>2745</v>
      </c>
      <c r="D2871" s="21">
        <v>43.35</v>
      </c>
      <c r="E2871" s="21" t="s">
        <v>5796</v>
      </c>
      <c r="F2871" s="23"/>
      <c r="G2871" s="23">
        <f t="shared" si="11"/>
        <v>43.35</v>
      </c>
      <c r="H2871" s="23"/>
      <c r="I2871" s="23"/>
    </row>
    <row r="2872" spans="1:9">
      <c r="A2872" s="21" t="s">
        <v>8055</v>
      </c>
      <c r="B2872" s="21"/>
      <c r="C2872" s="22">
        <v>2747</v>
      </c>
      <c r="D2872" s="21">
        <v>43.22</v>
      </c>
      <c r="E2872" s="21" t="s">
        <v>5796</v>
      </c>
      <c r="F2872" s="23"/>
      <c r="G2872" s="23">
        <f t="shared" si="11"/>
        <v>43.22</v>
      </c>
      <c r="H2872" s="23"/>
      <c r="I2872" s="23"/>
    </row>
    <row r="2873" spans="1:9">
      <c r="A2873" s="21" t="s">
        <v>8056</v>
      </c>
      <c r="B2873" s="21"/>
      <c r="C2873" s="22">
        <v>2749</v>
      </c>
      <c r="D2873" s="21">
        <v>43.17</v>
      </c>
      <c r="E2873" s="21" t="s">
        <v>5796</v>
      </c>
      <c r="F2873" s="23"/>
      <c r="G2873" s="23">
        <f t="shared" si="11"/>
        <v>43.17</v>
      </c>
      <c r="H2873" s="23"/>
      <c r="I2873" s="23"/>
    </row>
    <row r="2874" spans="1:9">
      <c r="A2874" s="21" t="s">
        <v>8057</v>
      </c>
      <c r="B2874" s="21"/>
      <c r="C2874" s="22">
        <v>2750</v>
      </c>
      <c r="D2874" s="21">
        <v>43.12</v>
      </c>
      <c r="E2874" s="21" t="s">
        <v>5796</v>
      </c>
      <c r="F2874" s="23"/>
      <c r="G2874" s="23">
        <f t="shared" si="11"/>
        <v>43.12</v>
      </c>
      <c r="H2874" s="23"/>
      <c r="I2874" s="23"/>
    </row>
    <row r="2875" spans="1:9">
      <c r="A2875" s="21" t="s">
        <v>8058</v>
      </c>
      <c r="B2875" s="21"/>
      <c r="C2875" s="22">
        <v>2751</v>
      </c>
      <c r="D2875" s="21">
        <v>43.02</v>
      </c>
      <c r="E2875" s="21" t="s">
        <v>5796</v>
      </c>
      <c r="F2875" s="23"/>
      <c r="G2875" s="23">
        <f t="shared" si="11"/>
        <v>43.02</v>
      </c>
      <c r="H2875" s="23"/>
      <c r="I2875" s="23"/>
    </row>
    <row r="2876" spans="1:9">
      <c r="A2876" s="21" t="s">
        <v>8059</v>
      </c>
      <c r="B2876" s="21"/>
      <c r="C2876" s="22">
        <v>2752</v>
      </c>
      <c r="D2876" s="21">
        <v>42.84</v>
      </c>
      <c r="E2876" s="21" t="s">
        <v>5796</v>
      </c>
      <c r="F2876" s="23"/>
      <c r="G2876" s="23">
        <f t="shared" si="11"/>
        <v>42.84</v>
      </c>
      <c r="H2876" s="23"/>
      <c r="I2876" s="23"/>
    </row>
    <row r="2877" spans="1:9">
      <c r="A2877" s="21" t="s">
        <v>8060</v>
      </c>
      <c r="B2877" s="21"/>
      <c r="C2877" s="22">
        <v>2753</v>
      </c>
      <c r="D2877" s="21">
        <v>42.81</v>
      </c>
      <c r="E2877" s="21" t="s">
        <v>5796</v>
      </c>
      <c r="F2877" s="23"/>
      <c r="G2877" s="23">
        <f t="shared" si="11"/>
        <v>42.81</v>
      </c>
      <c r="H2877" s="23"/>
      <c r="I2877" s="23"/>
    </row>
    <row r="2878" spans="1:9">
      <c r="A2878" s="21" t="s">
        <v>8061</v>
      </c>
      <c r="B2878" s="21"/>
      <c r="C2878" s="22">
        <v>2754</v>
      </c>
      <c r="D2878" s="21">
        <v>42.71</v>
      </c>
      <c r="E2878" s="21" t="s">
        <v>5796</v>
      </c>
      <c r="F2878" s="23"/>
      <c r="G2878" s="23">
        <f t="shared" si="11"/>
        <v>42.71</v>
      </c>
      <c r="H2878" s="23"/>
      <c r="I2878" s="23"/>
    </row>
    <row r="2879" spans="1:9">
      <c r="A2879" s="21" t="s">
        <v>8062</v>
      </c>
      <c r="B2879" s="21"/>
      <c r="C2879" s="22">
        <v>2755</v>
      </c>
      <c r="D2879" s="21">
        <v>42.7</v>
      </c>
      <c r="E2879" s="21" t="s">
        <v>5796</v>
      </c>
      <c r="F2879" s="23"/>
      <c r="G2879" s="23">
        <f t="shared" si="11"/>
        <v>42.7</v>
      </c>
      <c r="H2879" s="23"/>
      <c r="I2879" s="23"/>
    </row>
    <row r="2880" spans="1:9">
      <c r="A2880" s="21" t="s">
        <v>8063</v>
      </c>
      <c r="B2880" s="21"/>
      <c r="C2880" s="22">
        <v>2756</v>
      </c>
      <c r="D2880" s="21">
        <v>42.58</v>
      </c>
      <c r="E2880" s="21" t="s">
        <v>5796</v>
      </c>
      <c r="F2880" s="23"/>
      <c r="G2880" s="23">
        <f t="shared" si="11"/>
        <v>42.58</v>
      </c>
      <c r="H2880" s="23"/>
      <c r="I2880" s="23"/>
    </row>
    <row r="2881" spans="1:9">
      <c r="A2881" s="21" t="s">
        <v>8064</v>
      </c>
      <c r="B2881" s="21"/>
      <c r="C2881" s="22">
        <v>2757</v>
      </c>
      <c r="D2881" s="21">
        <v>42.47</v>
      </c>
      <c r="E2881" s="21" t="s">
        <v>5796</v>
      </c>
      <c r="F2881" s="23"/>
      <c r="G2881" s="23">
        <f t="shared" si="11"/>
        <v>42.47</v>
      </c>
      <c r="H2881" s="23"/>
      <c r="I2881" s="23"/>
    </row>
    <row r="2882" spans="1:9">
      <c r="A2882" s="21" t="s">
        <v>8065</v>
      </c>
      <c r="B2882" s="21"/>
      <c r="C2882" s="22">
        <v>2758</v>
      </c>
      <c r="D2882" s="21">
        <v>42.46</v>
      </c>
      <c r="E2882" s="21" t="s">
        <v>5796</v>
      </c>
      <c r="F2882" s="23"/>
      <c r="G2882" s="23">
        <f t="shared" si="11"/>
        <v>42.46</v>
      </c>
      <c r="H2882" s="23"/>
      <c r="I2882" s="23"/>
    </row>
    <row r="2883" spans="1:9">
      <c r="A2883" s="21" t="s">
        <v>8066</v>
      </c>
      <c r="B2883" s="21"/>
      <c r="C2883" s="22">
        <v>2759</v>
      </c>
      <c r="D2883" s="21">
        <v>42.23</v>
      </c>
      <c r="E2883" s="21" t="s">
        <v>5796</v>
      </c>
      <c r="F2883" s="23"/>
      <c r="G2883" s="23">
        <f t="shared" si="11"/>
        <v>42.23</v>
      </c>
      <c r="H2883" s="23"/>
      <c r="I2883" s="23"/>
    </row>
    <row r="2884" spans="1:9">
      <c r="A2884" s="21" t="s">
        <v>8067</v>
      </c>
      <c r="B2884" s="21"/>
      <c r="C2884" s="22">
        <v>2760</v>
      </c>
      <c r="D2884" s="21">
        <v>42.2</v>
      </c>
      <c r="E2884" s="21" t="s">
        <v>5796</v>
      </c>
      <c r="F2884" s="23"/>
      <c r="G2884" s="23">
        <f t="shared" si="11"/>
        <v>42.2</v>
      </c>
      <c r="H2884" s="23"/>
      <c r="I2884" s="23"/>
    </row>
    <row r="2885" spans="1:9">
      <c r="A2885" s="21" t="s">
        <v>8068</v>
      </c>
      <c r="B2885" s="21"/>
      <c r="C2885" s="22">
        <v>2761</v>
      </c>
      <c r="D2885" s="21">
        <v>42.19</v>
      </c>
      <c r="E2885" s="21" t="s">
        <v>5796</v>
      </c>
      <c r="F2885" s="23"/>
      <c r="G2885" s="23">
        <f t="shared" si="11"/>
        <v>42.19</v>
      </c>
      <c r="H2885" s="23"/>
      <c r="I2885" s="23"/>
    </row>
    <row r="2886" spans="1:9">
      <c r="A2886" s="21" t="s">
        <v>8069</v>
      </c>
      <c r="B2886" s="21"/>
      <c r="C2886" s="22">
        <v>2762</v>
      </c>
      <c r="D2886" s="21">
        <v>42.16</v>
      </c>
      <c r="E2886" s="21" t="s">
        <v>5796</v>
      </c>
      <c r="F2886" s="23"/>
      <c r="G2886" s="23">
        <f t="shared" si="11"/>
        <v>42.16</v>
      </c>
      <c r="H2886" s="23"/>
      <c r="I2886" s="23"/>
    </row>
    <row r="2887" spans="1:9">
      <c r="A2887" s="21" t="s">
        <v>8070</v>
      </c>
      <c r="B2887" s="21"/>
      <c r="C2887" s="22">
        <v>2763</v>
      </c>
      <c r="D2887" s="21">
        <v>42.14</v>
      </c>
      <c r="E2887" s="21" t="s">
        <v>5796</v>
      </c>
      <c r="F2887" s="23"/>
      <c r="G2887" s="23">
        <f t="shared" si="11"/>
        <v>42.14</v>
      </c>
      <c r="H2887" s="23"/>
      <c r="I2887" s="23"/>
    </row>
    <row r="2888" spans="1:9">
      <c r="A2888" s="21" t="s">
        <v>8071</v>
      </c>
      <c r="B2888" s="21"/>
      <c r="C2888" s="22">
        <v>2765</v>
      </c>
      <c r="D2888" s="21">
        <v>41.99</v>
      </c>
      <c r="E2888" s="21" t="s">
        <v>5796</v>
      </c>
      <c r="F2888" s="23"/>
      <c r="G2888" s="23">
        <f t="shared" si="11"/>
        <v>41.99</v>
      </c>
      <c r="H2888" s="23"/>
      <c r="I2888" s="23"/>
    </row>
    <row r="2889" spans="1:9">
      <c r="A2889" s="21" t="s">
        <v>8072</v>
      </c>
      <c r="B2889" s="21"/>
      <c r="C2889" s="22">
        <v>2766</v>
      </c>
      <c r="D2889" s="21">
        <v>41.98</v>
      </c>
      <c r="E2889" s="21" t="s">
        <v>5796</v>
      </c>
      <c r="F2889" s="23"/>
      <c r="G2889" s="23">
        <f t="shared" si="11"/>
        <v>41.98</v>
      </c>
      <c r="H2889" s="23"/>
      <c r="I2889" s="23"/>
    </row>
    <row r="2890" spans="1:9">
      <c r="A2890" s="21" t="s">
        <v>8073</v>
      </c>
      <c r="B2890" s="21"/>
      <c r="C2890" s="22">
        <v>2767</v>
      </c>
      <c r="D2890" s="21">
        <v>41.97</v>
      </c>
      <c r="E2890" s="21" t="s">
        <v>5796</v>
      </c>
      <c r="F2890" s="23"/>
      <c r="G2890" s="23">
        <f t="shared" si="11"/>
        <v>41.97</v>
      </c>
      <c r="H2890" s="23"/>
      <c r="I2890" s="23"/>
    </row>
    <row r="2891" spans="1:9">
      <c r="A2891" s="21" t="s">
        <v>8074</v>
      </c>
      <c r="B2891" s="21"/>
      <c r="C2891" s="22">
        <v>2768</v>
      </c>
      <c r="D2891" s="21">
        <v>41.92</v>
      </c>
      <c r="E2891" s="21" t="s">
        <v>5796</v>
      </c>
      <c r="F2891" s="23"/>
      <c r="G2891" s="23">
        <f t="shared" si="11"/>
        <v>41.92</v>
      </c>
      <c r="H2891" s="23"/>
      <c r="I2891" s="23"/>
    </row>
    <row r="2892" spans="1:9">
      <c r="A2892" s="21" t="s">
        <v>8075</v>
      </c>
      <c r="B2892" s="21"/>
      <c r="C2892" s="22">
        <v>2769</v>
      </c>
      <c r="D2892" s="21">
        <v>41.9</v>
      </c>
      <c r="E2892" s="21" t="s">
        <v>5796</v>
      </c>
      <c r="F2892" s="23"/>
      <c r="G2892" s="23">
        <f t="shared" si="11"/>
        <v>41.9</v>
      </c>
      <c r="H2892" s="23"/>
      <c r="I2892" s="23"/>
    </row>
    <row r="2893" spans="1:9">
      <c r="A2893" s="21" t="s">
        <v>8076</v>
      </c>
      <c r="B2893" s="21"/>
      <c r="C2893" s="22">
        <v>2770</v>
      </c>
      <c r="D2893" s="21">
        <v>41.87</v>
      </c>
      <c r="E2893" s="21" t="s">
        <v>5796</v>
      </c>
      <c r="F2893" s="23"/>
      <c r="G2893" s="23">
        <f t="shared" si="11"/>
        <v>41.87</v>
      </c>
      <c r="H2893" s="23"/>
      <c r="I2893" s="23"/>
    </row>
    <row r="2894" spans="1:9">
      <c r="A2894" s="21" t="s">
        <v>8077</v>
      </c>
      <c r="B2894" s="21"/>
      <c r="C2894" s="22">
        <v>2772</v>
      </c>
      <c r="D2894" s="21">
        <v>41.79</v>
      </c>
      <c r="E2894" s="21" t="s">
        <v>5796</v>
      </c>
      <c r="F2894" s="23"/>
      <c r="G2894" s="23">
        <f t="shared" si="11"/>
        <v>41.79</v>
      </c>
      <c r="H2894" s="23"/>
      <c r="I2894" s="23"/>
    </row>
    <row r="2895" spans="1:9">
      <c r="A2895" s="21" t="s">
        <v>8078</v>
      </c>
      <c r="B2895" s="21"/>
      <c r="C2895" s="22">
        <v>2773</v>
      </c>
      <c r="D2895" s="21">
        <v>41.77</v>
      </c>
      <c r="E2895" s="21" t="s">
        <v>5796</v>
      </c>
      <c r="F2895" s="23"/>
      <c r="G2895" s="23">
        <f t="shared" si="11"/>
        <v>41.77</v>
      </c>
      <c r="H2895" s="23"/>
      <c r="I2895" s="23"/>
    </row>
    <row r="2896" spans="1:9">
      <c r="A2896" s="21" t="s">
        <v>8079</v>
      </c>
      <c r="B2896" s="21"/>
      <c r="C2896" s="22">
        <v>2774</v>
      </c>
      <c r="D2896" s="21">
        <v>41.77</v>
      </c>
      <c r="E2896" s="21" t="s">
        <v>5796</v>
      </c>
      <c r="F2896" s="23"/>
      <c r="G2896" s="23">
        <f t="shared" si="11"/>
        <v>41.77</v>
      </c>
      <c r="H2896" s="23"/>
      <c r="I2896" s="23"/>
    </row>
    <row r="2897" spans="1:9">
      <c r="A2897" s="21" t="s">
        <v>8080</v>
      </c>
      <c r="B2897" s="21"/>
      <c r="C2897" s="22">
        <v>2775</v>
      </c>
      <c r="D2897" s="21">
        <v>41.6</v>
      </c>
      <c r="E2897" s="21" t="s">
        <v>5796</v>
      </c>
      <c r="F2897" s="23"/>
      <c r="G2897" s="23">
        <f t="shared" si="11"/>
        <v>41.6</v>
      </c>
      <c r="H2897" s="23"/>
      <c r="I2897" s="23"/>
    </row>
    <row r="2898" spans="1:9">
      <c r="A2898" s="21" t="s">
        <v>8081</v>
      </c>
      <c r="B2898" s="21"/>
      <c r="C2898" s="22">
        <v>2776</v>
      </c>
      <c r="D2898" s="21">
        <v>41.57</v>
      </c>
      <c r="E2898" s="21" t="s">
        <v>5796</v>
      </c>
      <c r="F2898" s="23"/>
      <c r="G2898" s="23">
        <f t="shared" si="11"/>
        <v>41.57</v>
      </c>
      <c r="H2898" s="23"/>
      <c r="I2898" s="23"/>
    </row>
    <row r="2899" spans="1:9">
      <c r="A2899" s="21" t="s">
        <v>8082</v>
      </c>
      <c r="B2899" s="21"/>
      <c r="C2899" s="22">
        <v>2777</v>
      </c>
      <c r="D2899" s="21">
        <v>41.53</v>
      </c>
      <c r="E2899" s="21" t="s">
        <v>5796</v>
      </c>
      <c r="F2899" s="23"/>
      <c r="G2899" s="23">
        <f t="shared" si="11"/>
        <v>41.53</v>
      </c>
      <c r="H2899" s="23"/>
      <c r="I2899" s="23"/>
    </row>
    <row r="2900" spans="1:9">
      <c r="A2900" s="21" t="s">
        <v>8083</v>
      </c>
      <c r="B2900" s="21"/>
      <c r="C2900" s="22">
        <v>2778</v>
      </c>
      <c r="D2900" s="21">
        <v>41.5</v>
      </c>
      <c r="E2900" s="21" t="s">
        <v>5796</v>
      </c>
      <c r="F2900" s="23"/>
      <c r="G2900" s="23">
        <f t="shared" si="11"/>
        <v>41.5</v>
      </c>
      <c r="H2900" s="23"/>
      <c r="I2900" s="23"/>
    </row>
    <row r="2901" spans="1:9">
      <c r="A2901" s="21" t="s">
        <v>8084</v>
      </c>
      <c r="B2901" s="21"/>
      <c r="C2901" s="22">
        <v>2780</v>
      </c>
      <c r="D2901" s="21">
        <v>41.45</v>
      </c>
      <c r="E2901" s="21" t="s">
        <v>5796</v>
      </c>
      <c r="F2901" s="23"/>
      <c r="G2901" s="23">
        <f t="shared" si="11"/>
        <v>41.45</v>
      </c>
      <c r="H2901" s="23"/>
      <c r="I2901" s="23"/>
    </row>
    <row r="2902" spans="1:9">
      <c r="A2902" s="21" t="s">
        <v>8085</v>
      </c>
      <c r="B2902" s="21"/>
      <c r="C2902" s="22">
        <v>2781</v>
      </c>
      <c r="D2902" s="21">
        <v>41.35</v>
      </c>
      <c r="E2902" s="21" t="s">
        <v>5796</v>
      </c>
      <c r="F2902" s="23"/>
      <c r="G2902" s="23">
        <f t="shared" si="11"/>
        <v>41.35</v>
      </c>
      <c r="H2902" s="23"/>
      <c r="I2902" s="23"/>
    </row>
    <row r="2903" spans="1:9">
      <c r="A2903" s="21" t="s">
        <v>8086</v>
      </c>
      <c r="B2903" s="21"/>
      <c r="C2903" s="22">
        <v>2782</v>
      </c>
      <c r="D2903" s="21">
        <v>41.34</v>
      </c>
      <c r="E2903" s="21" t="s">
        <v>5796</v>
      </c>
      <c r="F2903" s="23"/>
      <c r="G2903" s="23">
        <f t="shared" si="11"/>
        <v>41.34</v>
      </c>
      <c r="H2903" s="23"/>
      <c r="I2903" s="23"/>
    </row>
    <row r="2904" spans="1:9">
      <c r="A2904" s="21" t="s">
        <v>8087</v>
      </c>
      <c r="B2904" s="21"/>
      <c r="C2904" s="22">
        <v>2783</v>
      </c>
      <c r="D2904" s="21">
        <v>41.34</v>
      </c>
      <c r="E2904" s="21" t="s">
        <v>5796</v>
      </c>
      <c r="F2904" s="23"/>
      <c r="G2904" s="23">
        <f t="shared" si="11"/>
        <v>41.34</v>
      </c>
      <c r="H2904" s="23"/>
      <c r="I2904" s="23"/>
    </row>
    <row r="2905" spans="1:9">
      <c r="A2905" s="21" t="s">
        <v>8088</v>
      </c>
      <c r="B2905" s="21"/>
      <c r="C2905" s="22">
        <v>2785</v>
      </c>
      <c r="D2905" s="21">
        <v>41.23</v>
      </c>
      <c r="E2905" s="21" t="s">
        <v>5796</v>
      </c>
      <c r="F2905" s="23"/>
      <c r="G2905" s="23">
        <f t="shared" si="11"/>
        <v>41.23</v>
      </c>
      <c r="H2905" s="23"/>
      <c r="I2905" s="23"/>
    </row>
    <row r="2906" spans="1:9">
      <c r="A2906" s="21" t="s">
        <v>8089</v>
      </c>
      <c r="B2906" s="21"/>
      <c r="C2906" s="22">
        <v>2786</v>
      </c>
      <c r="D2906" s="21">
        <v>41.22</v>
      </c>
      <c r="E2906" s="21" t="s">
        <v>5796</v>
      </c>
      <c r="F2906" s="23"/>
      <c r="G2906" s="23">
        <f t="shared" si="11"/>
        <v>41.22</v>
      </c>
      <c r="H2906" s="23"/>
      <c r="I2906" s="23"/>
    </row>
    <row r="2907" spans="1:9">
      <c r="A2907" s="21" t="s">
        <v>8090</v>
      </c>
      <c r="B2907" s="21"/>
      <c r="C2907" s="22">
        <v>2787</v>
      </c>
      <c r="D2907" s="21">
        <v>41.21</v>
      </c>
      <c r="E2907" s="21" t="s">
        <v>5796</v>
      </c>
      <c r="F2907" s="23"/>
      <c r="G2907" s="23">
        <f t="shared" si="11"/>
        <v>41.21</v>
      </c>
      <c r="H2907" s="23"/>
      <c r="I2907" s="23"/>
    </row>
    <row r="2908" spans="1:9">
      <c r="A2908" s="21" t="s">
        <v>8091</v>
      </c>
      <c r="B2908" s="21"/>
      <c r="C2908" s="22">
        <v>2788</v>
      </c>
      <c r="D2908" s="21">
        <v>41.2</v>
      </c>
      <c r="E2908" s="21" t="s">
        <v>5796</v>
      </c>
      <c r="F2908" s="23"/>
      <c r="G2908" s="23">
        <f t="shared" si="11"/>
        <v>41.2</v>
      </c>
      <c r="H2908" s="23"/>
      <c r="I2908" s="23"/>
    </row>
    <row r="2909" spans="1:9">
      <c r="A2909" s="21" t="s">
        <v>8092</v>
      </c>
      <c r="B2909" s="21"/>
      <c r="C2909" s="22">
        <v>2789</v>
      </c>
      <c r="D2909" s="21">
        <v>41.19</v>
      </c>
      <c r="E2909" s="21" t="s">
        <v>5796</v>
      </c>
      <c r="F2909" s="23"/>
      <c r="G2909" s="23">
        <f t="shared" si="11"/>
        <v>41.19</v>
      </c>
      <c r="H2909" s="23"/>
      <c r="I2909" s="23"/>
    </row>
    <row r="2910" spans="1:9">
      <c r="A2910" s="21" t="s">
        <v>8093</v>
      </c>
      <c r="B2910" s="21"/>
      <c r="C2910" s="22">
        <v>2790</v>
      </c>
      <c r="D2910" s="21">
        <v>41.19</v>
      </c>
      <c r="E2910" s="21" t="s">
        <v>5796</v>
      </c>
      <c r="F2910" s="23"/>
      <c r="G2910" s="23">
        <f t="shared" si="11"/>
        <v>41.19</v>
      </c>
      <c r="H2910" s="23"/>
      <c r="I2910" s="23"/>
    </row>
    <row r="2911" spans="1:9">
      <c r="A2911" s="21" t="s">
        <v>8094</v>
      </c>
      <c r="B2911" s="21"/>
      <c r="C2911" s="22">
        <v>2791</v>
      </c>
      <c r="D2911" s="21">
        <v>41.17</v>
      </c>
      <c r="E2911" s="21" t="s">
        <v>5796</v>
      </c>
      <c r="F2911" s="23"/>
      <c r="G2911" s="23">
        <f t="shared" si="11"/>
        <v>41.17</v>
      </c>
      <c r="H2911" s="23"/>
      <c r="I2911" s="23"/>
    </row>
    <row r="2912" spans="1:9">
      <c r="A2912" s="21" t="s">
        <v>8095</v>
      </c>
      <c r="B2912" s="21"/>
      <c r="C2912" s="22">
        <v>2792</v>
      </c>
      <c r="D2912" s="21">
        <v>41.15</v>
      </c>
      <c r="E2912" s="21" t="s">
        <v>5796</v>
      </c>
      <c r="F2912" s="23"/>
      <c r="G2912" s="23">
        <f t="shared" si="11"/>
        <v>41.15</v>
      </c>
      <c r="H2912" s="23"/>
      <c r="I2912" s="23"/>
    </row>
    <row r="2913" spans="1:9">
      <c r="A2913" s="21" t="s">
        <v>8096</v>
      </c>
      <c r="B2913" s="21"/>
      <c r="C2913" s="22">
        <v>2793</v>
      </c>
      <c r="D2913" s="21">
        <v>41.1</v>
      </c>
      <c r="E2913" s="21" t="s">
        <v>5796</v>
      </c>
      <c r="F2913" s="23"/>
      <c r="G2913" s="23">
        <f t="shared" si="11"/>
        <v>41.1</v>
      </c>
      <c r="H2913" s="23"/>
      <c r="I2913" s="23"/>
    </row>
    <row r="2914" spans="1:9">
      <c r="A2914" s="21" t="s">
        <v>8097</v>
      </c>
      <c r="B2914" s="21"/>
      <c r="C2914" s="22">
        <v>2794</v>
      </c>
      <c r="D2914" s="21">
        <v>41.09</v>
      </c>
      <c r="E2914" s="21" t="s">
        <v>5796</v>
      </c>
      <c r="F2914" s="23"/>
      <c r="G2914" s="23">
        <f t="shared" si="11"/>
        <v>41.09</v>
      </c>
      <c r="H2914" s="23"/>
      <c r="I2914" s="23"/>
    </row>
    <row r="2915" spans="1:9">
      <c r="A2915" s="21" t="s">
        <v>8098</v>
      </c>
      <c r="B2915" s="21"/>
      <c r="C2915" s="22">
        <v>2795</v>
      </c>
      <c r="D2915" s="21">
        <v>41</v>
      </c>
      <c r="E2915" s="21" t="s">
        <v>5796</v>
      </c>
      <c r="F2915" s="23"/>
      <c r="G2915" s="23">
        <f t="shared" si="11"/>
        <v>41</v>
      </c>
      <c r="H2915" s="23"/>
      <c r="I2915" s="23"/>
    </row>
    <row r="2916" spans="1:9">
      <c r="A2916" s="21" t="s">
        <v>8099</v>
      </c>
      <c r="B2916" s="21"/>
      <c r="C2916" s="22">
        <v>2797</v>
      </c>
      <c r="D2916" s="21">
        <v>40.770000000000003</v>
      </c>
      <c r="E2916" s="21" t="s">
        <v>5796</v>
      </c>
      <c r="F2916" s="23"/>
      <c r="G2916" s="23">
        <f t="shared" si="11"/>
        <v>40.770000000000003</v>
      </c>
      <c r="H2916" s="23"/>
      <c r="I2916" s="23"/>
    </row>
    <row r="2917" spans="1:9">
      <c r="A2917" s="21" t="s">
        <v>8100</v>
      </c>
      <c r="B2917" s="21"/>
      <c r="C2917" s="22">
        <v>2799</v>
      </c>
      <c r="D2917" s="21">
        <v>40.450000000000003</v>
      </c>
      <c r="E2917" s="21" t="s">
        <v>5796</v>
      </c>
      <c r="F2917" s="23"/>
      <c r="G2917" s="23">
        <f t="shared" si="11"/>
        <v>40.450000000000003</v>
      </c>
      <c r="H2917" s="23"/>
      <c r="I2917" s="23"/>
    </row>
    <row r="2918" spans="1:9">
      <c r="A2918" s="21" t="s">
        <v>8101</v>
      </c>
      <c r="B2918" s="21"/>
      <c r="C2918" s="22">
        <v>2800</v>
      </c>
      <c r="D2918" s="21">
        <v>40.42</v>
      </c>
      <c r="E2918" s="21" t="s">
        <v>5796</v>
      </c>
      <c r="F2918" s="23"/>
      <c r="G2918" s="23">
        <f t="shared" si="11"/>
        <v>40.42</v>
      </c>
      <c r="H2918" s="23"/>
      <c r="I2918" s="23"/>
    </row>
    <row r="2919" spans="1:9">
      <c r="A2919" s="21" t="s">
        <v>8102</v>
      </c>
      <c r="B2919" s="21"/>
      <c r="C2919" s="22">
        <v>2801</v>
      </c>
      <c r="D2919" s="21">
        <v>40.42</v>
      </c>
      <c r="E2919" s="21" t="s">
        <v>5796</v>
      </c>
      <c r="F2919" s="23"/>
      <c r="G2919" s="23">
        <f t="shared" si="11"/>
        <v>40.42</v>
      </c>
      <c r="H2919" s="23"/>
      <c r="I2919" s="23"/>
    </row>
    <row r="2920" spans="1:9">
      <c r="A2920" s="21" t="s">
        <v>8103</v>
      </c>
      <c r="B2920" s="21"/>
      <c r="C2920" s="22">
        <v>2802</v>
      </c>
      <c r="D2920" s="21">
        <v>40.409999999999997</v>
      </c>
      <c r="E2920" s="21" t="s">
        <v>5796</v>
      </c>
      <c r="F2920" s="23"/>
      <c r="G2920" s="23">
        <f t="shared" si="11"/>
        <v>40.409999999999997</v>
      </c>
      <c r="H2920" s="23"/>
      <c r="I2920" s="23"/>
    </row>
    <row r="2921" spans="1:9">
      <c r="A2921" s="21" t="s">
        <v>8104</v>
      </c>
      <c r="B2921" s="21"/>
      <c r="C2921" s="22">
        <v>2804</v>
      </c>
      <c r="D2921" s="21">
        <v>40.229999999999997</v>
      </c>
      <c r="E2921" s="21" t="s">
        <v>5796</v>
      </c>
      <c r="F2921" s="23"/>
      <c r="G2921" s="23">
        <f t="shared" si="11"/>
        <v>40.229999999999997</v>
      </c>
      <c r="H2921" s="23"/>
      <c r="I2921" s="23"/>
    </row>
    <row r="2922" spans="1:9">
      <c r="A2922" s="21" t="s">
        <v>8105</v>
      </c>
      <c r="B2922" s="21"/>
      <c r="C2922" s="22">
        <v>2805</v>
      </c>
      <c r="D2922" s="21">
        <v>40.18</v>
      </c>
      <c r="E2922" s="21" t="s">
        <v>5796</v>
      </c>
      <c r="F2922" s="23"/>
      <c r="G2922" s="23">
        <f t="shared" si="11"/>
        <v>40.18</v>
      </c>
      <c r="H2922" s="23"/>
      <c r="I2922" s="23"/>
    </row>
    <row r="2923" spans="1:9">
      <c r="A2923" s="21" t="s">
        <v>8106</v>
      </c>
      <c r="B2923" s="21"/>
      <c r="C2923" s="22">
        <v>2806</v>
      </c>
      <c r="D2923" s="21">
        <v>40.15</v>
      </c>
      <c r="E2923" s="21" t="s">
        <v>5796</v>
      </c>
      <c r="F2923" s="23"/>
      <c r="G2923" s="23">
        <f t="shared" si="11"/>
        <v>40.15</v>
      </c>
      <c r="H2923" s="23"/>
      <c r="I2923" s="23"/>
    </row>
    <row r="2924" spans="1:9">
      <c r="A2924" s="21" t="s">
        <v>8107</v>
      </c>
      <c r="B2924" s="21"/>
      <c r="C2924" s="22">
        <v>2807</v>
      </c>
      <c r="D2924" s="21">
        <v>39.979999999999997</v>
      </c>
      <c r="E2924" s="21" t="s">
        <v>5796</v>
      </c>
      <c r="F2924" s="23"/>
      <c r="G2924" s="23">
        <f t="shared" si="11"/>
        <v>39.979999999999997</v>
      </c>
      <c r="H2924" s="23"/>
      <c r="I2924" s="23"/>
    </row>
    <row r="2925" spans="1:9">
      <c r="A2925" s="21" t="s">
        <v>8108</v>
      </c>
      <c r="B2925" s="21"/>
      <c r="C2925" s="22">
        <v>2809</v>
      </c>
      <c r="D2925" s="21">
        <v>39.92</v>
      </c>
      <c r="E2925" s="21" t="s">
        <v>5796</v>
      </c>
      <c r="F2925" s="23"/>
      <c r="G2925" s="23">
        <f t="shared" si="11"/>
        <v>39.92</v>
      </c>
      <c r="H2925" s="23"/>
      <c r="I2925" s="23"/>
    </row>
    <row r="2926" spans="1:9">
      <c r="A2926" s="21" t="s">
        <v>8109</v>
      </c>
      <c r="B2926" s="21"/>
      <c r="C2926" s="22">
        <v>2810</v>
      </c>
      <c r="D2926" s="21">
        <v>39.89</v>
      </c>
      <c r="E2926" s="21" t="s">
        <v>5796</v>
      </c>
      <c r="F2926" s="23"/>
      <c r="G2926" s="23">
        <f t="shared" si="11"/>
        <v>39.89</v>
      </c>
      <c r="H2926" s="23"/>
      <c r="I2926" s="23"/>
    </row>
    <row r="2927" spans="1:9">
      <c r="A2927" s="21" t="s">
        <v>8110</v>
      </c>
      <c r="B2927" s="21"/>
      <c r="C2927" s="22">
        <v>2811</v>
      </c>
      <c r="D2927" s="21">
        <v>39.75</v>
      </c>
      <c r="E2927" s="21" t="s">
        <v>5796</v>
      </c>
      <c r="F2927" s="23"/>
      <c r="G2927" s="23">
        <f t="shared" si="11"/>
        <v>39.75</v>
      </c>
      <c r="H2927" s="23"/>
      <c r="I2927" s="23"/>
    </row>
    <row r="2928" spans="1:9">
      <c r="A2928" s="21" t="s">
        <v>8111</v>
      </c>
      <c r="B2928" s="21"/>
      <c r="C2928" s="22">
        <v>2812</v>
      </c>
      <c r="D2928" s="21">
        <v>39.69</v>
      </c>
      <c r="E2928" s="21" t="s">
        <v>5796</v>
      </c>
      <c r="F2928" s="23"/>
      <c r="G2928" s="23">
        <f t="shared" si="11"/>
        <v>39.69</v>
      </c>
      <c r="H2928" s="23"/>
      <c r="I2928" s="23"/>
    </row>
    <row r="2929" spans="1:9">
      <c r="A2929" s="21" t="s">
        <v>8112</v>
      </c>
      <c r="B2929" s="21"/>
      <c r="C2929" s="22">
        <v>2813</v>
      </c>
      <c r="D2929" s="21">
        <v>39.58</v>
      </c>
      <c r="E2929" s="21" t="s">
        <v>5796</v>
      </c>
      <c r="F2929" s="23"/>
      <c r="G2929" s="23">
        <f t="shared" si="11"/>
        <v>39.58</v>
      </c>
      <c r="H2929" s="23"/>
      <c r="I2929" s="23"/>
    </row>
    <row r="2930" spans="1:9">
      <c r="A2930" s="21" t="s">
        <v>8113</v>
      </c>
      <c r="B2930" s="21"/>
      <c r="C2930" s="22">
        <v>2814</v>
      </c>
      <c r="D2930" s="21">
        <v>39.54</v>
      </c>
      <c r="E2930" s="21" t="s">
        <v>5796</v>
      </c>
      <c r="F2930" s="23"/>
      <c r="G2930" s="23">
        <f t="shared" si="11"/>
        <v>39.54</v>
      </c>
      <c r="H2930" s="23"/>
      <c r="I2930" s="23"/>
    </row>
    <row r="2931" spans="1:9">
      <c r="A2931" s="21" t="s">
        <v>8114</v>
      </c>
      <c r="B2931" s="21"/>
      <c r="C2931" s="22">
        <v>2815</v>
      </c>
      <c r="D2931" s="21">
        <v>39.51</v>
      </c>
      <c r="E2931" s="21" t="s">
        <v>5796</v>
      </c>
      <c r="F2931" s="23"/>
      <c r="G2931" s="23">
        <f t="shared" si="11"/>
        <v>39.51</v>
      </c>
      <c r="H2931" s="23"/>
      <c r="I2931" s="23"/>
    </row>
    <row r="2932" spans="1:9">
      <c r="A2932" s="21" t="s">
        <v>8115</v>
      </c>
      <c r="B2932" s="21"/>
      <c r="C2932" s="22">
        <v>2816</v>
      </c>
      <c r="D2932" s="21">
        <v>39.479999999999997</v>
      </c>
      <c r="E2932" s="21" t="s">
        <v>5796</v>
      </c>
      <c r="F2932" s="23"/>
      <c r="G2932" s="23">
        <f t="shared" si="11"/>
        <v>39.479999999999997</v>
      </c>
      <c r="H2932" s="23"/>
      <c r="I2932" s="23"/>
    </row>
    <row r="2933" spans="1:9">
      <c r="A2933" s="21" t="s">
        <v>8116</v>
      </c>
      <c r="B2933" s="21"/>
      <c r="C2933" s="22">
        <v>2819</v>
      </c>
      <c r="D2933" s="21">
        <v>39.21</v>
      </c>
      <c r="E2933" s="21" t="s">
        <v>5796</v>
      </c>
      <c r="F2933" s="23"/>
      <c r="G2933" s="23">
        <f t="shared" si="11"/>
        <v>39.21</v>
      </c>
      <c r="H2933" s="23"/>
      <c r="I2933" s="23"/>
    </row>
    <row r="2934" spans="1:9">
      <c r="A2934" s="21" t="s">
        <v>8117</v>
      </c>
      <c r="B2934" s="21"/>
      <c r="C2934" s="22">
        <v>2820</v>
      </c>
      <c r="D2934" s="21">
        <v>39.200000000000003</v>
      </c>
      <c r="E2934" s="21" t="s">
        <v>5796</v>
      </c>
      <c r="F2934" s="23"/>
      <c r="G2934" s="23">
        <f t="shared" si="11"/>
        <v>39.200000000000003</v>
      </c>
      <c r="H2934" s="23"/>
      <c r="I2934" s="23"/>
    </row>
    <row r="2935" spans="1:9">
      <c r="A2935" s="21" t="s">
        <v>8118</v>
      </c>
      <c r="B2935" s="21"/>
      <c r="C2935" s="22">
        <v>2821</v>
      </c>
      <c r="D2935" s="21">
        <v>39.15</v>
      </c>
      <c r="E2935" s="21" t="s">
        <v>5796</v>
      </c>
      <c r="F2935" s="23"/>
      <c r="G2935" s="23">
        <f t="shared" si="11"/>
        <v>39.15</v>
      </c>
      <c r="H2935" s="23"/>
      <c r="I2935" s="23"/>
    </row>
    <row r="2936" spans="1:9">
      <c r="A2936" s="21" t="s">
        <v>8119</v>
      </c>
      <c r="B2936" s="21"/>
      <c r="C2936" s="22">
        <v>2822</v>
      </c>
      <c r="D2936" s="21">
        <v>39.090000000000003</v>
      </c>
      <c r="E2936" s="21" t="s">
        <v>5796</v>
      </c>
      <c r="F2936" s="23"/>
      <c r="G2936" s="23">
        <f t="shared" si="11"/>
        <v>39.090000000000003</v>
      </c>
      <c r="H2936" s="23"/>
      <c r="I2936" s="23"/>
    </row>
    <row r="2937" spans="1:9">
      <c r="A2937" s="21" t="s">
        <v>8120</v>
      </c>
      <c r="B2937" s="21"/>
      <c r="C2937" s="22">
        <v>2823</v>
      </c>
      <c r="D2937" s="21">
        <v>39.07</v>
      </c>
      <c r="E2937" s="21" t="s">
        <v>5796</v>
      </c>
      <c r="F2937" s="23"/>
      <c r="G2937" s="23">
        <f t="shared" si="11"/>
        <v>39.07</v>
      </c>
      <c r="H2937" s="23"/>
      <c r="I2937" s="23"/>
    </row>
    <row r="2938" spans="1:9">
      <c r="A2938" s="21" t="s">
        <v>8121</v>
      </c>
      <c r="B2938" s="21"/>
      <c r="C2938" s="22">
        <v>2824</v>
      </c>
      <c r="D2938" s="21">
        <v>39</v>
      </c>
      <c r="E2938" s="21" t="s">
        <v>5796</v>
      </c>
      <c r="F2938" s="23"/>
      <c r="G2938" s="23">
        <f t="shared" si="11"/>
        <v>39</v>
      </c>
      <c r="H2938" s="23"/>
      <c r="I2938" s="23"/>
    </row>
    <row r="2939" spans="1:9">
      <c r="A2939" s="21" t="s">
        <v>8122</v>
      </c>
      <c r="B2939" s="21"/>
      <c r="C2939" s="22">
        <v>2825</v>
      </c>
      <c r="D2939" s="21">
        <v>38.93</v>
      </c>
      <c r="E2939" s="21" t="s">
        <v>5796</v>
      </c>
      <c r="F2939" s="23"/>
      <c r="G2939" s="23">
        <f t="shared" si="11"/>
        <v>38.93</v>
      </c>
      <c r="H2939" s="23"/>
      <c r="I2939" s="23"/>
    </row>
    <row r="2940" spans="1:9">
      <c r="A2940" s="21" t="s">
        <v>8123</v>
      </c>
      <c r="B2940" s="21"/>
      <c r="C2940" s="22">
        <v>2826</v>
      </c>
      <c r="D2940" s="21">
        <v>38.880000000000003</v>
      </c>
      <c r="E2940" s="21" t="s">
        <v>5796</v>
      </c>
      <c r="F2940" s="23"/>
      <c r="G2940" s="23">
        <f t="shared" si="11"/>
        <v>38.880000000000003</v>
      </c>
      <c r="H2940" s="23"/>
      <c r="I2940" s="23"/>
    </row>
    <row r="2941" spans="1:9">
      <c r="A2941" s="21" t="s">
        <v>8124</v>
      </c>
      <c r="B2941" s="21"/>
      <c r="C2941" s="22">
        <v>2827</v>
      </c>
      <c r="D2941" s="21">
        <v>38.729999999999997</v>
      </c>
      <c r="E2941" s="21" t="s">
        <v>5796</v>
      </c>
      <c r="F2941" s="23"/>
      <c r="G2941" s="23">
        <f t="shared" si="11"/>
        <v>38.729999999999997</v>
      </c>
      <c r="H2941" s="23"/>
      <c r="I2941" s="23"/>
    </row>
    <row r="2942" spans="1:9">
      <c r="A2942" s="21" t="s">
        <v>8125</v>
      </c>
      <c r="B2942" s="21"/>
      <c r="C2942" s="22">
        <v>2828</v>
      </c>
      <c r="D2942" s="21">
        <v>38.700000000000003</v>
      </c>
      <c r="E2942" s="21" t="s">
        <v>5796</v>
      </c>
      <c r="F2942" s="23"/>
      <c r="G2942" s="23">
        <f t="shared" si="11"/>
        <v>38.700000000000003</v>
      </c>
      <c r="H2942" s="23"/>
      <c r="I2942" s="23"/>
    </row>
    <row r="2943" spans="1:9">
      <c r="A2943" s="21" t="s">
        <v>8126</v>
      </c>
      <c r="B2943" s="21"/>
      <c r="C2943" s="22">
        <v>2829</v>
      </c>
      <c r="D2943" s="21">
        <v>38.69</v>
      </c>
      <c r="E2943" s="21" t="s">
        <v>5796</v>
      </c>
      <c r="F2943" s="23"/>
      <c r="G2943" s="23">
        <f t="shared" si="11"/>
        <v>38.69</v>
      </c>
      <c r="H2943" s="23"/>
      <c r="I2943" s="23"/>
    </row>
    <row r="2944" spans="1:9">
      <c r="A2944" s="21" t="s">
        <v>8127</v>
      </c>
      <c r="B2944" s="21"/>
      <c r="C2944" s="22">
        <v>2830</v>
      </c>
      <c r="D2944" s="21">
        <v>38.6</v>
      </c>
      <c r="E2944" s="21" t="s">
        <v>5796</v>
      </c>
      <c r="F2944" s="23"/>
      <c r="G2944" s="23">
        <f t="shared" si="11"/>
        <v>38.6</v>
      </c>
      <c r="H2944" s="23"/>
      <c r="I2944" s="23"/>
    </row>
    <row r="2945" spans="1:9">
      <c r="A2945" s="21" t="s">
        <v>8128</v>
      </c>
      <c r="B2945" s="21"/>
      <c r="C2945" s="22">
        <v>2831</v>
      </c>
      <c r="D2945" s="21">
        <v>38.590000000000003</v>
      </c>
      <c r="E2945" s="21" t="s">
        <v>5796</v>
      </c>
      <c r="F2945" s="23"/>
      <c r="G2945" s="23">
        <f t="shared" si="11"/>
        <v>38.590000000000003</v>
      </c>
      <c r="H2945" s="23"/>
      <c r="I2945" s="23"/>
    </row>
    <row r="2946" spans="1:9">
      <c r="A2946" s="21" t="s">
        <v>8129</v>
      </c>
      <c r="B2946" s="21"/>
      <c r="C2946" s="22">
        <v>2832</v>
      </c>
      <c r="D2946" s="21">
        <v>38.54</v>
      </c>
      <c r="E2946" s="21" t="s">
        <v>5796</v>
      </c>
      <c r="F2946" s="23"/>
      <c r="G2946" s="23">
        <f t="shared" si="11"/>
        <v>38.54</v>
      </c>
      <c r="H2946" s="23"/>
      <c r="I2946" s="23"/>
    </row>
    <row r="2947" spans="1:9">
      <c r="A2947" s="21" t="s">
        <v>8130</v>
      </c>
      <c r="B2947" s="21"/>
      <c r="C2947" s="22">
        <v>2833</v>
      </c>
      <c r="D2947" s="21">
        <v>38.43</v>
      </c>
      <c r="E2947" s="21" t="s">
        <v>5796</v>
      </c>
      <c r="F2947" s="23"/>
      <c r="G2947" s="23">
        <f t="shared" si="11"/>
        <v>38.43</v>
      </c>
      <c r="H2947" s="23"/>
      <c r="I2947" s="23"/>
    </row>
    <row r="2948" spans="1:9">
      <c r="A2948" s="21" t="s">
        <v>8131</v>
      </c>
      <c r="B2948" s="21"/>
      <c r="C2948" s="22">
        <v>2836</v>
      </c>
      <c r="D2948" s="21">
        <v>38.28</v>
      </c>
      <c r="E2948" s="21" t="s">
        <v>5796</v>
      </c>
      <c r="F2948" s="23"/>
      <c r="G2948" s="23">
        <f t="shared" si="11"/>
        <v>38.28</v>
      </c>
      <c r="H2948" s="23"/>
      <c r="I2948" s="23"/>
    </row>
    <row r="2949" spans="1:9">
      <c r="A2949" s="21" t="s">
        <v>8132</v>
      </c>
      <c r="B2949" s="21"/>
      <c r="C2949" s="22">
        <v>2837</v>
      </c>
      <c r="D2949" s="21">
        <v>38.159999999999997</v>
      </c>
      <c r="E2949" s="21" t="s">
        <v>5796</v>
      </c>
      <c r="F2949" s="23"/>
      <c r="G2949" s="23">
        <f t="shared" si="11"/>
        <v>38.159999999999997</v>
      </c>
      <c r="H2949" s="23"/>
      <c r="I2949" s="23"/>
    </row>
    <row r="2950" spans="1:9">
      <c r="A2950" s="21" t="s">
        <v>8133</v>
      </c>
      <c r="B2950" s="21"/>
      <c r="C2950" s="22">
        <v>2839</v>
      </c>
      <c r="D2950" s="21">
        <v>38.090000000000003</v>
      </c>
      <c r="E2950" s="21" t="s">
        <v>5796</v>
      </c>
      <c r="F2950" s="23"/>
      <c r="G2950" s="23">
        <f t="shared" si="11"/>
        <v>38.090000000000003</v>
      </c>
      <c r="H2950" s="23"/>
      <c r="I2950" s="23"/>
    </row>
    <row r="2951" spans="1:9">
      <c r="A2951" s="21" t="s">
        <v>8134</v>
      </c>
      <c r="B2951" s="21"/>
      <c r="C2951" s="22">
        <v>2840</v>
      </c>
      <c r="D2951" s="21">
        <v>38.08</v>
      </c>
      <c r="E2951" s="21" t="s">
        <v>5796</v>
      </c>
      <c r="F2951" s="23"/>
      <c r="G2951" s="23">
        <f t="shared" si="11"/>
        <v>38.08</v>
      </c>
      <c r="H2951" s="23"/>
      <c r="I2951" s="23"/>
    </row>
    <row r="2952" spans="1:9">
      <c r="A2952" s="21" t="s">
        <v>8135</v>
      </c>
      <c r="B2952" s="21"/>
      <c r="C2952" s="22">
        <v>2841</v>
      </c>
      <c r="D2952" s="21">
        <v>38.03</v>
      </c>
      <c r="E2952" s="21" t="s">
        <v>5796</v>
      </c>
      <c r="F2952" s="23"/>
      <c r="G2952" s="23">
        <f t="shared" si="11"/>
        <v>38.03</v>
      </c>
      <c r="H2952" s="23"/>
      <c r="I2952" s="23"/>
    </row>
    <row r="2953" spans="1:9">
      <c r="A2953" s="21" t="s">
        <v>8136</v>
      </c>
      <c r="B2953" s="21"/>
      <c r="C2953" s="22">
        <v>2842</v>
      </c>
      <c r="D2953" s="21">
        <v>37.869999999999997</v>
      </c>
      <c r="E2953" s="21" t="s">
        <v>5796</v>
      </c>
      <c r="F2953" s="23"/>
      <c r="G2953" s="23">
        <f t="shared" si="11"/>
        <v>37.869999999999997</v>
      </c>
      <c r="H2953" s="23"/>
      <c r="I2953" s="23"/>
    </row>
    <row r="2954" spans="1:9">
      <c r="A2954" s="21" t="s">
        <v>8137</v>
      </c>
      <c r="B2954" s="21"/>
      <c r="C2954" s="22">
        <v>2843</v>
      </c>
      <c r="D2954" s="21">
        <v>37.869999999999997</v>
      </c>
      <c r="E2954" s="21" t="s">
        <v>5796</v>
      </c>
      <c r="F2954" s="23"/>
      <c r="G2954" s="23">
        <f t="shared" si="11"/>
        <v>37.869999999999997</v>
      </c>
      <c r="H2954" s="23"/>
      <c r="I2954" s="23"/>
    </row>
    <row r="2955" spans="1:9">
      <c r="A2955" s="21" t="s">
        <v>8138</v>
      </c>
      <c r="B2955" s="21"/>
      <c r="C2955" s="22">
        <v>2845</v>
      </c>
      <c r="D2955" s="21">
        <v>37.72</v>
      </c>
      <c r="E2955" s="21" t="s">
        <v>5796</v>
      </c>
      <c r="F2955" s="23"/>
      <c r="G2955" s="23">
        <f t="shared" si="11"/>
        <v>37.72</v>
      </c>
      <c r="H2955" s="23"/>
      <c r="I2955" s="23"/>
    </row>
    <row r="2956" spans="1:9">
      <c r="A2956" s="21" t="s">
        <v>8139</v>
      </c>
      <c r="B2956" s="21"/>
      <c r="C2956" s="22">
        <v>2846</v>
      </c>
      <c r="D2956" s="21">
        <v>37.67</v>
      </c>
      <c r="E2956" s="21" t="s">
        <v>5796</v>
      </c>
      <c r="F2956" s="23"/>
      <c r="G2956" s="23">
        <f t="shared" si="11"/>
        <v>37.67</v>
      </c>
      <c r="H2956" s="23"/>
      <c r="I2956" s="23"/>
    </row>
    <row r="2957" spans="1:9">
      <c r="A2957" s="21" t="s">
        <v>8140</v>
      </c>
      <c r="B2957" s="21"/>
      <c r="C2957" s="22">
        <v>2847</v>
      </c>
      <c r="D2957" s="21">
        <v>37.659999999999997</v>
      </c>
      <c r="E2957" s="21" t="s">
        <v>5796</v>
      </c>
      <c r="F2957" s="23"/>
      <c r="G2957" s="23">
        <f t="shared" si="11"/>
        <v>37.659999999999997</v>
      </c>
      <c r="H2957" s="23"/>
      <c r="I2957" s="23"/>
    </row>
    <row r="2958" spans="1:9">
      <c r="A2958" s="21" t="s">
        <v>8141</v>
      </c>
      <c r="B2958" s="21"/>
      <c r="C2958" s="22">
        <v>2848</v>
      </c>
      <c r="D2958" s="21">
        <v>37.57</v>
      </c>
      <c r="E2958" s="21" t="s">
        <v>5796</v>
      </c>
      <c r="F2958" s="23"/>
      <c r="G2958" s="23">
        <f t="shared" si="11"/>
        <v>37.57</v>
      </c>
      <c r="H2958" s="23"/>
      <c r="I2958" s="23"/>
    </row>
    <row r="2959" spans="1:9">
      <c r="A2959" s="21" t="s">
        <v>8142</v>
      </c>
      <c r="B2959" s="21"/>
      <c r="C2959" s="22">
        <v>2849</v>
      </c>
      <c r="D2959" s="21">
        <v>37.49</v>
      </c>
      <c r="E2959" s="21" t="s">
        <v>5796</v>
      </c>
      <c r="F2959" s="23"/>
      <c r="G2959" s="23">
        <f t="shared" si="11"/>
        <v>37.49</v>
      </c>
      <c r="H2959" s="23"/>
      <c r="I2959" s="23"/>
    </row>
    <row r="2960" spans="1:9">
      <c r="A2960" s="21" t="s">
        <v>8143</v>
      </c>
      <c r="B2960" s="21"/>
      <c r="C2960" s="22">
        <v>2850</v>
      </c>
      <c r="D2960" s="21">
        <v>37.409999999999997</v>
      </c>
      <c r="E2960" s="21" t="s">
        <v>5796</v>
      </c>
      <c r="F2960" s="23"/>
      <c r="G2960" s="23">
        <f t="shared" si="11"/>
        <v>37.409999999999997</v>
      </c>
      <c r="H2960" s="23"/>
      <c r="I2960" s="23"/>
    </row>
    <row r="2961" spans="1:9">
      <c r="A2961" s="21" t="s">
        <v>8144</v>
      </c>
      <c r="B2961" s="21"/>
      <c r="C2961" s="22">
        <v>2852</v>
      </c>
      <c r="D2961" s="21">
        <v>37.18</v>
      </c>
      <c r="E2961" s="21" t="s">
        <v>5796</v>
      </c>
      <c r="F2961" s="23"/>
      <c r="G2961" s="23">
        <f t="shared" si="11"/>
        <v>37.18</v>
      </c>
      <c r="H2961" s="23"/>
      <c r="I2961" s="23"/>
    </row>
    <row r="2962" spans="1:9">
      <c r="A2962" s="21" t="s">
        <v>8145</v>
      </c>
      <c r="B2962" s="21"/>
      <c r="C2962" s="22">
        <v>2853</v>
      </c>
      <c r="D2962" s="21">
        <v>37.17</v>
      </c>
      <c r="E2962" s="21" t="s">
        <v>5796</v>
      </c>
      <c r="F2962" s="23"/>
      <c r="G2962" s="23">
        <f t="shared" si="11"/>
        <v>37.17</v>
      </c>
      <c r="H2962" s="23"/>
      <c r="I2962" s="23"/>
    </row>
    <row r="2963" spans="1:9">
      <c r="A2963" s="21" t="s">
        <v>8146</v>
      </c>
      <c r="B2963" s="21"/>
      <c r="C2963" s="22">
        <v>2854</v>
      </c>
      <c r="D2963" s="21">
        <v>37.15</v>
      </c>
      <c r="E2963" s="21" t="s">
        <v>5796</v>
      </c>
      <c r="F2963" s="23"/>
      <c r="G2963" s="23">
        <f t="shared" si="11"/>
        <v>37.15</v>
      </c>
      <c r="H2963" s="23"/>
      <c r="I2963" s="23"/>
    </row>
    <row r="2964" spans="1:9">
      <c r="A2964" s="21" t="s">
        <v>8147</v>
      </c>
      <c r="B2964" s="21"/>
      <c r="C2964" s="22">
        <v>2855</v>
      </c>
      <c r="D2964" s="21">
        <v>37.03</v>
      </c>
      <c r="E2964" s="21" t="s">
        <v>5796</v>
      </c>
      <c r="F2964" s="23"/>
      <c r="G2964" s="23">
        <f t="shared" si="11"/>
        <v>37.03</v>
      </c>
      <c r="H2964" s="23"/>
      <c r="I2964" s="23"/>
    </row>
    <row r="2965" spans="1:9">
      <c r="A2965" s="21" t="s">
        <v>8148</v>
      </c>
      <c r="B2965" s="21"/>
      <c r="C2965" s="22">
        <v>2856</v>
      </c>
      <c r="D2965" s="21">
        <v>36.799999999999997</v>
      </c>
      <c r="E2965" s="21" t="s">
        <v>5796</v>
      </c>
      <c r="F2965" s="23"/>
      <c r="G2965" s="23">
        <f t="shared" si="11"/>
        <v>36.799999999999997</v>
      </c>
      <c r="H2965" s="23"/>
      <c r="I2965" s="23"/>
    </row>
    <row r="2966" spans="1:9">
      <c r="A2966" s="21" t="s">
        <v>8149</v>
      </c>
      <c r="B2966" s="21"/>
      <c r="C2966" s="22">
        <v>2857</v>
      </c>
      <c r="D2966" s="21">
        <v>36.78</v>
      </c>
      <c r="E2966" s="21" t="s">
        <v>5796</v>
      </c>
      <c r="F2966" s="23"/>
      <c r="G2966" s="23">
        <f t="shared" si="11"/>
        <v>36.78</v>
      </c>
      <c r="H2966" s="23"/>
      <c r="I2966" s="23"/>
    </row>
    <row r="2967" spans="1:9">
      <c r="A2967" s="21" t="s">
        <v>8150</v>
      </c>
      <c r="B2967" s="21"/>
      <c r="C2967" s="22">
        <v>2858</v>
      </c>
      <c r="D2967" s="21">
        <v>36.78</v>
      </c>
      <c r="E2967" s="21" t="s">
        <v>5796</v>
      </c>
      <c r="F2967" s="23"/>
      <c r="G2967" s="23">
        <f t="shared" si="11"/>
        <v>36.78</v>
      </c>
      <c r="H2967" s="23"/>
      <c r="I2967" s="23"/>
    </row>
    <row r="2968" spans="1:9">
      <c r="A2968" s="21" t="s">
        <v>8151</v>
      </c>
      <c r="B2968" s="21"/>
      <c r="C2968" s="22">
        <v>2859</v>
      </c>
      <c r="D2968" s="21">
        <v>36.76</v>
      </c>
      <c r="E2968" s="21" t="s">
        <v>5796</v>
      </c>
      <c r="F2968" s="23"/>
      <c r="G2968" s="23">
        <f t="shared" si="11"/>
        <v>36.76</v>
      </c>
      <c r="H2968" s="23"/>
      <c r="I2968" s="23"/>
    </row>
    <row r="2969" spans="1:9">
      <c r="A2969" s="21" t="s">
        <v>8152</v>
      </c>
      <c r="B2969" s="21"/>
      <c r="C2969" s="22">
        <v>2860</v>
      </c>
      <c r="D2969" s="21">
        <v>36.75</v>
      </c>
      <c r="E2969" s="21" t="s">
        <v>5796</v>
      </c>
      <c r="F2969" s="23"/>
      <c r="G2969" s="23">
        <f t="shared" si="11"/>
        <v>36.75</v>
      </c>
      <c r="H2969" s="23"/>
      <c r="I2969" s="23"/>
    </row>
    <row r="2970" spans="1:9">
      <c r="A2970" s="21" t="s">
        <v>8153</v>
      </c>
      <c r="B2970" s="21"/>
      <c r="C2970" s="22">
        <v>2862</v>
      </c>
      <c r="D2970" s="21">
        <v>36.729999999999997</v>
      </c>
      <c r="E2970" s="21" t="s">
        <v>5796</v>
      </c>
      <c r="F2970" s="23"/>
      <c r="G2970" s="23">
        <f t="shared" si="11"/>
        <v>36.729999999999997</v>
      </c>
      <c r="H2970" s="23"/>
      <c r="I2970" s="23"/>
    </row>
    <row r="2971" spans="1:9">
      <c r="A2971" s="21" t="s">
        <v>8154</v>
      </c>
      <c r="B2971" s="21"/>
      <c r="C2971" s="22">
        <v>2863</v>
      </c>
      <c r="D2971" s="21">
        <v>36.729999999999997</v>
      </c>
      <c r="E2971" s="21" t="s">
        <v>5796</v>
      </c>
      <c r="F2971" s="23"/>
      <c r="G2971" s="23">
        <f t="shared" si="11"/>
        <v>36.729999999999997</v>
      </c>
      <c r="H2971" s="23"/>
      <c r="I2971" s="23"/>
    </row>
    <row r="2972" spans="1:9">
      <c r="A2972" s="21" t="s">
        <v>8155</v>
      </c>
      <c r="B2972" s="21"/>
      <c r="C2972" s="22">
        <v>2864</v>
      </c>
      <c r="D2972" s="21">
        <v>36.65</v>
      </c>
      <c r="E2972" s="21" t="s">
        <v>5796</v>
      </c>
      <c r="F2972" s="23"/>
      <c r="G2972" s="23">
        <f t="shared" si="11"/>
        <v>36.65</v>
      </c>
      <c r="H2972" s="23"/>
      <c r="I2972" s="23"/>
    </row>
    <row r="2973" spans="1:9">
      <c r="A2973" s="21" t="s">
        <v>8156</v>
      </c>
      <c r="B2973" s="21"/>
      <c r="C2973" s="22">
        <v>2866</v>
      </c>
      <c r="D2973" s="21">
        <v>36.5</v>
      </c>
      <c r="E2973" s="21" t="s">
        <v>5796</v>
      </c>
      <c r="F2973" s="23"/>
      <c r="G2973" s="23">
        <f t="shared" si="11"/>
        <v>36.5</v>
      </c>
      <c r="H2973" s="23"/>
      <c r="I2973" s="23"/>
    </row>
    <row r="2974" spans="1:9">
      <c r="A2974" s="21" t="s">
        <v>8157</v>
      </c>
      <c r="B2974" s="21"/>
      <c r="C2974" s="22">
        <v>2867</v>
      </c>
      <c r="D2974" s="21">
        <v>36.49</v>
      </c>
      <c r="E2974" s="21" t="s">
        <v>5796</v>
      </c>
      <c r="F2974" s="23"/>
      <c r="G2974" s="23">
        <f t="shared" si="11"/>
        <v>36.49</v>
      </c>
      <c r="H2974" s="23"/>
      <c r="I2974" s="23"/>
    </row>
    <row r="2975" spans="1:9">
      <c r="A2975" s="21" t="s">
        <v>8158</v>
      </c>
      <c r="B2975" s="21"/>
      <c r="C2975" s="22">
        <v>2868</v>
      </c>
      <c r="D2975" s="21">
        <v>36.450000000000003</v>
      </c>
      <c r="E2975" s="21" t="s">
        <v>5796</v>
      </c>
      <c r="F2975" s="23"/>
      <c r="G2975" s="23">
        <f t="shared" si="11"/>
        <v>36.450000000000003</v>
      </c>
      <c r="H2975" s="23"/>
      <c r="I2975" s="23"/>
    </row>
    <row r="2976" spans="1:9">
      <c r="A2976" s="21" t="s">
        <v>8159</v>
      </c>
      <c r="B2976" s="21"/>
      <c r="C2976" s="22">
        <v>2869</v>
      </c>
      <c r="D2976" s="21">
        <v>36.4</v>
      </c>
      <c r="E2976" s="21" t="s">
        <v>5796</v>
      </c>
      <c r="F2976" s="23"/>
      <c r="G2976" s="23">
        <f t="shared" si="11"/>
        <v>36.4</v>
      </c>
      <c r="H2976" s="23"/>
      <c r="I2976" s="23"/>
    </row>
    <row r="2977" spans="1:9">
      <c r="A2977" s="21" t="s">
        <v>8160</v>
      </c>
      <c r="B2977" s="21"/>
      <c r="C2977" s="22">
        <v>2870</v>
      </c>
      <c r="D2977" s="21">
        <v>36.35</v>
      </c>
      <c r="E2977" s="21" t="s">
        <v>5796</v>
      </c>
      <c r="F2977" s="23"/>
      <c r="G2977" s="23">
        <f t="shared" si="11"/>
        <v>36.35</v>
      </c>
      <c r="H2977" s="23"/>
      <c r="I2977" s="23"/>
    </row>
    <row r="2978" spans="1:9">
      <c r="A2978" s="21" t="s">
        <v>8161</v>
      </c>
      <c r="B2978" s="21"/>
      <c r="C2978" s="22">
        <v>2871</v>
      </c>
      <c r="D2978" s="21">
        <v>36.32</v>
      </c>
      <c r="E2978" s="21" t="s">
        <v>5796</v>
      </c>
      <c r="F2978" s="23"/>
      <c r="G2978" s="23">
        <f t="shared" si="11"/>
        <v>36.32</v>
      </c>
      <c r="H2978" s="23"/>
      <c r="I2978" s="23"/>
    </row>
    <row r="2979" spans="1:9">
      <c r="A2979" s="21" t="s">
        <v>8162</v>
      </c>
      <c r="B2979" s="21"/>
      <c r="C2979" s="22">
        <v>2872</v>
      </c>
      <c r="D2979" s="21">
        <v>36.31</v>
      </c>
      <c r="E2979" s="21" t="s">
        <v>5796</v>
      </c>
      <c r="F2979" s="23"/>
      <c r="G2979" s="23">
        <f t="shared" si="11"/>
        <v>36.31</v>
      </c>
      <c r="H2979" s="23"/>
      <c r="I2979" s="23"/>
    </row>
    <row r="2980" spans="1:9">
      <c r="A2980" s="21" t="s">
        <v>8163</v>
      </c>
      <c r="B2980" s="21"/>
      <c r="C2980" s="22">
        <v>2873</v>
      </c>
      <c r="D2980" s="21">
        <v>36.299999999999997</v>
      </c>
      <c r="E2980" s="21" t="s">
        <v>5796</v>
      </c>
      <c r="F2980" s="23"/>
      <c r="G2980" s="23">
        <f t="shared" si="11"/>
        <v>36.299999999999997</v>
      </c>
      <c r="H2980" s="23"/>
      <c r="I2980" s="23"/>
    </row>
    <row r="2981" spans="1:9">
      <c r="A2981" s="21" t="s">
        <v>8164</v>
      </c>
      <c r="B2981" s="21"/>
      <c r="C2981" s="22">
        <v>2874</v>
      </c>
      <c r="D2981" s="21">
        <v>36.270000000000003</v>
      </c>
      <c r="E2981" s="21" t="s">
        <v>5796</v>
      </c>
      <c r="F2981" s="23"/>
      <c r="G2981" s="23">
        <f t="shared" si="11"/>
        <v>36.270000000000003</v>
      </c>
      <c r="H2981" s="23"/>
      <c r="I2981" s="23"/>
    </row>
    <row r="2982" spans="1:9">
      <c r="A2982" s="21" t="s">
        <v>8165</v>
      </c>
      <c r="B2982" s="21"/>
      <c r="C2982" s="22">
        <v>2875</v>
      </c>
      <c r="D2982" s="21">
        <v>36</v>
      </c>
      <c r="E2982" s="21" t="s">
        <v>5796</v>
      </c>
      <c r="F2982" s="23"/>
      <c r="G2982" s="23">
        <f t="shared" si="11"/>
        <v>36</v>
      </c>
      <c r="H2982" s="23"/>
      <c r="I2982" s="23"/>
    </row>
    <row r="2983" spans="1:9">
      <c r="A2983" s="21" t="s">
        <v>8166</v>
      </c>
      <c r="B2983" s="21"/>
      <c r="C2983" s="22">
        <v>2877</v>
      </c>
      <c r="D2983" s="21">
        <v>35.82</v>
      </c>
      <c r="E2983" s="21" t="s">
        <v>5796</v>
      </c>
      <c r="F2983" s="23"/>
      <c r="G2983" s="23">
        <f t="shared" si="11"/>
        <v>35.82</v>
      </c>
      <c r="H2983" s="23"/>
      <c r="I2983" s="23"/>
    </row>
    <row r="2984" spans="1:9">
      <c r="A2984" s="21" t="s">
        <v>8167</v>
      </c>
      <c r="B2984" s="21"/>
      <c r="C2984" s="22">
        <v>2878</v>
      </c>
      <c r="D2984" s="21">
        <v>35.82</v>
      </c>
      <c r="E2984" s="21" t="s">
        <v>5796</v>
      </c>
      <c r="F2984" s="23"/>
      <c r="G2984" s="23">
        <f t="shared" si="11"/>
        <v>35.82</v>
      </c>
      <c r="H2984" s="23"/>
      <c r="I2984" s="23"/>
    </row>
    <row r="2985" spans="1:9">
      <c r="A2985" s="21" t="s">
        <v>8168</v>
      </c>
      <c r="B2985" s="21"/>
      <c r="C2985" s="22">
        <v>2881</v>
      </c>
      <c r="D2985" s="21">
        <v>35.75</v>
      </c>
      <c r="E2985" s="21" t="s">
        <v>5796</v>
      </c>
      <c r="F2985" s="23"/>
      <c r="G2985" s="23">
        <f t="shared" si="11"/>
        <v>35.75</v>
      </c>
      <c r="H2985" s="23"/>
      <c r="I2985" s="23"/>
    </row>
    <row r="2986" spans="1:9">
      <c r="A2986" s="21" t="s">
        <v>8169</v>
      </c>
      <c r="B2986" s="21"/>
      <c r="C2986" s="22">
        <v>2883</v>
      </c>
      <c r="D2986" s="21">
        <v>35.700000000000003</v>
      </c>
      <c r="E2986" s="21" t="s">
        <v>5796</v>
      </c>
      <c r="F2986" s="23"/>
      <c r="G2986" s="23">
        <f t="shared" si="11"/>
        <v>35.700000000000003</v>
      </c>
      <c r="H2986" s="23"/>
      <c r="I2986" s="23"/>
    </row>
    <row r="2987" spans="1:9">
      <c r="A2987" s="21" t="s">
        <v>8170</v>
      </c>
      <c r="B2987" s="21"/>
      <c r="C2987" s="22">
        <v>2885</v>
      </c>
      <c r="D2987" s="21">
        <v>35.51</v>
      </c>
      <c r="E2987" s="21" t="s">
        <v>5796</v>
      </c>
      <c r="F2987" s="23"/>
      <c r="G2987" s="23">
        <f t="shared" si="11"/>
        <v>35.51</v>
      </c>
      <c r="H2987" s="23"/>
      <c r="I2987" s="23"/>
    </row>
    <row r="2988" spans="1:9">
      <c r="A2988" s="21" t="s">
        <v>8171</v>
      </c>
      <c r="B2988" s="21"/>
      <c r="C2988" s="22">
        <v>2886</v>
      </c>
      <c r="D2988" s="21">
        <v>35.51</v>
      </c>
      <c r="E2988" s="21" t="s">
        <v>5796</v>
      </c>
      <c r="F2988" s="23"/>
      <c r="G2988" s="23">
        <f t="shared" si="11"/>
        <v>35.51</v>
      </c>
      <c r="H2988" s="23"/>
      <c r="I2988" s="23"/>
    </row>
    <row r="2989" spans="1:9">
      <c r="A2989" s="21" t="s">
        <v>8172</v>
      </c>
      <c r="B2989" s="21"/>
      <c r="C2989" s="22">
        <v>2887</v>
      </c>
      <c r="D2989" s="21">
        <v>35.479999999999997</v>
      </c>
      <c r="E2989" s="21" t="s">
        <v>5796</v>
      </c>
      <c r="F2989" s="23"/>
      <c r="G2989" s="23">
        <f t="shared" si="11"/>
        <v>35.479999999999997</v>
      </c>
      <c r="H2989" s="23"/>
      <c r="I2989" s="23"/>
    </row>
    <row r="2990" spans="1:9">
      <c r="A2990" s="21" t="s">
        <v>8173</v>
      </c>
      <c r="B2990" s="21"/>
      <c r="C2990" s="22">
        <v>2888</v>
      </c>
      <c r="D2990" s="21">
        <v>35.47</v>
      </c>
      <c r="E2990" s="21" t="s">
        <v>5796</v>
      </c>
      <c r="F2990" s="23"/>
      <c r="G2990" s="23">
        <f t="shared" si="11"/>
        <v>35.47</v>
      </c>
      <c r="H2990" s="23"/>
      <c r="I2990" s="23"/>
    </row>
    <row r="2991" spans="1:9">
      <c r="A2991" s="21" t="s">
        <v>8174</v>
      </c>
      <c r="B2991" s="21"/>
      <c r="C2991" s="22">
        <v>2889</v>
      </c>
      <c r="D2991" s="21">
        <v>35.380000000000003</v>
      </c>
      <c r="E2991" s="21" t="s">
        <v>5796</v>
      </c>
      <c r="F2991" s="23"/>
      <c r="G2991" s="23">
        <f t="shared" si="11"/>
        <v>35.380000000000003</v>
      </c>
      <c r="H2991" s="23"/>
      <c r="I2991" s="23"/>
    </row>
    <row r="2992" spans="1:9">
      <c r="A2992" s="21" t="s">
        <v>8175</v>
      </c>
      <c r="B2992" s="21"/>
      <c r="C2992" s="22">
        <v>2890</v>
      </c>
      <c r="D2992" s="21">
        <v>35.17</v>
      </c>
      <c r="E2992" s="21" t="s">
        <v>5796</v>
      </c>
      <c r="F2992" s="23"/>
      <c r="G2992" s="23">
        <f t="shared" si="11"/>
        <v>35.17</v>
      </c>
      <c r="H2992" s="23"/>
      <c r="I2992" s="23"/>
    </row>
    <row r="2993" spans="1:9">
      <c r="A2993" s="21" t="s">
        <v>8176</v>
      </c>
      <c r="B2993" s="21"/>
      <c r="C2993" s="22">
        <v>2891</v>
      </c>
      <c r="D2993" s="21">
        <v>35.14</v>
      </c>
      <c r="E2993" s="21" t="s">
        <v>5796</v>
      </c>
      <c r="F2993" s="23"/>
      <c r="G2993" s="23">
        <f t="shared" si="11"/>
        <v>35.14</v>
      </c>
      <c r="H2993" s="23"/>
      <c r="I2993" s="23"/>
    </row>
    <row r="2994" spans="1:9">
      <c r="A2994" s="21" t="s">
        <v>8177</v>
      </c>
      <c r="B2994" s="21"/>
      <c r="C2994" s="22">
        <v>2892</v>
      </c>
      <c r="D2994" s="21">
        <v>35.1</v>
      </c>
      <c r="E2994" s="21" t="s">
        <v>5796</v>
      </c>
      <c r="F2994" s="23"/>
      <c r="G2994" s="23">
        <f t="shared" si="11"/>
        <v>35.1</v>
      </c>
      <c r="H2994" s="23"/>
      <c r="I2994" s="23"/>
    </row>
    <row r="2995" spans="1:9">
      <c r="A2995" s="21" t="s">
        <v>8178</v>
      </c>
      <c r="B2995" s="21"/>
      <c r="C2995" s="22">
        <v>2893</v>
      </c>
      <c r="D2995" s="21">
        <v>35.090000000000003</v>
      </c>
      <c r="E2995" s="21" t="s">
        <v>5796</v>
      </c>
      <c r="F2995" s="23"/>
      <c r="G2995" s="23">
        <f t="shared" si="11"/>
        <v>35.090000000000003</v>
      </c>
      <c r="H2995" s="23"/>
      <c r="I2995" s="23"/>
    </row>
    <row r="2996" spans="1:9">
      <c r="A2996" s="21" t="s">
        <v>8179</v>
      </c>
      <c r="B2996" s="21"/>
      <c r="C2996" s="22">
        <v>2894</v>
      </c>
      <c r="D2996" s="21">
        <v>35.049999999999997</v>
      </c>
      <c r="E2996" s="21" t="s">
        <v>5796</v>
      </c>
      <c r="F2996" s="23"/>
      <c r="G2996" s="23">
        <f t="shared" si="11"/>
        <v>35.049999999999997</v>
      </c>
      <c r="H2996" s="23"/>
      <c r="I2996" s="23"/>
    </row>
    <row r="2997" spans="1:9">
      <c r="A2997" s="21" t="s">
        <v>8180</v>
      </c>
      <c r="B2997" s="21"/>
      <c r="C2997" s="22">
        <v>2896</v>
      </c>
      <c r="D2997" s="21">
        <v>34.950000000000003</v>
      </c>
      <c r="E2997" s="21" t="s">
        <v>5796</v>
      </c>
      <c r="F2997" s="23"/>
      <c r="G2997" s="23">
        <f t="shared" si="11"/>
        <v>34.950000000000003</v>
      </c>
      <c r="H2997" s="23"/>
      <c r="I2997" s="23"/>
    </row>
    <row r="2998" spans="1:9">
      <c r="A2998" s="21" t="s">
        <v>8181</v>
      </c>
      <c r="B2998" s="21"/>
      <c r="C2998" s="22">
        <v>2897</v>
      </c>
      <c r="D2998" s="21">
        <v>34.94</v>
      </c>
      <c r="E2998" s="21" t="s">
        <v>5796</v>
      </c>
      <c r="F2998" s="23"/>
      <c r="G2998" s="23">
        <f t="shared" si="11"/>
        <v>34.94</v>
      </c>
      <c r="H2998" s="23"/>
      <c r="I2998" s="23"/>
    </row>
    <row r="2999" spans="1:9">
      <c r="A2999" s="21" t="s">
        <v>8182</v>
      </c>
      <c r="B2999" s="21"/>
      <c r="C2999" s="22">
        <v>2898</v>
      </c>
      <c r="D2999" s="21">
        <v>34.93</v>
      </c>
      <c r="E2999" s="21" t="s">
        <v>5796</v>
      </c>
      <c r="F2999" s="23"/>
      <c r="G2999" s="23">
        <f t="shared" si="11"/>
        <v>34.93</v>
      </c>
      <c r="H2999" s="23"/>
      <c r="I2999" s="23"/>
    </row>
    <row r="3000" spans="1:9">
      <c r="A3000" s="21" t="s">
        <v>8183</v>
      </c>
      <c r="B3000" s="21"/>
      <c r="C3000" s="22">
        <v>2899</v>
      </c>
      <c r="D3000" s="21">
        <v>34.9</v>
      </c>
      <c r="E3000" s="21" t="s">
        <v>5796</v>
      </c>
      <c r="F3000" s="23"/>
      <c r="G3000" s="23">
        <f t="shared" si="11"/>
        <v>34.9</v>
      </c>
      <c r="H3000" s="23"/>
      <c r="I3000" s="23"/>
    </row>
    <row r="3001" spans="1:9">
      <c r="A3001" s="21" t="s">
        <v>8184</v>
      </c>
      <c r="B3001" s="21"/>
      <c r="C3001" s="22">
        <v>2901</v>
      </c>
      <c r="D3001" s="21">
        <v>34.799999999999997</v>
      </c>
      <c r="E3001" s="21" t="s">
        <v>5796</v>
      </c>
      <c r="F3001" s="23"/>
      <c r="G3001" s="23">
        <f t="shared" si="11"/>
        <v>34.799999999999997</v>
      </c>
      <c r="H3001" s="23"/>
      <c r="I3001" s="23"/>
    </row>
    <row r="3002" spans="1:9">
      <c r="A3002" s="21" t="s">
        <v>8185</v>
      </c>
      <c r="B3002" s="21"/>
      <c r="C3002" s="22">
        <v>2902</v>
      </c>
      <c r="D3002" s="21">
        <v>34.72</v>
      </c>
      <c r="E3002" s="21" t="s">
        <v>5796</v>
      </c>
      <c r="F3002" s="23"/>
      <c r="G3002" s="23">
        <f t="shared" si="11"/>
        <v>34.72</v>
      </c>
      <c r="H3002" s="23"/>
      <c r="I3002" s="23"/>
    </row>
    <row r="3003" spans="1:9">
      <c r="A3003" s="21" t="s">
        <v>8186</v>
      </c>
      <c r="B3003" s="21"/>
      <c r="C3003" s="22">
        <v>2903</v>
      </c>
      <c r="D3003" s="21">
        <v>34.71</v>
      </c>
      <c r="E3003" s="21" t="s">
        <v>5796</v>
      </c>
      <c r="F3003" s="23"/>
      <c r="G3003" s="23">
        <f t="shared" si="11"/>
        <v>34.71</v>
      </c>
      <c r="H3003" s="23"/>
      <c r="I3003" s="23"/>
    </row>
    <row r="3004" spans="1:9">
      <c r="A3004" s="21" t="s">
        <v>8187</v>
      </c>
      <c r="B3004" s="21"/>
      <c r="C3004" s="22">
        <v>2904</v>
      </c>
      <c r="D3004" s="21">
        <v>34.700000000000003</v>
      </c>
      <c r="E3004" s="21" t="s">
        <v>5796</v>
      </c>
      <c r="F3004" s="23"/>
      <c r="G3004" s="23">
        <f t="shared" si="11"/>
        <v>34.700000000000003</v>
      </c>
      <c r="H3004" s="23"/>
      <c r="I3004" s="23"/>
    </row>
    <row r="3005" spans="1:9">
      <c r="A3005" s="21" t="s">
        <v>8188</v>
      </c>
      <c r="B3005" s="21"/>
      <c r="C3005" s="22">
        <v>2905</v>
      </c>
      <c r="D3005" s="21">
        <v>34.65</v>
      </c>
      <c r="E3005" s="21" t="s">
        <v>5796</v>
      </c>
      <c r="F3005" s="23"/>
      <c r="G3005" s="23">
        <f t="shared" si="11"/>
        <v>34.65</v>
      </c>
      <c r="H3005" s="23"/>
      <c r="I3005" s="23"/>
    </row>
    <row r="3006" spans="1:9">
      <c r="A3006" s="21" t="s">
        <v>8189</v>
      </c>
      <c r="B3006" s="21"/>
      <c r="C3006" s="22">
        <v>2906</v>
      </c>
      <c r="D3006" s="21">
        <v>34.64</v>
      </c>
      <c r="E3006" s="21" t="s">
        <v>5796</v>
      </c>
      <c r="F3006" s="23"/>
      <c r="G3006" s="23">
        <f t="shared" si="11"/>
        <v>34.64</v>
      </c>
      <c r="H3006" s="23"/>
      <c r="I3006" s="23"/>
    </row>
    <row r="3007" spans="1:9">
      <c r="A3007" s="21" t="s">
        <v>8190</v>
      </c>
      <c r="B3007" s="21"/>
      <c r="C3007" s="22">
        <v>2907</v>
      </c>
      <c r="D3007" s="21">
        <v>34.630000000000003</v>
      </c>
      <c r="E3007" s="21" t="s">
        <v>5796</v>
      </c>
      <c r="F3007" s="23"/>
      <c r="G3007" s="23">
        <f t="shared" si="11"/>
        <v>34.630000000000003</v>
      </c>
      <c r="H3007" s="23"/>
      <c r="I3007" s="23"/>
    </row>
    <row r="3008" spans="1:9">
      <c r="A3008" s="21" t="s">
        <v>8191</v>
      </c>
      <c r="B3008" s="21"/>
      <c r="C3008" s="22">
        <v>2908</v>
      </c>
      <c r="D3008" s="21">
        <v>34.57</v>
      </c>
      <c r="E3008" s="21" t="s">
        <v>5796</v>
      </c>
      <c r="F3008" s="23"/>
      <c r="G3008" s="23">
        <f t="shared" si="11"/>
        <v>34.57</v>
      </c>
      <c r="H3008" s="23"/>
      <c r="I3008" s="23"/>
    </row>
    <row r="3009" spans="1:9">
      <c r="A3009" s="21" t="s">
        <v>8192</v>
      </c>
      <c r="B3009" s="21"/>
      <c r="C3009" s="22">
        <v>2909</v>
      </c>
      <c r="D3009" s="21">
        <v>34.57</v>
      </c>
      <c r="E3009" s="21" t="s">
        <v>5796</v>
      </c>
      <c r="F3009" s="23"/>
      <c r="G3009" s="23">
        <f t="shared" si="11"/>
        <v>34.57</v>
      </c>
      <c r="H3009" s="23"/>
      <c r="I3009" s="23"/>
    </row>
    <row r="3010" spans="1:9">
      <c r="A3010" s="21" t="s">
        <v>8193</v>
      </c>
      <c r="B3010" s="21"/>
      <c r="C3010" s="22">
        <v>2910</v>
      </c>
      <c r="D3010" s="21">
        <v>34.46</v>
      </c>
      <c r="E3010" s="21" t="s">
        <v>5796</v>
      </c>
      <c r="F3010" s="23"/>
      <c r="G3010" s="23">
        <f t="shared" si="11"/>
        <v>34.46</v>
      </c>
      <c r="H3010" s="23"/>
      <c r="I3010" s="23"/>
    </row>
    <row r="3011" spans="1:9">
      <c r="A3011" s="21" t="s">
        <v>8194</v>
      </c>
      <c r="B3011" s="21"/>
      <c r="C3011" s="22">
        <v>2911</v>
      </c>
      <c r="D3011" s="21">
        <v>34.4</v>
      </c>
      <c r="E3011" s="21" t="s">
        <v>5796</v>
      </c>
      <c r="F3011" s="23"/>
      <c r="G3011" s="23">
        <f t="shared" si="11"/>
        <v>34.4</v>
      </c>
      <c r="H3011" s="23"/>
      <c r="I3011" s="23"/>
    </row>
    <row r="3012" spans="1:9">
      <c r="A3012" s="21" t="s">
        <v>8195</v>
      </c>
      <c r="B3012" s="21"/>
      <c r="C3012" s="22">
        <v>2912</v>
      </c>
      <c r="D3012" s="21">
        <v>34.36</v>
      </c>
      <c r="E3012" s="21" t="s">
        <v>5796</v>
      </c>
      <c r="F3012" s="23"/>
      <c r="G3012" s="23">
        <f t="shared" si="11"/>
        <v>34.36</v>
      </c>
      <c r="H3012" s="23"/>
      <c r="I3012" s="23"/>
    </row>
    <row r="3013" spans="1:9">
      <c r="A3013" s="21" t="s">
        <v>8196</v>
      </c>
      <c r="B3013" s="21"/>
      <c r="C3013" s="22">
        <v>2913</v>
      </c>
      <c r="D3013" s="21">
        <v>34.19</v>
      </c>
      <c r="E3013" s="21" t="s">
        <v>5796</v>
      </c>
      <c r="F3013" s="23"/>
      <c r="G3013" s="23">
        <f t="shared" si="11"/>
        <v>34.19</v>
      </c>
      <c r="H3013" s="23"/>
      <c r="I3013" s="23"/>
    </row>
    <row r="3014" spans="1:9">
      <c r="A3014" s="21" t="s">
        <v>8197</v>
      </c>
      <c r="B3014" s="21"/>
      <c r="C3014" s="22">
        <v>2914</v>
      </c>
      <c r="D3014" s="21">
        <v>34.159999999999997</v>
      </c>
      <c r="E3014" s="21" t="s">
        <v>5796</v>
      </c>
      <c r="F3014" s="23"/>
      <c r="G3014" s="23">
        <f t="shared" si="11"/>
        <v>34.159999999999997</v>
      </c>
      <c r="H3014" s="23"/>
      <c r="I3014" s="23"/>
    </row>
    <row r="3015" spans="1:9">
      <c r="A3015" s="21" t="s">
        <v>8198</v>
      </c>
      <c r="B3015" s="21"/>
      <c r="C3015" s="22">
        <v>2916</v>
      </c>
      <c r="D3015" s="21">
        <v>34.15</v>
      </c>
      <c r="E3015" s="21" t="s">
        <v>5796</v>
      </c>
      <c r="F3015" s="23"/>
      <c r="G3015" s="23">
        <f t="shared" si="11"/>
        <v>34.15</v>
      </c>
      <c r="H3015" s="23"/>
      <c r="I3015" s="23"/>
    </row>
    <row r="3016" spans="1:9">
      <c r="A3016" s="21" t="s">
        <v>8199</v>
      </c>
      <c r="B3016" s="21"/>
      <c r="C3016" s="22">
        <v>2917</v>
      </c>
      <c r="D3016" s="21">
        <v>34.049999999999997</v>
      </c>
      <c r="E3016" s="21" t="s">
        <v>5796</v>
      </c>
      <c r="F3016" s="23"/>
      <c r="G3016" s="23">
        <f t="shared" si="11"/>
        <v>34.049999999999997</v>
      </c>
      <c r="H3016" s="23"/>
      <c r="I3016" s="23"/>
    </row>
    <row r="3017" spans="1:9">
      <c r="A3017" s="21" t="s">
        <v>8200</v>
      </c>
      <c r="B3017" s="21"/>
      <c r="C3017" s="22">
        <v>2918</v>
      </c>
      <c r="D3017" s="21">
        <v>33.99</v>
      </c>
      <c r="E3017" s="21" t="s">
        <v>5796</v>
      </c>
      <c r="F3017" s="23"/>
      <c r="G3017" s="23">
        <f t="shared" si="11"/>
        <v>33.99</v>
      </c>
      <c r="H3017" s="23"/>
      <c r="I3017" s="23"/>
    </row>
    <row r="3018" spans="1:9">
      <c r="A3018" s="21" t="s">
        <v>8201</v>
      </c>
      <c r="B3018" s="21"/>
      <c r="C3018" s="22">
        <v>2919</v>
      </c>
      <c r="D3018" s="21">
        <v>33.89</v>
      </c>
      <c r="E3018" s="21" t="s">
        <v>5796</v>
      </c>
      <c r="F3018" s="23"/>
      <c r="G3018" s="23">
        <f t="shared" si="11"/>
        <v>33.89</v>
      </c>
      <c r="H3018" s="23"/>
      <c r="I3018" s="23"/>
    </row>
    <row r="3019" spans="1:9">
      <c r="A3019" s="21" t="s">
        <v>8202</v>
      </c>
      <c r="B3019" s="21"/>
      <c r="C3019" s="22">
        <v>2920</v>
      </c>
      <c r="D3019" s="21">
        <v>33.83</v>
      </c>
      <c r="E3019" s="21" t="s">
        <v>5796</v>
      </c>
      <c r="F3019" s="23"/>
      <c r="G3019" s="23">
        <f t="shared" si="11"/>
        <v>33.83</v>
      </c>
      <c r="H3019" s="23"/>
      <c r="I3019" s="23"/>
    </row>
    <row r="3020" spans="1:9">
      <c r="A3020" s="21" t="s">
        <v>8203</v>
      </c>
      <c r="B3020" s="21"/>
      <c r="C3020" s="22">
        <v>2921</v>
      </c>
      <c r="D3020" s="21">
        <v>33.799999999999997</v>
      </c>
      <c r="E3020" s="21" t="s">
        <v>5796</v>
      </c>
      <c r="F3020" s="23"/>
      <c r="G3020" s="23">
        <f t="shared" si="11"/>
        <v>33.799999999999997</v>
      </c>
      <c r="H3020" s="23"/>
      <c r="I3020" s="23"/>
    </row>
    <row r="3021" spans="1:9">
      <c r="A3021" s="21" t="s">
        <v>8204</v>
      </c>
      <c r="B3021" s="21"/>
      <c r="C3021" s="22">
        <v>2922</v>
      </c>
      <c r="D3021" s="21">
        <v>33.79</v>
      </c>
      <c r="E3021" s="21" t="s">
        <v>5796</v>
      </c>
      <c r="F3021" s="23"/>
      <c r="G3021" s="23">
        <f t="shared" si="11"/>
        <v>33.79</v>
      </c>
      <c r="H3021" s="23"/>
      <c r="I3021" s="23"/>
    </row>
    <row r="3022" spans="1:9">
      <c r="A3022" s="21" t="s">
        <v>8205</v>
      </c>
      <c r="B3022" s="21"/>
      <c r="C3022" s="22">
        <v>2923</v>
      </c>
      <c r="D3022" s="21">
        <v>33.75</v>
      </c>
      <c r="E3022" s="21" t="s">
        <v>5796</v>
      </c>
      <c r="F3022" s="23"/>
      <c r="G3022" s="23">
        <f t="shared" si="11"/>
        <v>33.75</v>
      </c>
      <c r="H3022" s="23"/>
      <c r="I3022" s="23"/>
    </row>
    <row r="3023" spans="1:9">
      <c r="A3023" s="21" t="s">
        <v>8206</v>
      </c>
      <c r="B3023" s="21"/>
      <c r="C3023" s="22">
        <v>2924</v>
      </c>
      <c r="D3023" s="21">
        <v>33.71</v>
      </c>
      <c r="E3023" s="21" t="s">
        <v>5796</v>
      </c>
      <c r="F3023" s="23"/>
      <c r="G3023" s="23">
        <f t="shared" si="11"/>
        <v>33.71</v>
      </c>
      <c r="H3023" s="23"/>
      <c r="I3023" s="23"/>
    </row>
    <row r="3024" spans="1:9">
      <c r="A3024" s="21" t="s">
        <v>8207</v>
      </c>
      <c r="B3024" s="21"/>
      <c r="C3024" s="22">
        <v>2925</v>
      </c>
      <c r="D3024" s="21">
        <v>33.71</v>
      </c>
      <c r="E3024" s="21" t="s">
        <v>5796</v>
      </c>
      <c r="F3024" s="23"/>
      <c r="G3024" s="23">
        <f t="shared" si="11"/>
        <v>33.71</v>
      </c>
      <c r="H3024" s="23"/>
      <c r="I3024" s="23"/>
    </row>
    <row r="3025" spans="1:9">
      <c r="A3025" s="21" t="s">
        <v>8208</v>
      </c>
      <c r="B3025" s="21"/>
      <c r="C3025" s="22">
        <v>2926</v>
      </c>
      <c r="D3025" s="21">
        <v>33.69</v>
      </c>
      <c r="E3025" s="21" t="s">
        <v>5796</v>
      </c>
      <c r="F3025" s="23"/>
      <c r="G3025" s="23">
        <f t="shared" si="11"/>
        <v>33.69</v>
      </c>
      <c r="H3025" s="23"/>
      <c r="I3025" s="23"/>
    </row>
    <row r="3026" spans="1:9">
      <c r="A3026" s="21" t="s">
        <v>8209</v>
      </c>
      <c r="B3026" s="21"/>
      <c r="C3026" s="22">
        <v>2927</v>
      </c>
      <c r="D3026" s="21">
        <v>33.64</v>
      </c>
      <c r="E3026" s="21" t="s">
        <v>5796</v>
      </c>
      <c r="F3026" s="23"/>
      <c r="G3026" s="23">
        <f t="shared" si="11"/>
        <v>33.64</v>
      </c>
      <c r="H3026" s="23"/>
      <c r="I3026" s="23"/>
    </row>
    <row r="3027" spans="1:9">
      <c r="A3027" s="21" t="s">
        <v>8210</v>
      </c>
      <c r="B3027" s="21"/>
      <c r="C3027" s="22">
        <v>2928</v>
      </c>
      <c r="D3027" s="21">
        <v>33.61</v>
      </c>
      <c r="E3027" s="21" t="s">
        <v>5796</v>
      </c>
      <c r="F3027" s="23"/>
      <c r="G3027" s="23">
        <f t="shared" si="11"/>
        <v>33.61</v>
      </c>
      <c r="H3027" s="23"/>
      <c r="I3027" s="23"/>
    </row>
    <row r="3028" spans="1:9">
      <c r="A3028" s="21" t="s">
        <v>8211</v>
      </c>
      <c r="B3028" s="21"/>
      <c r="C3028" s="22">
        <v>2931</v>
      </c>
      <c r="D3028" s="21">
        <v>33.520000000000003</v>
      </c>
      <c r="E3028" s="21" t="s">
        <v>5796</v>
      </c>
      <c r="F3028" s="23"/>
      <c r="G3028" s="23">
        <f t="shared" si="11"/>
        <v>33.520000000000003</v>
      </c>
      <c r="H3028" s="23"/>
      <c r="I3028" s="23"/>
    </row>
    <row r="3029" spans="1:9">
      <c r="A3029" s="21" t="s">
        <v>8212</v>
      </c>
      <c r="B3029" s="21"/>
      <c r="C3029" s="22">
        <v>2932</v>
      </c>
      <c r="D3029" s="21">
        <v>33.479999999999997</v>
      </c>
      <c r="E3029" s="21" t="s">
        <v>5796</v>
      </c>
      <c r="F3029" s="23"/>
      <c r="G3029" s="23">
        <f t="shared" si="11"/>
        <v>33.479999999999997</v>
      </c>
      <c r="H3029" s="23"/>
      <c r="I3029" s="23"/>
    </row>
    <row r="3030" spans="1:9">
      <c r="A3030" s="21" t="s">
        <v>8213</v>
      </c>
      <c r="B3030" s="21"/>
      <c r="C3030" s="22">
        <v>2933</v>
      </c>
      <c r="D3030" s="21">
        <v>33.4</v>
      </c>
      <c r="E3030" s="21" t="s">
        <v>5796</v>
      </c>
      <c r="F3030" s="23"/>
      <c r="G3030" s="23">
        <f t="shared" si="11"/>
        <v>33.4</v>
      </c>
      <c r="H3030" s="23"/>
      <c r="I3030" s="23"/>
    </row>
    <row r="3031" spans="1:9">
      <c r="A3031" s="21" t="s">
        <v>8214</v>
      </c>
      <c r="B3031" s="21"/>
      <c r="C3031" s="22">
        <v>2934</v>
      </c>
      <c r="D3031" s="21">
        <v>33.29</v>
      </c>
      <c r="E3031" s="21" t="s">
        <v>5796</v>
      </c>
      <c r="F3031" s="23"/>
      <c r="G3031" s="23">
        <f t="shared" si="11"/>
        <v>33.29</v>
      </c>
      <c r="H3031" s="23"/>
      <c r="I3031" s="23"/>
    </row>
    <row r="3032" spans="1:9">
      <c r="A3032" s="21" t="s">
        <v>8215</v>
      </c>
      <c r="B3032" s="21"/>
      <c r="C3032" s="22">
        <v>2935</v>
      </c>
      <c r="D3032" s="21">
        <v>33.25</v>
      </c>
      <c r="E3032" s="21" t="s">
        <v>5796</v>
      </c>
      <c r="F3032" s="23"/>
      <c r="G3032" s="23">
        <f t="shared" si="11"/>
        <v>33.25</v>
      </c>
      <c r="H3032" s="23"/>
      <c r="I3032" s="23"/>
    </row>
    <row r="3033" spans="1:9">
      <c r="A3033" s="21" t="s">
        <v>8216</v>
      </c>
      <c r="B3033" s="21"/>
      <c r="C3033" s="22">
        <v>2936</v>
      </c>
      <c r="D3033" s="21">
        <v>33.25</v>
      </c>
      <c r="E3033" s="21" t="s">
        <v>5796</v>
      </c>
      <c r="F3033" s="23"/>
      <c r="G3033" s="23">
        <f t="shared" si="11"/>
        <v>33.25</v>
      </c>
      <c r="H3033" s="23"/>
      <c r="I3033" s="23"/>
    </row>
    <row r="3034" spans="1:9">
      <c r="A3034" s="21" t="s">
        <v>8217</v>
      </c>
      <c r="B3034" s="21"/>
      <c r="C3034" s="22">
        <v>2937</v>
      </c>
      <c r="D3034" s="21">
        <v>33.24</v>
      </c>
      <c r="E3034" s="21" t="s">
        <v>5796</v>
      </c>
      <c r="F3034" s="23"/>
      <c r="G3034" s="23">
        <f t="shared" si="11"/>
        <v>33.24</v>
      </c>
      <c r="H3034" s="23"/>
      <c r="I3034" s="23"/>
    </row>
    <row r="3035" spans="1:9">
      <c r="A3035" s="21" t="s">
        <v>8218</v>
      </c>
      <c r="B3035" s="21"/>
      <c r="C3035" s="22">
        <v>2939</v>
      </c>
      <c r="D3035" s="21">
        <v>33.119999999999997</v>
      </c>
      <c r="E3035" s="21" t="s">
        <v>5796</v>
      </c>
      <c r="F3035" s="23"/>
      <c r="G3035" s="23">
        <f t="shared" si="11"/>
        <v>33.119999999999997</v>
      </c>
      <c r="H3035" s="23"/>
      <c r="I3035" s="23"/>
    </row>
    <row r="3036" spans="1:9">
      <c r="A3036" s="21" t="s">
        <v>8219</v>
      </c>
      <c r="B3036" s="21"/>
      <c r="C3036" s="22">
        <v>2940</v>
      </c>
      <c r="D3036" s="21">
        <v>33.049999999999997</v>
      </c>
      <c r="E3036" s="21" t="s">
        <v>5796</v>
      </c>
      <c r="F3036" s="23"/>
      <c r="G3036" s="23">
        <f t="shared" si="11"/>
        <v>33.049999999999997</v>
      </c>
      <c r="H3036" s="23"/>
      <c r="I3036" s="23"/>
    </row>
    <row r="3037" spans="1:9">
      <c r="A3037" s="21" t="s">
        <v>8220</v>
      </c>
      <c r="B3037" s="21"/>
      <c r="C3037" s="22">
        <v>2941</v>
      </c>
      <c r="D3037" s="21">
        <v>32.76</v>
      </c>
      <c r="E3037" s="21" t="s">
        <v>5796</v>
      </c>
      <c r="F3037" s="23"/>
      <c r="G3037" s="23">
        <f t="shared" si="11"/>
        <v>32.76</v>
      </c>
      <c r="H3037" s="23"/>
      <c r="I3037" s="23"/>
    </row>
    <row r="3038" spans="1:9">
      <c r="A3038" s="21" t="s">
        <v>8221</v>
      </c>
      <c r="B3038" s="21"/>
      <c r="C3038" s="22">
        <v>2942</v>
      </c>
      <c r="D3038" s="21">
        <v>32.68</v>
      </c>
      <c r="E3038" s="21" t="s">
        <v>5796</v>
      </c>
      <c r="F3038" s="23"/>
      <c r="G3038" s="23">
        <f t="shared" si="11"/>
        <v>32.68</v>
      </c>
      <c r="H3038" s="23"/>
      <c r="I3038" s="23"/>
    </row>
    <row r="3039" spans="1:9">
      <c r="A3039" s="21" t="s">
        <v>8222</v>
      </c>
      <c r="B3039" s="21"/>
      <c r="C3039" s="22">
        <v>2944</v>
      </c>
      <c r="D3039" s="21">
        <v>32.590000000000003</v>
      </c>
      <c r="E3039" s="21" t="s">
        <v>5796</v>
      </c>
      <c r="F3039" s="23"/>
      <c r="G3039" s="23">
        <f t="shared" si="11"/>
        <v>32.590000000000003</v>
      </c>
      <c r="H3039" s="23"/>
      <c r="I3039" s="23"/>
    </row>
    <row r="3040" spans="1:9">
      <c r="A3040" s="21" t="s">
        <v>8223</v>
      </c>
      <c r="B3040" s="21"/>
      <c r="C3040" s="22">
        <v>2945</v>
      </c>
      <c r="D3040" s="21">
        <v>32.58</v>
      </c>
      <c r="E3040" s="21" t="s">
        <v>5796</v>
      </c>
      <c r="F3040" s="23"/>
      <c r="G3040" s="23">
        <f t="shared" si="11"/>
        <v>32.58</v>
      </c>
      <c r="H3040" s="23"/>
      <c r="I3040" s="23"/>
    </row>
    <row r="3041" spans="1:9">
      <c r="A3041" s="21" t="s">
        <v>8224</v>
      </c>
      <c r="B3041" s="21"/>
      <c r="C3041" s="22">
        <v>2946</v>
      </c>
      <c r="D3041" s="21">
        <v>32.57</v>
      </c>
      <c r="E3041" s="21" t="s">
        <v>5796</v>
      </c>
      <c r="F3041" s="23"/>
      <c r="G3041" s="23">
        <f t="shared" si="11"/>
        <v>32.57</v>
      </c>
      <c r="H3041" s="23"/>
      <c r="I3041" s="23"/>
    </row>
    <row r="3042" spans="1:9">
      <c r="A3042" s="21" t="s">
        <v>8225</v>
      </c>
      <c r="B3042" s="21"/>
      <c r="C3042" s="22">
        <v>2947</v>
      </c>
      <c r="D3042" s="21">
        <v>32.53</v>
      </c>
      <c r="E3042" s="21" t="s">
        <v>5796</v>
      </c>
      <c r="F3042" s="23"/>
      <c r="G3042" s="23">
        <f t="shared" si="11"/>
        <v>32.53</v>
      </c>
      <c r="H3042" s="23"/>
      <c r="I3042" s="23"/>
    </row>
    <row r="3043" spans="1:9">
      <c r="A3043" s="21" t="s">
        <v>8226</v>
      </c>
      <c r="B3043" s="21"/>
      <c r="C3043" s="22">
        <v>2948</v>
      </c>
      <c r="D3043" s="21">
        <v>32.5</v>
      </c>
      <c r="E3043" s="21" t="s">
        <v>5796</v>
      </c>
      <c r="F3043" s="23"/>
      <c r="G3043" s="23">
        <f t="shared" si="11"/>
        <v>32.5</v>
      </c>
      <c r="H3043" s="23"/>
      <c r="I3043" s="23"/>
    </row>
    <row r="3044" spans="1:9">
      <c r="A3044" s="21" t="s">
        <v>8227</v>
      </c>
      <c r="B3044" s="21"/>
      <c r="C3044" s="22">
        <v>2949</v>
      </c>
      <c r="D3044" s="21">
        <v>32.479999999999997</v>
      </c>
      <c r="E3044" s="21" t="s">
        <v>5796</v>
      </c>
      <c r="F3044" s="23"/>
      <c r="G3044" s="23">
        <f t="shared" si="11"/>
        <v>32.479999999999997</v>
      </c>
      <c r="H3044" s="23"/>
      <c r="I3044" s="23"/>
    </row>
    <row r="3045" spans="1:9">
      <c r="A3045" s="21" t="s">
        <v>8228</v>
      </c>
      <c r="B3045" s="21"/>
      <c r="C3045" s="22">
        <v>2950</v>
      </c>
      <c r="D3045" s="21">
        <v>32.47</v>
      </c>
      <c r="E3045" s="21" t="s">
        <v>5796</v>
      </c>
      <c r="F3045" s="23"/>
      <c r="G3045" s="23">
        <f t="shared" si="11"/>
        <v>32.47</v>
      </c>
      <c r="H3045" s="23"/>
      <c r="I3045" s="23"/>
    </row>
    <row r="3046" spans="1:9">
      <c r="A3046" s="21" t="s">
        <v>8229</v>
      </c>
      <c r="B3046" s="21"/>
      <c r="C3046" s="22">
        <v>2951</v>
      </c>
      <c r="D3046" s="21">
        <v>32.450000000000003</v>
      </c>
      <c r="E3046" s="21" t="s">
        <v>5796</v>
      </c>
      <c r="F3046" s="23"/>
      <c r="G3046" s="23">
        <f t="shared" si="11"/>
        <v>32.450000000000003</v>
      </c>
      <c r="H3046" s="23"/>
      <c r="I3046" s="23"/>
    </row>
    <row r="3047" spans="1:9">
      <c r="A3047" s="21" t="s">
        <v>8230</v>
      </c>
      <c r="B3047" s="21"/>
      <c r="C3047" s="22">
        <v>2952</v>
      </c>
      <c r="D3047" s="21">
        <v>32.43</v>
      </c>
      <c r="E3047" s="21" t="s">
        <v>5796</v>
      </c>
      <c r="F3047" s="23"/>
      <c r="G3047" s="23">
        <f t="shared" si="11"/>
        <v>32.43</v>
      </c>
      <c r="H3047" s="23"/>
      <c r="I3047" s="23"/>
    </row>
    <row r="3048" spans="1:9">
      <c r="A3048" s="21" t="s">
        <v>8231</v>
      </c>
      <c r="B3048" s="21"/>
      <c r="C3048" s="22">
        <v>2953</v>
      </c>
      <c r="D3048" s="21">
        <v>32.340000000000003</v>
      </c>
      <c r="E3048" s="21" t="s">
        <v>5796</v>
      </c>
      <c r="F3048" s="23"/>
      <c r="G3048" s="23">
        <f t="shared" si="11"/>
        <v>32.340000000000003</v>
      </c>
      <c r="H3048" s="23"/>
      <c r="I3048" s="23"/>
    </row>
    <row r="3049" spans="1:9">
      <c r="A3049" s="21" t="s">
        <v>8232</v>
      </c>
      <c r="B3049" s="21"/>
      <c r="C3049" s="22">
        <v>2954</v>
      </c>
      <c r="D3049" s="21">
        <v>32.28</v>
      </c>
      <c r="E3049" s="21" t="s">
        <v>5796</v>
      </c>
      <c r="F3049" s="23"/>
      <c r="G3049" s="23">
        <f t="shared" si="11"/>
        <v>32.28</v>
      </c>
      <c r="H3049" s="23"/>
      <c r="I3049" s="23"/>
    </row>
    <row r="3050" spans="1:9">
      <c r="A3050" s="21" t="s">
        <v>8233</v>
      </c>
      <c r="B3050" s="21"/>
      <c r="C3050" s="22">
        <v>2955</v>
      </c>
      <c r="D3050" s="21">
        <v>32.24</v>
      </c>
      <c r="E3050" s="21" t="s">
        <v>5796</v>
      </c>
      <c r="F3050" s="23"/>
      <c r="G3050" s="23">
        <f t="shared" si="11"/>
        <v>32.24</v>
      </c>
      <c r="H3050" s="23"/>
      <c r="I3050" s="23"/>
    </row>
    <row r="3051" spans="1:9">
      <c r="A3051" s="21" t="s">
        <v>8234</v>
      </c>
      <c r="B3051" s="21"/>
      <c r="C3051" s="22">
        <v>2956</v>
      </c>
      <c r="D3051" s="21">
        <v>32.18</v>
      </c>
      <c r="E3051" s="21" t="s">
        <v>5796</v>
      </c>
      <c r="F3051" s="23"/>
      <c r="G3051" s="23">
        <f t="shared" si="11"/>
        <v>32.18</v>
      </c>
      <c r="H3051" s="23"/>
      <c r="I3051" s="23"/>
    </row>
    <row r="3052" spans="1:9">
      <c r="A3052" s="21" t="s">
        <v>8235</v>
      </c>
      <c r="B3052" s="21"/>
      <c r="C3052" s="22">
        <v>2958</v>
      </c>
      <c r="D3052" s="21">
        <v>32.159999999999997</v>
      </c>
      <c r="E3052" s="21" t="s">
        <v>5796</v>
      </c>
      <c r="F3052" s="23"/>
      <c r="G3052" s="23">
        <f t="shared" si="11"/>
        <v>32.159999999999997</v>
      </c>
      <c r="H3052" s="23"/>
      <c r="I3052" s="23"/>
    </row>
    <row r="3053" spans="1:9">
      <c r="A3053" s="21" t="s">
        <v>8236</v>
      </c>
      <c r="B3053" s="21"/>
      <c r="C3053" s="22">
        <v>2959</v>
      </c>
      <c r="D3053" s="21">
        <v>32.07</v>
      </c>
      <c r="E3053" s="21" t="s">
        <v>5796</v>
      </c>
      <c r="F3053" s="23"/>
      <c r="G3053" s="23">
        <f t="shared" si="11"/>
        <v>32.07</v>
      </c>
      <c r="H3053" s="23"/>
      <c r="I3053" s="23"/>
    </row>
    <row r="3054" spans="1:9">
      <c r="A3054" s="21" t="s">
        <v>8237</v>
      </c>
      <c r="B3054" s="21"/>
      <c r="C3054" s="22">
        <v>2962</v>
      </c>
      <c r="D3054" s="21">
        <v>31.9</v>
      </c>
      <c r="E3054" s="21" t="s">
        <v>5796</v>
      </c>
      <c r="F3054" s="23"/>
      <c r="G3054" s="23">
        <f t="shared" si="11"/>
        <v>31.9</v>
      </c>
      <c r="H3054" s="23"/>
      <c r="I3054" s="23"/>
    </row>
    <row r="3055" spans="1:9">
      <c r="A3055" s="21" t="s">
        <v>8238</v>
      </c>
      <c r="B3055" s="21"/>
      <c r="C3055" s="22">
        <v>2963</v>
      </c>
      <c r="D3055" s="21">
        <v>31.87</v>
      </c>
      <c r="E3055" s="21" t="s">
        <v>5796</v>
      </c>
      <c r="F3055" s="23"/>
      <c r="G3055" s="23">
        <f t="shared" si="11"/>
        <v>31.87</v>
      </c>
      <c r="H3055" s="23"/>
      <c r="I3055" s="23"/>
    </row>
    <row r="3056" spans="1:9">
      <c r="A3056" s="21" t="s">
        <v>8239</v>
      </c>
      <c r="B3056" s="21"/>
      <c r="C3056" s="22">
        <v>2964</v>
      </c>
      <c r="D3056" s="21">
        <v>31.79</v>
      </c>
      <c r="E3056" s="21" t="s">
        <v>5796</v>
      </c>
      <c r="F3056" s="23"/>
      <c r="G3056" s="23">
        <f t="shared" si="11"/>
        <v>31.79</v>
      </c>
      <c r="H3056" s="23"/>
      <c r="I3056" s="23"/>
    </row>
    <row r="3057" spans="1:9">
      <c r="A3057" s="21" t="s">
        <v>8240</v>
      </c>
      <c r="B3057" s="21"/>
      <c r="C3057" s="22">
        <v>2965</v>
      </c>
      <c r="D3057" s="21">
        <v>31.78</v>
      </c>
      <c r="E3057" s="21" t="s">
        <v>5796</v>
      </c>
      <c r="F3057" s="23"/>
      <c r="G3057" s="23">
        <f t="shared" si="11"/>
        <v>31.78</v>
      </c>
      <c r="H3057" s="23"/>
      <c r="I3057" s="23"/>
    </row>
    <row r="3058" spans="1:9">
      <c r="A3058" s="21" t="s">
        <v>8241</v>
      </c>
      <c r="B3058" s="21"/>
      <c r="C3058" s="22">
        <v>2966</v>
      </c>
      <c r="D3058" s="21">
        <v>31.75</v>
      </c>
      <c r="E3058" s="21" t="s">
        <v>5796</v>
      </c>
      <c r="F3058" s="23"/>
      <c r="G3058" s="23">
        <f t="shared" si="11"/>
        <v>31.75</v>
      </c>
      <c r="H3058" s="23"/>
      <c r="I3058" s="23"/>
    </row>
    <row r="3059" spans="1:9">
      <c r="A3059" s="21" t="s">
        <v>8242</v>
      </c>
      <c r="B3059" s="21"/>
      <c r="C3059" s="22">
        <v>2967</v>
      </c>
      <c r="D3059" s="21">
        <v>31.73</v>
      </c>
      <c r="E3059" s="21" t="s">
        <v>5796</v>
      </c>
      <c r="F3059" s="23"/>
      <c r="G3059" s="23">
        <f t="shared" si="11"/>
        <v>31.73</v>
      </c>
      <c r="H3059" s="23"/>
      <c r="I3059" s="23"/>
    </row>
    <row r="3060" spans="1:9">
      <c r="A3060" s="21" t="s">
        <v>8243</v>
      </c>
      <c r="B3060" s="21"/>
      <c r="C3060" s="22">
        <v>2968</v>
      </c>
      <c r="D3060" s="21">
        <v>31.7</v>
      </c>
      <c r="E3060" s="21" t="s">
        <v>5796</v>
      </c>
      <c r="F3060" s="23"/>
      <c r="G3060" s="23">
        <f t="shared" si="11"/>
        <v>31.7</v>
      </c>
      <c r="H3060" s="23"/>
      <c r="I3060" s="23"/>
    </row>
    <row r="3061" spans="1:9">
      <c r="A3061" s="21" t="s">
        <v>8244</v>
      </c>
      <c r="B3061" s="21"/>
      <c r="C3061" s="22">
        <v>2969</v>
      </c>
      <c r="D3061" s="21">
        <v>31.66</v>
      </c>
      <c r="E3061" s="21" t="s">
        <v>5796</v>
      </c>
      <c r="F3061" s="23"/>
      <c r="G3061" s="23">
        <f t="shared" si="11"/>
        <v>31.66</v>
      </c>
      <c r="H3061" s="23"/>
      <c r="I3061" s="23"/>
    </row>
    <row r="3062" spans="1:9">
      <c r="A3062" s="21" t="s">
        <v>8245</v>
      </c>
      <c r="B3062" s="21"/>
      <c r="C3062" s="22">
        <v>2970</v>
      </c>
      <c r="D3062" s="21">
        <v>31.55</v>
      </c>
      <c r="E3062" s="21" t="s">
        <v>5796</v>
      </c>
      <c r="F3062" s="23"/>
      <c r="G3062" s="23">
        <f t="shared" si="11"/>
        <v>31.55</v>
      </c>
      <c r="H3062" s="23"/>
      <c r="I3062" s="23"/>
    </row>
    <row r="3063" spans="1:9">
      <c r="A3063" s="21" t="s">
        <v>8246</v>
      </c>
      <c r="B3063" s="21"/>
      <c r="C3063" s="22">
        <v>2972</v>
      </c>
      <c r="D3063" s="21">
        <v>31.51</v>
      </c>
      <c r="E3063" s="21" t="s">
        <v>5796</v>
      </c>
      <c r="F3063" s="23"/>
      <c r="G3063" s="23">
        <f t="shared" ref="G3063:G3317" si="12">VALUE(SUBSTITUTE(D3063, ",", ""))</f>
        <v>31.51</v>
      </c>
      <c r="H3063" s="23"/>
      <c r="I3063" s="23"/>
    </row>
    <row r="3064" spans="1:9">
      <c r="A3064" s="21" t="s">
        <v>8247</v>
      </c>
      <c r="B3064" s="21"/>
      <c r="C3064" s="22">
        <v>2973</v>
      </c>
      <c r="D3064" s="21">
        <v>31.43</v>
      </c>
      <c r="E3064" s="21" t="s">
        <v>5796</v>
      </c>
      <c r="F3064" s="23"/>
      <c r="G3064" s="23">
        <f t="shared" si="12"/>
        <v>31.43</v>
      </c>
      <c r="H3064" s="23"/>
      <c r="I3064" s="23"/>
    </row>
    <row r="3065" spans="1:9">
      <c r="A3065" s="21" t="s">
        <v>8248</v>
      </c>
      <c r="B3065" s="21"/>
      <c r="C3065" s="22">
        <v>2974</v>
      </c>
      <c r="D3065" s="21">
        <v>31.41</v>
      </c>
      <c r="E3065" s="21" t="s">
        <v>5796</v>
      </c>
      <c r="F3065" s="23"/>
      <c r="G3065" s="23">
        <f t="shared" si="12"/>
        <v>31.41</v>
      </c>
      <c r="H3065" s="23"/>
      <c r="I3065" s="23"/>
    </row>
    <row r="3066" spans="1:9">
      <c r="A3066" s="21" t="s">
        <v>8249</v>
      </c>
      <c r="B3066" s="21"/>
      <c r="C3066" s="22">
        <v>2975</v>
      </c>
      <c r="D3066" s="21">
        <v>31.37</v>
      </c>
      <c r="E3066" s="21" t="s">
        <v>5796</v>
      </c>
      <c r="F3066" s="23"/>
      <c r="G3066" s="23">
        <f t="shared" si="12"/>
        <v>31.37</v>
      </c>
      <c r="H3066" s="23"/>
      <c r="I3066" s="23"/>
    </row>
    <row r="3067" spans="1:9">
      <c r="A3067" s="21" t="s">
        <v>8250</v>
      </c>
      <c r="B3067" s="21"/>
      <c r="C3067" s="22">
        <v>2977</v>
      </c>
      <c r="D3067" s="21">
        <v>31.24</v>
      </c>
      <c r="E3067" s="21" t="s">
        <v>5796</v>
      </c>
      <c r="F3067" s="23"/>
      <c r="G3067" s="23">
        <f t="shared" si="12"/>
        <v>31.24</v>
      </c>
      <c r="H3067" s="23"/>
      <c r="I3067" s="23"/>
    </row>
    <row r="3068" spans="1:9">
      <c r="A3068" s="21" t="s">
        <v>8251</v>
      </c>
      <c r="B3068" s="21"/>
      <c r="C3068" s="22">
        <v>2979</v>
      </c>
      <c r="D3068" s="21">
        <v>30.95</v>
      </c>
      <c r="E3068" s="21" t="s">
        <v>5796</v>
      </c>
      <c r="F3068" s="23"/>
      <c r="G3068" s="23">
        <f t="shared" si="12"/>
        <v>30.95</v>
      </c>
      <c r="H3068" s="23"/>
      <c r="I3068" s="23"/>
    </row>
    <row r="3069" spans="1:9">
      <c r="A3069" s="21" t="s">
        <v>8252</v>
      </c>
      <c r="B3069" s="21"/>
      <c r="C3069" s="22">
        <v>2980</v>
      </c>
      <c r="D3069" s="21">
        <v>30.86</v>
      </c>
      <c r="E3069" s="21" t="s">
        <v>5796</v>
      </c>
      <c r="F3069" s="23"/>
      <c r="G3069" s="23">
        <f t="shared" si="12"/>
        <v>30.86</v>
      </c>
      <c r="H3069" s="23"/>
      <c r="I3069" s="23"/>
    </row>
    <row r="3070" spans="1:9">
      <c r="A3070" s="21" t="s">
        <v>8253</v>
      </c>
      <c r="B3070" s="21"/>
      <c r="C3070" s="22">
        <v>2981</v>
      </c>
      <c r="D3070" s="21">
        <v>30.79</v>
      </c>
      <c r="E3070" s="21" t="s">
        <v>5796</v>
      </c>
      <c r="F3070" s="23"/>
      <c r="G3070" s="23">
        <f t="shared" si="12"/>
        <v>30.79</v>
      </c>
      <c r="H3070" s="23"/>
      <c r="I3070" s="23"/>
    </row>
    <row r="3071" spans="1:9">
      <c r="A3071" s="21" t="s">
        <v>8254</v>
      </c>
      <c r="B3071" s="21"/>
      <c r="C3071" s="22">
        <v>2982</v>
      </c>
      <c r="D3071" s="21">
        <v>30.73</v>
      </c>
      <c r="E3071" s="21" t="s">
        <v>5796</v>
      </c>
      <c r="F3071" s="23"/>
      <c r="G3071" s="23">
        <f t="shared" si="12"/>
        <v>30.73</v>
      </c>
      <c r="H3071" s="23"/>
      <c r="I3071" s="23"/>
    </row>
    <row r="3072" spans="1:9">
      <c r="A3072" s="21" t="s">
        <v>8255</v>
      </c>
      <c r="B3072" s="21"/>
      <c r="C3072" s="22">
        <v>2983</v>
      </c>
      <c r="D3072" s="21">
        <v>30.62</v>
      </c>
      <c r="E3072" s="21" t="s">
        <v>5796</v>
      </c>
      <c r="F3072" s="23"/>
      <c r="G3072" s="23">
        <f t="shared" si="12"/>
        <v>30.62</v>
      </c>
      <c r="H3072" s="23"/>
      <c r="I3072" s="23"/>
    </row>
    <row r="3073" spans="1:9">
      <c r="A3073" s="21" t="s">
        <v>8256</v>
      </c>
      <c r="B3073" s="21"/>
      <c r="C3073" s="22">
        <v>2985</v>
      </c>
      <c r="D3073" s="21">
        <v>30.59</v>
      </c>
      <c r="E3073" s="21" t="s">
        <v>5796</v>
      </c>
      <c r="F3073" s="23"/>
      <c r="G3073" s="23">
        <f t="shared" si="12"/>
        <v>30.59</v>
      </c>
      <c r="H3073" s="23"/>
      <c r="I3073" s="23"/>
    </row>
    <row r="3074" spans="1:9">
      <c r="A3074" s="21" t="s">
        <v>8257</v>
      </c>
      <c r="B3074" s="21"/>
      <c r="C3074" s="22">
        <v>2986</v>
      </c>
      <c r="D3074" s="21">
        <v>30.59</v>
      </c>
      <c r="E3074" s="21" t="s">
        <v>5796</v>
      </c>
      <c r="F3074" s="23"/>
      <c r="G3074" s="23">
        <f t="shared" si="12"/>
        <v>30.59</v>
      </c>
      <c r="H3074" s="23"/>
      <c r="I3074" s="23"/>
    </row>
    <row r="3075" spans="1:9">
      <c r="A3075" s="21" t="s">
        <v>8258</v>
      </c>
      <c r="B3075" s="21"/>
      <c r="C3075" s="22">
        <v>2987</v>
      </c>
      <c r="D3075" s="21">
        <v>30.56</v>
      </c>
      <c r="E3075" s="21" t="s">
        <v>5796</v>
      </c>
      <c r="F3075" s="23"/>
      <c r="G3075" s="23">
        <f t="shared" si="12"/>
        <v>30.56</v>
      </c>
      <c r="H3075" s="23"/>
      <c r="I3075" s="23"/>
    </row>
    <row r="3076" spans="1:9">
      <c r="A3076" s="21" t="s">
        <v>8259</v>
      </c>
      <c r="B3076" s="21"/>
      <c r="C3076" s="22">
        <v>2988</v>
      </c>
      <c r="D3076" s="21">
        <v>30.53</v>
      </c>
      <c r="E3076" s="21" t="s">
        <v>5796</v>
      </c>
      <c r="F3076" s="23"/>
      <c r="G3076" s="23">
        <f t="shared" si="12"/>
        <v>30.53</v>
      </c>
      <c r="H3076" s="23"/>
      <c r="I3076" s="23"/>
    </row>
    <row r="3077" spans="1:9">
      <c r="A3077" s="21" t="s">
        <v>8260</v>
      </c>
      <c r="B3077" s="21"/>
      <c r="C3077" s="22">
        <v>2989</v>
      </c>
      <c r="D3077" s="21">
        <v>30.53</v>
      </c>
      <c r="E3077" s="21" t="s">
        <v>5796</v>
      </c>
      <c r="F3077" s="23"/>
      <c r="G3077" s="23">
        <f t="shared" si="12"/>
        <v>30.53</v>
      </c>
      <c r="H3077" s="23"/>
      <c r="I3077" s="23"/>
    </row>
    <row r="3078" spans="1:9">
      <c r="A3078" s="21" t="s">
        <v>8261</v>
      </c>
      <c r="B3078" s="21"/>
      <c r="C3078" s="22">
        <v>2990</v>
      </c>
      <c r="D3078" s="21">
        <v>30.5</v>
      </c>
      <c r="E3078" s="21" t="s">
        <v>5796</v>
      </c>
      <c r="F3078" s="23"/>
      <c r="G3078" s="23">
        <f t="shared" si="12"/>
        <v>30.5</v>
      </c>
      <c r="H3078" s="23"/>
      <c r="I3078" s="23"/>
    </row>
    <row r="3079" spans="1:9">
      <c r="A3079" s="21" t="s">
        <v>8262</v>
      </c>
      <c r="B3079" s="21"/>
      <c r="C3079" s="22">
        <v>2991</v>
      </c>
      <c r="D3079" s="21">
        <v>30.46</v>
      </c>
      <c r="E3079" s="21" t="s">
        <v>5796</v>
      </c>
      <c r="F3079" s="23"/>
      <c r="G3079" s="23">
        <f t="shared" si="12"/>
        <v>30.46</v>
      </c>
      <c r="H3079" s="23"/>
      <c r="I3079" s="23"/>
    </row>
    <row r="3080" spans="1:9">
      <c r="A3080" s="21" t="s">
        <v>8263</v>
      </c>
      <c r="B3080" s="21"/>
      <c r="C3080" s="22">
        <v>2992</v>
      </c>
      <c r="D3080" s="21">
        <v>30.42</v>
      </c>
      <c r="E3080" s="21" t="s">
        <v>5796</v>
      </c>
      <c r="F3080" s="23"/>
      <c r="G3080" s="23">
        <f t="shared" si="12"/>
        <v>30.42</v>
      </c>
      <c r="H3080" s="23"/>
      <c r="I3080" s="23"/>
    </row>
    <row r="3081" spans="1:9">
      <c r="A3081" s="21" t="s">
        <v>8264</v>
      </c>
      <c r="B3081" s="21"/>
      <c r="C3081" s="22">
        <v>2993</v>
      </c>
      <c r="D3081" s="21">
        <v>30.42</v>
      </c>
      <c r="E3081" s="21" t="s">
        <v>5796</v>
      </c>
      <c r="F3081" s="23"/>
      <c r="G3081" s="23">
        <f t="shared" si="12"/>
        <v>30.42</v>
      </c>
      <c r="H3081" s="23"/>
      <c r="I3081" s="23"/>
    </row>
    <row r="3082" spans="1:9">
      <c r="A3082" s="21" t="s">
        <v>8265</v>
      </c>
      <c r="B3082" s="21"/>
      <c r="C3082" s="22">
        <v>2994</v>
      </c>
      <c r="D3082" s="21">
        <v>30.39</v>
      </c>
      <c r="E3082" s="21" t="s">
        <v>5796</v>
      </c>
      <c r="F3082" s="23"/>
      <c r="G3082" s="23">
        <f t="shared" si="12"/>
        <v>30.39</v>
      </c>
      <c r="H3082" s="23"/>
      <c r="I3082" s="23"/>
    </row>
    <row r="3083" spans="1:9">
      <c r="A3083" s="21" t="s">
        <v>8266</v>
      </c>
      <c r="B3083" s="21"/>
      <c r="C3083" s="22">
        <v>2995</v>
      </c>
      <c r="D3083" s="21">
        <v>30.38</v>
      </c>
      <c r="E3083" s="21" t="s">
        <v>5796</v>
      </c>
      <c r="F3083" s="23"/>
      <c r="G3083" s="23">
        <f t="shared" si="12"/>
        <v>30.38</v>
      </c>
      <c r="H3083" s="23"/>
      <c r="I3083" s="23"/>
    </row>
    <row r="3084" spans="1:9">
      <c r="A3084" s="21" t="s">
        <v>8267</v>
      </c>
      <c r="B3084" s="21"/>
      <c r="C3084" s="22">
        <v>2996</v>
      </c>
      <c r="D3084" s="21">
        <v>30.33</v>
      </c>
      <c r="E3084" s="21" t="s">
        <v>5796</v>
      </c>
      <c r="F3084" s="23"/>
      <c r="G3084" s="23">
        <f t="shared" si="12"/>
        <v>30.33</v>
      </c>
      <c r="H3084" s="23"/>
      <c r="I3084" s="23"/>
    </row>
    <row r="3085" spans="1:9">
      <c r="A3085" s="21" t="s">
        <v>8268</v>
      </c>
      <c r="B3085" s="21"/>
      <c r="C3085" s="22">
        <v>2997</v>
      </c>
      <c r="D3085" s="21">
        <v>30.29</v>
      </c>
      <c r="E3085" s="21" t="s">
        <v>5796</v>
      </c>
      <c r="F3085" s="23"/>
      <c r="G3085" s="23">
        <f t="shared" si="12"/>
        <v>30.29</v>
      </c>
      <c r="H3085" s="23"/>
      <c r="I3085" s="23"/>
    </row>
    <row r="3086" spans="1:9">
      <c r="A3086" s="21" t="s">
        <v>8269</v>
      </c>
      <c r="B3086" s="21"/>
      <c r="C3086" s="22">
        <v>2998</v>
      </c>
      <c r="D3086" s="21">
        <v>30.25</v>
      </c>
      <c r="E3086" s="21" t="s">
        <v>5796</v>
      </c>
      <c r="F3086" s="23"/>
      <c r="G3086" s="23">
        <f t="shared" si="12"/>
        <v>30.25</v>
      </c>
      <c r="H3086" s="23"/>
      <c r="I3086" s="23"/>
    </row>
    <row r="3087" spans="1:9">
      <c r="A3087" s="21" t="s">
        <v>8270</v>
      </c>
      <c r="B3087" s="21"/>
      <c r="C3087" s="22">
        <v>2999</v>
      </c>
      <c r="D3087" s="21">
        <v>30.24</v>
      </c>
      <c r="E3087" s="21" t="s">
        <v>5796</v>
      </c>
      <c r="F3087" s="23"/>
      <c r="G3087" s="23">
        <f t="shared" si="12"/>
        <v>30.24</v>
      </c>
      <c r="H3087" s="23"/>
      <c r="I3087" s="23"/>
    </row>
    <row r="3088" spans="1:9">
      <c r="A3088" s="21" t="s">
        <v>8271</v>
      </c>
      <c r="B3088" s="21"/>
      <c r="C3088" s="22">
        <v>3000</v>
      </c>
      <c r="D3088" s="21">
        <v>30.14</v>
      </c>
      <c r="E3088" s="21" t="s">
        <v>5796</v>
      </c>
      <c r="F3088" s="23"/>
      <c r="G3088" s="23">
        <f t="shared" si="12"/>
        <v>30.14</v>
      </c>
      <c r="H3088" s="23"/>
      <c r="I3088" s="23"/>
    </row>
    <row r="3089" spans="1:9">
      <c r="A3089" s="21" t="s">
        <v>8272</v>
      </c>
      <c r="B3089" s="21"/>
      <c r="C3089" s="22">
        <v>3001</v>
      </c>
      <c r="D3089" s="21">
        <v>30.13</v>
      </c>
      <c r="E3089" s="21" t="s">
        <v>5796</v>
      </c>
      <c r="F3089" s="23"/>
      <c r="G3089" s="23">
        <f t="shared" si="12"/>
        <v>30.13</v>
      </c>
      <c r="H3089" s="23"/>
      <c r="I3089" s="23"/>
    </row>
    <row r="3090" spans="1:9">
      <c r="A3090" s="21" t="s">
        <v>8273</v>
      </c>
      <c r="B3090" s="21"/>
      <c r="C3090" s="22">
        <v>3002</v>
      </c>
      <c r="D3090" s="21">
        <v>30.11</v>
      </c>
      <c r="E3090" s="21" t="s">
        <v>5796</v>
      </c>
      <c r="F3090" s="23"/>
      <c r="G3090" s="23">
        <f t="shared" si="12"/>
        <v>30.11</v>
      </c>
      <c r="H3090" s="23"/>
      <c r="I3090" s="23"/>
    </row>
    <row r="3091" spans="1:9">
      <c r="A3091" s="21" t="s">
        <v>8274</v>
      </c>
      <c r="B3091" s="21"/>
      <c r="C3091" s="22">
        <v>3003</v>
      </c>
      <c r="D3091" s="21">
        <v>30.08</v>
      </c>
      <c r="E3091" s="21" t="s">
        <v>5796</v>
      </c>
      <c r="F3091" s="23"/>
      <c r="G3091" s="23">
        <f t="shared" si="12"/>
        <v>30.08</v>
      </c>
      <c r="H3091" s="23"/>
      <c r="I3091" s="23"/>
    </row>
    <row r="3092" spans="1:9">
      <c r="A3092" s="21" t="s">
        <v>8275</v>
      </c>
      <c r="B3092" s="21"/>
      <c r="C3092" s="22">
        <v>3004</v>
      </c>
      <c r="D3092" s="21">
        <v>30.07</v>
      </c>
      <c r="E3092" s="21" t="s">
        <v>5796</v>
      </c>
      <c r="F3092" s="23"/>
      <c r="G3092" s="23">
        <f t="shared" si="12"/>
        <v>30.07</v>
      </c>
      <c r="H3092" s="23"/>
      <c r="I3092" s="23"/>
    </row>
    <row r="3093" spans="1:9">
      <c r="A3093" s="21" t="s">
        <v>8276</v>
      </c>
      <c r="B3093" s="21"/>
      <c r="C3093" s="22">
        <v>3005</v>
      </c>
      <c r="D3093" s="21">
        <v>29.98</v>
      </c>
      <c r="E3093" s="21" t="s">
        <v>5796</v>
      </c>
      <c r="F3093" s="23"/>
      <c r="G3093" s="23">
        <f t="shared" si="12"/>
        <v>29.98</v>
      </c>
      <c r="H3093" s="23"/>
      <c r="I3093" s="23"/>
    </row>
    <row r="3094" spans="1:9">
      <c r="A3094" s="21" t="s">
        <v>8277</v>
      </c>
      <c r="B3094" s="21"/>
      <c r="C3094" s="22">
        <v>3006</v>
      </c>
      <c r="D3094" s="21">
        <v>29.97</v>
      </c>
      <c r="E3094" s="21" t="s">
        <v>5796</v>
      </c>
      <c r="F3094" s="23"/>
      <c r="G3094" s="23">
        <f t="shared" si="12"/>
        <v>29.97</v>
      </c>
      <c r="H3094" s="23"/>
      <c r="I3094" s="23"/>
    </row>
    <row r="3095" spans="1:9">
      <c r="A3095" s="21" t="s">
        <v>8278</v>
      </c>
      <c r="B3095" s="21"/>
      <c r="C3095" s="22">
        <v>3007</v>
      </c>
      <c r="D3095" s="21">
        <v>29.96</v>
      </c>
      <c r="E3095" s="21" t="s">
        <v>5796</v>
      </c>
      <c r="F3095" s="23"/>
      <c r="G3095" s="23">
        <f t="shared" si="12"/>
        <v>29.96</v>
      </c>
      <c r="H3095" s="23"/>
      <c r="I3095" s="23"/>
    </row>
    <row r="3096" spans="1:9">
      <c r="A3096" s="21" t="s">
        <v>8279</v>
      </c>
      <c r="B3096" s="21"/>
      <c r="C3096" s="22">
        <v>3008</v>
      </c>
      <c r="D3096" s="21">
        <v>29.89</v>
      </c>
      <c r="E3096" s="21" t="s">
        <v>5796</v>
      </c>
      <c r="F3096" s="23"/>
      <c r="G3096" s="23">
        <f t="shared" si="12"/>
        <v>29.89</v>
      </c>
      <c r="H3096" s="23"/>
      <c r="I3096" s="23"/>
    </row>
    <row r="3097" spans="1:9">
      <c r="A3097" s="21" t="s">
        <v>8280</v>
      </c>
      <c r="B3097" s="21"/>
      <c r="C3097" s="22">
        <v>3010</v>
      </c>
      <c r="D3097" s="21">
        <v>29.88</v>
      </c>
      <c r="E3097" s="21" t="s">
        <v>5796</v>
      </c>
      <c r="F3097" s="23"/>
      <c r="G3097" s="23">
        <f t="shared" si="12"/>
        <v>29.88</v>
      </c>
      <c r="H3097" s="23"/>
      <c r="I3097" s="23"/>
    </row>
    <row r="3098" spans="1:9">
      <c r="A3098" s="21" t="s">
        <v>8281</v>
      </c>
      <c r="B3098" s="21"/>
      <c r="C3098" s="22">
        <v>3011</v>
      </c>
      <c r="D3098" s="21">
        <v>29.87</v>
      </c>
      <c r="E3098" s="21" t="s">
        <v>5796</v>
      </c>
      <c r="F3098" s="23"/>
      <c r="G3098" s="23">
        <f t="shared" si="12"/>
        <v>29.87</v>
      </c>
      <c r="H3098" s="23"/>
      <c r="I3098" s="23"/>
    </row>
    <row r="3099" spans="1:9">
      <c r="A3099" s="21" t="s">
        <v>8282</v>
      </c>
      <c r="B3099" s="21"/>
      <c r="C3099" s="22">
        <v>3012</v>
      </c>
      <c r="D3099" s="21">
        <v>29.8</v>
      </c>
      <c r="E3099" s="21" t="s">
        <v>5796</v>
      </c>
      <c r="F3099" s="23"/>
      <c r="G3099" s="23">
        <f t="shared" si="12"/>
        <v>29.8</v>
      </c>
      <c r="H3099" s="23"/>
      <c r="I3099" s="23"/>
    </row>
    <row r="3100" spans="1:9">
      <c r="A3100" s="21" t="s">
        <v>8283</v>
      </c>
      <c r="B3100" s="21"/>
      <c r="C3100" s="22">
        <v>3014</v>
      </c>
      <c r="D3100" s="21">
        <v>29.76</v>
      </c>
      <c r="E3100" s="21" t="s">
        <v>5796</v>
      </c>
      <c r="F3100" s="23"/>
      <c r="G3100" s="23">
        <f t="shared" si="12"/>
        <v>29.76</v>
      </c>
      <c r="H3100" s="23"/>
      <c r="I3100" s="23"/>
    </row>
    <row r="3101" spans="1:9">
      <c r="A3101" s="21" t="s">
        <v>8284</v>
      </c>
      <c r="B3101" s="21"/>
      <c r="C3101" s="22">
        <v>3015</v>
      </c>
      <c r="D3101" s="21">
        <v>29.76</v>
      </c>
      <c r="E3101" s="21" t="s">
        <v>5796</v>
      </c>
      <c r="F3101" s="23"/>
      <c r="G3101" s="23">
        <f t="shared" si="12"/>
        <v>29.76</v>
      </c>
      <c r="H3101" s="23"/>
      <c r="I3101" s="23"/>
    </row>
    <row r="3102" spans="1:9">
      <c r="A3102" s="21" t="s">
        <v>8285</v>
      </c>
      <c r="B3102" s="21"/>
      <c r="C3102" s="22">
        <v>3016</v>
      </c>
      <c r="D3102" s="21">
        <v>29.7</v>
      </c>
      <c r="E3102" s="21" t="s">
        <v>5796</v>
      </c>
      <c r="F3102" s="23"/>
      <c r="G3102" s="23">
        <f t="shared" si="12"/>
        <v>29.7</v>
      </c>
      <c r="H3102" s="23"/>
      <c r="I3102" s="23"/>
    </row>
    <row r="3103" spans="1:9">
      <c r="A3103" s="21" t="s">
        <v>8286</v>
      </c>
      <c r="B3103" s="21"/>
      <c r="C3103" s="22">
        <v>3017</v>
      </c>
      <c r="D3103" s="21">
        <v>29.66</v>
      </c>
      <c r="E3103" s="21" t="s">
        <v>5796</v>
      </c>
      <c r="F3103" s="23"/>
      <c r="G3103" s="23">
        <f t="shared" si="12"/>
        <v>29.66</v>
      </c>
      <c r="H3103" s="23"/>
      <c r="I3103" s="23"/>
    </row>
    <row r="3104" spans="1:9">
      <c r="A3104" s="21" t="s">
        <v>8287</v>
      </c>
      <c r="B3104" s="21"/>
      <c r="C3104" s="22">
        <v>3018</v>
      </c>
      <c r="D3104" s="21">
        <v>29.63</v>
      </c>
      <c r="E3104" s="21" t="s">
        <v>5796</v>
      </c>
      <c r="F3104" s="23"/>
      <c r="G3104" s="23">
        <f t="shared" si="12"/>
        <v>29.63</v>
      </c>
      <c r="H3104" s="23"/>
      <c r="I3104" s="23"/>
    </row>
    <row r="3105" spans="1:9">
      <c r="A3105" s="21" t="s">
        <v>8288</v>
      </c>
      <c r="B3105" s="21"/>
      <c r="C3105" s="22">
        <v>3019</v>
      </c>
      <c r="D3105" s="21">
        <v>29.59</v>
      </c>
      <c r="E3105" s="21" t="s">
        <v>5796</v>
      </c>
      <c r="F3105" s="23"/>
      <c r="G3105" s="23">
        <f t="shared" si="12"/>
        <v>29.59</v>
      </c>
      <c r="H3105" s="23"/>
      <c r="I3105" s="23"/>
    </row>
    <row r="3106" spans="1:9">
      <c r="A3106" s="21" t="s">
        <v>8289</v>
      </c>
      <c r="B3106" s="21"/>
      <c r="C3106" s="22">
        <v>3020</v>
      </c>
      <c r="D3106" s="21">
        <v>29.58</v>
      </c>
      <c r="E3106" s="21" t="s">
        <v>5796</v>
      </c>
      <c r="F3106" s="23"/>
      <c r="G3106" s="23">
        <f t="shared" si="12"/>
        <v>29.58</v>
      </c>
      <c r="H3106" s="23"/>
      <c r="I3106" s="23"/>
    </row>
    <row r="3107" spans="1:9">
      <c r="A3107" s="21" t="s">
        <v>8290</v>
      </c>
      <c r="B3107" s="21"/>
      <c r="C3107" s="22">
        <v>3021</v>
      </c>
      <c r="D3107" s="21">
        <v>29.54</v>
      </c>
      <c r="E3107" s="21" t="s">
        <v>5796</v>
      </c>
      <c r="F3107" s="23"/>
      <c r="G3107" s="23">
        <f t="shared" si="12"/>
        <v>29.54</v>
      </c>
      <c r="H3107" s="23"/>
      <c r="I3107" s="23"/>
    </row>
    <row r="3108" spans="1:9">
      <c r="A3108" s="21" t="s">
        <v>8291</v>
      </c>
      <c r="B3108" s="21"/>
      <c r="C3108" s="22">
        <v>3022</v>
      </c>
      <c r="D3108" s="21">
        <v>29.43</v>
      </c>
      <c r="E3108" s="21" t="s">
        <v>5796</v>
      </c>
      <c r="F3108" s="23"/>
      <c r="G3108" s="23">
        <f t="shared" si="12"/>
        <v>29.43</v>
      </c>
      <c r="H3108" s="23"/>
      <c r="I3108" s="23"/>
    </row>
    <row r="3109" spans="1:9">
      <c r="A3109" s="21" t="s">
        <v>8292</v>
      </c>
      <c r="B3109" s="21"/>
      <c r="C3109" s="22">
        <v>3023</v>
      </c>
      <c r="D3109" s="21">
        <v>29.43</v>
      </c>
      <c r="E3109" s="21" t="s">
        <v>5796</v>
      </c>
      <c r="F3109" s="23"/>
      <c r="G3109" s="23">
        <f t="shared" si="12"/>
        <v>29.43</v>
      </c>
      <c r="H3109" s="23"/>
      <c r="I3109" s="23"/>
    </row>
    <row r="3110" spans="1:9">
      <c r="A3110" s="21" t="s">
        <v>8293</v>
      </c>
      <c r="B3110" s="21"/>
      <c r="C3110" s="22">
        <v>3024</v>
      </c>
      <c r="D3110" s="21">
        <v>29.4</v>
      </c>
      <c r="E3110" s="21" t="s">
        <v>5796</v>
      </c>
      <c r="F3110" s="23"/>
      <c r="G3110" s="23">
        <f t="shared" si="12"/>
        <v>29.4</v>
      </c>
      <c r="H3110" s="23"/>
      <c r="I3110" s="23"/>
    </row>
    <row r="3111" spans="1:9">
      <c r="A3111" s="21" t="s">
        <v>8294</v>
      </c>
      <c r="B3111" s="21"/>
      <c r="C3111" s="22">
        <v>3026</v>
      </c>
      <c r="D3111" s="21">
        <v>29.33</v>
      </c>
      <c r="E3111" s="21" t="s">
        <v>5796</v>
      </c>
      <c r="F3111" s="23"/>
      <c r="G3111" s="23">
        <f t="shared" si="12"/>
        <v>29.33</v>
      </c>
      <c r="H3111" s="23"/>
      <c r="I3111" s="23"/>
    </row>
    <row r="3112" spans="1:9">
      <c r="A3112" s="21" t="s">
        <v>8295</v>
      </c>
      <c r="B3112" s="21"/>
      <c r="C3112" s="22">
        <v>3028</v>
      </c>
      <c r="D3112" s="21">
        <v>29.31</v>
      </c>
      <c r="E3112" s="21" t="s">
        <v>5796</v>
      </c>
      <c r="F3112" s="23"/>
      <c r="G3112" s="23">
        <f t="shared" si="12"/>
        <v>29.31</v>
      </c>
      <c r="H3112" s="23"/>
      <c r="I3112" s="23"/>
    </row>
    <row r="3113" spans="1:9">
      <c r="A3113" s="21" t="s">
        <v>8296</v>
      </c>
      <c r="B3113" s="21"/>
      <c r="C3113" s="22">
        <v>3029</v>
      </c>
      <c r="D3113" s="21">
        <v>29.19</v>
      </c>
      <c r="E3113" s="21" t="s">
        <v>5796</v>
      </c>
      <c r="F3113" s="23"/>
      <c r="G3113" s="23">
        <f t="shared" si="12"/>
        <v>29.19</v>
      </c>
      <c r="H3113" s="23"/>
      <c r="I3113" s="23"/>
    </row>
    <row r="3114" spans="1:9">
      <c r="A3114" s="21" t="s">
        <v>8297</v>
      </c>
      <c r="B3114" s="21"/>
      <c r="C3114" s="22">
        <v>3030</v>
      </c>
      <c r="D3114" s="21">
        <v>29.17</v>
      </c>
      <c r="E3114" s="21" t="s">
        <v>5796</v>
      </c>
      <c r="F3114" s="23"/>
      <c r="G3114" s="23">
        <f t="shared" si="12"/>
        <v>29.17</v>
      </c>
      <c r="H3114" s="23"/>
      <c r="I3114" s="23"/>
    </row>
    <row r="3115" spans="1:9">
      <c r="A3115" s="21" t="s">
        <v>8298</v>
      </c>
      <c r="B3115" s="21"/>
      <c r="C3115" s="22">
        <v>3031</v>
      </c>
      <c r="D3115" s="21">
        <v>29.12</v>
      </c>
      <c r="E3115" s="21" t="s">
        <v>5796</v>
      </c>
      <c r="F3115" s="23"/>
      <c r="G3115" s="23">
        <f t="shared" si="12"/>
        <v>29.12</v>
      </c>
      <c r="H3115" s="23"/>
      <c r="I3115" s="23"/>
    </row>
    <row r="3116" spans="1:9">
      <c r="A3116" s="21" t="s">
        <v>8299</v>
      </c>
      <c r="B3116" s="21"/>
      <c r="C3116" s="22">
        <v>3032</v>
      </c>
      <c r="D3116" s="21">
        <v>29.12</v>
      </c>
      <c r="E3116" s="21" t="s">
        <v>5796</v>
      </c>
      <c r="F3116" s="23"/>
      <c r="G3116" s="23">
        <f t="shared" si="12"/>
        <v>29.12</v>
      </c>
      <c r="H3116" s="23"/>
      <c r="I3116" s="23"/>
    </row>
    <row r="3117" spans="1:9">
      <c r="A3117" s="21" t="s">
        <v>8300</v>
      </c>
      <c r="B3117" s="21"/>
      <c r="C3117" s="22">
        <v>3033</v>
      </c>
      <c r="D3117" s="21">
        <v>29.08</v>
      </c>
      <c r="E3117" s="21" t="s">
        <v>5796</v>
      </c>
      <c r="F3117" s="23"/>
      <c r="G3117" s="23">
        <f t="shared" si="12"/>
        <v>29.08</v>
      </c>
      <c r="H3117" s="23"/>
      <c r="I3117" s="23"/>
    </row>
    <row r="3118" spans="1:9">
      <c r="A3118" s="21" t="s">
        <v>8301</v>
      </c>
      <c r="B3118" s="21"/>
      <c r="C3118" s="22">
        <v>3034</v>
      </c>
      <c r="D3118" s="21">
        <v>29.01</v>
      </c>
      <c r="E3118" s="21" t="s">
        <v>5796</v>
      </c>
      <c r="F3118" s="23"/>
      <c r="G3118" s="23">
        <f t="shared" si="12"/>
        <v>29.01</v>
      </c>
      <c r="H3118" s="23"/>
      <c r="I3118" s="23"/>
    </row>
    <row r="3119" spans="1:9">
      <c r="A3119" s="21" t="s">
        <v>8302</v>
      </c>
      <c r="B3119" s="21"/>
      <c r="C3119" s="22">
        <v>3035</v>
      </c>
      <c r="D3119" s="21">
        <v>28.86</v>
      </c>
      <c r="E3119" s="21" t="s">
        <v>5796</v>
      </c>
      <c r="F3119" s="23"/>
      <c r="G3119" s="23">
        <f t="shared" si="12"/>
        <v>28.86</v>
      </c>
      <c r="H3119" s="23"/>
      <c r="I3119" s="23"/>
    </row>
    <row r="3120" spans="1:9">
      <c r="A3120" s="21" t="s">
        <v>8303</v>
      </c>
      <c r="B3120" s="21"/>
      <c r="C3120" s="22">
        <v>3037</v>
      </c>
      <c r="D3120" s="21">
        <v>28.82</v>
      </c>
      <c r="E3120" s="21" t="s">
        <v>5796</v>
      </c>
      <c r="F3120" s="23"/>
      <c r="G3120" s="23">
        <f t="shared" si="12"/>
        <v>28.82</v>
      </c>
      <c r="H3120" s="23"/>
      <c r="I3120" s="23"/>
    </row>
    <row r="3121" spans="1:9">
      <c r="A3121" s="21" t="s">
        <v>8304</v>
      </c>
      <c r="B3121" s="21"/>
      <c r="C3121" s="22">
        <v>3038</v>
      </c>
      <c r="D3121" s="21">
        <v>28.78</v>
      </c>
      <c r="E3121" s="21" t="s">
        <v>5796</v>
      </c>
      <c r="F3121" s="23"/>
      <c r="G3121" s="23">
        <f t="shared" si="12"/>
        <v>28.78</v>
      </c>
      <c r="H3121" s="23"/>
      <c r="I3121" s="23"/>
    </row>
    <row r="3122" spans="1:9">
      <c r="A3122" s="21" t="s">
        <v>8305</v>
      </c>
      <c r="B3122" s="21"/>
      <c r="C3122" s="22">
        <v>3039</v>
      </c>
      <c r="D3122" s="21">
        <v>28.73</v>
      </c>
      <c r="E3122" s="21" t="s">
        <v>5796</v>
      </c>
      <c r="F3122" s="23"/>
      <c r="G3122" s="23">
        <f t="shared" si="12"/>
        <v>28.73</v>
      </c>
      <c r="H3122" s="23"/>
      <c r="I3122" s="23"/>
    </row>
    <row r="3123" spans="1:9">
      <c r="A3123" s="21" t="s">
        <v>8306</v>
      </c>
      <c r="B3123" s="21"/>
      <c r="C3123" s="22">
        <v>3040</v>
      </c>
      <c r="D3123" s="21">
        <v>28.72</v>
      </c>
      <c r="E3123" s="21" t="s">
        <v>5796</v>
      </c>
      <c r="F3123" s="23"/>
      <c r="G3123" s="23">
        <f t="shared" si="12"/>
        <v>28.72</v>
      </c>
      <c r="H3123" s="23"/>
      <c r="I3123" s="23"/>
    </row>
    <row r="3124" spans="1:9">
      <c r="A3124" s="21" t="s">
        <v>8307</v>
      </c>
      <c r="B3124" s="21"/>
      <c r="C3124" s="22">
        <v>3041</v>
      </c>
      <c r="D3124" s="21">
        <v>28.68</v>
      </c>
      <c r="E3124" s="21" t="s">
        <v>5796</v>
      </c>
      <c r="F3124" s="23"/>
      <c r="G3124" s="23">
        <f t="shared" si="12"/>
        <v>28.68</v>
      </c>
      <c r="H3124" s="23"/>
      <c r="I3124" s="23"/>
    </row>
    <row r="3125" spans="1:9">
      <c r="A3125" s="21" t="s">
        <v>8308</v>
      </c>
      <c r="B3125" s="21"/>
      <c r="C3125" s="22">
        <v>3043</v>
      </c>
      <c r="D3125" s="21">
        <v>28.55</v>
      </c>
      <c r="E3125" s="21" t="s">
        <v>5796</v>
      </c>
      <c r="F3125" s="23"/>
      <c r="G3125" s="23">
        <f t="shared" si="12"/>
        <v>28.55</v>
      </c>
      <c r="H3125" s="23"/>
      <c r="I3125" s="23"/>
    </row>
    <row r="3126" spans="1:9">
      <c r="A3126" s="21" t="s">
        <v>8309</v>
      </c>
      <c r="B3126" s="21"/>
      <c r="C3126" s="22">
        <v>3044</v>
      </c>
      <c r="D3126" s="21">
        <v>28.51</v>
      </c>
      <c r="E3126" s="21" t="s">
        <v>5796</v>
      </c>
      <c r="F3126" s="23"/>
      <c r="G3126" s="23">
        <f t="shared" si="12"/>
        <v>28.51</v>
      </c>
      <c r="H3126" s="23"/>
      <c r="I3126" s="23"/>
    </row>
    <row r="3127" spans="1:9">
      <c r="A3127" s="21" t="s">
        <v>8310</v>
      </c>
      <c r="B3127" s="21"/>
      <c r="C3127" s="22">
        <v>3045</v>
      </c>
      <c r="D3127" s="21">
        <v>28.49</v>
      </c>
      <c r="E3127" s="21" t="s">
        <v>5796</v>
      </c>
      <c r="F3127" s="23"/>
      <c r="G3127" s="23">
        <f t="shared" si="12"/>
        <v>28.49</v>
      </c>
      <c r="H3127" s="23"/>
      <c r="I3127" s="23"/>
    </row>
    <row r="3128" spans="1:9">
      <c r="A3128" s="21" t="s">
        <v>8311</v>
      </c>
      <c r="B3128" s="21"/>
      <c r="C3128" s="22">
        <v>3047</v>
      </c>
      <c r="D3128" s="21">
        <v>28.46</v>
      </c>
      <c r="E3128" s="21" t="s">
        <v>5796</v>
      </c>
      <c r="F3128" s="23"/>
      <c r="G3128" s="23">
        <f t="shared" si="12"/>
        <v>28.46</v>
      </c>
      <c r="H3128" s="23"/>
      <c r="I3128" s="23"/>
    </row>
    <row r="3129" spans="1:9">
      <c r="A3129" s="21" t="s">
        <v>8312</v>
      </c>
      <c r="B3129" s="21"/>
      <c r="C3129" s="22">
        <v>3048</v>
      </c>
      <c r="D3129" s="21">
        <v>28.44</v>
      </c>
      <c r="E3129" s="21" t="s">
        <v>5796</v>
      </c>
      <c r="F3129" s="23"/>
      <c r="G3129" s="23">
        <f t="shared" si="12"/>
        <v>28.44</v>
      </c>
      <c r="H3129" s="23"/>
      <c r="I3129" s="23"/>
    </row>
    <row r="3130" spans="1:9">
      <c r="A3130" s="21" t="s">
        <v>8313</v>
      </c>
      <c r="B3130" s="21"/>
      <c r="C3130" s="22">
        <v>3049</v>
      </c>
      <c r="D3130" s="21">
        <v>28.39</v>
      </c>
      <c r="E3130" s="21" t="s">
        <v>5796</v>
      </c>
      <c r="F3130" s="23"/>
      <c r="G3130" s="23">
        <f t="shared" si="12"/>
        <v>28.39</v>
      </c>
      <c r="H3130" s="23"/>
      <c r="I3130" s="23"/>
    </row>
    <row r="3131" spans="1:9">
      <c r="A3131" s="21" t="s">
        <v>8314</v>
      </c>
      <c r="B3131" s="21"/>
      <c r="C3131" s="22">
        <v>3050</v>
      </c>
      <c r="D3131" s="21">
        <v>28.38</v>
      </c>
      <c r="E3131" s="21" t="s">
        <v>5796</v>
      </c>
      <c r="F3131" s="23"/>
      <c r="G3131" s="23">
        <f t="shared" si="12"/>
        <v>28.38</v>
      </c>
      <c r="H3131" s="23"/>
      <c r="I3131" s="23"/>
    </row>
    <row r="3132" spans="1:9">
      <c r="A3132" s="21" t="s">
        <v>8315</v>
      </c>
      <c r="B3132" s="21"/>
      <c r="C3132" s="22">
        <v>3051</v>
      </c>
      <c r="D3132" s="21">
        <v>28.34</v>
      </c>
      <c r="E3132" s="21" t="s">
        <v>5796</v>
      </c>
      <c r="F3132" s="23"/>
      <c r="G3132" s="23">
        <f t="shared" si="12"/>
        <v>28.34</v>
      </c>
      <c r="H3132" s="23"/>
      <c r="I3132" s="23"/>
    </row>
    <row r="3133" spans="1:9">
      <c r="A3133" s="21" t="s">
        <v>8316</v>
      </c>
      <c r="B3133" s="21"/>
      <c r="C3133" s="22">
        <v>3053</v>
      </c>
      <c r="D3133" s="21">
        <v>28.17</v>
      </c>
      <c r="E3133" s="21" t="s">
        <v>5796</v>
      </c>
      <c r="F3133" s="23"/>
      <c r="G3133" s="23">
        <f t="shared" si="12"/>
        <v>28.17</v>
      </c>
      <c r="H3133" s="23"/>
      <c r="I3133" s="23"/>
    </row>
    <row r="3134" spans="1:9">
      <c r="A3134" s="21" t="s">
        <v>8317</v>
      </c>
      <c r="B3134" s="21"/>
      <c r="C3134" s="22">
        <v>3054</v>
      </c>
      <c r="D3134" s="21">
        <v>28.13</v>
      </c>
      <c r="E3134" s="21" t="s">
        <v>5796</v>
      </c>
      <c r="F3134" s="23"/>
      <c r="G3134" s="23">
        <f t="shared" si="12"/>
        <v>28.13</v>
      </c>
      <c r="H3134" s="23"/>
      <c r="I3134" s="23"/>
    </row>
    <row r="3135" spans="1:9">
      <c r="A3135" s="21" t="s">
        <v>8318</v>
      </c>
      <c r="B3135" s="21"/>
      <c r="C3135" s="22">
        <v>3055</v>
      </c>
      <c r="D3135" s="21">
        <v>28.12</v>
      </c>
      <c r="E3135" s="21" t="s">
        <v>5796</v>
      </c>
      <c r="F3135" s="23"/>
      <c r="G3135" s="23">
        <f t="shared" si="12"/>
        <v>28.12</v>
      </c>
      <c r="H3135" s="23"/>
      <c r="I3135" s="23"/>
    </row>
    <row r="3136" spans="1:9">
      <c r="A3136" s="21" t="s">
        <v>8319</v>
      </c>
      <c r="B3136" s="21"/>
      <c r="C3136" s="22">
        <v>3056</v>
      </c>
      <c r="D3136" s="21">
        <v>28.07</v>
      </c>
      <c r="E3136" s="21" t="s">
        <v>5796</v>
      </c>
      <c r="F3136" s="23"/>
      <c r="G3136" s="23">
        <f t="shared" si="12"/>
        <v>28.07</v>
      </c>
      <c r="H3136" s="23"/>
      <c r="I3136" s="23"/>
    </row>
    <row r="3137" spans="1:9">
      <c r="A3137" s="21" t="s">
        <v>8320</v>
      </c>
      <c r="B3137" s="21"/>
      <c r="C3137" s="22">
        <v>3057</v>
      </c>
      <c r="D3137" s="21">
        <v>28</v>
      </c>
      <c r="E3137" s="21" t="s">
        <v>5796</v>
      </c>
      <c r="F3137" s="23"/>
      <c r="G3137" s="23">
        <f t="shared" si="12"/>
        <v>28</v>
      </c>
      <c r="H3137" s="23"/>
      <c r="I3137" s="23"/>
    </row>
    <row r="3138" spans="1:9">
      <c r="A3138" s="21" t="s">
        <v>8321</v>
      </c>
      <c r="B3138" s="21"/>
      <c r="C3138" s="22">
        <v>3058</v>
      </c>
      <c r="D3138" s="21">
        <v>27.92</v>
      </c>
      <c r="E3138" s="21" t="s">
        <v>5796</v>
      </c>
      <c r="F3138" s="23"/>
      <c r="G3138" s="23">
        <f t="shared" si="12"/>
        <v>27.92</v>
      </c>
      <c r="H3138" s="23"/>
      <c r="I3138" s="23"/>
    </row>
    <row r="3139" spans="1:9">
      <c r="A3139" s="21" t="s">
        <v>8322</v>
      </c>
      <c r="B3139" s="21"/>
      <c r="C3139" s="22">
        <v>3059</v>
      </c>
      <c r="D3139" s="21">
        <v>27.89</v>
      </c>
      <c r="E3139" s="21" t="s">
        <v>5796</v>
      </c>
      <c r="F3139" s="23"/>
      <c r="G3139" s="23">
        <f t="shared" si="12"/>
        <v>27.89</v>
      </c>
      <c r="H3139" s="23"/>
      <c r="I3139" s="23"/>
    </row>
    <row r="3140" spans="1:9">
      <c r="A3140" s="21" t="s">
        <v>8323</v>
      </c>
      <c r="B3140" s="21"/>
      <c r="C3140" s="22">
        <v>3060</v>
      </c>
      <c r="D3140" s="21">
        <v>27.87</v>
      </c>
      <c r="E3140" s="21" t="s">
        <v>5796</v>
      </c>
      <c r="F3140" s="23"/>
      <c r="G3140" s="23">
        <f t="shared" si="12"/>
        <v>27.87</v>
      </c>
      <c r="H3140" s="23"/>
      <c r="I3140" s="23"/>
    </row>
    <row r="3141" spans="1:9">
      <c r="A3141" s="21" t="s">
        <v>8324</v>
      </c>
      <c r="B3141" s="21"/>
      <c r="C3141" s="22">
        <v>3061</v>
      </c>
      <c r="D3141" s="21">
        <v>27.82</v>
      </c>
      <c r="E3141" s="21" t="s">
        <v>5796</v>
      </c>
      <c r="F3141" s="23"/>
      <c r="G3141" s="23">
        <f t="shared" si="12"/>
        <v>27.82</v>
      </c>
      <c r="H3141" s="23"/>
      <c r="I3141" s="23"/>
    </row>
    <row r="3142" spans="1:9">
      <c r="A3142" s="21" t="s">
        <v>8325</v>
      </c>
      <c r="B3142" s="21"/>
      <c r="C3142" s="22">
        <v>3062</v>
      </c>
      <c r="D3142" s="21">
        <v>27.77</v>
      </c>
      <c r="E3142" s="21" t="s">
        <v>5796</v>
      </c>
      <c r="F3142" s="23"/>
      <c r="G3142" s="23">
        <f t="shared" si="12"/>
        <v>27.77</v>
      </c>
      <c r="H3142" s="23"/>
      <c r="I3142" s="23"/>
    </row>
    <row r="3143" spans="1:9">
      <c r="A3143" s="21" t="s">
        <v>8326</v>
      </c>
      <c r="B3143" s="21"/>
      <c r="C3143" s="22">
        <v>3063</v>
      </c>
      <c r="D3143" s="21">
        <v>27.77</v>
      </c>
      <c r="E3143" s="21" t="s">
        <v>5796</v>
      </c>
      <c r="F3143" s="23"/>
      <c r="G3143" s="23">
        <f t="shared" si="12"/>
        <v>27.77</v>
      </c>
      <c r="H3143" s="23"/>
      <c r="I3143" s="23"/>
    </row>
    <row r="3144" spans="1:9">
      <c r="A3144" s="21" t="s">
        <v>8327</v>
      </c>
      <c r="B3144" s="21"/>
      <c r="C3144" s="22">
        <v>3065</v>
      </c>
      <c r="D3144" s="21">
        <v>27.7</v>
      </c>
      <c r="E3144" s="21" t="s">
        <v>5796</v>
      </c>
      <c r="F3144" s="23"/>
      <c r="G3144" s="23">
        <f t="shared" si="12"/>
        <v>27.7</v>
      </c>
      <c r="H3144" s="23"/>
      <c r="I3144" s="23"/>
    </row>
    <row r="3145" spans="1:9">
      <c r="A3145" s="21" t="s">
        <v>8328</v>
      </c>
      <c r="B3145" s="21"/>
      <c r="C3145" s="22">
        <v>3066</v>
      </c>
      <c r="D3145" s="21">
        <v>27.67</v>
      </c>
      <c r="E3145" s="21" t="s">
        <v>5796</v>
      </c>
      <c r="F3145" s="23"/>
      <c r="G3145" s="23">
        <f t="shared" si="12"/>
        <v>27.67</v>
      </c>
      <c r="H3145" s="23"/>
      <c r="I3145" s="23"/>
    </row>
    <row r="3146" spans="1:9">
      <c r="A3146" s="21" t="s">
        <v>8329</v>
      </c>
      <c r="B3146" s="21"/>
      <c r="C3146" s="22">
        <v>3067</v>
      </c>
      <c r="D3146" s="21">
        <v>27.58</v>
      </c>
      <c r="E3146" s="21" t="s">
        <v>5796</v>
      </c>
      <c r="F3146" s="23"/>
      <c r="G3146" s="23">
        <f t="shared" si="12"/>
        <v>27.58</v>
      </c>
      <c r="H3146" s="23"/>
      <c r="I3146" s="23"/>
    </row>
    <row r="3147" spans="1:9">
      <c r="A3147" s="21" t="s">
        <v>8330</v>
      </c>
      <c r="B3147" s="21"/>
      <c r="C3147" s="22">
        <v>3068</v>
      </c>
      <c r="D3147" s="21">
        <v>27.57</v>
      </c>
      <c r="E3147" s="21" t="s">
        <v>5796</v>
      </c>
      <c r="F3147" s="23"/>
      <c r="G3147" s="23">
        <f t="shared" si="12"/>
        <v>27.57</v>
      </c>
      <c r="H3147" s="23"/>
      <c r="I3147" s="23"/>
    </row>
    <row r="3148" spans="1:9">
      <c r="A3148" s="21" t="s">
        <v>8331</v>
      </c>
      <c r="B3148" s="21"/>
      <c r="C3148" s="22">
        <v>3069</v>
      </c>
      <c r="D3148" s="21">
        <v>27.53</v>
      </c>
      <c r="E3148" s="21" t="s">
        <v>5796</v>
      </c>
      <c r="F3148" s="23"/>
      <c r="G3148" s="23">
        <f t="shared" si="12"/>
        <v>27.53</v>
      </c>
      <c r="H3148" s="23"/>
      <c r="I3148" s="23"/>
    </row>
    <row r="3149" spans="1:9">
      <c r="A3149" s="21" t="s">
        <v>8332</v>
      </c>
      <c r="B3149" s="21"/>
      <c r="C3149" s="22">
        <v>3070</v>
      </c>
      <c r="D3149" s="21">
        <v>27.46</v>
      </c>
      <c r="E3149" s="21" t="s">
        <v>5796</v>
      </c>
      <c r="F3149" s="23"/>
      <c r="G3149" s="23">
        <f t="shared" si="12"/>
        <v>27.46</v>
      </c>
      <c r="H3149" s="23"/>
      <c r="I3149" s="23"/>
    </row>
    <row r="3150" spans="1:9">
      <c r="A3150" s="21" t="s">
        <v>8333</v>
      </c>
      <c r="B3150" s="21"/>
      <c r="C3150" s="22">
        <v>3071</v>
      </c>
      <c r="D3150" s="21">
        <v>27.42</v>
      </c>
      <c r="E3150" s="21" t="s">
        <v>5796</v>
      </c>
      <c r="F3150" s="23"/>
      <c r="G3150" s="23">
        <f t="shared" si="12"/>
        <v>27.42</v>
      </c>
      <c r="H3150" s="23"/>
      <c r="I3150" s="23"/>
    </row>
    <row r="3151" spans="1:9">
      <c r="A3151" s="21" t="s">
        <v>8334</v>
      </c>
      <c r="B3151" s="21"/>
      <c r="C3151" s="22">
        <v>3072</v>
      </c>
      <c r="D3151" s="21">
        <v>27.41</v>
      </c>
      <c r="E3151" s="21" t="s">
        <v>5796</v>
      </c>
      <c r="F3151" s="23"/>
      <c r="G3151" s="23">
        <f t="shared" si="12"/>
        <v>27.41</v>
      </c>
      <c r="H3151" s="23"/>
      <c r="I3151" s="23"/>
    </row>
    <row r="3152" spans="1:9">
      <c r="A3152" s="21" t="s">
        <v>8335</v>
      </c>
      <c r="B3152" s="21"/>
      <c r="C3152" s="22">
        <v>3073</v>
      </c>
      <c r="D3152" s="21">
        <v>27.4</v>
      </c>
      <c r="E3152" s="21" t="s">
        <v>5796</v>
      </c>
      <c r="F3152" s="23"/>
      <c r="G3152" s="23">
        <f t="shared" si="12"/>
        <v>27.4</v>
      </c>
      <c r="H3152" s="23"/>
      <c r="I3152" s="23"/>
    </row>
    <row r="3153" spans="1:9">
      <c r="A3153" s="21" t="s">
        <v>8336</v>
      </c>
      <c r="B3153" s="21"/>
      <c r="C3153" s="22">
        <v>3074</v>
      </c>
      <c r="D3153" s="21">
        <v>27.37</v>
      </c>
      <c r="E3153" s="21" t="s">
        <v>5796</v>
      </c>
      <c r="F3153" s="23"/>
      <c r="G3153" s="23">
        <f t="shared" si="12"/>
        <v>27.37</v>
      </c>
      <c r="H3153" s="23"/>
      <c r="I3153" s="23"/>
    </row>
    <row r="3154" spans="1:9">
      <c r="A3154" s="21" t="s">
        <v>8337</v>
      </c>
      <c r="B3154" s="21"/>
      <c r="C3154" s="22">
        <v>3075</v>
      </c>
      <c r="D3154" s="21">
        <v>27.3</v>
      </c>
      <c r="E3154" s="21" t="s">
        <v>5796</v>
      </c>
      <c r="F3154" s="23"/>
      <c r="G3154" s="23">
        <f t="shared" si="12"/>
        <v>27.3</v>
      </c>
      <c r="H3154" s="23"/>
      <c r="I3154" s="23"/>
    </row>
    <row r="3155" spans="1:9">
      <c r="A3155" s="21" t="s">
        <v>8338</v>
      </c>
      <c r="B3155" s="21"/>
      <c r="C3155" s="22">
        <v>3076</v>
      </c>
      <c r="D3155" s="21">
        <v>27.3</v>
      </c>
      <c r="E3155" s="21" t="s">
        <v>5796</v>
      </c>
      <c r="F3155" s="23"/>
      <c r="G3155" s="23">
        <f t="shared" si="12"/>
        <v>27.3</v>
      </c>
      <c r="H3155" s="23"/>
      <c r="I3155" s="23"/>
    </row>
    <row r="3156" spans="1:9">
      <c r="A3156" s="21" t="s">
        <v>8339</v>
      </c>
      <c r="B3156" s="21"/>
      <c r="C3156" s="22">
        <v>3077</v>
      </c>
      <c r="D3156" s="21">
        <v>27.27</v>
      </c>
      <c r="E3156" s="21" t="s">
        <v>5796</v>
      </c>
      <c r="F3156" s="23"/>
      <c r="G3156" s="23">
        <f t="shared" si="12"/>
        <v>27.27</v>
      </c>
      <c r="H3156" s="23"/>
      <c r="I3156" s="23"/>
    </row>
    <row r="3157" spans="1:9">
      <c r="A3157" s="21" t="s">
        <v>8340</v>
      </c>
      <c r="B3157" s="21"/>
      <c r="C3157" s="22">
        <v>3078</v>
      </c>
      <c r="D3157" s="21">
        <v>27.25</v>
      </c>
      <c r="E3157" s="21" t="s">
        <v>5796</v>
      </c>
      <c r="F3157" s="23"/>
      <c r="G3157" s="23">
        <f t="shared" si="12"/>
        <v>27.25</v>
      </c>
      <c r="H3157" s="23"/>
      <c r="I3157" s="23"/>
    </row>
    <row r="3158" spans="1:9">
      <c r="A3158" s="21" t="s">
        <v>8341</v>
      </c>
      <c r="B3158" s="21"/>
      <c r="C3158" s="22">
        <v>3079</v>
      </c>
      <c r="D3158" s="21">
        <v>27.21</v>
      </c>
      <c r="E3158" s="21" t="s">
        <v>5796</v>
      </c>
      <c r="F3158" s="23"/>
      <c r="G3158" s="23">
        <f t="shared" si="12"/>
        <v>27.21</v>
      </c>
      <c r="H3158" s="23"/>
      <c r="I3158" s="23"/>
    </row>
    <row r="3159" spans="1:9">
      <c r="A3159" s="21" t="s">
        <v>8342</v>
      </c>
      <c r="B3159" s="21"/>
      <c r="C3159" s="22">
        <v>3080</v>
      </c>
      <c r="D3159" s="21">
        <v>27.18</v>
      </c>
      <c r="E3159" s="21" t="s">
        <v>5796</v>
      </c>
      <c r="F3159" s="23"/>
      <c r="G3159" s="23">
        <f t="shared" si="12"/>
        <v>27.18</v>
      </c>
      <c r="H3159" s="23"/>
      <c r="I3159" s="23"/>
    </row>
    <row r="3160" spans="1:9">
      <c r="A3160" s="21" t="s">
        <v>8343</v>
      </c>
      <c r="B3160" s="21"/>
      <c r="C3160" s="22">
        <v>3081</v>
      </c>
      <c r="D3160" s="21">
        <v>27.17</v>
      </c>
      <c r="E3160" s="21" t="s">
        <v>5796</v>
      </c>
      <c r="F3160" s="23"/>
      <c r="G3160" s="23">
        <f t="shared" si="12"/>
        <v>27.17</v>
      </c>
      <c r="H3160" s="23"/>
      <c r="I3160" s="23"/>
    </row>
    <row r="3161" spans="1:9">
      <c r="A3161" s="21" t="s">
        <v>8344</v>
      </c>
      <c r="B3161" s="21"/>
      <c r="C3161" s="22">
        <v>3082</v>
      </c>
      <c r="D3161" s="21">
        <v>27.16</v>
      </c>
      <c r="E3161" s="21" t="s">
        <v>5796</v>
      </c>
      <c r="F3161" s="23"/>
      <c r="G3161" s="23">
        <f t="shared" si="12"/>
        <v>27.16</v>
      </c>
      <c r="H3161" s="23"/>
      <c r="I3161" s="23"/>
    </row>
    <row r="3162" spans="1:9">
      <c r="A3162" s="21" t="s">
        <v>8345</v>
      </c>
      <c r="B3162" s="21"/>
      <c r="C3162" s="22">
        <v>3083</v>
      </c>
      <c r="D3162" s="21">
        <v>27.08</v>
      </c>
      <c r="E3162" s="21" t="s">
        <v>5796</v>
      </c>
      <c r="F3162" s="23"/>
      <c r="G3162" s="23">
        <f t="shared" si="12"/>
        <v>27.08</v>
      </c>
      <c r="H3162" s="23"/>
      <c r="I3162" s="23"/>
    </row>
    <row r="3163" spans="1:9">
      <c r="A3163" s="21" t="s">
        <v>8346</v>
      </c>
      <c r="B3163" s="21"/>
      <c r="C3163" s="22">
        <v>3084</v>
      </c>
      <c r="D3163" s="21">
        <v>27.07</v>
      </c>
      <c r="E3163" s="21" t="s">
        <v>5796</v>
      </c>
      <c r="F3163" s="23"/>
      <c r="G3163" s="23">
        <f t="shared" si="12"/>
        <v>27.07</v>
      </c>
      <c r="H3163" s="23"/>
      <c r="I3163" s="23"/>
    </row>
    <row r="3164" spans="1:9">
      <c r="A3164" s="21" t="s">
        <v>8347</v>
      </c>
      <c r="B3164" s="21"/>
      <c r="C3164" s="22">
        <v>3086</v>
      </c>
      <c r="D3164" s="21">
        <v>27.01</v>
      </c>
      <c r="E3164" s="21" t="s">
        <v>5796</v>
      </c>
      <c r="F3164" s="23"/>
      <c r="G3164" s="23">
        <f t="shared" si="12"/>
        <v>27.01</v>
      </c>
      <c r="H3164" s="23"/>
      <c r="I3164" s="23"/>
    </row>
    <row r="3165" spans="1:9">
      <c r="A3165" s="21" t="s">
        <v>8348</v>
      </c>
      <c r="B3165" s="21"/>
      <c r="C3165" s="22">
        <v>3087</v>
      </c>
      <c r="D3165" s="21">
        <v>27</v>
      </c>
      <c r="E3165" s="21" t="s">
        <v>5796</v>
      </c>
      <c r="F3165" s="23"/>
      <c r="G3165" s="23">
        <f t="shared" si="12"/>
        <v>27</v>
      </c>
      <c r="H3165" s="23"/>
      <c r="I3165" s="23"/>
    </row>
    <row r="3166" spans="1:9">
      <c r="A3166" s="21" t="s">
        <v>8349</v>
      </c>
      <c r="B3166" s="21"/>
      <c r="C3166" s="22">
        <v>3088</v>
      </c>
      <c r="D3166" s="21">
        <v>27</v>
      </c>
      <c r="E3166" s="21" t="s">
        <v>5796</v>
      </c>
      <c r="F3166" s="23"/>
      <c r="G3166" s="23">
        <f t="shared" si="12"/>
        <v>27</v>
      </c>
      <c r="H3166" s="23"/>
      <c r="I3166" s="23"/>
    </row>
    <row r="3167" spans="1:9">
      <c r="A3167" s="21" t="s">
        <v>8350</v>
      </c>
      <c r="B3167" s="21"/>
      <c r="C3167" s="22">
        <v>3089</v>
      </c>
      <c r="D3167" s="21">
        <v>27</v>
      </c>
      <c r="E3167" s="21" t="s">
        <v>5796</v>
      </c>
      <c r="F3167" s="23"/>
      <c r="G3167" s="23">
        <f t="shared" si="12"/>
        <v>27</v>
      </c>
      <c r="H3167" s="23"/>
      <c r="I3167" s="23"/>
    </row>
    <row r="3168" spans="1:9">
      <c r="A3168" s="21" t="s">
        <v>8351</v>
      </c>
      <c r="B3168" s="21"/>
      <c r="C3168" s="22">
        <v>3090</v>
      </c>
      <c r="D3168" s="21">
        <v>26.92</v>
      </c>
      <c r="E3168" s="21" t="s">
        <v>5796</v>
      </c>
      <c r="F3168" s="23"/>
      <c r="G3168" s="23">
        <f t="shared" si="12"/>
        <v>26.92</v>
      </c>
      <c r="H3168" s="23"/>
      <c r="I3168" s="23"/>
    </row>
    <row r="3169" spans="1:9">
      <c r="A3169" s="21" t="s">
        <v>8352</v>
      </c>
      <c r="B3169" s="21"/>
      <c r="C3169" s="22">
        <v>3091</v>
      </c>
      <c r="D3169" s="21">
        <v>26.91</v>
      </c>
      <c r="E3169" s="21" t="s">
        <v>5796</v>
      </c>
      <c r="F3169" s="23"/>
      <c r="G3169" s="23">
        <f t="shared" si="12"/>
        <v>26.91</v>
      </c>
      <c r="H3169" s="23"/>
      <c r="I3169" s="23"/>
    </row>
    <row r="3170" spans="1:9">
      <c r="A3170" s="21" t="s">
        <v>8353</v>
      </c>
      <c r="B3170" s="21"/>
      <c r="C3170" s="22">
        <v>3092</v>
      </c>
      <c r="D3170" s="21">
        <v>26.91</v>
      </c>
      <c r="E3170" s="21" t="s">
        <v>5796</v>
      </c>
      <c r="F3170" s="23"/>
      <c r="G3170" s="23">
        <f t="shared" si="12"/>
        <v>26.91</v>
      </c>
      <c r="H3170" s="23"/>
      <c r="I3170" s="23"/>
    </row>
    <row r="3171" spans="1:9">
      <c r="A3171" s="21" t="s">
        <v>8354</v>
      </c>
      <c r="B3171" s="21"/>
      <c r="C3171" s="22">
        <v>3093</v>
      </c>
      <c r="D3171" s="21">
        <v>26.81</v>
      </c>
      <c r="E3171" s="21" t="s">
        <v>5796</v>
      </c>
      <c r="F3171" s="23"/>
      <c r="G3171" s="23">
        <f t="shared" si="12"/>
        <v>26.81</v>
      </c>
      <c r="H3171" s="23"/>
      <c r="I3171" s="23"/>
    </row>
    <row r="3172" spans="1:9">
      <c r="A3172" s="21" t="s">
        <v>8355</v>
      </c>
      <c r="B3172" s="21"/>
      <c r="C3172" s="22">
        <v>3094</v>
      </c>
      <c r="D3172" s="21">
        <v>26.78</v>
      </c>
      <c r="E3172" s="21" t="s">
        <v>5796</v>
      </c>
      <c r="F3172" s="23"/>
      <c r="G3172" s="23">
        <f t="shared" si="12"/>
        <v>26.78</v>
      </c>
      <c r="H3172" s="23"/>
      <c r="I3172" s="23"/>
    </row>
    <row r="3173" spans="1:9">
      <c r="A3173" s="21" t="s">
        <v>8356</v>
      </c>
      <c r="B3173" s="21"/>
      <c r="C3173" s="22">
        <v>3095</v>
      </c>
      <c r="D3173" s="21">
        <v>26.71</v>
      </c>
      <c r="E3173" s="21" t="s">
        <v>5796</v>
      </c>
      <c r="F3173" s="23"/>
      <c r="G3173" s="23">
        <f t="shared" si="12"/>
        <v>26.71</v>
      </c>
      <c r="H3173" s="23"/>
      <c r="I3173" s="23"/>
    </row>
    <row r="3174" spans="1:9">
      <c r="A3174" s="21" t="s">
        <v>8357</v>
      </c>
      <c r="B3174" s="21"/>
      <c r="C3174" s="22">
        <v>3096</v>
      </c>
      <c r="D3174" s="21">
        <v>26.71</v>
      </c>
      <c r="E3174" s="21" t="s">
        <v>5796</v>
      </c>
      <c r="F3174" s="23"/>
      <c r="G3174" s="23">
        <f t="shared" si="12"/>
        <v>26.71</v>
      </c>
      <c r="H3174" s="23"/>
      <c r="I3174" s="23"/>
    </row>
    <row r="3175" spans="1:9">
      <c r="A3175" s="21" t="s">
        <v>8358</v>
      </c>
      <c r="B3175" s="21"/>
      <c r="C3175" s="22">
        <v>3097</v>
      </c>
      <c r="D3175" s="21">
        <v>26.64</v>
      </c>
      <c r="E3175" s="21" t="s">
        <v>5796</v>
      </c>
      <c r="F3175" s="23"/>
      <c r="G3175" s="23">
        <f t="shared" si="12"/>
        <v>26.64</v>
      </c>
      <c r="H3175" s="23"/>
      <c r="I3175" s="23"/>
    </row>
    <row r="3176" spans="1:9">
      <c r="A3176" s="21" t="s">
        <v>8359</v>
      </c>
      <c r="B3176" s="21"/>
      <c r="C3176" s="22">
        <v>3098</v>
      </c>
      <c r="D3176" s="21">
        <v>26.6</v>
      </c>
      <c r="E3176" s="21" t="s">
        <v>5796</v>
      </c>
      <c r="F3176" s="23"/>
      <c r="G3176" s="23">
        <f t="shared" si="12"/>
        <v>26.6</v>
      </c>
      <c r="H3176" s="23"/>
      <c r="I3176" s="23"/>
    </row>
    <row r="3177" spans="1:9">
      <c r="A3177" s="21" t="s">
        <v>8360</v>
      </c>
      <c r="B3177" s="21"/>
      <c r="C3177" s="22">
        <v>3099</v>
      </c>
      <c r="D3177" s="21">
        <v>26.6</v>
      </c>
      <c r="E3177" s="21" t="s">
        <v>5796</v>
      </c>
      <c r="F3177" s="23"/>
      <c r="G3177" s="23">
        <f t="shared" si="12"/>
        <v>26.6</v>
      </c>
      <c r="H3177" s="23"/>
      <c r="I3177" s="23"/>
    </row>
    <row r="3178" spans="1:9">
      <c r="A3178" s="21" t="s">
        <v>8361</v>
      </c>
      <c r="B3178" s="21"/>
      <c r="C3178" s="22">
        <v>3100</v>
      </c>
      <c r="D3178" s="21">
        <v>26.59</v>
      </c>
      <c r="E3178" s="21" t="s">
        <v>5796</v>
      </c>
      <c r="F3178" s="23"/>
      <c r="G3178" s="23">
        <f t="shared" si="12"/>
        <v>26.59</v>
      </c>
      <c r="H3178" s="23"/>
      <c r="I3178" s="23"/>
    </row>
    <row r="3179" spans="1:9">
      <c r="A3179" s="21" t="s">
        <v>8362</v>
      </c>
      <c r="B3179" s="21"/>
      <c r="C3179" s="22">
        <v>3101</v>
      </c>
      <c r="D3179" s="21">
        <v>26.4</v>
      </c>
      <c r="E3179" s="21" t="s">
        <v>5796</v>
      </c>
      <c r="F3179" s="23"/>
      <c r="G3179" s="23">
        <f t="shared" si="12"/>
        <v>26.4</v>
      </c>
      <c r="H3179" s="23"/>
      <c r="I3179" s="23"/>
    </row>
    <row r="3180" spans="1:9">
      <c r="A3180" s="21" t="s">
        <v>8363</v>
      </c>
      <c r="B3180" s="21"/>
      <c r="C3180" s="22">
        <v>3102</v>
      </c>
      <c r="D3180" s="21">
        <v>26.39</v>
      </c>
      <c r="E3180" s="21" t="s">
        <v>5796</v>
      </c>
      <c r="F3180" s="23"/>
      <c r="G3180" s="23">
        <f t="shared" si="12"/>
        <v>26.39</v>
      </c>
      <c r="H3180" s="23"/>
      <c r="I3180" s="23"/>
    </row>
    <row r="3181" spans="1:9">
      <c r="A3181" s="21" t="s">
        <v>8364</v>
      </c>
      <c r="B3181" s="21"/>
      <c r="C3181" s="22">
        <v>3103</v>
      </c>
      <c r="D3181" s="21">
        <v>26.39</v>
      </c>
      <c r="E3181" s="21" t="s">
        <v>5796</v>
      </c>
      <c r="F3181" s="23"/>
      <c r="G3181" s="23">
        <f t="shared" si="12"/>
        <v>26.39</v>
      </c>
      <c r="H3181" s="23"/>
      <c r="I3181" s="23"/>
    </row>
    <row r="3182" spans="1:9">
      <c r="A3182" s="21" t="s">
        <v>8365</v>
      </c>
      <c r="B3182" s="21"/>
      <c r="C3182" s="22">
        <v>3104</v>
      </c>
      <c r="D3182" s="21">
        <v>26.36</v>
      </c>
      <c r="E3182" s="21" t="s">
        <v>5796</v>
      </c>
      <c r="F3182" s="23"/>
      <c r="G3182" s="23">
        <f t="shared" si="12"/>
        <v>26.36</v>
      </c>
      <c r="H3182" s="23"/>
      <c r="I3182" s="23"/>
    </row>
    <row r="3183" spans="1:9">
      <c r="A3183" s="21" t="s">
        <v>8366</v>
      </c>
      <c r="B3183" s="21"/>
      <c r="C3183" s="22">
        <v>3105</v>
      </c>
      <c r="D3183" s="21">
        <v>26.23</v>
      </c>
      <c r="E3183" s="21" t="s">
        <v>5796</v>
      </c>
      <c r="F3183" s="23"/>
      <c r="G3183" s="23">
        <f t="shared" si="12"/>
        <v>26.23</v>
      </c>
      <c r="H3183" s="23"/>
      <c r="I3183" s="23"/>
    </row>
    <row r="3184" spans="1:9">
      <c r="A3184" s="21" t="s">
        <v>8367</v>
      </c>
      <c r="B3184" s="21"/>
      <c r="C3184" s="22">
        <v>3106</v>
      </c>
      <c r="D3184" s="21">
        <v>26.18</v>
      </c>
      <c r="E3184" s="21" t="s">
        <v>5796</v>
      </c>
      <c r="F3184" s="23"/>
      <c r="G3184" s="23">
        <f t="shared" si="12"/>
        <v>26.18</v>
      </c>
      <c r="H3184" s="23"/>
      <c r="I3184" s="23"/>
    </row>
    <row r="3185" spans="1:9">
      <c r="A3185" s="21" t="s">
        <v>8368</v>
      </c>
      <c r="B3185" s="21"/>
      <c r="C3185" s="22">
        <v>3107</v>
      </c>
      <c r="D3185" s="21">
        <v>26.12</v>
      </c>
      <c r="E3185" s="21" t="s">
        <v>5796</v>
      </c>
      <c r="F3185" s="23"/>
      <c r="G3185" s="23">
        <f t="shared" si="12"/>
        <v>26.12</v>
      </c>
      <c r="H3185" s="23"/>
      <c r="I3185" s="23"/>
    </row>
    <row r="3186" spans="1:9">
      <c r="A3186" s="21" t="s">
        <v>8369</v>
      </c>
      <c r="B3186" s="21"/>
      <c r="C3186" s="22">
        <v>3108</v>
      </c>
      <c r="D3186" s="21">
        <v>25.96</v>
      </c>
      <c r="E3186" s="21" t="s">
        <v>5796</v>
      </c>
      <c r="F3186" s="23"/>
      <c r="G3186" s="23">
        <f t="shared" si="12"/>
        <v>25.96</v>
      </c>
      <c r="H3186" s="23"/>
      <c r="I3186" s="23"/>
    </row>
    <row r="3187" spans="1:9">
      <c r="A3187" s="21" t="s">
        <v>8370</v>
      </c>
      <c r="B3187" s="21"/>
      <c r="C3187" s="22">
        <v>3109</v>
      </c>
      <c r="D3187" s="21">
        <v>25.93</v>
      </c>
      <c r="E3187" s="21" t="s">
        <v>5796</v>
      </c>
      <c r="F3187" s="23"/>
      <c r="G3187" s="23">
        <f t="shared" si="12"/>
        <v>25.93</v>
      </c>
      <c r="H3187" s="23"/>
      <c r="I3187" s="23"/>
    </row>
    <row r="3188" spans="1:9">
      <c r="A3188" s="21" t="s">
        <v>8371</v>
      </c>
      <c r="B3188" s="21"/>
      <c r="C3188" s="22">
        <v>3110</v>
      </c>
      <c r="D3188" s="21">
        <v>25.92</v>
      </c>
      <c r="E3188" s="21" t="s">
        <v>5796</v>
      </c>
      <c r="F3188" s="23"/>
      <c r="G3188" s="23">
        <f t="shared" si="12"/>
        <v>25.92</v>
      </c>
      <c r="H3188" s="23"/>
      <c r="I3188" s="23"/>
    </row>
    <row r="3189" spans="1:9">
      <c r="A3189" s="21" t="s">
        <v>8372</v>
      </c>
      <c r="B3189" s="21"/>
      <c r="C3189" s="22">
        <v>3111</v>
      </c>
      <c r="D3189" s="21">
        <v>25.89</v>
      </c>
      <c r="E3189" s="21" t="s">
        <v>5796</v>
      </c>
      <c r="F3189" s="23"/>
      <c r="G3189" s="23">
        <f t="shared" si="12"/>
        <v>25.89</v>
      </c>
      <c r="H3189" s="23"/>
      <c r="I3189" s="23"/>
    </row>
    <row r="3190" spans="1:9">
      <c r="A3190" s="21" t="s">
        <v>8373</v>
      </c>
      <c r="B3190" s="21"/>
      <c r="C3190" s="22">
        <v>3112</v>
      </c>
      <c r="D3190" s="21">
        <v>25.8</v>
      </c>
      <c r="E3190" s="21" t="s">
        <v>5796</v>
      </c>
      <c r="F3190" s="23"/>
      <c r="G3190" s="23">
        <f t="shared" si="12"/>
        <v>25.8</v>
      </c>
      <c r="H3190" s="23"/>
      <c r="I3190" s="23"/>
    </row>
    <row r="3191" spans="1:9">
      <c r="A3191" s="21" t="s">
        <v>8374</v>
      </c>
      <c r="B3191" s="21"/>
      <c r="C3191" s="22">
        <v>3113</v>
      </c>
      <c r="D3191" s="21">
        <v>25.76</v>
      </c>
      <c r="E3191" s="21" t="s">
        <v>5796</v>
      </c>
      <c r="F3191" s="23"/>
      <c r="G3191" s="23">
        <f t="shared" si="12"/>
        <v>25.76</v>
      </c>
      <c r="H3191" s="23"/>
      <c r="I3191" s="23"/>
    </row>
    <row r="3192" spans="1:9">
      <c r="A3192" s="21" t="s">
        <v>8375</v>
      </c>
      <c r="B3192" s="21"/>
      <c r="C3192" s="22">
        <v>3114</v>
      </c>
      <c r="D3192" s="21">
        <v>25.76</v>
      </c>
      <c r="E3192" s="21" t="s">
        <v>5796</v>
      </c>
      <c r="F3192" s="23"/>
      <c r="G3192" s="23">
        <f t="shared" si="12"/>
        <v>25.76</v>
      </c>
      <c r="H3192" s="23"/>
      <c r="I3192" s="23"/>
    </row>
    <row r="3193" spans="1:9">
      <c r="A3193" s="21" t="s">
        <v>8376</v>
      </c>
      <c r="B3193" s="21"/>
      <c r="C3193" s="22">
        <v>3116</v>
      </c>
      <c r="D3193" s="21">
        <v>25.72</v>
      </c>
      <c r="E3193" s="21" t="s">
        <v>5796</v>
      </c>
      <c r="F3193" s="23"/>
      <c r="G3193" s="23">
        <f t="shared" si="12"/>
        <v>25.72</v>
      </c>
      <c r="H3193" s="23"/>
      <c r="I3193" s="23"/>
    </row>
    <row r="3194" spans="1:9">
      <c r="A3194" s="21" t="s">
        <v>8377</v>
      </c>
      <c r="B3194" s="21"/>
      <c r="C3194" s="22">
        <v>3117</v>
      </c>
      <c r="D3194" s="21">
        <v>25.71</v>
      </c>
      <c r="E3194" s="21" t="s">
        <v>5796</v>
      </c>
      <c r="F3194" s="23"/>
      <c r="G3194" s="23">
        <f t="shared" si="12"/>
        <v>25.71</v>
      </c>
      <c r="H3194" s="23"/>
      <c r="I3194" s="23"/>
    </row>
    <row r="3195" spans="1:9">
      <c r="A3195" s="21" t="s">
        <v>8378</v>
      </c>
      <c r="B3195" s="21"/>
      <c r="C3195" s="22">
        <v>3118</v>
      </c>
      <c r="D3195" s="21">
        <v>25.71</v>
      </c>
      <c r="E3195" s="21" t="s">
        <v>5796</v>
      </c>
      <c r="F3195" s="23"/>
      <c r="G3195" s="23">
        <f t="shared" si="12"/>
        <v>25.71</v>
      </c>
      <c r="H3195" s="23"/>
      <c r="I3195" s="23"/>
    </row>
    <row r="3196" spans="1:9">
      <c r="A3196" s="21" t="s">
        <v>8379</v>
      </c>
      <c r="B3196" s="21"/>
      <c r="C3196" s="22">
        <v>3119</v>
      </c>
      <c r="D3196" s="21">
        <v>25.67</v>
      </c>
      <c r="E3196" s="21" t="s">
        <v>5796</v>
      </c>
      <c r="F3196" s="23"/>
      <c r="G3196" s="23">
        <f t="shared" si="12"/>
        <v>25.67</v>
      </c>
      <c r="H3196" s="23"/>
      <c r="I3196" s="23"/>
    </row>
    <row r="3197" spans="1:9">
      <c r="A3197" s="21" t="s">
        <v>8380</v>
      </c>
      <c r="B3197" s="21"/>
      <c r="C3197" s="22">
        <v>3120</v>
      </c>
      <c r="D3197" s="21">
        <v>25.64</v>
      </c>
      <c r="E3197" s="21" t="s">
        <v>5796</v>
      </c>
      <c r="F3197" s="23"/>
      <c r="G3197" s="23">
        <f t="shared" si="12"/>
        <v>25.64</v>
      </c>
      <c r="H3197" s="23"/>
      <c r="I3197" s="23"/>
    </row>
    <row r="3198" spans="1:9">
      <c r="A3198" s="21" t="s">
        <v>8381</v>
      </c>
      <c r="B3198" s="21"/>
      <c r="C3198" s="22">
        <v>3121</v>
      </c>
      <c r="D3198" s="21">
        <v>25.61</v>
      </c>
      <c r="E3198" s="21" t="s">
        <v>5796</v>
      </c>
      <c r="F3198" s="23"/>
      <c r="G3198" s="23">
        <f t="shared" si="12"/>
        <v>25.61</v>
      </c>
      <c r="H3198" s="23"/>
      <c r="I3198" s="23"/>
    </row>
    <row r="3199" spans="1:9">
      <c r="A3199" s="21" t="s">
        <v>8382</v>
      </c>
      <c r="B3199" s="21"/>
      <c r="C3199" s="22">
        <v>3122</v>
      </c>
      <c r="D3199" s="21">
        <v>25.57</v>
      </c>
      <c r="E3199" s="21" t="s">
        <v>5796</v>
      </c>
      <c r="F3199" s="23"/>
      <c r="G3199" s="23">
        <f t="shared" si="12"/>
        <v>25.57</v>
      </c>
      <c r="H3199" s="23"/>
      <c r="I3199" s="23"/>
    </row>
    <row r="3200" spans="1:9">
      <c r="A3200" s="21" t="s">
        <v>8383</v>
      </c>
      <c r="B3200" s="21"/>
      <c r="C3200" s="22">
        <v>3123</v>
      </c>
      <c r="D3200" s="21">
        <v>25.57</v>
      </c>
      <c r="E3200" s="21" t="s">
        <v>5796</v>
      </c>
      <c r="F3200" s="23"/>
      <c r="G3200" s="23">
        <f t="shared" si="12"/>
        <v>25.57</v>
      </c>
      <c r="H3200" s="23"/>
      <c r="I3200" s="23"/>
    </row>
    <row r="3201" spans="1:9">
      <c r="A3201" s="21" t="s">
        <v>8384</v>
      </c>
      <c r="B3201" s="21"/>
      <c r="C3201" s="22">
        <v>3124</v>
      </c>
      <c r="D3201" s="21">
        <v>25.51</v>
      </c>
      <c r="E3201" s="21" t="s">
        <v>5796</v>
      </c>
      <c r="F3201" s="23"/>
      <c r="G3201" s="23">
        <f t="shared" si="12"/>
        <v>25.51</v>
      </c>
      <c r="H3201" s="23"/>
      <c r="I3201" s="23"/>
    </row>
    <row r="3202" spans="1:9">
      <c r="A3202" s="21" t="s">
        <v>8385</v>
      </c>
      <c r="B3202" s="21"/>
      <c r="C3202" s="22">
        <v>3125</v>
      </c>
      <c r="D3202" s="21">
        <v>25.49</v>
      </c>
      <c r="E3202" s="21" t="s">
        <v>5796</v>
      </c>
      <c r="F3202" s="23"/>
      <c r="G3202" s="23">
        <f t="shared" si="12"/>
        <v>25.49</v>
      </c>
      <c r="H3202" s="23"/>
      <c r="I3202" s="23"/>
    </row>
    <row r="3203" spans="1:9">
      <c r="A3203" s="21" t="s">
        <v>8386</v>
      </c>
      <c r="B3203" s="21"/>
      <c r="C3203" s="22">
        <v>3126</v>
      </c>
      <c r="D3203" s="21">
        <v>25.37</v>
      </c>
      <c r="E3203" s="21" t="s">
        <v>5796</v>
      </c>
      <c r="F3203" s="23"/>
      <c r="G3203" s="23">
        <f t="shared" si="12"/>
        <v>25.37</v>
      </c>
      <c r="H3203" s="23"/>
      <c r="I3203" s="23"/>
    </row>
    <row r="3204" spans="1:9">
      <c r="A3204" s="21" t="s">
        <v>8387</v>
      </c>
      <c r="B3204" s="21"/>
      <c r="C3204" s="22">
        <v>3128</v>
      </c>
      <c r="D3204" s="21">
        <v>25.32</v>
      </c>
      <c r="E3204" s="21" t="s">
        <v>5796</v>
      </c>
      <c r="F3204" s="23"/>
      <c r="G3204" s="23">
        <f t="shared" si="12"/>
        <v>25.32</v>
      </c>
      <c r="H3204" s="23"/>
      <c r="I3204" s="23"/>
    </row>
    <row r="3205" spans="1:9">
      <c r="A3205" s="21" t="s">
        <v>8388</v>
      </c>
      <c r="B3205" s="21"/>
      <c r="C3205" s="22">
        <v>3129</v>
      </c>
      <c r="D3205" s="21">
        <v>25.2</v>
      </c>
      <c r="E3205" s="21" t="s">
        <v>5796</v>
      </c>
      <c r="F3205" s="23"/>
      <c r="G3205" s="23">
        <f t="shared" si="12"/>
        <v>25.2</v>
      </c>
      <c r="H3205" s="23"/>
      <c r="I3205" s="23"/>
    </row>
    <row r="3206" spans="1:9">
      <c r="A3206" s="21" t="s">
        <v>8389</v>
      </c>
      <c r="B3206" s="21"/>
      <c r="C3206" s="22">
        <v>3130</v>
      </c>
      <c r="D3206" s="21">
        <v>25.15</v>
      </c>
      <c r="E3206" s="21" t="s">
        <v>5796</v>
      </c>
      <c r="F3206" s="23"/>
      <c r="G3206" s="23">
        <f t="shared" si="12"/>
        <v>25.15</v>
      </c>
      <c r="H3206" s="23"/>
      <c r="I3206" s="23"/>
    </row>
    <row r="3207" spans="1:9">
      <c r="A3207" s="21" t="s">
        <v>8390</v>
      </c>
      <c r="B3207" s="21"/>
      <c r="C3207" s="22">
        <v>3131</v>
      </c>
      <c r="D3207" s="21">
        <v>25.14</v>
      </c>
      <c r="E3207" s="21" t="s">
        <v>5796</v>
      </c>
      <c r="F3207" s="23"/>
      <c r="G3207" s="23">
        <f t="shared" si="12"/>
        <v>25.14</v>
      </c>
      <c r="H3207" s="23"/>
      <c r="I3207" s="23"/>
    </row>
    <row r="3208" spans="1:9">
      <c r="A3208" s="21" t="s">
        <v>8391</v>
      </c>
      <c r="B3208" s="21"/>
      <c r="C3208" s="22">
        <v>3133</v>
      </c>
      <c r="D3208" s="21">
        <v>25</v>
      </c>
      <c r="E3208" s="21" t="s">
        <v>5796</v>
      </c>
      <c r="F3208" s="23"/>
      <c r="G3208" s="23">
        <f t="shared" si="12"/>
        <v>25</v>
      </c>
      <c r="H3208" s="23"/>
      <c r="I3208" s="23"/>
    </row>
    <row r="3209" spans="1:9">
      <c r="A3209" s="21" t="s">
        <v>8392</v>
      </c>
      <c r="B3209" s="21"/>
      <c r="C3209" s="22">
        <v>3134</v>
      </c>
      <c r="D3209" s="21">
        <v>24.99</v>
      </c>
      <c r="E3209" s="21" t="s">
        <v>5796</v>
      </c>
      <c r="F3209" s="23"/>
      <c r="G3209" s="23">
        <f t="shared" si="12"/>
        <v>24.99</v>
      </c>
      <c r="H3209" s="23"/>
      <c r="I3209" s="23"/>
    </row>
    <row r="3210" spans="1:9">
      <c r="A3210" s="21" t="s">
        <v>8393</v>
      </c>
      <c r="B3210" s="21"/>
      <c r="C3210" s="22">
        <v>3135</v>
      </c>
      <c r="D3210" s="21">
        <v>24.88</v>
      </c>
      <c r="E3210" s="21" t="s">
        <v>5796</v>
      </c>
      <c r="F3210" s="23"/>
      <c r="G3210" s="23">
        <f t="shared" si="12"/>
        <v>24.88</v>
      </c>
      <c r="H3210" s="23"/>
      <c r="I3210" s="23"/>
    </row>
    <row r="3211" spans="1:9">
      <c r="A3211" s="21" t="s">
        <v>8394</v>
      </c>
      <c r="B3211" s="21"/>
      <c r="C3211" s="22">
        <v>3136</v>
      </c>
      <c r="D3211" s="21">
        <v>24.75</v>
      </c>
      <c r="E3211" s="21" t="s">
        <v>5796</v>
      </c>
      <c r="F3211" s="23"/>
      <c r="G3211" s="23">
        <f t="shared" si="12"/>
        <v>24.75</v>
      </c>
      <c r="H3211" s="23"/>
      <c r="I3211" s="23"/>
    </row>
    <row r="3212" spans="1:9">
      <c r="A3212" s="21" t="s">
        <v>8395</v>
      </c>
      <c r="B3212" s="21"/>
      <c r="C3212" s="22">
        <v>3137</v>
      </c>
      <c r="D3212" s="21">
        <v>24.68</v>
      </c>
      <c r="E3212" s="21" t="s">
        <v>5796</v>
      </c>
      <c r="F3212" s="23"/>
      <c r="G3212" s="23">
        <f t="shared" si="12"/>
        <v>24.68</v>
      </c>
      <c r="H3212" s="23"/>
      <c r="I3212" s="23"/>
    </row>
    <row r="3213" spans="1:9">
      <c r="A3213" s="21" t="s">
        <v>8396</v>
      </c>
      <c r="B3213" s="21"/>
      <c r="C3213" s="22">
        <v>3138</v>
      </c>
      <c r="D3213" s="21">
        <v>24.67</v>
      </c>
      <c r="E3213" s="21" t="s">
        <v>5796</v>
      </c>
      <c r="F3213" s="23"/>
      <c r="G3213" s="23">
        <f t="shared" si="12"/>
        <v>24.67</v>
      </c>
      <c r="H3213" s="23"/>
      <c r="I3213" s="23"/>
    </row>
    <row r="3214" spans="1:9">
      <c r="A3214" s="21" t="s">
        <v>8397</v>
      </c>
      <c r="B3214" s="21"/>
      <c r="C3214" s="22">
        <v>3139</v>
      </c>
      <c r="D3214" s="21">
        <v>24.65</v>
      </c>
      <c r="E3214" s="21" t="s">
        <v>5796</v>
      </c>
      <c r="F3214" s="23"/>
      <c r="G3214" s="23">
        <f t="shared" si="12"/>
        <v>24.65</v>
      </c>
      <c r="H3214" s="23"/>
      <c r="I3214" s="23"/>
    </row>
    <row r="3215" spans="1:9">
      <c r="A3215" s="21" t="s">
        <v>8398</v>
      </c>
      <c r="B3215" s="21"/>
      <c r="C3215" s="22">
        <v>3140</v>
      </c>
      <c r="D3215" s="21">
        <v>24.64</v>
      </c>
      <c r="E3215" s="21" t="s">
        <v>5796</v>
      </c>
      <c r="F3215" s="23"/>
      <c r="G3215" s="23">
        <f t="shared" si="12"/>
        <v>24.64</v>
      </c>
      <c r="H3215" s="23"/>
      <c r="I3215" s="23"/>
    </row>
    <row r="3216" spans="1:9">
      <c r="A3216" s="21" t="s">
        <v>8399</v>
      </c>
      <c r="B3216" s="21"/>
      <c r="C3216" s="22">
        <v>3142</v>
      </c>
      <c r="D3216" s="21">
        <v>24.57</v>
      </c>
      <c r="E3216" s="21" t="s">
        <v>5796</v>
      </c>
      <c r="F3216" s="23"/>
      <c r="G3216" s="23">
        <f t="shared" si="12"/>
        <v>24.57</v>
      </c>
      <c r="H3216" s="23"/>
      <c r="I3216" s="23"/>
    </row>
    <row r="3217" spans="1:9">
      <c r="A3217" s="21" t="s">
        <v>8400</v>
      </c>
      <c r="B3217" s="21"/>
      <c r="C3217" s="22">
        <v>3143</v>
      </c>
      <c r="D3217" s="21">
        <v>24.55</v>
      </c>
      <c r="E3217" s="21" t="s">
        <v>5796</v>
      </c>
      <c r="F3217" s="23"/>
      <c r="G3217" s="23">
        <f t="shared" si="12"/>
        <v>24.55</v>
      </c>
      <c r="H3217" s="23"/>
      <c r="I3217" s="23"/>
    </row>
    <row r="3218" spans="1:9">
      <c r="A3218" s="21" t="s">
        <v>8401</v>
      </c>
      <c r="B3218" s="21"/>
      <c r="C3218" s="22">
        <v>3144</v>
      </c>
      <c r="D3218" s="21">
        <v>24.54</v>
      </c>
      <c r="E3218" s="21" t="s">
        <v>5796</v>
      </c>
      <c r="F3218" s="23"/>
      <c r="G3218" s="23">
        <f t="shared" si="12"/>
        <v>24.54</v>
      </c>
      <c r="H3218" s="23"/>
      <c r="I3218" s="23"/>
    </row>
    <row r="3219" spans="1:9">
      <c r="A3219" s="21" t="s">
        <v>8402</v>
      </c>
      <c r="B3219" s="21"/>
      <c r="C3219" s="22">
        <v>3145</v>
      </c>
      <c r="D3219" s="21">
        <v>24.51</v>
      </c>
      <c r="E3219" s="21" t="s">
        <v>5796</v>
      </c>
      <c r="F3219" s="23"/>
      <c r="G3219" s="23">
        <f t="shared" si="12"/>
        <v>24.51</v>
      </c>
      <c r="H3219" s="23"/>
      <c r="I3219" s="23"/>
    </row>
    <row r="3220" spans="1:9">
      <c r="A3220" s="21" t="s">
        <v>8403</v>
      </c>
      <c r="B3220" s="21"/>
      <c r="C3220" s="22">
        <v>3146</v>
      </c>
      <c r="D3220" s="21">
        <v>24.47</v>
      </c>
      <c r="E3220" s="21" t="s">
        <v>5796</v>
      </c>
      <c r="F3220" s="23"/>
      <c r="G3220" s="23">
        <f t="shared" si="12"/>
        <v>24.47</v>
      </c>
      <c r="H3220" s="23"/>
      <c r="I3220" s="23"/>
    </row>
    <row r="3221" spans="1:9">
      <c r="A3221" s="21" t="s">
        <v>8404</v>
      </c>
      <c r="B3221" s="21"/>
      <c r="C3221" s="22">
        <v>3148</v>
      </c>
      <c r="D3221" s="21">
        <v>24.39</v>
      </c>
      <c r="E3221" s="21" t="s">
        <v>5796</v>
      </c>
      <c r="F3221" s="23"/>
      <c r="G3221" s="23">
        <f t="shared" si="12"/>
        <v>24.39</v>
      </c>
      <c r="H3221" s="23"/>
      <c r="I3221" s="23"/>
    </row>
    <row r="3222" spans="1:9">
      <c r="A3222" s="21" t="s">
        <v>8405</v>
      </c>
      <c r="B3222" s="21"/>
      <c r="C3222" s="22">
        <v>3149</v>
      </c>
      <c r="D3222" s="21">
        <v>24.37</v>
      </c>
      <c r="E3222" s="21" t="s">
        <v>5796</v>
      </c>
      <c r="F3222" s="23"/>
      <c r="G3222" s="23">
        <f t="shared" si="12"/>
        <v>24.37</v>
      </c>
      <c r="H3222" s="23"/>
      <c r="I3222" s="23"/>
    </row>
    <row r="3223" spans="1:9">
      <c r="A3223" s="21" t="s">
        <v>8406</v>
      </c>
      <c r="B3223" s="21"/>
      <c r="C3223" s="22">
        <v>3151</v>
      </c>
      <c r="D3223" s="21">
        <v>24.18</v>
      </c>
      <c r="E3223" s="21" t="s">
        <v>5796</v>
      </c>
      <c r="F3223" s="23"/>
      <c r="G3223" s="23">
        <f t="shared" si="12"/>
        <v>24.18</v>
      </c>
      <c r="H3223" s="23"/>
      <c r="I3223" s="23"/>
    </row>
    <row r="3224" spans="1:9">
      <c r="A3224" s="21" t="s">
        <v>8407</v>
      </c>
      <c r="B3224" s="21"/>
      <c r="C3224" s="22">
        <v>3152</v>
      </c>
      <c r="D3224" s="21">
        <v>24.17</v>
      </c>
      <c r="E3224" s="21" t="s">
        <v>5796</v>
      </c>
      <c r="F3224" s="23"/>
      <c r="G3224" s="23">
        <f t="shared" si="12"/>
        <v>24.17</v>
      </c>
      <c r="H3224" s="23"/>
      <c r="I3224" s="23"/>
    </row>
    <row r="3225" spans="1:9">
      <c r="A3225" s="21" t="s">
        <v>8408</v>
      </c>
      <c r="B3225" s="21"/>
      <c r="C3225" s="22">
        <v>3153</v>
      </c>
      <c r="D3225" s="21">
        <v>24.17</v>
      </c>
      <c r="E3225" s="21" t="s">
        <v>5796</v>
      </c>
      <c r="F3225" s="23"/>
      <c r="G3225" s="23">
        <f t="shared" si="12"/>
        <v>24.17</v>
      </c>
      <c r="H3225" s="23"/>
      <c r="I3225" s="23"/>
    </row>
    <row r="3226" spans="1:9">
      <c r="A3226" s="21" t="s">
        <v>8409</v>
      </c>
      <c r="B3226" s="21"/>
      <c r="C3226" s="22">
        <v>3154</v>
      </c>
      <c r="D3226" s="21">
        <v>24.16</v>
      </c>
      <c r="E3226" s="21" t="s">
        <v>5796</v>
      </c>
      <c r="F3226" s="23"/>
      <c r="G3226" s="23">
        <f t="shared" si="12"/>
        <v>24.16</v>
      </c>
      <c r="H3226" s="23"/>
      <c r="I3226" s="23"/>
    </row>
    <row r="3227" spans="1:9">
      <c r="A3227" s="21" t="s">
        <v>8410</v>
      </c>
      <c r="B3227" s="21"/>
      <c r="C3227" s="22">
        <v>3155</v>
      </c>
      <c r="D3227" s="21">
        <v>24.16</v>
      </c>
      <c r="E3227" s="21" t="s">
        <v>5796</v>
      </c>
      <c r="F3227" s="23"/>
      <c r="G3227" s="23">
        <f t="shared" si="12"/>
        <v>24.16</v>
      </c>
      <c r="H3227" s="23"/>
      <c r="I3227" s="23"/>
    </row>
    <row r="3228" spans="1:9">
      <c r="A3228" s="21" t="s">
        <v>8411</v>
      </c>
      <c r="B3228" s="21"/>
      <c r="C3228" s="22">
        <v>3156</v>
      </c>
      <c r="D3228" s="21">
        <v>24.1</v>
      </c>
      <c r="E3228" s="21" t="s">
        <v>5796</v>
      </c>
      <c r="F3228" s="23"/>
      <c r="G3228" s="23">
        <f t="shared" si="12"/>
        <v>24.1</v>
      </c>
      <c r="H3228" s="23"/>
      <c r="I3228" s="23"/>
    </row>
    <row r="3229" spans="1:9">
      <c r="A3229" s="21" t="s">
        <v>8412</v>
      </c>
      <c r="B3229" s="21"/>
      <c r="C3229" s="22">
        <v>3157</v>
      </c>
      <c r="D3229" s="21">
        <v>24.06</v>
      </c>
      <c r="E3229" s="21" t="s">
        <v>5796</v>
      </c>
      <c r="F3229" s="23"/>
      <c r="G3229" s="23">
        <f t="shared" si="12"/>
        <v>24.06</v>
      </c>
      <c r="H3229" s="23"/>
      <c r="I3229" s="23"/>
    </row>
    <row r="3230" spans="1:9">
      <c r="A3230" s="21" t="s">
        <v>8413</v>
      </c>
      <c r="B3230" s="21"/>
      <c r="C3230" s="22">
        <v>3158</v>
      </c>
      <c r="D3230" s="21">
        <v>24.06</v>
      </c>
      <c r="E3230" s="21" t="s">
        <v>5796</v>
      </c>
      <c r="F3230" s="23"/>
      <c r="G3230" s="23">
        <f t="shared" si="12"/>
        <v>24.06</v>
      </c>
      <c r="H3230" s="23"/>
      <c r="I3230" s="23"/>
    </row>
    <row r="3231" spans="1:9">
      <c r="A3231" s="21" t="s">
        <v>8414</v>
      </c>
      <c r="B3231" s="21"/>
      <c r="C3231" s="22">
        <v>3159</v>
      </c>
      <c r="D3231" s="21">
        <v>24.02</v>
      </c>
      <c r="E3231" s="21" t="s">
        <v>5796</v>
      </c>
      <c r="F3231" s="23"/>
      <c r="G3231" s="23">
        <f t="shared" si="12"/>
        <v>24.02</v>
      </c>
      <c r="H3231" s="23"/>
      <c r="I3231" s="23"/>
    </row>
    <row r="3232" spans="1:9">
      <c r="A3232" s="21" t="s">
        <v>8415</v>
      </c>
      <c r="B3232" s="21"/>
      <c r="C3232" s="22">
        <v>3160</v>
      </c>
      <c r="D3232" s="21">
        <v>24</v>
      </c>
      <c r="E3232" s="21" t="s">
        <v>5796</v>
      </c>
      <c r="F3232" s="23"/>
      <c r="G3232" s="23">
        <f t="shared" si="12"/>
        <v>24</v>
      </c>
      <c r="H3232" s="23"/>
      <c r="I3232" s="23"/>
    </row>
    <row r="3233" spans="1:9">
      <c r="A3233" s="21" t="s">
        <v>8416</v>
      </c>
      <c r="B3233" s="21"/>
      <c r="C3233" s="22">
        <v>3162</v>
      </c>
      <c r="D3233" s="21">
        <v>23.88</v>
      </c>
      <c r="E3233" s="21" t="s">
        <v>5796</v>
      </c>
      <c r="F3233" s="23"/>
      <c r="G3233" s="23">
        <f t="shared" si="12"/>
        <v>23.88</v>
      </c>
      <c r="H3233" s="23"/>
      <c r="I3233" s="23"/>
    </row>
    <row r="3234" spans="1:9">
      <c r="A3234" s="21" t="s">
        <v>8417</v>
      </c>
      <c r="B3234" s="21"/>
      <c r="C3234" s="22">
        <v>3163</v>
      </c>
      <c r="D3234" s="21">
        <v>23.84</v>
      </c>
      <c r="E3234" s="21" t="s">
        <v>5796</v>
      </c>
      <c r="F3234" s="23"/>
      <c r="G3234" s="23">
        <f t="shared" si="12"/>
        <v>23.84</v>
      </c>
      <c r="H3234" s="23"/>
      <c r="I3234" s="23"/>
    </row>
    <row r="3235" spans="1:9">
      <c r="A3235" s="21" t="s">
        <v>8418</v>
      </c>
      <c r="B3235" s="21"/>
      <c r="C3235" s="22">
        <v>3164</v>
      </c>
      <c r="D3235" s="21">
        <v>23.83</v>
      </c>
      <c r="E3235" s="21" t="s">
        <v>5796</v>
      </c>
      <c r="F3235" s="23"/>
      <c r="G3235" s="23">
        <f t="shared" si="12"/>
        <v>23.83</v>
      </c>
      <c r="H3235" s="23"/>
      <c r="I3235" s="23"/>
    </row>
    <row r="3236" spans="1:9">
      <c r="A3236" s="21" t="s">
        <v>8419</v>
      </c>
      <c r="B3236" s="21"/>
      <c r="C3236" s="22">
        <v>3165</v>
      </c>
      <c r="D3236" s="21">
        <v>23.74</v>
      </c>
      <c r="E3236" s="21" t="s">
        <v>5796</v>
      </c>
      <c r="F3236" s="23"/>
      <c r="G3236" s="23">
        <f t="shared" si="12"/>
        <v>23.74</v>
      </c>
      <c r="H3236" s="23"/>
      <c r="I3236" s="23"/>
    </row>
    <row r="3237" spans="1:9">
      <c r="A3237" s="21" t="s">
        <v>8420</v>
      </c>
      <c r="B3237" s="21"/>
      <c r="C3237" s="22">
        <v>3166</v>
      </c>
      <c r="D3237" s="21">
        <v>23.74</v>
      </c>
      <c r="E3237" s="21" t="s">
        <v>5796</v>
      </c>
      <c r="F3237" s="23"/>
      <c r="G3237" s="23">
        <f t="shared" si="12"/>
        <v>23.74</v>
      </c>
      <c r="H3237" s="23"/>
      <c r="I3237" s="23"/>
    </row>
    <row r="3238" spans="1:9">
      <c r="A3238" s="21" t="s">
        <v>8421</v>
      </c>
      <c r="B3238" s="21"/>
      <c r="C3238" s="22">
        <v>3167</v>
      </c>
      <c r="D3238" s="21">
        <v>23.7</v>
      </c>
      <c r="E3238" s="21" t="s">
        <v>5796</v>
      </c>
      <c r="F3238" s="23"/>
      <c r="G3238" s="23">
        <f t="shared" si="12"/>
        <v>23.7</v>
      </c>
      <c r="H3238" s="23"/>
      <c r="I3238" s="23"/>
    </row>
    <row r="3239" spans="1:9">
      <c r="A3239" s="21" t="s">
        <v>8422</v>
      </c>
      <c r="B3239" s="21"/>
      <c r="C3239" s="22">
        <v>3168</v>
      </c>
      <c r="D3239" s="21">
        <v>23.67</v>
      </c>
      <c r="E3239" s="21" t="s">
        <v>5796</v>
      </c>
      <c r="F3239" s="23"/>
      <c r="G3239" s="23">
        <f t="shared" si="12"/>
        <v>23.67</v>
      </c>
      <c r="H3239" s="23"/>
      <c r="I3239" s="23"/>
    </row>
    <row r="3240" spans="1:9">
      <c r="A3240" s="21" t="s">
        <v>8423</v>
      </c>
      <c r="B3240" s="21"/>
      <c r="C3240" s="22">
        <v>3169</v>
      </c>
      <c r="D3240" s="21">
        <v>23.66</v>
      </c>
      <c r="E3240" s="21" t="s">
        <v>5796</v>
      </c>
      <c r="F3240" s="23"/>
      <c r="G3240" s="23">
        <f t="shared" si="12"/>
        <v>23.66</v>
      </c>
      <c r="H3240" s="23"/>
      <c r="I3240" s="23"/>
    </row>
    <row r="3241" spans="1:9">
      <c r="A3241" s="21" t="s">
        <v>8424</v>
      </c>
      <c r="B3241" s="21"/>
      <c r="C3241" s="22">
        <v>3170</v>
      </c>
      <c r="D3241" s="21">
        <v>23.63</v>
      </c>
      <c r="E3241" s="21" t="s">
        <v>5796</v>
      </c>
      <c r="F3241" s="23"/>
      <c r="G3241" s="23">
        <f t="shared" si="12"/>
        <v>23.63</v>
      </c>
      <c r="H3241" s="23"/>
      <c r="I3241" s="23"/>
    </row>
    <row r="3242" spans="1:9">
      <c r="A3242" s="21" t="s">
        <v>8425</v>
      </c>
      <c r="B3242" s="21"/>
      <c r="C3242" s="22">
        <v>3171</v>
      </c>
      <c r="D3242" s="21">
        <v>23.61</v>
      </c>
      <c r="E3242" s="21" t="s">
        <v>5796</v>
      </c>
      <c r="F3242" s="23"/>
      <c r="G3242" s="23">
        <f t="shared" si="12"/>
        <v>23.61</v>
      </c>
      <c r="H3242" s="23"/>
      <c r="I3242" s="23"/>
    </row>
    <row r="3243" spans="1:9">
      <c r="A3243" s="21" t="s">
        <v>8426</v>
      </c>
      <c r="B3243" s="21"/>
      <c r="C3243" s="22">
        <v>3172</v>
      </c>
      <c r="D3243" s="21">
        <v>23.61</v>
      </c>
      <c r="E3243" s="21" t="s">
        <v>5796</v>
      </c>
      <c r="F3243" s="23"/>
      <c r="G3243" s="23">
        <f t="shared" si="12"/>
        <v>23.61</v>
      </c>
      <c r="H3243" s="23"/>
      <c r="I3243" s="23"/>
    </row>
    <row r="3244" spans="1:9">
      <c r="A3244" s="21" t="s">
        <v>8427</v>
      </c>
      <c r="B3244" s="21"/>
      <c r="C3244" s="22">
        <v>3173</v>
      </c>
      <c r="D3244" s="21">
        <v>23.6</v>
      </c>
      <c r="E3244" s="21" t="s">
        <v>5796</v>
      </c>
      <c r="F3244" s="23"/>
      <c r="G3244" s="23">
        <f t="shared" si="12"/>
        <v>23.6</v>
      </c>
      <c r="H3244" s="23"/>
      <c r="I3244" s="23"/>
    </row>
    <row r="3245" spans="1:9">
      <c r="A3245" s="21" t="s">
        <v>8428</v>
      </c>
      <c r="B3245" s="21"/>
      <c r="C3245" s="22">
        <v>3174</v>
      </c>
      <c r="D3245" s="21">
        <v>23.58</v>
      </c>
      <c r="E3245" s="21" t="s">
        <v>5796</v>
      </c>
      <c r="F3245" s="23"/>
      <c r="G3245" s="23">
        <f t="shared" si="12"/>
        <v>23.58</v>
      </c>
      <c r="H3245" s="23"/>
      <c r="I3245" s="23"/>
    </row>
    <row r="3246" spans="1:9">
      <c r="A3246" s="21" t="s">
        <v>8429</v>
      </c>
      <c r="B3246" s="21"/>
      <c r="C3246" s="22">
        <v>3175</v>
      </c>
      <c r="D3246" s="21">
        <v>23.55</v>
      </c>
      <c r="E3246" s="21" t="s">
        <v>5796</v>
      </c>
      <c r="F3246" s="23"/>
      <c r="G3246" s="23">
        <f t="shared" si="12"/>
        <v>23.55</v>
      </c>
      <c r="H3246" s="23"/>
      <c r="I3246" s="23"/>
    </row>
    <row r="3247" spans="1:9">
      <c r="A3247" s="21" t="s">
        <v>8430</v>
      </c>
      <c r="B3247" s="21"/>
      <c r="C3247" s="22">
        <v>3176</v>
      </c>
      <c r="D3247" s="21">
        <v>23.5</v>
      </c>
      <c r="E3247" s="21" t="s">
        <v>5796</v>
      </c>
      <c r="F3247" s="23"/>
      <c r="G3247" s="23">
        <f t="shared" si="12"/>
        <v>23.5</v>
      </c>
      <c r="H3247" s="23"/>
      <c r="I3247" s="23"/>
    </row>
    <row r="3248" spans="1:9">
      <c r="A3248" s="21" t="s">
        <v>8431</v>
      </c>
      <c r="B3248" s="21"/>
      <c r="C3248" s="22">
        <v>3177</v>
      </c>
      <c r="D3248" s="21">
        <v>23.49</v>
      </c>
      <c r="E3248" s="21" t="s">
        <v>5796</v>
      </c>
      <c r="F3248" s="23"/>
      <c r="G3248" s="23">
        <f t="shared" si="12"/>
        <v>23.49</v>
      </c>
      <c r="H3248" s="23"/>
      <c r="I3248" s="23"/>
    </row>
    <row r="3249" spans="1:9">
      <c r="A3249" s="21" t="s">
        <v>8432</v>
      </c>
      <c r="B3249" s="21"/>
      <c r="C3249" s="22">
        <v>3178</v>
      </c>
      <c r="D3249" s="21">
        <v>23.42</v>
      </c>
      <c r="E3249" s="21" t="s">
        <v>5796</v>
      </c>
      <c r="F3249" s="23"/>
      <c r="G3249" s="23">
        <f t="shared" si="12"/>
        <v>23.42</v>
      </c>
      <c r="H3249" s="23"/>
      <c r="I3249" s="23"/>
    </row>
    <row r="3250" spans="1:9">
      <c r="A3250" s="21" t="s">
        <v>8433</v>
      </c>
      <c r="B3250" s="21"/>
      <c r="C3250" s="22">
        <v>3179</v>
      </c>
      <c r="D3250" s="21">
        <v>23.41</v>
      </c>
      <c r="E3250" s="21" t="s">
        <v>5796</v>
      </c>
      <c r="F3250" s="23"/>
      <c r="G3250" s="23">
        <f t="shared" si="12"/>
        <v>23.41</v>
      </c>
      <c r="H3250" s="23"/>
      <c r="I3250" s="23"/>
    </row>
    <row r="3251" spans="1:9">
      <c r="A3251" s="21" t="s">
        <v>8434</v>
      </c>
      <c r="B3251" s="21"/>
      <c r="C3251" s="22">
        <v>3180</v>
      </c>
      <c r="D3251" s="21">
        <v>23.27</v>
      </c>
      <c r="E3251" s="21" t="s">
        <v>5796</v>
      </c>
      <c r="F3251" s="23"/>
      <c r="G3251" s="23">
        <f t="shared" si="12"/>
        <v>23.27</v>
      </c>
      <c r="H3251" s="23"/>
      <c r="I3251" s="23"/>
    </row>
    <row r="3252" spans="1:9">
      <c r="A3252" s="21" t="s">
        <v>8435</v>
      </c>
      <c r="B3252" s="21"/>
      <c r="C3252" s="22">
        <v>3181</v>
      </c>
      <c r="D3252" s="21">
        <v>23.25</v>
      </c>
      <c r="E3252" s="21" t="s">
        <v>5796</v>
      </c>
      <c r="F3252" s="23"/>
      <c r="G3252" s="23">
        <f t="shared" si="12"/>
        <v>23.25</v>
      </c>
      <c r="H3252" s="23"/>
      <c r="I3252" s="23"/>
    </row>
    <row r="3253" spans="1:9">
      <c r="A3253" s="21" t="s">
        <v>8436</v>
      </c>
      <c r="B3253" s="21"/>
      <c r="C3253" s="22">
        <v>3182</v>
      </c>
      <c r="D3253" s="21">
        <v>23.23</v>
      </c>
      <c r="E3253" s="21" t="s">
        <v>5796</v>
      </c>
      <c r="F3253" s="23"/>
      <c r="G3253" s="23">
        <f t="shared" si="12"/>
        <v>23.23</v>
      </c>
      <c r="H3253" s="23"/>
      <c r="I3253" s="23"/>
    </row>
    <row r="3254" spans="1:9">
      <c r="A3254" s="21" t="s">
        <v>8437</v>
      </c>
      <c r="B3254" s="21"/>
      <c r="C3254" s="22">
        <v>3183</v>
      </c>
      <c r="D3254" s="21">
        <v>23.22</v>
      </c>
      <c r="E3254" s="21" t="s">
        <v>5796</v>
      </c>
      <c r="F3254" s="23"/>
      <c r="G3254" s="23">
        <f t="shared" si="12"/>
        <v>23.22</v>
      </c>
      <c r="H3254" s="23"/>
      <c r="I3254" s="23"/>
    </row>
    <row r="3255" spans="1:9">
      <c r="A3255" s="21" t="s">
        <v>8438</v>
      </c>
      <c r="B3255" s="21"/>
      <c r="C3255" s="22">
        <v>3184</v>
      </c>
      <c r="D3255" s="21">
        <v>23.18</v>
      </c>
      <c r="E3255" s="21" t="s">
        <v>5796</v>
      </c>
      <c r="F3255" s="23"/>
      <c r="G3255" s="23">
        <f t="shared" si="12"/>
        <v>23.18</v>
      </c>
      <c r="H3255" s="23"/>
      <c r="I3255" s="23"/>
    </row>
    <row r="3256" spans="1:9">
      <c r="A3256" s="21" t="s">
        <v>8439</v>
      </c>
      <c r="B3256" s="21"/>
      <c r="C3256" s="22">
        <v>3185</v>
      </c>
      <c r="D3256" s="21">
        <v>23.14</v>
      </c>
      <c r="E3256" s="21" t="s">
        <v>5796</v>
      </c>
      <c r="F3256" s="23"/>
      <c r="G3256" s="23">
        <f t="shared" si="12"/>
        <v>23.14</v>
      </c>
      <c r="H3256" s="23"/>
      <c r="I3256" s="23"/>
    </row>
    <row r="3257" spans="1:9">
      <c r="A3257" s="21" t="s">
        <v>8440</v>
      </c>
      <c r="B3257" s="21"/>
      <c r="C3257" s="22">
        <v>3187</v>
      </c>
      <c r="D3257" s="21">
        <v>23.11</v>
      </c>
      <c r="E3257" s="21" t="s">
        <v>5796</v>
      </c>
      <c r="F3257" s="23"/>
      <c r="G3257" s="23">
        <f t="shared" si="12"/>
        <v>23.11</v>
      </c>
      <c r="H3257" s="23"/>
      <c r="I3257" s="23"/>
    </row>
    <row r="3258" spans="1:9">
      <c r="A3258" s="21" t="s">
        <v>8441</v>
      </c>
      <c r="B3258" s="21"/>
      <c r="C3258" s="22">
        <v>3188</v>
      </c>
      <c r="D3258" s="21">
        <v>23.09</v>
      </c>
      <c r="E3258" s="21" t="s">
        <v>5796</v>
      </c>
      <c r="F3258" s="23"/>
      <c r="G3258" s="23">
        <f t="shared" si="12"/>
        <v>23.09</v>
      </c>
      <c r="H3258" s="23"/>
      <c r="I3258" s="23"/>
    </row>
    <row r="3259" spans="1:9">
      <c r="A3259" s="21" t="s">
        <v>8442</v>
      </c>
      <c r="B3259" s="21"/>
      <c r="C3259" s="22">
        <v>3190</v>
      </c>
      <c r="D3259" s="21">
        <v>23.04</v>
      </c>
      <c r="E3259" s="21" t="s">
        <v>5796</v>
      </c>
      <c r="F3259" s="23"/>
      <c r="G3259" s="23">
        <f t="shared" si="12"/>
        <v>23.04</v>
      </c>
      <c r="H3259" s="23"/>
      <c r="I3259" s="23"/>
    </row>
    <row r="3260" spans="1:9">
      <c r="A3260" s="21" t="s">
        <v>8443</v>
      </c>
      <c r="B3260" s="21"/>
      <c r="C3260" s="22">
        <v>3191</v>
      </c>
      <c r="D3260" s="21">
        <v>23.03</v>
      </c>
      <c r="E3260" s="21" t="s">
        <v>5796</v>
      </c>
      <c r="F3260" s="23"/>
      <c r="G3260" s="23">
        <f t="shared" si="12"/>
        <v>23.03</v>
      </c>
      <c r="H3260" s="23"/>
      <c r="I3260" s="23"/>
    </row>
    <row r="3261" spans="1:9">
      <c r="A3261" s="21" t="s">
        <v>8444</v>
      </c>
      <c r="B3261" s="21"/>
      <c r="C3261" s="22">
        <v>3192</v>
      </c>
      <c r="D3261" s="21">
        <v>23.03</v>
      </c>
      <c r="E3261" s="21" t="s">
        <v>5796</v>
      </c>
      <c r="F3261" s="23"/>
      <c r="G3261" s="23">
        <f t="shared" si="12"/>
        <v>23.03</v>
      </c>
      <c r="H3261" s="23"/>
      <c r="I3261" s="23"/>
    </row>
    <row r="3262" spans="1:9">
      <c r="A3262" s="21" t="s">
        <v>8445</v>
      </c>
      <c r="B3262" s="21"/>
      <c r="C3262" s="22">
        <v>3194</v>
      </c>
      <c r="D3262" s="21">
        <v>22.96</v>
      </c>
      <c r="E3262" s="21" t="s">
        <v>5796</v>
      </c>
      <c r="F3262" s="23"/>
      <c r="G3262" s="23">
        <f t="shared" si="12"/>
        <v>22.96</v>
      </c>
      <c r="H3262" s="23"/>
      <c r="I3262" s="23"/>
    </row>
    <row r="3263" spans="1:9">
      <c r="A3263" s="21" t="s">
        <v>8446</v>
      </c>
      <c r="B3263" s="21"/>
      <c r="C3263" s="22">
        <v>3195</v>
      </c>
      <c r="D3263" s="21">
        <v>22.91</v>
      </c>
      <c r="E3263" s="21" t="s">
        <v>5796</v>
      </c>
      <c r="F3263" s="23"/>
      <c r="G3263" s="23">
        <f t="shared" si="12"/>
        <v>22.91</v>
      </c>
      <c r="H3263" s="23"/>
      <c r="I3263" s="23"/>
    </row>
    <row r="3264" spans="1:9">
      <c r="A3264" s="21" t="s">
        <v>8447</v>
      </c>
      <c r="B3264" s="21"/>
      <c r="C3264" s="22">
        <v>3196</v>
      </c>
      <c r="D3264" s="21">
        <v>22.88</v>
      </c>
      <c r="E3264" s="21" t="s">
        <v>5796</v>
      </c>
      <c r="F3264" s="23"/>
      <c r="G3264" s="23">
        <f t="shared" si="12"/>
        <v>22.88</v>
      </c>
      <c r="H3264" s="23"/>
      <c r="I3264" s="23"/>
    </row>
    <row r="3265" spans="1:9">
      <c r="A3265" s="21" t="s">
        <v>8448</v>
      </c>
      <c r="B3265" s="21"/>
      <c r="C3265" s="22">
        <v>3197</v>
      </c>
      <c r="D3265" s="21">
        <v>22.72</v>
      </c>
      <c r="E3265" s="21" t="s">
        <v>5796</v>
      </c>
      <c r="F3265" s="23"/>
      <c r="G3265" s="23">
        <f t="shared" si="12"/>
        <v>22.72</v>
      </c>
      <c r="H3265" s="23"/>
      <c r="I3265" s="23"/>
    </row>
    <row r="3266" spans="1:9">
      <c r="A3266" s="21" t="s">
        <v>8449</v>
      </c>
      <c r="B3266" s="21"/>
      <c r="C3266" s="22">
        <v>3199</v>
      </c>
      <c r="D3266" s="21">
        <v>22.57</v>
      </c>
      <c r="E3266" s="21" t="s">
        <v>5796</v>
      </c>
      <c r="F3266" s="23"/>
      <c r="G3266" s="23">
        <f t="shared" si="12"/>
        <v>22.57</v>
      </c>
      <c r="H3266" s="23"/>
      <c r="I3266" s="23"/>
    </row>
    <row r="3267" spans="1:9">
      <c r="A3267" s="21" t="s">
        <v>8450</v>
      </c>
      <c r="B3267" s="21"/>
      <c r="C3267" s="22">
        <v>3200</v>
      </c>
      <c r="D3267" s="21">
        <v>22.55</v>
      </c>
      <c r="E3267" s="21" t="s">
        <v>5796</v>
      </c>
      <c r="F3267" s="23"/>
      <c r="G3267" s="23">
        <f t="shared" si="12"/>
        <v>22.55</v>
      </c>
      <c r="H3267" s="23"/>
      <c r="I3267" s="23"/>
    </row>
    <row r="3268" spans="1:9">
      <c r="A3268" s="21" t="s">
        <v>8451</v>
      </c>
      <c r="B3268" s="21"/>
      <c r="C3268" s="22">
        <v>3201</v>
      </c>
      <c r="D3268" s="21">
        <v>22.5</v>
      </c>
      <c r="E3268" s="21" t="s">
        <v>5796</v>
      </c>
      <c r="F3268" s="23"/>
      <c r="G3268" s="23">
        <f t="shared" si="12"/>
        <v>22.5</v>
      </c>
      <c r="H3268" s="23"/>
      <c r="I3268" s="23"/>
    </row>
    <row r="3269" spans="1:9">
      <c r="A3269" s="21" t="s">
        <v>8452</v>
      </c>
      <c r="B3269" s="21"/>
      <c r="C3269" s="22">
        <v>3203</v>
      </c>
      <c r="D3269" s="21">
        <v>22.47</v>
      </c>
      <c r="E3269" s="21" t="s">
        <v>5796</v>
      </c>
      <c r="F3269" s="23"/>
      <c r="G3269" s="23">
        <f t="shared" si="12"/>
        <v>22.47</v>
      </c>
      <c r="H3269" s="23"/>
      <c r="I3269" s="23"/>
    </row>
    <row r="3270" spans="1:9">
      <c r="A3270" s="21" t="s">
        <v>8453</v>
      </c>
      <c r="B3270" s="21"/>
      <c r="C3270" s="22">
        <v>3204</v>
      </c>
      <c r="D3270" s="21">
        <v>22.46</v>
      </c>
      <c r="E3270" s="21" t="s">
        <v>5796</v>
      </c>
      <c r="F3270" s="23"/>
      <c r="G3270" s="23">
        <f t="shared" si="12"/>
        <v>22.46</v>
      </c>
      <c r="H3270" s="23"/>
      <c r="I3270" s="23"/>
    </row>
    <row r="3271" spans="1:9">
      <c r="A3271" s="21" t="s">
        <v>8454</v>
      </c>
      <c r="B3271" s="21"/>
      <c r="C3271" s="22">
        <v>3205</v>
      </c>
      <c r="D3271" s="21">
        <v>22.44</v>
      </c>
      <c r="E3271" s="21" t="s">
        <v>5796</v>
      </c>
      <c r="F3271" s="23"/>
      <c r="G3271" s="23">
        <f t="shared" si="12"/>
        <v>22.44</v>
      </c>
      <c r="H3271" s="23"/>
      <c r="I3271" s="23"/>
    </row>
    <row r="3272" spans="1:9">
      <c r="A3272" s="21" t="s">
        <v>8455</v>
      </c>
      <c r="B3272" s="21"/>
      <c r="C3272" s="22">
        <v>3206</v>
      </c>
      <c r="D3272" s="21">
        <v>22.39</v>
      </c>
      <c r="E3272" s="21" t="s">
        <v>5796</v>
      </c>
      <c r="F3272" s="23"/>
      <c r="G3272" s="23">
        <f t="shared" si="12"/>
        <v>22.39</v>
      </c>
      <c r="H3272" s="23"/>
      <c r="I3272" s="23"/>
    </row>
    <row r="3273" spans="1:9">
      <c r="A3273" s="21" t="s">
        <v>8456</v>
      </c>
      <c r="B3273" s="21"/>
      <c r="C3273" s="22">
        <v>3207</v>
      </c>
      <c r="D3273" s="21">
        <v>22.36</v>
      </c>
      <c r="E3273" s="21" t="s">
        <v>5796</v>
      </c>
      <c r="F3273" s="23"/>
      <c r="G3273" s="23">
        <f t="shared" si="12"/>
        <v>22.36</v>
      </c>
      <c r="H3273" s="23"/>
      <c r="I3273" s="23"/>
    </row>
    <row r="3274" spans="1:9">
      <c r="A3274" s="21" t="s">
        <v>8457</v>
      </c>
      <c r="B3274" s="21"/>
      <c r="C3274" s="22">
        <v>3208</v>
      </c>
      <c r="D3274" s="21">
        <v>22.33</v>
      </c>
      <c r="E3274" s="21" t="s">
        <v>5796</v>
      </c>
      <c r="F3274" s="23"/>
      <c r="G3274" s="23">
        <f t="shared" si="12"/>
        <v>22.33</v>
      </c>
      <c r="H3274" s="23"/>
      <c r="I3274" s="23"/>
    </row>
    <row r="3275" spans="1:9">
      <c r="A3275" s="21" t="s">
        <v>8458</v>
      </c>
      <c r="B3275" s="21"/>
      <c r="C3275" s="22">
        <v>3210</v>
      </c>
      <c r="D3275" s="21">
        <v>22.27</v>
      </c>
      <c r="E3275" s="21" t="s">
        <v>5796</v>
      </c>
      <c r="F3275" s="23"/>
      <c r="G3275" s="23">
        <f t="shared" si="12"/>
        <v>22.27</v>
      </c>
      <c r="H3275" s="23"/>
      <c r="I3275" s="23"/>
    </row>
    <row r="3276" spans="1:9">
      <c r="A3276" s="21" t="s">
        <v>8459</v>
      </c>
      <c r="B3276" s="21"/>
      <c r="C3276" s="22">
        <v>3211</v>
      </c>
      <c r="D3276" s="21">
        <v>22.25</v>
      </c>
      <c r="E3276" s="21" t="s">
        <v>5796</v>
      </c>
      <c r="F3276" s="23"/>
      <c r="G3276" s="23">
        <f t="shared" si="12"/>
        <v>22.25</v>
      </c>
      <c r="H3276" s="23"/>
      <c r="I3276" s="23"/>
    </row>
    <row r="3277" spans="1:9">
      <c r="A3277" s="21" t="s">
        <v>8460</v>
      </c>
      <c r="B3277" s="21"/>
      <c r="C3277" s="22">
        <v>3212</v>
      </c>
      <c r="D3277" s="21">
        <v>22.2</v>
      </c>
      <c r="E3277" s="21" t="s">
        <v>5796</v>
      </c>
      <c r="F3277" s="23"/>
      <c r="G3277" s="23">
        <f t="shared" si="12"/>
        <v>22.2</v>
      </c>
      <c r="H3277" s="23"/>
      <c r="I3277" s="23"/>
    </row>
    <row r="3278" spans="1:9">
      <c r="A3278" s="21" t="s">
        <v>8461</v>
      </c>
      <c r="B3278" s="21"/>
      <c r="C3278" s="22">
        <v>3213</v>
      </c>
      <c r="D3278" s="21">
        <v>22.17</v>
      </c>
      <c r="E3278" s="21" t="s">
        <v>5796</v>
      </c>
      <c r="F3278" s="23"/>
      <c r="G3278" s="23">
        <f t="shared" si="12"/>
        <v>22.17</v>
      </c>
      <c r="H3278" s="23"/>
      <c r="I3278" s="23"/>
    </row>
    <row r="3279" spans="1:9">
      <c r="A3279" s="21" t="s">
        <v>8462</v>
      </c>
      <c r="B3279" s="21"/>
      <c r="C3279" s="22">
        <v>3214</v>
      </c>
      <c r="D3279" s="21">
        <v>22.06</v>
      </c>
      <c r="E3279" s="21" t="s">
        <v>5796</v>
      </c>
      <c r="F3279" s="23"/>
      <c r="G3279" s="23">
        <f t="shared" si="12"/>
        <v>22.06</v>
      </c>
      <c r="H3279" s="23"/>
      <c r="I3279" s="23"/>
    </row>
    <row r="3280" spans="1:9">
      <c r="A3280" s="21" t="s">
        <v>8463</v>
      </c>
      <c r="B3280" s="21"/>
      <c r="C3280" s="22">
        <v>3216</v>
      </c>
      <c r="D3280" s="21">
        <v>22.03</v>
      </c>
      <c r="E3280" s="21" t="s">
        <v>5796</v>
      </c>
      <c r="F3280" s="23"/>
      <c r="G3280" s="23">
        <f t="shared" si="12"/>
        <v>22.03</v>
      </c>
      <c r="H3280" s="23"/>
      <c r="I3280" s="23"/>
    </row>
    <row r="3281" spans="1:9">
      <c r="A3281" s="21" t="s">
        <v>8464</v>
      </c>
      <c r="B3281" s="21"/>
      <c r="C3281" s="22">
        <v>3217</v>
      </c>
      <c r="D3281" s="21">
        <v>22.02</v>
      </c>
      <c r="E3281" s="21" t="s">
        <v>5796</v>
      </c>
      <c r="F3281" s="23"/>
      <c r="G3281" s="23">
        <f t="shared" si="12"/>
        <v>22.02</v>
      </c>
      <c r="H3281" s="23"/>
      <c r="I3281" s="23"/>
    </row>
    <row r="3282" spans="1:9">
      <c r="A3282" s="21" t="s">
        <v>8465</v>
      </c>
      <c r="B3282" s="21"/>
      <c r="C3282" s="22">
        <v>3218</v>
      </c>
      <c r="D3282" s="21">
        <v>21.99</v>
      </c>
      <c r="E3282" s="21" t="s">
        <v>5796</v>
      </c>
      <c r="F3282" s="23"/>
      <c r="G3282" s="23">
        <f t="shared" si="12"/>
        <v>21.99</v>
      </c>
      <c r="H3282" s="23"/>
      <c r="I3282" s="23"/>
    </row>
    <row r="3283" spans="1:9">
      <c r="A3283" s="21" t="s">
        <v>8466</v>
      </c>
      <c r="B3283" s="21"/>
      <c r="C3283" s="22">
        <v>3219</v>
      </c>
      <c r="D3283" s="21">
        <v>21.92</v>
      </c>
      <c r="E3283" s="21" t="s">
        <v>5796</v>
      </c>
      <c r="F3283" s="23"/>
      <c r="G3283" s="23">
        <f t="shared" si="12"/>
        <v>21.92</v>
      </c>
      <c r="H3283" s="23"/>
      <c r="I3283" s="23"/>
    </row>
    <row r="3284" spans="1:9">
      <c r="A3284" s="21" t="s">
        <v>8467</v>
      </c>
      <c r="B3284" s="21"/>
      <c r="C3284" s="22">
        <v>3220</v>
      </c>
      <c r="D3284" s="21">
        <v>21.88</v>
      </c>
      <c r="E3284" s="21" t="s">
        <v>5796</v>
      </c>
      <c r="F3284" s="23"/>
      <c r="G3284" s="23">
        <f t="shared" si="12"/>
        <v>21.88</v>
      </c>
      <c r="H3284" s="23"/>
      <c r="I3284" s="23"/>
    </row>
    <row r="3285" spans="1:9">
      <c r="A3285" s="21" t="s">
        <v>8468</v>
      </c>
      <c r="B3285" s="21"/>
      <c r="C3285" s="22">
        <v>3221</v>
      </c>
      <c r="D3285" s="21">
        <v>21.81</v>
      </c>
      <c r="E3285" s="21" t="s">
        <v>5796</v>
      </c>
      <c r="F3285" s="23"/>
      <c r="G3285" s="23">
        <f t="shared" si="12"/>
        <v>21.81</v>
      </c>
      <c r="H3285" s="23"/>
      <c r="I3285" s="23"/>
    </row>
    <row r="3286" spans="1:9">
      <c r="A3286" s="21" t="s">
        <v>8469</v>
      </c>
      <c r="B3286" s="21"/>
      <c r="C3286" s="22">
        <v>3222</v>
      </c>
      <c r="D3286" s="21">
        <v>21.75</v>
      </c>
      <c r="E3286" s="21" t="s">
        <v>5796</v>
      </c>
      <c r="F3286" s="23"/>
      <c r="G3286" s="23">
        <f t="shared" si="12"/>
        <v>21.75</v>
      </c>
      <c r="H3286" s="23"/>
      <c r="I3286" s="23"/>
    </row>
    <row r="3287" spans="1:9">
      <c r="A3287" s="21" t="s">
        <v>8470</v>
      </c>
      <c r="B3287" s="21"/>
      <c r="C3287" s="22">
        <v>3223</v>
      </c>
      <c r="D3287" s="21">
        <v>21.75</v>
      </c>
      <c r="E3287" s="21" t="s">
        <v>5796</v>
      </c>
      <c r="F3287" s="23"/>
      <c r="G3287" s="23">
        <f t="shared" si="12"/>
        <v>21.75</v>
      </c>
      <c r="H3287" s="23"/>
      <c r="I3287" s="23"/>
    </row>
    <row r="3288" spans="1:9">
      <c r="A3288" s="21" t="s">
        <v>8471</v>
      </c>
      <c r="B3288" s="21"/>
      <c r="C3288" s="22">
        <v>3224</v>
      </c>
      <c r="D3288" s="21">
        <v>21.75</v>
      </c>
      <c r="E3288" s="21" t="s">
        <v>5796</v>
      </c>
      <c r="F3288" s="23"/>
      <c r="G3288" s="23">
        <f t="shared" si="12"/>
        <v>21.75</v>
      </c>
      <c r="H3288" s="23"/>
      <c r="I3288" s="23"/>
    </row>
    <row r="3289" spans="1:9">
      <c r="A3289" s="21" t="s">
        <v>8472</v>
      </c>
      <c r="B3289" s="21"/>
      <c r="C3289" s="22">
        <v>3226</v>
      </c>
      <c r="D3289" s="21">
        <v>21.57</v>
      </c>
      <c r="E3289" s="21" t="s">
        <v>5796</v>
      </c>
      <c r="F3289" s="23"/>
      <c r="G3289" s="23">
        <f t="shared" si="12"/>
        <v>21.57</v>
      </c>
      <c r="H3289" s="23"/>
      <c r="I3289" s="23"/>
    </row>
    <row r="3290" spans="1:9">
      <c r="A3290" s="21" t="s">
        <v>8473</v>
      </c>
      <c r="B3290" s="21"/>
      <c r="C3290" s="22">
        <v>3227</v>
      </c>
      <c r="D3290" s="21">
        <v>21.55</v>
      </c>
      <c r="E3290" s="21" t="s">
        <v>5796</v>
      </c>
      <c r="F3290" s="23"/>
      <c r="G3290" s="23">
        <f t="shared" si="12"/>
        <v>21.55</v>
      </c>
      <c r="H3290" s="23"/>
      <c r="I3290" s="23"/>
    </row>
    <row r="3291" spans="1:9">
      <c r="A3291" s="21" t="s">
        <v>8474</v>
      </c>
      <c r="B3291" s="21"/>
      <c r="C3291" s="22">
        <v>3228</v>
      </c>
      <c r="D3291" s="21">
        <v>21.53</v>
      </c>
      <c r="E3291" s="21" t="s">
        <v>5796</v>
      </c>
      <c r="F3291" s="23"/>
      <c r="G3291" s="23">
        <f t="shared" si="12"/>
        <v>21.53</v>
      </c>
      <c r="H3291" s="23"/>
      <c r="I3291" s="23"/>
    </row>
    <row r="3292" spans="1:9">
      <c r="A3292" s="21" t="s">
        <v>8475</v>
      </c>
      <c r="B3292" s="21"/>
      <c r="C3292" s="22">
        <v>3229</v>
      </c>
      <c r="D3292" s="21">
        <v>21.47</v>
      </c>
      <c r="E3292" s="21" t="s">
        <v>5796</v>
      </c>
      <c r="F3292" s="23"/>
      <c r="G3292" s="23">
        <f t="shared" si="12"/>
        <v>21.47</v>
      </c>
      <c r="H3292" s="23"/>
      <c r="I3292" s="23"/>
    </row>
    <row r="3293" spans="1:9">
      <c r="A3293" s="21" t="s">
        <v>8476</v>
      </c>
      <c r="B3293" s="21"/>
      <c r="C3293" s="22">
        <v>3230</v>
      </c>
      <c r="D3293" s="21">
        <v>21.47</v>
      </c>
      <c r="E3293" s="21" t="s">
        <v>5796</v>
      </c>
      <c r="F3293" s="23"/>
      <c r="G3293" s="23">
        <f t="shared" si="12"/>
        <v>21.47</v>
      </c>
      <c r="H3293" s="23"/>
      <c r="I3293" s="23"/>
    </row>
    <row r="3294" spans="1:9">
      <c r="A3294" s="21" t="s">
        <v>8477</v>
      </c>
      <c r="B3294" s="21"/>
      <c r="C3294" s="22">
        <v>3231</v>
      </c>
      <c r="D3294" s="21">
        <v>21.43</v>
      </c>
      <c r="E3294" s="21" t="s">
        <v>5796</v>
      </c>
      <c r="F3294" s="23"/>
      <c r="G3294" s="23">
        <f t="shared" si="12"/>
        <v>21.43</v>
      </c>
      <c r="H3294" s="23"/>
      <c r="I3294" s="23"/>
    </row>
    <row r="3295" spans="1:9">
      <c r="A3295" s="21" t="s">
        <v>8478</v>
      </c>
      <c r="B3295" s="21"/>
      <c r="C3295" s="22">
        <v>3232</v>
      </c>
      <c r="D3295" s="21">
        <v>21.42</v>
      </c>
      <c r="E3295" s="21" t="s">
        <v>5796</v>
      </c>
      <c r="F3295" s="23"/>
      <c r="G3295" s="23">
        <f t="shared" si="12"/>
        <v>21.42</v>
      </c>
      <c r="H3295" s="23"/>
      <c r="I3295" s="23"/>
    </row>
    <row r="3296" spans="1:9">
      <c r="A3296" s="21" t="s">
        <v>8479</v>
      </c>
      <c r="B3296" s="21"/>
      <c r="C3296" s="22">
        <v>3233</v>
      </c>
      <c r="D3296" s="21">
        <v>21.4</v>
      </c>
      <c r="E3296" s="21" t="s">
        <v>5796</v>
      </c>
      <c r="F3296" s="23"/>
      <c r="G3296" s="23">
        <f t="shared" si="12"/>
        <v>21.4</v>
      </c>
      <c r="H3296" s="23"/>
      <c r="I3296" s="23"/>
    </row>
    <row r="3297" spans="1:9">
      <c r="A3297" s="21" t="s">
        <v>8480</v>
      </c>
      <c r="B3297" s="21"/>
      <c r="C3297" s="22">
        <v>3234</v>
      </c>
      <c r="D3297" s="21">
        <v>21.36</v>
      </c>
      <c r="E3297" s="21" t="s">
        <v>5796</v>
      </c>
      <c r="F3297" s="23"/>
      <c r="G3297" s="23">
        <f t="shared" si="12"/>
        <v>21.36</v>
      </c>
      <c r="H3297" s="23"/>
      <c r="I3297" s="23"/>
    </row>
    <row r="3298" spans="1:9">
      <c r="A3298" s="21" t="s">
        <v>8481</v>
      </c>
      <c r="B3298" s="21"/>
      <c r="C3298" s="22">
        <v>3235</v>
      </c>
      <c r="D3298" s="21">
        <v>21.36</v>
      </c>
      <c r="E3298" s="21" t="s">
        <v>5796</v>
      </c>
      <c r="F3298" s="23"/>
      <c r="G3298" s="23">
        <f t="shared" si="12"/>
        <v>21.36</v>
      </c>
      <c r="H3298" s="23"/>
      <c r="I3298" s="23"/>
    </row>
    <row r="3299" spans="1:9">
      <c r="A3299" s="21" t="s">
        <v>8482</v>
      </c>
      <c r="B3299" s="21"/>
      <c r="C3299" s="22">
        <v>3236</v>
      </c>
      <c r="D3299" s="21">
        <v>21.35</v>
      </c>
      <c r="E3299" s="21" t="s">
        <v>5796</v>
      </c>
      <c r="F3299" s="23"/>
      <c r="G3299" s="23">
        <f t="shared" si="12"/>
        <v>21.35</v>
      </c>
      <c r="H3299" s="23"/>
      <c r="I3299" s="23"/>
    </row>
    <row r="3300" spans="1:9">
      <c r="A3300" s="21" t="s">
        <v>8483</v>
      </c>
      <c r="B3300" s="21"/>
      <c r="C3300" s="22">
        <v>3238</v>
      </c>
      <c r="D3300" s="21">
        <v>21.32</v>
      </c>
      <c r="E3300" s="21" t="s">
        <v>5796</v>
      </c>
      <c r="F3300" s="23"/>
      <c r="G3300" s="23">
        <f t="shared" si="12"/>
        <v>21.32</v>
      </c>
      <c r="H3300" s="23"/>
      <c r="I3300" s="23"/>
    </row>
    <row r="3301" spans="1:9">
      <c r="A3301" s="21" t="s">
        <v>8484</v>
      </c>
      <c r="B3301" s="21"/>
      <c r="C3301" s="22">
        <v>3239</v>
      </c>
      <c r="D3301" s="21">
        <v>21.29</v>
      </c>
      <c r="E3301" s="21" t="s">
        <v>5796</v>
      </c>
      <c r="F3301" s="23"/>
      <c r="G3301" s="23">
        <f t="shared" si="12"/>
        <v>21.29</v>
      </c>
      <c r="H3301" s="23"/>
      <c r="I3301" s="23"/>
    </row>
    <row r="3302" spans="1:9">
      <c r="A3302" s="21" t="s">
        <v>8485</v>
      </c>
      <c r="B3302" s="21"/>
      <c r="C3302" s="22">
        <v>3240</v>
      </c>
      <c r="D3302" s="21">
        <v>21.28</v>
      </c>
      <c r="E3302" s="21" t="s">
        <v>5796</v>
      </c>
      <c r="F3302" s="23"/>
      <c r="G3302" s="23">
        <f t="shared" si="12"/>
        <v>21.28</v>
      </c>
      <c r="H3302" s="23"/>
      <c r="I3302" s="23"/>
    </row>
    <row r="3303" spans="1:9">
      <c r="A3303" s="21" t="s">
        <v>8486</v>
      </c>
      <c r="B3303" s="21"/>
      <c r="C3303" s="22">
        <v>3241</v>
      </c>
      <c r="D3303" s="21">
        <v>21.28</v>
      </c>
      <c r="E3303" s="21" t="s">
        <v>5796</v>
      </c>
      <c r="F3303" s="23"/>
      <c r="G3303" s="23">
        <f t="shared" si="12"/>
        <v>21.28</v>
      </c>
      <c r="H3303" s="23"/>
      <c r="I3303" s="23"/>
    </row>
    <row r="3304" spans="1:9">
      <c r="A3304" s="21" t="s">
        <v>8487</v>
      </c>
      <c r="B3304" s="21"/>
      <c r="C3304" s="22">
        <v>3242</v>
      </c>
      <c r="D3304" s="21">
        <v>21.21</v>
      </c>
      <c r="E3304" s="21" t="s">
        <v>5796</v>
      </c>
      <c r="F3304" s="23"/>
      <c r="G3304" s="23">
        <f t="shared" si="12"/>
        <v>21.21</v>
      </c>
      <c r="H3304" s="23"/>
      <c r="I3304" s="23"/>
    </row>
    <row r="3305" spans="1:9">
      <c r="A3305" s="21" t="s">
        <v>8488</v>
      </c>
      <c r="B3305" s="21"/>
      <c r="C3305" s="22">
        <v>3243</v>
      </c>
      <c r="D3305" s="21">
        <v>21.13</v>
      </c>
      <c r="E3305" s="21" t="s">
        <v>5796</v>
      </c>
      <c r="F3305" s="23"/>
      <c r="G3305" s="23">
        <f t="shared" si="12"/>
        <v>21.13</v>
      </c>
      <c r="H3305" s="23"/>
      <c r="I3305" s="23"/>
    </row>
    <row r="3306" spans="1:9">
      <c r="A3306" s="21" t="s">
        <v>8489</v>
      </c>
      <c r="B3306" s="21"/>
      <c r="C3306" s="22">
        <v>3244</v>
      </c>
      <c r="D3306" s="21">
        <v>21.06</v>
      </c>
      <c r="E3306" s="21" t="s">
        <v>5796</v>
      </c>
      <c r="F3306" s="23"/>
      <c r="G3306" s="23">
        <f t="shared" si="12"/>
        <v>21.06</v>
      </c>
      <c r="H3306" s="23"/>
      <c r="I3306" s="23"/>
    </row>
    <row r="3307" spans="1:9">
      <c r="A3307" s="21" t="s">
        <v>8490</v>
      </c>
      <c r="B3307" s="21"/>
      <c r="C3307" s="22">
        <v>3246</v>
      </c>
      <c r="D3307" s="21">
        <v>21.04</v>
      </c>
      <c r="E3307" s="21" t="s">
        <v>5796</v>
      </c>
      <c r="F3307" s="23"/>
      <c r="G3307" s="23">
        <f t="shared" si="12"/>
        <v>21.04</v>
      </c>
      <c r="H3307" s="23"/>
      <c r="I3307" s="23"/>
    </row>
    <row r="3308" spans="1:9">
      <c r="A3308" s="21" t="s">
        <v>8491</v>
      </c>
      <c r="B3308" s="21"/>
      <c r="C3308" s="22">
        <v>3247</v>
      </c>
      <c r="D3308" s="21">
        <v>21.03</v>
      </c>
      <c r="E3308" s="21" t="s">
        <v>5796</v>
      </c>
      <c r="F3308" s="23"/>
      <c r="G3308" s="23">
        <f t="shared" si="12"/>
        <v>21.03</v>
      </c>
      <c r="H3308" s="23"/>
      <c r="I3308" s="23"/>
    </row>
    <row r="3309" spans="1:9">
      <c r="A3309" s="21" t="s">
        <v>8492</v>
      </c>
      <c r="B3309" s="21"/>
      <c r="C3309" s="22">
        <v>3248</v>
      </c>
      <c r="D3309" s="21">
        <v>21.03</v>
      </c>
      <c r="E3309" s="21" t="s">
        <v>5796</v>
      </c>
      <c r="F3309" s="23"/>
      <c r="G3309" s="23">
        <f t="shared" si="12"/>
        <v>21.03</v>
      </c>
      <c r="H3309" s="23"/>
      <c r="I3309" s="23"/>
    </row>
    <row r="3310" spans="1:9">
      <c r="A3310" s="21" t="s">
        <v>8493</v>
      </c>
      <c r="B3310" s="21"/>
      <c r="C3310" s="22">
        <v>3251</v>
      </c>
      <c r="D3310" s="21">
        <v>20.9</v>
      </c>
      <c r="E3310" s="21" t="s">
        <v>5796</v>
      </c>
      <c r="F3310" s="23"/>
      <c r="G3310" s="23">
        <f t="shared" si="12"/>
        <v>20.9</v>
      </c>
      <c r="H3310" s="23"/>
      <c r="I3310" s="23"/>
    </row>
    <row r="3311" spans="1:9">
      <c r="A3311" s="21" t="s">
        <v>8494</v>
      </c>
      <c r="B3311" s="21"/>
      <c r="C3311" s="22">
        <v>3252</v>
      </c>
      <c r="D3311" s="21">
        <v>20.88</v>
      </c>
      <c r="E3311" s="21" t="s">
        <v>5796</v>
      </c>
      <c r="F3311" s="23"/>
      <c r="G3311" s="23">
        <f t="shared" si="12"/>
        <v>20.88</v>
      </c>
      <c r="H3311" s="23"/>
      <c r="I3311" s="23"/>
    </row>
    <row r="3312" spans="1:9">
      <c r="A3312" s="21" t="s">
        <v>8495</v>
      </c>
      <c r="B3312" s="21"/>
      <c r="C3312" s="22">
        <v>3253</v>
      </c>
      <c r="D3312" s="21">
        <v>20.88</v>
      </c>
      <c r="E3312" s="21" t="s">
        <v>5796</v>
      </c>
      <c r="F3312" s="23"/>
      <c r="G3312" s="23">
        <f t="shared" si="12"/>
        <v>20.88</v>
      </c>
      <c r="H3312" s="23"/>
      <c r="I3312" s="23"/>
    </row>
    <row r="3313" spans="1:9">
      <c r="A3313" s="21" t="s">
        <v>8496</v>
      </c>
      <c r="B3313" s="21"/>
      <c r="C3313" s="22">
        <v>3254</v>
      </c>
      <c r="D3313" s="21">
        <v>20.85</v>
      </c>
      <c r="E3313" s="21" t="s">
        <v>5796</v>
      </c>
      <c r="F3313" s="23"/>
      <c r="G3313" s="23">
        <f t="shared" si="12"/>
        <v>20.85</v>
      </c>
      <c r="H3313" s="23"/>
      <c r="I3313" s="23"/>
    </row>
    <row r="3314" spans="1:9">
      <c r="A3314" s="21" t="s">
        <v>8497</v>
      </c>
      <c r="B3314" s="21"/>
      <c r="C3314" s="22">
        <v>3255</v>
      </c>
      <c r="D3314" s="21">
        <v>20.73</v>
      </c>
      <c r="E3314" s="21" t="s">
        <v>5796</v>
      </c>
      <c r="F3314" s="23"/>
      <c r="G3314" s="23">
        <f t="shared" si="12"/>
        <v>20.73</v>
      </c>
      <c r="H3314" s="23"/>
      <c r="I3314" s="23"/>
    </row>
    <row r="3315" spans="1:9">
      <c r="A3315" s="21" t="s">
        <v>8498</v>
      </c>
      <c r="B3315" s="21"/>
      <c r="C3315" s="22">
        <v>3256</v>
      </c>
      <c r="D3315" s="21">
        <v>20.72</v>
      </c>
      <c r="E3315" s="21" t="s">
        <v>5796</v>
      </c>
      <c r="F3315" s="23"/>
      <c r="G3315" s="23">
        <f t="shared" si="12"/>
        <v>20.72</v>
      </c>
      <c r="H3315" s="23"/>
      <c r="I3315" s="23"/>
    </row>
    <row r="3316" spans="1:9">
      <c r="A3316" s="21" t="s">
        <v>8499</v>
      </c>
      <c r="B3316" s="21"/>
      <c r="C3316" s="22">
        <v>3257</v>
      </c>
      <c r="D3316" s="21">
        <v>20.72</v>
      </c>
      <c r="E3316" s="21" t="s">
        <v>5796</v>
      </c>
      <c r="F3316" s="23"/>
      <c r="G3316" s="23">
        <f t="shared" si="12"/>
        <v>20.72</v>
      </c>
      <c r="H3316" s="23"/>
      <c r="I3316" s="23"/>
    </row>
    <row r="3317" spans="1:9">
      <c r="A3317" s="21" t="s">
        <v>8500</v>
      </c>
      <c r="B3317" s="21"/>
      <c r="C3317" s="22">
        <v>3258</v>
      </c>
      <c r="D3317" s="21">
        <v>20.71</v>
      </c>
      <c r="E3317" s="21" t="s">
        <v>5796</v>
      </c>
      <c r="F3317" s="23"/>
      <c r="G3317" s="23">
        <f t="shared" si="12"/>
        <v>20.71</v>
      </c>
      <c r="H3317" s="23"/>
      <c r="I3317" s="23"/>
    </row>
    <row r="3318" spans="1:9">
      <c r="A3318" s="21" t="s">
        <v>8501</v>
      </c>
      <c r="B3318" s="21"/>
      <c r="C3318" s="22">
        <v>3259</v>
      </c>
      <c r="D3318" s="21">
        <v>20.71</v>
      </c>
      <c r="E3318" s="21" t="s">
        <v>5796</v>
      </c>
      <c r="F3318" s="23"/>
      <c r="G3318" s="23">
        <f t="shared" ref="G3318:G3572" si="13">VALUE(SUBSTITUTE(D3318, ",", ""))</f>
        <v>20.71</v>
      </c>
      <c r="H3318" s="23"/>
      <c r="I3318" s="23"/>
    </row>
    <row r="3319" spans="1:9">
      <c r="A3319" s="21" t="s">
        <v>8502</v>
      </c>
      <c r="B3319" s="21"/>
      <c r="C3319" s="22">
        <v>3260</v>
      </c>
      <c r="D3319" s="21">
        <v>20.7</v>
      </c>
      <c r="E3319" s="21" t="s">
        <v>5796</v>
      </c>
      <c r="F3319" s="23"/>
      <c r="G3319" s="23">
        <f t="shared" si="13"/>
        <v>20.7</v>
      </c>
      <c r="H3319" s="23"/>
      <c r="I3319" s="23"/>
    </row>
    <row r="3320" spans="1:9">
      <c r="A3320" s="21" t="s">
        <v>8503</v>
      </c>
      <c r="B3320" s="21"/>
      <c r="C3320" s="22">
        <v>3261</v>
      </c>
      <c r="D3320" s="21">
        <v>20.7</v>
      </c>
      <c r="E3320" s="21" t="s">
        <v>5796</v>
      </c>
      <c r="F3320" s="23"/>
      <c r="G3320" s="23">
        <f t="shared" si="13"/>
        <v>20.7</v>
      </c>
      <c r="H3320" s="23"/>
      <c r="I3320" s="23"/>
    </row>
    <row r="3321" spans="1:9">
      <c r="A3321" s="21" t="s">
        <v>8504</v>
      </c>
      <c r="B3321" s="21"/>
      <c r="C3321" s="22">
        <v>3262</v>
      </c>
      <c r="D3321" s="21">
        <v>20.7</v>
      </c>
      <c r="E3321" s="21" t="s">
        <v>5796</v>
      </c>
      <c r="F3321" s="23"/>
      <c r="G3321" s="23">
        <f t="shared" si="13"/>
        <v>20.7</v>
      </c>
      <c r="H3321" s="23"/>
      <c r="I3321" s="23"/>
    </row>
    <row r="3322" spans="1:9">
      <c r="A3322" s="21" t="s">
        <v>8505</v>
      </c>
      <c r="B3322" s="21"/>
      <c r="C3322" s="22">
        <v>3264</v>
      </c>
      <c r="D3322" s="21">
        <v>20.68</v>
      </c>
      <c r="E3322" s="21" t="s">
        <v>5796</v>
      </c>
      <c r="F3322" s="23"/>
      <c r="G3322" s="23">
        <f t="shared" si="13"/>
        <v>20.68</v>
      </c>
      <c r="H3322" s="23"/>
      <c r="I3322" s="23"/>
    </row>
    <row r="3323" spans="1:9">
      <c r="A3323" s="21" t="s">
        <v>8506</v>
      </c>
      <c r="B3323" s="21"/>
      <c r="C3323" s="22">
        <v>3265</v>
      </c>
      <c r="D3323" s="21">
        <v>20.64</v>
      </c>
      <c r="E3323" s="21" t="s">
        <v>5796</v>
      </c>
      <c r="F3323" s="23"/>
      <c r="G3323" s="23">
        <f t="shared" si="13"/>
        <v>20.64</v>
      </c>
      <c r="H3323" s="23"/>
      <c r="I3323" s="23"/>
    </row>
    <row r="3324" spans="1:9">
      <c r="A3324" s="21" t="s">
        <v>8507</v>
      </c>
      <c r="B3324" s="21"/>
      <c r="C3324" s="22">
        <v>3266</v>
      </c>
      <c r="D3324" s="21">
        <v>20.64</v>
      </c>
      <c r="E3324" s="21" t="s">
        <v>5796</v>
      </c>
      <c r="F3324" s="23"/>
      <c r="G3324" s="23">
        <f t="shared" si="13"/>
        <v>20.64</v>
      </c>
      <c r="H3324" s="23"/>
      <c r="I3324" s="23"/>
    </row>
    <row r="3325" spans="1:9">
      <c r="A3325" s="21" t="s">
        <v>8508</v>
      </c>
      <c r="B3325" s="21"/>
      <c r="C3325" s="22">
        <v>3267</v>
      </c>
      <c r="D3325" s="21">
        <v>20.57</v>
      </c>
      <c r="E3325" s="21" t="s">
        <v>5796</v>
      </c>
      <c r="F3325" s="23"/>
      <c r="G3325" s="23">
        <f t="shared" si="13"/>
        <v>20.57</v>
      </c>
      <c r="H3325" s="23"/>
      <c r="I3325" s="23"/>
    </row>
    <row r="3326" spans="1:9">
      <c r="A3326" s="21" t="s">
        <v>8509</v>
      </c>
      <c r="B3326" s="21"/>
      <c r="C3326" s="22">
        <v>3268</v>
      </c>
      <c r="D3326" s="21">
        <v>20.56</v>
      </c>
      <c r="E3326" s="21" t="s">
        <v>5796</v>
      </c>
      <c r="F3326" s="23"/>
      <c r="G3326" s="23">
        <f t="shared" si="13"/>
        <v>20.56</v>
      </c>
      <c r="H3326" s="23"/>
      <c r="I3326" s="23"/>
    </row>
    <row r="3327" spans="1:9">
      <c r="A3327" s="21" t="s">
        <v>8510</v>
      </c>
      <c r="B3327" s="21"/>
      <c r="C3327" s="22">
        <v>3269</v>
      </c>
      <c r="D3327" s="21">
        <v>20.54</v>
      </c>
      <c r="E3327" s="21" t="s">
        <v>5796</v>
      </c>
      <c r="F3327" s="23"/>
      <c r="G3327" s="23">
        <f t="shared" si="13"/>
        <v>20.54</v>
      </c>
      <c r="H3327" s="23"/>
      <c r="I3327" s="23"/>
    </row>
    <row r="3328" spans="1:9">
      <c r="A3328" s="21" t="s">
        <v>8511</v>
      </c>
      <c r="B3328" s="21"/>
      <c r="C3328" s="22">
        <v>3271</v>
      </c>
      <c r="D3328" s="21">
        <v>20.52</v>
      </c>
      <c r="E3328" s="21" t="s">
        <v>5796</v>
      </c>
      <c r="F3328" s="23"/>
      <c r="G3328" s="23">
        <f t="shared" si="13"/>
        <v>20.52</v>
      </c>
      <c r="H3328" s="23"/>
      <c r="I3328" s="23"/>
    </row>
    <row r="3329" spans="1:9">
      <c r="A3329" s="21" t="s">
        <v>8512</v>
      </c>
      <c r="B3329" s="21"/>
      <c r="C3329" s="22">
        <v>3273</v>
      </c>
      <c r="D3329" s="21">
        <v>20.39</v>
      </c>
      <c r="E3329" s="21" t="s">
        <v>5796</v>
      </c>
      <c r="F3329" s="23"/>
      <c r="G3329" s="23">
        <f t="shared" si="13"/>
        <v>20.39</v>
      </c>
      <c r="H3329" s="23"/>
      <c r="I3329" s="23"/>
    </row>
    <row r="3330" spans="1:9">
      <c r="A3330" s="21" t="s">
        <v>8513</v>
      </c>
      <c r="B3330" s="21"/>
      <c r="C3330" s="22">
        <v>3274</v>
      </c>
      <c r="D3330" s="21">
        <v>20.38</v>
      </c>
      <c r="E3330" s="21" t="s">
        <v>5796</v>
      </c>
      <c r="F3330" s="23"/>
      <c r="G3330" s="23">
        <f t="shared" si="13"/>
        <v>20.38</v>
      </c>
      <c r="H3330" s="23"/>
      <c r="I3330" s="23"/>
    </row>
    <row r="3331" spans="1:9">
      <c r="A3331" s="21" t="s">
        <v>8514</v>
      </c>
      <c r="B3331" s="21"/>
      <c r="C3331" s="22">
        <v>3275</v>
      </c>
      <c r="D3331" s="21">
        <v>20.36</v>
      </c>
      <c r="E3331" s="21" t="s">
        <v>5796</v>
      </c>
      <c r="F3331" s="23"/>
      <c r="G3331" s="23">
        <f t="shared" si="13"/>
        <v>20.36</v>
      </c>
      <c r="H3331" s="23"/>
      <c r="I3331" s="23"/>
    </row>
    <row r="3332" spans="1:9">
      <c r="A3332" s="21" t="s">
        <v>8515</v>
      </c>
      <c r="B3332" s="21"/>
      <c r="C3332" s="22">
        <v>3276</v>
      </c>
      <c r="D3332" s="21">
        <v>20.36</v>
      </c>
      <c r="E3332" s="21" t="s">
        <v>5796</v>
      </c>
      <c r="F3332" s="23"/>
      <c r="G3332" s="23">
        <f t="shared" si="13"/>
        <v>20.36</v>
      </c>
      <c r="H3332" s="23"/>
      <c r="I3332" s="23"/>
    </row>
    <row r="3333" spans="1:9">
      <c r="A3333" s="21" t="s">
        <v>8516</v>
      </c>
      <c r="B3333" s="21"/>
      <c r="C3333" s="22">
        <v>3277</v>
      </c>
      <c r="D3333" s="21">
        <v>20.260000000000002</v>
      </c>
      <c r="E3333" s="21" t="s">
        <v>5796</v>
      </c>
      <c r="F3333" s="23"/>
      <c r="G3333" s="23">
        <f t="shared" si="13"/>
        <v>20.260000000000002</v>
      </c>
      <c r="H3333" s="23"/>
      <c r="I3333" s="23"/>
    </row>
    <row r="3334" spans="1:9">
      <c r="A3334" s="21" t="s">
        <v>8517</v>
      </c>
      <c r="B3334" s="21"/>
      <c r="C3334" s="22">
        <v>3279</v>
      </c>
      <c r="D3334" s="21">
        <v>20.239999999999998</v>
      </c>
      <c r="E3334" s="21" t="s">
        <v>5796</v>
      </c>
      <c r="F3334" s="23"/>
      <c r="G3334" s="23">
        <f t="shared" si="13"/>
        <v>20.239999999999998</v>
      </c>
      <c r="H3334" s="23"/>
      <c r="I3334" s="23"/>
    </row>
    <row r="3335" spans="1:9">
      <c r="A3335" s="21" t="s">
        <v>8518</v>
      </c>
      <c r="B3335" s="21"/>
      <c r="C3335" s="22">
        <v>3280</v>
      </c>
      <c r="D3335" s="21">
        <v>20.190000000000001</v>
      </c>
      <c r="E3335" s="21" t="s">
        <v>5796</v>
      </c>
      <c r="F3335" s="23"/>
      <c r="G3335" s="23">
        <f t="shared" si="13"/>
        <v>20.190000000000001</v>
      </c>
      <c r="H3335" s="23"/>
      <c r="I3335" s="23"/>
    </row>
    <row r="3336" spans="1:9">
      <c r="A3336" s="21" t="s">
        <v>8519</v>
      </c>
      <c r="B3336" s="21"/>
      <c r="C3336" s="22">
        <v>3281</v>
      </c>
      <c r="D3336" s="21">
        <v>20.16</v>
      </c>
      <c r="E3336" s="21" t="s">
        <v>5796</v>
      </c>
      <c r="F3336" s="23"/>
      <c r="G3336" s="23">
        <f t="shared" si="13"/>
        <v>20.16</v>
      </c>
      <c r="H3336" s="23"/>
      <c r="I3336" s="23"/>
    </row>
    <row r="3337" spans="1:9">
      <c r="A3337" s="21" t="s">
        <v>8520</v>
      </c>
      <c r="B3337" s="21"/>
      <c r="C3337" s="22">
        <v>3282</v>
      </c>
      <c r="D3337" s="21">
        <v>20.149999999999999</v>
      </c>
      <c r="E3337" s="21" t="s">
        <v>5796</v>
      </c>
      <c r="F3337" s="23"/>
      <c r="G3337" s="23">
        <f t="shared" si="13"/>
        <v>20.149999999999999</v>
      </c>
      <c r="H3337" s="23"/>
      <c r="I3337" s="23"/>
    </row>
    <row r="3338" spans="1:9">
      <c r="A3338" s="21" t="s">
        <v>8521</v>
      </c>
      <c r="B3338" s="21"/>
      <c r="C3338" s="22">
        <v>3283</v>
      </c>
      <c r="D3338" s="21">
        <v>20.07</v>
      </c>
      <c r="E3338" s="21" t="s">
        <v>5796</v>
      </c>
      <c r="F3338" s="23"/>
      <c r="G3338" s="23">
        <f t="shared" si="13"/>
        <v>20.07</v>
      </c>
      <c r="H3338" s="23"/>
      <c r="I3338" s="23"/>
    </row>
    <row r="3339" spans="1:9">
      <c r="A3339" s="21" t="s">
        <v>8522</v>
      </c>
      <c r="B3339" s="21"/>
      <c r="C3339" s="22">
        <v>3284</v>
      </c>
      <c r="D3339" s="21">
        <v>20.07</v>
      </c>
      <c r="E3339" s="21" t="s">
        <v>5796</v>
      </c>
      <c r="F3339" s="23"/>
      <c r="G3339" s="23">
        <f t="shared" si="13"/>
        <v>20.07</v>
      </c>
      <c r="H3339" s="23"/>
      <c r="I3339" s="23"/>
    </row>
    <row r="3340" spans="1:9">
      <c r="A3340" s="21" t="s">
        <v>8523</v>
      </c>
      <c r="B3340" s="21"/>
      <c r="C3340" s="22">
        <v>3285</v>
      </c>
      <c r="D3340" s="21">
        <v>20.05</v>
      </c>
      <c r="E3340" s="21" t="s">
        <v>5796</v>
      </c>
      <c r="F3340" s="23"/>
      <c r="G3340" s="23">
        <f t="shared" si="13"/>
        <v>20.05</v>
      </c>
      <c r="H3340" s="23"/>
      <c r="I3340" s="23"/>
    </row>
    <row r="3341" spans="1:9">
      <c r="A3341" s="21" t="s">
        <v>8524</v>
      </c>
      <c r="B3341" s="21"/>
      <c r="C3341" s="22">
        <v>3286</v>
      </c>
      <c r="D3341" s="21">
        <v>20.04</v>
      </c>
      <c r="E3341" s="21" t="s">
        <v>5796</v>
      </c>
      <c r="F3341" s="23"/>
      <c r="G3341" s="23">
        <f t="shared" si="13"/>
        <v>20.04</v>
      </c>
      <c r="H3341" s="23"/>
      <c r="I3341" s="23"/>
    </row>
    <row r="3342" spans="1:9">
      <c r="A3342" s="21" t="s">
        <v>8525</v>
      </c>
      <c r="B3342" s="21"/>
      <c r="C3342" s="22">
        <v>3287</v>
      </c>
      <c r="D3342" s="21">
        <v>19.97</v>
      </c>
      <c r="E3342" s="21" t="s">
        <v>5796</v>
      </c>
      <c r="F3342" s="23"/>
      <c r="G3342" s="23">
        <f t="shared" si="13"/>
        <v>19.97</v>
      </c>
      <c r="H3342" s="23"/>
      <c r="I3342" s="23"/>
    </row>
    <row r="3343" spans="1:9">
      <c r="A3343" s="21" t="s">
        <v>8526</v>
      </c>
      <c r="B3343" s="21"/>
      <c r="C3343" s="22">
        <v>3288</v>
      </c>
      <c r="D3343" s="21">
        <v>19.96</v>
      </c>
      <c r="E3343" s="21" t="s">
        <v>5796</v>
      </c>
      <c r="F3343" s="23"/>
      <c r="G3343" s="23">
        <f t="shared" si="13"/>
        <v>19.96</v>
      </c>
      <c r="H3343" s="23"/>
      <c r="I3343" s="23"/>
    </row>
    <row r="3344" spans="1:9">
      <c r="A3344" s="21" t="s">
        <v>8527</v>
      </c>
      <c r="B3344" s="21"/>
      <c r="C3344" s="22">
        <v>3289</v>
      </c>
      <c r="D3344" s="21">
        <v>19.95</v>
      </c>
      <c r="E3344" s="21" t="s">
        <v>5796</v>
      </c>
      <c r="F3344" s="23"/>
      <c r="G3344" s="23">
        <f t="shared" si="13"/>
        <v>19.95</v>
      </c>
      <c r="H3344" s="23"/>
      <c r="I3344" s="23"/>
    </row>
    <row r="3345" spans="1:9">
      <c r="A3345" s="21" t="s">
        <v>8528</v>
      </c>
      <c r="B3345" s="21"/>
      <c r="C3345" s="22">
        <v>3291</v>
      </c>
      <c r="D3345" s="21">
        <v>19.920000000000002</v>
      </c>
      <c r="E3345" s="21" t="s">
        <v>5796</v>
      </c>
      <c r="F3345" s="23"/>
      <c r="G3345" s="23">
        <f t="shared" si="13"/>
        <v>19.920000000000002</v>
      </c>
      <c r="H3345" s="23"/>
      <c r="I3345" s="23"/>
    </row>
    <row r="3346" spans="1:9">
      <c r="A3346" s="21" t="s">
        <v>8529</v>
      </c>
      <c r="B3346" s="21"/>
      <c r="C3346" s="22">
        <v>3292</v>
      </c>
      <c r="D3346" s="21">
        <v>19.920000000000002</v>
      </c>
      <c r="E3346" s="21" t="s">
        <v>5796</v>
      </c>
      <c r="F3346" s="23"/>
      <c r="G3346" s="23">
        <f t="shared" si="13"/>
        <v>19.920000000000002</v>
      </c>
      <c r="H3346" s="23"/>
      <c r="I3346" s="23"/>
    </row>
    <row r="3347" spans="1:9">
      <c r="A3347" s="21" t="s">
        <v>8530</v>
      </c>
      <c r="B3347" s="21"/>
      <c r="C3347" s="22">
        <v>3293</v>
      </c>
      <c r="D3347" s="21">
        <v>19.899999999999999</v>
      </c>
      <c r="E3347" s="21" t="s">
        <v>5796</v>
      </c>
      <c r="F3347" s="23"/>
      <c r="G3347" s="23">
        <f t="shared" si="13"/>
        <v>19.899999999999999</v>
      </c>
      <c r="H3347" s="23"/>
      <c r="I3347" s="23"/>
    </row>
    <row r="3348" spans="1:9">
      <c r="A3348" s="21" t="s">
        <v>8531</v>
      </c>
      <c r="B3348" s="21"/>
      <c r="C3348" s="22">
        <v>3294</v>
      </c>
      <c r="D3348" s="21">
        <v>19.88</v>
      </c>
      <c r="E3348" s="21" t="s">
        <v>5796</v>
      </c>
      <c r="F3348" s="23"/>
      <c r="G3348" s="23">
        <f t="shared" si="13"/>
        <v>19.88</v>
      </c>
      <c r="H3348" s="23"/>
      <c r="I3348" s="23"/>
    </row>
    <row r="3349" spans="1:9">
      <c r="A3349" s="21" t="s">
        <v>8532</v>
      </c>
      <c r="B3349" s="21"/>
      <c r="C3349" s="22">
        <v>3295</v>
      </c>
      <c r="D3349" s="21">
        <v>19.809999999999999</v>
      </c>
      <c r="E3349" s="21" t="s">
        <v>5796</v>
      </c>
      <c r="F3349" s="23"/>
      <c r="G3349" s="23">
        <f t="shared" si="13"/>
        <v>19.809999999999999</v>
      </c>
      <c r="H3349" s="23"/>
      <c r="I3349" s="23"/>
    </row>
    <row r="3350" spans="1:9">
      <c r="A3350" s="21" t="s">
        <v>8533</v>
      </c>
      <c r="B3350" s="21"/>
      <c r="C3350" s="22">
        <v>3296</v>
      </c>
      <c r="D3350" s="21">
        <v>19.8</v>
      </c>
      <c r="E3350" s="21" t="s">
        <v>5796</v>
      </c>
      <c r="F3350" s="23"/>
      <c r="G3350" s="23">
        <f t="shared" si="13"/>
        <v>19.8</v>
      </c>
      <c r="H3350" s="23"/>
      <c r="I3350" s="23"/>
    </row>
    <row r="3351" spans="1:9">
      <c r="A3351" s="21" t="s">
        <v>8534</v>
      </c>
      <c r="B3351" s="21"/>
      <c r="C3351" s="22">
        <v>3297</v>
      </c>
      <c r="D3351" s="21">
        <v>19.79</v>
      </c>
      <c r="E3351" s="21" t="s">
        <v>5796</v>
      </c>
      <c r="F3351" s="23"/>
      <c r="G3351" s="23">
        <f t="shared" si="13"/>
        <v>19.79</v>
      </c>
      <c r="H3351" s="23"/>
      <c r="I3351" s="23"/>
    </row>
    <row r="3352" spans="1:9">
      <c r="A3352" s="21" t="s">
        <v>8535</v>
      </c>
      <c r="B3352" s="21"/>
      <c r="C3352" s="22">
        <v>3298</v>
      </c>
      <c r="D3352" s="21">
        <v>19.75</v>
      </c>
      <c r="E3352" s="21" t="s">
        <v>5796</v>
      </c>
      <c r="F3352" s="23"/>
      <c r="G3352" s="23">
        <f t="shared" si="13"/>
        <v>19.75</v>
      </c>
      <c r="H3352" s="23"/>
      <c r="I3352" s="23"/>
    </row>
    <row r="3353" spans="1:9">
      <c r="A3353" s="21" t="s">
        <v>8536</v>
      </c>
      <c r="B3353" s="21"/>
      <c r="C3353" s="22">
        <v>3299</v>
      </c>
      <c r="D3353" s="21">
        <v>19.73</v>
      </c>
      <c r="E3353" s="21" t="s">
        <v>5796</v>
      </c>
      <c r="F3353" s="23"/>
      <c r="G3353" s="23">
        <f t="shared" si="13"/>
        <v>19.73</v>
      </c>
      <c r="H3353" s="23"/>
      <c r="I3353" s="23"/>
    </row>
    <row r="3354" spans="1:9">
      <c r="A3354" s="21" t="s">
        <v>8537</v>
      </c>
      <c r="B3354" s="21"/>
      <c r="C3354" s="22">
        <v>3300</v>
      </c>
      <c r="D3354" s="21">
        <v>19.649999999999999</v>
      </c>
      <c r="E3354" s="21" t="s">
        <v>5796</v>
      </c>
      <c r="F3354" s="23"/>
      <c r="G3354" s="23">
        <f t="shared" si="13"/>
        <v>19.649999999999999</v>
      </c>
      <c r="H3354" s="23"/>
      <c r="I3354" s="23"/>
    </row>
    <row r="3355" spans="1:9">
      <c r="A3355" s="21" t="s">
        <v>8538</v>
      </c>
      <c r="B3355" s="21"/>
      <c r="C3355" s="22">
        <v>3302</v>
      </c>
      <c r="D3355" s="21">
        <v>19.53</v>
      </c>
      <c r="E3355" s="21" t="s">
        <v>5796</v>
      </c>
      <c r="F3355" s="23"/>
      <c r="G3355" s="23">
        <f t="shared" si="13"/>
        <v>19.53</v>
      </c>
      <c r="H3355" s="23"/>
      <c r="I3355" s="23"/>
    </row>
    <row r="3356" spans="1:9">
      <c r="A3356" s="21" t="s">
        <v>8539</v>
      </c>
      <c r="B3356" s="21"/>
      <c r="C3356" s="22">
        <v>3303</v>
      </c>
      <c r="D3356" s="21">
        <v>19.52</v>
      </c>
      <c r="E3356" s="21" t="s">
        <v>5796</v>
      </c>
      <c r="F3356" s="23"/>
      <c r="G3356" s="23">
        <f t="shared" si="13"/>
        <v>19.52</v>
      </c>
      <c r="H3356" s="23"/>
      <c r="I3356" s="23"/>
    </row>
    <row r="3357" spans="1:9">
      <c r="A3357" s="21" t="s">
        <v>8540</v>
      </c>
      <c r="B3357" s="21"/>
      <c r="C3357" s="22">
        <v>3304</v>
      </c>
      <c r="D3357" s="21">
        <v>19.46</v>
      </c>
      <c r="E3357" s="21" t="s">
        <v>5796</v>
      </c>
      <c r="F3357" s="23"/>
      <c r="G3357" s="23">
        <f t="shared" si="13"/>
        <v>19.46</v>
      </c>
      <c r="H3357" s="23"/>
      <c r="I3357" s="23"/>
    </row>
    <row r="3358" spans="1:9">
      <c r="A3358" s="21" t="s">
        <v>8541</v>
      </c>
      <c r="B3358" s="21"/>
      <c r="C3358" s="22">
        <v>3305</v>
      </c>
      <c r="D3358" s="21">
        <v>19.399999999999999</v>
      </c>
      <c r="E3358" s="21" t="s">
        <v>5796</v>
      </c>
      <c r="F3358" s="23"/>
      <c r="G3358" s="23">
        <f t="shared" si="13"/>
        <v>19.399999999999999</v>
      </c>
      <c r="H3358" s="23"/>
      <c r="I3358" s="23"/>
    </row>
    <row r="3359" spans="1:9">
      <c r="A3359" s="21" t="s">
        <v>8542</v>
      </c>
      <c r="B3359" s="21"/>
      <c r="C3359" s="22">
        <v>3306</v>
      </c>
      <c r="D3359" s="21">
        <v>19.37</v>
      </c>
      <c r="E3359" s="21" t="s">
        <v>5796</v>
      </c>
      <c r="F3359" s="23"/>
      <c r="G3359" s="23">
        <f t="shared" si="13"/>
        <v>19.37</v>
      </c>
      <c r="H3359" s="23"/>
      <c r="I3359" s="23"/>
    </row>
    <row r="3360" spans="1:9">
      <c r="A3360" s="21" t="s">
        <v>8543</v>
      </c>
      <c r="B3360" s="21"/>
      <c r="C3360" s="22">
        <v>3307</v>
      </c>
      <c r="D3360" s="21">
        <v>19.3</v>
      </c>
      <c r="E3360" s="21" t="s">
        <v>5796</v>
      </c>
      <c r="F3360" s="23"/>
      <c r="G3360" s="23">
        <f t="shared" si="13"/>
        <v>19.3</v>
      </c>
      <c r="H3360" s="23"/>
      <c r="I3360" s="23"/>
    </row>
    <row r="3361" spans="1:9">
      <c r="A3361" s="21" t="s">
        <v>8544</v>
      </c>
      <c r="B3361" s="21"/>
      <c r="C3361" s="22">
        <v>3308</v>
      </c>
      <c r="D3361" s="21">
        <v>19.28</v>
      </c>
      <c r="E3361" s="21" t="s">
        <v>5796</v>
      </c>
      <c r="F3361" s="23"/>
      <c r="G3361" s="23">
        <f t="shared" si="13"/>
        <v>19.28</v>
      </c>
      <c r="H3361" s="23"/>
      <c r="I3361" s="23"/>
    </row>
    <row r="3362" spans="1:9">
      <c r="A3362" s="21" t="s">
        <v>8545</v>
      </c>
      <c r="B3362" s="21"/>
      <c r="C3362" s="22">
        <v>3309</v>
      </c>
      <c r="D3362" s="21">
        <v>19.28</v>
      </c>
      <c r="E3362" s="21" t="s">
        <v>5796</v>
      </c>
      <c r="F3362" s="23"/>
      <c r="G3362" s="23">
        <f t="shared" si="13"/>
        <v>19.28</v>
      </c>
      <c r="H3362" s="23"/>
      <c r="I3362" s="23"/>
    </row>
    <row r="3363" spans="1:9">
      <c r="A3363" s="21" t="s">
        <v>8546</v>
      </c>
      <c r="B3363" s="21"/>
      <c r="C3363" s="22">
        <v>3310</v>
      </c>
      <c r="D3363" s="21">
        <v>19.27</v>
      </c>
      <c r="E3363" s="21" t="s">
        <v>5796</v>
      </c>
      <c r="F3363" s="23"/>
      <c r="G3363" s="23">
        <f t="shared" si="13"/>
        <v>19.27</v>
      </c>
      <c r="H3363" s="23"/>
      <c r="I3363" s="23"/>
    </row>
    <row r="3364" spans="1:9">
      <c r="A3364" s="21" t="s">
        <v>8547</v>
      </c>
      <c r="B3364" s="21"/>
      <c r="C3364" s="22">
        <v>3311</v>
      </c>
      <c r="D3364" s="21">
        <v>19.21</v>
      </c>
      <c r="E3364" s="21" t="s">
        <v>5796</v>
      </c>
      <c r="F3364" s="23"/>
      <c r="G3364" s="23">
        <f t="shared" si="13"/>
        <v>19.21</v>
      </c>
      <c r="H3364" s="23"/>
      <c r="I3364" s="23"/>
    </row>
    <row r="3365" spans="1:9">
      <c r="A3365" s="21" t="s">
        <v>8548</v>
      </c>
      <c r="B3365" s="21"/>
      <c r="C3365" s="22">
        <v>3312</v>
      </c>
      <c r="D3365" s="21">
        <v>19.170000000000002</v>
      </c>
      <c r="E3365" s="21" t="s">
        <v>5796</v>
      </c>
      <c r="F3365" s="23"/>
      <c r="G3365" s="23">
        <f t="shared" si="13"/>
        <v>19.170000000000002</v>
      </c>
      <c r="H3365" s="23"/>
      <c r="I3365" s="23"/>
    </row>
    <row r="3366" spans="1:9">
      <c r="A3366" s="21" t="s">
        <v>8549</v>
      </c>
      <c r="B3366" s="21"/>
      <c r="C3366" s="22">
        <v>3314</v>
      </c>
      <c r="D3366" s="21">
        <v>19.11</v>
      </c>
      <c r="E3366" s="21" t="s">
        <v>5796</v>
      </c>
      <c r="F3366" s="23"/>
      <c r="G3366" s="23">
        <f t="shared" si="13"/>
        <v>19.11</v>
      </c>
      <c r="H3366" s="23"/>
      <c r="I3366" s="23"/>
    </row>
    <row r="3367" spans="1:9">
      <c r="A3367" s="21" t="s">
        <v>8550</v>
      </c>
      <c r="B3367" s="21"/>
      <c r="C3367" s="22">
        <v>3315</v>
      </c>
      <c r="D3367" s="21">
        <v>19.09</v>
      </c>
      <c r="E3367" s="21" t="s">
        <v>5796</v>
      </c>
      <c r="F3367" s="23"/>
      <c r="G3367" s="23">
        <f t="shared" si="13"/>
        <v>19.09</v>
      </c>
      <c r="H3367" s="23"/>
      <c r="I3367" s="23"/>
    </row>
    <row r="3368" spans="1:9">
      <c r="A3368" s="21" t="s">
        <v>8551</v>
      </c>
      <c r="B3368" s="21"/>
      <c r="C3368" s="22">
        <v>3317</v>
      </c>
      <c r="D3368" s="21">
        <v>19.05</v>
      </c>
      <c r="E3368" s="21" t="s">
        <v>5796</v>
      </c>
      <c r="F3368" s="23"/>
      <c r="G3368" s="23">
        <f t="shared" si="13"/>
        <v>19.05</v>
      </c>
      <c r="H3368" s="23"/>
      <c r="I3368" s="23"/>
    </row>
    <row r="3369" spans="1:9">
      <c r="A3369" s="21" t="s">
        <v>8552</v>
      </c>
      <c r="B3369" s="21"/>
      <c r="C3369" s="22">
        <v>3318</v>
      </c>
      <c r="D3369" s="21">
        <v>19.05</v>
      </c>
      <c r="E3369" s="21" t="s">
        <v>5796</v>
      </c>
      <c r="F3369" s="23"/>
      <c r="G3369" s="23">
        <f t="shared" si="13"/>
        <v>19.05</v>
      </c>
      <c r="H3369" s="23"/>
      <c r="I3369" s="23"/>
    </row>
    <row r="3370" spans="1:9">
      <c r="A3370" s="21" t="s">
        <v>8553</v>
      </c>
      <c r="B3370" s="21"/>
      <c r="C3370" s="22">
        <v>3319</v>
      </c>
      <c r="D3370" s="21">
        <v>19.04</v>
      </c>
      <c r="E3370" s="21" t="s">
        <v>5796</v>
      </c>
      <c r="F3370" s="23"/>
      <c r="G3370" s="23">
        <f t="shared" si="13"/>
        <v>19.04</v>
      </c>
      <c r="H3370" s="23"/>
      <c r="I3370" s="23"/>
    </row>
    <row r="3371" spans="1:9">
      <c r="A3371" s="21" t="s">
        <v>8554</v>
      </c>
      <c r="B3371" s="21"/>
      <c r="C3371" s="22">
        <v>3320</v>
      </c>
      <c r="D3371" s="21">
        <v>18.96</v>
      </c>
      <c r="E3371" s="21" t="s">
        <v>5796</v>
      </c>
      <c r="F3371" s="23"/>
      <c r="G3371" s="23">
        <f t="shared" si="13"/>
        <v>18.96</v>
      </c>
      <c r="H3371" s="23"/>
      <c r="I3371" s="23"/>
    </row>
    <row r="3372" spans="1:9">
      <c r="A3372" s="21" t="s">
        <v>8555</v>
      </c>
      <c r="B3372" s="21"/>
      <c r="C3372" s="22">
        <v>3321</v>
      </c>
      <c r="D3372" s="21">
        <v>18.96</v>
      </c>
      <c r="E3372" s="21" t="s">
        <v>5796</v>
      </c>
      <c r="F3372" s="23"/>
      <c r="G3372" s="23">
        <f t="shared" si="13"/>
        <v>18.96</v>
      </c>
      <c r="H3372" s="23"/>
      <c r="I3372" s="23"/>
    </row>
    <row r="3373" spans="1:9">
      <c r="A3373" s="21" t="s">
        <v>8556</v>
      </c>
      <c r="B3373" s="21"/>
      <c r="C3373" s="22">
        <v>3323</v>
      </c>
      <c r="D3373" s="21">
        <v>18.89</v>
      </c>
      <c r="E3373" s="21" t="s">
        <v>5796</v>
      </c>
      <c r="F3373" s="23"/>
      <c r="G3373" s="23">
        <f t="shared" si="13"/>
        <v>18.89</v>
      </c>
      <c r="H3373" s="23"/>
      <c r="I3373" s="23"/>
    </row>
    <row r="3374" spans="1:9">
      <c r="A3374" s="21" t="s">
        <v>8557</v>
      </c>
      <c r="B3374" s="21"/>
      <c r="C3374" s="22">
        <v>3324</v>
      </c>
      <c r="D3374" s="21">
        <v>18.87</v>
      </c>
      <c r="E3374" s="21" t="s">
        <v>5796</v>
      </c>
      <c r="F3374" s="23"/>
      <c r="G3374" s="23">
        <f t="shared" si="13"/>
        <v>18.87</v>
      </c>
      <c r="H3374" s="23"/>
      <c r="I3374" s="23"/>
    </row>
    <row r="3375" spans="1:9">
      <c r="A3375" s="21" t="s">
        <v>8558</v>
      </c>
      <c r="B3375" s="21"/>
      <c r="C3375" s="22">
        <v>3325</v>
      </c>
      <c r="D3375" s="21">
        <v>18.850000000000001</v>
      </c>
      <c r="E3375" s="21" t="s">
        <v>5796</v>
      </c>
      <c r="F3375" s="23"/>
      <c r="G3375" s="23">
        <f t="shared" si="13"/>
        <v>18.850000000000001</v>
      </c>
      <c r="H3375" s="23"/>
      <c r="I3375" s="23"/>
    </row>
    <row r="3376" spans="1:9">
      <c r="A3376" s="21" t="s">
        <v>8559</v>
      </c>
      <c r="B3376" s="21"/>
      <c r="C3376" s="22">
        <v>3326</v>
      </c>
      <c r="D3376" s="21">
        <v>18.850000000000001</v>
      </c>
      <c r="E3376" s="21" t="s">
        <v>5796</v>
      </c>
      <c r="F3376" s="23"/>
      <c r="G3376" s="23">
        <f t="shared" si="13"/>
        <v>18.850000000000001</v>
      </c>
      <c r="H3376" s="23"/>
      <c r="I3376" s="23"/>
    </row>
    <row r="3377" spans="1:9">
      <c r="A3377" s="21" t="s">
        <v>8560</v>
      </c>
      <c r="B3377" s="21"/>
      <c r="C3377" s="22">
        <v>3327</v>
      </c>
      <c r="D3377" s="21">
        <v>18.829999999999998</v>
      </c>
      <c r="E3377" s="21" t="s">
        <v>5796</v>
      </c>
      <c r="F3377" s="23"/>
      <c r="G3377" s="23">
        <f t="shared" si="13"/>
        <v>18.829999999999998</v>
      </c>
      <c r="H3377" s="23"/>
      <c r="I3377" s="23"/>
    </row>
    <row r="3378" spans="1:9">
      <c r="A3378" s="21" t="s">
        <v>8561</v>
      </c>
      <c r="B3378" s="21"/>
      <c r="C3378" s="22">
        <v>3328</v>
      </c>
      <c r="D3378" s="21">
        <v>18.809999999999999</v>
      </c>
      <c r="E3378" s="21" t="s">
        <v>5796</v>
      </c>
      <c r="F3378" s="23"/>
      <c r="G3378" s="23">
        <f t="shared" si="13"/>
        <v>18.809999999999999</v>
      </c>
      <c r="H3378" s="23"/>
      <c r="I3378" s="23"/>
    </row>
    <row r="3379" spans="1:9">
      <c r="A3379" s="21" t="s">
        <v>8562</v>
      </c>
      <c r="B3379" s="21"/>
      <c r="C3379" s="22">
        <v>3329</v>
      </c>
      <c r="D3379" s="21">
        <v>18.79</v>
      </c>
      <c r="E3379" s="21" t="s">
        <v>5796</v>
      </c>
      <c r="F3379" s="23"/>
      <c r="G3379" s="23">
        <f t="shared" si="13"/>
        <v>18.79</v>
      </c>
      <c r="H3379" s="23"/>
      <c r="I3379" s="23"/>
    </row>
    <row r="3380" spans="1:9">
      <c r="A3380" s="21" t="s">
        <v>8563</v>
      </c>
      <c r="B3380" s="21"/>
      <c r="C3380" s="22">
        <v>3330</v>
      </c>
      <c r="D3380" s="21">
        <v>18.79</v>
      </c>
      <c r="E3380" s="21" t="s">
        <v>5796</v>
      </c>
      <c r="F3380" s="23"/>
      <c r="G3380" s="23">
        <f t="shared" si="13"/>
        <v>18.79</v>
      </c>
      <c r="H3380" s="23"/>
      <c r="I3380" s="23"/>
    </row>
    <row r="3381" spans="1:9">
      <c r="A3381" s="21" t="s">
        <v>8564</v>
      </c>
      <c r="B3381" s="21"/>
      <c r="C3381" s="22">
        <v>3331</v>
      </c>
      <c r="D3381" s="21">
        <v>18.77</v>
      </c>
      <c r="E3381" s="21" t="s">
        <v>5796</v>
      </c>
      <c r="F3381" s="23"/>
      <c r="G3381" s="23">
        <f t="shared" si="13"/>
        <v>18.77</v>
      </c>
      <c r="H3381" s="23"/>
      <c r="I3381" s="23"/>
    </row>
    <row r="3382" spans="1:9">
      <c r="A3382" s="21" t="s">
        <v>8565</v>
      </c>
      <c r="B3382" s="21"/>
      <c r="C3382" s="22">
        <v>3333</v>
      </c>
      <c r="D3382" s="21">
        <v>18.72</v>
      </c>
      <c r="E3382" s="21" t="s">
        <v>5796</v>
      </c>
      <c r="F3382" s="23"/>
      <c r="G3382" s="23">
        <f t="shared" si="13"/>
        <v>18.72</v>
      </c>
      <c r="H3382" s="23"/>
      <c r="I3382" s="23"/>
    </row>
    <row r="3383" spans="1:9">
      <c r="A3383" s="21" t="s">
        <v>8566</v>
      </c>
      <c r="B3383" s="21"/>
      <c r="C3383" s="22">
        <v>3334</v>
      </c>
      <c r="D3383" s="21">
        <v>18.55</v>
      </c>
      <c r="E3383" s="21" t="s">
        <v>5796</v>
      </c>
      <c r="F3383" s="23"/>
      <c r="G3383" s="23">
        <f t="shared" si="13"/>
        <v>18.55</v>
      </c>
      <c r="H3383" s="23"/>
      <c r="I3383" s="23"/>
    </row>
    <row r="3384" spans="1:9">
      <c r="A3384" s="21" t="s">
        <v>8567</v>
      </c>
      <c r="B3384" s="21"/>
      <c r="C3384" s="22">
        <v>3335</v>
      </c>
      <c r="D3384" s="21">
        <v>18.55</v>
      </c>
      <c r="E3384" s="21" t="s">
        <v>5796</v>
      </c>
      <c r="F3384" s="23"/>
      <c r="G3384" s="23">
        <f t="shared" si="13"/>
        <v>18.55</v>
      </c>
      <c r="H3384" s="23"/>
      <c r="I3384" s="23"/>
    </row>
    <row r="3385" spans="1:9">
      <c r="A3385" s="21" t="s">
        <v>8568</v>
      </c>
      <c r="B3385" s="21"/>
      <c r="C3385" s="22">
        <v>3336</v>
      </c>
      <c r="D3385" s="21">
        <v>18.55</v>
      </c>
      <c r="E3385" s="21" t="s">
        <v>5796</v>
      </c>
      <c r="F3385" s="23"/>
      <c r="G3385" s="23">
        <f t="shared" si="13"/>
        <v>18.55</v>
      </c>
      <c r="H3385" s="23"/>
      <c r="I3385" s="23"/>
    </row>
    <row r="3386" spans="1:9">
      <c r="A3386" s="21" t="s">
        <v>8569</v>
      </c>
      <c r="B3386" s="21"/>
      <c r="C3386" s="22">
        <v>3337</v>
      </c>
      <c r="D3386" s="21">
        <v>18.510000000000002</v>
      </c>
      <c r="E3386" s="21" t="s">
        <v>5796</v>
      </c>
      <c r="F3386" s="23"/>
      <c r="G3386" s="23">
        <f t="shared" si="13"/>
        <v>18.510000000000002</v>
      </c>
      <c r="H3386" s="23"/>
      <c r="I3386" s="23"/>
    </row>
    <row r="3387" spans="1:9">
      <c r="A3387" s="21" t="s">
        <v>8570</v>
      </c>
      <c r="B3387" s="21"/>
      <c r="C3387" s="22">
        <v>3338</v>
      </c>
      <c r="D3387" s="21">
        <v>18.510000000000002</v>
      </c>
      <c r="E3387" s="21" t="s">
        <v>5796</v>
      </c>
      <c r="F3387" s="23"/>
      <c r="G3387" s="23">
        <f t="shared" si="13"/>
        <v>18.510000000000002</v>
      </c>
      <c r="H3387" s="23"/>
      <c r="I3387" s="23"/>
    </row>
    <row r="3388" spans="1:9">
      <c r="A3388" s="21" t="s">
        <v>8571</v>
      </c>
      <c r="B3388" s="21"/>
      <c r="C3388" s="22">
        <v>3339</v>
      </c>
      <c r="D3388" s="21">
        <v>18.45</v>
      </c>
      <c r="E3388" s="21" t="s">
        <v>5796</v>
      </c>
      <c r="F3388" s="23"/>
      <c r="G3388" s="23">
        <f t="shared" si="13"/>
        <v>18.45</v>
      </c>
      <c r="H3388" s="23"/>
      <c r="I3388" s="23"/>
    </row>
    <row r="3389" spans="1:9">
      <c r="A3389" s="21" t="s">
        <v>8572</v>
      </c>
      <c r="B3389" s="21"/>
      <c r="C3389" s="22">
        <v>3340</v>
      </c>
      <c r="D3389" s="21">
        <v>18.39</v>
      </c>
      <c r="E3389" s="21" t="s">
        <v>5796</v>
      </c>
      <c r="F3389" s="23"/>
      <c r="G3389" s="23">
        <f t="shared" si="13"/>
        <v>18.39</v>
      </c>
      <c r="H3389" s="23"/>
      <c r="I3389" s="23"/>
    </row>
    <row r="3390" spans="1:9">
      <c r="A3390" s="21" t="s">
        <v>8573</v>
      </c>
      <c r="B3390" s="21"/>
      <c r="C3390" s="22">
        <v>3341</v>
      </c>
      <c r="D3390" s="21">
        <v>18.39</v>
      </c>
      <c r="E3390" s="21" t="s">
        <v>5796</v>
      </c>
      <c r="F3390" s="23"/>
      <c r="G3390" s="23">
        <f t="shared" si="13"/>
        <v>18.39</v>
      </c>
      <c r="H3390" s="23"/>
      <c r="I3390" s="23"/>
    </row>
    <row r="3391" spans="1:9">
      <c r="A3391" s="21" t="s">
        <v>8574</v>
      </c>
      <c r="B3391" s="21"/>
      <c r="C3391" s="22">
        <v>3342</v>
      </c>
      <c r="D3391" s="21">
        <v>18.350000000000001</v>
      </c>
      <c r="E3391" s="21" t="s">
        <v>5796</v>
      </c>
      <c r="F3391" s="23"/>
      <c r="G3391" s="23">
        <f t="shared" si="13"/>
        <v>18.350000000000001</v>
      </c>
      <c r="H3391" s="23"/>
      <c r="I3391" s="23"/>
    </row>
    <row r="3392" spans="1:9">
      <c r="A3392" s="21" t="s">
        <v>8575</v>
      </c>
      <c r="B3392" s="21"/>
      <c r="C3392" s="22">
        <v>3343</v>
      </c>
      <c r="D3392" s="21">
        <v>18.3</v>
      </c>
      <c r="E3392" s="21" t="s">
        <v>5796</v>
      </c>
      <c r="F3392" s="23"/>
      <c r="G3392" s="23">
        <f t="shared" si="13"/>
        <v>18.3</v>
      </c>
      <c r="H3392" s="23"/>
      <c r="I3392" s="23"/>
    </row>
    <row r="3393" spans="1:9">
      <c r="A3393" s="21" t="s">
        <v>8576</v>
      </c>
      <c r="B3393" s="21"/>
      <c r="C3393" s="22">
        <v>3344</v>
      </c>
      <c r="D3393" s="21">
        <v>18.25</v>
      </c>
      <c r="E3393" s="21" t="s">
        <v>5796</v>
      </c>
      <c r="F3393" s="23"/>
      <c r="G3393" s="23">
        <f t="shared" si="13"/>
        <v>18.25</v>
      </c>
      <c r="H3393" s="23"/>
      <c r="I3393" s="23"/>
    </row>
    <row r="3394" spans="1:9">
      <c r="A3394" s="21" t="s">
        <v>8577</v>
      </c>
      <c r="B3394" s="21"/>
      <c r="C3394" s="22">
        <v>3345</v>
      </c>
      <c r="D3394" s="21">
        <v>18.239999999999998</v>
      </c>
      <c r="E3394" s="21" t="s">
        <v>5796</v>
      </c>
      <c r="F3394" s="23"/>
      <c r="G3394" s="23">
        <f t="shared" si="13"/>
        <v>18.239999999999998</v>
      </c>
      <c r="H3394" s="23"/>
      <c r="I3394" s="23"/>
    </row>
    <row r="3395" spans="1:9">
      <c r="A3395" s="21" t="s">
        <v>8578</v>
      </c>
      <c r="B3395" s="21"/>
      <c r="C3395" s="22">
        <v>3346</v>
      </c>
      <c r="D3395" s="21">
        <v>18.239999999999998</v>
      </c>
      <c r="E3395" s="21" t="s">
        <v>5796</v>
      </c>
      <c r="F3395" s="23"/>
      <c r="G3395" s="23">
        <f t="shared" si="13"/>
        <v>18.239999999999998</v>
      </c>
      <c r="H3395" s="23"/>
      <c r="I3395" s="23"/>
    </row>
    <row r="3396" spans="1:9">
      <c r="A3396" s="21" t="s">
        <v>8579</v>
      </c>
      <c r="B3396" s="21"/>
      <c r="C3396" s="22">
        <v>3347</v>
      </c>
      <c r="D3396" s="21">
        <v>18.22</v>
      </c>
      <c r="E3396" s="21" t="s">
        <v>5796</v>
      </c>
      <c r="F3396" s="23"/>
      <c r="G3396" s="23">
        <f t="shared" si="13"/>
        <v>18.22</v>
      </c>
      <c r="H3396" s="23"/>
      <c r="I3396" s="23"/>
    </row>
    <row r="3397" spans="1:9">
      <c r="A3397" s="21" t="s">
        <v>8580</v>
      </c>
      <c r="B3397" s="21"/>
      <c r="C3397" s="22">
        <v>3348</v>
      </c>
      <c r="D3397" s="21">
        <v>18.18</v>
      </c>
      <c r="E3397" s="21" t="s">
        <v>5796</v>
      </c>
      <c r="F3397" s="23"/>
      <c r="G3397" s="23">
        <f t="shared" si="13"/>
        <v>18.18</v>
      </c>
      <c r="H3397" s="23"/>
      <c r="I3397" s="23"/>
    </row>
    <row r="3398" spans="1:9">
      <c r="A3398" s="21" t="s">
        <v>8581</v>
      </c>
      <c r="B3398" s="21"/>
      <c r="C3398" s="22">
        <v>3349</v>
      </c>
      <c r="D3398" s="21">
        <v>18.170000000000002</v>
      </c>
      <c r="E3398" s="21" t="s">
        <v>5796</v>
      </c>
      <c r="F3398" s="23"/>
      <c r="G3398" s="23">
        <f t="shared" si="13"/>
        <v>18.170000000000002</v>
      </c>
      <c r="H3398" s="23"/>
      <c r="I3398" s="23"/>
    </row>
    <row r="3399" spans="1:9">
      <c r="A3399" s="21" t="s">
        <v>8582</v>
      </c>
      <c r="B3399" s="21"/>
      <c r="C3399" s="22">
        <v>3350</v>
      </c>
      <c r="D3399" s="21">
        <v>18.16</v>
      </c>
      <c r="E3399" s="21" t="s">
        <v>5796</v>
      </c>
      <c r="F3399" s="23"/>
      <c r="G3399" s="23">
        <f t="shared" si="13"/>
        <v>18.16</v>
      </c>
      <c r="H3399" s="23"/>
      <c r="I3399" s="23"/>
    </row>
    <row r="3400" spans="1:9">
      <c r="A3400" s="21" t="s">
        <v>8583</v>
      </c>
      <c r="B3400" s="21"/>
      <c r="C3400" s="22">
        <v>3352</v>
      </c>
      <c r="D3400" s="21">
        <v>18.149999999999999</v>
      </c>
      <c r="E3400" s="21" t="s">
        <v>5796</v>
      </c>
      <c r="F3400" s="23"/>
      <c r="G3400" s="23">
        <f t="shared" si="13"/>
        <v>18.149999999999999</v>
      </c>
      <c r="H3400" s="23"/>
      <c r="I3400" s="23"/>
    </row>
    <row r="3401" spans="1:9">
      <c r="A3401" s="21" t="s">
        <v>8584</v>
      </c>
      <c r="B3401" s="21"/>
      <c r="C3401" s="22">
        <v>3353</v>
      </c>
      <c r="D3401" s="21">
        <v>18.09</v>
      </c>
      <c r="E3401" s="21" t="s">
        <v>5796</v>
      </c>
      <c r="F3401" s="23"/>
      <c r="G3401" s="23">
        <f t="shared" si="13"/>
        <v>18.09</v>
      </c>
      <c r="H3401" s="23"/>
      <c r="I3401" s="23"/>
    </row>
    <row r="3402" spans="1:9">
      <c r="A3402" s="21" t="s">
        <v>8585</v>
      </c>
      <c r="B3402" s="21"/>
      <c r="C3402" s="22">
        <v>3354</v>
      </c>
      <c r="D3402" s="21">
        <v>18.09</v>
      </c>
      <c r="E3402" s="21" t="s">
        <v>5796</v>
      </c>
      <c r="F3402" s="23"/>
      <c r="G3402" s="23">
        <f t="shared" si="13"/>
        <v>18.09</v>
      </c>
      <c r="H3402" s="23"/>
      <c r="I3402" s="23"/>
    </row>
    <row r="3403" spans="1:9">
      <c r="A3403" s="21" t="s">
        <v>8586</v>
      </c>
      <c r="B3403" s="21"/>
      <c r="C3403" s="22">
        <v>3355</v>
      </c>
      <c r="D3403" s="21">
        <v>18.059999999999999</v>
      </c>
      <c r="E3403" s="21" t="s">
        <v>5796</v>
      </c>
      <c r="F3403" s="23"/>
      <c r="G3403" s="23">
        <f t="shared" si="13"/>
        <v>18.059999999999999</v>
      </c>
      <c r="H3403" s="23"/>
      <c r="I3403" s="23"/>
    </row>
    <row r="3404" spans="1:9">
      <c r="A3404" s="21" t="s">
        <v>8587</v>
      </c>
      <c r="B3404" s="21"/>
      <c r="C3404" s="22">
        <v>3356</v>
      </c>
      <c r="D3404" s="21">
        <v>18.02</v>
      </c>
      <c r="E3404" s="21" t="s">
        <v>5796</v>
      </c>
      <c r="F3404" s="23"/>
      <c r="G3404" s="23">
        <f t="shared" si="13"/>
        <v>18.02</v>
      </c>
      <c r="H3404" s="23"/>
      <c r="I3404" s="23"/>
    </row>
    <row r="3405" spans="1:9">
      <c r="A3405" s="21" t="s">
        <v>8588</v>
      </c>
      <c r="B3405" s="21"/>
      <c r="C3405" s="22">
        <v>3357</v>
      </c>
      <c r="D3405" s="21">
        <v>18.02</v>
      </c>
      <c r="E3405" s="21" t="s">
        <v>5796</v>
      </c>
      <c r="F3405" s="23"/>
      <c r="G3405" s="23">
        <f t="shared" si="13"/>
        <v>18.02</v>
      </c>
      <c r="H3405" s="23"/>
      <c r="I3405" s="23"/>
    </row>
    <row r="3406" spans="1:9">
      <c r="A3406" s="21" t="s">
        <v>8589</v>
      </c>
      <c r="B3406" s="21"/>
      <c r="C3406" s="22">
        <v>3358</v>
      </c>
      <c r="D3406" s="21">
        <v>17.989999999999998</v>
      </c>
      <c r="E3406" s="21" t="s">
        <v>5796</v>
      </c>
      <c r="F3406" s="23"/>
      <c r="G3406" s="23">
        <f t="shared" si="13"/>
        <v>17.989999999999998</v>
      </c>
      <c r="H3406" s="23"/>
      <c r="I3406" s="23"/>
    </row>
    <row r="3407" spans="1:9">
      <c r="A3407" s="21" t="s">
        <v>8590</v>
      </c>
      <c r="B3407" s="21"/>
      <c r="C3407" s="22">
        <v>3359</v>
      </c>
      <c r="D3407" s="21">
        <v>17.98</v>
      </c>
      <c r="E3407" s="21" t="s">
        <v>5796</v>
      </c>
      <c r="F3407" s="23"/>
      <c r="G3407" s="23">
        <f t="shared" si="13"/>
        <v>17.98</v>
      </c>
      <c r="H3407" s="23"/>
      <c r="I3407" s="23"/>
    </row>
    <row r="3408" spans="1:9">
      <c r="A3408" s="21" t="s">
        <v>8591</v>
      </c>
      <c r="B3408" s="21"/>
      <c r="C3408" s="22">
        <v>3360</v>
      </c>
      <c r="D3408" s="21">
        <v>17.89</v>
      </c>
      <c r="E3408" s="21" t="s">
        <v>5796</v>
      </c>
      <c r="F3408" s="23"/>
      <c r="G3408" s="23">
        <f t="shared" si="13"/>
        <v>17.89</v>
      </c>
      <c r="H3408" s="23"/>
      <c r="I3408" s="23"/>
    </row>
    <row r="3409" spans="1:9">
      <c r="A3409" s="21" t="s">
        <v>8592</v>
      </c>
      <c r="B3409" s="21"/>
      <c r="C3409" s="22">
        <v>3361</v>
      </c>
      <c r="D3409" s="21">
        <v>17.850000000000001</v>
      </c>
      <c r="E3409" s="21" t="s">
        <v>5796</v>
      </c>
      <c r="F3409" s="23"/>
      <c r="G3409" s="23">
        <f t="shared" si="13"/>
        <v>17.850000000000001</v>
      </c>
      <c r="H3409" s="23"/>
      <c r="I3409" s="23"/>
    </row>
    <row r="3410" spans="1:9">
      <c r="A3410" s="21" t="s">
        <v>8593</v>
      </c>
      <c r="B3410" s="21"/>
      <c r="C3410" s="22">
        <v>3362</v>
      </c>
      <c r="D3410" s="21">
        <v>17.82</v>
      </c>
      <c r="E3410" s="21" t="s">
        <v>5796</v>
      </c>
      <c r="F3410" s="23"/>
      <c r="G3410" s="23">
        <f t="shared" si="13"/>
        <v>17.82</v>
      </c>
      <c r="H3410" s="23"/>
      <c r="I3410" s="23"/>
    </row>
    <row r="3411" spans="1:9">
      <c r="A3411" s="21" t="s">
        <v>8594</v>
      </c>
      <c r="B3411" s="21"/>
      <c r="C3411" s="22">
        <v>3363</v>
      </c>
      <c r="D3411" s="21">
        <v>17.79</v>
      </c>
      <c r="E3411" s="21" t="s">
        <v>5796</v>
      </c>
      <c r="F3411" s="23"/>
      <c r="G3411" s="23">
        <f t="shared" si="13"/>
        <v>17.79</v>
      </c>
      <c r="H3411" s="23"/>
      <c r="I3411" s="23"/>
    </row>
    <row r="3412" spans="1:9">
      <c r="A3412" s="21" t="s">
        <v>8595</v>
      </c>
      <c r="B3412" s="21"/>
      <c r="C3412" s="22">
        <v>3364</v>
      </c>
      <c r="D3412" s="21">
        <v>17.79</v>
      </c>
      <c r="E3412" s="21" t="s">
        <v>5796</v>
      </c>
      <c r="F3412" s="23"/>
      <c r="G3412" s="23">
        <f t="shared" si="13"/>
        <v>17.79</v>
      </c>
      <c r="H3412" s="23"/>
      <c r="I3412" s="23"/>
    </row>
    <row r="3413" spans="1:9">
      <c r="A3413" s="21" t="s">
        <v>8596</v>
      </c>
      <c r="B3413" s="21"/>
      <c r="C3413" s="22">
        <v>3365</v>
      </c>
      <c r="D3413" s="21">
        <v>17.760000000000002</v>
      </c>
      <c r="E3413" s="21" t="s">
        <v>5796</v>
      </c>
      <c r="F3413" s="23"/>
      <c r="G3413" s="23">
        <f t="shared" si="13"/>
        <v>17.760000000000002</v>
      </c>
      <c r="H3413" s="23"/>
      <c r="I3413" s="23"/>
    </row>
    <row r="3414" spans="1:9">
      <c r="A3414" s="21" t="s">
        <v>8597</v>
      </c>
      <c r="B3414" s="21"/>
      <c r="C3414" s="22">
        <v>3366</v>
      </c>
      <c r="D3414" s="21">
        <v>17.75</v>
      </c>
      <c r="E3414" s="21" t="s">
        <v>5796</v>
      </c>
      <c r="F3414" s="23"/>
      <c r="G3414" s="23">
        <f t="shared" si="13"/>
        <v>17.75</v>
      </c>
      <c r="H3414" s="23"/>
      <c r="I3414" s="23"/>
    </row>
    <row r="3415" spans="1:9">
      <c r="A3415" s="21" t="s">
        <v>8598</v>
      </c>
      <c r="B3415" s="21"/>
      <c r="C3415" s="22">
        <v>3367</v>
      </c>
      <c r="D3415" s="21">
        <v>17.75</v>
      </c>
      <c r="E3415" s="21" t="s">
        <v>5796</v>
      </c>
      <c r="F3415" s="23"/>
      <c r="G3415" s="23">
        <f t="shared" si="13"/>
        <v>17.75</v>
      </c>
      <c r="H3415" s="23"/>
      <c r="I3415" s="23"/>
    </row>
    <row r="3416" spans="1:9">
      <c r="A3416" s="21" t="s">
        <v>8599</v>
      </c>
      <c r="B3416" s="21"/>
      <c r="C3416" s="22">
        <v>3368</v>
      </c>
      <c r="D3416" s="21">
        <v>17.7</v>
      </c>
      <c r="E3416" s="21" t="s">
        <v>5796</v>
      </c>
      <c r="F3416" s="23"/>
      <c r="G3416" s="23">
        <f t="shared" si="13"/>
        <v>17.7</v>
      </c>
      <c r="H3416" s="23"/>
      <c r="I3416" s="23"/>
    </row>
    <row r="3417" spans="1:9">
      <c r="A3417" s="21" t="s">
        <v>8600</v>
      </c>
      <c r="B3417" s="21"/>
      <c r="C3417" s="22">
        <v>3369</v>
      </c>
      <c r="D3417" s="21">
        <v>17.690000000000001</v>
      </c>
      <c r="E3417" s="21" t="s">
        <v>5796</v>
      </c>
      <c r="F3417" s="23"/>
      <c r="G3417" s="23">
        <f t="shared" si="13"/>
        <v>17.690000000000001</v>
      </c>
      <c r="H3417" s="23"/>
      <c r="I3417" s="23"/>
    </row>
    <row r="3418" spans="1:9">
      <c r="A3418" s="21" t="s">
        <v>8601</v>
      </c>
      <c r="B3418" s="21"/>
      <c r="C3418" s="22">
        <v>3370</v>
      </c>
      <c r="D3418" s="21">
        <v>17.649999999999999</v>
      </c>
      <c r="E3418" s="21" t="s">
        <v>5796</v>
      </c>
      <c r="F3418" s="23"/>
      <c r="G3418" s="23">
        <f t="shared" si="13"/>
        <v>17.649999999999999</v>
      </c>
      <c r="H3418" s="23"/>
      <c r="I3418" s="23"/>
    </row>
    <row r="3419" spans="1:9">
      <c r="A3419" s="21" t="s">
        <v>8602</v>
      </c>
      <c r="B3419" s="21"/>
      <c r="C3419" s="22">
        <v>3372</v>
      </c>
      <c r="D3419" s="21">
        <v>17.57</v>
      </c>
      <c r="E3419" s="21" t="s">
        <v>5796</v>
      </c>
      <c r="F3419" s="23"/>
      <c r="G3419" s="23">
        <f t="shared" si="13"/>
        <v>17.57</v>
      </c>
      <c r="H3419" s="23"/>
      <c r="I3419" s="23"/>
    </row>
    <row r="3420" spans="1:9">
      <c r="A3420" s="21" t="s">
        <v>8603</v>
      </c>
      <c r="B3420" s="21"/>
      <c r="C3420" s="22">
        <v>3373</v>
      </c>
      <c r="D3420" s="21">
        <v>17.55</v>
      </c>
      <c r="E3420" s="21" t="s">
        <v>5796</v>
      </c>
      <c r="F3420" s="23"/>
      <c r="G3420" s="23">
        <f t="shared" si="13"/>
        <v>17.55</v>
      </c>
      <c r="H3420" s="23"/>
      <c r="I3420" s="23"/>
    </row>
    <row r="3421" spans="1:9">
      <c r="A3421" s="21" t="s">
        <v>8604</v>
      </c>
      <c r="B3421" s="21"/>
      <c r="C3421" s="22">
        <v>3374</v>
      </c>
      <c r="D3421" s="21">
        <v>17.54</v>
      </c>
      <c r="E3421" s="21" t="s">
        <v>5796</v>
      </c>
      <c r="F3421" s="23"/>
      <c r="G3421" s="23">
        <f t="shared" si="13"/>
        <v>17.54</v>
      </c>
      <c r="H3421" s="23"/>
      <c r="I3421" s="23"/>
    </row>
    <row r="3422" spans="1:9">
      <c r="A3422" s="21" t="s">
        <v>8605</v>
      </c>
      <c r="B3422" s="21"/>
      <c r="C3422" s="22">
        <v>3375</v>
      </c>
      <c r="D3422" s="21">
        <v>17.52</v>
      </c>
      <c r="E3422" s="21" t="s">
        <v>5796</v>
      </c>
      <c r="F3422" s="23"/>
      <c r="G3422" s="23">
        <f t="shared" si="13"/>
        <v>17.52</v>
      </c>
      <c r="H3422" s="23"/>
      <c r="I3422" s="23"/>
    </row>
    <row r="3423" spans="1:9">
      <c r="A3423" s="21" t="s">
        <v>8606</v>
      </c>
      <c r="B3423" s="21"/>
      <c r="C3423" s="22">
        <v>3377</v>
      </c>
      <c r="D3423" s="21">
        <v>17.5</v>
      </c>
      <c r="E3423" s="21" t="s">
        <v>5796</v>
      </c>
      <c r="F3423" s="23"/>
      <c r="G3423" s="23">
        <f t="shared" si="13"/>
        <v>17.5</v>
      </c>
      <c r="H3423" s="23"/>
      <c r="I3423" s="23"/>
    </row>
    <row r="3424" spans="1:9">
      <c r="A3424" s="21" t="s">
        <v>8607</v>
      </c>
      <c r="B3424" s="21"/>
      <c r="C3424" s="22">
        <v>3378</v>
      </c>
      <c r="D3424" s="21">
        <v>17.5</v>
      </c>
      <c r="E3424" s="21" t="s">
        <v>5796</v>
      </c>
      <c r="F3424" s="23"/>
      <c r="G3424" s="23">
        <f t="shared" si="13"/>
        <v>17.5</v>
      </c>
      <c r="H3424" s="23"/>
      <c r="I3424" s="23"/>
    </row>
    <row r="3425" spans="1:9">
      <c r="A3425" s="21" t="s">
        <v>8608</v>
      </c>
      <c r="B3425" s="21"/>
      <c r="C3425" s="22">
        <v>3379</v>
      </c>
      <c r="D3425" s="21">
        <v>17.48</v>
      </c>
      <c r="E3425" s="21" t="s">
        <v>5796</v>
      </c>
      <c r="F3425" s="23"/>
      <c r="G3425" s="23">
        <f t="shared" si="13"/>
        <v>17.48</v>
      </c>
      <c r="H3425" s="23"/>
      <c r="I3425" s="23"/>
    </row>
    <row r="3426" spans="1:9">
      <c r="A3426" s="21" t="s">
        <v>8609</v>
      </c>
      <c r="B3426" s="21"/>
      <c r="C3426" s="22">
        <v>3381</v>
      </c>
      <c r="D3426" s="21">
        <v>17.45</v>
      </c>
      <c r="E3426" s="21" t="s">
        <v>5796</v>
      </c>
      <c r="F3426" s="23"/>
      <c r="G3426" s="23">
        <f t="shared" si="13"/>
        <v>17.45</v>
      </c>
      <c r="H3426" s="23"/>
      <c r="I3426" s="23"/>
    </row>
    <row r="3427" spans="1:9">
      <c r="A3427" s="21" t="s">
        <v>8610</v>
      </c>
      <c r="B3427" s="21"/>
      <c r="C3427" s="22">
        <v>3382</v>
      </c>
      <c r="D3427" s="21">
        <v>17.399999999999999</v>
      </c>
      <c r="E3427" s="21" t="s">
        <v>5796</v>
      </c>
      <c r="F3427" s="23"/>
      <c r="G3427" s="23">
        <f t="shared" si="13"/>
        <v>17.399999999999999</v>
      </c>
      <c r="H3427" s="23"/>
      <c r="I3427" s="23"/>
    </row>
    <row r="3428" spans="1:9">
      <c r="A3428" s="21" t="s">
        <v>8611</v>
      </c>
      <c r="B3428" s="21"/>
      <c r="C3428" s="22">
        <v>3383</v>
      </c>
      <c r="D3428" s="21">
        <v>17.39</v>
      </c>
      <c r="E3428" s="21" t="s">
        <v>5796</v>
      </c>
      <c r="F3428" s="23"/>
      <c r="G3428" s="23">
        <f t="shared" si="13"/>
        <v>17.39</v>
      </c>
      <c r="H3428" s="23"/>
      <c r="I3428" s="23"/>
    </row>
    <row r="3429" spans="1:9">
      <c r="A3429" s="21" t="s">
        <v>8612</v>
      </c>
      <c r="B3429" s="21"/>
      <c r="C3429" s="22">
        <v>3384</v>
      </c>
      <c r="D3429" s="21">
        <v>17.34</v>
      </c>
      <c r="E3429" s="21" t="s">
        <v>5796</v>
      </c>
      <c r="F3429" s="23"/>
      <c r="G3429" s="23">
        <f t="shared" si="13"/>
        <v>17.34</v>
      </c>
      <c r="H3429" s="23"/>
      <c r="I3429" s="23"/>
    </row>
    <row r="3430" spans="1:9">
      <c r="A3430" s="21" t="s">
        <v>8613</v>
      </c>
      <c r="B3430" s="21"/>
      <c r="C3430" s="22">
        <v>3385</v>
      </c>
      <c r="D3430" s="21">
        <v>17.32</v>
      </c>
      <c r="E3430" s="21" t="s">
        <v>5796</v>
      </c>
      <c r="F3430" s="23"/>
      <c r="G3430" s="23">
        <f t="shared" si="13"/>
        <v>17.32</v>
      </c>
      <c r="H3430" s="23"/>
      <c r="I3430" s="23"/>
    </row>
    <row r="3431" spans="1:9">
      <c r="A3431" s="21" t="s">
        <v>8614</v>
      </c>
      <c r="B3431" s="21"/>
      <c r="C3431" s="22">
        <v>3386</v>
      </c>
      <c r="D3431" s="21">
        <v>17.29</v>
      </c>
      <c r="E3431" s="21" t="s">
        <v>5796</v>
      </c>
      <c r="F3431" s="23"/>
      <c r="G3431" s="23">
        <f t="shared" si="13"/>
        <v>17.29</v>
      </c>
      <c r="H3431" s="23"/>
      <c r="I3431" s="23"/>
    </row>
    <row r="3432" spans="1:9">
      <c r="A3432" s="21" t="s">
        <v>8615</v>
      </c>
      <c r="B3432" s="21"/>
      <c r="C3432" s="22">
        <v>3387</v>
      </c>
      <c r="D3432" s="21">
        <v>17.22</v>
      </c>
      <c r="E3432" s="21" t="s">
        <v>5796</v>
      </c>
      <c r="F3432" s="23"/>
      <c r="G3432" s="23">
        <f t="shared" si="13"/>
        <v>17.22</v>
      </c>
      <c r="H3432" s="23"/>
      <c r="I3432" s="23"/>
    </row>
    <row r="3433" spans="1:9">
      <c r="A3433" s="21" t="s">
        <v>8616</v>
      </c>
      <c r="B3433" s="21"/>
      <c r="C3433" s="22">
        <v>3388</v>
      </c>
      <c r="D3433" s="21">
        <v>17.2</v>
      </c>
      <c r="E3433" s="21" t="s">
        <v>5796</v>
      </c>
      <c r="F3433" s="23"/>
      <c r="G3433" s="23">
        <f t="shared" si="13"/>
        <v>17.2</v>
      </c>
      <c r="H3433" s="23"/>
      <c r="I3433" s="23"/>
    </row>
    <row r="3434" spans="1:9">
      <c r="A3434" s="21" t="s">
        <v>8617</v>
      </c>
      <c r="B3434" s="21"/>
      <c r="C3434" s="22">
        <v>3389</v>
      </c>
      <c r="D3434" s="21">
        <v>17.2</v>
      </c>
      <c r="E3434" s="21" t="s">
        <v>5796</v>
      </c>
      <c r="F3434" s="23"/>
      <c r="G3434" s="23">
        <f t="shared" si="13"/>
        <v>17.2</v>
      </c>
      <c r="H3434" s="23"/>
      <c r="I3434" s="23"/>
    </row>
    <row r="3435" spans="1:9">
      <c r="A3435" s="21" t="s">
        <v>8618</v>
      </c>
      <c r="B3435" s="21"/>
      <c r="C3435" s="22">
        <v>3390</v>
      </c>
      <c r="D3435" s="21">
        <v>17.18</v>
      </c>
      <c r="E3435" s="21" t="s">
        <v>5796</v>
      </c>
      <c r="F3435" s="23"/>
      <c r="G3435" s="23">
        <f t="shared" si="13"/>
        <v>17.18</v>
      </c>
      <c r="H3435" s="23"/>
      <c r="I3435" s="23"/>
    </row>
    <row r="3436" spans="1:9">
      <c r="A3436" s="21" t="s">
        <v>8619</v>
      </c>
      <c r="B3436" s="21"/>
      <c r="C3436" s="22">
        <v>3391</v>
      </c>
      <c r="D3436" s="21">
        <v>17.18</v>
      </c>
      <c r="E3436" s="21" t="s">
        <v>5796</v>
      </c>
      <c r="F3436" s="23"/>
      <c r="G3436" s="23">
        <f t="shared" si="13"/>
        <v>17.18</v>
      </c>
      <c r="H3436" s="23"/>
      <c r="I3436" s="23"/>
    </row>
    <row r="3437" spans="1:9">
      <c r="A3437" s="21" t="s">
        <v>8620</v>
      </c>
      <c r="B3437" s="21"/>
      <c r="C3437" s="22">
        <v>3392</v>
      </c>
      <c r="D3437" s="21">
        <v>17.170000000000002</v>
      </c>
      <c r="E3437" s="21" t="s">
        <v>5796</v>
      </c>
      <c r="F3437" s="23"/>
      <c r="G3437" s="23">
        <f t="shared" si="13"/>
        <v>17.170000000000002</v>
      </c>
      <c r="H3437" s="23"/>
      <c r="I3437" s="23"/>
    </row>
    <row r="3438" spans="1:9">
      <c r="A3438" s="21" t="s">
        <v>8621</v>
      </c>
      <c r="B3438" s="21"/>
      <c r="C3438" s="22">
        <v>3393</v>
      </c>
      <c r="D3438" s="21">
        <v>17.11</v>
      </c>
      <c r="E3438" s="21" t="s">
        <v>5796</v>
      </c>
      <c r="F3438" s="23"/>
      <c r="G3438" s="23">
        <f t="shared" si="13"/>
        <v>17.11</v>
      </c>
      <c r="H3438" s="23"/>
      <c r="I3438" s="23"/>
    </row>
    <row r="3439" spans="1:9">
      <c r="A3439" s="21" t="s">
        <v>8622</v>
      </c>
      <c r="B3439" s="21"/>
      <c r="C3439" s="22">
        <v>3394</v>
      </c>
      <c r="D3439" s="21">
        <v>17.100000000000001</v>
      </c>
      <c r="E3439" s="21" t="s">
        <v>5796</v>
      </c>
      <c r="F3439" s="23"/>
      <c r="G3439" s="23">
        <f t="shared" si="13"/>
        <v>17.100000000000001</v>
      </c>
      <c r="H3439" s="23"/>
      <c r="I3439" s="23"/>
    </row>
    <row r="3440" spans="1:9">
      <c r="A3440" s="21" t="s">
        <v>8623</v>
      </c>
      <c r="B3440" s="21"/>
      <c r="C3440" s="22">
        <v>3395</v>
      </c>
      <c r="D3440" s="21">
        <v>17.059999999999999</v>
      </c>
      <c r="E3440" s="21" t="s">
        <v>5796</v>
      </c>
      <c r="F3440" s="23"/>
      <c r="G3440" s="23">
        <f t="shared" si="13"/>
        <v>17.059999999999999</v>
      </c>
      <c r="H3440" s="23"/>
      <c r="I3440" s="23"/>
    </row>
    <row r="3441" spans="1:9">
      <c r="A3441" s="21" t="s">
        <v>8624</v>
      </c>
      <c r="B3441" s="21"/>
      <c r="C3441" s="22">
        <v>3396</v>
      </c>
      <c r="D3441" s="21">
        <v>17.010000000000002</v>
      </c>
      <c r="E3441" s="21" t="s">
        <v>5796</v>
      </c>
      <c r="F3441" s="23"/>
      <c r="G3441" s="23">
        <f t="shared" si="13"/>
        <v>17.010000000000002</v>
      </c>
      <c r="H3441" s="23"/>
      <c r="I3441" s="23"/>
    </row>
    <row r="3442" spans="1:9">
      <c r="A3442" s="21" t="s">
        <v>8625</v>
      </c>
      <c r="B3442" s="21"/>
      <c r="C3442" s="22">
        <v>3397</v>
      </c>
      <c r="D3442" s="21">
        <v>17.010000000000002</v>
      </c>
      <c r="E3442" s="21" t="s">
        <v>5796</v>
      </c>
      <c r="F3442" s="23"/>
      <c r="G3442" s="23">
        <f t="shared" si="13"/>
        <v>17.010000000000002</v>
      </c>
      <c r="H3442" s="23"/>
      <c r="I3442" s="23"/>
    </row>
    <row r="3443" spans="1:9">
      <c r="A3443" s="21" t="s">
        <v>8626</v>
      </c>
      <c r="B3443" s="21"/>
      <c r="C3443" s="22">
        <v>3398</v>
      </c>
      <c r="D3443" s="21">
        <v>17</v>
      </c>
      <c r="E3443" s="21" t="s">
        <v>5796</v>
      </c>
      <c r="F3443" s="23"/>
      <c r="G3443" s="23">
        <f t="shared" si="13"/>
        <v>17</v>
      </c>
      <c r="H3443" s="23"/>
      <c r="I3443" s="23"/>
    </row>
    <row r="3444" spans="1:9">
      <c r="A3444" s="21" t="s">
        <v>8627</v>
      </c>
      <c r="B3444" s="21"/>
      <c r="C3444" s="22">
        <v>3399</v>
      </c>
      <c r="D3444" s="21">
        <v>16.940000000000001</v>
      </c>
      <c r="E3444" s="21" t="s">
        <v>5796</v>
      </c>
      <c r="F3444" s="23"/>
      <c r="G3444" s="23">
        <f t="shared" si="13"/>
        <v>16.940000000000001</v>
      </c>
      <c r="H3444" s="23"/>
      <c r="I3444" s="23"/>
    </row>
    <row r="3445" spans="1:9">
      <c r="A3445" s="21" t="s">
        <v>8628</v>
      </c>
      <c r="B3445" s="21"/>
      <c r="C3445" s="22">
        <v>3400</v>
      </c>
      <c r="D3445" s="21">
        <v>16.88</v>
      </c>
      <c r="E3445" s="21" t="s">
        <v>5796</v>
      </c>
      <c r="F3445" s="23"/>
      <c r="G3445" s="23">
        <f t="shared" si="13"/>
        <v>16.88</v>
      </c>
      <c r="H3445" s="23"/>
      <c r="I3445" s="23"/>
    </row>
    <row r="3446" spans="1:9">
      <c r="A3446" s="21" t="s">
        <v>8629</v>
      </c>
      <c r="B3446" s="21"/>
      <c r="C3446" s="22">
        <v>3401</v>
      </c>
      <c r="D3446" s="21">
        <v>16.86</v>
      </c>
      <c r="E3446" s="21" t="s">
        <v>5796</v>
      </c>
      <c r="F3446" s="23"/>
      <c r="G3446" s="23">
        <f t="shared" si="13"/>
        <v>16.86</v>
      </c>
      <c r="H3446" s="23"/>
      <c r="I3446" s="23"/>
    </row>
    <row r="3447" spans="1:9">
      <c r="A3447" s="21" t="s">
        <v>8630</v>
      </c>
      <c r="B3447" s="21"/>
      <c r="C3447" s="22">
        <v>3402</v>
      </c>
      <c r="D3447" s="21">
        <v>16.850000000000001</v>
      </c>
      <c r="E3447" s="21" t="s">
        <v>5796</v>
      </c>
      <c r="F3447" s="23"/>
      <c r="G3447" s="23">
        <f t="shared" si="13"/>
        <v>16.850000000000001</v>
      </c>
      <c r="H3447" s="23"/>
      <c r="I3447" s="23"/>
    </row>
    <row r="3448" spans="1:9">
      <c r="A3448" s="21" t="s">
        <v>8631</v>
      </c>
      <c r="B3448" s="21"/>
      <c r="C3448" s="22">
        <v>3403</v>
      </c>
      <c r="D3448" s="21">
        <v>16.84</v>
      </c>
      <c r="E3448" s="21" t="s">
        <v>5796</v>
      </c>
      <c r="F3448" s="23"/>
      <c r="G3448" s="23">
        <f t="shared" si="13"/>
        <v>16.84</v>
      </c>
      <c r="H3448" s="23"/>
      <c r="I3448" s="23"/>
    </row>
    <row r="3449" spans="1:9">
      <c r="A3449" s="21" t="s">
        <v>8632</v>
      </c>
      <c r="B3449" s="21"/>
      <c r="C3449" s="22">
        <v>3404</v>
      </c>
      <c r="D3449" s="21">
        <v>16.82</v>
      </c>
      <c r="E3449" s="21" t="s">
        <v>5796</v>
      </c>
      <c r="F3449" s="23"/>
      <c r="G3449" s="23">
        <f t="shared" si="13"/>
        <v>16.82</v>
      </c>
      <c r="H3449" s="23"/>
      <c r="I3449" s="23"/>
    </row>
    <row r="3450" spans="1:9">
      <c r="A3450" s="21" t="s">
        <v>8633</v>
      </c>
      <c r="B3450" s="21"/>
      <c r="C3450" s="22">
        <v>3405</v>
      </c>
      <c r="D3450" s="21">
        <v>16.79</v>
      </c>
      <c r="E3450" s="21" t="s">
        <v>5796</v>
      </c>
      <c r="F3450" s="23"/>
      <c r="G3450" s="23">
        <f t="shared" si="13"/>
        <v>16.79</v>
      </c>
      <c r="H3450" s="23"/>
      <c r="I3450" s="23"/>
    </row>
    <row r="3451" spans="1:9">
      <c r="A3451" s="21" t="s">
        <v>8634</v>
      </c>
      <c r="B3451" s="21"/>
      <c r="C3451" s="22">
        <v>3406</v>
      </c>
      <c r="D3451" s="21">
        <v>16.78</v>
      </c>
      <c r="E3451" s="21" t="s">
        <v>5796</v>
      </c>
      <c r="F3451" s="23"/>
      <c r="G3451" s="23">
        <f t="shared" si="13"/>
        <v>16.78</v>
      </c>
      <c r="H3451" s="23"/>
      <c r="I3451" s="23"/>
    </row>
    <row r="3452" spans="1:9">
      <c r="A3452" s="21" t="s">
        <v>8635</v>
      </c>
      <c r="B3452" s="21"/>
      <c r="C3452" s="22">
        <v>3408</v>
      </c>
      <c r="D3452" s="21">
        <v>16.760000000000002</v>
      </c>
      <c r="E3452" s="21" t="s">
        <v>5796</v>
      </c>
      <c r="F3452" s="23"/>
      <c r="G3452" s="23">
        <f t="shared" si="13"/>
        <v>16.760000000000002</v>
      </c>
      <c r="H3452" s="23"/>
      <c r="I3452" s="23"/>
    </row>
    <row r="3453" spans="1:9">
      <c r="A3453" s="21" t="s">
        <v>8636</v>
      </c>
      <c r="B3453" s="21"/>
      <c r="C3453" s="22">
        <v>3409</v>
      </c>
      <c r="D3453" s="21">
        <v>16.75</v>
      </c>
      <c r="E3453" s="21" t="s">
        <v>5796</v>
      </c>
      <c r="F3453" s="23"/>
      <c r="G3453" s="23">
        <f t="shared" si="13"/>
        <v>16.75</v>
      </c>
      <c r="H3453" s="23"/>
      <c r="I3453" s="23"/>
    </row>
    <row r="3454" spans="1:9">
      <c r="A3454" s="21" t="s">
        <v>8637</v>
      </c>
      <c r="B3454" s="21"/>
      <c r="C3454" s="22">
        <v>3410</v>
      </c>
      <c r="D3454" s="21">
        <v>16.71</v>
      </c>
      <c r="E3454" s="21" t="s">
        <v>5796</v>
      </c>
      <c r="F3454" s="23"/>
      <c r="G3454" s="23">
        <f t="shared" si="13"/>
        <v>16.71</v>
      </c>
      <c r="H3454" s="23"/>
      <c r="I3454" s="23"/>
    </row>
    <row r="3455" spans="1:9">
      <c r="A3455" s="21" t="s">
        <v>8638</v>
      </c>
      <c r="B3455" s="21"/>
      <c r="C3455" s="22">
        <v>3411</v>
      </c>
      <c r="D3455" s="21">
        <v>16.66</v>
      </c>
      <c r="E3455" s="21" t="s">
        <v>5796</v>
      </c>
      <c r="F3455" s="23"/>
      <c r="G3455" s="23">
        <f t="shared" si="13"/>
        <v>16.66</v>
      </c>
      <c r="H3455" s="23"/>
      <c r="I3455" s="23"/>
    </row>
    <row r="3456" spans="1:9">
      <c r="A3456" s="21" t="s">
        <v>8639</v>
      </c>
      <c r="B3456" s="21"/>
      <c r="C3456" s="22">
        <v>3412</v>
      </c>
      <c r="D3456" s="21">
        <v>16.649999999999999</v>
      </c>
      <c r="E3456" s="21" t="s">
        <v>5796</v>
      </c>
      <c r="F3456" s="23"/>
      <c r="G3456" s="23">
        <f t="shared" si="13"/>
        <v>16.649999999999999</v>
      </c>
      <c r="H3456" s="23"/>
      <c r="I3456" s="23"/>
    </row>
    <row r="3457" spans="1:9">
      <c r="A3457" s="21" t="s">
        <v>8640</v>
      </c>
      <c r="B3457" s="21"/>
      <c r="C3457" s="22">
        <v>3413</v>
      </c>
      <c r="D3457" s="21">
        <v>16.64</v>
      </c>
      <c r="E3457" s="21" t="s">
        <v>5796</v>
      </c>
      <c r="F3457" s="23"/>
      <c r="G3457" s="23">
        <f t="shared" si="13"/>
        <v>16.64</v>
      </c>
      <c r="H3457" s="23"/>
      <c r="I3457" s="23"/>
    </row>
    <row r="3458" spans="1:9">
      <c r="A3458" s="21" t="s">
        <v>8641</v>
      </c>
      <c r="B3458" s="21"/>
      <c r="C3458" s="22">
        <v>3414</v>
      </c>
      <c r="D3458" s="21">
        <v>16.600000000000001</v>
      </c>
      <c r="E3458" s="21" t="s">
        <v>5796</v>
      </c>
      <c r="F3458" s="23"/>
      <c r="G3458" s="23">
        <f t="shared" si="13"/>
        <v>16.600000000000001</v>
      </c>
      <c r="H3458" s="23"/>
      <c r="I3458" s="23"/>
    </row>
    <row r="3459" spans="1:9">
      <c r="A3459" s="21" t="s">
        <v>8642</v>
      </c>
      <c r="B3459" s="21"/>
      <c r="C3459" s="22">
        <v>3415</v>
      </c>
      <c r="D3459" s="21">
        <v>16.600000000000001</v>
      </c>
      <c r="E3459" s="21" t="s">
        <v>5796</v>
      </c>
      <c r="F3459" s="23"/>
      <c r="G3459" s="23">
        <f t="shared" si="13"/>
        <v>16.600000000000001</v>
      </c>
      <c r="H3459" s="23"/>
      <c r="I3459" s="23"/>
    </row>
    <row r="3460" spans="1:9">
      <c r="A3460" s="21" t="s">
        <v>8643</v>
      </c>
      <c r="B3460" s="21"/>
      <c r="C3460" s="22">
        <v>3416</v>
      </c>
      <c r="D3460" s="21">
        <v>16.57</v>
      </c>
      <c r="E3460" s="21" t="s">
        <v>5796</v>
      </c>
      <c r="F3460" s="23"/>
      <c r="G3460" s="23">
        <f t="shared" si="13"/>
        <v>16.57</v>
      </c>
      <c r="H3460" s="23"/>
      <c r="I3460" s="23"/>
    </row>
    <row r="3461" spans="1:9">
      <c r="A3461" s="21" t="s">
        <v>8644</v>
      </c>
      <c r="B3461" s="21"/>
      <c r="C3461" s="22">
        <v>3417</v>
      </c>
      <c r="D3461" s="21">
        <v>16.559999999999999</v>
      </c>
      <c r="E3461" s="21" t="s">
        <v>5796</v>
      </c>
      <c r="F3461" s="23"/>
      <c r="G3461" s="23">
        <f t="shared" si="13"/>
        <v>16.559999999999999</v>
      </c>
      <c r="H3461" s="23"/>
      <c r="I3461" s="23"/>
    </row>
    <row r="3462" spans="1:9">
      <c r="A3462" s="21" t="s">
        <v>8645</v>
      </c>
      <c r="B3462" s="21"/>
      <c r="C3462" s="22">
        <v>3418</v>
      </c>
      <c r="D3462" s="21">
        <v>16.559999999999999</v>
      </c>
      <c r="E3462" s="21" t="s">
        <v>5796</v>
      </c>
      <c r="F3462" s="23"/>
      <c r="G3462" s="23">
        <f t="shared" si="13"/>
        <v>16.559999999999999</v>
      </c>
      <c r="H3462" s="23"/>
      <c r="I3462" s="23"/>
    </row>
    <row r="3463" spans="1:9">
      <c r="A3463" s="21" t="s">
        <v>8646</v>
      </c>
      <c r="B3463" s="21"/>
      <c r="C3463" s="22">
        <v>3419</v>
      </c>
      <c r="D3463" s="21">
        <v>16.489999999999998</v>
      </c>
      <c r="E3463" s="21" t="s">
        <v>5796</v>
      </c>
      <c r="F3463" s="23"/>
      <c r="G3463" s="23">
        <f t="shared" si="13"/>
        <v>16.489999999999998</v>
      </c>
      <c r="H3463" s="23"/>
      <c r="I3463" s="23"/>
    </row>
    <row r="3464" spans="1:9">
      <c r="A3464" s="21" t="s">
        <v>8647</v>
      </c>
      <c r="B3464" s="21"/>
      <c r="C3464" s="22">
        <v>3420</v>
      </c>
      <c r="D3464" s="21">
        <v>16.47</v>
      </c>
      <c r="E3464" s="21" t="s">
        <v>5796</v>
      </c>
      <c r="F3464" s="23"/>
      <c r="G3464" s="23">
        <f t="shared" si="13"/>
        <v>16.47</v>
      </c>
      <c r="H3464" s="23"/>
      <c r="I3464" s="23"/>
    </row>
    <row r="3465" spans="1:9">
      <c r="A3465" s="21" t="s">
        <v>8648</v>
      </c>
      <c r="B3465" s="21"/>
      <c r="C3465" s="22">
        <v>3421</v>
      </c>
      <c r="D3465" s="21">
        <v>16.420000000000002</v>
      </c>
      <c r="E3465" s="21" t="s">
        <v>5796</v>
      </c>
      <c r="F3465" s="23"/>
      <c r="G3465" s="23">
        <f t="shared" si="13"/>
        <v>16.420000000000002</v>
      </c>
      <c r="H3465" s="23"/>
      <c r="I3465" s="23"/>
    </row>
    <row r="3466" spans="1:9">
      <c r="A3466" s="21" t="s">
        <v>8649</v>
      </c>
      <c r="B3466" s="21"/>
      <c r="C3466" s="22">
        <v>3422</v>
      </c>
      <c r="D3466" s="21">
        <v>16.37</v>
      </c>
      <c r="E3466" s="21" t="s">
        <v>5796</v>
      </c>
      <c r="F3466" s="23"/>
      <c r="G3466" s="23">
        <f t="shared" si="13"/>
        <v>16.37</v>
      </c>
      <c r="H3466" s="23"/>
      <c r="I3466" s="23"/>
    </row>
    <row r="3467" spans="1:9">
      <c r="A3467" s="21" t="s">
        <v>8650</v>
      </c>
      <c r="B3467" s="21"/>
      <c r="C3467" s="22">
        <v>3423</v>
      </c>
      <c r="D3467" s="21">
        <v>16.350000000000001</v>
      </c>
      <c r="E3467" s="21" t="s">
        <v>5796</v>
      </c>
      <c r="F3467" s="23"/>
      <c r="G3467" s="23">
        <f t="shared" si="13"/>
        <v>16.350000000000001</v>
      </c>
      <c r="H3467" s="23"/>
      <c r="I3467" s="23"/>
    </row>
    <row r="3468" spans="1:9">
      <c r="A3468" s="21" t="s">
        <v>8651</v>
      </c>
      <c r="B3468" s="21"/>
      <c r="C3468" s="22">
        <v>3424</v>
      </c>
      <c r="D3468" s="21">
        <v>16.32</v>
      </c>
      <c r="E3468" s="21" t="s">
        <v>5796</v>
      </c>
      <c r="F3468" s="23"/>
      <c r="G3468" s="23">
        <f t="shared" si="13"/>
        <v>16.32</v>
      </c>
      <c r="H3468" s="23"/>
      <c r="I3468" s="23"/>
    </row>
    <row r="3469" spans="1:9">
      <c r="A3469" s="21" t="s">
        <v>8652</v>
      </c>
      <c r="B3469" s="21"/>
      <c r="C3469" s="22">
        <v>3425</v>
      </c>
      <c r="D3469" s="21">
        <v>16.309999999999999</v>
      </c>
      <c r="E3469" s="21" t="s">
        <v>5796</v>
      </c>
      <c r="F3469" s="23"/>
      <c r="G3469" s="23">
        <f t="shared" si="13"/>
        <v>16.309999999999999</v>
      </c>
      <c r="H3469" s="23"/>
      <c r="I3469" s="23"/>
    </row>
    <row r="3470" spans="1:9">
      <c r="A3470" s="21" t="s">
        <v>8653</v>
      </c>
      <c r="B3470" s="21"/>
      <c r="C3470" s="22">
        <v>3426</v>
      </c>
      <c r="D3470" s="21">
        <v>16.29</v>
      </c>
      <c r="E3470" s="21" t="s">
        <v>5796</v>
      </c>
      <c r="F3470" s="23"/>
      <c r="G3470" s="23">
        <f t="shared" si="13"/>
        <v>16.29</v>
      </c>
      <c r="H3470" s="23"/>
      <c r="I3470" s="23"/>
    </row>
    <row r="3471" spans="1:9">
      <c r="A3471" s="21" t="s">
        <v>8654</v>
      </c>
      <c r="B3471" s="21"/>
      <c r="C3471" s="22">
        <v>3427</v>
      </c>
      <c r="D3471" s="21">
        <v>16.28</v>
      </c>
      <c r="E3471" s="21" t="s">
        <v>5796</v>
      </c>
      <c r="F3471" s="23"/>
      <c r="G3471" s="23">
        <f t="shared" si="13"/>
        <v>16.28</v>
      </c>
      <c r="H3471" s="23"/>
      <c r="I3471" s="23"/>
    </row>
    <row r="3472" spans="1:9">
      <c r="A3472" s="21" t="s">
        <v>8655</v>
      </c>
      <c r="B3472" s="21"/>
      <c r="C3472" s="22">
        <v>3428</v>
      </c>
      <c r="D3472" s="21">
        <v>16.23</v>
      </c>
      <c r="E3472" s="21" t="s">
        <v>5796</v>
      </c>
      <c r="F3472" s="23"/>
      <c r="G3472" s="23">
        <f t="shared" si="13"/>
        <v>16.23</v>
      </c>
      <c r="H3472" s="23"/>
      <c r="I3472" s="23"/>
    </row>
    <row r="3473" spans="1:9">
      <c r="A3473" s="21" t="s">
        <v>8656</v>
      </c>
      <c r="B3473" s="21"/>
      <c r="C3473" s="22">
        <v>3429</v>
      </c>
      <c r="D3473" s="21">
        <v>16.18</v>
      </c>
      <c r="E3473" s="21" t="s">
        <v>5796</v>
      </c>
      <c r="F3473" s="23"/>
      <c r="G3473" s="23">
        <f t="shared" si="13"/>
        <v>16.18</v>
      </c>
      <c r="H3473" s="23"/>
      <c r="I3473" s="23"/>
    </row>
    <row r="3474" spans="1:9">
      <c r="A3474" s="21" t="s">
        <v>8657</v>
      </c>
      <c r="B3474" s="21"/>
      <c r="C3474" s="22">
        <v>3430</v>
      </c>
      <c r="D3474" s="21">
        <v>16.170000000000002</v>
      </c>
      <c r="E3474" s="21" t="s">
        <v>5796</v>
      </c>
      <c r="F3474" s="23"/>
      <c r="G3474" s="23">
        <f t="shared" si="13"/>
        <v>16.170000000000002</v>
      </c>
      <c r="H3474" s="23"/>
      <c r="I3474" s="23"/>
    </row>
    <row r="3475" spans="1:9">
      <c r="A3475" s="21" t="s">
        <v>8658</v>
      </c>
      <c r="B3475" s="21"/>
      <c r="C3475" s="22">
        <v>3431</v>
      </c>
      <c r="D3475" s="21">
        <v>16.12</v>
      </c>
      <c r="E3475" s="21" t="s">
        <v>5796</v>
      </c>
      <c r="F3475" s="23"/>
      <c r="G3475" s="23">
        <f t="shared" si="13"/>
        <v>16.12</v>
      </c>
      <c r="H3475" s="23"/>
      <c r="I3475" s="23"/>
    </row>
    <row r="3476" spans="1:9">
      <c r="A3476" s="21" t="s">
        <v>8659</v>
      </c>
      <c r="B3476" s="21"/>
      <c r="C3476" s="22">
        <v>3432</v>
      </c>
      <c r="D3476" s="21">
        <v>16.07</v>
      </c>
      <c r="E3476" s="21" t="s">
        <v>5796</v>
      </c>
      <c r="F3476" s="23"/>
      <c r="G3476" s="23">
        <f t="shared" si="13"/>
        <v>16.07</v>
      </c>
      <c r="H3476" s="23"/>
      <c r="I3476" s="23"/>
    </row>
    <row r="3477" spans="1:9">
      <c r="A3477" s="21" t="s">
        <v>8660</v>
      </c>
      <c r="B3477" s="21"/>
      <c r="C3477" s="22">
        <v>3433</v>
      </c>
      <c r="D3477" s="21">
        <v>16.03</v>
      </c>
      <c r="E3477" s="21" t="s">
        <v>5796</v>
      </c>
      <c r="F3477" s="23"/>
      <c r="G3477" s="23">
        <f t="shared" si="13"/>
        <v>16.03</v>
      </c>
      <c r="H3477" s="23"/>
      <c r="I3477" s="23"/>
    </row>
    <row r="3478" spans="1:9">
      <c r="A3478" s="21" t="s">
        <v>8661</v>
      </c>
      <c r="B3478" s="21"/>
      <c r="C3478" s="22">
        <v>3434</v>
      </c>
      <c r="D3478" s="21">
        <v>16.010000000000002</v>
      </c>
      <c r="E3478" s="21" t="s">
        <v>5796</v>
      </c>
      <c r="F3478" s="23"/>
      <c r="G3478" s="23">
        <f t="shared" si="13"/>
        <v>16.010000000000002</v>
      </c>
      <c r="H3478" s="23"/>
      <c r="I3478" s="23"/>
    </row>
    <row r="3479" spans="1:9">
      <c r="A3479" s="21" t="s">
        <v>8662</v>
      </c>
      <c r="B3479" s="21"/>
      <c r="C3479" s="22">
        <v>3435</v>
      </c>
      <c r="D3479" s="21">
        <v>16.010000000000002</v>
      </c>
      <c r="E3479" s="21" t="s">
        <v>5796</v>
      </c>
      <c r="F3479" s="23"/>
      <c r="G3479" s="23">
        <f t="shared" si="13"/>
        <v>16.010000000000002</v>
      </c>
      <c r="H3479" s="23"/>
      <c r="I3479" s="23"/>
    </row>
    <row r="3480" spans="1:9">
      <c r="A3480" s="21" t="s">
        <v>8663</v>
      </c>
      <c r="B3480" s="21"/>
      <c r="C3480" s="22">
        <v>3436</v>
      </c>
      <c r="D3480" s="21">
        <v>15.99</v>
      </c>
      <c r="E3480" s="21" t="s">
        <v>5796</v>
      </c>
      <c r="F3480" s="23"/>
      <c r="G3480" s="23">
        <f t="shared" si="13"/>
        <v>15.99</v>
      </c>
      <c r="H3480" s="23"/>
      <c r="I3480" s="23"/>
    </row>
    <row r="3481" spans="1:9">
      <c r="A3481" s="21" t="s">
        <v>8664</v>
      </c>
      <c r="B3481" s="21"/>
      <c r="C3481" s="22">
        <v>3437</v>
      </c>
      <c r="D3481" s="21">
        <v>15.97</v>
      </c>
      <c r="E3481" s="21" t="s">
        <v>5796</v>
      </c>
      <c r="F3481" s="23"/>
      <c r="G3481" s="23">
        <f t="shared" si="13"/>
        <v>15.97</v>
      </c>
      <c r="H3481" s="23"/>
      <c r="I3481" s="23"/>
    </row>
    <row r="3482" spans="1:9">
      <c r="A3482" s="21" t="s">
        <v>8665</v>
      </c>
      <c r="B3482" s="21"/>
      <c r="C3482" s="22">
        <v>3438</v>
      </c>
      <c r="D3482" s="21">
        <v>15.94</v>
      </c>
      <c r="E3482" s="21" t="s">
        <v>5796</v>
      </c>
      <c r="F3482" s="23"/>
      <c r="G3482" s="23">
        <f t="shared" si="13"/>
        <v>15.94</v>
      </c>
      <c r="H3482" s="23"/>
      <c r="I3482" s="23"/>
    </row>
    <row r="3483" spans="1:9">
      <c r="A3483" s="21" t="s">
        <v>8666</v>
      </c>
      <c r="B3483" s="21"/>
      <c r="C3483" s="22">
        <v>3439</v>
      </c>
      <c r="D3483" s="21">
        <v>15.83</v>
      </c>
      <c r="E3483" s="21" t="s">
        <v>5796</v>
      </c>
      <c r="F3483" s="23"/>
      <c r="G3483" s="23">
        <f t="shared" si="13"/>
        <v>15.83</v>
      </c>
      <c r="H3483" s="23"/>
      <c r="I3483" s="23"/>
    </row>
    <row r="3484" spans="1:9">
      <c r="A3484" s="21" t="s">
        <v>8667</v>
      </c>
      <c r="B3484" s="21"/>
      <c r="C3484" s="22">
        <v>3440</v>
      </c>
      <c r="D3484" s="21">
        <v>15.81</v>
      </c>
      <c r="E3484" s="21" t="s">
        <v>5796</v>
      </c>
      <c r="F3484" s="23"/>
      <c r="G3484" s="23">
        <f t="shared" si="13"/>
        <v>15.81</v>
      </c>
      <c r="H3484" s="23"/>
      <c r="I3484" s="23"/>
    </row>
    <row r="3485" spans="1:9">
      <c r="A3485" s="21" t="s">
        <v>8668</v>
      </c>
      <c r="B3485" s="21"/>
      <c r="C3485" s="22">
        <v>3442</v>
      </c>
      <c r="D3485" s="21">
        <v>15.69</v>
      </c>
      <c r="E3485" s="21" t="s">
        <v>5796</v>
      </c>
      <c r="F3485" s="23"/>
      <c r="G3485" s="23">
        <f t="shared" si="13"/>
        <v>15.69</v>
      </c>
      <c r="H3485" s="23"/>
      <c r="I3485" s="23"/>
    </row>
    <row r="3486" spans="1:9">
      <c r="A3486" s="21" t="s">
        <v>8669</v>
      </c>
      <c r="B3486" s="21"/>
      <c r="C3486" s="22">
        <v>3444</v>
      </c>
      <c r="D3486" s="21">
        <v>15.63</v>
      </c>
      <c r="E3486" s="21" t="s">
        <v>5796</v>
      </c>
      <c r="F3486" s="23"/>
      <c r="G3486" s="23">
        <f t="shared" si="13"/>
        <v>15.63</v>
      </c>
      <c r="H3486" s="23"/>
      <c r="I3486" s="23"/>
    </row>
    <row r="3487" spans="1:9">
      <c r="A3487" s="21" t="s">
        <v>8670</v>
      </c>
      <c r="B3487" s="21"/>
      <c r="C3487" s="22">
        <v>3445</v>
      </c>
      <c r="D3487" s="21">
        <v>15.62</v>
      </c>
      <c r="E3487" s="21" t="s">
        <v>5796</v>
      </c>
      <c r="F3487" s="23"/>
      <c r="G3487" s="23">
        <f t="shared" si="13"/>
        <v>15.62</v>
      </c>
      <c r="H3487" s="23"/>
      <c r="I3487" s="23"/>
    </row>
    <row r="3488" spans="1:9">
      <c r="A3488" s="21" t="s">
        <v>8671</v>
      </c>
      <c r="B3488" s="21"/>
      <c r="C3488" s="22">
        <v>3446</v>
      </c>
      <c r="D3488" s="21">
        <v>15.57</v>
      </c>
      <c r="E3488" s="21" t="s">
        <v>5796</v>
      </c>
      <c r="F3488" s="23"/>
      <c r="G3488" s="23">
        <f t="shared" si="13"/>
        <v>15.57</v>
      </c>
      <c r="H3488" s="23"/>
      <c r="I3488" s="23"/>
    </row>
    <row r="3489" spans="1:9">
      <c r="A3489" s="21" t="s">
        <v>8672</v>
      </c>
      <c r="B3489" s="21"/>
      <c r="C3489" s="22">
        <v>3447</v>
      </c>
      <c r="D3489" s="21">
        <v>15.56</v>
      </c>
      <c r="E3489" s="21" t="s">
        <v>5796</v>
      </c>
      <c r="F3489" s="23"/>
      <c r="G3489" s="23">
        <f t="shared" si="13"/>
        <v>15.56</v>
      </c>
      <c r="H3489" s="23"/>
      <c r="I3489" s="23"/>
    </row>
    <row r="3490" spans="1:9">
      <c r="A3490" s="21" t="s">
        <v>8673</v>
      </c>
      <c r="B3490" s="21"/>
      <c r="C3490" s="22">
        <v>3448</v>
      </c>
      <c r="D3490" s="21">
        <v>15.56</v>
      </c>
      <c r="E3490" s="21" t="s">
        <v>5796</v>
      </c>
      <c r="F3490" s="23"/>
      <c r="G3490" s="23">
        <f t="shared" si="13"/>
        <v>15.56</v>
      </c>
      <c r="H3490" s="23"/>
      <c r="I3490" s="23"/>
    </row>
    <row r="3491" spans="1:9">
      <c r="A3491" s="21" t="s">
        <v>8674</v>
      </c>
      <c r="B3491" s="21"/>
      <c r="C3491" s="22">
        <v>3449</v>
      </c>
      <c r="D3491" s="21">
        <v>15.54</v>
      </c>
      <c r="E3491" s="21" t="s">
        <v>5796</v>
      </c>
      <c r="F3491" s="23"/>
      <c r="G3491" s="23">
        <f t="shared" si="13"/>
        <v>15.54</v>
      </c>
      <c r="H3491" s="23"/>
      <c r="I3491" s="23"/>
    </row>
    <row r="3492" spans="1:9">
      <c r="A3492" s="21" t="s">
        <v>8675</v>
      </c>
      <c r="B3492" s="21"/>
      <c r="C3492" s="22">
        <v>3450</v>
      </c>
      <c r="D3492" s="21">
        <v>15.52</v>
      </c>
      <c r="E3492" s="21" t="s">
        <v>5796</v>
      </c>
      <c r="F3492" s="23"/>
      <c r="G3492" s="23">
        <f t="shared" si="13"/>
        <v>15.52</v>
      </c>
      <c r="H3492" s="23"/>
      <c r="I3492" s="23"/>
    </row>
    <row r="3493" spans="1:9">
      <c r="A3493" s="21" t="s">
        <v>8676</v>
      </c>
      <c r="B3493" s="21"/>
      <c r="C3493" s="22">
        <v>3451</v>
      </c>
      <c r="D3493" s="21">
        <v>15.46</v>
      </c>
      <c r="E3493" s="21" t="s">
        <v>5796</v>
      </c>
      <c r="F3493" s="23"/>
      <c r="G3493" s="23">
        <f t="shared" si="13"/>
        <v>15.46</v>
      </c>
      <c r="H3493" s="23"/>
      <c r="I3493" s="23"/>
    </row>
    <row r="3494" spans="1:9">
      <c r="A3494" s="21" t="s">
        <v>8677</v>
      </c>
      <c r="B3494" s="21"/>
      <c r="C3494" s="22">
        <v>3452</v>
      </c>
      <c r="D3494" s="21">
        <v>15.43</v>
      </c>
      <c r="E3494" s="21" t="s">
        <v>5796</v>
      </c>
      <c r="F3494" s="23"/>
      <c r="G3494" s="23">
        <f t="shared" si="13"/>
        <v>15.43</v>
      </c>
      <c r="H3494" s="23"/>
      <c r="I3494" s="23"/>
    </row>
    <row r="3495" spans="1:9">
      <c r="A3495" s="21" t="s">
        <v>8678</v>
      </c>
      <c r="B3495" s="21"/>
      <c r="C3495" s="22">
        <v>3454</v>
      </c>
      <c r="D3495" s="21">
        <v>15.37</v>
      </c>
      <c r="E3495" s="21" t="s">
        <v>5796</v>
      </c>
      <c r="F3495" s="23"/>
      <c r="G3495" s="23">
        <f t="shared" si="13"/>
        <v>15.37</v>
      </c>
      <c r="H3495" s="23"/>
      <c r="I3495" s="23"/>
    </row>
    <row r="3496" spans="1:9">
      <c r="A3496" s="21" t="s">
        <v>8679</v>
      </c>
      <c r="B3496" s="21"/>
      <c r="C3496" s="22">
        <v>3455</v>
      </c>
      <c r="D3496" s="21">
        <v>15.37</v>
      </c>
      <c r="E3496" s="21" t="s">
        <v>5796</v>
      </c>
      <c r="F3496" s="23"/>
      <c r="G3496" s="23">
        <f t="shared" si="13"/>
        <v>15.37</v>
      </c>
      <c r="H3496" s="23"/>
      <c r="I3496" s="23"/>
    </row>
    <row r="3497" spans="1:9">
      <c r="A3497" s="21" t="s">
        <v>8680</v>
      </c>
      <c r="B3497" s="21"/>
      <c r="C3497" s="22">
        <v>3456</v>
      </c>
      <c r="D3497" s="21">
        <v>15.34</v>
      </c>
      <c r="E3497" s="21" t="s">
        <v>5796</v>
      </c>
      <c r="F3497" s="23"/>
      <c r="G3497" s="23">
        <f t="shared" si="13"/>
        <v>15.34</v>
      </c>
      <c r="H3497" s="23"/>
      <c r="I3497" s="23"/>
    </row>
    <row r="3498" spans="1:9">
      <c r="A3498" s="21" t="s">
        <v>8681</v>
      </c>
      <c r="B3498" s="21"/>
      <c r="C3498" s="22">
        <v>3457</v>
      </c>
      <c r="D3498" s="21">
        <v>15.33</v>
      </c>
      <c r="E3498" s="21" t="s">
        <v>5796</v>
      </c>
      <c r="F3498" s="23"/>
      <c r="G3498" s="23">
        <f t="shared" si="13"/>
        <v>15.33</v>
      </c>
      <c r="H3498" s="23"/>
      <c r="I3498" s="23"/>
    </row>
    <row r="3499" spans="1:9">
      <c r="A3499" s="21" t="s">
        <v>8682</v>
      </c>
      <c r="B3499" s="21"/>
      <c r="C3499" s="22">
        <v>3458</v>
      </c>
      <c r="D3499" s="21">
        <v>15.32</v>
      </c>
      <c r="E3499" s="21" t="s">
        <v>5796</v>
      </c>
      <c r="F3499" s="23"/>
      <c r="G3499" s="23">
        <f t="shared" si="13"/>
        <v>15.32</v>
      </c>
      <c r="H3499" s="23"/>
      <c r="I3499" s="23"/>
    </row>
    <row r="3500" spans="1:9">
      <c r="A3500" s="21" t="s">
        <v>8683</v>
      </c>
      <c r="B3500" s="21"/>
      <c r="C3500" s="22">
        <v>3459</v>
      </c>
      <c r="D3500" s="21">
        <v>15.31</v>
      </c>
      <c r="E3500" s="21" t="s">
        <v>5796</v>
      </c>
      <c r="F3500" s="23"/>
      <c r="G3500" s="23">
        <f t="shared" si="13"/>
        <v>15.31</v>
      </c>
      <c r="H3500" s="23"/>
      <c r="I3500" s="23"/>
    </row>
    <row r="3501" spans="1:9">
      <c r="A3501" s="21" t="s">
        <v>8684</v>
      </c>
      <c r="B3501" s="21"/>
      <c r="C3501" s="22">
        <v>3460</v>
      </c>
      <c r="D3501" s="21">
        <v>15.28</v>
      </c>
      <c r="E3501" s="21" t="s">
        <v>5796</v>
      </c>
      <c r="F3501" s="23"/>
      <c r="G3501" s="23">
        <f t="shared" si="13"/>
        <v>15.28</v>
      </c>
      <c r="H3501" s="23"/>
      <c r="I3501" s="23"/>
    </row>
    <row r="3502" spans="1:9">
      <c r="A3502" s="21" t="s">
        <v>8685</v>
      </c>
      <c r="B3502" s="21"/>
      <c r="C3502" s="22">
        <v>3461</v>
      </c>
      <c r="D3502" s="21">
        <v>15.24</v>
      </c>
      <c r="E3502" s="21" t="s">
        <v>5796</v>
      </c>
      <c r="F3502" s="23"/>
      <c r="G3502" s="23">
        <f t="shared" si="13"/>
        <v>15.24</v>
      </c>
      <c r="H3502" s="23"/>
      <c r="I3502" s="23"/>
    </row>
    <row r="3503" spans="1:9">
      <c r="A3503" s="21" t="s">
        <v>8686</v>
      </c>
      <c r="B3503" s="21"/>
      <c r="C3503" s="22">
        <v>3462</v>
      </c>
      <c r="D3503" s="21">
        <v>15.23</v>
      </c>
      <c r="E3503" s="21" t="s">
        <v>5796</v>
      </c>
      <c r="F3503" s="23"/>
      <c r="G3503" s="23">
        <f t="shared" si="13"/>
        <v>15.23</v>
      </c>
      <c r="H3503" s="23"/>
      <c r="I3503" s="23"/>
    </row>
    <row r="3504" spans="1:9">
      <c r="A3504" s="21" t="s">
        <v>8687</v>
      </c>
      <c r="B3504" s="21"/>
      <c r="C3504" s="22">
        <v>3463</v>
      </c>
      <c r="D3504" s="21">
        <v>15.22</v>
      </c>
      <c r="E3504" s="21" t="s">
        <v>5796</v>
      </c>
      <c r="F3504" s="23"/>
      <c r="G3504" s="23">
        <f t="shared" si="13"/>
        <v>15.22</v>
      </c>
      <c r="H3504" s="23"/>
      <c r="I3504" s="23"/>
    </row>
    <row r="3505" spans="1:9">
      <c r="A3505" s="21" t="s">
        <v>8688</v>
      </c>
      <c r="B3505" s="21"/>
      <c r="C3505" s="22">
        <v>3464</v>
      </c>
      <c r="D3505" s="21">
        <v>15.1</v>
      </c>
      <c r="E3505" s="21" t="s">
        <v>5796</v>
      </c>
      <c r="F3505" s="23"/>
      <c r="G3505" s="23">
        <f t="shared" si="13"/>
        <v>15.1</v>
      </c>
      <c r="H3505" s="23"/>
      <c r="I3505" s="23"/>
    </row>
    <row r="3506" spans="1:9">
      <c r="A3506" s="21" t="s">
        <v>8689</v>
      </c>
      <c r="B3506" s="21"/>
      <c r="C3506" s="22">
        <v>3465</v>
      </c>
      <c r="D3506" s="21">
        <v>15.02</v>
      </c>
      <c r="E3506" s="21" t="s">
        <v>5796</v>
      </c>
      <c r="F3506" s="23"/>
      <c r="G3506" s="23">
        <f t="shared" si="13"/>
        <v>15.02</v>
      </c>
      <c r="H3506" s="23"/>
      <c r="I3506" s="23"/>
    </row>
    <row r="3507" spans="1:9">
      <c r="A3507" s="21" t="s">
        <v>8690</v>
      </c>
      <c r="B3507" s="21"/>
      <c r="C3507" s="22">
        <v>3466</v>
      </c>
      <c r="D3507" s="21">
        <v>15.02</v>
      </c>
      <c r="E3507" s="21" t="s">
        <v>5796</v>
      </c>
      <c r="F3507" s="23"/>
      <c r="G3507" s="23">
        <f t="shared" si="13"/>
        <v>15.02</v>
      </c>
      <c r="H3507" s="23"/>
      <c r="I3507" s="23"/>
    </row>
    <row r="3508" spans="1:9">
      <c r="A3508" s="21" t="s">
        <v>8691</v>
      </c>
      <c r="B3508" s="21"/>
      <c r="C3508" s="22">
        <v>3467</v>
      </c>
      <c r="D3508" s="21">
        <v>15.01</v>
      </c>
      <c r="E3508" s="21" t="s">
        <v>5796</v>
      </c>
      <c r="F3508" s="23"/>
      <c r="G3508" s="23">
        <f t="shared" si="13"/>
        <v>15.01</v>
      </c>
      <c r="H3508" s="23"/>
      <c r="I3508" s="23"/>
    </row>
    <row r="3509" spans="1:9">
      <c r="A3509" s="21" t="s">
        <v>8692</v>
      </c>
      <c r="B3509" s="21"/>
      <c r="C3509" s="22">
        <v>3468</v>
      </c>
      <c r="D3509" s="21">
        <v>15</v>
      </c>
      <c r="E3509" s="21" t="s">
        <v>5796</v>
      </c>
      <c r="F3509" s="23"/>
      <c r="G3509" s="23">
        <f t="shared" si="13"/>
        <v>15</v>
      </c>
      <c r="H3509" s="23"/>
      <c r="I3509" s="23"/>
    </row>
    <row r="3510" spans="1:9">
      <c r="A3510" s="21" t="s">
        <v>8693</v>
      </c>
      <c r="B3510" s="21"/>
      <c r="C3510" s="22">
        <v>3469</v>
      </c>
      <c r="D3510" s="21">
        <v>15</v>
      </c>
      <c r="E3510" s="21" t="s">
        <v>5796</v>
      </c>
      <c r="F3510" s="23"/>
      <c r="G3510" s="23">
        <f t="shared" si="13"/>
        <v>15</v>
      </c>
      <c r="H3510" s="23"/>
      <c r="I3510" s="23"/>
    </row>
    <row r="3511" spans="1:9">
      <c r="A3511" s="21" t="s">
        <v>8694</v>
      </c>
      <c r="B3511" s="21"/>
      <c r="C3511" s="22">
        <v>3470</v>
      </c>
      <c r="D3511" s="21">
        <v>14.94</v>
      </c>
      <c r="E3511" s="21" t="s">
        <v>5796</v>
      </c>
      <c r="F3511" s="23"/>
      <c r="G3511" s="23">
        <f t="shared" si="13"/>
        <v>14.94</v>
      </c>
      <c r="H3511" s="23"/>
      <c r="I3511" s="23"/>
    </row>
    <row r="3512" spans="1:9">
      <c r="A3512" s="21" t="s">
        <v>8695</v>
      </c>
      <c r="B3512" s="21"/>
      <c r="C3512" s="22">
        <v>3471</v>
      </c>
      <c r="D3512" s="21">
        <v>14.92</v>
      </c>
      <c r="E3512" s="21" t="s">
        <v>5796</v>
      </c>
      <c r="F3512" s="23"/>
      <c r="G3512" s="23">
        <f t="shared" si="13"/>
        <v>14.92</v>
      </c>
      <c r="H3512" s="23"/>
      <c r="I3512" s="23"/>
    </row>
    <row r="3513" spans="1:9">
      <c r="A3513" s="21" t="s">
        <v>8696</v>
      </c>
      <c r="B3513" s="21"/>
      <c r="C3513" s="22">
        <v>3472</v>
      </c>
      <c r="D3513" s="21">
        <v>14.91</v>
      </c>
      <c r="E3513" s="21" t="s">
        <v>5796</v>
      </c>
      <c r="F3513" s="23"/>
      <c r="G3513" s="23">
        <f t="shared" si="13"/>
        <v>14.91</v>
      </c>
      <c r="H3513" s="23"/>
      <c r="I3513" s="23"/>
    </row>
    <row r="3514" spans="1:9">
      <c r="A3514" s="21" t="s">
        <v>8697</v>
      </c>
      <c r="B3514" s="21"/>
      <c r="C3514" s="22">
        <v>3473</v>
      </c>
      <c r="D3514" s="21">
        <v>14.91</v>
      </c>
      <c r="E3514" s="21" t="s">
        <v>5796</v>
      </c>
      <c r="F3514" s="23"/>
      <c r="G3514" s="23">
        <f t="shared" si="13"/>
        <v>14.91</v>
      </c>
      <c r="H3514" s="23"/>
      <c r="I3514" s="23"/>
    </row>
    <row r="3515" spans="1:9">
      <c r="A3515" s="21" t="s">
        <v>8698</v>
      </c>
      <c r="B3515" s="21"/>
      <c r="C3515" s="22">
        <v>3474</v>
      </c>
      <c r="D3515" s="21">
        <v>14.88</v>
      </c>
      <c r="E3515" s="21" t="s">
        <v>5796</v>
      </c>
      <c r="F3515" s="23"/>
      <c r="G3515" s="23">
        <f t="shared" si="13"/>
        <v>14.88</v>
      </c>
      <c r="H3515" s="23"/>
      <c r="I3515" s="23"/>
    </row>
    <row r="3516" spans="1:9">
      <c r="A3516" s="21" t="s">
        <v>8699</v>
      </c>
      <c r="B3516" s="21"/>
      <c r="C3516" s="22">
        <v>3475</v>
      </c>
      <c r="D3516" s="21">
        <v>14.86</v>
      </c>
      <c r="E3516" s="21" t="s">
        <v>5796</v>
      </c>
      <c r="F3516" s="23"/>
      <c r="G3516" s="23">
        <f t="shared" si="13"/>
        <v>14.86</v>
      </c>
      <c r="H3516" s="23"/>
      <c r="I3516" s="23"/>
    </row>
    <row r="3517" spans="1:9">
      <c r="A3517" s="21" t="s">
        <v>8700</v>
      </c>
      <c r="B3517" s="21"/>
      <c r="C3517" s="22">
        <v>3476</v>
      </c>
      <c r="D3517" s="21">
        <v>14.82</v>
      </c>
      <c r="E3517" s="21" t="s">
        <v>5796</v>
      </c>
      <c r="F3517" s="23"/>
      <c r="G3517" s="23">
        <f t="shared" si="13"/>
        <v>14.82</v>
      </c>
      <c r="H3517" s="23"/>
      <c r="I3517" s="23"/>
    </row>
    <row r="3518" spans="1:9">
      <c r="A3518" s="21" t="s">
        <v>8701</v>
      </c>
      <c r="B3518" s="21"/>
      <c r="C3518" s="22">
        <v>3477</v>
      </c>
      <c r="D3518" s="21">
        <v>14.65</v>
      </c>
      <c r="E3518" s="21" t="s">
        <v>5796</v>
      </c>
      <c r="F3518" s="23"/>
      <c r="G3518" s="23">
        <f t="shared" si="13"/>
        <v>14.65</v>
      </c>
      <c r="H3518" s="23"/>
      <c r="I3518" s="23"/>
    </row>
    <row r="3519" spans="1:9">
      <c r="A3519" s="21" t="s">
        <v>8702</v>
      </c>
      <c r="B3519" s="21"/>
      <c r="C3519" s="22">
        <v>3478</v>
      </c>
      <c r="D3519" s="21">
        <v>14.64</v>
      </c>
      <c r="E3519" s="21" t="s">
        <v>5796</v>
      </c>
      <c r="F3519" s="23"/>
      <c r="G3519" s="23">
        <f t="shared" si="13"/>
        <v>14.64</v>
      </c>
      <c r="H3519" s="23"/>
      <c r="I3519" s="23"/>
    </row>
    <row r="3520" spans="1:9">
      <c r="A3520" s="21" t="s">
        <v>8703</v>
      </c>
      <c r="B3520" s="21"/>
      <c r="C3520" s="22">
        <v>3479</v>
      </c>
      <c r="D3520" s="21">
        <v>14.63</v>
      </c>
      <c r="E3520" s="21" t="s">
        <v>5796</v>
      </c>
      <c r="F3520" s="23"/>
      <c r="G3520" s="23">
        <f t="shared" si="13"/>
        <v>14.63</v>
      </c>
      <c r="H3520" s="23"/>
      <c r="I3520" s="23"/>
    </row>
    <row r="3521" spans="1:9">
      <c r="A3521" s="21" t="s">
        <v>8704</v>
      </c>
      <c r="B3521" s="21"/>
      <c r="C3521" s="22">
        <v>3480</v>
      </c>
      <c r="D3521" s="21">
        <v>14.63</v>
      </c>
      <c r="E3521" s="21" t="s">
        <v>5796</v>
      </c>
      <c r="F3521" s="23"/>
      <c r="G3521" s="23">
        <f t="shared" si="13"/>
        <v>14.63</v>
      </c>
      <c r="H3521" s="23"/>
      <c r="I3521" s="23"/>
    </row>
    <row r="3522" spans="1:9">
      <c r="A3522" s="21" t="s">
        <v>8705</v>
      </c>
      <c r="B3522" s="21"/>
      <c r="C3522" s="22">
        <v>3481</v>
      </c>
      <c r="D3522" s="21">
        <v>14.6</v>
      </c>
      <c r="E3522" s="21" t="s">
        <v>5796</v>
      </c>
      <c r="F3522" s="23"/>
      <c r="G3522" s="23">
        <f t="shared" si="13"/>
        <v>14.6</v>
      </c>
      <c r="H3522" s="23"/>
      <c r="I3522" s="23"/>
    </row>
    <row r="3523" spans="1:9">
      <c r="A3523" s="21" t="s">
        <v>8706</v>
      </c>
      <c r="B3523" s="21"/>
      <c r="C3523" s="22">
        <v>3482</v>
      </c>
      <c r="D3523" s="21">
        <v>14.54</v>
      </c>
      <c r="E3523" s="21" t="s">
        <v>5796</v>
      </c>
      <c r="F3523" s="23"/>
      <c r="G3523" s="23">
        <f t="shared" si="13"/>
        <v>14.54</v>
      </c>
      <c r="H3523" s="23"/>
      <c r="I3523" s="23"/>
    </row>
    <row r="3524" spans="1:9">
      <c r="A3524" s="21" t="s">
        <v>8707</v>
      </c>
      <c r="B3524" s="21"/>
      <c r="C3524" s="22">
        <v>3483</v>
      </c>
      <c r="D3524" s="21">
        <v>14.52</v>
      </c>
      <c r="E3524" s="21" t="s">
        <v>5796</v>
      </c>
      <c r="F3524" s="23"/>
      <c r="G3524" s="23">
        <f t="shared" si="13"/>
        <v>14.52</v>
      </c>
      <c r="H3524" s="23"/>
      <c r="I3524" s="23"/>
    </row>
    <row r="3525" spans="1:9">
      <c r="A3525" s="21" t="s">
        <v>8708</v>
      </c>
      <c r="B3525" s="21"/>
      <c r="C3525" s="22">
        <v>3484</v>
      </c>
      <c r="D3525" s="21">
        <v>14.51</v>
      </c>
      <c r="E3525" s="21" t="s">
        <v>5796</v>
      </c>
      <c r="F3525" s="23"/>
      <c r="G3525" s="23">
        <f t="shared" si="13"/>
        <v>14.51</v>
      </c>
      <c r="H3525" s="23"/>
      <c r="I3525" s="23"/>
    </row>
    <row r="3526" spans="1:9">
      <c r="A3526" s="21" t="s">
        <v>8709</v>
      </c>
      <c r="B3526" s="21"/>
      <c r="C3526" s="22">
        <v>3485</v>
      </c>
      <c r="D3526" s="21">
        <v>14.5</v>
      </c>
      <c r="E3526" s="21" t="s">
        <v>5796</v>
      </c>
      <c r="F3526" s="23"/>
      <c r="G3526" s="23">
        <f t="shared" si="13"/>
        <v>14.5</v>
      </c>
      <c r="H3526" s="23"/>
      <c r="I3526" s="23"/>
    </row>
    <row r="3527" spans="1:9">
      <c r="A3527" s="21" t="s">
        <v>8710</v>
      </c>
      <c r="B3527" s="21"/>
      <c r="C3527" s="22">
        <v>3486</v>
      </c>
      <c r="D3527" s="21">
        <v>14.47</v>
      </c>
      <c r="E3527" s="21" t="s">
        <v>5796</v>
      </c>
      <c r="F3527" s="23"/>
      <c r="G3527" s="23">
        <f t="shared" si="13"/>
        <v>14.47</v>
      </c>
      <c r="H3527" s="23"/>
      <c r="I3527" s="23"/>
    </row>
    <row r="3528" spans="1:9">
      <c r="A3528" s="21" t="s">
        <v>8711</v>
      </c>
      <c r="B3528" s="21"/>
      <c r="C3528" s="22">
        <v>3487</v>
      </c>
      <c r="D3528" s="21">
        <v>14.45</v>
      </c>
      <c r="E3528" s="21" t="s">
        <v>5796</v>
      </c>
      <c r="F3528" s="23"/>
      <c r="G3528" s="23">
        <f t="shared" si="13"/>
        <v>14.45</v>
      </c>
      <c r="H3528" s="23"/>
      <c r="I3528" s="23"/>
    </row>
    <row r="3529" spans="1:9">
      <c r="A3529" s="21" t="s">
        <v>8712</v>
      </c>
      <c r="B3529" s="21"/>
      <c r="C3529" s="22">
        <v>3488</v>
      </c>
      <c r="D3529" s="21">
        <v>14.43</v>
      </c>
      <c r="E3529" s="21" t="s">
        <v>5796</v>
      </c>
      <c r="F3529" s="23"/>
      <c r="G3529" s="23">
        <f t="shared" si="13"/>
        <v>14.43</v>
      </c>
      <c r="H3529" s="23"/>
      <c r="I3529" s="23"/>
    </row>
    <row r="3530" spans="1:9">
      <c r="A3530" s="21" t="s">
        <v>8713</v>
      </c>
      <c r="B3530" s="21"/>
      <c r="C3530" s="22">
        <v>3489</v>
      </c>
      <c r="D3530" s="21">
        <v>14.4</v>
      </c>
      <c r="E3530" s="21" t="s">
        <v>5796</v>
      </c>
      <c r="F3530" s="23"/>
      <c r="G3530" s="23">
        <f t="shared" si="13"/>
        <v>14.4</v>
      </c>
      <c r="H3530" s="23"/>
      <c r="I3530" s="23"/>
    </row>
    <row r="3531" spans="1:9">
      <c r="A3531" s="21" t="s">
        <v>8714</v>
      </c>
      <c r="B3531" s="21"/>
      <c r="C3531" s="22">
        <v>3490</v>
      </c>
      <c r="D3531" s="21">
        <v>14.37</v>
      </c>
      <c r="E3531" s="21" t="s">
        <v>5796</v>
      </c>
      <c r="F3531" s="23"/>
      <c r="G3531" s="23">
        <f t="shared" si="13"/>
        <v>14.37</v>
      </c>
      <c r="H3531" s="23"/>
      <c r="I3531" s="23"/>
    </row>
    <row r="3532" spans="1:9">
      <c r="A3532" s="21" t="s">
        <v>8715</v>
      </c>
      <c r="B3532" s="21"/>
      <c r="C3532" s="22">
        <v>3491</v>
      </c>
      <c r="D3532" s="21">
        <v>14.31</v>
      </c>
      <c r="E3532" s="21" t="s">
        <v>5796</v>
      </c>
      <c r="F3532" s="23"/>
      <c r="G3532" s="23">
        <f t="shared" si="13"/>
        <v>14.31</v>
      </c>
      <c r="H3532" s="23"/>
      <c r="I3532" s="23"/>
    </row>
    <row r="3533" spans="1:9">
      <c r="A3533" s="21" t="s">
        <v>8716</v>
      </c>
      <c r="B3533" s="21"/>
      <c r="C3533" s="22">
        <v>3492</v>
      </c>
      <c r="D3533" s="21">
        <v>14.29</v>
      </c>
      <c r="E3533" s="21" t="s">
        <v>5796</v>
      </c>
      <c r="F3533" s="23"/>
      <c r="G3533" s="23">
        <f t="shared" si="13"/>
        <v>14.29</v>
      </c>
      <c r="H3533" s="23"/>
      <c r="I3533" s="23"/>
    </row>
    <row r="3534" spans="1:9">
      <c r="A3534" s="21" t="s">
        <v>8717</v>
      </c>
      <c r="B3534" s="21"/>
      <c r="C3534" s="22">
        <v>3493</v>
      </c>
      <c r="D3534" s="21">
        <v>14.27</v>
      </c>
      <c r="E3534" s="21" t="s">
        <v>5796</v>
      </c>
      <c r="F3534" s="23"/>
      <c r="G3534" s="23">
        <f t="shared" si="13"/>
        <v>14.27</v>
      </c>
      <c r="H3534" s="23"/>
      <c r="I3534" s="23"/>
    </row>
    <row r="3535" spans="1:9">
      <c r="A3535" s="21" t="s">
        <v>8718</v>
      </c>
      <c r="B3535" s="21"/>
      <c r="C3535" s="22">
        <v>3494</v>
      </c>
      <c r="D3535" s="21">
        <v>14.21</v>
      </c>
      <c r="E3535" s="21" t="s">
        <v>5796</v>
      </c>
      <c r="F3535" s="23"/>
      <c r="G3535" s="23">
        <f t="shared" si="13"/>
        <v>14.21</v>
      </c>
      <c r="H3535" s="23"/>
      <c r="I3535" s="23"/>
    </row>
    <row r="3536" spans="1:9">
      <c r="A3536" s="21" t="s">
        <v>8719</v>
      </c>
      <c r="B3536" s="21"/>
      <c r="C3536" s="22">
        <v>3495</v>
      </c>
      <c r="D3536" s="21">
        <v>14.17</v>
      </c>
      <c r="E3536" s="21" t="s">
        <v>5796</v>
      </c>
      <c r="F3536" s="23"/>
      <c r="G3536" s="23">
        <f t="shared" si="13"/>
        <v>14.17</v>
      </c>
      <c r="H3536" s="23"/>
      <c r="I3536" s="23"/>
    </row>
    <row r="3537" spans="1:9">
      <c r="A3537" s="21" t="s">
        <v>8720</v>
      </c>
      <c r="B3537" s="21"/>
      <c r="C3537" s="22">
        <v>3496</v>
      </c>
      <c r="D3537" s="21">
        <v>14.15</v>
      </c>
      <c r="E3537" s="21" t="s">
        <v>5796</v>
      </c>
      <c r="F3537" s="23"/>
      <c r="G3537" s="23">
        <f t="shared" si="13"/>
        <v>14.15</v>
      </c>
      <c r="H3537" s="23"/>
      <c r="I3537" s="23"/>
    </row>
    <row r="3538" spans="1:9">
      <c r="A3538" s="21" t="s">
        <v>8721</v>
      </c>
      <c r="B3538" s="21"/>
      <c r="C3538" s="22">
        <v>3497</v>
      </c>
      <c r="D3538" s="21">
        <v>14.15</v>
      </c>
      <c r="E3538" s="21" t="s">
        <v>5796</v>
      </c>
      <c r="F3538" s="23"/>
      <c r="G3538" s="23">
        <f t="shared" si="13"/>
        <v>14.15</v>
      </c>
      <c r="H3538" s="23"/>
      <c r="I3538" s="23"/>
    </row>
    <row r="3539" spans="1:9">
      <c r="A3539" s="21" t="s">
        <v>8722</v>
      </c>
      <c r="B3539" s="21"/>
      <c r="C3539" s="22">
        <v>3498</v>
      </c>
      <c r="D3539" s="21">
        <v>14.15</v>
      </c>
      <c r="E3539" s="21" t="s">
        <v>5796</v>
      </c>
      <c r="F3539" s="23"/>
      <c r="G3539" s="23">
        <f t="shared" si="13"/>
        <v>14.15</v>
      </c>
      <c r="H3539" s="23"/>
      <c r="I3539" s="23"/>
    </row>
    <row r="3540" spans="1:9">
      <c r="A3540" s="21" t="s">
        <v>8723</v>
      </c>
      <c r="B3540" s="21"/>
      <c r="C3540" s="22">
        <v>3499</v>
      </c>
      <c r="D3540" s="21">
        <v>14.14</v>
      </c>
      <c r="E3540" s="21" t="s">
        <v>5796</v>
      </c>
      <c r="F3540" s="23"/>
      <c r="G3540" s="23">
        <f t="shared" si="13"/>
        <v>14.14</v>
      </c>
      <c r="H3540" s="23"/>
      <c r="I3540" s="23"/>
    </row>
    <row r="3541" spans="1:9">
      <c r="A3541" s="21" t="s">
        <v>8724</v>
      </c>
      <c r="B3541" s="21"/>
      <c r="C3541" s="22">
        <v>3500</v>
      </c>
      <c r="D3541" s="21">
        <v>14.13</v>
      </c>
      <c r="E3541" s="21" t="s">
        <v>5796</v>
      </c>
      <c r="F3541" s="23"/>
      <c r="G3541" s="23">
        <f t="shared" si="13"/>
        <v>14.13</v>
      </c>
      <c r="H3541" s="23"/>
      <c r="I3541" s="23"/>
    </row>
    <row r="3542" spans="1:9">
      <c r="A3542" s="21" t="s">
        <v>8725</v>
      </c>
      <c r="B3542" s="21"/>
      <c r="C3542" s="22">
        <v>3502</v>
      </c>
      <c r="D3542" s="21">
        <v>14.06</v>
      </c>
      <c r="E3542" s="21" t="s">
        <v>5796</v>
      </c>
      <c r="F3542" s="23"/>
      <c r="G3542" s="23">
        <f t="shared" si="13"/>
        <v>14.06</v>
      </c>
      <c r="H3542" s="23"/>
      <c r="I3542" s="23"/>
    </row>
    <row r="3543" spans="1:9">
      <c r="A3543" s="21" t="s">
        <v>8726</v>
      </c>
      <c r="B3543" s="21"/>
      <c r="C3543" s="22">
        <v>3504</v>
      </c>
      <c r="D3543" s="21">
        <v>14.03</v>
      </c>
      <c r="E3543" s="21" t="s">
        <v>5796</v>
      </c>
      <c r="F3543" s="23"/>
      <c r="G3543" s="23">
        <f t="shared" si="13"/>
        <v>14.03</v>
      </c>
      <c r="H3543" s="23"/>
      <c r="I3543" s="23"/>
    </row>
    <row r="3544" spans="1:9">
      <c r="A3544" s="21" t="s">
        <v>8727</v>
      </c>
      <c r="B3544" s="21"/>
      <c r="C3544" s="22">
        <v>3505</v>
      </c>
      <c r="D3544" s="21">
        <v>14.03</v>
      </c>
      <c r="E3544" s="21" t="s">
        <v>5796</v>
      </c>
      <c r="F3544" s="23"/>
      <c r="G3544" s="23">
        <f t="shared" si="13"/>
        <v>14.03</v>
      </c>
      <c r="H3544" s="23"/>
      <c r="I3544" s="23"/>
    </row>
    <row r="3545" spans="1:9">
      <c r="A3545" s="21" t="s">
        <v>8728</v>
      </c>
      <c r="B3545" s="21"/>
      <c r="C3545" s="22">
        <v>3506</v>
      </c>
      <c r="D3545" s="21">
        <v>14.03</v>
      </c>
      <c r="E3545" s="21" t="s">
        <v>5796</v>
      </c>
      <c r="F3545" s="23"/>
      <c r="G3545" s="23">
        <f t="shared" si="13"/>
        <v>14.03</v>
      </c>
      <c r="H3545" s="23"/>
      <c r="I3545" s="23"/>
    </row>
    <row r="3546" spans="1:9">
      <c r="A3546" s="21" t="s">
        <v>8729</v>
      </c>
      <c r="B3546" s="21"/>
      <c r="C3546" s="22">
        <v>3507</v>
      </c>
      <c r="D3546" s="21">
        <v>14.02</v>
      </c>
      <c r="E3546" s="21" t="s">
        <v>5796</v>
      </c>
      <c r="F3546" s="23"/>
      <c r="G3546" s="23">
        <f t="shared" si="13"/>
        <v>14.02</v>
      </c>
      <c r="H3546" s="23"/>
      <c r="I3546" s="23"/>
    </row>
    <row r="3547" spans="1:9">
      <c r="A3547" s="21" t="s">
        <v>8730</v>
      </c>
      <c r="B3547" s="21"/>
      <c r="C3547" s="22">
        <v>3508</v>
      </c>
      <c r="D3547" s="21">
        <v>14.01</v>
      </c>
      <c r="E3547" s="21" t="s">
        <v>5796</v>
      </c>
      <c r="F3547" s="23"/>
      <c r="G3547" s="23">
        <f t="shared" si="13"/>
        <v>14.01</v>
      </c>
      <c r="H3547" s="23"/>
      <c r="I3547" s="23"/>
    </row>
    <row r="3548" spans="1:9">
      <c r="A3548" s="21" t="s">
        <v>8731</v>
      </c>
      <c r="B3548" s="21"/>
      <c r="C3548" s="22">
        <v>3509</v>
      </c>
      <c r="D3548" s="21">
        <v>14.01</v>
      </c>
      <c r="E3548" s="21" t="s">
        <v>5796</v>
      </c>
      <c r="F3548" s="23"/>
      <c r="G3548" s="23">
        <f t="shared" si="13"/>
        <v>14.01</v>
      </c>
      <c r="H3548" s="23"/>
      <c r="I3548" s="23"/>
    </row>
    <row r="3549" spans="1:9">
      <c r="A3549" s="21" t="s">
        <v>8732</v>
      </c>
      <c r="B3549" s="21"/>
      <c r="C3549" s="22">
        <v>3510</v>
      </c>
      <c r="D3549" s="21">
        <v>14</v>
      </c>
      <c r="E3549" s="21" t="s">
        <v>5796</v>
      </c>
      <c r="F3549" s="23"/>
      <c r="G3549" s="23">
        <f t="shared" si="13"/>
        <v>14</v>
      </c>
      <c r="H3549" s="23"/>
      <c r="I3549" s="23"/>
    </row>
    <row r="3550" spans="1:9">
      <c r="A3550" s="21" t="s">
        <v>8733</v>
      </c>
      <c r="B3550" s="21"/>
      <c r="C3550" s="22">
        <v>3511</v>
      </c>
      <c r="D3550" s="21">
        <v>13.98</v>
      </c>
      <c r="E3550" s="21" t="s">
        <v>5796</v>
      </c>
      <c r="F3550" s="23"/>
      <c r="G3550" s="23">
        <f t="shared" si="13"/>
        <v>13.98</v>
      </c>
      <c r="H3550" s="23"/>
      <c r="I3550" s="23"/>
    </row>
    <row r="3551" spans="1:9">
      <c r="A3551" s="21" t="s">
        <v>8734</v>
      </c>
      <c r="B3551" s="21"/>
      <c r="C3551" s="22">
        <v>3512</v>
      </c>
      <c r="D3551" s="21">
        <v>13.98</v>
      </c>
      <c r="E3551" s="21" t="s">
        <v>5796</v>
      </c>
      <c r="F3551" s="23"/>
      <c r="G3551" s="23">
        <f t="shared" si="13"/>
        <v>13.98</v>
      </c>
      <c r="H3551" s="23"/>
      <c r="I3551" s="23"/>
    </row>
    <row r="3552" spans="1:9">
      <c r="A3552" s="21" t="s">
        <v>8735</v>
      </c>
      <c r="B3552" s="21"/>
      <c r="C3552" s="22">
        <v>3513</v>
      </c>
      <c r="D3552" s="21">
        <v>13.97</v>
      </c>
      <c r="E3552" s="21" t="s">
        <v>5796</v>
      </c>
      <c r="F3552" s="23"/>
      <c r="G3552" s="23">
        <f t="shared" si="13"/>
        <v>13.97</v>
      </c>
      <c r="H3552" s="23"/>
      <c r="I3552" s="23"/>
    </row>
    <row r="3553" spans="1:9">
      <c r="A3553" s="21" t="s">
        <v>8736</v>
      </c>
      <c r="B3553" s="21"/>
      <c r="C3553" s="22">
        <v>3514</v>
      </c>
      <c r="D3553" s="21">
        <v>13.96</v>
      </c>
      <c r="E3553" s="21" t="s">
        <v>5796</v>
      </c>
      <c r="F3553" s="23"/>
      <c r="G3553" s="23">
        <f t="shared" si="13"/>
        <v>13.96</v>
      </c>
      <c r="H3553" s="23"/>
      <c r="I3553" s="23"/>
    </row>
    <row r="3554" spans="1:9">
      <c r="A3554" s="21" t="s">
        <v>8737</v>
      </c>
      <c r="B3554" s="21"/>
      <c r="C3554" s="22">
        <v>3515</v>
      </c>
      <c r="D3554" s="21">
        <v>13.95</v>
      </c>
      <c r="E3554" s="21" t="s">
        <v>5796</v>
      </c>
      <c r="F3554" s="23"/>
      <c r="G3554" s="23">
        <f t="shared" si="13"/>
        <v>13.95</v>
      </c>
      <c r="H3554" s="23"/>
      <c r="I3554" s="23"/>
    </row>
    <row r="3555" spans="1:9">
      <c r="A3555" s="21" t="s">
        <v>8738</v>
      </c>
      <c r="B3555" s="21"/>
      <c r="C3555" s="22">
        <v>3516</v>
      </c>
      <c r="D3555" s="21">
        <v>13.87</v>
      </c>
      <c r="E3555" s="21" t="s">
        <v>5796</v>
      </c>
      <c r="F3555" s="23"/>
      <c r="G3555" s="23">
        <f t="shared" si="13"/>
        <v>13.87</v>
      </c>
      <c r="H3555" s="23"/>
      <c r="I3555" s="23"/>
    </row>
    <row r="3556" spans="1:9">
      <c r="A3556" s="21" t="s">
        <v>8739</v>
      </c>
      <c r="B3556" s="21"/>
      <c r="C3556" s="22">
        <v>3517</v>
      </c>
      <c r="D3556" s="21">
        <v>13.87</v>
      </c>
      <c r="E3556" s="21" t="s">
        <v>5796</v>
      </c>
      <c r="F3556" s="23"/>
      <c r="G3556" s="23">
        <f t="shared" si="13"/>
        <v>13.87</v>
      </c>
      <c r="H3556" s="23"/>
      <c r="I3556" s="23"/>
    </row>
    <row r="3557" spans="1:9">
      <c r="A3557" s="21" t="s">
        <v>8740</v>
      </c>
      <c r="B3557" s="21"/>
      <c r="C3557" s="22">
        <v>3518</v>
      </c>
      <c r="D3557" s="21">
        <v>13.85</v>
      </c>
      <c r="E3557" s="21" t="s">
        <v>5796</v>
      </c>
      <c r="F3557" s="23"/>
      <c r="G3557" s="23">
        <f t="shared" si="13"/>
        <v>13.85</v>
      </c>
      <c r="H3557" s="23"/>
      <c r="I3557" s="23"/>
    </row>
    <row r="3558" spans="1:9">
      <c r="A3558" s="21" t="s">
        <v>8741</v>
      </c>
      <c r="B3558" s="21"/>
      <c r="C3558" s="22">
        <v>3519</v>
      </c>
      <c r="D3558" s="21">
        <v>13.83</v>
      </c>
      <c r="E3558" s="21" t="s">
        <v>5796</v>
      </c>
      <c r="F3558" s="23"/>
      <c r="G3558" s="23">
        <f t="shared" si="13"/>
        <v>13.83</v>
      </c>
      <c r="H3558" s="23"/>
      <c r="I3558" s="23"/>
    </row>
    <row r="3559" spans="1:9">
      <c r="A3559" s="21" t="s">
        <v>8742</v>
      </c>
      <c r="B3559" s="21"/>
      <c r="C3559" s="22">
        <v>3520</v>
      </c>
      <c r="D3559" s="21">
        <v>13.8</v>
      </c>
      <c r="E3559" s="21" t="s">
        <v>5796</v>
      </c>
      <c r="F3559" s="23"/>
      <c r="G3559" s="23">
        <f t="shared" si="13"/>
        <v>13.8</v>
      </c>
      <c r="H3559" s="23"/>
      <c r="I3559" s="23"/>
    </row>
    <row r="3560" spans="1:9">
      <c r="A3560" s="21" t="s">
        <v>8743</v>
      </c>
      <c r="B3560" s="21"/>
      <c r="C3560" s="22">
        <v>3521</v>
      </c>
      <c r="D3560" s="21">
        <v>13.8</v>
      </c>
      <c r="E3560" s="21" t="s">
        <v>5796</v>
      </c>
      <c r="F3560" s="23"/>
      <c r="G3560" s="23">
        <f t="shared" si="13"/>
        <v>13.8</v>
      </c>
      <c r="H3560" s="23"/>
      <c r="I3560" s="23"/>
    </row>
    <row r="3561" spans="1:9">
      <c r="A3561" s="21" t="s">
        <v>8744</v>
      </c>
      <c r="B3561" s="21"/>
      <c r="C3561" s="22">
        <v>3522</v>
      </c>
      <c r="D3561" s="21">
        <v>13.79</v>
      </c>
      <c r="E3561" s="21" t="s">
        <v>5796</v>
      </c>
      <c r="F3561" s="23"/>
      <c r="G3561" s="23">
        <f t="shared" si="13"/>
        <v>13.79</v>
      </c>
      <c r="H3561" s="23"/>
      <c r="I3561" s="23"/>
    </row>
    <row r="3562" spans="1:9">
      <c r="A3562" s="21" t="s">
        <v>8745</v>
      </c>
      <c r="B3562" s="21"/>
      <c r="C3562" s="22">
        <v>3523</v>
      </c>
      <c r="D3562" s="21">
        <v>13.76</v>
      </c>
      <c r="E3562" s="21" t="s">
        <v>5796</v>
      </c>
      <c r="F3562" s="23"/>
      <c r="G3562" s="23">
        <f t="shared" si="13"/>
        <v>13.76</v>
      </c>
      <c r="H3562" s="23"/>
      <c r="I3562" s="23"/>
    </row>
    <row r="3563" spans="1:9">
      <c r="A3563" s="21" t="s">
        <v>8746</v>
      </c>
      <c r="B3563" s="21"/>
      <c r="C3563" s="22">
        <v>3524</v>
      </c>
      <c r="D3563" s="21">
        <v>13.72</v>
      </c>
      <c r="E3563" s="21" t="s">
        <v>5796</v>
      </c>
      <c r="F3563" s="23"/>
      <c r="G3563" s="23">
        <f t="shared" si="13"/>
        <v>13.72</v>
      </c>
      <c r="H3563" s="23"/>
      <c r="I3563" s="23"/>
    </row>
    <row r="3564" spans="1:9">
      <c r="A3564" s="21" t="s">
        <v>8747</v>
      </c>
      <c r="B3564" s="21"/>
      <c r="C3564" s="22">
        <v>3525</v>
      </c>
      <c r="D3564" s="21">
        <v>13.69</v>
      </c>
      <c r="E3564" s="21" t="s">
        <v>5796</v>
      </c>
      <c r="F3564" s="23"/>
      <c r="G3564" s="23">
        <f t="shared" si="13"/>
        <v>13.69</v>
      </c>
      <c r="H3564" s="23"/>
      <c r="I3564" s="23"/>
    </row>
    <row r="3565" spans="1:9">
      <c r="A3565" s="21" t="s">
        <v>8748</v>
      </c>
      <c r="B3565" s="21"/>
      <c r="C3565" s="22">
        <v>3526</v>
      </c>
      <c r="D3565" s="21">
        <v>13.67</v>
      </c>
      <c r="E3565" s="21" t="s">
        <v>5796</v>
      </c>
      <c r="F3565" s="23"/>
      <c r="G3565" s="23">
        <f t="shared" si="13"/>
        <v>13.67</v>
      </c>
      <c r="H3565" s="23"/>
      <c r="I3565" s="23"/>
    </row>
    <row r="3566" spans="1:9">
      <c r="A3566" s="21" t="s">
        <v>8749</v>
      </c>
      <c r="B3566" s="21"/>
      <c r="C3566" s="22">
        <v>3527</v>
      </c>
      <c r="D3566" s="21">
        <v>13.67</v>
      </c>
      <c r="E3566" s="21" t="s">
        <v>5796</v>
      </c>
      <c r="F3566" s="23"/>
      <c r="G3566" s="23">
        <f t="shared" si="13"/>
        <v>13.67</v>
      </c>
      <c r="H3566" s="23"/>
      <c r="I3566" s="23"/>
    </row>
    <row r="3567" spans="1:9">
      <c r="A3567" s="21" t="s">
        <v>8750</v>
      </c>
      <c r="B3567" s="21"/>
      <c r="C3567" s="22">
        <v>3528</v>
      </c>
      <c r="D3567" s="21">
        <v>13.64</v>
      </c>
      <c r="E3567" s="21" t="s">
        <v>5796</v>
      </c>
      <c r="F3567" s="23"/>
      <c r="G3567" s="23">
        <f t="shared" si="13"/>
        <v>13.64</v>
      </c>
      <c r="H3567" s="23"/>
      <c r="I3567" s="23"/>
    </row>
    <row r="3568" spans="1:9">
      <c r="A3568" s="21" t="s">
        <v>8751</v>
      </c>
      <c r="B3568" s="21"/>
      <c r="C3568" s="22">
        <v>3529</v>
      </c>
      <c r="D3568" s="21">
        <v>13.63</v>
      </c>
      <c r="E3568" s="21" t="s">
        <v>5796</v>
      </c>
      <c r="F3568" s="23"/>
      <c r="G3568" s="23">
        <f t="shared" si="13"/>
        <v>13.63</v>
      </c>
      <c r="H3568" s="23"/>
      <c r="I3568" s="23"/>
    </row>
    <row r="3569" spans="1:9">
      <c r="A3569" s="21" t="s">
        <v>8752</v>
      </c>
      <c r="B3569" s="21"/>
      <c r="C3569" s="22">
        <v>3530</v>
      </c>
      <c r="D3569" s="21">
        <v>13.59</v>
      </c>
      <c r="E3569" s="21" t="s">
        <v>5796</v>
      </c>
      <c r="F3569" s="23"/>
      <c r="G3569" s="23">
        <f t="shared" si="13"/>
        <v>13.59</v>
      </c>
      <c r="H3569" s="23"/>
      <c r="I3569" s="23"/>
    </row>
    <row r="3570" spans="1:9">
      <c r="A3570" s="21" t="s">
        <v>8753</v>
      </c>
      <c r="B3570" s="21"/>
      <c r="C3570" s="22">
        <v>3531</v>
      </c>
      <c r="D3570" s="21">
        <v>13.57</v>
      </c>
      <c r="E3570" s="21" t="s">
        <v>5796</v>
      </c>
      <c r="F3570" s="23"/>
      <c r="G3570" s="23">
        <f t="shared" si="13"/>
        <v>13.57</v>
      </c>
      <c r="H3570" s="23"/>
      <c r="I3570" s="23"/>
    </row>
    <row r="3571" spans="1:9">
      <c r="A3571" s="21" t="s">
        <v>8754</v>
      </c>
      <c r="B3571" s="21"/>
      <c r="C3571" s="22">
        <v>3532</v>
      </c>
      <c r="D3571" s="21">
        <v>13.5</v>
      </c>
      <c r="E3571" s="21" t="s">
        <v>5796</v>
      </c>
      <c r="F3571" s="23"/>
      <c r="G3571" s="23">
        <f t="shared" si="13"/>
        <v>13.5</v>
      </c>
      <c r="H3571" s="23"/>
      <c r="I3571" s="23"/>
    </row>
    <row r="3572" spans="1:9">
      <c r="A3572" s="21" t="s">
        <v>8755</v>
      </c>
      <c r="B3572" s="21"/>
      <c r="C3572" s="22">
        <v>3533</v>
      </c>
      <c r="D3572" s="21">
        <v>13.5</v>
      </c>
      <c r="E3572" s="21" t="s">
        <v>5796</v>
      </c>
      <c r="F3572" s="23"/>
      <c r="G3572" s="23">
        <f t="shared" si="13"/>
        <v>13.5</v>
      </c>
      <c r="H3572" s="23"/>
      <c r="I3572" s="23"/>
    </row>
    <row r="3573" spans="1:9">
      <c r="A3573" s="21" t="s">
        <v>8756</v>
      </c>
      <c r="B3573" s="21"/>
      <c r="C3573" s="22">
        <v>3534</v>
      </c>
      <c r="D3573" s="21">
        <v>13.49</v>
      </c>
      <c r="E3573" s="21" t="s">
        <v>5796</v>
      </c>
      <c r="F3573" s="23"/>
      <c r="G3573" s="23">
        <f t="shared" ref="G3573:G3827" si="14">VALUE(SUBSTITUTE(D3573, ",", ""))</f>
        <v>13.49</v>
      </c>
      <c r="H3573" s="23"/>
      <c r="I3573" s="23"/>
    </row>
    <row r="3574" spans="1:9">
      <c r="A3574" s="21" t="s">
        <v>8757</v>
      </c>
      <c r="B3574" s="21"/>
      <c r="C3574" s="22">
        <v>3535</v>
      </c>
      <c r="D3574" s="21">
        <v>13.48</v>
      </c>
      <c r="E3574" s="21" t="s">
        <v>5796</v>
      </c>
      <c r="F3574" s="23"/>
      <c r="G3574" s="23">
        <f t="shared" si="14"/>
        <v>13.48</v>
      </c>
      <c r="H3574" s="23"/>
      <c r="I3574" s="23"/>
    </row>
    <row r="3575" spans="1:9">
      <c r="A3575" s="21" t="s">
        <v>8758</v>
      </c>
      <c r="B3575" s="21"/>
      <c r="C3575" s="22">
        <v>3536</v>
      </c>
      <c r="D3575" s="21">
        <v>13.47</v>
      </c>
      <c r="E3575" s="21" t="s">
        <v>5796</v>
      </c>
      <c r="F3575" s="23"/>
      <c r="G3575" s="23">
        <f t="shared" si="14"/>
        <v>13.47</v>
      </c>
      <c r="H3575" s="23"/>
      <c r="I3575" s="23"/>
    </row>
    <row r="3576" spans="1:9">
      <c r="A3576" s="21" t="s">
        <v>8759</v>
      </c>
      <c r="B3576" s="21"/>
      <c r="C3576" s="22">
        <v>3537</v>
      </c>
      <c r="D3576" s="21">
        <v>13.45</v>
      </c>
      <c r="E3576" s="21" t="s">
        <v>5796</v>
      </c>
      <c r="F3576" s="23"/>
      <c r="G3576" s="23">
        <f t="shared" si="14"/>
        <v>13.45</v>
      </c>
      <c r="H3576" s="23"/>
      <c r="I3576" s="23"/>
    </row>
    <row r="3577" spans="1:9">
      <c r="A3577" s="21" t="s">
        <v>8760</v>
      </c>
      <c r="B3577" s="21"/>
      <c r="C3577" s="22">
        <v>3538</v>
      </c>
      <c r="D3577" s="21">
        <v>13.45</v>
      </c>
      <c r="E3577" s="21" t="s">
        <v>5796</v>
      </c>
      <c r="F3577" s="23"/>
      <c r="G3577" s="23">
        <f t="shared" si="14"/>
        <v>13.45</v>
      </c>
      <c r="H3577" s="23"/>
      <c r="I3577" s="23"/>
    </row>
    <row r="3578" spans="1:9">
      <c r="A3578" s="21" t="s">
        <v>8761</v>
      </c>
      <c r="B3578" s="21"/>
      <c r="C3578" s="22">
        <v>3539</v>
      </c>
      <c r="D3578" s="21">
        <v>13.42</v>
      </c>
      <c r="E3578" s="21" t="s">
        <v>5796</v>
      </c>
      <c r="F3578" s="23"/>
      <c r="G3578" s="23">
        <f t="shared" si="14"/>
        <v>13.42</v>
      </c>
      <c r="H3578" s="23"/>
      <c r="I3578" s="23"/>
    </row>
    <row r="3579" spans="1:9">
      <c r="A3579" s="21" t="s">
        <v>8762</v>
      </c>
      <c r="B3579" s="21"/>
      <c r="C3579" s="22">
        <v>3540</v>
      </c>
      <c r="D3579" s="21">
        <v>13.37</v>
      </c>
      <c r="E3579" s="21" t="s">
        <v>5796</v>
      </c>
      <c r="F3579" s="23"/>
      <c r="G3579" s="23">
        <f t="shared" si="14"/>
        <v>13.37</v>
      </c>
      <c r="H3579" s="23"/>
      <c r="I3579" s="23"/>
    </row>
    <row r="3580" spans="1:9">
      <c r="A3580" s="21" t="s">
        <v>8763</v>
      </c>
      <c r="B3580" s="21"/>
      <c r="C3580" s="22">
        <v>3541</v>
      </c>
      <c r="D3580" s="21">
        <v>13.36</v>
      </c>
      <c r="E3580" s="21" t="s">
        <v>5796</v>
      </c>
      <c r="F3580" s="23"/>
      <c r="G3580" s="23">
        <f t="shared" si="14"/>
        <v>13.36</v>
      </c>
      <c r="H3580" s="23"/>
      <c r="I3580" s="23"/>
    </row>
    <row r="3581" spans="1:9">
      <c r="A3581" s="21" t="s">
        <v>8764</v>
      </c>
      <c r="B3581" s="21"/>
      <c r="C3581" s="22">
        <v>3542</v>
      </c>
      <c r="D3581" s="21">
        <v>13.35</v>
      </c>
      <c r="E3581" s="21" t="s">
        <v>5796</v>
      </c>
      <c r="F3581" s="23"/>
      <c r="G3581" s="23">
        <f t="shared" si="14"/>
        <v>13.35</v>
      </c>
      <c r="H3581" s="23"/>
      <c r="I3581" s="23"/>
    </row>
    <row r="3582" spans="1:9">
      <c r="A3582" s="21" t="s">
        <v>8765</v>
      </c>
      <c r="B3582" s="21"/>
      <c r="C3582" s="22">
        <v>3543</v>
      </c>
      <c r="D3582" s="21">
        <v>13.33</v>
      </c>
      <c r="E3582" s="21" t="s">
        <v>5796</v>
      </c>
      <c r="F3582" s="23"/>
      <c r="G3582" s="23">
        <f t="shared" si="14"/>
        <v>13.33</v>
      </c>
      <c r="H3582" s="23"/>
      <c r="I3582" s="23"/>
    </row>
    <row r="3583" spans="1:9">
      <c r="A3583" s="21" t="s">
        <v>8766</v>
      </c>
      <c r="B3583" s="21"/>
      <c r="C3583" s="22">
        <v>3544</v>
      </c>
      <c r="D3583" s="21">
        <v>13.3</v>
      </c>
      <c r="E3583" s="21" t="s">
        <v>5796</v>
      </c>
      <c r="F3583" s="23"/>
      <c r="G3583" s="23">
        <f t="shared" si="14"/>
        <v>13.3</v>
      </c>
      <c r="H3583" s="23"/>
      <c r="I3583" s="23"/>
    </row>
    <row r="3584" spans="1:9">
      <c r="A3584" s="21" t="s">
        <v>8767</v>
      </c>
      <c r="B3584" s="21"/>
      <c r="C3584" s="22">
        <v>3545</v>
      </c>
      <c r="D3584" s="21">
        <v>13.29</v>
      </c>
      <c r="E3584" s="21" t="s">
        <v>5796</v>
      </c>
      <c r="F3584" s="23"/>
      <c r="G3584" s="23">
        <f t="shared" si="14"/>
        <v>13.29</v>
      </c>
      <c r="H3584" s="23"/>
      <c r="I3584" s="23"/>
    </row>
    <row r="3585" spans="1:9">
      <c r="A3585" s="21" t="s">
        <v>8768</v>
      </c>
      <c r="B3585" s="21"/>
      <c r="C3585" s="22">
        <v>3546</v>
      </c>
      <c r="D3585" s="21">
        <v>13.28</v>
      </c>
      <c r="E3585" s="21" t="s">
        <v>5796</v>
      </c>
      <c r="F3585" s="23"/>
      <c r="G3585" s="23">
        <f t="shared" si="14"/>
        <v>13.28</v>
      </c>
      <c r="H3585" s="23"/>
      <c r="I3585" s="23"/>
    </row>
    <row r="3586" spans="1:9">
      <c r="A3586" s="21" t="s">
        <v>8769</v>
      </c>
      <c r="B3586" s="21"/>
      <c r="C3586" s="22">
        <v>3548</v>
      </c>
      <c r="D3586" s="21">
        <v>13.26</v>
      </c>
      <c r="E3586" s="21" t="s">
        <v>5796</v>
      </c>
      <c r="F3586" s="23"/>
      <c r="G3586" s="23">
        <f t="shared" si="14"/>
        <v>13.26</v>
      </c>
      <c r="H3586" s="23"/>
      <c r="I3586" s="23"/>
    </row>
    <row r="3587" spans="1:9">
      <c r="A3587" s="21" t="s">
        <v>8770</v>
      </c>
      <c r="B3587" s="21"/>
      <c r="C3587" s="22">
        <v>3549</v>
      </c>
      <c r="D3587" s="21">
        <v>13.26</v>
      </c>
      <c r="E3587" s="21" t="s">
        <v>5796</v>
      </c>
      <c r="F3587" s="23"/>
      <c r="G3587" s="23">
        <f t="shared" si="14"/>
        <v>13.26</v>
      </c>
      <c r="H3587" s="23"/>
      <c r="I3587" s="23"/>
    </row>
    <row r="3588" spans="1:9">
      <c r="A3588" s="21" t="s">
        <v>8771</v>
      </c>
      <c r="B3588" s="21"/>
      <c r="C3588" s="22">
        <v>3550</v>
      </c>
      <c r="D3588" s="21">
        <v>13.19</v>
      </c>
      <c r="E3588" s="21" t="s">
        <v>5796</v>
      </c>
      <c r="F3588" s="23"/>
      <c r="G3588" s="23">
        <f t="shared" si="14"/>
        <v>13.19</v>
      </c>
      <c r="H3588" s="23"/>
      <c r="I3588" s="23"/>
    </row>
    <row r="3589" spans="1:9">
      <c r="A3589" s="21" t="s">
        <v>8772</v>
      </c>
      <c r="B3589" s="21"/>
      <c r="C3589" s="22">
        <v>3551</v>
      </c>
      <c r="D3589" s="21">
        <v>13.14</v>
      </c>
      <c r="E3589" s="21" t="s">
        <v>5796</v>
      </c>
      <c r="F3589" s="23"/>
      <c r="G3589" s="23">
        <f t="shared" si="14"/>
        <v>13.14</v>
      </c>
      <c r="H3589" s="23"/>
      <c r="I3589" s="23"/>
    </row>
    <row r="3590" spans="1:9">
      <c r="A3590" s="21" t="s">
        <v>8773</v>
      </c>
      <c r="B3590" s="21"/>
      <c r="C3590" s="22">
        <v>3552</v>
      </c>
      <c r="D3590" s="21">
        <v>13.13</v>
      </c>
      <c r="E3590" s="21" t="s">
        <v>5796</v>
      </c>
      <c r="F3590" s="23"/>
      <c r="G3590" s="23">
        <f t="shared" si="14"/>
        <v>13.13</v>
      </c>
      <c r="H3590" s="23"/>
      <c r="I3590" s="23"/>
    </row>
    <row r="3591" spans="1:9">
      <c r="A3591" s="21" t="s">
        <v>8774</v>
      </c>
      <c r="B3591" s="21"/>
      <c r="C3591" s="22">
        <v>3553</v>
      </c>
      <c r="D3591" s="21">
        <v>13.12</v>
      </c>
      <c r="E3591" s="21" t="s">
        <v>5796</v>
      </c>
      <c r="F3591" s="23"/>
      <c r="G3591" s="23">
        <f t="shared" si="14"/>
        <v>13.12</v>
      </c>
      <c r="H3591" s="23"/>
      <c r="I3591" s="23"/>
    </row>
    <row r="3592" spans="1:9">
      <c r="A3592" s="21" t="s">
        <v>8775</v>
      </c>
      <c r="B3592" s="21"/>
      <c r="C3592" s="22">
        <v>3554</v>
      </c>
      <c r="D3592" s="21">
        <v>13.11</v>
      </c>
      <c r="E3592" s="21" t="s">
        <v>5796</v>
      </c>
      <c r="F3592" s="23"/>
      <c r="G3592" s="23">
        <f t="shared" si="14"/>
        <v>13.11</v>
      </c>
      <c r="H3592" s="23"/>
      <c r="I3592" s="23"/>
    </row>
    <row r="3593" spans="1:9">
      <c r="A3593" s="21" t="s">
        <v>8776</v>
      </c>
      <c r="B3593" s="21"/>
      <c r="C3593" s="22">
        <v>3555</v>
      </c>
      <c r="D3593" s="21">
        <v>13.08</v>
      </c>
      <c r="E3593" s="21" t="s">
        <v>5796</v>
      </c>
      <c r="F3593" s="23"/>
      <c r="G3593" s="23">
        <f t="shared" si="14"/>
        <v>13.08</v>
      </c>
      <c r="H3593" s="23"/>
      <c r="I3593" s="23"/>
    </row>
    <row r="3594" spans="1:9">
      <c r="A3594" s="21" t="s">
        <v>8777</v>
      </c>
      <c r="B3594" s="21"/>
      <c r="C3594" s="22">
        <v>3556</v>
      </c>
      <c r="D3594" s="21">
        <v>13.05</v>
      </c>
      <c r="E3594" s="21" t="s">
        <v>5796</v>
      </c>
      <c r="F3594" s="23"/>
      <c r="G3594" s="23">
        <f t="shared" si="14"/>
        <v>13.05</v>
      </c>
      <c r="H3594" s="23"/>
      <c r="I3594" s="23"/>
    </row>
    <row r="3595" spans="1:9">
      <c r="A3595" s="21" t="s">
        <v>8778</v>
      </c>
      <c r="B3595" s="21"/>
      <c r="C3595" s="22">
        <v>3557</v>
      </c>
      <c r="D3595" s="21">
        <v>13.02</v>
      </c>
      <c r="E3595" s="21" t="s">
        <v>5796</v>
      </c>
      <c r="F3595" s="23"/>
      <c r="G3595" s="23">
        <f t="shared" si="14"/>
        <v>13.02</v>
      </c>
      <c r="H3595" s="23"/>
      <c r="I3595" s="23"/>
    </row>
    <row r="3596" spans="1:9">
      <c r="A3596" s="21" t="s">
        <v>8779</v>
      </c>
      <c r="B3596" s="21"/>
      <c r="C3596" s="22">
        <v>3558</v>
      </c>
      <c r="D3596" s="21">
        <v>13.02</v>
      </c>
      <c r="E3596" s="21" t="s">
        <v>5796</v>
      </c>
      <c r="F3596" s="23"/>
      <c r="G3596" s="23">
        <f t="shared" si="14"/>
        <v>13.02</v>
      </c>
      <c r="H3596" s="23"/>
      <c r="I3596" s="23"/>
    </row>
    <row r="3597" spans="1:9">
      <c r="A3597" s="21" t="s">
        <v>8780</v>
      </c>
      <c r="B3597" s="21"/>
      <c r="C3597" s="22">
        <v>3559</v>
      </c>
      <c r="D3597" s="21">
        <v>12.98</v>
      </c>
      <c r="E3597" s="21" t="s">
        <v>5796</v>
      </c>
      <c r="F3597" s="23"/>
      <c r="G3597" s="23">
        <f t="shared" si="14"/>
        <v>12.98</v>
      </c>
      <c r="H3597" s="23"/>
      <c r="I3597" s="23"/>
    </row>
    <row r="3598" spans="1:9">
      <c r="A3598" s="21" t="s">
        <v>8781</v>
      </c>
      <c r="B3598" s="21"/>
      <c r="C3598" s="22">
        <v>3560</v>
      </c>
      <c r="D3598" s="21">
        <v>12.97</v>
      </c>
      <c r="E3598" s="21" t="s">
        <v>5796</v>
      </c>
      <c r="F3598" s="23"/>
      <c r="G3598" s="23">
        <f t="shared" si="14"/>
        <v>12.97</v>
      </c>
      <c r="H3598" s="23"/>
      <c r="I3598" s="23"/>
    </row>
    <row r="3599" spans="1:9">
      <c r="A3599" s="21" t="s">
        <v>8782</v>
      </c>
      <c r="B3599" s="21"/>
      <c r="C3599" s="22">
        <v>3561</v>
      </c>
      <c r="D3599" s="21">
        <v>12.95</v>
      </c>
      <c r="E3599" s="21" t="s">
        <v>5796</v>
      </c>
      <c r="F3599" s="23"/>
      <c r="G3599" s="23">
        <f t="shared" si="14"/>
        <v>12.95</v>
      </c>
      <c r="H3599" s="23"/>
      <c r="I3599" s="23"/>
    </row>
    <row r="3600" spans="1:9">
      <c r="A3600" s="21" t="s">
        <v>8783</v>
      </c>
      <c r="B3600" s="21"/>
      <c r="C3600" s="22">
        <v>3562</v>
      </c>
      <c r="D3600" s="21">
        <v>12.94</v>
      </c>
      <c r="E3600" s="21" t="s">
        <v>5796</v>
      </c>
      <c r="F3600" s="23"/>
      <c r="G3600" s="23">
        <f t="shared" si="14"/>
        <v>12.94</v>
      </c>
      <c r="H3600" s="23"/>
      <c r="I3600" s="23"/>
    </row>
    <row r="3601" spans="1:9">
      <c r="A3601" s="21" t="s">
        <v>8784</v>
      </c>
      <c r="B3601" s="21"/>
      <c r="C3601" s="22">
        <v>3563</v>
      </c>
      <c r="D3601" s="21">
        <v>12.87</v>
      </c>
      <c r="E3601" s="21" t="s">
        <v>5796</v>
      </c>
      <c r="F3601" s="23"/>
      <c r="G3601" s="23">
        <f t="shared" si="14"/>
        <v>12.87</v>
      </c>
      <c r="H3601" s="23"/>
      <c r="I3601" s="23"/>
    </row>
    <row r="3602" spans="1:9">
      <c r="A3602" s="21" t="s">
        <v>8785</v>
      </c>
      <c r="B3602" s="21"/>
      <c r="C3602" s="22">
        <v>3564</v>
      </c>
      <c r="D3602" s="21">
        <v>12.83</v>
      </c>
      <c r="E3602" s="21" t="s">
        <v>5796</v>
      </c>
      <c r="F3602" s="23"/>
      <c r="G3602" s="23">
        <f t="shared" si="14"/>
        <v>12.83</v>
      </c>
      <c r="H3602" s="23"/>
      <c r="I3602" s="23"/>
    </row>
    <row r="3603" spans="1:9">
      <c r="A3603" s="21" t="s">
        <v>8786</v>
      </c>
      <c r="B3603" s="21"/>
      <c r="C3603" s="22">
        <v>3565</v>
      </c>
      <c r="D3603" s="21">
        <v>12.82</v>
      </c>
      <c r="E3603" s="21" t="s">
        <v>5796</v>
      </c>
      <c r="F3603" s="23"/>
      <c r="G3603" s="23">
        <f t="shared" si="14"/>
        <v>12.82</v>
      </c>
      <c r="H3603" s="23"/>
      <c r="I3603" s="23"/>
    </row>
    <row r="3604" spans="1:9">
      <c r="A3604" s="21" t="s">
        <v>8787</v>
      </c>
      <c r="B3604" s="21"/>
      <c r="C3604" s="22">
        <v>3566</v>
      </c>
      <c r="D3604" s="21">
        <v>12.82</v>
      </c>
      <c r="E3604" s="21" t="s">
        <v>5796</v>
      </c>
      <c r="F3604" s="23"/>
      <c r="G3604" s="23">
        <f t="shared" si="14"/>
        <v>12.82</v>
      </c>
      <c r="H3604" s="23"/>
      <c r="I3604" s="23"/>
    </row>
    <row r="3605" spans="1:9">
      <c r="A3605" s="21" t="s">
        <v>8788</v>
      </c>
      <c r="B3605" s="21"/>
      <c r="C3605" s="22">
        <v>3567</v>
      </c>
      <c r="D3605" s="21">
        <v>12.82</v>
      </c>
      <c r="E3605" s="21" t="s">
        <v>5796</v>
      </c>
      <c r="F3605" s="23"/>
      <c r="G3605" s="23">
        <f t="shared" si="14"/>
        <v>12.82</v>
      </c>
      <c r="H3605" s="23"/>
      <c r="I3605" s="23"/>
    </row>
    <row r="3606" spans="1:9">
      <c r="A3606" s="21" t="s">
        <v>8789</v>
      </c>
      <c r="B3606" s="21"/>
      <c r="C3606" s="22">
        <v>3568</v>
      </c>
      <c r="D3606" s="21">
        <v>12.8</v>
      </c>
      <c r="E3606" s="21" t="s">
        <v>5796</v>
      </c>
      <c r="F3606" s="23"/>
      <c r="G3606" s="23">
        <f t="shared" si="14"/>
        <v>12.8</v>
      </c>
      <c r="H3606" s="23"/>
      <c r="I3606" s="23"/>
    </row>
    <row r="3607" spans="1:9">
      <c r="A3607" s="21" t="s">
        <v>8790</v>
      </c>
      <c r="B3607" s="21"/>
      <c r="C3607" s="22">
        <v>3569</v>
      </c>
      <c r="D3607" s="21">
        <v>12.75</v>
      </c>
      <c r="E3607" s="21" t="s">
        <v>5796</v>
      </c>
      <c r="F3607" s="23"/>
      <c r="G3607" s="23">
        <f t="shared" si="14"/>
        <v>12.75</v>
      </c>
      <c r="H3607" s="23"/>
      <c r="I3607" s="23"/>
    </row>
    <row r="3608" spans="1:9">
      <c r="A3608" s="21" t="s">
        <v>8791</v>
      </c>
      <c r="B3608" s="21"/>
      <c r="C3608" s="22">
        <v>3570</v>
      </c>
      <c r="D3608" s="21">
        <v>12.74</v>
      </c>
      <c r="E3608" s="21" t="s">
        <v>5796</v>
      </c>
      <c r="F3608" s="23"/>
      <c r="G3608" s="23">
        <f t="shared" si="14"/>
        <v>12.74</v>
      </c>
      <c r="H3608" s="23"/>
      <c r="I3608" s="23"/>
    </row>
    <row r="3609" spans="1:9">
      <c r="A3609" s="21" t="s">
        <v>8792</v>
      </c>
      <c r="B3609" s="21"/>
      <c r="C3609" s="22">
        <v>3571</v>
      </c>
      <c r="D3609" s="21">
        <v>12.74</v>
      </c>
      <c r="E3609" s="21" t="s">
        <v>5796</v>
      </c>
      <c r="F3609" s="23"/>
      <c r="G3609" s="23">
        <f t="shared" si="14"/>
        <v>12.74</v>
      </c>
      <c r="H3609" s="23"/>
      <c r="I3609" s="23"/>
    </row>
    <row r="3610" spans="1:9">
      <c r="A3610" s="21" t="s">
        <v>8793</v>
      </c>
      <c r="B3610" s="21"/>
      <c r="C3610" s="22">
        <v>3572</v>
      </c>
      <c r="D3610" s="21">
        <v>12.7</v>
      </c>
      <c r="E3610" s="21" t="s">
        <v>5796</v>
      </c>
      <c r="F3610" s="23"/>
      <c r="G3610" s="23">
        <f t="shared" si="14"/>
        <v>12.7</v>
      </c>
      <c r="H3610" s="23"/>
      <c r="I3610" s="23"/>
    </row>
    <row r="3611" spans="1:9">
      <c r="A3611" s="21" t="s">
        <v>8794</v>
      </c>
      <c r="B3611" s="21"/>
      <c r="C3611" s="22">
        <v>3573</v>
      </c>
      <c r="D3611" s="21">
        <v>12.7</v>
      </c>
      <c r="E3611" s="21" t="s">
        <v>5796</v>
      </c>
      <c r="F3611" s="23"/>
      <c r="G3611" s="23">
        <f t="shared" si="14"/>
        <v>12.7</v>
      </c>
      <c r="H3611" s="23"/>
      <c r="I3611" s="23"/>
    </row>
    <row r="3612" spans="1:9">
      <c r="A3612" s="21" t="s">
        <v>8795</v>
      </c>
      <c r="B3612" s="21"/>
      <c r="C3612" s="22">
        <v>3574</v>
      </c>
      <c r="D3612" s="21">
        <v>12.7</v>
      </c>
      <c r="E3612" s="21" t="s">
        <v>5796</v>
      </c>
      <c r="F3612" s="23"/>
      <c r="G3612" s="23">
        <f t="shared" si="14"/>
        <v>12.7</v>
      </c>
      <c r="H3612" s="23"/>
      <c r="I3612" s="23"/>
    </row>
    <row r="3613" spans="1:9">
      <c r="A3613" s="21" t="s">
        <v>8796</v>
      </c>
      <c r="B3613" s="21"/>
      <c r="C3613" s="22">
        <v>3575</v>
      </c>
      <c r="D3613" s="21">
        <v>12.69</v>
      </c>
      <c r="E3613" s="21" t="s">
        <v>5796</v>
      </c>
      <c r="F3613" s="23"/>
      <c r="G3613" s="23">
        <f t="shared" si="14"/>
        <v>12.69</v>
      </c>
      <c r="H3613" s="23"/>
      <c r="I3613" s="23"/>
    </row>
    <row r="3614" spans="1:9">
      <c r="A3614" s="21" t="s">
        <v>8797</v>
      </c>
      <c r="B3614" s="21"/>
      <c r="C3614" s="22">
        <v>3576</v>
      </c>
      <c r="D3614" s="21">
        <v>12.66</v>
      </c>
      <c r="E3614" s="21" t="s">
        <v>5796</v>
      </c>
      <c r="F3614" s="23"/>
      <c r="G3614" s="23">
        <f t="shared" si="14"/>
        <v>12.66</v>
      </c>
      <c r="H3614" s="23"/>
      <c r="I3614" s="23"/>
    </row>
    <row r="3615" spans="1:9">
      <c r="A3615" s="21" t="s">
        <v>8798</v>
      </c>
      <c r="B3615" s="21"/>
      <c r="C3615" s="22">
        <v>3577</v>
      </c>
      <c r="D3615" s="21">
        <v>12.64</v>
      </c>
      <c r="E3615" s="21" t="s">
        <v>5796</v>
      </c>
      <c r="F3615" s="23"/>
      <c r="G3615" s="23">
        <f t="shared" si="14"/>
        <v>12.64</v>
      </c>
      <c r="H3615" s="23"/>
      <c r="I3615" s="23"/>
    </row>
    <row r="3616" spans="1:9">
      <c r="A3616" s="21" t="s">
        <v>8799</v>
      </c>
      <c r="B3616" s="21"/>
      <c r="C3616" s="22">
        <v>3578</v>
      </c>
      <c r="D3616" s="21">
        <v>12.61</v>
      </c>
      <c r="E3616" s="21" t="s">
        <v>5796</v>
      </c>
      <c r="F3616" s="23"/>
      <c r="G3616" s="23">
        <f t="shared" si="14"/>
        <v>12.61</v>
      </c>
      <c r="H3616" s="23"/>
      <c r="I3616" s="23"/>
    </row>
    <row r="3617" spans="1:9">
      <c r="A3617" s="21" t="s">
        <v>8800</v>
      </c>
      <c r="B3617" s="21"/>
      <c r="C3617" s="22">
        <v>3579</v>
      </c>
      <c r="D3617" s="21">
        <v>12.59</v>
      </c>
      <c r="E3617" s="21" t="s">
        <v>5796</v>
      </c>
      <c r="F3617" s="23"/>
      <c r="G3617" s="23">
        <f t="shared" si="14"/>
        <v>12.59</v>
      </c>
      <c r="H3617" s="23"/>
      <c r="I3617" s="23"/>
    </row>
    <row r="3618" spans="1:9">
      <c r="A3618" s="21" t="s">
        <v>8801</v>
      </c>
      <c r="B3618" s="21"/>
      <c r="C3618" s="22">
        <v>3580</v>
      </c>
      <c r="D3618" s="21">
        <v>12.59</v>
      </c>
      <c r="E3618" s="21" t="s">
        <v>5796</v>
      </c>
      <c r="F3618" s="23"/>
      <c r="G3618" s="23">
        <f t="shared" si="14"/>
        <v>12.59</v>
      </c>
      <c r="H3618" s="23"/>
      <c r="I3618" s="23"/>
    </row>
    <row r="3619" spans="1:9">
      <c r="A3619" s="21" t="s">
        <v>8802</v>
      </c>
      <c r="B3619" s="21"/>
      <c r="C3619" s="22">
        <v>3581</v>
      </c>
      <c r="D3619" s="21">
        <v>12.58</v>
      </c>
      <c r="E3619" s="21" t="s">
        <v>5796</v>
      </c>
      <c r="F3619" s="23"/>
      <c r="G3619" s="23">
        <f t="shared" si="14"/>
        <v>12.58</v>
      </c>
      <c r="H3619" s="23"/>
      <c r="I3619" s="23"/>
    </row>
    <row r="3620" spans="1:9">
      <c r="A3620" s="21" t="s">
        <v>8803</v>
      </c>
      <c r="B3620" s="21"/>
      <c r="C3620" s="22">
        <v>3582</v>
      </c>
      <c r="D3620" s="21">
        <v>12.57</v>
      </c>
      <c r="E3620" s="21" t="s">
        <v>5796</v>
      </c>
      <c r="F3620" s="23"/>
      <c r="G3620" s="23">
        <f t="shared" si="14"/>
        <v>12.57</v>
      </c>
      <c r="H3620" s="23"/>
      <c r="I3620" s="23"/>
    </row>
    <row r="3621" spans="1:9">
      <c r="A3621" s="21" t="s">
        <v>8804</v>
      </c>
      <c r="B3621" s="21"/>
      <c r="C3621" s="22">
        <v>3583</v>
      </c>
      <c r="D3621" s="21">
        <v>12.57</v>
      </c>
      <c r="E3621" s="21" t="s">
        <v>5796</v>
      </c>
      <c r="F3621" s="23"/>
      <c r="G3621" s="23">
        <f t="shared" si="14"/>
        <v>12.57</v>
      </c>
      <c r="H3621" s="23"/>
      <c r="I3621" s="23"/>
    </row>
    <row r="3622" spans="1:9">
      <c r="A3622" s="21" t="s">
        <v>8805</v>
      </c>
      <c r="B3622" s="21"/>
      <c r="C3622" s="22">
        <v>3584</v>
      </c>
      <c r="D3622" s="21">
        <v>12.56</v>
      </c>
      <c r="E3622" s="21" t="s">
        <v>5796</v>
      </c>
      <c r="F3622" s="23"/>
      <c r="G3622" s="23">
        <f t="shared" si="14"/>
        <v>12.56</v>
      </c>
      <c r="H3622" s="23"/>
      <c r="I3622" s="23"/>
    </row>
    <row r="3623" spans="1:9">
      <c r="A3623" s="21" t="s">
        <v>8806</v>
      </c>
      <c r="B3623" s="21"/>
      <c r="C3623" s="22">
        <v>3585</v>
      </c>
      <c r="D3623" s="21">
        <v>12.55</v>
      </c>
      <c r="E3623" s="21" t="s">
        <v>5796</v>
      </c>
      <c r="F3623" s="23"/>
      <c r="G3623" s="23">
        <f t="shared" si="14"/>
        <v>12.55</v>
      </c>
      <c r="H3623" s="23"/>
      <c r="I3623" s="23"/>
    </row>
    <row r="3624" spans="1:9">
      <c r="A3624" s="21" t="s">
        <v>8807</v>
      </c>
      <c r="B3624" s="21"/>
      <c r="C3624" s="22">
        <v>3586</v>
      </c>
      <c r="D3624" s="21">
        <v>12.51</v>
      </c>
      <c r="E3624" s="21" t="s">
        <v>5796</v>
      </c>
      <c r="F3624" s="23"/>
      <c r="G3624" s="23">
        <f t="shared" si="14"/>
        <v>12.51</v>
      </c>
      <c r="H3624" s="23"/>
      <c r="I3624" s="23"/>
    </row>
    <row r="3625" spans="1:9">
      <c r="A3625" s="21" t="s">
        <v>8808</v>
      </c>
      <c r="B3625" s="21"/>
      <c r="C3625" s="22">
        <v>3587</v>
      </c>
      <c r="D3625" s="21">
        <v>12.46</v>
      </c>
      <c r="E3625" s="21" t="s">
        <v>5796</v>
      </c>
      <c r="F3625" s="23"/>
      <c r="G3625" s="23">
        <f t="shared" si="14"/>
        <v>12.46</v>
      </c>
      <c r="H3625" s="23"/>
      <c r="I3625" s="23"/>
    </row>
    <row r="3626" spans="1:9">
      <c r="A3626" s="21" t="s">
        <v>8809</v>
      </c>
      <c r="B3626" s="21"/>
      <c r="C3626" s="22">
        <v>3588</v>
      </c>
      <c r="D3626" s="21">
        <v>12.45</v>
      </c>
      <c r="E3626" s="21" t="s">
        <v>5796</v>
      </c>
      <c r="F3626" s="23"/>
      <c r="G3626" s="23">
        <f t="shared" si="14"/>
        <v>12.45</v>
      </c>
      <c r="H3626" s="23"/>
      <c r="I3626" s="23"/>
    </row>
    <row r="3627" spans="1:9">
      <c r="A3627" s="21" t="s">
        <v>8810</v>
      </c>
      <c r="B3627" s="21"/>
      <c r="C3627" s="22">
        <v>3589</v>
      </c>
      <c r="D3627" s="21">
        <v>12.42</v>
      </c>
      <c r="E3627" s="21" t="s">
        <v>5796</v>
      </c>
      <c r="F3627" s="23"/>
      <c r="G3627" s="23">
        <f t="shared" si="14"/>
        <v>12.42</v>
      </c>
      <c r="H3627" s="23"/>
      <c r="I3627" s="23"/>
    </row>
    <row r="3628" spans="1:9">
      <c r="A3628" s="21" t="s">
        <v>8811</v>
      </c>
      <c r="B3628" s="21"/>
      <c r="C3628" s="22">
        <v>3590</v>
      </c>
      <c r="D3628" s="21">
        <v>12.41</v>
      </c>
      <c r="E3628" s="21" t="s">
        <v>5796</v>
      </c>
      <c r="F3628" s="23"/>
      <c r="G3628" s="23">
        <f t="shared" si="14"/>
        <v>12.41</v>
      </c>
      <c r="H3628" s="23"/>
      <c r="I3628" s="23"/>
    </row>
    <row r="3629" spans="1:9">
      <c r="A3629" s="21" t="s">
        <v>8812</v>
      </c>
      <c r="B3629" s="21"/>
      <c r="C3629" s="22">
        <v>3592</v>
      </c>
      <c r="D3629" s="21">
        <v>12.38</v>
      </c>
      <c r="E3629" s="21" t="s">
        <v>5796</v>
      </c>
      <c r="F3629" s="23"/>
      <c r="G3629" s="23">
        <f t="shared" si="14"/>
        <v>12.38</v>
      </c>
      <c r="H3629" s="23"/>
      <c r="I3629" s="23"/>
    </row>
    <row r="3630" spans="1:9">
      <c r="A3630" s="21" t="s">
        <v>8813</v>
      </c>
      <c r="B3630" s="21"/>
      <c r="C3630" s="22">
        <v>3593</v>
      </c>
      <c r="D3630" s="21">
        <v>12.31</v>
      </c>
      <c r="E3630" s="21" t="s">
        <v>5796</v>
      </c>
      <c r="F3630" s="23"/>
      <c r="G3630" s="23">
        <f t="shared" si="14"/>
        <v>12.31</v>
      </c>
      <c r="H3630" s="23"/>
      <c r="I3630" s="23"/>
    </row>
    <row r="3631" spans="1:9">
      <c r="A3631" s="21" t="s">
        <v>8814</v>
      </c>
      <c r="B3631" s="21"/>
      <c r="C3631" s="22">
        <v>3595</v>
      </c>
      <c r="D3631" s="21">
        <v>12.25</v>
      </c>
      <c r="E3631" s="21" t="s">
        <v>5796</v>
      </c>
      <c r="F3631" s="23"/>
      <c r="G3631" s="23">
        <f t="shared" si="14"/>
        <v>12.25</v>
      </c>
      <c r="H3631" s="23"/>
      <c r="I3631" s="23"/>
    </row>
    <row r="3632" spans="1:9">
      <c r="A3632" s="21" t="s">
        <v>8815</v>
      </c>
      <c r="B3632" s="21"/>
      <c r="C3632" s="22">
        <v>3596</v>
      </c>
      <c r="D3632" s="21">
        <v>12.25</v>
      </c>
      <c r="E3632" s="21" t="s">
        <v>5796</v>
      </c>
      <c r="F3632" s="23"/>
      <c r="G3632" s="23">
        <f t="shared" si="14"/>
        <v>12.25</v>
      </c>
      <c r="H3632" s="23"/>
      <c r="I3632" s="23"/>
    </row>
    <row r="3633" spans="1:9">
      <c r="A3633" s="21" t="s">
        <v>8816</v>
      </c>
      <c r="B3633" s="21"/>
      <c r="C3633" s="22">
        <v>3597</v>
      </c>
      <c r="D3633" s="21">
        <v>12.25</v>
      </c>
      <c r="E3633" s="21" t="s">
        <v>5796</v>
      </c>
      <c r="F3633" s="23"/>
      <c r="G3633" s="23">
        <f t="shared" si="14"/>
        <v>12.25</v>
      </c>
      <c r="H3633" s="23"/>
      <c r="I3633" s="23"/>
    </row>
    <row r="3634" spans="1:9">
      <c r="A3634" s="21" t="s">
        <v>8817</v>
      </c>
      <c r="B3634" s="21"/>
      <c r="C3634" s="22">
        <v>3598</v>
      </c>
      <c r="D3634" s="21">
        <v>12.24</v>
      </c>
      <c r="E3634" s="21" t="s">
        <v>5796</v>
      </c>
      <c r="F3634" s="23"/>
      <c r="G3634" s="23">
        <f t="shared" si="14"/>
        <v>12.24</v>
      </c>
      <c r="H3634" s="23"/>
      <c r="I3634" s="23"/>
    </row>
    <row r="3635" spans="1:9">
      <c r="A3635" s="21" t="s">
        <v>8818</v>
      </c>
      <c r="B3635" s="21"/>
      <c r="C3635" s="22">
        <v>3599</v>
      </c>
      <c r="D3635" s="21">
        <v>12.23</v>
      </c>
      <c r="E3635" s="21" t="s">
        <v>5796</v>
      </c>
      <c r="F3635" s="23"/>
      <c r="G3635" s="23">
        <f t="shared" si="14"/>
        <v>12.23</v>
      </c>
      <c r="H3635" s="23"/>
      <c r="I3635" s="23"/>
    </row>
    <row r="3636" spans="1:9">
      <c r="A3636" s="21" t="s">
        <v>8819</v>
      </c>
      <c r="B3636" s="21"/>
      <c r="C3636" s="22">
        <v>3600</v>
      </c>
      <c r="D3636" s="21">
        <v>12.22</v>
      </c>
      <c r="E3636" s="21" t="s">
        <v>5796</v>
      </c>
      <c r="F3636" s="23"/>
      <c r="G3636" s="23">
        <f t="shared" si="14"/>
        <v>12.22</v>
      </c>
      <c r="H3636" s="23"/>
      <c r="I3636" s="23"/>
    </row>
    <row r="3637" spans="1:9">
      <c r="A3637" s="21" t="s">
        <v>8820</v>
      </c>
      <c r="B3637" s="21"/>
      <c r="C3637" s="22">
        <v>3601</v>
      </c>
      <c r="D3637" s="21">
        <v>12.21</v>
      </c>
      <c r="E3637" s="21" t="s">
        <v>5796</v>
      </c>
      <c r="F3637" s="23"/>
      <c r="G3637" s="23">
        <f t="shared" si="14"/>
        <v>12.21</v>
      </c>
      <c r="H3637" s="23"/>
      <c r="I3637" s="23"/>
    </row>
    <row r="3638" spans="1:9">
      <c r="A3638" s="21" t="s">
        <v>8821</v>
      </c>
      <c r="B3638" s="21"/>
      <c r="C3638" s="22">
        <v>3602</v>
      </c>
      <c r="D3638" s="21">
        <v>12.2</v>
      </c>
      <c r="E3638" s="21" t="s">
        <v>5796</v>
      </c>
      <c r="F3638" s="23"/>
      <c r="G3638" s="23">
        <f t="shared" si="14"/>
        <v>12.2</v>
      </c>
      <c r="H3638" s="23"/>
      <c r="I3638" s="23"/>
    </row>
    <row r="3639" spans="1:9">
      <c r="A3639" s="21" t="s">
        <v>8822</v>
      </c>
      <c r="B3639" s="21"/>
      <c r="C3639" s="22">
        <v>3603</v>
      </c>
      <c r="D3639" s="21">
        <v>12.2</v>
      </c>
      <c r="E3639" s="21" t="s">
        <v>5796</v>
      </c>
      <c r="F3639" s="23"/>
      <c r="G3639" s="23">
        <f t="shared" si="14"/>
        <v>12.2</v>
      </c>
      <c r="H3639" s="23"/>
      <c r="I3639" s="23"/>
    </row>
    <row r="3640" spans="1:9">
      <c r="A3640" s="21" t="s">
        <v>8823</v>
      </c>
      <c r="B3640" s="21"/>
      <c r="C3640" s="22">
        <v>3604</v>
      </c>
      <c r="D3640" s="21">
        <v>12.18</v>
      </c>
      <c r="E3640" s="21" t="s">
        <v>5796</v>
      </c>
      <c r="F3640" s="23"/>
      <c r="G3640" s="23">
        <f t="shared" si="14"/>
        <v>12.18</v>
      </c>
      <c r="H3640" s="23"/>
      <c r="I3640" s="23"/>
    </row>
    <row r="3641" spans="1:9">
      <c r="A3641" s="21" t="s">
        <v>8824</v>
      </c>
      <c r="B3641" s="21"/>
      <c r="C3641" s="22">
        <v>3605</v>
      </c>
      <c r="D3641" s="21">
        <v>12.17</v>
      </c>
      <c r="E3641" s="21" t="s">
        <v>5796</v>
      </c>
      <c r="F3641" s="23"/>
      <c r="G3641" s="23">
        <f t="shared" si="14"/>
        <v>12.17</v>
      </c>
      <c r="H3641" s="23"/>
      <c r="I3641" s="23"/>
    </row>
    <row r="3642" spans="1:9">
      <c r="A3642" s="21" t="s">
        <v>8825</v>
      </c>
      <c r="B3642" s="21"/>
      <c r="C3642" s="22">
        <v>3606</v>
      </c>
      <c r="D3642" s="21">
        <v>12.17</v>
      </c>
      <c r="E3642" s="21" t="s">
        <v>5796</v>
      </c>
      <c r="F3642" s="23"/>
      <c r="G3642" s="23">
        <f t="shared" si="14"/>
        <v>12.17</v>
      </c>
      <c r="H3642" s="23"/>
      <c r="I3642" s="23"/>
    </row>
    <row r="3643" spans="1:9">
      <c r="A3643" s="21" t="s">
        <v>8826</v>
      </c>
      <c r="B3643" s="21"/>
      <c r="C3643" s="22">
        <v>3607</v>
      </c>
      <c r="D3643" s="21">
        <v>12.15</v>
      </c>
      <c r="E3643" s="21" t="s">
        <v>5796</v>
      </c>
      <c r="F3643" s="23"/>
      <c r="G3643" s="23">
        <f t="shared" si="14"/>
        <v>12.15</v>
      </c>
      <c r="H3643" s="23"/>
      <c r="I3643" s="23"/>
    </row>
    <row r="3644" spans="1:9">
      <c r="A3644" s="21" t="s">
        <v>8827</v>
      </c>
      <c r="B3644" s="21"/>
      <c r="C3644" s="22">
        <v>3608</v>
      </c>
      <c r="D3644" s="21">
        <v>12.15</v>
      </c>
      <c r="E3644" s="21" t="s">
        <v>5796</v>
      </c>
      <c r="F3644" s="23"/>
      <c r="G3644" s="23">
        <f t="shared" si="14"/>
        <v>12.15</v>
      </c>
      <c r="H3644" s="23"/>
      <c r="I3644" s="23"/>
    </row>
    <row r="3645" spans="1:9">
      <c r="A3645" s="21" t="s">
        <v>8828</v>
      </c>
      <c r="B3645" s="21"/>
      <c r="C3645" s="22">
        <v>3609</v>
      </c>
      <c r="D3645" s="21">
        <v>12.14</v>
      </c>
      <c r="E3645" s="21" t="s">
        <v>5796</v>
      </c>
      <c r="F3645" s="23"/>
      <c r="G3645" s="23">
        <f t="shared" si="14"/>
        <v>12.14</v>
      </c>
      <c r="H3645" s="23"/>
      <c r="I3645" s="23"/>
    </row>
    <row r="3646" spans="1:9">
      <c r="A3646" s="21" t="s">
        <v>8829</v>
      </c>
      <c r="B3646" s="21"/>
      <c r="C3646" s="22">
        <v>3610</v>
      </c>
      <c r="D3646" s="21">
        <v>12.13</v>
      </c>
      <c r="E3646" s="21" t="s">
        <v>5796</v>
      </c>
      <c r="F3646" s="23"/>
      <c r="G3646" s="23">
        <f t="shared" si="14"/>
        <v>12.13</v>
      </c>
      <c r="H3646" s="23"/>
      <c r="I3646" s="23"/>
    </row>
    <row r="3647" spans="1:9">
      <c r="A3647" s="21" t="s">
        <v>8830</v>
      </c>
      <c r="B3647" s="21"/>
      <c r="C3647" s="22">
        <v>3611</v>
      </c>
      <c r="D3647" s="21">
        <v>12.12</v>
      </c>
      <c r="E3647" s="21" t="s">
        <v>5796</v>
      </c>
      <c r="F3647" s="23"/>
      <c r="G3647" s="23">
        <f t="shared" si="14"/>
        <v>12.12</v>
      </c>
      <c r="H3647" s="23"/>
      <c r="I3647" s="23"/>
    </row>
    <row r="3648" spans="1:9">
      <c r="A3648" s="21" t="s">
        <v>8831</v>
      </c>
      <c r="B3648" s="21"/>
      <c r="C3648" s="22">
        <v>3612</v>
      </c>
      <c r="D3648" s="21">
        <v>12.12</v>
      </c>
      <c r="E3648" s="21" t="s">
        <v>5796</v>
      </c>
      <c r="F3648" s="23"/>
      <c r="G3648" s="23">
        <f t="shared" si="14"/>
        <v>12.12</v>
      </c>
      <c r="H3648" s="23"/>
      <c r="I3648" s="23"/>
    </row>
    <row r="3649" spans="1:9">
      <c r="A3649" s="21" t="s">
        <v>8832</v>
      </c>
      <c r="B3649" s="21"/>
      <c r="C3649" s="22">
        <v>3613</v>
      </c>
      <c r="D3649" s="21">
        <v>12.11</v>
      </c>
      <c r="E3649" s="21" t="s">
        <v>5796</v>
      </c>
      <c r="F3649" s="23"/>
      <c r="G3649" s="23">
        <f t="shared" si="14"/>
        <v>12.11</v>
      </c>
      <c r="H3649" s="23"/>
      <c r="I3649" s="23"/>
    </row>
    <row r="3650" spans="1:9">
      <c r="A3650" s="21" t="s">
        <v>8833</v>
      </c>
      <c r="B3650" s="21"/>
      <c r="C3650" s="22">
        <v>3614</v>
      </c>
      <c r="D3650" s="21">
        <v>12.1</v>
      </c>
      <c r="E3650" s="21" t="s">
        <v>5796</v>
      </c>
      <c r="F3650" s="23"/>
      <c r="G3650" s="23">
        <f t="shared" si="14"/>
        <v>12.1</v>
      </c>
      <c r="H3650" s="23"/>
      <c r="I3650" s="23"/>
    </row>
    <row r="3651" spans="1:9">
      <c r="A3651" s="21" t="s">
        <v>8834</v>
      </c>
      <c r="B3651" s="21"/>
      <c r="C3651" s="22">
        <v>3615</v>
      </c>
      <c r="D3651" s="21">
        <v>12.06</v>
      </c>
      <c r="E3651" s="21" t="s">
        <v>5796</v>
      </c>
      <c r="F3651" s="23"/>
      <c r="G3651" s="23">
        <f t="shared" si="14"/>
        <v>12.06</v>
      </c>
      <c r="H3651" s="23"/>
      <c r="I3651" s="23"/>
    </row>
    <row r="3652" spans="1:9">
      <c r="A3652" s="21" t="s">
        <v>8835</v>
      </c>
      <c r="B3652" s="21"/>
      <c r="C3652" s="22">
        <v>3616</v>
      </c>
      <c r="D3652" s="21">
        <v>12.04</v>
      </c>
      <c r="E3652" s="21" t="s">
        <v>5796</v>
      </c>
      <c r="F3652" s="23"/>
      <c r="G3652" s="23">
        <f t="shared" si="14"/>
        <v>12.04</v>
      </c>
      <c r="H3652" s="23"/>
      <c r="I3652" s="23"/>
    </row>
    <row r="3653" spans="1:9">
      <c r="A3653" s="21" t="s">
        <v>8836</v>
      </c>
      <c r="B3653" s="21"/>
      <c r="C3653" s="22">
        <v>3617</v>
      </c>
      <c r="D3653" s="21">
        <v>12.04</v>
      </c>
      <c r="E3653" s="21" t="s">
        <v>5796</v>
      </c>
      <c r="F3653" s="23"/>
      <c r="G3653" s="23">
        <f t="shared" si="14"/>
        <v>12.04</v>
      </c>
      <c r="H3653" s="23"/>
      <c r="I3653" s="23"/>
    </row>
    <row r="3654" spans="1:9">
      <c r="A3654" s="21" t="s">
        <v>8837</v>
      </c>
      <c r="B3654" s="21"/>
      <c r="C3654" s="22">
        <v>3618</v>
      </c>
      <c r="D3654" s="21">
        <v>12.03</v>
      </c>
      <c r="E3654" s="21" t="s">
        <v>5796</v>
      </c>
      <c r="F3654" s="23"/>
      <c r="G3654" s="23">
        <f t="shared" si="14"/>
        <v>12.03</v>
      </c>
      <c r="H3654" s="23"/>
      <c r="I3654" s="23"/>
    </row>
    <row r="3655" spans="1:9">
      <c r="A3655" s="21" t="s">
        <v>8838</v>
      </c>
      <c r="B3655" s="21"/>
      <c r="C3655" s="22">
        <v>3619</v>
      </c>
      <c r="D3655" s="21">
        <v>12.02</v>
      </c>
      <c r="E3655" s="21" t="s">
        <v>5796</v>
      </c>
      <c r="F3655" s="23"/>
      <c r="G3655" s="23">
        <f t="shared" si="14"/>
        <v>12.02</v>
      </c>
      <c r="H3655" s="23"/>
      <c r="I3655" s="23"/>
    </row>
    <row r="3656" spans="1:9">
      <c r="A3656" s="21" t="s">
        <v>8839</v>
      </c>
      <c r="B3656" s="21"/>
      <c r="C3656" s="22">
        <v>3620</v>
      </c>
      <c r="D3656" s="21">
        <v>12.01</v>
      </c>
      <c r="E3656" s="21" t="s">
        <v>5796</v>
      </c>
      <c r="F3656" s="23"/>
      <c r="G3656" s="23">
        <f t="shared" si="14"/>
        <v>12.01</v>
      </c>
      <c r="H3656" s="23"/>
      <c r="I3656" s="23"/>
    </row>
    <row r="3657" spans="1:9">
      <c r="A3657" s="21" t="s">
        <v>8840</v>
      </c>
      <c r="B3657" s="21"/>
      <c r="C3657" s="22">
        <v>3621</v>
      </c>
      <c r="D3657" s="21">
        <v>12</v>
      </c>
      <c r="E3657" s="21" t="s">
        <v>5796</v>
      </c>
      <c r="F3657" s="23"/>
      <c r="G3657" s="23">
        <f t="shared" si="14"/>
        <v>12</v>
      </c>
      <c r="H3657" s="23"/>
      <c r="I3657" s="23"/>
    </row>
    <row r="3658" spans="1:9">
      <c r="A3658" s="21" t="s">
        <v>8841</v>
      </c>
      <c r="B3658" s="21"/>
      <c r="C3658" s="22">
        <v>3622</v>
      </c>
      <c r="D3658" s="21">
        <v>11.98</v>
      </c>
      <c r="E3658" s="21" t="s">
        <v>5796</v>
      </c>
      <c r="F3658" s="23"/>
      <c r="G3658" s="23">
        <f t="shared" si="14"/>
        <v>11.98</v>
      </c>
      <c r="H3658" s="23"/>
      <c r="I3658" s="23"/>
    </row>
    <row r="3659" spans="1:9">
      <c r="A3659" s="21" t="s">
        <v>8842</v>
      </c>
      <c r="B3659" s="21"/>
      <c r="C3659" s="22">
        <v>3623</v>
      </c>
      <c r="D3659" s="21">
        <v>11.98</v>
      </c>
      <c r="E3659" s="21" t="s">
        <v>5796</v>
      </c>
      <c r="F3659" s="23"/>
      <c r="G3659" s="23">
        <f t="shared" si="14"/>
        <v>11.98</v>
      </c>
      <c r="H3659" s="23"/>
      <c r="I3659" s="23"/>
    </row>
    <row r="3660" spans="1:9">
      <c r="A3660" s="21" t="s">
        <v>8843</v>
      </c>
      <c r="B3660" s="21"/>
      <c r="C3660" s="22">
        <v>3624</v>
      </c>
      <c r="D3660" s="21">
        <v>11.94</v>
      </c>
      <c r="E3660" s="21" t="s">
        <v>5796</v>
      </c>
      <c r="F3660" s="23"/>
      <c r="G3660" s="23">
        <f t="shared" si="14"/>
        <v>11.94</v>
      </c>
      <c r="H3660" s="23"/>
      <c r="I3660" s="23"/>
    </row>
    <row r="3661" spans="1:9">
      <c r="A3661" s="21" t="s">
        <v>8844</v>
      </c>
      <c r="B3661" s="21"/>
      <c r="C3661" s="22">
        <v>3625</v>
      </c>
      <c r="D3661" s="21">
        <v>11.93</v>
      </c>
      <c r="E3661" s="21" t="s">
        <v>5796</v>
      </c>
      <c r="F3661" s="23"/>
      <c r="G3661" s="23">
        <f t="shared" si="14"/>
        <v>11.93</v>
      </c>
      <c r="H3661" s="23"/>
      <c r="I3661" s="23"/>
    </row>
    <row r="3662" spans="1:9">
      <c r="A3662" s="21" t="s">
        <v>8845</v>
      </c>
      <c r="B3662" s="21"/>
      <c r="C3662" s="22">
        <v>3627</v>
      </c>
      <c r="D3662" s="21">
        <v>11.9</v>
      </c>
      <c r="E3662" s="21" t="s">
        <v>5796</v>
      </c>
      <c r="F3662" s="23"/>
      <c r="G3662" s="23">
        <f t="shared" si="14"/>
        <v>11.9</v>
      </c>
      <c r="H3662" s="23"/>
      <c r="I3662" s="23"/>
    </row>
    <row r="3663" spans="1:9">
      <c r="A3663" s="21" t="s">
        <v>8846</v>
      </c>
      <c r="B3663" s="21"/>
      <c r="C3663" s="22">
        <v>3628</v>
      </c>
      <c r="D3663" s="21">
        <v>11.88</v>
      </c>
      <c r="E3663" s="21" t="s">
        <v>5796</v>
      </c>
      <c r="F3663" s="23"/>
      <c r="G3663" s="23">
        <f t="shared" si="14"/>
        <v>11.88</v>
      </c>
      <c r="H3663" s="23"/>
      <c r="I3663" s="23"/>
    </row>
    <row r="3664" spans="1:9">
      <c r="A3664" s="21" t="s">
        <v>8847</v>
      </c>
      <c r="B3664" s="21"/>
      <c r="C3664" s="22">
        <v>3629</v>
      </c>
      <c r="D3664" s="21">
        <v>11.88</v>
      </c>
      <c r="E3664" s="21" t="s">
        <v>5796</v>
      </c>
      <c r="F3664" s="23"/>
      <c r="G3664" s="23">
        <f t="shared" si="14"/>
        <v>11.88</v>
      </c>
      <c r="H3664" s="23"/>
      <c r="I3664" s="23"/>
    </row>
    <row r="3665" spans="1:9">
      <c r="A3665" s="21" t="s">
        <v>8848</v>
      </c>
      <c r="B3665" s="21"/>
      <c r="C3665" s="22">
        <v>3631</v>
      </c>
      <c r="D3665" s="21">
        <v>11.84</v>
      </c>
      <c r="E3665" s="21" t="s">
        <v>5796</v>
      </c>
      <c r="F3665" s="23"/>
      <c r="G3665" s="23">
        <f t="shared" si="14"/>
        <v>11.84</v>
      </c>
      <c r="H3665" s="23"/>
      <c r="I3665" s="23"/>
    </row>
    <row r="3666" spans="1:9">
      <c r="A3666" s="21" t="s">
        <v>8849</v>
      </c>
      <c r="B3666" s="21"/>
      <c r="C3666" s="22">
        <v>3632</v>
      </c>
      <c r="D3666" s="21">
        <v>11.78</v>
      </c>
      <c r="E3666" s="21" t="s">
        <v>5796</v>
      </c>
      <c r="F3666" s="23"/>
      <c r="G3666" s="23">
        <f t="shared" si="14"/>
        <v>11.78</v>
      </c>
      <c r="H3666" s="23"/>
      <c r="I3666" s="23"/>
    </row>
    <row r="3667" spans="1:9">
      <c r="A3667" s="21" t="s">
        <v>8850</v>
      </c>
      <c r="B3667" s="21"/>
      <c r="C3667" s="22">
        <v>3633</v>
      </c>
      <c r="D3667" s="21">
        <v>11.75</v>
      </c>
      <c r="E3667" s="21" t="s">
        <v>5796</v>
      </c>
      <c r="F3667" s="23"/>
      <c r="G3667" s="23">
        <f t="shared" si="14"/>
        <v>11.75</v>
      </c>
      <c r="H3667" s="23"/>
      <c r="I3667" s="23"/>
    </row>
    <row r="3668" spans="1:9">
      <c r="A3668" s="21" t="s">
        <v>8851</v>
      </c>
      <c r="B3668" s="21"/>
      <c r="C3668" s="22">
        <v>3634</v>
      </c>
      <c r="D3668" s="21">
        <v>11.74</v>
      </c>
      <c r="E3668" s="21" t="s">
        <v>5796</v>
      </c>
      <c r="F3668" s="23"/>
      <c r="G3668" s="23">
        <f t="shared" si="14"/>
        <v>11.74</v>
      </c>
      <c r="H3668" s="23"/>
      <c r="I3668" s="23"/>
    </row>
    <row r="3669" spans="1:9">
      <c r="A3669" s="21" t="s">
        <v>8852</v>
      </c>
      <c r="B3669" s="21"/>
      <c r="C3669" s="22">
        <v>3635</v>
      </c>
      <c r="D3669" s="21">
        <v>11.73</v>
      </c>
      <c r="E3669" s="21" t="s">
        <v>5796</v>
      </c>
      <c r="F3669" s="23"/>
      <c r="G3669" s="23">
        <f t="shared" si="14"/>
        <v>11.73</v>
      </c>
      <c r="H3669" s="23"/>
      <c r="I3669" s="23"/>
    </row>
    <row r="3670" spans="1:9">
      <c r="A3670" s="21" t="s">
        <v>8853</v>
      </c>
      <c r="B3670" s="21"/>
      <c r="C3670" s="22">
        <v>3636</v>
      </c>
      <c r="D3670" s="21">
        <v>11.73</v>
      </c>
      <c r="E3670" s="21" t="s">
        <v>5796</v>
      </c>
      <c r="F3670" s="23"/>
      <c r="G3670" s="23">
        <f t="shared" si="14"/>
        <v>11.73</v>
      </c>
      <c r="H3670" s="23"/>
      <c r="I3670" s="23"/>
    </row>
    <row r="3671" spans="1:9">
      <c r="A3671" s="21" t="s">
        <v>8854</v>
      </c>
      <c r="B3671" s="21"/>
      <c r="C3671" s="22">
        <v>3637</v>
      </c>
      <c r="D3671" s="21">
        <v>11.72</v>
      </c>
      <c r="E3671" s="21" t="s">
        <v>5796</v>
      </c>
      <c r="F3671" s="23"/>
      <c r="G3671" s="23">
        <f t="shared" si="14"/>
        <v>11.72</v>
      </c>
      <c r="H3671" s="23"/>
      <c r="I3671" s="23"/>
    </row>
    <row r="3672" spans="1:9">
      <c r="A3672" s="21" t="s">
        <v>8855</v>
      </c>
      <c r="B3672" s="21"/>
      <c r="C3672" s="22">
        <v>3638</v>
      </c>
      <c r="D3672" s="21">
        <v>11.71</v>
      </c>
      <c r="E3672" s="21" t="s">
        <v>5796</v>
      </c>
      <c r="F3672" s="23"/>
      <c r="G3672" s="23">
        <f t="shared" si="14"/>
        <v>11.71</v>
      </c>
      <c r="H3672" s="23"/>
      <c r="I3672" s="23"/>
    </row>
    <row r="3673" spans="1:9">
      <c r="A3673" s="21" t="s">
        <v>8856</v>
      </c>
      <c r="B3673" s="21"/>
      <c r="C3673" s="22">
        <v>3639</v>
      </c>
      <c r="D3673" s="21">
        <v>11.7</v>
      </c>
      <c r="E3673" s="21" t="s">
        <v>5796</v>
      </c>
      <c r="F3673" s="23"/>
      <c r="G3673" s="23">
        <f t="shared" si="14"/>
        <v>11.7</v>
      </c>
      <c r="H3673" s="23"/>
      <c r="I3673" s="23"/>
    </row>
    <row r="3674" spans="1:9">
      <c r="A3674" s="21" t="s">
        <v>8857</v>
      </c>
      <c r="B3674" s="21"/>
      <c r="C3674" s="22">
        <v>3640</v>
      </c>
      <c r="D3674" s="21">
        <v>11.61</v>
      </c>
      <c r="E3674" s="21" t="s">
        <v>5796</v>
      </c>
      <c r="F3674" s="23"/>
      <c r="G3674" s="23">
        <f t="shared" si="14"/>
        <v>11.61</v>
      </c>
      <c r="H3674" s="23"/>
      <c r="I3674" s="23"/>
    </row>
    <row r="3675" spans="1:9">
      <c r="A3675" s="21" t="s">
        <v>8858</v>
      </c>
      <c r="B3675" s="21"/>
      <c r="C3675" s="22">
        <v>3641</v>
      </c>
      <c r="D3675" s="21">
        <v>11.61</v>
      </c>
      <c r="E3675" s="21" t="s">
        <v>5796</v>
      </c>
      <c r="F3675" s="23"/>
      <c r="G3675" s="23">
        <f t="shared" si="14"/>
        <v>11.61</v>
      </c>
      <c r="H3675" s="23"/>
      <c r="I3675" s="23"/>
    </row>
    <row r="3676" spans="1:9">
      <c r="A3676" s="21" t="s">
        <v>8859</v>
      </c>
      <c r="B3676" s="21"/>
      <c r="C3676" s="22">
        <v>3643</v>
      </c>
      <c r="D3676" s="21">
        <v>11.57</v>
      </c>
      <c r="E3676" s="21" t="s">
        <v>5796</v>
      </c>
      <c r="F3676" s="23"/>
      <c r="G3676" s="23">
        <f t="shared" si="14"/>
        <v>11.57</v>
      </c>
      <c r="H3676" s="23"/>
      <c r="I3676" s="23"/>
    </row>
    <row r="3677" spans="1:9">
      <c r="A3677" s="21" t="s">
        <v>8860</v>
      </c>
      <c r="B3677" s="21"/>
      <c r="C3677" s="22">
        <v>3644</v>
      </c>
      <c r="D3677" s="21">
        <v>11.54</v>
      </c>
      <c r="E3677" s="21" t="s">
        <v>5796</v>
      </c>
      <c r="F3677" s="23"/>
      <c r="G3677" s="23">
        <f t="shared" si="14"/>
        <v>11.54</v>
      </c>
      <c r="H3677" s="23"/>
      <c r="I3677" s="23"/>
    </row>
    <row r="3678" spans="1:9">
      <c r="A3678" s="21" t="s">
        <v>8861</v>
      </c>
      <c r="B3678" s="21"/>
      <c r="C3678" s="22">
        <v>3645</v>
      </c>
      <c r="D3678" s="21">
        <v>11.53</v>
      </c>
      <c r="E3678" s="21" t="s">
        <v>5796</v>
      </c>
      <c r="F3678" s="23"/>
      <c r="G3678" s="23">
        <f t="shared" si="14"/>
        <v>11.53</v>
      </c>
      <c r="H3678" s="23"/>
      <c r="I3678" s="23"/>
    </row>
    <row r="3679" spans="1:9">
      <c r="A3679" s="21" t="s">
        <v>8862</v>
      </c>
      <c r="B3679" s="21"/>
      <c r="C3679" s="22">
        <v>3646</v>
      </c>
      <c r="D3679" s="21">
        <v>11.47</v>
      </c>
      <c r="E3679" s="21" t="s">
        <v>5796</v>
      </c>
      <c r="F3679" s="23"/>
      <c r="G3679" s="23">
        <f t="shared" si="14"/>
        <v>11.47</v>
      </c>
      <c r="H3679" s="23"/>
      <c r="I3679" s="23"/>
    </row>
    <row r="3680" spans="1:9">
      <c r="A3680" s="21" t="s">
        <v>8863</v>
      </c>
      <c r="B3680" s="21"/>
      <c r="C3680" s="22">
        <v>3647</v>
      </c>
      <c r="D3680" s="21">
        <v>11.47</v>
      </c>
      <c r="E3680" s="21" t="s">
        <v>5796</v>
      </c>
      <c r="F3680" s="23"/>
      <c r="G3680" s="23">
        <f t="shared" si="14"/>
        <v>11.47</v>
      </c>
      <c r="H3680" s="23"/>
      <c r="I3680" s="23"/>
    </row>
    <row r="3681" spans="1:9">
      <c r="A3681" s="21" t="s">
        <v>8864</v>
      </c>
      <c r="B3681" s="21"/>
      <c r="C3681" s="22">
        <v>3648</v>
      </c>
      <c r="D3681" s="21">
        <v>11.44</v>
      </c>
      <c r="E3681" s="21" t="s">
        <v>5796</v>
      </c>
      <c r="F3681" s="23"/>
      <c r="G3681" s="23">
        <f t="shared" si="14"/>
        <v>11.44</v>
      </c>
      <c r="H3681" s="23"/>
      <c r="I3681" s="23"/>
    </row>
    <row r="3682" spans="1:9">
      <c r="A3682" s="21" t="s">
        <v>8865</v>
      </c>
      <c r="B3682" s="21"/>
      <c r="C3682" s="22">
        <v>3649</v>
      </c>
      <c r="D3682" s="21">
        <v>11.41</v>
      </c>
      <c r="E3682" s="21" t="s">
        <v>5796</v>
      </c>
      <c r="F3682" s="23"/>
      <c r="G3682" s="23">
        <f t="shared" si="14"/>
        <v>11.41</v>
      </c>
      <c r="H3682" s="23"/>
      <c r="I3682" s="23"/>
    </row>
    <row r="3683" spans="1:9">
      <c r="A3683" s="21" t="s">
        <v>8866</v>
      </c>
      <c r="B3683" s="21"/>
      <c r="C3683" s="22">
        <v>3650</v>
      </c>
      <c r="D3683" s="21">
        <v>11.41</v>
      </c>
      <c r="E3683" s="21" t="s">
        <v>5796</v>
      </c>
      <c r="F3683" s="23"/>
      <c r="G3683" s="23">
        <f t="shared" si="14"/>
        <v>11.41</v>
      </c>
      <c r="H3683" s="23"/>
      <c r="I3683" s="23"/>
    </row>
    <row r="3684" spans="1:9">
      <c r="A3684" s="21" t="s">
        <v>8867</v>
      </c>
      <c r="B3684" s="21"/>
      <c r="C3684" s="22">
        <v>3651</v>
      </c>
      <c r="D3684" s="21">
        <v>11.4</v>
      </c>
      <c r="E3684" s="21" t="s">
        <v>5796</v>
      </c>
      <c r="F3684" s="23"/>
      <c r="G3684" s="23">
        <f t="shared" si="14"/>
        <v>11.4</v>
      </c>
      <c r="H3684" s="23"/>
      <c r="I3684" s="23"/>
    </row>
    <row r="3685" spans="1:9">
      <c r="A3685" s="21" t="s">
        <v>8868</v>
      </c>
      <c r="B3685" s="21"/>
      <c r="C3685" s="22">
        <v>3652</v>
      </c>
      <c r="D3685" s="21">
        <v>11.4</v>
      </c>
      <c r="E3685" s="21" t="s">
        <v>5796</v>
      </c>
      <c r="F3685" s="23"/>
      <c r="G3685" s="23">
        <f t="shared" si="14"/>
        <v>11.4</v>
      </c>
      <c r="H3685" s="23"/>
      <c r="I3685" s="23"/>
    </row>
    <row r="3686" spans="1:9">
      <c r="A3686" s="21" t="s">
        <v>8869</v>
      </c>
      <c r="B3686" s="21"/>
      <c r="C3686" s="22">
        <v>3653</v>
      </c>
      <c r="D3686" s="21">
        <v>11.4</v>
      </c>
      <c r="E3686" s="21" t="s">
        <v>5796</v>
      </c>
      <c r="F3686" s="23"/>
      <c r="G3686" s="23">
        <f t="shared" si="14"/>
        <v>11.4</v>
      </c>
      <c r="H3686" s="23"/>
      <c r="I3686" s="23"/>
    </row>
    <row r="3687" spans="1:9">
      <c r="A3687" s="21" t="s">
        <v>8870</v>
      </c>
      <c r="B3687" s="21"/>
      <c r="C3687" s="22">
        <v>3654</v>
      </c>
      <c r="D3687" s="21">
        <v>11.38</v>
      </c>
      <c r="E3687" s="21" t="s">
        <v>5796</v>
      </c>
      <c r="F3687" s="23"/>
      <c r="G3687" s="23">
        <f t="shared" si="14"/>
        <v>11.38</v>
      </c>
      <c r="H3687" s="23"/>
      <c r="I3687" s="23"/>
    </row>
    <row r="3688" spans="1:9">
      <c r="A3688" s="21" t="s">
        <v>8871</v>
      </c>
      <c r="B3688" s="21"/>
      <c r="C3688" s="22">
        <v>3655</v>
      </c>
      <c r="D3688" s="21">
        <v>11.37</v>
      </c>
      <c r="E3688" s="21" t="s">
        <v>5796</v>
      </c>
      <c r="F3688" s="23"/>
      <c r="G3688" s="23">
        <f t="shared" si="14"/>
        <v>11.37</v>
      </c>
      <c r="H3688" s="23"/>
      <c r="I3688" s="23"/>
    </row>
    <row r="3689" spans="1:9">
      <c r="A3689" s="21" t="s">
        <v>8872</v>
      </c>
      <c r="B3689" s="21"/>
      <c r="C3689" s="22">
        <v>3656</v>
      </c>
      <c r="D3689" s="21">
        <v>11.29</v>
      </c>
      <c r="E3689" s="21" t="s">
        <v>5796</v>
      </c>
      <c r="F3689" s="23"/>
      <c r="G3689" s="23">
        <f t="shared" si="14"/>
        <v>11.29</v>
      </c>
      <c r="H3689" s="23"/>
      <c r="I3689" s="23"/>
    </row>
    <row r="3690" spans="1:9">
      <c r="A3690" s="21" t="s">
        <v>8873</v>
      </c>
      <c r="B3690" s="21"/>
      <c r="C3690" s="22">
        <v>3657</v>
      </c>
      <c r="D3690" s="21">
        <v>11.27</v>
      </c>
      <c r="E3690" s="21" t="s">
        <v>5796</v>
      </c>
      <c r="F3690" s="23"/>
      <c r="G3690" s="23">
        <f t="shared" si="14"/>
        <v>11.27</v>
      </c>
      <c r="H3690" s="23"/>
      <c r="I3690" s="23"/>
    </row>
    <row r="3691" spans="1:9">
      <c r="A3691" s="21" t="s">
        <v>8874</v>
      </c>
      <c r="B3691" s="21"/>
      <c r="C3691" s="22">
        <v>3658</v>
      </c>
      <c r="D3691" s="21">
        <v>11.27</v>
      </c>
      <c r="E3691" s="21" t="s">
        <v>5796</v>
      </c>
      <c r="F3691" s="23"/>
      <c r="G3691" s="23">
        <f t="shared" si="14"/>
        <v>11.27</v>
      </c>
      <c r="H3691" s="23"/>
      <c r="I3691" s="23"/>
    </row>
    <row r="3692" spans="1:9">
      <c r="A3692" s="21" t="s">
        <v>8875</v>
      </c>
      <c r="B3692" s="21"/>
      <c r="C3692" s="22">
        <v>3659</v>
      </c>
      <c r="D3692" s="21">
        <v>11.25</v>
      </c>
      <c r="E3692" s="21" t="s">
        <v>5796</v>
      </c>
      <c r="F3692" s="23"/>
      <c r="G3692" s="23">
        <f t="shared" si="14"/>
        <v>11.25</v>
      </c>
      <c r="H3692" s="23"/>
      <c r="I3692" s="23"/>
    </row>
    <row r="3693" spans="1:9">
      <c r="A3693" s="21" t="s">
        <v>8876</v>
      </c>
      <c r="B3693" s="21"/>
      <c r="C3693" s="22">
        <v>3660</v>
      </c>
      <c r="D3693" s="21">
        <v>11.25</v>
      </c>
      <c r="E3693" s="21" t="s">
        <v>5796</v>
      </c>
      <c r="F3693" s="23"/>
      <c r="G3693" s="23">
        <f t="shared" si="14"/>
        <v>11.25</v>
      </c>
      <c r="H3693" s="23"/>
      <c r="I3693" s="23"/>
    </row>
    <row r="3694" spans="1:9">
      <c r="A3694" s="21" t="s">
        <v>8877</v>
      </c>
      <c r="B3694" s="21"/>
      <c r="C3694" s="22">
        <v>3661</v>
      </c>
      <c r="D3694" s="21">
        <v>11.23</v>
      </c>
      <c r="E3694" s="21" t="s">
        <v>5796</v>
      </c>
      <c r="F3694" s="23"/>
      <c r="G3694" s="23">
        <f t="shared" si="14"/>
        <v>11.23</v>
      </c>
      <c r="H3694" s="23"/>
      <c r="I3694" s="23"/>
    </row>
    <row r="3695" spans="1:9">
      <c r="A3695" s="21" t="s">
        <v>8878</v>
      </c>
      <c r="B3695" s="21"/>
      <c r="C3695" s="22">
        <v>3662</v>
      </c>
      <c r="D3695" s="21">
        <v>11.22</v>
      </c>
      <c r="E3695" s="21" t="s">
        <v>5796</v>
      </c>
      <c r="F3695" s="23"/>
      <c r="G3695" s="23">
        <f t="shared" si="14"/>
        <v>11.22</v>
      </c>
      <c r="H3695" s="23"/>
      <c r="I3695" s="23"/>
    </row>
    <row r="3696" spans="1:9">
      <c r="A3696" s="21" t="s">
        <v>8879</v>
      </c>
      <c r="B3696" s="21"/>
      <c r="C3696" s="22">
        <v>3663</v>
      </c>
      <c r="D3696" s="21">
        <v>11.21</v>
      </c>
      <c r="E3696" s="21" t="s">
        <v>5796</v>
      </c>
      <c r="F3696" s="23"/>
      <c r="G3696" s="23">
        <f t="shared" si="14"/>
        <v>11.21</v>
      </c>
      <c r="H3696" s="23"/>
      <c r="I3696" s="23"/>
    </row>
    <row r="3697" spans="1:9">
      <c r="A3697" s="21" t="s">
        <v>8880</v>
      </c>
      <c r="B3697" s="21"/>
      <c r="C3697" s="22">
        <v>3664</v>
      </c>
      <c r="D3697" s="21">
        <v>11.2</v>
      </c>
      <c r="E3697" s="21" t="s">
        <v>5796</v>
      </c>
      <c r="F3697" s="23"/>
      <c r="G3697" s="23">
        <f t="shared" si="14"/>
        <v>11.2</v>
      </c>
      <c r="H3697" s="23"/>
      <c r="I3697" s="23"/>
    </row>
    <row r="3698" spans="1:9">
      <c r="A3698" s="21" t="s">
        <v>8881</v>
      </c>
      <c r="B3698" s="21"/>
      <c r="C3698" s="22">
        <v>3665</v>
      </c>
      <c r="D3698" s="21">
        <v>11.18</v>
      </c>
      <c r="E3698" s="21" t="s">
        <v>5796</v>
      </c>
      <c r="F3698" s="23"/>
      <c r="G3698" s="23">
        <f t="shared" si="14"/>
        <v>11.18</v>
      </c>
      <c r="H3698" s="23"/>
      <c r="I3698" s="23"/>
    </row>
    <row r="3699" spans="1:9">
      <c r="A3699" s="21" t="s">
        <v>8882</v>
      </c>
      <c r="B3699" s="21"/>
      <c r="C3699" s="22">
        <v>3666</v>
      </c>
      <c r="D3699" s="21">
        <v>11.15</v>
      </c>
      <c r="E3699" s="21" t="s">
        <v>5796</v>
      </c>
      <c r="F3699" s="23"/>
      <c r="G3699" s="23">
        <f t="shared" si="14"/>
        <v>11.15</v>
      </c>
      <c r="H3699" s="23"/>
      <c r="I3699" s="23"/>
    </row>
    <row r="3700" spans="1:9">
      <c r="A3700" s="21" t="s">
        <v>8883</v>
      </c>
      <c r="B3700" s="21"/>
      <c r="C3700" s="22">
        <v>3667</v>
      </c>
      <c r="D3700" s="21">
        <v>11.13</v>
      </c>
      <c r="E3700" s="21" t="s">
        <v>5796</v>
      </c>
      <c r="F3700" s="23"/>
      <c r="G3700" s="23">
        <f t="shared" si="14"/>
        <v>11.13</v>
      </c>
      <c r="H3700" s="23"/>
      <c r="I3700" s="23"/>
    </row>
    <row r="3701" spans="1:9">
      <c r="A3701" s="21" t="s">
        <v>8884</v>
      </c>
      <c r="B3701" s="21"/>
      <c r="C3701" s="22">
        <v>3668</v>
      </c>
      <c r="D3701" s="21">
        <v>11.13</v>
      </c>
      <c r="E3701" s="21" t="s">
        <v>5796</v>
      </c>
      <c r="F3701" s="23"/>
      <c r="G3701" s="23">
        <f t="shared" si="14"/>
        <v>11.13</v>
      </c>
      <c r="H3701" s="23"/>
      <c r="I3701" s="23"/>
    </row>
    <row r="3702" spans="1:9">
      <c r="A3702" s="21" t="s">
        <v>8885</v>
      </c>
      <c r="B3702" s="21"/>
      <c r="C3702" s="22">
        <v>3669</v>
      </c>
      <c r="D3702" s="21">
        <v>11.07</v>
      </c>
      <c r="E3702" s="21" t="s">
        <v>5796</v>
      </c>
      <c r="F3702" s="23"/>
      <c r="G3702" s="23">
        <f t="shared" si="14"/>
        <v>11.07</v>
      </c>
      <c r="H3702" s="23"/>
      <c r="I3702" s="23"/>
    </row>
    <row r="3703" spans="1:9">
      <c r="A3703" s="21" t="s">
        <v>8886</v>
      </c>
      <c r="B3703" s="21"/>
      <c r="C3703" s="22">
        <v>3670</v>
      </c>
      <c r="D3703" s="21">
        <v>11.01</v>
      </c>
      <c r="E3703" s="21" t="s">
        <v>5796</v>
      </c>
      <c r="F3703" s="23"/>
      <c r="G3703" s="23">
        <f t="shared" si="14"/>
        <v>11.01</v>
      </c>
      <c r="H3703" s="23"/>
      <c r="I3703" s="23"/>
    </row>
    <row r="3704" spans="1:9">
      <c r="A3704" s="21" t="s">
        <v>8887</v>
      </c>
      <c r="B3704" s="21"/>
      <c r="C3704" s="22">
        <v>3671</v>
      </c>
      <c r="D3704" s="21">
        <v>11</v>
      </c>
      <c r="E3704" s="21" t="s">
        <v>5796</v>
      </c>
      <c r="F3704" s="23"/>
      <c r="G3704" s="23">
        <f t="shared" si="14"/>
        <v>11</v>
      </c>
      <c r="H3704" s="23"/>
      <c r="I3704" s="23"/>
    </row>
    <row r="3705" spans="1:9">
      <c r="A3705" s="21" t="s">
        <v>8888</v>
      </c>
      <c r="B3705" s="21"/>
      <c r="C3705" s="22">
        <v>3672</v>
      </c>
      <c r="D3705" s="21">
        <v>11</v>
      </c>
      <c r="E3705" s="21" t="s">
        <v>5796</v>
      </c>
      <c r="F3705" s="23"/>
      <c r="G3705" s="23">
        <f t="shared" si="14"/>
        <v>11</v>
      </c>
      <c r="H3705" s="23"/>
      <c r="I3705" s="23"/>
    </row>
    <row r="3706" spans="1:9">
      <c r="A3706" s="21" t="s">
        <v>8889</v>
      </c>
      <c r="B3706" s="21"/>
      <c r="C3706" s="22">
        <v>3673</v>
      </c>
      <c r="D3706" s="21">
        <v>10.96</v>
      </c>
      <c r="E3706" s="21" t="s">
        <v>5796</v>
      </c>
      <c r="F3706" s="23"/>
      <c r="G3706" s="23">
        <f t="shared" si="14"/>
        <v>10.96</v>
      </c>
      <c r="H3706" s="23"/>
      <c r="I3706" s="23"/>
    </row>
    <row r="3707" spans="1:9">
      <c r="A3707" s="21" t="s">
        <v>8890</v>
      </c>
      <c r="B3707" s="21"/>
      <c r="C3707" s="22">
        <v>3674</v>
      </c>
      <c r="D3707" s="21">
        <v>10.92</v>
      </c>
      <c r="E3707" s="21" t="s">
        <v>5796</v>
      </c>
      <c r="F3707" s="23"/>
      <c r="G3707" s="23">
        <f t="shared" si="14"/>
        <v>10.92</v>
      </c>
      <c r="H3707" s="23"/>
      <c r="I3707" s="23"/>
    </row>
    <row r="3708" spans="1:9">
      <c r="A3708" s="21" t="s">
        <v>8891</v>
      </c>
      <c r="B3708" s="21"/>
      <c r="C3708" s="22">
        <v>3677</v>
      </c>
      <c r="D3708" s="21">
        <v>10.87</v>
      </c>
      <c r="E3708" s="21" t="s">
        <v>5796</v>
      </c>
      <c r="F3708" s="23"/>
      <c r="G3708" s="23">
        <f t="shared" si="14"/>
        <v>10.87</v>
      </c>
      <c r="H3708" s="23"/>
      <c r="I3708" s="23"/>
    </row>
    <row r="3709" spans="1:9">
      <c r="A3709" s="21" t="s">
        <v>8892</v>
      </c>
      <c r="B3709" s="21"/>
      <c r="C3709" s="22">
        <v>3678</v>
      </c>
      <c r="D3709" s="21">
        <v>10.86</v>
      </c>
      <c r="E3709" s="21" t="s">
        <v>5796</v>
      </c>
      <c r="F3709" s="23"/>
      <c r="G3709" s="23">
        <f t="shared" si="14"/>
        <v>10.86</v>
      </c>
      <c r="H3709" s="23"/>
      <c r="I3709" s="23"/>
    </row>
    <row r="3710" spans="1:9">
      <c r="A3710" s="21" t="s">
        <v>8893</v>
      </c>
      <c r="B3710" s="21"/>
      <c r="C3710" s="22">
        <v>3679</v>
      </c>
      <c r="D3710" s="21">
        <v>10.85</v>
      </c>
      <c r="E3710" s="21" t="s">
        <v>5796</v>
      </c>
      <c r="F3710" s="23"/>
      <c r="G3710" s="23">
        <f t="shared" si="14"/>
        <v>10.85</v>
      </c>
      <c r="H3710" s="23"/>
      <c r="I3710" s="23"/>
    </row>
    <row r="3711" spans="1:9">
      <c r="A3711" s="21" t="s">
        <v>8894</v>
      </c>
      <c r="B3711" s="21"/>
      <c r="C3711" s="22">
        <v>3680</v>
      </c>
      <c r="D3711" s="21">
        <v>10.84</v>
      </c>
      <c r="E3711" s="21" t="s">
        <v>5796</v>
      </c>
      <c r="F3711" s="23"/>
      <c r="G3711" s="23">
        <f t="shared" si="14"/>
        <v>10.84</v>
      </c>
      <c r="H3711" s="23"/>
      <c r="I3711" s="23"/>
    </row>
    <row r="3712" spans="1:9">
      <c r="A3712" s="21" t="s">
        <v>8895</v>
      </c>
      <c r="B3712" s="21"/>
      <c r="C3712" s="22">
        <v>3681</v>
      </c>
      <c r="D3712" s="21">
        <v>10.83</v>
      </c>
      <c r="E3712" s="21" t="s">
        <v>5796</v>
      </c>
      <c r="F3712" s="23"/>
      <c r="G3712" s="23">
        <f t="shared" si="14"/>
        <v>10.83</v>
      </c>
      <c r="H3712" s="23"/>
      <c r="I3712" s="23"/>
    </row>
    <row r="3713" spans="1:9">
      <c r="A3713" s="21" t="s">
        <v>8896</v>
      </c>
      <c r="B3713" s="21"/>
      <c r="C3713" s="22">
        <v>3683</v>
      </c>
      <c r="D3713" s="21">
        <v>10.77</v>
      </c>
      <c r="E3713" s="21" t="s">
        <v>5796</v>
      </c>
      <c r="F3713" s="23"/>
      <c r="G3713" s="23">
        <f t="shared" si="14"/>
        <v>10.77</v>
      </c>
      <c r="H3713" s="23"/>
      <c r="I3713" s="23"/>
    </row>
    <row r="3714" spans="1:9">
      <c r="A3714" s="21" t="s">
        <v>8897</v>
      </c>
      <c r="B3714" s="21"/>
      <c r="C3714" s="22">
        <v>3684</v>
      </c>
      <c r="D3714" s="21">
        <v>10.76</v>
      </c>
      <c r="E3714" s="21" t="s">
        <v>5796</v>
      </c>
      <c r="F3714" s="23"/>
      <c r="G3714" s="23">
        <f t="shared" si="14"/>
        <v>10.76</v>
      </c>
      <c r="H3714" s="23"/>
      <c r="I3714" s="23"/>
    </row>
    <row r="3715" spans="1:9">
      <c r="A3715" s="21" t="s">
        <v>8898</v>
      </c>
      <c r="B3715" s="21"/>
      <c r="C3715" s="22">
        <v>3685</v>
      </c>
      <c r="D3715" s="21">
        <v>10.76</v>
      </c>
      <c r="E3715" s="21" t="s">
        <v>5796</v>
      </c>
      <c r="F3715" s="23"/>
      <c r="G3715" s="23">
        <f t="shared" si="14"/>
        <v>10.76</v>
      </c>
      <c r="H3715" s="23"/>
      <c r="I3715" s="23"/>
    </row>
    <row r="3716" spans="1:9">
      <c r="A3716" s="21" t="s">
        <v>8899</v>
      </c>
      <c r="B3716" s="21"/>
      <c r="C3716" s="22">
        <v>3686</v>
      </c>
      <c r="D3716" s="21">
        <v>10.73</v>
      </c>
      <c r="E3716" s="21" t="s">
        <v>5796</v>
      </c>
      <c r="F3716" s="23"/>
      <c r="G3716" s="23">
        <f t="shared" si="14"/>
        <v>10.73</v>
      </c>
      <c r="H3716" s="23"/>
      <c r="I3716" s="23"/>
    </row>
    <row r="3717" spans="1:9">
      <c r="A3717" s="21" t="s">
        <v>8900</v>
      </c>
      <c r="B3717" s="21"/>
      <c r="C3717" s="22">
        <v>3687</v>
      </c>
      <c r="D3717" s="21">
        <v>10.72</v>
      </c>
      <c r="E3717" s="21" t="s">
        <v>5796</v>
      </c>
      <c r="F3717" s="23"/>
      <c r="G3717" s="23">
        <f t="shared" si="14"/>
        <v>10.72</v>
      </c>
      <c r="H3717" s="23"/>
      <c r="I3717" s="23"/>
    </row>
    <row r="3718" spans="1:9">
      <c r="A3718" s="21" t="s">
        <v>8901</v>
      </c>
      <c r="B3718" s="21"/>
      <c r="C3718" s="22">
        <v>3688</v>
      </c>
      <c r="D3718" s="21">
        <v>10.7</v>
      </c>
      <c r="E3718" s="21" t="s">
        <v>5796</v>
      </c>
      <c r="F3718" s="23"/>
      <c r="G3718" s="23">
        <f t="shared" si="14"/>
        <v>10.7</v>
      </c>
      <c r="H3718" s="23"/>
      <c r="I3718" s="23"/>
    </row>
    <row r="3719" spans="1:9">
      <c r="A3719" s="21" t="s">
        <v>8902</v>
      </c>
      <c r="B3719" s="21"/>
      <c r="C3719" s="22">
        <v>3689</v>
      </c>
      <c r="D3719" s="21">
        <v>10.68</v>
      </c>
      <c r="E3719" s="21" t="s">
        <v>5796</v>
      </c>
      <c r="F3719" s="23"/>
      <c r="G3719" s="23">
        <f t="shared" si="14"/>
        <v>10.68</v>
      </c>
      <c r="H3719" s="23"/>
      <c r="I3719" s="23"/>
    </row>
    <row r="3720" spans="1:9">
      <c r="A3720" s="21" t="s">
        <v>8903</v>
      </c>
      <c r="B3720" s="21"/>
      <c r="C3720" s="22">
        <v>3690</v>
      </c>
      <c r="D3720" s="21">
        <v>10.67</v>
      </c>
      <c r="E3720" s="21" t="s">
        <v>5796</v>
      </c>
      <c r="F3720" s="23"/>
      <c r="G3720" s="23">
        <f t="shared" si="14"/>
        <v>10.67</v>
      </c>
      <c r="H3720" s="23"/>
      <c r="I3720" s="23"/>
    </row>
    <row r="3721" spans="1:9">
      <c r="A3721" s="21" t="s">
        <v>8904</v>
      </c>
      <c r="B3721" s="21"/>
      <c r="C3721" s="22">
        <v>3691</v>
      </c>
      <c r="D3721" s="21">
        <v>10.63</v>
      </c>
      <c r="E3721" s="21" t="s">
        <v>5796</v>
      </c>
      <c r="F3721" s="23"/>
      <c r="G3721" s="23">
        <f t="shared" si="14"/>
        <v>10.63</v>
      </c>
      <c r="H3721" s="23"/>
      <c r="I3721" s="23"/>
    </row>
    <row r="3722" spans="1:9">
      <c r="A3722" s="21" t="s">
        <v>8905</v>
      </c>
      <c r="B3722" s="21"/>
      <c r="C3722" s="22">
        <v>3692</v>
      </c>
      <c r="D3722" s="21">
        <v>10.6</v>
      </c>
      <c r="E3722" s="21" t="s">
        <v>5796</v>
      </c>
      <c r="F3722" s="23"/>
      <c r="G3722" s="23">
        <f t="shared" si="14"/>
        <v>10.6</v>
      </c>
      <c r="H3722" s="23"/>
      <c r="I3722" s="23"/>
    </row>
    <row r="3723" spans="1:9">
      <c r="A3723" s="21" t="s">
        <v>8906</v>
      </c>
      <c r="B3723" s="21"/>
      <c r="C3723" s="22">
        <v>3693</v>
      </c>
      <c r="D3723" s="21">
        <v>10.58</v>
      </c>
      <c r="E3723" s="21" t="s">
        <v>5796</v>
      </c>
      <c r="F3723" s="23"/>
      <c r="G3723" s="23">
        <f t="shared" si="14"/>
        <v>10.58</v>
      </c>
      <c r="H3723" s="23"/>
      <c r="I3723" s="23"/>
    </row>
    <row r="3724" spans="1:9">
      <c r="A3724" s="21" t="s">
        <v>8907</v>
      </c>
      <c r="B3724" s="21"/>
      <c r="C3724" s="22">
        <v>3694</v>
      </c>
      <c r="D3724" s="21">
        <v>10.58</v>
      </c>
      <c r="E3724" s="21" t="s">
        <v>5796</v>
      </c>
      <c r="F3724" s="23"/>
      <c r="G3724" s="23">
        <f t="shared" si="14"/>
        <v>10.58</v>
      </c>
      <c r="H3724" s="23"/>
      <c r="I3724" s="23"/>
    </row>
    <row r="3725" spans="1:9">
      <c r="A3725" s="21" t="s">
        <v>8908</v>
      </c>
      <c r="B3725" s="21"/>
      <c r="C3725" s="22">
        <v>3695</v>
      </c>
      <c r="D3725" s="21">
        <v>10.57</v>
      </c>
      <c r="E3725" s="21" t="s">
        <v>5796</v>
      </c>
      <c r="F3725" s="23"/>
      <c r="G3725" s="23">
        <f t="shared" si="14"/>
        <v>10.57</v>
      </c>
      <c r="H3725" s="23"/>
      <c r="I3725" s="23"/>
    </row>
    <row r="3726" spans="1:9">
      <c r="A3726" s="21" t="s">
        <v>8909</v>
      </c>
      <c r="B3726" s="21"/>
      <c r="C3726" s="22">
        <v>3696</v>
      </c>
      <c r="D3726" s="21">
        <v>10.51</v>
      </c>
      <c r="E3726" s="21" t="s">
        <v>5796</v>
      </c>
      <c r="F3726" s="23"/>
      <c r="G3726" s="23">
        <f t="shared" si="14"/>
        <v>10.51</v>
      </c>
      <c r="H3726" s="23"/>
      <c r="I3726" s="23"/>
    </row>
    <row r="3727" spans="1:9">
      <c r="A3727" s="21" t="s">
        <v>8910</v>
      </c>
      <c r="B3727" s="21"/>
      <c r="C3727" s="22">
        <v>3697</v>
      </c>
      <c r="D3727" s="21">
        <v>10.5</v>
      </c>
      <c r="E3727" s="21" t="s">
        <v>5796</v>
      </c>
      <c r="F3727" s="23"/>
      <c r="G3727" s="23">
        <f t="shared" si="14"/>
        <v>10.5</v>
      </c>
      <c r="H3727" s="23"/>
      <c r="I3727" s="23"/>
    </row>
    <row r="3728" spans="1:9">
      <c r="A3728" s="21" t="s">
        <v>8911</v>
      </c>
      <c r="B3728" s="21"/>
      <c r="C3728" s="22">
        <v>3698</v>
      </c>
      <c r="D3728" s="21">
        <v>10.5</v>
      </c>
      <c r="E3728" s="21" t="s">
        <v>5796</v>
      </c>
      <c r="F3728" s="23"/>
      <c r="G3728" s="23">
        <f t="shared" si="14"/>
        <v>10.5</v>
      </c>
      <c r="H3728" s="23"/>
      <c r="I3728" s="23"/>
    </row>
    <row r="3729" spans="1:9">
      <c r="A3729" s="21" t="s">
        <v>8912</v>
      </c>
      <c r="B3729" s="21"/>
      <c r="C3729" s="22">
        <v>3700</v>
      </c>
      <c r="D3729" s="21">
        <v>10.49</v>
      </c>
      <c r="E3729" s="21" t="s">
        <v>5796</v>
      </c>
      <c r="F3729" s="23"/>
      <c r="G3729" s="23">
        <f t="shared" si="14"/>
        <v>10.49</v>
      </c>
      <c r="H3729" s="23"/>
      <c r="I3729" s="23"/>
    </row>
    <row r="3730" spans="1:9">
      <c r="A3730" s="21" t="s">
        <v>8913</v>
      </c>
      <c r="B3730" s="21"/>
      <c r="C3730" s="22">
        <v>3701</v>
      </c>
      <c r="D3730" s="21">
        <v>10.47</v>
      </c>
      <c r="E3730" s="21" t="s">
        <v>5796</v>
      </c>
      <c r="F3730" s="23"/>
      <c r="G3730" s="23">
        <f t="shared" si="14"/>
        <v>10.47</v>
      </c>
      <c r="H3730" s="23"/>
      <c r="I3730" s="23"/>
    </row>
    <row r="3731" spans="1:9">
      <c r="A3731" s="21" t="s">
        <v>8914</v>
      </c>
      <c r="B3731" s="21"/>
      <c r="C3731" s="22">
        <v>3702</v>
      </c>
      <c r="D3731" s="21">
        <v>10.46</v>
      </c>
      <c r="E3731" s="21" t="s">
        <v>5796</v>
      </c>
      <c r="F3731" s="23"/>
      <c r="G3731" s="23">
        <f t="shared" si="14"/>
        <v>10.46</v>
      </c>
      <c r="H3731" s="23"/>
      <c r="I3731" s="23"/>
    </row>
    <row r="3732" spans="1:9">
      <c r="A3732" s="21" t="s">
        <v>8915</v>
      </c>
      <c r="B3732" s="21"/>
      <c r="C3732" s="22">
        <v>3703</v>
      </c>
      <c r="D3732" s="21">
        <v>10.46</v>
      </c>
      <c r="E3732" s="21" t="s">
        <v>5796</v>
      </c>
      <c r="F3732" s="23"/>
      <c r="G3732" s="23">
        <f t="shared" si="14"/>
        <v>10.46</v>
      </c>
      <c r="H3732" s="23"/>
      <c r="I3732" s="23"/>
    </row>
    <row r="3733" spans="1:9">
      <c r="A3733" s="21" t="s">
        <v>8916</v>
      </c>
      <c r="B3733" s="21"/>
      <c r="C3733" s="22">
        <v>3704</v>
      </c>
      <c r="D3733" s="21">
        <v>10.45</v>
      </c>
      <c r="E3733" s="21" t="s">
        <v>5796</v>
      </c>
      <c r="F3733" s="23"/>
      <c r="G3733" s="23">
        <f t="shared" si="14"/>
        <v>10.45</v>
      </c>
      <c r="H3733" s="23"/>
      <c r="I3733" s="23"/>
    </row>
    <row r="3734" spans="1:9">
      <c r="A3734" s="21" t="s">
        <v>8917</v>
      </c>
      <c r="B3734" s="21"/>
      <c r="C3734" s="22">
        <v>3705</v>
      </c>
      <c r="D3734" s="21">
        <v>10.43</v>
      </c>
      <c r="E3734" s="21" t="s">
        <v>5796</v>
      </c>
      <c r="F3734" s="23"/>
      <c r="G3734" s="23">
        <f t="shared" si="14"/>
        <v>10.43</v>
      </c>
      <c r="H3734" s="23"/>
      <c r="I3734" s="23"/>
    </row>
    <row r="3735" spans="1:9">
      <c r="A3735" s="21" t="s">
        <v>8918</v>
      </c>
      <c r="B3735" s="21"/>
      <c r="C3735" s="22">
        <v>3706</v>
      </c>
      <c r="D3735" s="21">
        <v>10.42</v>
      </c>
      <c r="E3735" s="21" t="s">
        <v>5796</v>
      </c>
      <c r="F3735" s="23"/>
      <c r="G3735" s="23">
        <f t="shared" si="14"/>
        <v>10.42</v>
      </c>
      <c r="H3735" s="23"/>
      <c r="I3735" s="23"/>
    </row>
    <row r="3736" spans="1:9">
      <c r="A3736" s="21" t="s">
        <v>8919</v>
      </c>
      <c r="B3736" s="21"/>
      <c r="C3736" s="22">
        <v>3707</v>
      </c>
      <c r="D3736" s="21">
        <v>10.42</v>
      </c>
      <c r="E3736" s="21" t="s">
        <v>5796</v>
      </c>
      <c r="F3736" s="23"/>
      <c r="G3736" s="23">
        <f t="shared" si="14"/>
        <v>10.42</v>
      </c>
      <c r="H3736" s="23"/>
      <c r="I3736" s="23"/>
    </row>
    <row r="3737" spans="1:9">
      <c r="A3737" s="21" t="s">
        <v>8920</v>
      </c>
      <c r="B3737" s="21"/>
      <c r="C3737" s="22">
        <v>3708</v>
      </c>
      <c r="D3737" s="21">
        <v>10.42</v>
      </c>
      <c r="E3737" s="21" t="s">
        <v>5796</v>
      </c>
      <c r="F3737" s="23"/>
      <c r="G3737" s="23">
        <f t="shared" si="14"/>
        <v>10.42</v>
      </c>
      <c r="H3737" s="23"/>
      <c r="I3737" s="23"/>
    </row>
    <row r="3738" spans="1:9">
      <c r="A3738" s="21" t="s">
        <v>8921</v>
      </c>
      <c r="B3738" s="21"/>
      <c r="C3738" s="22">
        <v>3709</v>
      </c>
      <c r="D3738" s="21">
        <v>10.41</v>
      </c>
      <c r="E3738" s="21" t="s">
        <v>5796</v>
      </c>
      <c r="F3738" s="23"/>
      <c r="G3738" s="23">
        <f t="shared" si="14"/>
        <v>10.41</v>
      </c>
      <c r="H3738" s="23"/>
      <c r="I3738" s="23"/>
    </row>
    <row r="3739" spans="1:9">
      <c r="A3739" s="21" t="s">
        <v>8922</v>
      </c>
      <c r="B3739" s="21"/>
      <c r="C3739" s="22">
        <v>3710</v>
      </c>
      <c r="D3739" s="21">
        <v>10.4</v>
      </c>
      <c r="E3739" s="21" t="s">
        <v>5796</v>
      </c>
      <c r="F3739" s="23"/>
      <c r="G3739" s="23">
        <f t="shared" si="14"/>
        <v>10.4</v>
      </c>
      <c r="H3739" s="23"/>
      <c r="I3739" s="23"/>
    </row>
    <row r="3740" spans="1:9">
      <c r="A3740" s="21" t="s">
        <v>8923</v>
      </c>
      <c r="B3740" s="21"/>
      <c r="C3740" s="22">
        <v>3711</v>
      </c>
      <c r="D3740" s="21">
        <v>10.36</v>
      </c>
      <c r="E3740" s="21" t="s">
        <v>5796</v>
      </c>
      <c r="F3740" s="23"/>
      <c r="G3740" s="23">
        <f t="shared" si="14"/>
        <v>10.36</v>
      </c>
      <c r="H3740" s="23"/>
      <c r="I3740" s="23"/>
    </row>
    <row r="3741" spans="1:9">
      <c r="A3741" s="21" t="s">
        <v>8924</v>
      </c>
      <c r="B3741" s="21"/>
      <c r="C3741" s="22">
        <v>3712</v>
      </c>
      <c r="D3741" s="21">
        <v>10.34</v>
      </c>
      <c r="E3741" s="21" t="s">
        <v>5796</v>
      </c>
      <c r="F3741" s="23"/>
      <c r="G3741" s="23">
        <f t="shared" si="14"/>
        <v>10.34</v>
      </c>
      <c r="H3741" s="23"/>
      <c r="I3741" s="23"/>
    </row>
    <row r="3742" spans="1:9">
      <c r="A3742" s="21" t="s">
        <v>8925</v>
      </c>
      <c r="B3742" s="21"/>
      <c r="C3742" s="22">
        <v>3713</v>
      </c>
      <c r="D3742" s="21">
        <v>10.32</v>
      </c>
      <c r="E3742" s="21" t="s">
        <v>5796</v>
      </c>
      <c r="F3742" s="23"/>
      <c r="G3742" s="23">
        <f t="shared" si="14"/>
        <v>10.32</v>
      </c>
      <c r="H3742" s="23"/>
      <c r="I3742" s="23"/>
    </row>
    <row r="3743" spans="1:9">
      <c r="A3743" s="21" t="s">
        <v>8926</v>
      </c>
      <c r="B3743" s="21"/>
      <c r="C3743" s="22">
        <v>3714</v>
      </c>
      <c r="D3743" s="21">
        <v>10.32</v>
      </c>
      <c r="E3743" s="21" t="s">
        <v>5796</v>
      </c>
      <c r="F3743" s="23"/>
      <c r="G3743" s="23">
        <f t="shared" si="14"/>
        <v>10.32</v>
      </c>
      <c r="H3743" s="23"/>
      <c r="I3743" s="23"/>
    </row>
    <row r="3744" spans="1:9">
      <c r="A3744" s="21" t="s">
        <v>8927</v>
      </c>
      <c r="B3744" s="21"/>
      <c r="C3744" s="22">
        <v>3715</v>
      </c>
      <c r="D3744" s="21">
        <v>10.32</v>
      </c>
      <c r="E3744" s="21" t="s">
        <v>5796</v>
      </c>
      <c r="F3744" s="23"/>
      <c r="G3744" s="23">
        <f t="shared" si="14"/>
        <v>10.32</v>
      </c>
      <c r="H3744" s="23"/>
      <c r="I3744" s="23"/>
    </row>
    <row r="3745" spans="1:9">
      <c r="A3745" s="21" t="s">
        <v>8928</v>
      </c>
      <c r="B3745" s="21"/>
      <c r="C3745" s="22">
        <v>3716</v>
      </c>
      <c r="D3745" s="21">
        <v>10.29</v>
      </c>
      <c r="E3745" s="21" t="s">
        <v>5796</v>
      </c>
      <c r="F3745" s="23"/>
      <c r="G3745" s="23">
        <f t="shared" si="14"/>
        <v>10.29</v>
      </c>
      <c r="H3745" s="23"/>
      <c r="I3745" s="23"/>
    </row>
    <row r="3746" spans="1:9">
      <c r="A3746" s="21" t="s">
        <v>8929</v>
      </c>
      <c r="B3746" s="21"/>
      <c r="C3746" s="22">
        <v>3717</v>
      </c>
      <c r="D3746" s="21">
        <v>10.26</v>
      </c>
      <c r="E3746" s="21" t="s">
        <v>5796</v>
      </c>
      <c r="F3746" s="23"/>
      <c r="G3746" s="23">
        <f t="shared" si="14"/>
        <v>10.26</v>
      </c>
      <c r="H3746" s="23"/>
      <c r="I3746" s="23"/>
    </row>
    <row r="3747" spans="1:9">
      <c r="A3747" s="21" t="s">
        <v>8930</v>
      </c>
      <c r="B3747" s="21"/>
      <c r="C3747" s="22">
        <v>3718</v>
      </c>
      <c r="D3747" s="21">
        <v>10.19</v>
      </c>
      <c r="E3747" s="21" t="s">
        <v>5796</v>
      </c>
      <c r="F3747" s="23"/>
      <c r="G3747" s="23">
        <f t="shared" si="14"/>
        <v>10.19</v>
      </c>
      <c r="H3747" s="23"/>
      <c r="I3747" s="23"/>
    </row>
    <row r="3748" spans="1:9">
      <c r="A3748" s="21" t="s">
        <v>8931</v>
      </c>
      <c r="B3748" s="21"/>
      <c r="C3748" s="22">
        <v>3719</v>
      </c>
      <c r="D3748" s="21">
        <v>10.19</v>
      </c>
      <c r="E3748" s="21" t="s">
        <v>5796</v>
      </c>
      <c r="F3748" s="23"/>
      <c r="G3748" s="23">
        <f t="shared" si="14"/>
        <v>10.19</v>
      </c>
      <c r="H3748" s="23"/>
      <c r="I3748" s="23"/>
    </row>
    <row r="3749" spans="1:9">
      <c r="A3749" s="21" t="s">
        <v>8932</v>
      </c>
      <c r="B3749" s="21"/>
      <c r="C3749" s="22">
        <v>3720</v>
      </c>
      <c r="D3749" s="21">
        <v>10.17</v>
      </c>
      <c r="E3749" s="21" t="s">
        <v>5796</v>
      </c>
      <c r="F3749" s="23"/>
      <c r="G3749" s="23">
        <f t="shared" si="14"/>
        <v>10.17</v>
      </c>
      <c r="H3749" s="23"/>
      <c r="I3749" s="23"/>
    </row>
    <row r="3750" spans="1:9">
      <c r="A3750" s="21" t="s">
        <v>8933</v>
      </c>
      <c r="B3750" s="21"/>
      <c r="C3750" s="22">
        <v>3721</v>
      </c>
      <c r="D3750" s="21">
        <v>10.17</v>
      </c>
      <c r="E3750" s="21" t="s">
        <v>5796</v>
      </c>
      <c r="F3750" s="23"/>
      <c r="G3750" s="23">
        <f t="shared" si="14"/>
        <v>10.17</v>
      </c>
      <c r="H3750" s="23"/>
      <c r="I3750" s="23"/>
    </row>
    <row r="3751" spans="1:9">
      <c r="A3751" s="21" t="s">
        <v>8934</v>
      </c>
      <c r="B3751" s="21"/>
      <c r="C3751" s="22">
        <v>3722</v>
      </c>
      <c r="D3751" s="21">
        <v>10.15</v>
      </c>
      <c r="E3751" s="21" t="s">
        <v>5796</v>
      </c>
      <c r="F3751" s="23"/>
      <c r="G3751" s="23">
        <f t="shared" si="14"/>
        <v>10.15</v>
      </c>
      <c r="H3751" s="23"/>
      <c r="I3751" s="23"/>
    </row>
    <row r="3752" spans="1:9">
      <c r="A3752" s="21" t="s">
        <v>8935</v>
      </c>
      <c r="B3752" s="21"/>
      <c r="C3752" s="22">
        <v>3723</v>
      </c>
      <c r="D3752" s="21">
        <v>10.15</v>
      </c>
      <c r="E3752" s="21" t="s">
        <v>5796</v>
      </c>
      <c r="F3752" s="23"/>
      <c r="G3752" s="23">
        <f t="shared" si="14"/>
        <v>10.15</v>
      </c>
      <c r="H3752" s="23"/>
      <c r="I3752" s="23"/>
    </row>
    <row r="3753" spans="1:9">
      <c r="A3753" s="21" t="s">
        <v>8936</v>
      </c>
      <c r="B3753" s="21"/>
      <c r="C3753" s="22">
        <v>3724</v>
      </c>
      <c r="D3753" s="21">
        <v>10.130000000000001</v>
      </c>
      <c r="E3753" s="21" t="s">
        <v>5796</v>
      </c>
      <c r="F3753" s="23"/>
      <c r="G3753" s="23">
        <f t="shared" si="14"/>
        <v>10.130000000000001</v>
      </c>
      <c r="H3753" s="23"/>
      <c r="I3753" s="23"/>
    </row>
    <row r="3754" spans="1:9">
      <c r="A3754" s="21" t="s">
        <v>8937</v>
      </c>
      <c r="B3754" s="21"/>
      <c r="C3754" s="22">
        <v>3726</v>
      </c>
      <c r="D3754" s="21">
        <v>10.06</v>
      </c>
      <c r="E3754" s="21" t="s">
        <v>5796</v>
      </c>
      <c r="F3754" s="23"/>
      <c r="G3754" s="23">
        <f t="shared" si="14"/>
        <v>10.06</v>
      </c>
      <c r="H3754" s="23"/>
      <c r="I3754" s="23"/>
    </row>
    <row r="3755" spans="1:9">
      <c r="A3755" s="21" t="s">
        <v>8938</v>
      </c>
      <c r="B3755" s="21"/>
      <c r="C3755" s="22">
        <v>3727</v>
      </c>
      <c r="D3755" s="21">
        <v>10.050000000000001</v>
      </c>
      <c r="E3755" s="21" t="s">
        <v>5796</v>
      </c>
      <c r="F3755" s="23"/>
      <c r="G3755" s="23">
        <f t="shared" si="14"/>
        <v>10.050000000000001</v>
      </c>
      <c r="H3755" s="23"/>
      <c r="I3755" s="23"/>
    </row>
    <row r="3756" spans="1:9">
      <c r="A3756" s="21" t="s">
        <v>8939</v>
      </c>
      <c r="B3756" s="21"/>
      <c r="C3756" s="22">
        <v>3728</v>
      </c>
      <c r="D3756" s="21">
        <v>10</v>
      </c>
      <c r="E3756" s="21" t="s">
        <v>5796</v>
      </c>
      <c r="F3756" s="23"/>
      <c r="G3756" s="23">
        <f t="shared" si="14"/>
        <v>10</v>
      </c>
      <c r="H3756" s="23"/>
      <c r="I3756" s="23"/>
    </row>
    <row r="3757" spans="1:9">
      <c r="A3757" s="21" t="s">
        <v>8940</v>
      </c>
      <c r="B3757" s="21"/>
      <c r="C3757" s="22">
        <v>3729</v>
      </c>
      <c r="D3757" s="21">
        <v>9.99</v>
      </c>
      <c r="E3757" s="21" t="s">
        <v>5796</v>
      </c>
      <c r="F3757" s="23"/>
      <c r="G3757" s="23">
        <f t="shared" si="14"/>
        <v>9.99</v>
      </c>
      <c r="H3757" s="23"/>
      <c r="I3757" s="23"/>
    </row>
    <row r="3758" spans="1:9">
      <c r="A3758" s="21" t="s">
        <v>8941</v>
      </c>
      <c r="B3758" s="21"/>
      <c r="C3758" s="22">
        <v>3730</v>
      </c>
      <c r="D3758" s="21">
        <v>9.98</v>
      </c>
      <c r="E3758" s="21" t="s">
        <v>5796</v>
      </c>
      <c r="F3758" s="23"/>
      <c r="G3758" s="23">
        <f t="shared" si="14"/>
        <v>9.98</v>
      </c>
      <c r="H3758" s="23"/>
      <c r="I3758" s="23"/>
    </row>
    <row r="3759" spans="1:9">
      <c r="A3759" s="21" t="s">
        <v>8942</v>
      </c>
      <c r="B3759" s="21"/>
      <c r="C3759" s="22">
        <v>3731</v>
      </c>
      <c r="D3759" s="21">
        <v>9.9700000000000006</v>
      </c>
      <c r="E3759" s="21" t="s">
        <v>5796</v>
      </c>
      <c r="F3759" s="23"/>
      <c r="G3759" s="23">
        <f t="shared" si="14"/>
        <v>9.9700000000000006</v>
      </c>
      <c r="H3759" s="23"/>
      <c r="I3759" s="23"/>
    </row>
    <row r="3760" spans="1:9">
      <c r="A3760" s="21" t="s">
        <v>8943</v>
      </c>
      <c r="B3760" s="21"/>
      <c r="C3760" s="22">
        <v>3733</v>
      </c>
      <c r="D3760" s="21">
        <v>9.9499999999999993</v>
      </c>
      <c r="E3760" s="21" t="s">
        <v>5796</v>
      </c>
      <c r="F3760" s="23"/>
      <c r="G3760" s="23">
        <f t="shared" si="14"/>
        <v>9.9499999999999993</v>
      </c>
      <c r="H3760" s="23"/>
      <c r="I3760" s="23"/>
    </row>
    <row r="3761" spans="1:9">
      <c r="A3761" s="21" t="s">
        <v>8944</v>
      </c>
      <c r="B3761" s="21"/>
      <c r="C3761" s="22">
        <v>3734</v>
      </c>
      <c r="D3761" s="21">
        <v>9.9499999999999993</v>
      </c>
      <c r="E3761" s="21" t="s">
        <v>5796</v>
      </c>
      <c r="F3761" s="23"/>
      <c r="G3761" s="23">
        <f t="shared" si="14"/>
        <v>9.9499999999999993</v>
      </c>
      <c r="H3761" s="23"/>
      <c r="I3761" s="23"/>
    </row>
    <row r="3762" spans="1:9">
      <c r="A3762" s="21" t="s">
        <v>8945</v>
      </c>
      <c r="B3762" s="21"/>
      <c r="C3762" s="22">
        <v>3735</v>
      </c>
      <c r="D3762" s="21">
        <v>9.93</v>
      </c>
      <c r="E3762" s="21" t="s">
        <v>5796</v>
      </c>
      <c r="F3762" s="23"/>
      <c r="G3762" s="23">
        <f t="shared" si="14"/>
        <v>9.93</v>
      </c>
      <c r="H3762" s="23"/>
      <c r="I3762" s="23"/>
    </row>
    <row r="3763" spans="1:9">
      <c r="A3763" s="21" t="s">
        <v>8946</v>
      </c>
      <c r="B3763" s="21"/>
      <c r="C3763" s="22">
        <v>3736</v>
      </c>
      <c r="D3763" s="21">
        <v>9.93</v>
      </c>
      <c r="E3763" s="21" t="s">
        <v>5796</v>
      </c>
      <c r="F3763" s="23"/>
      <c r="G3763" s="23">
        <f t="shared" si="14"/>
        <v>9.93</v>
      </c>
      <c r="H3763" s="23"/>
      <c r="I3763" s="23"/>
    </row>
    <row r="3764" spans="1:9">
      <c r="A3764" s="21" t="s">
        <v>8947</v>
      </c>
      <c r="B3764" s="21"/>
      <c r="C3764" s="22">
        <v>3737</v>
      </c>
      <c r="D3764" s="21">
        <v>9.92</v>
      </c>
      <c r="E3764" s="21" t="s">
        <v>5796</v>
      </c>
      <c r="F3764" s="23"/>
      <c r="G3764" s="23">
        <f t="shared" si="14"/>
        <v>9.92</v>
      </c>
      <c r="H3764" s="23"/>
      <c r="I3764" s="23"/>
    </row>
    <row r="3765" spans="1:9">
      <c r="A3765" s="21" t="s">
        <v>8948</v>
      </c>
      <c r="B3765" s="21"/>
      <c r="C3765" s="22">
        <v>3738</v>
      </c>
      <c r="D3765" s="21">
        <v>9.92</v>
      </c>
      <c r="E3765" s="21" t="s">
        <v>5796</v>
      </c>
      <c r="F3765" s="23"/>
      <c r="G3765" s="23">
        <f t="shared" si="14"/>
        <v>9.92</v>
      </c>
      <c r="H3765" s="23"/>
      <c r="I3765" s="23"/>
    </row>
    <row r="3766" spans="1:9">
      <c r="A3766" s="21" t="s">
        <v>8949</v>
      </c>
      <c r="B3766" s="21"/>
      <c r="C3766" s="22">
        <v>3739</v>
      </c>
      <c r="D3766" s="21">
        <v>9.9</v>
      </c>
      <c r="E3766" s="21" t="s">
        <v>5796</v>
      </c>
      <c r="F3766" s="23"/>
      <c r="G3766" s="23">
        <f t="shared" si="14"/>
        <v>9.9</v>
      </c>
      <c r="H3766" s="23"/>
      <c r="I3766" s="23"/>
    </row>
    <row r="3767" spans="1:9">
      <c r="A3767" s="21" t="s">
        <v>8950</v>
      </c>
      <c r="B3767" s="21"/>
      <c r="C3767" s="22">
        <v>3740</v>
      </c>
      <c r="D3767" s="21">
        <v>9.84</v>
      </c>
      <c r="E3767" s="21" t="s">
        <v>5796</v>
      </c>
      <c r="F3767" s="23"/>
      <c r="G3767" s="23">
        <f t="shared" si="14"/>
        <v>9.84</v>
      </c>
      <c r="H3767" s="23"/>
      <c r="I3767" s="23"/>
    </row>
    <row r="3768" spans="1:9">
      <c r="A3768" s="21" t="s">
        <v>8951</v>
      </c>
      <c r="B3768" s="21"/>
      <c r="C3768" s="22">
        <v>3741</v>
      </c>
      <c r="D3768" s="21">
        <v>9.84</v>
      </c>
      <c r="E3768" s="21" t="s">
        <v>5796</v>
      </c>
      <c r="F3768" s="23"/>
      <c r="G3768" s="23">
        <f t="shared" si="14"/>
        <v>9.84</v>
      </c>
      <c r="H3768" s="23"/>
      <c r="I3768" s="23"/>
    </row>
    <row r="3769" spans="1:9">
      <c r="A3769" s="21" t="s">
        <v>8952</v>
      </c>
      <c r="B3769" s="21"/>
      <c r="C3769" s="22">
        <v>3742</v>
      </c>
      <c r="D3769" s="21">
        <v>9.81</v>
      </c>
      <c r="E3769" s="21" t="s">
        <v>5796</v>
      </c>
      <c r="F3769" s="23"/>
      <c r="G3769" s="23">
        <f t="shared" si="14"/>
        <v>9.81</v>
      </c>
      <c r="H3769" s="23"/>
      <c r="I3769" s="23"/>
    </row>
    <row r="3770" spans="1:9">
      <c r="A3770" s="21" t="s">
        <v>8953</v>
      </c>
      <c r="B3770" s="21"/>
      <c r="C3770" s="22">
        <v>3743</v>
      </c>
      <c r="D3770" s="21">
        <v>9.7799999999999994</v>
      </c>
      <c r="E3770" s="21" t="s">
        <v>5796</v>
      </c>
      <c r="F3770" s="23"/>
      <c r="G3770" s="23">
        <f t="shared" si="14"/>
        <v>9.7799999999999994</v>
      </c>
      <c r="H3770" s="23"/>
      <c r="I3770" s="23"/>
    </row>
    <row r="3771" spans="1:9">
      <c r="A3771" s="21" t="s">
        <v>8954</v>
      </c>
      <c r="B3771" s="21"/>
      <c r="C3771" s="22">
        <v>3744</v>
      </c>
      <c r="D3771" s="21">
        <v>9.7799999999999994</v>
      </c>
      <c r="E3771" s="21" t="s">
        <v>5796</v>
      </c>
      <c r="F3771" s="23"/>
      <c r="G3771" s="23">
        <f t="shared" si="14"/>
        <v>9.7799999999999994</v>
      </c>
      <c r="H3771" s="23"/>
      <c r="I3771" s="23"/>
    </row>
    <row r="3772" spans="1:9">
      <c r="A3772" s="21" t="s">
        <v>8955</v>
      </c>
      <c r="B3772" s="21"/>
      <c r="C3772" s="22">
        <v>3745</v>
      </c>
      <c r="D3772" s="21">
        <v>9.7799999999999994</v>
      </c>
      <c r="E3772" s="21" t="s">
        <v>5796</v>
      </c>
      <c r="F3772" s="23"/>
      <c r="G3772" s="23">
        <f t="shared" si="14"/>
        <v>9.7799999999999994</v>
      </c>
      <c r="H3772" s="23"/>
      <c r="I3772" s="23"/>
    </row>
    <row r="3773" spans="1:9">
      <c r="A3773" s="21" t="s">
        <v>8956</v>
      </c>
      <c r="B3773" s="21"/>
      <c r="C3773" s="22">
        <v>3746</v>
      </c>
      <c r="D3773" s="21">
        <v>9.7799999999999994</v>
      </c>
      <c r="E3773" s="21" t="s">
        <v>5796</v>
      </c>
      <c r="F3773" s="23"/>
      <c r="G3773" s="23">
        <f t="shared" si="14"/>
        <v>9.7799999999999994</v>
      </c>
      <c r="H3773" s="23"/>
      <c r="I3773" s="23"/>
    </row>
    <row r="3774" spans="1:9">
      <c r="A3774" s="21" t="s">
        <v>8957</v>
      </c>
      <c r="B3774" s="21"/>
      <c r="C3774" s="22">
        <v>3747</v>
      </c>
      <c r="D3774" s="21">
        <v>9.75</v>
      </c>
      <c r="E3774" s="21" t="s">
        <v>5796</v>
      </c>
      <c r="F3774" s="23"/>
      <c r="G3774" s="23">
        <f t="shared" si="14"/>
        <v>9.75</v>
      </c>
      <c r="H3774" s="23"/>
      <c r="I3774" s="23"/>
    </row>
    <row r="3775" spans="1:9">
      <c r="A3775" s="21" t="s">
        <v>8958</v>
      </c>
      <c r="B3775" s="21"/>
      <c r="C3775" s="22">
        <v>3748</v>
      </c>
      <c r="D3775" s="21">
        <v>9.73</v>
      </c>
      <c r="E3775" s="21" t="s">
        <v>5796</v>
      </c>
      <c r="F3775" s="23"/>
      <c r="G3775" s="23">
        <f t="shared" si="14"/>
        <v>9.73</v>
      </c>
      <c r="H3775" s="23"/>
      <c r="I3775" s="23"/>
    </row>
    <row r="3776" spans="1:9">
      <c r="A3776" s="21" t="s">
        <v>8959</v>
      </c>
      <c r="B3776" s="21"/>
      <c r="C3776" s="22">
        <v>3749</v>
      </c>
      <c r="D3776" s="21">
        <v>9.7200000000000006</v>
      </c>
      <c r="E3776" s="21" t="s">
        <v>5796</v>
      </c>
      <c r="F3776" s="23"/>
      <c r="G3776" s="23">
        <f t="shared" si="14"/>
        <v>9.7200000000000006</v>
      </c>
      <c r="H3776" s="23"/>
      <c r="I3776" s="23"/>
    </row>
    <row r="3777" spans="1:9">
      <c r="A3777" s="21" t="s">
        <v>8960</v>
      </c>
      <c r="B3777" s="21"/>
      <c r="C3777" s="22">
        <v>3751</v>
      </c>
      <c r="D3777" s="21">
        <v>9.67</v>
      </c>
      <c r="E3777" s="21" t="s">
        <v>5796</v>
      </c>
      <c r="F3777" s="23"/>
      <c r="G3777" s="23">
        <f t="shared" si="14"/>
        <v>9.67</v>
      </c>
      <c r="H3777" s="23"/>
      <c r="I3777" s="23"/>
    </row>
    <row r="3778" spans="1:9">
      <c r="A3778" s="21" t="s">
        <v>8961</v>
      </c>
      <c r="B3778" s="21"/>
      <c r="C3778" s="22">
        <v>3752</v>
      </c>
      <c r="D3778" s="21">
        <v>9.66</v>
      </c>
      <c r="E3778" s="21" t="s">
        <v>5796</v>
      </c>
      <c r="F3778" s="23"/>
      <c r="G3778" s="23">
        <f t="shared" si="14"/>
        <v>9.66</v>
      </c>
      <c r="H3778" s="23"/>
      <c r="I3778" s="23"/>
    </row>
    <row r="3779" spans="1:9">
      <c r="A3779" s="21" t="s">
        <v>8962</v>
      </c>
      <c r="B3779" s="21"/>
      <c r="C3779" s="22">
        <v>3753</v>
      </c>
      <c r="D3779" s="21">
        <v>9.65</v>
      </c>
      <c r="E3779" s="21" t="s">
        <v>5796</v>
      </c>
      <c r="F3779" s="23"/>
      <c r="G3779" s="23">
        <f t="shared" si="14"/>
        <v>9.65</v>
      </c>
      <c r="H3779" s="23"/>
      <c r="I3779" s="23"/>
    </row>
    <row r="3780" spans="1:9">
      <c r="A3780" s="21" t="s">
        <v>8963</v>
      </c>
      <c r="B3780" s="21"/>
      <c r="C3780" s="22">
        <v>3754</v>
      </c>
      <c r="D3780" s="21">
        <v>9.65</v>
      </c>
      <c r="E3780" s="21" t="s">
        <v>5796</v>
      </c>
      <c r="F3780" s="23"/>
      <c r="G3780" s="23">
        <f t="shared" si="14"/>
        <v>9.65</v>
      </c>
      <c r="H3780" s="23"/>
      <c r="I3780" s="23"/>
    </row>
    <row r="3781" spans="1:9">
      <c r="A3781" s="21" t="s">
        <v>8964</v>
      </c>
      <c r="B3781" s="21"/>
      <c r="C3781" s="22">
        <v>3755</v>
      </c>
      <c r="D3781" s="21">
        <v>9.64</v>
      </c>
      <c r="E3781" s="21" t="s">
        <v>5796</v>
      </c>
      <c r="F3781" s="23"/>
      <c r="G3781" s="23">
        <f t="shared" si="14"/>
        <v>9.64</v>
      </c>
      <c r="H3781" s="23"/>
      <c r="I3781" s="23"/>
    </row>
    <row r="3782" spans="1:9">
      <c r="A3782" s="21" t="s">
        <v>8965</v>
      </c>
      <c r="B3782" s="21"/>
      <c r="C3782" s="22">
        <v>3756</v>
      </c>
      <c r="D3782" s="21">
        <v>9.64</v>
      </c>
      <c r="E3782" s="21" t="s">
        <v>5796</v>
      </c>
      <c r="F3782" s="23"/>
      <c r="G3782" s="23">
        <f t="shared" si="14"/>
        <v>9.64</v>
      </c>
      <c r="H3782" s="23"/>
      <c r="I3782" s="23"/>
    </row>
    <row r="3783" spans="1:9">
      <c r="A3783" s="21" t="s">
        <v>8966</v>
      </c>
      <c r="B3783" s="21"/>
      <c r="C3783" s="22">
        <v>3757</v>
      </c>
      <c r="D3783" s="21">
        <v>9.64</v>
      </c>
      <c r="E3783" s="21" t="s">
        <v>5796</v>
      </c>
      <c r="F3783" s="23"/>
      <c r="G3783" s="23">
        <f t="shared" si="14"/>
        <v>9.64</v>
      </c>
      <c r="H3783" s="23"/>
      <c r="I3783" s="23"/>
    </row>
    <row r="3784" spans="1:9">
      <c r="A3784" s="21" t="s">
        <v>8967</v>
      </c>
      <c r="B3784" s="21"/>
      <c r="C3784" s="22">
        <v>3758</v>
      </c>
      <c r="D3784" s="21">
        <v>9.6300000000000008</v>
      </c>
      <c r="E3784" s="21" t="s">
        <v>5796</v>
      </c>
      <c r="F3784" s="23"/>
      <c r="G3784" s="23">
        <f t="shared" si="14"/>
        <v>9.6300000000000008</v>
      </c>
      <c r="H3784" s="23"/>
      <c r="I3784" s="23"/>
    </row>
    <row r="3785" spans="1:9">
      <c r="A3785" s="21" t="s">
        <v>8968</v>
      </c>
      <c r="B3785" s="21"/>
      <c r="C3785" s="22">
        <v>3759</v>
      </c>
      <c r="D3785" s="21">
        <v>9.6300000000000008</v>
      </c>
      <c r="E3785" s="21" t="s">
        <v>5796</v>
      </c>
      <c r="F3785" s="23"/>
      <c r="G3785" s="23">
        <f t="shared" si="14"/>
        <v>9.6300000000000008</v>
      </c>
      <c r="H3785" s="23"/>
      <c r="I3785" s="23"/>
    </row>
    <row r="3786" spans="1:9">
      <c r="A3786" s="21" t="s">
        <v>8969</v>
      </c>
      <c r="B3786" s="21"/>
      <c r="C3786" s="22">
        <v>3760</v>
      </c>
      <c r="D3786" s="21">
        <v>9.6300000000000008</v>
      </c>
      <c r="E3786" s="21" t="s">
        <v>5796</v>
      </c>
      <c r="F3786" s="23"/>
      <c r="G3786" s="23">
        <f t="shared" si="14"/>
        <v>9.6300000000000008</v>
      </c>
      <c r="H3786" s="23"/>
      <c r="I3786" s="23"/>
    </row>
    <row r="3787" spans="1:9">
      <c r="A3787" s="21" t="s">
        <v>8970</v>
      </c>
      <c r="B3787" s="21"/>
      <c r="C3787" s="22">
        <v>3761</v>
      </c>
      <c r="D3787" s="21">
        <v>9.59</v>
      </c>
      <c r="E3787" s="21" t="s">
        <v>5796</v>
      </c>
      <c r="F3787" s="23"/>
      <c r="G3787" s="23">
        <f t="shared" si="14"/>
        <v>9.59</v>
      </c>
      <c r="H3787" s="23"/>
      <c r="I3787" s="23"/>
    </row>
    <row r="3788" spans="1:9">
      <c r="A3788" s="21" t="s">
        <v>8971</v>
      </c>
      <c r="B3788" s="21"/>
      <c r="C3788" s="22">
        <v>3762</v>
      </c>
      <c r="D3788" s="21">
        <v>9.59</v>
      </c>
      <c r="E3788" s="21" t="s">
        <v>5796</v>
      </c>
      <c r="F3788" s="23"/>
      <c r="G3788" s="23">
        <f t="shared" si="14"/>
        <v>9.59</v>
      </c>
      <c r="H3788" s="23"/>
      <c r="I3788" s="23"/>
    </row>
    <row r="3789" spans="1:9">
      <c r="A3789" s="21" t="s">
        <v>8972</v>
      </c>
      <c r="B3789" s="21"/>
      <c r="C3789" s="22">
        <v>3763</v>
      </c>
      <c r="D3789" s="21">
        <v>9.58</v>
      </c>
      <c r="E3789" s="21" t="s">
        <v>5796</v>
      </c>
      <c r="F3789" s="23"/>
      <c r="G3789" s="23">
        <f t="shared" si="14"/>
        <v>9.58</v>
      </c>
      <c r="H3789" s="23"/>
      <c r="I3789" s="23"/>
    </row>
    <row r="3790" spans="1:9">
      <c r="A3790" s="21" t="s">
        <v>8973</v>
      </c>
      <c r="B3790" s="21"/>
      <c r="C3790" s="22">
        <v>3764</v>
      </c>
      <c r="D3790" s="21">
        <v>9.56</v>
      </c>
      <c r="E3790" s="21" t="s">
        <v>5796</v>
      </c>
      <c r="F3790" s="23"/>
      <c r="G3790" s="23">
        <f t="shared" si="14"/>
        <v>9.56</v>
      </c>
      <c r="H3790" s="23"/>
      <c r="I3790" s="23"/>
    </row>
    <row r="3791" spans="1:9">
      <c r="A3791" s="21" t="s">
        <v>8974</v>
      </c>
      <c r="B3791" s="21"/>
      <c r="C3791" s="22">
        <v>3765</v>
      </c>
      <c r="D3791" s="21">
        <v>9.5500000000000007</v>
      </c>
      <c r="E3791" s="21" t="s">
        <v>5796</v>
      </c>
      <c r="F3791" s="23"/>
      <c r="G3791" s="23">
        <f t="shared" si="14"/>
        <v>9.5500000000000007</v>
      </c>
      <c r="H3791" s="23"/>
      <c r="I3791" s="23"/>
    </row>
    <row r="3792" spans="1:9">
      <c r="A3792" s="21" t="s">
        <v>8975</v>
      </c>
      <c r="B3792" s="21"/>
      <c r="C3792" s="22">
        <v>3766</v>
      </c>
      <c r="D3792" s="21">
        <v>9.5500000000000007</v>
      </c>
      <c r="E3792" s="21" t="s">
        <v>5796</v>
      </c>
      <c r="F3792" s="23"/>
      <c r="G3792" s="23">
        <f t="shared" si="14"/>
        <v>9.5500000000000007</v>
      </c>
      <c r="H3792" s="23"/>
      <c r="I3792" s="23"/>
    </row>
    <row r="3793" spans="1:9">
      <c r="A3793" s="21" t="s">
        <v>8976</v>
      </c>
      <c r="B3793" s="21"/>
      <c r="C3793" s="22">
        <v>3767</v>
      </c>
      <c r="D3793" s="21">
        <v>9.5399999999999991</v>
      </c>
      <c r="E3793" s="21" t="s">
        <v>5796</v>
      </c>
      <c r="F3793" s="23"/>
      <c r="G3793" s="23">
        <f t="shared" si="14"/>
        <v>9.5399999999999991</v>
      </c>
      <c r="H3793" s="23"/>
      <c r="I3793" s="23"/>
    </row>
    <row r="3794" spans="1:9">
      <c r="A3794" s="21" t="s">
        <v>8977</v>
      </c>
      <c r="B3794" s="21"/>
      <c r="C3794" s="22">
        <v>3768</v>
      </c>
      <c r="D3794" s="21">
        <v>9.52</v>
      </c>
      <c r="E3794" s="21" t="s">
        <v>5796</v>
      </c>
      <c r="F3794" s="23"/>
      <c r="G3794" s="23">
        <f t="shared" si="14"/>
        <v>9.52</v>
      </c>
      <c r="H3794" s="23"/>
      <c r="I3794" s="23"/>
    </row>
    <row r="3795" spans="1:9">
      <c r="A3795" s="21" t="s">
        <v>8978</v>
      </c>
      <c r="B3795" s="21"/>
      <c r="C3795" s="22">
        <v>3769</v>
      </c>
      <c r="D3795" s="21">
        <v>9.52</v>
      </c>
      <c r="E3795" s="21" t="s">
        <v>5796</v>
      </c>
      <c r="F3795" s="23"/>
      <c r="G3795" s="23">
        <f t="shared" si="14"/>
        <v>9.52</v>
      </c>
      <c r="H3795" s="23"/>
      <c r="I3795" s="23"/>
    </row>
    <row r="3796" spans="1:9">
      <c r="A3796" s="21" t="s">
        <v>8979</v>
      </c>
      <c r="B3796" s="21"/>
      <c r="C3796" s="22">
        <v>3770</v>
      </c>
      <c r="D3796" s="21">
        <v>9.51</v>
      </c>
      <c r="E3796" s="21" t="s">
        <v>5796</v>
      </c>
      <c r="F3796" s="23"/>
      <c r="G3796" s="23">
        <f t="shared" si="14"/>
        <v>9.51</v>
      </c>
      <c r="H3796" s="23"/>
      <c r="I3796" s="23"/>
    </row>
    <row r="3797" spans="1:9">
      <c r="A3797" s="21" t="s">
        <v>8980</v>
      </c>
      <c r="B3797" s="21"/>
      <c r="C3797" s="22">
        <v>3771</v>
      </c>
      <c r="D3797" s="21">
        <v>9.5</v>
      </c>
      <c r="E3797" s="21" t="s">
        <v>5796</v>
      </c>
      <c r="F3797" s="23"/>
      <c r="G3797" s="23">
        <f t="shared" si="14"/>
        <v>9.5</v>
      </c>
      <c r="H3797" s="23"/>
      <c r="I3797" s="23"/>
    </row>
    <row r="3798" spans="1:9">
      <c r="A3798" s="21" t="s">
        <v>8981</v>
      </c>
      <c r="B3798" s="21"/>
      <c r="C3798" s="22">
        <v>3772</v>
      </c>
      <c r="D3798" s="21">
        <v>9.5</v>
      </c>
      <c r="E3798" s="21" t="s">
        <v>5796</v>
      </c>
      <c r="F3798" s="23"/>
      <c r="G3798" s="23">
        <f t="shared" si="14"/>
        <v>9.5</v>
      </c>
      <c r="H3798" s="23"/>
      <c r="I3798" s="23"/>
    </row>
    <row r="3799" spans="1:9">
      <c r="A3799" s="21" t="s">
        <v>8982</v>
      </c>
      <c r="B3799" s="21"/>
      <c r="C3799" s="22">
        <v>3773</v>
      </c>
      <c r="D3799" s="21">
        <v>9.49</v>
      </c>
      <c r="E3799" s="21" t="s">
        <v>5796</v>
      </c>
      <c r="F3799" s="23"/>
      <c r="G3799" s="23">
        <f t="shared" si="14"/>
        <v>9.49</v>
      </c>
      <c r="H3799" s="23"/>
      <c r="I3799" s="23"/>
    </row>
    <row r="3800" spans="1:9">
      <c r="A3800" s="21" t="s">
        <v>8983</v>
      </c>
      <c r="B3800" s="21"/>
      <c r="C3800" s="22">
        <v>3774</v>
      </c>
      <c r="D3800" s="21">
        <v>9.4499999999999993</v>
      </c>
      <c r="E3800" s="21" t="s">
        <v>5796</v>
      </c>
      <c r="F3800" s="23"/>
      <c r="G3800" s="23">
        <f t="shared" si="14"/>
        <v>9.4499999999999993</v>
      </c>
      <c r="H3800" s="23"/>
      <c r="I3800" s="23"/>
    </row>
    <row r="3801" spans="1:9">
      <c r="A3801" s="21" t="s">
        <v>8984</v>
      </c>
      <c r="B3801" s="21"/>
      <c r="C3801" s="22">
        <v>3775</v>
      </c>
      <c r="D3801" s="21">
        <v>9.43</v>
      </c>
      <c r="E3801" s="21" t="s">
        <v>5796</v>
      </c>
      <c r="F3801" s="23"/>
      <c r="G3801" s="23">
        <f t="shared" si="14"/>
        <v>9.43</v>
      </c>
      <c r="H3801" s="23"/>
      <c r="I3801" s="23"/>
    </row>
    <row r="3802" spans="1:9">
      <c r="A3802" s="21" t="s">
        <v>8985</v>
      </c>
      <c r="B3802" s="21"/>
      <c r="C3802" s="22">
        <v>3776</v>
      </c>
      <c r="D3802" s="21">
        <v>9.42</v>
      </c>
      <c r="E3802" s="21" t="s">
        <v>5796</v>
      </c>
      <c r="F3802" s="23"/>
      <c r="G3802" s="23">
        <f t="shared" si="14"/>
        <v>9.42</v>
      </c>
      <c r="H3802" s="23"/>
      <c r="I3802" s="23"/>
    </row>
    <row r="3803" spans="1:9">
      <c r="A3803" s="21" t="s">
        <v>8986</v>
      </c>
      <c r="B3803" s="21"/>
      <c r="C3803" s="22">
        <v>3777</v>
      </c>
      <c r="D3803" s="21">
        <v>9.41</v>
      </c>
      <c r="E3803" s="21" t="s">
        <v>5796</v>
      </c>
      <c r="F3803" s="23"/>
      <c r="G3803" s="23">
        <f t="shared" si="14"/>
        <v>9.41</v>
      </c>
      <c r="H3803" s="23"/>
      <c r="I3803" s="23"/>
    </row>
    <row r="3804" spans="1:9">
      <c r="A3804" s="21" t="s">
        <v>8987</v>
      </c>
      <c r="B3804" s="21"/>
      <c r="C3804" s="22">
        <v>3778</v>
      </c>
      <c r="D3804" s="21">
        <v>9.3800000000000008</v>
      </c>
      <c r="E3804" s="21" t="s">
        <v>5796</v>
      </c>
      <c r="F3804" s="23"/>
      <c r="G3804" s="23">
        <f t="shared" si="14"/>
        <v>9.3800000000000008</v>
      </c>
      <c r="H3804" s="23"/>
      <c r="I3804" s="23"/>
    </row>
    <row r="3805" spans="1:9">
      <c r="A3805" s="21" t="s">
        <v>8988</v>
      </c>
      <c r="B3805" s="21"/>
      <c r="C3805" s="22">
        <v>3779</v>
      </c>
      <c r="D3805" s="21">
        <v>9.34</v>
      </c>
      <c r="E3805" s="21" t="s">
        <v>5796</v>
      </c>
      <c r="F3805" s="23"/>
      <c r="G3805" s="23">
        <f t="shared" si="14"/>
        <v>9.34</v>
      </c>
      <c r="H3805" s="23"/>
      <c r="I3805" s="23"/>
    </row>
    <row r="3806" spans="1:9">
      <c r="A3806" s="21" t="s">
        <v>8989</v>
      </c>
      <c r="B3806" s="21"/>
      <c r="C3806" s="22">
        <v>3780</v>
      </c>
      <c r="D3806" s="21">
        <v>9.33</v>
      </c>
      <c r="E3806" s="21" t="s">
        <v>5796</v>
      </c>
      <c r="F3806" s="23"/>
      <c r="G3806" s="23">
        <f t="shared" si="14"/>
        <v>9.33</v>
      </c>
      <c r="H3806" s="23"/>
      <c r="I3806" s="23"/>
    </row>
    <row r="3807" spans="1:9">
      <c r="A3807" s="21" t="s">
        <v>8990</v>
      </c>
      <c r="B3807" s="21"/>
      <c r="C3807" s="22">
        <v>3781</v>
      </c>
      <c r="D3807" s="21">
        <v>9.32</v>
      </c>
      <c r="E3807" s="21" t="s">
        <v>5796</v>
      </c>
      <c r="F3807" s="23"/>
      <c r="G3807" s="23">
        <f t="shared" si="14"/>
        <v>9.32</v>
      </c>
      <c r="H3807" s="23"/>
      <c r="I3807" s="23"/>
    </row>
    <row r="3808" spans="1:9">
      <c r="A3808" s="21" t="s">
        <v>8991</v>
      </c>
      <c r="B3808" s="21"/>
      <c r="C3808" s="22">
        <v>3782</v>
      </c>
      <c r="D3808" s="21">
        <v>9.32</v>
      </c>
      <c r="E3808" s="21" t="s">
        <v>5796</v>
      </c>
      <c r="F3808" s="23"/>
      <c r="G3808" s="23">
        <f t="shared" si="14"/>
        <v>9.32</v>
      </c>
      <c r="H3808" s="23"/>
      <c r="I3808" s="23"/>
    </row>
    <row r="3809" spans="1:9">
      <c r="A3809" s="21" t="s">
        <v>8992</v>
      </c>
      <c r="B3809" s="21"/>
      <c r="C3809" s="22">
        <v>3783</v>
      </c>
      <c r="D3809" s="21">
        <v>9.32</v>
      </c>
      <c r="E3809" s="21" t="s">
        <v>5796</v>
      </c>
      <c r="F3809" s="23"/>
      <c r="G3809" s="23">
        <f t="shared" si="14"/>
        <v>9.32</v>
      </c>
      <c r="H3809" s="23"/>
      <c r="I3809" s="23"/>
    </row>
    <row r="3810" spans="1:9">
      <c r="A3810" s="21" t="s">
        <v>8993</v>
      </c>
      <c r="B3810" s="21"/>
      <c r="C3810" s="22">
        <v>3784</v>
      </c>
      <c r="D3810" s="21">
        <v>9.32</v>
      </c>
      <c r="E3810" s="21" t="s">
        <v>5796</v>
      </c>
      <c r="F3810" s="23"/>
      <c r="G3810" s="23">
        <f t="shared" si="14"/>
        <v>9.32</v>
      </c>
      <c r="H3810" s="23"/>
      <c r="I3810" s="23"/>
    </row>
    <row r="3811" spans="1:9">
      <c r="A3811" s="21" t="s">
        <v>8994</v>
      </c>
      <c r="B3811" s="21"/>
      <c r="C3811" s="22">
        <v>3785</v>
      </c>
      <c r="D3811" s="21">
        <v>9.31</v>
      </c>
      <c r="E3811" s="21" t="s">
        <v>5796</v>
      </c>
      <c r="F3811" s="23"/>
      <c r="G3811" s="23">
        <f t="shared" si="14"/>
        <v>9.31</v>
      </c>
      <c r="H3811" s="23"/>
      <c r="I3811" s="23"/>
    </row>
    <row r="3812" spans="1:9">
      <c r="A3812" s="21" t="s">
        <v>8995</v>
      </c>
      <c r="B3812" s="21"/>
      <c r="C3812" s="22">
        <v>3786</v>
      </c>
      <c r="D3812" s="21">
        <v>9.3000000000000007</v>
      </c>
      <c r="E3812" s="21" t="s">
        <v>5796</v>
      </c>
      <c r="F3812" s="23"/>
      <c r="G3812" s="23">
        <f t="shared" si="14"/>
        <v>9.3000000000000007</v>
      </c>
      <c r="H3812" s="23"/>
      <c r="I3812" s="23"/>
    </row>
    <row r="3813" spans="1:9">
      <c r="A3813" s="21" t="s">
        <v>8996</v>
      </c>
      <c r="B3813" s="21"/>
      <c r="C3813" s="22">
        <v>3787</v>
      </c>
      <c r="D3813" s="21">
        <v>9.3000000000000007</v>
      </c>
      <c r="E3813" s="21" t="s">
        <v>5796</v>
      </c>
      <c r="F3813" s="23"/>
      <c r="G3813" s="23">
        <f t="shared" si="14"/>
        <v>9.3000000000000007</v>
      </c>
      <c r="H3813" s="23"/>
      <c r="I3813" s="23"/>
    </row>
    <row r="3814" spans="1:9">
      <c r="A3814" s="21" t="s">
        <v>8997</v>
      </c>
      <c r="B3814" s="21"/>
      <c r="C3814" s="22">
        <v>3788</v>
      </c>
      <c r="D3814" s="21">
        <v>9.3000000000000007</v>
      </c>
      <c r="E3814" s="21" t="s">
        <v>5796</v>
      </c>
      <c r="F3814" s="23"/>
      <c r="G3814" s="23">
        <f t="shared" si="14"/>
        <v>9.3000000000000007</v>
      </c>
      <c r="H3814" s="23"/>
      <c r="I3814" s="23"/>
    </row>
    <row r="3815" spans="1:9">
      <c r="A3815" s="21" t="s">
        <v>8998</v>
      </c>
      <c r="B3815" s="21"/>
      <c r="C3815" s="22">
        <v>3789</v>
      </c>
      <c r="D3815" s="21">
        <v>9.2899999999999991</v>
      </c>
      <c r="E3815" s="21" t="s">
        <v>5796</v>
      </c>
      <c r="F3815" s="23"/>
      <c r="G3815" s="23">
        <f t="shared" si="14"/>
        <v>9.2899999999999991</v>
      </c>
      <c r="H3815" s="23"/>
      <c r="I3815" s="23"/>
    </row>
    <row r="3816" spans="1:9">
      <c r="A3816" s="21" t="s">
        <v>8999</v>
      </c>
      <c r="B3816" s="21"/>
      <c r="C3816" s="22">
        <v>3790</v>
      </c>
      <c r="D3816" s="21">
        <v>9.2899999999999991</v>
      </c>
      <c r="E3816" s="21" t="s">
        <v>5796</v>
      </c>
      <c r="F3816" s="23"/>
      <c r="G3816" s="23">
        <f t="shared" si="14"/>
        <v>9.2899999999999991</v>
      </c>
      <c r="H3816" s="23"/>
      <c r="I3816" s="23"/>
    </row>
    <row r="3817" spans="1:9">
      <c r="A3817" s="21" t="s">
        <v>9000</v>
      </c>
      <c r="B3817" s="21"/>
      <c r="C3817" s="22">
        <v>3791</v>
      </c>
      <c r="D3817" s="21">
        <v>9.2799999999999994</v>
      </c>
      <c r="E3817" s="21" t="s">
        <v>5796</v>
      </c>
      <c r="F3817" s="23"/>
      <c r="G3817" s="23">
        <f t="shared" si="14"/>
        <v>9.2799999999999994</v>
      </c>
      <c r="H3817" s="23"/>
      <c r="I3817" s="23"/>
    </row>
    <row r="3818" spans="1:9">
      <c r="A3818" s="21" t="s">
        <v>9001</v>
      </c>
      <c r="B3818" s="21"/>
      <c r="C3818" s="22">
        <v>3792</v>
      </c>
      <c r="D3818" s="21">
        <v>9.27</v>
      </c>
      <c r="E3818" s="21" t="s">
        <v>5796</v>
      </c>
      <c r="F3818" s="23"/>
      <c r="G3818" s="23">
        <f t="shared" si="14"/>
        <v>9.27</v>
      </c>
      <c r="H3818" s="23"/>
      <c r="I3818" s="23"/>
    </row>
    <row r="3819" spans="1:9">
      <c r="A3819" s="21" t="s">
        <v>9002</v>
      </c>
      <c r="B3819" s="21"/>
      <c r="C3819" s="22">
        <v>3793</v>
      </c>
      <c r="D3819" s="21">
        <v>9.25</v>
      </c>
      <c r="E3819" s="21" t="s">
        <v>5796</v>
      </c>
      <c r="F3819" s="23"/>
      <c r="G3819" s="23">
        <f t="shared" si="14"/>
        <v>9.25</v>
      </c>
      <c r="H3819" s="23"/>
      <c r="I3819" s="23"/>
    </row>
    <row r="3820" spans="1:9">
      <c r="A3820" s="21" t="s">
        <v>9003</v>
      </c>
      <c r="B3820" s="21"/>
      <c r="C3820" s="22">
        <v>3794</v>
      </c>
      <c r="D3820" s="21">
        <v>9.23</v>
      </c>
      <c r="E3820" s="21" t="s">
        <v>5796</v>
      </c>
      <c r="F3820" s="23"/>
      <c r="G3820" s="23">
        <f t="shared" si="14"/>
        <v>9.23</v>
      </c>
      <c r="H3820" s="23"/>
      <c r="I3820" s="23"/>
    </row>
    <row r="3821" spans="1:9">
      <c r="A3821" s="21" t="s">
        <v>9004</v>
      </c>
      <c r="B3821" s="21"/>
      <c r="C3821" s="22">
        <v>3795</v>
      </c>
      <c r="D3821" s="21">
        <v>9.23</v>
      </c>
      <c r="E3821" s="21" t="s">
        <v>5796</v>
      </c>
      <c r="F3821" s="23"/>
      <c r="G3821" s="23">
        <f t="shared" si="14"/>
        <v>9.23</v>
      </c>
      <c r="H3821" s="23"/>
      <c r="I3821" s="23"/>
    </row>
    <row r="3822" spans="1:9">
      <c r="A3822" s="21" t="s">
        <v>9005</v>
      </c>
      <c r="B3822" s="21"/>
      <c r="C3822" s="22">
        <v>3796</v>
      </c>
      <c r="D3822" s="21">
        <v>9.2200000000000006</v>
      </c>
      <c r="E3822" s="21" t="s">
        <v>5796</v>
      </c>
      <c r="F3822" s="23"/>
      <c r="G3822" s="23">
        <f t="shared" si="14"/>
        <v>9.2200000000000006</v>
      </c>
      <c r="H3822" s="23"/>
      <c r="I3822" s="23"/>
    </row>
    <row r="3823" spans="1:9">
      <c r="A3823" s="21" t="s">
        <v>9006</v>
      </c>
      <c r="B3823" s="21"/>
      <c r="C3823" s="22">
        <v>3797</v>
      </c>
      <c r="D3823" s="21">
        <v>9.2200000000000006</v>
      </c>
      <c r="E3823" s="21" t="s">
        <v>5796</v>
      </c>
      <c r="F3823" s="23"/>
      <c r="G3823" s="23">
        <f t="shared" si="14"/>
        <v>9.2200000000000006</v>
      </c>
      <c r="H3823" s="23"/>
      <c r="I3823" s="23"/>
    </row>
    <row r="3824" spans="1:9">
      <c r="A3824" s="21" t="s">
        <v>9007</v>
      </c>
      <c r="B3824" s="21"/>
      <c r="C3824" s="22">
        <v>3799</v>
      </c>
      <c r="D3824" s="21">
        <v>9.18</v>
      </c>
      <c r="E3824" s="21" t="s">
        <v>5796</v>
      </c>
      <c r="F3824" s="23"/>
      <c r="G3824" s="23">
        <f t="shared" si="14"/>
        <v>9.18</v>
      </c>
      <c r="H3824" s="23"/>
      <c r="I3824" s="23"/>
    </row>
    <row r="3825" spans="1:9">
      <c r="A3825" s="21" t="s">
        <v>9008</v>
      </c>
      <c r="B3825" s="21"/>
      <c r="C3825" s="22">
        <v>3800</v>
      </c>
      <c r="D3825" s="21">
        <v>9.18</v>
      </c>
      <c r="E3825" s="21" t="s">
        <v>5796</v>
      </c>
      <c r="F3825" s="23"/>
      <c r="G3825" s="23">
        <f t="shared" si="14"/>
        <v>9.18</v>
      </c>
      <c r="H3825" s="23"/>
      <c r="I3825" s="23"/>
    </row>
    <row r="3826" spans="1:9">
      <c r="A3826" s="21" t="s">
        <v>9009</v>
      </c>
      <c r="B3826" s="21"/>
      <c r="C3826" s="22">
        <v>3801</v>
      </c>
      <c r="D3826" s="21">
        <v>9.16</v>
      </c>
      <c r="E3826" s="21" t="s">
        <v>5796</v>
      </c>
      <c r="F3826" s="23"/>
      <c r="G3826" s="23">
        <f t="shared" si="14"/>
        <v>9.16</v>
      </c>
      <c r="H3826" s="23"/>
      <c r="I3826" s="23"/>
    </row>
    <row r="3827" spans="1:9">
      <c r="A3827" s="21" t="s">
        <v>9010</v>
      </c>
      <c r="B3827" s="21"/>
      <c r="C3827" s="22">
        <v>3802</v>
      </c>
      <c r="D3827" s="21">
        <v>9.15</v>
      </c>
      <c r="E3827" s="21" t="s">
        <v>5796</v>
      </c>
      <c r="F3827" s="23"/>
      <c r="G3827" s="23">
        <f t="shared" si="14"/>
        <v>9.15</v>
      </c>
      <c r="H3827" s="23"/>
      <c r="I3827" s="23"/>
    </row>
    <row r="3828" spans="1:9">
      <c r="A3828" s="21" t="s">
        <v>9011</v>
      </c>
      <c r="B3828" s="21"/>
      <c r="C3828" s="22">
        <v>3803</v>
      </c>
      <c r="D3828" s="21">
        <v>9.14</v>
      </c>
      <c r="E3828" s="21" t="s">
        <v>5796</v>
      </c>
      <c r="F3828" s="23"/>
      <c r="G3828" s="23">
        <f t="shared" ref="G3828:G4082" si="15">VALUE(SUBSTITUTE(D3828, ",", ""))</f>
        <v>9.14</v>
      </c>
      <c r="H3828" s="23"/>
      <c r="I3828" s="23"/>
    </row>
    <row r="3829" spans="1:9">
      <c r="A3829" s="21" t="s">
        <v>9012</v>
      </c>
      <c r="B3829" s="21"/>
      <c r="C3829" s="22">
        <v>3804</v>
      </c>
      <c r="D3829" s="21">
        <v>9.14</v>
      </c>
      <c r="E3829" s="21" t="s">
        <v>5796</v>
      </c>
      <c r="F3829" s="23"/>
      <c r="G3829" s="23">
        <f t="shared" si="15"/>
        <v>9.14</v>
      </c>
      <c r="H3829" s="23"/>
      <c r="I3829" s="23"/>
    </row>
    <row r="3830" spans="1:9">
      <c r="A3830" s="21" t="s">
        <v>9013</v>
      </c>
      <c r="B3830" s="21"/>
      <c r="C3830" s="22">
        <v>3805</v>
      </c>
      <c r="D3830" s="21">
        <v>9.14</v>
      </c>
      <c r="E3830" s="21" t="s">
        <v>5796</v>
      </c>
      <c r="F3830" s="23"/>
      <c r="G3830" s="23">
        <f t="shared" si="15"/>
        <v>9.14</v>
      </c>
      <c r="H3830" s="23"/>
      <c r="I3830" s="23"/>
    </row>
    <row r="3831" spans="1:9">
      <c r="A3831" s="21" t="s">
        <v>9014</v>
      </c>
      <c r="B3831" s="21"/>
      <c r="C3831" s="22">
        <v>3806</v>
      </c>
      <c r="D3831" s="21">
        <v>9.11</v>
      </c>
      <c r="E3831" s="21" t="s">
        <v>5796</v>
      </c>
      <c r="F3831" s="23"/>
      <c r="G3831" s="23">
        <f t="shared" si="15"/>
        <v>9.11</v>
      </c>
      <c r="H3831" s="23"/>
      <c r="I3831" s="23"/>
    </row>
    <row r="3832" spans="1:9">
      <c r="A3832" s="21" t="s">
        <v>9015</v>
      </c>
      <c r="B3832" s="21"/>
      <c r="C3832" s="22">
        <v>3807</v>
      </c>
      <c r="D3832" s="21">
        <v>9.1</v>
      </c>
      <c r="E3832" s="21" t="s">
        <v>5796</v>
      </c>
      <c r="F3832" s="23"/>
      <c r="G3832" s="23">
        <f t="shared" si="15"/>
        <v>9.1</v>
      </c>
      <c r="H3832" s="23"/>
      <c r="I3832" s="23"/>
    </row>
    <row r="3833" spans="1:9">
      <c r="A3833" s="21" t="s">
        <v>9016</v>
      </c>
      <c r="B3833" s="21"/>
      <c r="C3833" s="22">
        <v>3808</v>
      </c>
      <c r="D3833" s="21">
        <v>9.09</v>
      </c>
      <c r="E3833" s="21" t="s">
        <v>5796</v>
      </c>
      <c r="F3833" s="23"/>
      <c r="G3833" s="23">
        <f t="shared" si="15"/>
        <v>9.09</v>
      </c>
      <c r="H3833" s="23"/>
      <c r="I3833" s="23"/>
    </row>
    <row r="3834" spans="1:9">
      <c r="A3834" s="21" t="s">
        <v>9017</v>
      </c>
      <c r="B3834" s="21"/>
      <c r="C3834" s="22">
        <v>3809</v>
      </c>
      <c r="D3834" s="21">
        <v>9.09</v>
      </c>
      <c r="E3834" s="21" t="s">
        <v>5796</v>
      </c>
      <c r="F3834" s="23"/>
      <c r="G3834" s="23">
        <f t="shared" si="15"/>
        <v>9.09</v>
      </c>
      <c r="H3834" s="23"/>
      <c r="I3834" s="23"/>
    </row>
    <row r="3835" spans="1:9">
      <c r="A3835" s="21" t="s">
        <v>9018</v>
      </c>
      <c r="B3835" s="21"/>
      <c r="C3835" s="22">
        <v>3810</v>
      </c>
      <c r="D3835" s="21">
        <v>9.09</v>
      </c>
      <c r="E3835" s="21" t="s">
        <v>5796</v>
      </c>
      <c r="F3835" s="23"/>
      <c r="G3835" s="23">
        <f t="shared" si="15"/>
        <v>9.09</v>
      </c>
      <c r="H3835" s="23"/>
      <c r="I3835" s="23"/>
    </row>
    <row r="3836" spans="1:9">
      <c r="A3836" s="21" t="s">
        <v>9019</v>
      </c>
      <c r="B3836" s="21"/>
      <c r="C3836" s="22">
        <v>3811</v>
      </c>
      <c r="D3836" s="21">
        <v>9.08</v>
      </c>
      <c r="E3836" s="21" t="s">
        <v>5796</v>
      </c>
      <c r="F3836" s="23"/>
      <c r="G3836" s="23">
        <f t="shared" si="15"/>
        <v>9.08</v>
      </c>
      <c r="H3836" s="23"/>
      <c r="I3836" s="23"/>
    </row>
    <row r="3837" spans="1:9">
      <c r="A3837" s="21" t="s">
        <v>9020</v>
      </c>
      <c r="B3837" s="21"/>
      <c r="C3837" s="22">
        <v>3812</v>
      </c>
      <c r="D3837" s="21">
        <v>9.07</v>
      </c>
      <c r="E3837" s="21" t="s">
        <v>5796</v>
      </c>
      <c r="F3837" s="23"/>
      <c r="G3837" s="23">
        <f t="shared" si="15"/>
        <v>9.07</v>
      </c>
      <c r="H3837" s="23"/>
      <c r="I3837" s="23"/>
    </row>
    <row r="3838" spans="1:9">
      <c r="A3838" s="21" t="s">
        <v>9021</v>
      </c>
      <c r="B3838" s="21"/>
      <c r="C3838" s="22">
        <v>3813</v>
      </c>
      <c r="D3838" s="21">
        <v>9.07</v>
      </c>
      <c r="E3838" s="21" t="s">
        <v>5796</v>
      </c>
      <c r="F3838" s="23"/>
      <c r="G3838" s="23">
        <f t="shared" si="15"/>
        <v>9.07</v>
      </c>
      <c r="H3838" s="23"/>
      <c r="I3838" s="23"/>
    </row>
    <row r="3839" spans="1:9">
      <c r="A3839" s="21" t="s">
        <v>9022</v>
      </c>
      <c r="B3839" s="21"/>
      <c r="C3839" s="22">
        <v>3814</v>
      </c>
      <c r="D3839" s="21">
        <v>9.06</v>
      </c>
      <c r="E3839" s="21" t="s">
        <v>5796</v>
      </c>
      <c r="F3839" s="23"/>
      <c r="G3839" s="23">
        <f t="shared" si="15"/>
        <v>9.06</v>
      </c>
      <c r="H3839" s="23"/>
      <c r="I3839" s="23"/>
    </row>
    <row r="3840" spans="1:9">
      <c r="A3840" s="21" t="s">
        <v>9023</v>
      </c>
      <c r="B3840" s="21"/>
      <c r="C3840" s="22">
        <v>3815</v>
      </c>
      <c r="D3840" s="21">
        <v>9.0500000000000007</v>
      </c>
      <c r="E3840" s="21" t="s">
        <v>5796</v>
      </c>
      <c r="F3840" s="23"/>
      <c r="G3840" s="23">
        <f t="shared" si="15"/>
        <v>9.0500000000000007</v>
      </c>
      <c r="H3840" s="23"/>
      <c r="I3840" s="23"/>
    </row>
    <row r="3841" spans="1:9">
      <c r="A3841" s="21" t="s">
        <v>9024</v>
      </c>
      <c r="B3841" s="21"/>
      <c r="C3841" s="22">
        <v>3816</v>
      </c>
      <c r="D3841" s="21">
        <v>9.02</v>
      </c>
      <c r="E3841" s="21" t="s">
        <v>5796</v>
      </c>
      <c r="F3841" s="23"/>
      <c r="G3841" s="23">
        <f t="shared" si="15"/>
        <v>9.02</v>
      </c>
      <c r="H3841" s="23"/>
      <c r="I3841" s="23"/>
    </row>
    <row r="3842" spans="1:9">
      <c r="A3842" s="21" t="s">
        <v>9025</v>
      </c>
      <c r="B3842" s="21"/>
      <c r="C3842" s="22">
        <v>3817</v>
      </c>
      <c r="D3842" s="21">
        <v>9</v>
      </c>
      <c r="E3842" s="21" t="s">
        <v>5796</v>
      </c>
      <c r="F3842" s="23"/>
      <c r="G3842" s="23">
        <f t="shared" si="15"/>
        <v>9</v>
      </c>
      <c r="H3842" s="23"/>
      <c r="I3842" s="23"/>
    </row>
    <row r="3843" spans="1:9">
      <c r="A3843" s="21" t="s">
        <v>9026</v>
      </c>
      <c r="B3843" s="21"/>
      <c r="C3843" s="22">
        <v>3818</v>
      </c>
      <c r="D3843" s="21">
        <v>9</v>
      </c>
      <c r="E3843" s="21" t="s">
        <v>5796</v>
      </c>
      <c r="F3843" s="23"/>
      <c r="G3843" s="23">
        <f t="shared" si="15"/>
        <v>9</v>
      </c>
      <c r="H3843" s="23"/>
      <c r="I3843" s="23"/>
    </row>
    <row r="3844" spans="1:9">
      <c r="A3844" s="21" t="s">
        <v>9027</v>
      </c>
      <c r="B3844" s="21"/>
      <c r="C3844" s="22">
        <v>3819</v>
      </c>
      <c r="D3844" s="21">
        <v>8.99</v>
      </c>
      <c r="E3844" s="21" t="s">
        <v>5796</v>
      </c>
      <c r="F3844" s="23"/>
      <c r="G3844" s="23">
        <f t="shared" si="15"/>
        <v>8.99</v>
      </c>
      <c r="H3844" s="23"/>
      <c r="I3844" s="23"/>
    </row>
    <row r="3845" spans="1:9">
      <c r="A3845" s="21" t="s">
        <v>9028</v>
      </c>
      <c r="B3845" s="21"/>
      <c r="C3845" s="22">
        <v>3820</v>
      </c>
      <c r="D3845" s="21">
        <v>8.99</v>
      </c>
      <c r="E3845" s="21" t="s">
        <v>5796</v>
      </c>
      <c r="F3845" s="23"/>
      <c r="G3845" s="23">
        <f t="shared" si="15"/>
        <v>8.99</v>
      </c>
      <c r="H3845" s="23"/>
      <c r="I3845" s="23"/>
    </row>
    <row r="3846" spans="1:9">
      <c r="A3846" s="21" t="s">
        <v>9029</v>
      </c>
      <c r="B3846" s="21"/>
      <c r="C3846" s="22">
        <v>3821</v>
      </c>
      <c r="D3846" s="21">
        <v>8.98</v>
      </c>
      <c r="E3846" s="21" t="s">
        <v>5796</v>
      </c>
      <c r="F3846" s="23"/>
      <c r="G3846" s="23">
        <f t="shared" si="15"/>
        <v>8.98</v>
      </c>
      <c r="H3846" s="23"/>
      <c r="I3846" s="23"/>
    </row>
    <row r="3847" spans="1:9">
      <c r="A3847" s="21" t="s">
        <v>9030</v>
      </c>
      <c r="B3847" s="21"/>
      <c r="C3847" s="22">
        <v>3822</v>
      </c>
      <c r="D3847" s="21">
        <v>8.9700000000000006</v>
      </c>
      <c r="E3847" s="21" t="s">
        <v>5796</v>
      </c>
      <c r="F3847" s="23"/>
      <c r="G3847" s="23">
        <f t="shared" si="15"/>
        <v>8.9700000000000006</v>
      </c>
      <c r="H3847" s="23"/>
      <c r="I3847" s="23"/>
    </row>
    <row r="3848" spans="1:9">
      <c r="A3848" s="21" t="s">
        <v>9031</v>
      </c>
      <c r="B3848" s="21"/>
      <c r="C3848" s="22">
        <v>3823</v>
      </c>
      <c r="D3848" s="21">
        <v>8.94</v>
      </c>
      <c r="E3848" s="21" t="s">
        <v>5796</v>
      </c>
      <c r="F3848" s="23"/>
      <c r="G3848" s="23">
        <f t="shared" si="15"/>
        <v>8.94</v>
      </c>
      <c r="H3848" s="23"/>
      <c r="I3848" s="23"/>
    </row>
    <row r="3849" spans="1:9">
      <c r="A3849" s="21" t="s">
        <v>9032</v>
      </c>
      <c r="B3849" s="21"/>
      <c r="C3849" s="22">
        <v>3824</v>
      </c>
      <c r="D3849" s="21">
        <v>8.93</v>
      </c>
      <c r="E3849" s="21" t="s">
        <v>5796</v>
      </c>
      <c r="F3849" s="23"/>
      <c r="G3849" s="23">
        <f t="shared" si="15"/>
        <v>8.93</v>
      </c>
      <c r="H3849" s="23"/>
      <c r="I3849" s="23"/>
    </row>
    <row r="3850" spans="1:9">
      <c r="A3850" s="21" t="s">
        <v>9033</v>
      </c>
      <c r="B3850" s="21"/>
      <c r="C3850" s="22">
        <v>3825</v>
      </c>
      <c r="D3850" s="21">
        <v>8.9</v>
      </c>
      <c r="E3850" s="21" t="s">
        <v>5796</v>
      </c>
      <c r="F3850" s="23"/>
      <c r="G3850" s="23">
        <f t="shared" si="15"/>
        <v>8.9</v>
      </c>
      <c r="H3850" s="23"/>
      <c r="I3850" s="23"/>
    </row>
    <row r="3851" spans="1:9">
      <c r="A3851" s="21" t="s">
        <v>9034</v>
      </c>
      <c r="B3851" s="21"/>
      <c r="C3851" s="22">
        <v>3827</v>
      </c>
      <c r="D3851" s="21">
        <v>8.8800000000000008</v>
      </c>
      <c r="E3851" s="21" t="s">
        <v>5796</v>
      </c>
      <c r="F3851" s="23"/>
      <c r="G3851" s="23">
        <f t="shared" si="15"/>
        <v>8.8800000000000008</v>
      </c>
      <c r="H3851" s="23"/>
      <c r="I3851" s="23"/>
    </row>
    <row r="3852" spans="1:9">
      <c r="A3852" s="21" t="s">
        <v>9035</v>
      </c>
      <c r="B3852" s="21"/>
      <c r="C3852" s="22">
        <v>3828</v>
      </c>
      <c r="D3852" s="21">
        <v>8.8699999999999992</v>
      </c>
      <c r="E3852" s="21" t="s">
        <v>5796</v>
      </c>
      <c r="F3852" s="23"/>
      <c r="G3852" s="23">
        <f t="shared" si="15"/>
        <v>8.8699999999999992</v>
      </c>
      <c r="H3852" s="23"/>
      <c r="I3852" s="23"/>
    </row>
    <row r="3853" spans="1:9">
      <c r="A3853" s="21" t="s">
        <v>9036</v>
      </c>
      <c r="B3853" s="21"/>
      <c r="C3853" s="22">
        <v>3829</v>
      </c>
      <c r="D3853" s="21">
        <v>8.85</v>
      </c>
      <c r="E3853" s="21" t="s">
        <v>5796</v>
      </c>
      <c r="F3853" s="23"/>
      <c r="G3853" s="23">
        <f t="shared" si="15"/>
        <v>8.85</v>
      </c>
      <c r="H3853" s="23"/>
      <c r="I3853" s="23"/>
    </row>
    <row r="3854" spans="1:9">
      <c r="A3854" s="21" t="s">
        <v>9037</v>
      </c>
      <c r="B3854" s="21"/>
      <c r="C3854" s="22">
        <v>3830</v>
      </c>
      <c r="D3854" s="21">
        <v>8.85</v>
      </c>
      <c r="E3854" s="21" t="s">
        <v>5796</v>
      </c>
      <c r="F3854" s="23"/>
      <c r="G3854" s="23">
        <f t="shared" si="15"/>
        <v>8.85</v>
      </c>
      <c r="H3854" s="23"/>
      <c r="I3854" s="23"/>
    </row>
    <row r="3855" spans="1:9">
      <c r="A3855" s="21" t="s">
        <v>9038</v>
      </c>
      <c r="B3855" s="21"/>
      <c r="C3855" s="22">
        <v>3831</v>
      </c>
      <c r="D3855" s="21">
        <v>8.84</v>
      </c>
      <c r="E3855" s="21" t="s">
        <v>5796</v>
      </c>
      <c r="F3855" s="23"/>
      <c r="G3855" s="23">
        <f t="shared" si="15"/>
        <v>8.84</v>
      </c>
      <c r="H3855" s="23"/>
      <c r="I3855" s="23"/>
    </row>
    <row r="3856" spans="1:9">
      <c r="A3856" s="21" t="s">
        <v>9039</v>
      </c>
      <c r="B3856" s="21"/>
      <c r="C3856" s="22">
        <v>3832</v>
      </c>
      <c r="D3856" s="21">
        <v>8.83</v>
      </c>
      <c r="E3856" s="21" t="s">
        <v>5796</v>
      </c>
      <c r="F3856" s="23"/>
      <c r="G3856" s="23">
        <f t="shared" si="15"/>
        <v>8.83</v>
      </c>
      <c r="H3856" s="23"/>
      <c r="I3856" s="23"/>
    </row>
    <row r="3857" spans="1:9">
      <c r="A3857" s="21" t="s">
        <v>9040</v>
      </c>
      <c r="B3857" s="21"/>
      <c r="C3857" s="22">
        <v>3833</v>
      </c>
      <c r="D3857" s="21">
        <v>8.8000000000000007</v>
      </c>
      <c r="E3857" s="21" t="s">
        <v>5796</v>
      </c>
      <c r="F3857" s="23"/>
      <c r="G3857" s="23">
        <f t="shared" si="15"/>
        <v>8.8000000000000007</v>
      </c>
      <c r="H3857" s="23"/>
      <c r="I3857" s="23"/>
    </row>
    <row r="3858" spans="1:9">
      <c r="A3858" s="21" t="s">
        <v>9041</v>
      </c>
      <c r="B3858" s="21"/>
      <c r="C3858" s="22">
        <v>3834</v>
      </c>
      <c r="D3858" s="21">
        <v>8.7899999999999991</v>
      </c>
      <c r="E3858" s="21" t="s">
        <v>5796</v>
      </c>
      <c r="F3858" s="23"/>
      <c r="G3858" s="23">
        <f t="shared" si="15"/>
        <v>8.7899999999999991</v>
      </c>
      <c r="H3858" s="23"/>
      <c r="I3858" s="23"/>
    </row>
    <row r="3859" spans="1:9">
      <c r="A3859" s="21" t="s">
        <v>9042</v>
      </c>
      <c r="B3859" s="21"/>
      <c r="C3859" s="22">
        <v>3836</v>
      </c>
      <c r="D3859" s="21">
        <v>8.77</v>
      </c>
      <c r="E3859" s="21" t="s">
        <v>5796</v>
      </c>
      <c r="F3859" s="23"/>
      <c r="G3859" s="23">
        <f t="shared" si="15"/>
        <v>8.77</v>
      </c>
      <c r="H3859" s="23"/>
      <c r="I3859" s="23"/>
    </row>
    <row r="3860" spans="1:9">
      <c r="A3860" s="21" t="s">
        <v>9043</v>
      </c>
      <c r="B3860" s="21"/>
      <c r="C3860" s="22">
        <v>3837</v>
      </c>
      <c r="D3860" s="21">
        <v>8.76</v>
      </c>
      <c r="E3860" s="21" t="s">
        <v>5796</v>
      </c>
      <c r="F3860" s="23"/>
      <c r="G3860" s="23">
        <f t="shared" si="15"/>
        <v>8.76</v>
      </c>
      <c r="H3860" s="23"/>
      <c r="I3860" s="23"/>
    </row>
    <row r="3861" spans="1:9">
      <c r="A3861" s="21" t="s">
        <v>9044</v>
      </c>
      <c r="B3861" s="21"/>
      <c r="C3861" s="22">
        <v>3838</v>
      </c>
      <c r="D3861" s="21">
        <v>8.75</v>
      </c>
      <c r="E3861" s="21" t="s">
        <v>5796</v>
      </c>
      <c r="F3861" s="23"/>
      <c r="G3861" s="23">
        <f t="shared" si="15"/>
        <v>8.75</v>
      </c>
      <c r="H3861" s="23"/>
      <c r="I3861" s="23"/>
    </row>
    <row r="3862" spans="1:9">
      <c r="A3862" s="21" t="s">
        <v>9045</v>
      </c>
      <c r="B3862" s="21"/>
      <c r="C3862" s="22">
        <v>3839</v>
      </c>
      <c r="D3862" s="21">
        <v>8.74</v>
      </c>
      <c r="E3862" s="21" t="s">
        <v>5796</v>
      </c>
      <c r="F3862" s="23"/>
      <c r="G3862" s="23">
        <f t="shared" si="15"/>
        <v>8.74</v>
      </c>
      <c r="H3862" s="23"/>
      <c r="I3862" s="23"/>
    </row>
    <row r="3863" spans="1:9">
      <c r="A3863" s="21" t="s">
        <v>9046</v>
      </c>
      <c r="B3863" s="21"/>
      <c r="C3863" s="22">
        <v>3841</v>
      </c>
      <c r="D3863" s="21">
        <v>8.7200000000000006</v>
      </c>
      <c r="E3863" s="21" t="s">
        <v>5796</v>
      </c>
      <c r="F3863" s="23"/>
      <c r="G3863" s="23">
        <f t="shared" si="15"/>
        <v>8.7200000000000006</v>
      </c>
      <c r="H3863" s="23"/>
      <c r="I3863" s="23"/>
    </row>
    <row r="3864" spans="1:9">
      <c r="A3864" s="21" t="s">
        <v>9047</v>
      </c>
      <c r="B3864" s="21"/>
      <c r="C3864" s="22">
        <v>3842</v>
      </c>
      <c r="D3864" s="21">
        <v>8.69</v>
      </c>
      <c r="E3864" s="21" t="s">
        <v>5796</v>
      </c>
      <c r="F3864" s="23"/>
      <c r="G3864" s="23">
        <f t="shared" si="15"/>
        <v>8.69</v>
      </c>
      <c r="H3864" s="23"/>
      <c r="I3864" s="23"/>
    </row>
    <row r="3865" spans="1:9">
      <c r="A3865" s="21" t="s">
        <v>9048</v>
      </c>
      <c r="B3865" s="21"/>
      <c r="C3865" s="22">
        <v>3843</v>
      </c>
      <c r="D3865" s="21">
        <v>8.69</v>
      </c>
      <c r="E3865" s="21" t="s">
        <v>5796</v>
      </c>
      <c r="F3865" s="23"/>
      <c r="G3865" s="23">
        <f t="shared" si="15"/>
        <v>8.69</v>
      </c>
      <c r="H3865" s="23"/>
      <c r="I3865" s="23"/>
    </row>
    <row r="3866" spans="1:9">
      <c r="A3866" s="21" t="s">
        <v>9049</v>
      </c>
      <c r="B3866" s="21"/>
      <c r="C3866" s="22">
        <v>3844</v>
      </c>
      <c r="D3866" s="21">
        <v>8.69</v>
      </c>
      <c r="E3866" s="21" t="s">
        <v>5796</v>
      </c>
      <c r="F3866" s="23"/>
      <c r="G3866" s="23">
        <f t="shared" si="15"/>
        <v>8.69</v>
      </c>
      <c r="H3866" s="23"/>
      <c r="I3866" s="23"/>
    </row>
    <row r="3867" spans="1:9">
      <c r="A3867" s="21" t="s">
        <v>9050</v>
      </c>
      <c r="B3867" s="21"/>
      <c r="C3867" s="22">
        <v>3845</v>
      </c>
      <c r="D3867" s="21">
        <v>8.68</v>
      </c>
      <c r="E3867" s="21" t="s">
        <v>5796</v>
      </c>
      <c r="F3867" s="23"/>
      <c r="G3867" s="23">
        <f t="shared" si="15"/>
        <v>8.68</v>
      </c>
      <c r="H3867" s="23"/>
      <c r="I3867" s="23"/>
    </row>
    <row r="3868" spans="1:9">
      <c r="A3868" s="21" t="s">
        <v>9051</v>
      </c>
      <c r="B3868" s="21"/>
      <c r="C3868" s="22">
        <v>3846</v>
      </c>
      <c r="D3868" s="21">
        <v>8.68</v>
      </c>
      <c r="E3868" s="21" t="s">
        <v>5796</v>
      </c>
      <c r="F3868" s="23"/>
      <c r="G3868" s="23">
        <f t="shared" si="15"/>
        <v>8.68</v>
      </c>
      <c r="H3868" s="23"/>
      <c r="I3868" s="23"/>
    </row>
    <row r="3869" spans="1:9">
      <c r="A3869" s="21" t="s">
        <v>9052</v>
      </c>
      <c r="B3869" s="21"/>
      <c r="C3869" s="22">
        <v>3848</v>
      </c>
      <c r="D3869" s="21">
        <v>8.67</v>
      </c>
      <c r="E3869" s="21" t="s">
        <v>5796</v>
      </c>
      <c r="F3869" s="23"/>
      <c r="G3869" s="23">
        <f t="shared" si="15"/>
        <v>8.67</v>
      </c>
      <c r="H3869" s="23"/>
      <c r="I3869" s="23"/>
    </row>
    <row r="3870" spans="1:9">
      <c r="A3870" s="21" t="s">
        <v>9053</v>
      </c>
      <c r="B3870" s="21"/>
      <c r="C3870" s="22">
        <v>3849</v>
      </c>
      <c r="D3870" s="21">
        <v>8.67</v>
      </c>
      <c r="E3870" s="21" t="s">
        <v>5796</v>
      </c>
      <c r="F3870" s="23"/>
      <c r="G3870" s="23">
        <f t="shared" si="15"/>
        <v>8.67</v>
      </c>
      <c r="H3870" s="23"/>
      <c r="I3870" s="23"/>
    </row>
    <row r="3871" spans="1:9">
      <c r="A3871" s="21" t="s">
        <v>9054</v>
      </c>
      <c r="B3871" s="21"/>
      <c r="C3871" s="22">
        <v>3850</v>
      </c>
      <c r="D3871" s="21">
        <v>8.67</v>
      </c>
      <c r="E3871" s="21" t="s">
        <v>5796</v>
      </c>
      <c r="F3871" s="23"/>
      <c r="G3871" s="23">
        <f t="shared" si="15"/>
        <v>8.67</v>
      </c>
      <c r="H3871" s="23"/>
      <c r="I3871" s="23"/>
    </row>
    <row r="3872" spans="1:9">
      <c r="A3872" s="21" t="s">
        <v>9055</v>
      </c>
      <c r="B3872" s="21"/>
      <c r="C3872" s="22">
        <v>3851</v>
      </c>
      <c r="D3872" s="21">
        <v>8.65</v>
      </c>
      <c r="E3872" s="21" t="s">
        <v>5796</v>
      </c>
      <c r="F3872" s="23"/>
      <c r="G3872" s="23">
        <f t="shared" si="15"/>
        <v>8.65</v>
      </c>
      <c r="H3872" s="23"/>
      <c r="I3872" s="23"/>
    </row>
    <row r="3873" spans="1:9">
      <c r="A3873" s="21" t="s">
        <v>9056</v>
      </c>
      <c r="B3873" s="21"/>
      <c r="C3873" s="22">
        <v>3852</v>
      </c>
      <c r="D3873" s="21">
        <v>8.6300000000000008</v>
      </c>
      <c r="E3873" s="21" t="s">
        <v>5796</v>
      </c>
      <c r="F3873" s="23"/>
      <c r="G3873" s="23">
        <f t="shared" si="15"/>
        <v>8.6300000000000008</v>
      </c>
      <c r="H3873" s="23"/>
      <c r="I3873" s="23"/>
    </row>
    <row r="3874" spans="1:9">
      <c r="A3874" s="21" t="s">
        <v>9057</v>
      </c>
      <c r="B3874" s="21"/>
      <c r="C3874" s="22">
        <v>3853</v>
      </c>
      <c r="D3874" s="21">
        <v>8.6300000000000008</v>
      </c>
      <c r="E3874" s="21" t="s">
        <v>5796</v>
      </c>
      <c r="F3874" s="23"/>
      <c r="G3874" s="23">
        <f t="shared" si="15"/>
        <v>8.6300000000000008</v>
      </c>
      <c r="H3874" s="23"/>
      <c r="I3874" s="23"/>
    </row>
    <row r="3875" spans="1:9">
      <c r="A3875" s="21" t="s">
        <v>9058</v>
      </c>
      <c r="B3875" s="21"/>
      <c r="C3875" s="22">
        <v>3854</v>
      </c>
      <c r="D3875" s="21">
        <v>8.6199999999999992</v>
      </c>
      <c r="E3875" s="21" t="s">
        <v>5796</v>
      </c>
      <c r="F3875" s="23"/>
      <c r="G3875" s="23">
        <f t="shared" si="15"/>
        <v>8.6199999999999992</v>
      </c>
      <c r="H3875" s="23"/>
      <c r="I3875" s="23"/>
    </row>
    <row r="3876" spans="1:9">
      <c r="A3876" s="21" t="s">
        <v>9059</v>
      </c>
      <c r="B3876" s="21"/>
      <c r="C3876" s="22">
        <v>3856</v>
      </c>
      <c r="D3876" s="21">
        <v>8.61</v>
      </c>
      <c r="E3876" s="21" t="s">
        <v>5796</v>
      </c>
      <c r="F3876" s="23"/>
      <c r="G3876" s="23">
        <f t="shared" si="15"/>
        <v>8.61</v>
      </c>
      <c r="H3876" s="23"/>
      <c r="I3876" s="23"/>
    </row>
    <row r="3877" spans="1:9">
      <c r="A3877" s="21" t="s">
        <v>9060</v>
      </c>
      <c r="B3877" s="21"/>
      <c r="C3877" s="22">
        <v>3857</v>
      </c>
      <c r="D3877" s="21">
        <v>8.61</v>
      </c>
      <c r="E3877" s="21" t="s">
        <v>5796</v>
      </c>
      <c r="F3877" s="23"/>
      <c r="G3877" s="23">
        <f t="shared" si="15"/>
        <v>8.61</v>
      </c>
      <c r="H3877" s="23"/>
      <c r="I3877" s="23"/>
    </row>
    <row r="3878" spans="1:9">
      <c r="A3878" s="21" t="s">
        <v>9061</v>
      </c>
      <c r="B3878" s="21"/>
      <c r="C3878" s="22">
        <v>3858</v>
      </c>
      <c r="D3878" s="21">
        <v>8.57</v>
      </c>
      <c r="E3878" s="21" t="s">
        <v>5796</v>
      </c>
      <c r="F3878" s="23"/>
      <c r="G3878" s="23">
        <f t="shared" si="15"/>
        <v>8.57</v>
      </c>
      <c r="H3878" s="23"/>
      <c r="I3878" s="23"/>
    </row>
    <row r="3879" spans="1:9">
      <c r="A3879" s="21" t="s">
        <v>9062</v>
      </c>
      <c r="B3879" s="21"/>
      <c r="C3879" s="22">
        <v>3859</v>
      </c>
      <c r="D3879" s="21">
        <v>8.57</v>
      </c>
      <c r="E3879" s="21" t="s">
        <v>5796</v>
      </c>
      <c r="F3879" s="23"/>
      <c r="G3879" s="23">
        <f t="shared" si="15"/>
        <v>8.57</v>
      </c>
      <c r="H3879" s="23"/>
      <c r="I3879" s="23"/>
    </row>
    <row r="3880" spans="1:9">
      <c r="A3880" s="21" t="s">
        <v>9063</v>
      </c>
      <c r="B3880" s="21"/>
      <c r="C3880" s="22">
        <v>3860</v>
      </c>
      <c r="D3880" s="21">
        <v>8.57</v>
      </c>
      <c r="E3880" s="21" t="s">
        <v>5796</v>
      </c>
      <c r="F3880" s="23"/>
      <c r="G3880" s="23">
        <f t="shared" si="15"/>
        <v>8.57</v>
      </c>
      <c r="H3880" s="23"/>
      <c r="I3880" s="23"/>
    </row>
    <row r="3881" spans="1:9">
      <c r="A3881" s="21" t="s">
        <v>9064</v>
      </c>
      <c r="B3881" s="21"/>
      <c r="C3881" s="22">
        <v>3861</v>
      </c>
      <c r="D3881" s="21">
        <v>8.56</v>
      </c>
      <c r="E3881" s="21" t="s">
        <v>5796</v>
      </c>
      <c r="F3881" s="23"/>
      <c r="G3881" s="23">
        <f t="shared" si="15"/>
        <v>8.56</v>
      </c>
      <c r="H3881" s="23"/>
      <c r="I3881" s="23"/>
    </row>
    <row r="3882" spans="1:9">
      <c r="A3882" s="21" t="s">
        <v>9065</v>
      </c>
      <c r="B3882" s="21"/>
      <c r="C3882" s="22">
        <v>3862</v>
      </c>
      <c r="D3882" s="21">
        <v>8.5500000000000007</v>
      </c>
      <c r="E3882" s="21" t="s">
        <v>5796</v>
      </c>
      <c r="F3882" s="23"/>
      <c r="G3882" s="23">
        <f t="shared" si="15"/>
        <v>8.5500000000000007</v>
      </c>
      <c r="H3882" s="23"/>
      <c r="I3882" s="23"/>
    </row>
    <row r="3883" spans="1:9">
      <c r="A3883" s="21" t="s">
        <v>9066</v>
      </c>
      <c r="B3883" s="21"/>
      <c r="C3883" s="22">
        <v>3863</v>
      </c>
      <c r="D3883" s="21">
        <v>8.5399999999999991</v>
      </c>
      <c r="E3883" s="21" t="s">
        <v>5796</v>
      </c>
      <c r="F3883" s="23"/>
      <c r="G3883" s="23">
        <f t="shared" si="15"/>
        <v>8.5399999999999991</v>
      </c>
      <c r="H3883" s="23"/>
      <c r="I3883" s="23"/>
    </row>
    <row r="3884" spans="1:9">
      <c r="A3884" s="21" t="s">
        <v>9067</v>
      </c>
      <c r="B3884" s="21"/>
      <c r="C3884" s="22">
        <v>3864</v>
      </c>
      <c r="D3884" s="21">
        <v>8.5</v>
      </c>
      <c r="E3884" s="21" t="s">
        <v>5796</v>
      </c>
      <c r="F3884" s="23"/>
      <c r="G3884" s="23">
        <f t="shared" si="15"/>
        <v>8.5</v>
      </c>
      <c r="H3884" s="23"/>
      <c r="I3884" s="23"/>
    </row>
    <row r="3885" spans="1:9">
      <c r="A3885" s="21" t="s">
        <v>9068</v>
      </c>
      <c r="B3885" s="21"/>
      <c r="C3885" s="22">
        <v>3865</v>
      </c>
      <c r="D3885" s="21">
        <v>8.5</v>
      </c>
      <c r="E3885" s="21" t="s">
        <v>5796</v>
      </c>
      <c r="F3885" s="23"/>
      <c r="G3885" s="23">
        <f t="shared" si="15"/>
        <v>8.5</v>
      </c>
      <c r="H3885" s="23"/>
      <c r="I3885" s="23"/>
    </row>
    <row r="3886" spans="1:9">
      <c r="A3886" s="21" t="s">
        <v>9069</v>
      </c>
      <c r="B3886" s="21"/>
      <c r="C3886" s="22">
        <v>3866</v>
      </c>
      <c r="D3886" s="21">
        <v>8.5</v>
      </c>
      <c r="E3886" s="21" t="s">
        <v>5796</v>
      </c>
      <c r="F3886" s="23"/>
      <c r="G3886" s="23">
        <f t="shared" si="15"/>
        <v>8.5</v>
      </c>
      <c r="H3886" s="23"/>
      <c r="I3886" s="23"/>
    </row>
    <row r="3887" spans="1:9">
      <c r="A3887" s="21" t="s">
        <v>9070</v>
      </c>
      <c r="B3887" s="21"/>
      <c r="C3887" s="22">
        <v>3867</v>
      </c>
      <c r="D3887" s="21">
        <v>8.5</v>
      </c>
      <c r="E3887" s="21" t="s">
        <v>5796</v>
      </c>
      <c r="F3887" s="23"/>
      <c r="G3887" s="23">
        <f t="shared" si="15"/>
        <v>8.5</v>
      </c>
      <c r="H3887" s="23"/>
      <c r="I3887" s="23"/>
    </row>
    <row r="3888" spans="1:9">
      <c r="A3888" s="21" t="s">
        <v>9071</v>
      </c>
      <c r="B3888" s="21"/>
      <c r="C3888" s="22">
        <v>3868</v>
      </c>
      <c r="D3888" s="21">
        <v>8.48</v>
      </c>
      <c r="E3888" s="21" t="s">
        <v>5796</v>
      </c>
      <c r="F3888" s="23"/>
      <c r="G3888" s="23">
        <f t="shared" si="15"/>
        <v>8.48</v>
      </c>
      <c r="H3888" s="23"/>
      <c r="I3888" s="23"/>
    </row>
    <row r="3889" spans="1:9">
      <c r="A3889" s="21" t="s">
        <v>9072</v>
      </c>
      <c r="B3889" s="21"/>
      <c r="C3889" s="22">
        <v>3869</v>
      </c>
      <c r="D3889" s="21">
        <v>8.48</v>
      </c>
      <c r="E3889" s="21" t="s">
        <v>5796</v>
      </c>
      <c r="F3889" s="23"/>
      <c r="G3889" s="23">
        <f t="shared" si="15"/>
        <v>8.48</v>
      </c>
      <c r="H3889" s="23"/>
      <c r="I3889" s="23"/>
    </row>
    <row r="3890" spans="1:9">
      <c r="A3890" s="21" t="s">
        <v>9073</v>
      </c>
      <c r="B3890" s="21"/>
      <c r="C3890" s="22">
        <v>3870</v>
      </c>
      <c r="D3890" s="21">
        <v>8.48</v>
      </c>
      <c r="E3890" s="21" t="s">
        <v>5796</v>
      </c>
      <c r="F3890" s="23"/>
      <c r="G3890" s="23">
        <f t="shared" si="15"/>
        <v>8.48</v>
      </c>
      <c r="H3890" s="23"/>
      <c r="I3890" s="23"/>
    </row>
    <row r="3891" spans="1:9">
      <c r="A3891" s="21" t="s">
        <v>9074</v>
      </c>
      <c r="B3891" s="21"/>
      <c r="C3891" s="22">
        <v>3871</v>
      </c>
      <c r="D3891" s="21">
        <v>8.4700000000000006</v>
      </c>
      <c r="E3891" s="21" t="s">
        <v>5796</v>
      </c>
      <c r="F3891" s="23"/>
      <c r="G3891" s="23">
        <f t="shared" si="15"/>
        <v>8.4700000000000006</v>
      </c>
      <c r="H3891" s="23"/>
      <c r="I3891" s="23"/>
    </row>
    <row r="3892" spans="1:9">
      <c r="A3892" s="21" t="s">
        <v>9075</v>
      </c>
      <c r="B3892" s="21"/>
      <c r="C3892" s="22">
        <v>3872</v>
      </c>
      <c r="D3892" s="21">
        <v>8.4700000000000006</v>
      </c>
      <c r="E3892" s="21" t="s">
        <v>5796</v>
      </c>
      <c r="F3892" s="23"/>
      <c r="G3892" s="23">
        <f t="shared" si="15"/>
        <v>8.4700000000000006</v>
      </c>
      <c r="H3892" s="23"/>
      <c r="I3892" s="23"/>
    </row>
    <row r="3893" spans="1:9">
      <c r="A3893" s="21" t="s">
        <v>9076</v>
      </c>
      <c r="B3893" s="21"/>
      <c r="C3893" s="22">
        <v>3873</v>
      </c>
      <c r="D3893" s="21">
        <v>8.4600000000000009</v>
      </c>
      <c r="E3893" s="21" t="s">
        <v>5796</v>
      </c>
      <c r="F3893" s="23"/>
      <c r="G3893" s="23">
        <f t="shared" si="15"/>
        <v>8.4600000000000009</v>
      </c>
      <c r="H3893" s="23"/>
      <c r="I3893" s="23"/>
    </row>
    <row r="3894" spans="1:9">
      <c r="A3894" s="21" t="s">
        <v>9077</v>
      </c>
      <c r="B3894" s="21"/>
      <c r="C3894" s="22">
        <v>3874</v>
      </c>
      <c r="D3894" s="21">
        <v>8.4600000000000009</v>
      </c>
      <c r="E3894" s="21" t="s">
        <v>5796</v>
      </c>
      <c r="F3894" s="23"/>
      <c r="G3894" s="23">
        <f t="shared" si="15"/>
        <v>8.4600000000000009</v>
      </c>
      <c r="H3894" s="23"/>
      <c r="I3894" s="23"/>
    </row>
    <row r="3895" spans="1:9">
      <c r="A3895" s="21" t="s">
        <v>9078</v>
      </c>
      <c r="B3895" s="21"/>
      <c r="C3895" s="22">
        <v>3875</v>
      </c>
      <c r="D3895" s="21">
        <v>8.4499999999999993</v>
      </c>
      <c r="E3895" s="21" t="s">
        <v>5796</v>
      </c>
      <c r="F3895" s="23"/>
      <c r="G3895" s="23">
        <f t="shared" si="15"/>
        <v>8.4499999999999993</v>
      </c>
      <c r="H3895" s="23"/>
      <c r="I3895" s="23"/>
    </row>
    <row r="3896" spans="1:9">
      <c r="A3896" s="21" t="s">
        <v>9079</v>
      </c>
      <c r="B3896" s="21"/>
      <c r="C3896" s="22">
        <v>3876</v>
      </c>
      <c r="D3896" s="21">
        <v>8.44</v>
      </c>
      <c r="E3896" s="21" t="s">
        <v>5796</v>
      </c>
      <c r="F3896" s="23"/>
      <c r="G3896" s="23">
        <f t="shared" si="15"/>
        <v>8.44</v>
      </c>
      <c r="H3896" s="23"/>
      <c r="I3896" s="23"/>
    </row>
    <row r="3897" spans="1:9">
      <c r="A3897" s="21" t="s">
        <v>9080</v>
      </c>
      <c r="B3897" s="21"/>
      <c r="C3897" s="22">
        <v>3877</v>
      </c>
      <c r="D3897" s="21">
        <v>8.39</v>
      </c>
      <c r="E3897" s="21" t="s">
        <v>5796</v>
      </c>
      <c r="F3897" s="23"/>
      <c r="G3897" s="23">
        <f t="shared" si="15"/>
        <v>8.39</v>
      </c>
      <c r="H3897" s="23"/>
      <c r="I3897" s="23"/>
    </row>
    <row r="3898" spans="1:9">
      <c r="A3898" s="21" t="s">
        <v>9081</v>
      </c>
      <c r="B3898" s="21"/>
      <c r="C3898" s="22">
        <v>3878</v>
      </c>
      <c r="D3898" s="21">
        <v>8.3800000000000008</v>
      </c>
      <c r="E3898" s="21" t="s">
        <v>5796</v>
      </c>
      <c r="F3898" s="23"/>
      <c r="G3898" s="23">
        <f t="shared" si="15"/>
        <v>8.3800000000000008</v>
      </c>
      <c r="H3898" s="23"/>
      <c r="I3898" s="23"/>
    </row>
    <row r="3899" spans="1:9">
      <c r="A3899" s="21" t="s">
        <v>9082</v>
      </c>
      <c r="B3899" s="21"/>
      <c r="C3899" s="22">
        <v>3879</v>
      </c>
      <c r="D3899" s="21">
        <v>8.3699999999999992</v>
      </c>
      <c r="E3899" s="21" t="s">
        <v>5796</v>
      </c>
      <c r="F3899" s="23"/>
      <c r="G3899" s="23">
        <f t="shared" si="15"/>
        <v>8.3699999999999992</v>
      </c>
      <c r="H3899" s="23"/>
      <c r="I3899" s="23"/>
    </row>
    <row r="3900" spans="1:9">
      <c r="A3900" s="21" t="s">
        <v>9083</v>
      </c>
      <c r="B3900" s="21"/>
      <c r="C3900" s="22">
        <v>3880</v>
      </c>
      <c r="D3900" s="21">
        <v>8.3699999999999992</v>
      </c>
      <c r="E3900" s="21" t="s">
        <v>5796</v>
      </c>
      <c r="F3900" s="23"/>
      <c r="G3900" s="23">
        <f t="shared" si="15"/>
        <v>8.3699999999999992</v>
      </c>
      <c r="H3900" s="23"/>
      <c r="I3900" s="23"/>
    </row>
    <row r="3901" spans="1:9">
      <c r="A3901" s="21" t="s">
        <v>9084</v>
      </c>
      <c r="B3901" s="21"/>
      <c r="C3901" s="22">
        <v>3881</v>
      </c>
      <c r="D3901" s="21">
        <v>8.3699999999999992</v>
      </c>
      <c r="E3901" s="21" t="s">
        <v>5796</v>
      </c>
      <c r="F3901" s="23"/>
      <c r="G3901" s="23">
        <f t="shared" si="15"/>
        <v>8.3699999999999992</v>
      </c>
      <c r="H3901" s="23"/>
      <c r="I3901" s="23"/>
    </row>
    <row r="3902" spans="1:9">
      <c r="A3902" s="21" t="s">
        <v>9085</v>
      </c>
      <c r="B3902" s="21"/>
      <c r="C3902" s="22">
        <v>3882</v>
      </c>
      <c r="D3902" s="21">
        <v>8.36</v>
      </c>
      <c r="E3902" s="21" t="s">
        <v>5796</v>
      </c>
      <c r="F3902" s="23"/>
      <c r="G3902" s="23">
        <f t="shared" si="15"/>
        <v>8.36</v>
      </c>
      <c r="H3902" s="23"/>
      <c r="I3902" s="23"/>
    </row>
    <row r="3903" spans="1:9">
      <c r="A3903" s="21" t="s">
        <v>9086</v>
      </c>
      <c r="B3903" s="21"/>
      <c r="C3903" s="22">
        <v>3883</v>
      </c>
      <c r="D3903" s="21">
        <v>8.35</v>
      </c>
      <c r="E3903" s="21" t="s">
        <v>5796</v>
      </c>
      <c r="F3903" s="23"/>
      <c r="G3903" s="23">
        <f t="shared" si="15"/>
        <v>8.35</v>
      </c>
      <c r="H3903" s="23"/>
      <c r="I3903" s="23"/>
    </row>
    <row r="3904" spans="1:9">
      <c r="A3904" s="21" t="s">
        <v>9087</v>
      </c>
      <c r="B3904" s="21"/>
      <c r="C3904" s="22">
        <v>3884</v>
      </c>
      <c r="D3904" s="21">
        <v>8.34</v>
      </c>
      <c r="E3904" s="21" t="s">
        <v>5796</v>
      </c>
      <c r="F3904" s="23"/>
      <c r="G3904" s="23">
        <f t="shared" si="15"/>
        <v>8.34</v>
      </c>
      <c r="H3904" s="23"/>
      <c r="I3904" s="23"/>
    </row>
    <row r="3905" spans="1:9">
      <c r="A3905" s="21" t="s">
        <v>9088</v>
      </c>
      <c r="B3905" s="21"/>
      <c r="C3905" s="22">
        <v>3885</v>
      </c>
      <c r="D3905" s="21">
        <v>8.34</v>
      </c>
      <c r="E3905" s="21" t="s">
        <v>5796</v>
      </c>
      <c r="F3905" s="23"/>
      <c r="G3905" s="23">
        <f t="shared" si="15"/>
        <v>8.34</v>
      </c>
      <c r="H3905" s="23"/>
      <c r="I3905" s="23"/>
    </row>
    <row r="3906" spans="1:9">
      <c r="A3906" s="21" t="s">
        <v>9089</v>
      </c>
      <c r="B3906" s="21"/>
      <c r="C3906" s="22">
        <v>3886</v>
      </c>
      <c r="D3906" s="21">
        <v>8.3000000000000007</v>
      </c>
      <c r="E3906" s="21" t="s">
        <v>5796</v>
      </c>
      <c r="F3906" s="23"/>
      <c r="G3906" s="23">
        <f t="shared" si="15"/>
        <v>8.3000000000000007</v>
      </c>
      <c r="H3906" s="23"/>
      <c r="I3906" s="23"/>
    </row>
    <row r="3907" spans="1:9">
      <c r="A3907" s="21" t="s">
        <v>9090</v>
      </c>
      <c r="B3907" s="21"/>
      <c r="C3907" s="22">
        <v>3887</v>
      </c>
      <c r="D3907" s="21">
        <v>8.25</v>
      </c>
      <c r="E3907" s="21" t="s">
        <v>5796</v>
      </c>
      <c r="F3907" s="23"/>
      <c r="G3907" s="23">
        <f t="shared" si="15"/>
        <v>8.25</v>
      </c>
      <c r="H3907" s="23"/>
      <c r="I3907" s="23"/>
    </row>
    <row r="3908" spans="1:9">
      <c r="A3908" s="21" t="s">
        <v>9091</v>
      </c>
      <c r="B3908" s="21"/>
      <c r="C3908" s="22">
        <v>3888</v>
      </c>
      <c r="D3908" s="21">
        <v>8.23</v>
      </c>
      <c r="E3908" s="21" t="s">
        <v>5796</v>
      </c>
      <c r="F3908" s="23"/>
      <c r="G3908" s="23">
        <f t="shared" si="15"/>
        <v>8.23</v>
      </c>
      <c r="H3908" s="23"/>
      <c r="I3908" s="23"/>
    </row>
    <row r="3909" spans="1:9">
      <c r="A3909" s="21" t="s">
        <v>9092</v>
      </c>
      <c r="B3909" s="21"/>
      <c r="C3909" s="22">
        <v>3889</v>
      </c>
      <c r="D3909" s="21">
        <v>8.2100000000000009</v>
      </c>
      <c r="E3909" s="21" t="s">
        <v>5796</v>
      </c>
      <c r="F3909" s="23"/>
      <c r="G3909" s="23">
        <f t="shared" si="15"/>
        <v>8.2100000000000009</v>
      </c>
      <c r="H3909" s="23"/>
      <c r="I3909" s="23"/>
    </row>
    <row r="3910" spans="1:9">
      <c r="A3910" s="21" t="s">
        <v>9093</v>
      </c>
      <c r="B3910" s="21"/>
      <c r="C3910" s="22">
        <v>3890</v>
      </c>
      <c r="D3910" s="21">
        <v>8.2100000000000009</v>
      </c>
      <c r="E3910" s="21" t="s">
        <v>5796</v>
      </c>
      <c r="F3910" s="23"/>
      <c r="G3910" s="23">
        <f t="shared" si="15"/>
        <v>8.2100000000000009</v>
      </c>
      <c r="H3910" s="23"/>
      <c r="I3910" s="23"/>
    </row>
    <row r="3911" spans="1:9">
      <c r="A3911" s="21" t="s">
        <v>9094</v>
      </c>
      <c r="B3911" s="21"/>
      <c r="C3911" s="22">
        <v>3891</v>
      </c>
      <c r="D3911" s="21">
        <v>8.17</v>
      </c>
      <c r="E3911" s="21" t="s">
        <v>5796</v>
      </c>
      <c r="F3911" s="23"/>
      <c r="G3911" s="23">
        <f t="shared" si="15"/>
        <v>8.17</v>
      </c>
      <c r="H3911" s="23"/>
      <c r="I3911" s="23"/>
    </row>
    <row r="3912" spans="1:9">
      <c r="A3912" s="21" t="s">
        <v>9095</v>
      </c>
      <c r="B3912" s="21"/>
      <c r="C3912" s="22">
        <v>3892</v>
      </c>
      <c r="D3912" s="21">
        <v>8.17</v>
      </c>
      <c r="E3912" s="21" t="s">
        <v>5796</v>
      </c>
      <c r="F3912" s="23"/>
      <c r="G3912" s="23">
        <f t="shared" si="15"/>
        <v>8.17</v>
      </c>
      <c r="H3912" s="23"/>
      <c r="I3912" s="23"/>
    </row>
    <row r="3913" spans="1:9">
      <c r="A3913" s="21" t="s">
        <v>9096</v>
      </c>
      <c r="B3913" s="21"/>
      <c r="C3913" s="22">
        <v>3893</v>
      </c>
      <c r="D3913" s="21">
        <v>8.17</v>
      </c>
      <c r="E3913" s="21" t="s">
        <v>5796</v>
      </c>
      <c r="F3913" s="23"/>
      <c r="G3913" s="23">
        <f t="shared" si="15"/>
        <v>8.17</v>
      </c>
      <c r="H3913" s="23"/>
      <c r="I3913" s="23"/>
    </row>
    <row r="3914" spans="1:9">
      <c r="A3914" s="21" t="s">
        <v>9097</v>
      </c>
      <c r="B3914" s="21"/>
      <c r="C3914" s="22">
        <v>3894</v>
      </c>
      <c r="D3914" s="21">
        <v>8.17</v>
      </c>
      <c r="E3914" s="21" t="s">
        <v>5796</v>
      </c>
      <c r="F3914" s="23"/>
      <c r="G3914" s="23">
        <f t="shared" si="15"/>
        <v>8.17</v>
      </c>
      <c r="H3914" s="23"/>
      <c r="I3914" s="23"/>
    </row>
    <row r="3915" spans="1:9">
      <c r="A3915" s="21" t="s">
        <v>9098</v>
      </c>
      <c r="B3915" s="21"/>
      <c r="C3915" s="22">
        <v>3895</v>
      </c>
      <c r="D3915" s="21">
        <v>8.16</v>
      </c>
      <c r="E3915" s="21" t="s">
        <v>5796</v>
      </c>
      <c r="F3915" s="23"/>
      <c r="G3915" s="23">
        <f t="shared" si="15"/>
        <v>8.16</v>
      </c>
      <c r="H3915" s="23"/>
      <c r="I3915" s="23"/>
    </row>
    <row r="3916" spans="1:9">
      <c r="A3916" s="21" t="s">
        <v>9099</v>
      </c>
      <c r="B3916" s="21"/>
      <c r="C3916" s="22">
        <v>3896</v>
      </c>
      <c r="D3916" s="21">
        <v>8.11</v>
      </c>
      <c r="E3916" s="21" t="s">
        <v>5796</v>
      </c>
      <c r="F3916" s="23"/>
      <c r="G3916" s="23">
        <f t="shared" si="15"/>
        <v>8.11</v>
      </c>
      <c r="H3916" s="23"/>
      <c r="I3916" s="23"/>
    </row>
    <row r="3917" spans="1:9">
      <c r="A3917" s="21" t="s">
        <v>9100</v>
      </c>
      <c r="B3917" s="21"/>
      <c r="C3917" s="22">
        <v>3897</v>
      </c>
      <c r="D3917" s="21">
        <v>8.11</v>
      </c>
      <c r="E3917" s="21" t="s">
        <v>5796</v>
      </c>
      <c r="F3917" s="23"/>
      <c r="G3917" s="23">
        <f t="shared" si="15"/>
        <v>8.11</v>
      </c>
      <c r="H3917" s="23"/>
      <c r="I3917" s="23"/>
    </row>
    <row r="3918" spans="1:9">
      <c r="A3918" s="21" t="s">
        <v>9101</v>
      </c>
      <c r="B3918" s="21"/>
      <c r="C3918" s="22">
        <v>3898</v>
      </c>
      <c r="D3918" s="21">
        <v>8.08</v>
      </c>
      <c r="E3918" s="21" t="s">
        <v>5796</v>
      </c>
      <c r="F3918" s="23"/>
      <c r="G3918" s="23">
        <f t="shared" si="15"/>
        <v>8.08</v>
      </c>
      <c r="H3918" s="23"/>
      <c r="I3918" s="23"/>
    </row>
    <row r="3919" spans="1:9">
      <c r="A3919" s="21" t="s">
        <v>9102</v>
      </c>
      <c r="B3919" s="21"/>
      <c r="C3919" s="22">
        <v>3899</v>
      </c>
      <c r="D3919" s="21">
        <v>8.07</v>
      </c>
      <c r="E3919" s="21" t="s">
        <v>5796</v>
      </c>
      <c r="F3919" s="23"/>
      <c r="G3919" s="23">
        <f t="shared" si="15"/>
        <v>8.07</v>
      </c>
      <c r="H3919" s="23"/>
      <c r="I3919" s="23"/>
    </row>
    <row r="3920" spans="1:9">
      <c r="A3920" s="21" t="s">
        <v>9103</v>
      </c>
      <c r="B3920" s="21"/>
      <c r="C3920" s="22">
        <v>3900</v>
      </c>
      <c r="D3920" s="21">
        <v>8.0500000000000007</v>
      </c>
      <c r="E3920" s="21" t="s">
        <v>5796</v>
      </c>
      <c r="F3920" s="23"/>
      <c r="G3920" s="23">
        <f t="shared" si="15"/>
        <v>8.0500000000000007</v>
      </c>
      <c r="H3920" s="23"/>
      <c r="I3920" s="23"/>
    </row>
    <row r="3921" spans="1:9">
      <c r="A3921" s="21" t="s">
        <v>9104</v>
      </c>
      <c r="B3921" s="21"/>
      <c r="C3921" s="22">
        <v>3901</v>
      </c>
      <c r="D3921" s="21">
        <v>8.0500000000000007</v>
      </c>
      <c r="E3921" s="21" t="s">
        <v>5796</v>
      </c>
      <c r="F3921" s="23"/>
      <c r="G3921" s="23">
        <f t="shared" si="15"/>
        <v>8.0500000000000007</v>
      </c>
      <c r="H3921" s="23"/>
      <c r="I3921" s="23"/>
    </row>
    <row r="3922" spans="1:9">
      <c r="A3922" s="21" t="s">
        <v>9105</v>
      </c>
      <c r="B3922" s="21"/>
      <c r="C3922" s="22">
        <v>3902</v>
      </c>
      <c r="D3922" s="21">
        <v>8.01</v>
      </c>
      <c r="E3922" s="21" t="s">
        <v>5796</v>
      </c>
      <c r="F3922" s="23"/>
      <c r="G3922" s="23">
        <f t="shared" si="15"/>
        <v>8.01</v>
      </c>
      <c r="H3922" s="23"/>
      <c r="I3922" s="23"/>
    </row>
    <row r="3923" spans="1:9">
      <c r="A3923" s="21" t="s">
        <v>9106</v>
      </c>
      <c r="B3923" s="21"/>
      <c r="C3923" s="22">
        <v>3903</v>
      </c>
      <c r="D3923" s="21">
        <v>7.97</v>
      </c>
      <c r="E3923" s="21" t="s">
        <v>5796</v>
      </c>
      <c r="F3923" s="23"/>
      <c r="G3923" s="23">
        <f t="shared" si="15"/>
        <v>7.97</v>
      </c>
      <c r="H3923" s="23"/>
      <c r="I3923" s="23"/>
    </row>
    <row r="3924" spans="1:9">
      <c r="A3924" s="21" t="s">
        <v>9107</v>
      </c>
      <c r="B3924" s="21"/>
      <c r="C3924" s="22">
        <v>3904</v>
      </c>
      <c r="D3924" s="21">
        <v>7.95</v>
      </c>
      <c r="E3924" s="21" t="s">
        <v>5796</v>
      </c>
      <c r="F3924" s="23"/>
      <c r="G3924" s="23">
        <f t="shared" si="15"/>
        <v>7.95</v>
      </c>
      <c r="H3924" s="23"/>
      <c r="I3924" s="23"/>
    </row>
    <row r="3925" spans="1:9">
      <c r="A3925" s="21" t="s">
        <v>9108</v>
      </c>
      <c r="B3925" s="21"/>
      <c r="C3925" s="22">
        <v>3905</v>
      </c>
      <c r="D3925" s="21">
        <v>7.93</v>
      </c>
      <c r="E3925" s="21" t="s">
        <v>5796</v>
      </c>
      <c r="F3925" s="23"/>
      <c r="G3925" s="23">
        <f t="shared" si="15"/>
        <v>7.93</v>
      </c>
      <c r="H3925" s="23"/>
      <c r="I3925" s="23"/>
    </row>
    <row r="3926" spans="1:9">
      <c r="A3926" s="21" t="s">
        <v>9109</v>
      </c>
      <c r="B3926" s="21"/>
      <c r="C3926" s="22">
        <v>3907</v>
      </c>
      <c r="D3926" s="21">
        <v>7.91</v>
      </c>
      <c r="E3926" s="21" t="s">
        <v>5796</v>
      </c>
      <c r="F3926" s="23"/>
      <c r="G3926" s="23">
        <f t="shared" si="15"/>
        <v>7.91</v>
      </c>
      <c r="H3926" s="23"/>
      <c r="I3926" s="23"/>
    </row>
    <row r="3927" spans="1:9">
      <c r="A3927" s="21" t="s">
        <v>9110</v>
      </c>
      <c r="B3927" s="21"/>
      <c r="C3927" s="22">
        <v>3908</v>
      </c>
      <c r="D3927" s="21">
        <v>7.91</v>
      </c>
      <c r="E3927" s="21" t="s">
        <v>5796</v>
      </c>
      <c r="F3927" s="23"/>
      <c r="G3927" s="23">
        <f t="shared" si="15"/>
        <v>7.91</v>
      </c>
      <c r="H3927" s="23"/>
      <c r="I3927" s="23"/>
    </row>
    <row r="3928" spans="1:9">
      <c r="A3928" s="21" t="s">
        <v>9111</v>
      </c>
      <c r="B3928" s="21"/>
      <c r="C3928" s="22">
        <v>3909</v>
      </c>
      <c r="D3928" s="21">
        <v>7.88</v>
      </c>
      <c r="E3928" s="21" t="s">
        <v>5796</v>
      </c>
      <c r="F3928" s="23"/>
      <c r="G3928" s="23">
        <f t="shared" si="15"/>
        <v>7.88</v>
      </c>
      <c r="H3928" s="23"/>
      <c r="I3928" s="23"/>
    </row>
    <row r="3929" spans="1:9">
      <c r="A3929" s="21" t="s">
        <v>9112</v>
      </c>
      <c r="B3929" s="21"/>
      <c r="C3929" s="22">
        <v>3910</v>
      </c>
      <c r="D3929" s="21">
        <v>7.88</v>
      </c>
      <c r="E3929" s="21" t="s">
        <v>5796</v>
      </c>
      <c r="F3929" s="23"/>
      <c r="G3929" s="23">
        <f t="shared" si="15"/>
        <v>7.88</v>
      </c>
      <c r="H3929" s="23"/>
      <c r="I3929" s="23"/>
    </row>
    <row r="3930" spans="1:9">
      <c r="A3930" s="21" t="s">
        <v>9113</v>
      </c>
      <c r="B3930" s="21"/>
      <c r="C3930" s="22">
        <v>3911</v>
      </c>
      <c r="D3930" s="21">
        <v>7.88</v>
      </c>
      <c r="E3930" s="21" t="s">
        <v>5796</v>
      </c>
      <c r="F3930" s="23"/>
      <c r="G3930" s="23">
        <f t="shared" si="15"/>
        <v>7.88</v>
      </c>
      <c r="H3930" s="23"/>
      <c r="I3930" s="23"/>
    </row>
    <row r="3931" spans="1:9">
      <c r="A3931" s="21" t="s">
        <v>9114</v>
      </c>
      <c r="B3931" s="21"/>
      <c r="C3931" s="22">
        <v>3912</v>
      </c>
      <c r="D3931" s="21">
        <v>7.88</v>
      </c>
      <c r="E3931" s="21" t="s">
        <v>5796</v>
      </c>
      <c r="F3931" s="23"/>
      <c r="G3931" s="23">
        <f t="shared" si="15"/>
        <v>7.88</v>
      </c>
      <c r="H3931" s="23"/>
      <c r="I3931" s="23"/>
    </row>
    <row r="3932" spans="1:9">
      <c r="A3932" s="21" t="s">
        <v>9115</v>
      </c>
      <c r="B3932" s="21"/>
      <c r="C3932" s="22">
        <v>3913</v>
      </c>
      <c r="D3932" s="21">
        <v>7.85</v>
      </c>
      <c r="E3932" s="21" t="s">
        <v>5796</v>
      </c>
      <c r="F3932" s="23"/>
      <c r="G3932" s="23">
        <f t="shared" si="15"/>
        <v>7.85</v>
      </c>
      <c r="H3932" s="23"/>
      <c r="I3932" s="23"/>
    </row>
    <row r="3933" spans="1:9">
      <c r="A3933" s="21" t="s">
        <v>9116</v>
      </c>
      <c r="B3933" s="21"/>
      <c r="C3933" s="22">
        <v>3914</v>
      </c>
      <c r="D3933" s="21">
        <v>7.83</v>
      </c>
      <c r="E3933" s="21" t="s">
        <v>5796</v>
      </c>
      <c r="F3933" s="23"/>
      <c r="G3933" s="23">
        <f t="shared" si="15"/>
        <v>7.83</v>
      </c>
      <c r="H3933" s="23"/>
      <c r="I3933" s="23"/>
    </row>
    <row r="3934" spans="1:9">
      <c r="A3934" s="21" t="s">
        <v>9117</v>
      </c>
      <c r="B3934" s="21"/>
      <c r="C3934" s="22">
        <v>3915</v>
      </c>
      <c r="D3934" s="21">
        <v>7.83</v>
      </c>
      <c r="E3934" s="21" t="s">
        <v>5796</v>
      </c>
      <c r="F3934" s="23"/>
      <c r="G3934" s="23">
        <f t="shared" si="15"/>
        <v>7.83</v>
      </c>
      <c r="H3934" s="23"/>
      <c r="I3934" s="23"/>
    </row>
    <row r="3935" spans="1:9">
      <c r="A3935" s="21" t="s">
        <v>9118</v>
      </c>
      <c r="B3935" s="21"/>
      <c r="C3935" s="22">
        <v>3916</v>
      </c>
      <c r="D3935" s="21">
        <v>7.83</v>
      </c>
      <c r="E3935" s="21" t="s">
        <v>5796</v>
      </c>
      <c r="F3935" s="23"/>
      <c r="G3935" s="23">
        <f t="shared" si="15"/>
        <v>7.83</v>
      </c>
      <c r="H3935" s="23"/>
      <c r="I3935" s="23"/>
    </row>
    <row r="3936" spans="1:9">
      <c r="A3936" s="21" t="s">
        <v>9119</v>
      </c>
      <c r="B3936" s="21"/>
      <c r="C3936" s="22">
        <v>3917</v>
      </c>
      <c r="D3936" s="21">
        <v>7.77</v>
      </c>
      <c r="E3936" s="21" t="s">
        <v>5796</v>
      </c>
      <c r="F3936" s="23"/>
      <c r="G3936" s="23">
        <f t="shared" si="15"/>
        <v>7.77</v>
      </c>
      <c r="H3936" s="23"/>
      <c r="I3936" s="23"/>
    </row>
    <row r="3937" spans="1:9">
      <c r="A3937" s="21" t="s">
        <v>9120</v>
      </c>
      <c r="B3937" s="21"/>
      <c r="C3937" s="22">
        <v>3918</v>
      </c>
      <c r="D3937" s="21">
        <v>7.77</v>
      </c>
      <c r="E3937" s="21" t="s">
        <v>5796</v>
      </c>
      <c r="F3937" s="23"/>
      <c r="G3937" s="23">
        <f t="shared" si="15"/>
        <v>7.77</v>
      </c>
      <c r="H3937" s="23"/>
      <c r="I3937" s="23"/>
    </row>
    <row r="3938" spans="1:9">
      <c r="A3938" s="21" t="s">
        <v>9121</v>
      </c>
      <c r="B3938" s="21"/>
      <c r="C3938" s="22">
        <v>3919</v>
      </c>
      <c r="D3938" s="21">
        <v>7.76</v>
      </c>
      <c r="E3938" s="21" t="s">
        <v>5796</v>
      </c>
      <c r="F3938" s="23"/>
      <c r="G3938" s="23">
        <f t="shared" si="15"/>
        <v>7.76</v>
      </c>
      <c r="H3938" s="23"/>
      <c r="I3938" s="23"/>
    </row>
    <row r="3939" spans="1:9">
      <c r="A3939" s="21" t="s">
        <v>9122</v>
      </c>
      <c r="B3939" s="21"/>
      <c r="C3939" s="22">
        <v>3920</v>
      </c>
      <c r="D3939" s="21">
        <v>7.75</v>
      </c>
      <c r="E3939" s="21" t="s">
        <v>5796</v>
      </c>
      <c r="F3939" s="23"/>
      <c r="G3939" s="23">
        <f t="shared" si="15"/>
        <v>7.75</v>
      </c>
      <c r="H3939" s="23"/>
      <c r="I3939" s="23"/>
    </row>
    <row r="3940" spans="1:9">
      <c r="A3940" s="21" t="s">
        <v>9123</v>
      </c>
      <c r="B3940" s="21"/>
      <c r="C3940" s="22">
        <v>3921</v>
      </c>
      <c r="D3940" s="21">
        <v>7.75</v>
      </c>
      <c r="E3940" s="21" t="s">
        <v>5796</v>
      </c>
      <c r="F3940" s="23"/>
      <c r="G3940" s="23">
        <f t="shared" si="15"/>
        <v>7.75</v>
      </c>
      <c r="H3940" s="23"/>
      <c r="I3940" s="23"/>
    </row>
    <row r="3941" spans="1:9">
      <c r="A3941" s="21" t="s">
        <v>9124</v>
      </c>
      <c r="B3941" s="21"/>
      <c r="C3941" s="22">
        <v>3922</v>
      </c>
      <c r="D3941" s="21">
        <v>7.73</v>
      </c>
      <c r="E3941" s="21" t="s">
        <v>5796</v>
      </c>
      <c r="F3941" s="23"/>
      <c r="G3941" s="23">
        <f t="shared" si="15"/>
        <v>7.73</v>
      </c>
      <c r="H3941" s="23"/>
      <c r="I3941" s="23"/>
    </row>
    <row r="3942" spans="1:9">
      <c r="A3942" s="21" t="s">
        <v>9125</v>
      </c>
      <c r="B3942" s="21"/>
      <c r="C3942" s="22">
        <v>3923</v>
      </c>
      <c r="D3942" s="21">
        <v>7.72</v>
      </c>
      <c r="E3942" s="21" t="s">
        <v>5796</v>
      </c>
      <c r="F3942" s="23"/>
      <c r="G3942" s="23">
        <f t="shared" si="15"/>
        <v>7.72</v>
      </c>
      <c r="H3942" s="23"/>
      <c r="I3942" s="23"/>
    </row>
    <row r="3943" spans="1:9">
      <c r="A3943" s="21" t="s">
        <v>9126</v>
      </c>
      <c r="B3943" s="21"/>
      <c r="C3943" s="22">
        <v>3924</v>
      </c>
      <c r="D3943" s="21">
        <v>7.71</v>
      </c>
      <c r="E3943" s="21" t="s">
        <v>5796</v>
      </c>
      <c r="F3943" s="23"/>
      <c r="G3943" s="23">
        <f t="shared" si="15"/>
        <v>7.71</v>
      </c>
      <c r="H3943" s="23"/>
      <c r="I3943" s="23"/>
    </row>
    <row r="3944" spans="1:9">
      <c r="A3944" s="21" t="s">
        <v>9127</v>
      </c>
      <c r="B3944" s="21"/>
      <c r="C3944" s="22">
        <v>3925</v>
      </c>
      <c r="D3944" s="21">
        <v>7.71</v>
      </c>
      <c r="E3944" s="21" t="s">
        <v>5796</v>
      </c>
      <c r="F3944" s="23"/>
      <c r="G3944" s="23">
        <f t="shared" si="15"/>
        <v>7.71</v>
      </c>
      <c r="H3944" s="23"/>
      <c r="I3944" s="23"/>
    </row>
    <row r="3945" spans="1:9">
      <c r="A3945" s="21" t="s">
        <v>9128</v>
      </c>
      <c r="B3945" s="21"/>
      <c r="C3945" s="22">
        <v>3926</v>
      </c>
      <c r="D3945" s="21">
        <v>7.71</v>
      </c>
      <c r="E3945" s="21" t="s">
        <v>5796</v>
      </c>
      <c r="F3945" s="23"/>
      <c r="G3945" s="23">
        <f t="shared" si="15"/>
        <v>7.71</v>
      </c>
      <c r="H3945" s="23"/>
      <c r="I3945" s="23"/>
    </row>
    <row r="3946" spans="1:9">
      <c r="A3946" s="21" t="s">
        <v>9129</v>
      </c>
      <c r="B3946" s="21"/>
      <c r="C3946" s="22">
        <v>3927</v>
      </c>
      <c r="D3946" s="21">
        <v>7.7</v>
      </c>
      <c r="E3946" s="21" t="s">
        <v>5796</v>
      </c>
      <c r="F3946" s="23"/>
      <c r="G3946" s="23">
        <f t="shared" si="15"/>
        <v>7.7</v>
      </c>
      <c r="H3946" s="23"/>
      <c r="I3946" s="23"/>
    </row>
    <row r="3947" spans="1:9">
      <c r="A3947" s="21" t="s">
        <v>9130</v>
      </c>
      <c r="B3947" s="21"/>
      <c r="C3947" s="22">
        <v>3928</v>
      </c>
      <c r="D3947" s="21">
        <v>7.7</v>
      </c>
      <c r="E3947" s="21" t="s">
        <v>5796</v>
      </c>
      <c r="F3947" s="23"/>
      <c r="G3947" s="23">
        <f t="shared" si="15"/>
        <v>7.7</v>
      </c>
      <c r="H3947" s="23"/>
      <c r="I3947" s="23"/>
    </row>
    <row r="3948" spans="1:9">
      <c r="A3948" s="21" t="s">
        <v>9131</v>
      </c>
      <c r="B3948" s="21"/>
      <c r="C3948" s="22">
        <v>3929</v>
      </c>
      <c r="D3948" s="21">
        <v>7.7</v>
      </c>
      <c r="E3948" s="21" t="s">
        <v>5796</v>
      </c>
      <c r="F3948" s="23"/>
      <c r="G3948" s="23">
        <f t="shared" si="15"/>
        <v>7.7</v>
      </c>
      <c r="H3948" s="23"/>
      <c r="I3948" s="23"/>
    </row>
    <row r="3949" spans="1:9">
      <c r="A3949" s="21" t="s">
        <v>9132</v>
      </c>
      <c r="B3949" s="21"/>
      <c r="C3949" s="22">
        <v>3930</v>
      </c>
      <c r="D3949" s="21">
        <v>7.7</v>
      </c>
      <c r="E3949" s="21" t="s">
        <v>5796</v>
      </c>
      <c r="F3949" s="23"/>
      <c r="G3949" s="23">
        <f t="shared" si="15"/>
        <v>7.7</v>
      </c>
      <c r="H3949" s="23"/>
      <c r="I3949" s="23"/>
    </row>
    <row r="3950" spans="1:9">
      <c r="A3950" s="21" t="s">
        <v>9133</v>
      </c>
      <c r="B3950" s="21"/>
      <c r="C3950" s="22">
        <v>3931</v>
      </c>
      <c r="D3950" s="21">
        <v>7.69</v>
      </c>
      <c r="E3950" s="21" t="s">
        <v>5796</v>
      </c>
      <c r="F3950" s="23"/>
      <c r="G3950" s="23">
        <f t="shared" si="15"/>
        <v>7.69</v>
      </c>
      <c r="H3950" s="23"/>
      <c r="I3950" s="23"/>
    </row>
    <row r="3951" spans="1:9">
      <c r="A3951" s="21" t="s">
        <v>9134</v>
      </c>
      <c r="B3951" s="21"/>
      <c r="C3951" s="22">
        <v>3932</v>
      </c>
      <c r="D3951" s="21">
        <v>7.68</v>
      </c>
      <c r="E3951" s="21" t="s">
        <v>5796</v>
      </c>
      <c r="F3951" s="23"/>
      <c r="G3951" s="23">
        <f t="shared" si="15"/>
        <v>7.68</v>
      </c>
      <c r="H3951" s="23"/>
      <c r="I3951" s="23"/>
    </row>
    <row r="3952" spans="1:9">
      <c r="A3952" s="21" t="s">
        <v>9135</v>
      </c>
      <c r="B3952" s="21"/>
      <c r="C3952" s="22">
        <v>3933</v>
      </c>
      <c r="D3952" s="21">
        <v>7.65</v>
      </c>
      <c r="E3952" s="21" t="s">
        <v>5796</v>
      </c>
      <c r="F3952" s="23"/>
      <c r="G3952" s="23">
        <f t="shared" si="15"/>
        <v>7.65</v>
      </c>
      <c r="H3952" s="23"/>
      <c r="I3952" s="23"/>
    </row>
    <row r="3953" spans="1:9">
      <c r="A3953" s="21" t="s">
        <v>9136</v>
      </c>
      <c r="B3953" s="21"/>
      <c r="C3953" s="22">
        <v>3934</v>
      </c>
      <c r="D3953" s="21">
        <v>7.64</v>
      </c>
      <c r="E3953" s="21" t="s">
        <v>5796</v>
      </c>
      <c r="F3953" s="23"/>
      <c r="G3953" s="23">
        <f t="shared" si="15"/>
        <v>7.64</v>
      </c>
      <c r="H3953" s="23"/>
      <c r="I3953" s="23"/>
    </row>
    <row r="3954" spans="1:9">
      <c r="A3954" s="21" t="s">
        <v>9137</v>
      </c>
      <c r="B3954" s="21"/>
      <c r="C3954" s="22">
        <v>3935</v>
      </c>
      <c r="D3954" s="21">
        <v>7.63</v>
      </c>
      <c r="E3954" s="21" t="s">
        <v>5796</v>
      </c>
      <c r="F3954" s="23"/>
      <c r="G3954" s="23">
        <f t="shared" si="15"/>
        <v>7.63</v>
      </c>
      <c r="H3954" s="23"/>
      <c r="I3954" s="23"/>
    </row>
    <row r="3955" spans="1:9">
      <c r="A3955" s="21" t="s">
        <v>9138</v>
      </c>
      <c r="B3955" s="21"/>
      <c r="C3955" s="22">
        <v>3936</v>
      </c>
      <c r="D3955" s="21">
        <v>7.62</v>
      </c>
      <c r="E3955" s="21" t="s">
        <v>5796</v>
      </c>
      <c r="F3955" s="23"/>
      <c r="G3955" s="23">
        <f t="shared" si="15"/>
        <v>7.62</v>
      </c>
      <c r="H3955" s="23"/>
      <c r="I3955" s="23"/>
    </row>
    <row r="3956" spans="1:9">
      <c r="A3956" s="21" t="s">
        <v>9139</v>
      </c>
      <c r="B3956" s="21"/>
      <c r="C3956" s="22">
        <v>3937</v>
      </c>
      <c r="D3956" s="21">
        <v>7.62</v>
      </c>
      <c r="E3956" s="21" t="s">
        <v>5796</v>
      </c>
      <c r="F3956" s="23"/>
      <c r="G3956" s="23">
        <f t="shared" si="15"/>
        <v>7.62</v>
      </c>
      <c r="H3956" s="23"/>
      <c r="I3956" s="23"/>
    </row>
    <row r="3957" spans="1:9">
      <c r="A3957" s="21" t="s">
        <v>9140</v>
      </c>
      <c r="B3957" s="21"/>
      <c r="C3957" s="22">
        <v>3938</v>
      </c>
      <c r="D3957" s="21">
        <v>7.61</v>
      </c>
      <c r="E3957" s="21" t="s">
        <v>5796</v>
      </c>
      <c r="F3957" s="23"/>
      <c r="G3957" s="23">
        <f t="shared" si="15"/>
        <v>7.61</v>
      </c>
      <c r="H3957" s="23"/>
      <c r="I3957" s="23"/>
    </row>
    <row r="3958" spans="1:9">
      <c r="A3958" s="21" t="s">
        <v>9141</v>
      </c>
      <c r="B3958" s="21"/>
      <c r="C3958" s="22">
        <v>3939</v>
      </c>
      <c r="D3958" s="21">
        <v>7.6</v>
      </c>
      <c r="E3958" s="21" t="s">
        <v>5796</v>
      </c>
      <c r="F3958" s="23"/>
      <c r="G3958" s="23">
        <f t="shared" si="15"/>
        <v>7.6</v>
      </c>
      <c r="H3958" s="23"/>
      <c r="I3958" s="23"/>
    </row>
    <row r="3959" spans="1:9">
      <c r="A3959" s="21" t="s">
        <v>9142</v>
      </c>
      <c r="B3959" s="21"/>
      <c r="C3959" s="22">
        <v>3940</v>
      </c>
      <c r="D3959" s="21">
        <v>7.6</v>
      </c>
      <c r="E3959" s="21" t="s">
        <v>5796</v>
      </c>
      <c r="F3959" s="23"/>
      <c r="G3959" s="23">
        <f t="shared" si="15"/>
        <v>7.6</v>
      </c>
      <c r="H3959" s="23"/>
      <c r="I3959" s="23"/>
    </row>
    <row r="3960" spans="1:9">
      <c r="A3960" s="21" t="s">
        <v>9143</v>
      </c>
      <c r="B3960" s="21"/>
      <c r="C3960" s="22">
        <v>3941</v>
      </c>
      <c r="D3960" s="21">
        <v>7.58</v>
      </c>
      <c r="E3960" s="21" t="s">
        <v>5796</v>
      </c>
      <c r="F3960" s="23"/>
      <c r="G3960" s="23">
        <f t="shared" si="15"/>
        <v>7.58</v>
      </c>
      <c r="H3960" s="23"/>
      <c r="I3960" s="23"/>
    </row>
    <row r="3961" spans="1:9">
      <c r="A3961" s="21" t="s">
        <v>9144</v>
      </c>
      <c r="B3961" s="21"/>
      <c r="C3961" s="22">
        <v>3942</v>
      </c>
      <c r="D3961" s="21">
        <v>7.56</v>
      </c>
      <c r="E3961" s="21" t="s">
        <v>5796</v>
      </c>
      <c r="F3961" s="23"/>
      <c r="G3961" s="23">
        <f t="shared" si="15"/>
        <v>7.56</v>
      </c>
      <c r="H3961" s="23"/>
      <c r="I3961" s="23"/>
    </row>
    <row r="3962" spans="1:9">
      <c r="A3962" s="21" t="s">
        <v>9145</v>
      </c>
      <c r="B3962" s="21"/>
      <c r="C3962" s="22">
        <v>3944</v>
      </c>
      <c r="D3962" s="21">
        <v>7.55</v>
      </c>
      <c r="E3962" s="21" t="s">
        <v>5796</v>
      </c>
      <c r="F3962" s="23"/>
      <c r="G3962" s="23">
        <f t="shared" si="15"/>
        <v>7.55</v>
      </c>
      <c r="H3962" s="23"/>
      <c r="I3962" s="23"/>
    </row>
    <row r="3963" spans="1:9">
      <c r="A3963" s="21" t="s">
        <v>9146</v>
      </c>
      <c r="B3963" s="21"/>
      <c r="C3963" s="22">
        <v>3945</v>
      </c>
      <c r="D3963" s="21">
        <v>7.54</v>
      </c>
      <c r="E3963" s="21" t="s">
        <v>5796</v>
      </c>
      <c r="F3963" s="23"/>
      <c r="G3963" s="23">
        <f t="shared" si="15"/>
        <v>7.54</v>
      </c>
      <c r="H3963" s="23"/>
      <c r="I3963" s="23"/>
    </row>
    <row r="3964" spans="1:9">
      <c r="A3964" s="21" t="s">
        <v>9147</v>
      </c>
      <c r="B3964" s="21"/>
      <c r="C3964" s="22">
        <v>3946</v>
      </c>
      <c r="D3964" s="21">
        <v>7.54</v>
      </c>
      <c r="E3964" s="21" t="s">
        <v>5796</v>
      </c>
      <c r="F3964" s="23"/>
      <c r="G3964" s="23">
        <f t="shared" si="15"/>
        <v>7.54</v>
      </c>
      <c r="H3964" s="23"/>
      <c r="I3964" s="23"/>
    </row>
    <row r="3965" spans="1:9">
      <c r="A3965" s="21" t="s">
        <v>9148</v>
      </c>
      <c r="B3965" s="21"/>
      <c r="C3965" s="22">
        <v>3947</v>
      </c>
      <c r="D3965" s="21">
        <v>7.5</v>
      </c>
      <c r="E3965" s="21" t="s">
        <v>5796</v>
      </c>
      <c r="F3965" s="23"/>
      <c r="G3965" s="23">
        <f t="shared" si="15"/>
        <v>7.5</v>
      </c>
      <c r="H3965" s="23"/>
      <c r="I3965" s="23"/>
    </row>
    <row r="3966" spans="1:9">
      <c r="A3966" s="21" t="s">
        <v>9149</v>
      </c>
      <c r="B3966" s="21"/>
      <c r="C3966" s="22">
        <v>3948</v>
      </c>
      <c r="D3966" s="21">
        <v>7.49</v>
      </c>
      <c r="E3966" s="21" t="s">
        <v>5796</v>
      </c>
      <c r="F3966" s="23"/>
      <c r="G3966" s="23">
        <f t="shared" si="15"/>
        <v>7.49</v>
      </c>
      <c r="H3966" s="23"/>
      <c r="I3966" s="23"/>
    </row>
    <row r="3967" spans="1:9">
      <c r="A3967" s="21" t="s">
        <v>9150</v>
      </c>
      <c r="B3967" s="21"/>
      <c r="C3967" s="22">
        <v>3949</v>
      </c>
      <c r="D3967" s="21">
        <v>7.49</v>
      </c>
      <c r="E3967" s="21" t="s">
        <v>5796</v>
      </c>
      <c r="F3967" s="23"/>
      <c r="G3967" s="23">
        <f t="shared" si="15"/>
        <v>7.49</v>
      </c>
      <c r="H3967" s="23"/>
      <c r="I3967" s="23"/>
    </row>
    <row r="3968" spans="1:9">
      <c r="A3968" s="21" t="s">
        <v>9151</v>
      </c>
      <c r="B3968" s="21"/>
      <c r="C3968" s="22">
        <v>3950</v>
      </c>
      <c r="D3968" s="21">
        <v>7.49</v>
      </c>
      <c r="E3968" s="21" t="s">
        <v>5796</v>
      </c>
      <c r="F3968" s="23"/>
      <c r="G3968" s="23">
        <f t="shared" si="15"/>
        <v>7.49</v>
      </c>
      <c r="H3968" s="23"/>
      <c r="I3968" s="23"/>
    </row>
    <row r="3969" spans="1:9">
      <c r="A3969" s="21" t="s">
        <v>9152</v>
      </c>
      <c r="B3969" s="21"/>
      <c r="C3969" s="22">
        <v>3951</v>
      </c>
      <c r="D3969" s="21">
        <v>7.48</v>
      </c>
      <c r="E3969" s="21" t="s">
        <v>5796</v>
      </c>
      <c r="F3969" s="23"/>
      <c r="G3969" s="23">
        <f t="shared" si="15"/>
        <v>7.48</v>
      </c>
      <c r="H3969" s="23"/>
      <c r="I3969" s="23"/>
    </row>
    <row r="3970" spans="1:9">
      <c r="A3970" s="21" t="s">
        <v>9153</v>
      </c>
      <c r="B3970" s="21"/>
      <c r="C3970" s="22">
        <v>3952</v>
      </c>
      <c r="D3970" s="21">
        <v>7.48</v>
      </c>
      <c r="E3970" s="21" t="s">
        <v>5796</v>
      </c>
      <c r="F3970" s="23"/>
      <c r="G3970" s="23">
        <f t="shared" si="15"/>
        <v>7.48</v>
      </c>
      <c r="H3970" s="23"/>
      <c r="I3970" s="23"/>
    </row>
    <row r="3971" spans="1:9">
      <c r="A3971" s="21" t="s">
        <v>9154</v>
      </c>
      <c r="B3971" s="21"/>
      <c r="C3971" s="22">
        <v>3953</v>
      </c>
      <c r="D3971" s="21">
        <v>7.46</v>
      </c>
      <c r="E3971" s="21" t="s">
        <v>5796</v>
      </c>
      <c r="F3971" s="23"/>
      <c r="G3971" s="23">
        <f t="shared" si="15"/>
        <v>7.46</v>
      </c>
      <c r="H3971" s="23"/>
      <c r="I3971" s="23"/>
    </row>
    <row r="3972" spans="1:9">
      <c r="A3972" s="21" t="s">
        <v>9155</v>
      </c>
      <c r="B3972" s="21"/>
      <c r="C3972" s="22">
        <v>3954</v>
      </c>
      <c r="D3972" s="21">
        <v>7.46</v>
      </c>
      <c r="E3972" s="21" t="s">
        <v>5796</v>
      </c>
      <c r="F3972" s="23"/>
      <c r="G3972" s="23">
        <f t="shared" si="15"/>
        <v>7.46</v>
      </c>
      <c r="H3972" s="23"/>
      <c r="I3972" s="23"/>
    </row>
    <row r="3973" spans="1:9">
      <c r="A3973" s="21" t="s">
        <v>9156</v>
      </c>
      <c r="B3973" s="21"/>
      <c r="C3973" s="22">
        <v>3955</v>
      </c>
      <c r="D3973" s="21">
        <v>7.46</v>
      </c>
      <c r="E3973" s="21" t="s">
        <v>5796</v>
      </c>
      <c r="F3973" s="23"/>
      <c r="G3973" s="23">
        <f t="shared" si="15"/>
        <v>7.46</v>
      </c>
      <c r="H3973" s="23"/>
      <c r="I3973" s="23"/>
    </row>
    <row r="3974" spans="1:9">
      <c r="A3974" s="21" t="s">
        <v>9157</v>
      </c>
      <c r="B3974" s="21"/>
      <c r="C3974" s="22">
        <v>3956</v>
      </c>
      <c r="D3974" s="21">
        <v>7.41</v>
      </c>
      <c r="E3974" s="21" t="s">
        <v>5796</v>
      </c>
      <c r="F3974" s="23"/>
      <c r="G3974" s="23">
        <f t="shared" si="15"/>
        <v>7.41</v>
      </c>
      <c r="H3974" s="23"/>
      <c r="I3974" s="23"/>
    </row>
    <row r="3975" spans="1:9">
      <c r="A3975" s="21" t="s">
        <v>9158</v>
      </c>
      <c r="B3975" s="21"/>
      <c r="C3975" s="22">
        <v>3957</v>
      </c>
      <c r="D3975" s="21">
        <v>7.41</v>
      </c>
      <c r="E3975" s="21" t="s">
        <v>5796</v>
      </c>
      <c r="F3975" s="23"/>
      <c r="G3975" s="23">
        <f t="shared" si="15"/>
        <v>7.41</v>
      </c>
      <c r="H3975" s="23"/>
      <c r="I3975" s="23"/>
    </row>
    <row r="3976" spans="1:9">
      <c r="A3976" s="21" t="s">
        <v>9159</v>
      </c>
      <c r="B3976" s="21"/>
      <c r="C3976" s="22">
        <v>3958</v>
      </c>
      <c r="D3976" s="21">
        <v>7.38</v>
      </c>
      <c r="E3976" s="21" t="s">
        <v>5796</v>
      </c>
      <c r="F3976" s="23"/>
      <c r="G3976" s="23">
        <f t="shared" si="15"/>
        <v>7.38</v>
      </c>
      <c r="H3976" s="23"/>
      <c r="I3976" s="23"/>
    </row>
    <row r="3977" spans="1:9">
      <c r="A3977" s="21" t="s">
        <v>9160</v>
      </c>
      <c r="B3977" s="21"/>
      <c r="C3977" s="22">
        <v>3959</v>
      </c>
      <c r="D3977" s="21">
        <v>7.38</v>
      </c>
      <c r="E3977" s="21" t="s">
        <v>5796</v>
      </c>
      <c r="F3977" s="23"/>
      <c r="G3977" s="23">
        <f t="shared" si="15"/>
        <v>7.38</v>
      </c>
      <c r="H3977" s="23"/>
      <c r="I3977" s="23"/>
    </row>
    <row r="3978" spans="1:9">
      <c r="A3978" s="21" t="s">
        <v>9161</v>
      </c>
      <c r="B3978" s="21"/>
      <c r="C3978" s="22">
        <v>3960</v>
      </c>
      <c r="D3978" s="21">
        <v>7.36</v>
      </c>
      <c r="E3978" s="21" t="s">
        <v>5796</v>
      </c>
      <c r="F3978" s="23"/>
      <c r="G3978" s="23">
        <f t="shared" si="15"/>
        <v>7.36</v>
      </c>
      <c r="H3978" s="23"/>
      <c r="I3978" s="23"/>
    </row>
    <row r="3979" spans="1:9">
      <c r="A3979" s="21" t="s">
        <v>9162</v>
      </c>
      <c r="B3979" s="21"/>
      <c r="C3979" s="22">
        <v>3961</v>
      </c>
      <c r="D3979" s="21">
        <v>7.35</v>
      </c>
      <c r="E3979" s="21" t="s">
        <v>5796</v>
      </c>
      <c r="F3979" s="23"/>
      <c r="G3979" s="23">
        <f t="shared" si="15"/>
        <v>7.35</v>
      </c>
      <c r="H3979" s="23"/>
      <c r="I3979" s="23"/>
    </row>
    <row r="3980" spans="1:9">
      <c r="A3980" s="21" t="s">
        <v>9163</v>
      </c>
      <c r="B3980" s="21"/>
      <c r="C3980" s="22">
        <v>3962</v>
      </c>
      <c r="D3980" s="21">
        <v>7.35</v>
      </c>
      <c r="E3980" s="21" t="s">
        <v>5796</v>
      </c>
      <c r="F3980" s="23"/>
      <c r="G3980" s="23">
        <f t="shared" si="15"/>
        <v>7.35</v>
      </c>
      <c r="H3980" s="23"/>
      <c r="I3980" s="23"/>
    </row>
    <row r="3981" spans="1:9">
      <c r="A3981" s="21" t="s">
        <v>9164</v>
      </c>
      <c r="B3981" s="21"/>
      <c r="C3981" s="22">
        <v>3963</v>
      </c>
      <c r="D3981" s="21">
        <v>7.34</v>
      </c>
      <c r="E3981" s="21" t="s">
        <v>5796</v>
      </c>
      <c r="F3981" s="23"/>
      <c r="G3981" s="23">
        <f t="shared" si="15"/>
        <v>7.34</v>
      </c>
      <c r="H3981" s="23"/>
      <c r="I3981" s="23"/>
    </row>
    <row r="3982" spans="1:9">
      <c r="A3982" s="21" t="s">
        <v>9165</v>
      </c>
      <c r="B3982" s="21"/>
      <c r="C3982" s="22">
        <v>3964</v>
      </c>
      <c r="D3982" s="21">
        <v>7.32</v>
      </c>
      <c r="E3982" s="21" t="s">
        <v>5796</v>
      </c>
      <c r="F3982" s="23"/>
      <c r="G3982" s="23">
        <f t="shared" si="15"/>
        <v>7.32</v>
      </c>
      <c r="H3982" s="23"/>
      <c r="I3982" s="23"/>
    </row>
    <row r="3983" spans="1:9">
      <c r="A3983" s="21" t="s">
        <v>9166</v>
      </c>
      <c r="B3983" s="21"/>
      <c r="C3983" s="22">
        <v>3965</v>
      </c>
      <c r="D3983" s="21">
        <v>7.32</v>
      </c>
      <c r="E3983" s="21" t="s">
        <v>5796</v>
      </c>
      <c r="F3983" s="23"/>
      <c r="G3983" s="23">
        <f t="shared" si="15"/>
        <v>7.32</v>
      </c>
      <c r="H3983" s="23"/>
      <c r="I3983" s="23"/>
    </row>
    <row r="3984" spans="1:9">
      <c r="A3984" s="21" t="s">
        <v>9167</v>
      </c>
      <c r="B3984" s="21"/>
      <c r="C3984" s="22">
        <v>3966</v>
      </c>
      <c r="D3984" s="21">
        <v>7.31</v>
      </c>
      <c r="E3984" s="21" t="s">
        <v>5796</v>
      </c>
      <c r="F3984" s="23"/>
      <c r="G3984" s="23">
        <f t="shared" si="15"/>
        <v>7.31</v>
      </c>
      <c r="H3984" s="23"/>
      <c r="I3984" s="23"/>
    </row>
    <row r="3985" spans="1:9">
      <c r="A3985" s="21" t="s">
        <v>9168</v>
      </c>
      <c r="B3985" s="21"/>
      <c r="C3985" s="22">
        <v>3967</v>
      </c>
      <c r="D3985" s="21">
        <v>7.3</v>
      </c>
      <c r="E3985" s="21" t="s">
        <v>5796</v>
      </c>
      <c r="F3985" s="23"/>
      <c r="G3985" s="23">
        <f t="shared" si="15"/>
        <v>7.3</v>
      </c>
      <c r="H3985" s="23"/>
      <c r="I3985" s="23"/>
    </row>
    <row r="3986" spans="1:9">
      <c r="A3986" s="21" t="s">
        <v>9169</v>
      </c>
      <c r="B3986" s="21"/>
      <c r="C3986" s="22">
        <v>3968</v>
      </c>
      <c r="D3986" s="21">
        <v>7.28</v>
      </c>
      <c r="E3986" s="21" t="s">
        <v>5796</v>
      </c>
      <c r="F3986" s="23"/>
      <c r="G3986" s="23">
        <f t="shared" si="15"/>
        <v>7.28</v>
      </c>
      <c r="H3986" s="23"/>
      <c r="I3986" s="23"/>
    </row>
    <row r="3987" spans="1:9">
      <c r="A3987" s="21" t="s">
        <v>9170</v>
      </c>
      <c r="B3987" s="21"/>
      <c r="C3987" s="22">
        <v>3969</v>
      </c>
      <c r="D3987" s="21">
        <v>7.27</v>
      </c>
      <c r="E3987" s="21" t="s">
        <v>5796</v>
      </c>
      <c r="F3987" s="23"/>
      <c r="G3987" s="23">
        <f t="shared" si="15"/>
        <v>7.27</v>
      </c>
      <c r="H3987" s="23"/>
      <c r="I3987" s="23"/>
    </row>
    <row r="3988" spans="1:9">
      <c r="A3988" s="21" t="s">
        <v>9171</v>
      </c>
      <c r="B3988" s="21"/>
      <c r="C3988" s="22">
        <v>3970</v>
      </c>
      <c r="D3988" s="21">
        <v>7.25</v>
      </c>
      <c r="E3988" s="21" t="s">
        <v>5796</v>
      </c>
      <c r="F3988" s="23"/>
      <c r="G3988" s="23">
        <f t="shared" si="15"/>
        <v>7.25</v>
      </c>
      <c r="H3988" s="23"/>
      <c r="I3988" s="23"/>
    </row>
    <row r="3989" spans="1:9">
      <c r="A3989" s="21" t="s">
        <v>9172</v>
      </c>
      <c r="B3989" s="21"/>
      <c r="C3989" s="22">
        <v>3971</v>
      </c>
      <c r="D3989" s="21">
        <v>7.25</v>
      </c>
      <c r="E3989" s="21" t="s">
        <v>5796</v>
      </c>
      <c r="F3989" s="23"/>
      <c r="G3989" s="23">
        <f t="shared" si="15"/>
        <v>7.25</v>
      </c>
      <c r="H3989" s="23"/>
      <c r="I3989" s="23"/>
    </row>
    <row r="3990" spans="1:9">
      <c r="A3990" s="21" t="s">
        <v>9173</v>
      </c>
      <c r="B3990" s="21"/>
      <c r="C3990" s="22">
        <v>3972</v>
      </c>
      <c r="D3990" s="21">
        <v>7.24</v>
      </c>
      <c r="E3990" s="21" t="s">
        <v>5796</v>
      </c>
      <c r="F3990" s="23"/>
      <c r="G3990" s="23">
        <f t="shared" si="15"/>
        <v>7.24</v>
      </c>
      <c r="H3990" s="23"/>
      <c r="I3990" s="23"/>
    </row>
    <row r="3991" spans="1:9">
      <c r="A3991" s="21" t="s">
        <v>9174</v>
      </c>
      <c r="B3991" s="21"/>
      <c r="C3991" s="22">
        <v>3973</v>
      </c>
      <c r="D3991" s="21">
        <v>7.22</v>
      </c>
      <c r="E3991" s="21" t="s">
        <v>5796</v>
      </c>
      <c r="F3991" s="23"/>
      <c r="G3991" s="23">
        <f t="shared" si="15"/>
        <v>7.22</v>
      </c>
      <c r="H3991" s="23"/>
      <c r="I3991" s="23"/>
    </row>
    <row r="3992" spans="1:9">
      <c r="A3992" s="21" t="s">
        <v>9175</v>
      </c>
      <c r="B3992" s="21"/>
      <c r="C3992" s="22">
        <v>3974</v>
      </c>
      <c r="D3992" s="21">
        <v>7.22</v>
      </c>
      <c r="E3992" s="21" t="s">
        <v>5796</v>
      </c>
      <c r="F3992" s="23"/>
      <c r="G3992" s="23">
        <f t="shared" si="15"/>
        <v>7.22</v>
      </c>
      <c r="H3992" s="23"/>
      <c r="I3992" s="23"/>
    </row>
    <row r="3993" spans="1:9">
      <c r="A3993" s="21" t="s">
        <v>9176</v>
      </c>
      <c r="B3993" s="21"/>
      <c r="C3993" s="22">
        <v>3975</v>
      </c>
      <c r="D3993" s="21">
        <v>7.22</v>
      </c>
      <c r="E3993" s="21" t="s">
        <v>5796</v>
      </c>
      <c r="F3993" s="23"/>
      <c r="G3993" s="23">
        <f t="shared" si="15"/>
        <v>7.22</v>
      </c>
      <c r="H3993" s="23"/>
      <c r="I3993" s="23"/>
    </row>
    <row r="3994" spans="1:9">
      <c r="A3994" s="21" t="s">
        <v>9177</v>
      </c>
      <c r="B3994" s="21"/>
      <c r="C3994" s="22">
        <v>3976</v>
      </c>
      <c r="D3994" s="21">
        <v>7.2</v>
      </c>
      <c r="E3994" s="21" t="s">
        <v>5796</v>
      </c>
      <c r="F3994" s="23"/>
      <c r="G3994" s="23">
        <f t="shared" si="15"/>
        <v>7.2</v>
      </c>
      <c r="H3994" s="23"/>
      <c r="I3994" s="23"/>
    </row>
    <row r="3995" spans="1:9">
      <c r="A3995" s="21" t="s">
        <v>9178</v>
      </c>
      <c r="B3995" s="21"/>
      <c r="C3995" s="22">
        <v>3977</v>
      </c>
      <c r="D3995" s="21">
        <v>7.19</v>
      </c>
      <c r="E3995" s="21" t="s">
        <v>5796</v>
      </c>
      <c r="F3995" s="23"/>
      <c r="G3995" s="23">
        <f t="shared" si="15"/>
        <v>7.19</v>
      </c>
      <c r="H3995" s="23"/>
      <c r="I3995" s="23"/>
    </row>
    <row r="3996" spans="1:9">
      <c r="A3996" s="21" t="s">
        <v>9179</v>
      </c>
      <c r="B3996" s="21"/>
      <c r="C3996" s="22">
        <v>3978</v>
      </c>
      <c r="D3996" s="21">
        <v>7.18</v>
      </c>
      <c r="E3996" s="21" t="s">
        <v>5796</v>
      </c>
      <c r="F3996" s="23"/>
      <c r="G3996" s="23">
        <f t="shared" si="15"/>
        <v>7.18</v>
      </c>
      <c r="H3996" s="23"/>
      <c r="I3996" s="23"/>
    </row>
    <row r="3997" spans="1:9">
      <c r="A3997" s="21" t="s">
        <v>9180</v>
      </c>
      <c r="B3997" s="21"/>
      <c r="C3997" s="22">
        <v>3979</v>
      </c>
      <c r="D3997" s="21">
        <v>7.17</v>
      </c>
      <c r="E3997" s="21" t="s">
        <v>5796</v>
      </c>
      <c r="F3997" s="23"/>
      <c r="G3997" s="23">
        <f t="shared" si="15"/>
        <v>7.17</v>
      </c>
      <c r="H3997" s="23"/>
      <c r="I3997" s="23"/>
    </row>
    <row r="3998" spans="1:9">
      <c r="A3998" s="21" t="s">
        <v>9181</v>
      </c>
      <c r="B3998" s="21"/>
      <c r="C3998" s="22">
        <v>3980</v>
      </c>
      <c r="D3998" s="21">
        <v>7.16</v>
      </c>
      <c r="E3998" s="21" t="s">
        <v>5796</v>
      </c>
      <c r="F3998" s="23"/>
      <c r="G3998" s="23">
        <f t="shared" si="15"/>
        <v>7.16</v>
      </c>
      <c r="H3998" s="23"/>
      <c r="I3998" s="23"/>
    </row>
    <row r="3999" spans="1:9">
      <c r="A3999" s="21" t="s">
        <v>9182</v>
      </c>
      <c r="B3999" s="21"/>
      <c r="C3999" s="22">
        <v>3981</v>
      </c>
      <c r="D3999" s="21">
        <v>7.16</v>
      </c>
      <c r="E3999" s="21" t="s">
        <v>5796</v>
      </c>
      <c r="F3999" s="23"/>
      <c r="G3999" s="23">
        <f t="shared" si="15"/>
        <v>7.16</v>
      </c>
      <c r="H3999" s="23"/>
      <c r="I3999" s="23"/>
    </row>
    <row r="4000" spans="1:9">
      <c r="A4000" s="21" t="s">
        <v>9183</v>
      </c>
      <c r="B4000" s="21"/>
      <c r="C4000" s="22">
        <v>3982</v>
      </c>
      <c r="D4000" s="21">
        <v>7.16</v>
      </c>
      <c r="E4000" s="21" t="s">
        <v>5796</v>
      </c>
      <c r="F4000" s="23"/>
      <c r="G4000" s="23">
        <f t="shared" si="15"/>
        <v>7.16</v>
      </c>
      <c r="H4000" s="23"/>
      <c r="I4000" s="23"/>
    </row>
    <row r="4001" spans="1:9">
      <c r="A4001" s="21" t="s">
        <v>9184</v>
      </c>
      <c r="B4001" s="21"/>
      <c r="C4001" s="22">
        <v>3983</v>
      </c>
      <c r="D4001" s="21">
        <v>7.15</v>
      </c>
      <c r="E4001" s="21" t="s">
        <v>5796</v>
      </c>
      <c r="F4001" s="23"/>
      <c r="G4001" s="23">
        <f t="shared" si="15"/>
        <v>7.15</v>
      </c>
      <c r="H4001" s="23"/>
      <c r="I4001" s="23"/>
    </row>
    <row r="4002" spans="1:9">
      <c r="A4002" s="21" t="s">
        <v>9185</v>
      </c>
      <c r="B4002" s="21"/>
      <c r="C4002" s="22">
        <v>3984</v>
      </c>
      <c r="D4002" s="21">
        <v>7.14</v>
      </c>
      <c r="E4002" s="21" t="s">
        <v>5796</v>
      </c>
      <c r="F4002" s="23"/>
      <c r="G4002" s="23">
        <f t="shared" si="15"/>
        <v>7.14</v>
      </c>
      <c r="H4002" s="23"/>
      <c r="I4002" s="23"/>
    </row>
    <row r="4003" spans="1:9">
      <c r="A4003" s="21" t="s">
        <v>9186</v>
      </c>
      <c r="B4003" s="21"/>
      <c r="C4003" s="22">
        <v>3985</v>
      </c>
      <c r="D4003" s="21">
        <v>7.13</v>
      </c>
      <c r="E4003" s="21" t="s">
        <v>5796</v>
      </c>
      <c r="F4003" s="23"/>
      <c r="G4003" s="23">
        <f t="shared" si="15"/>
        <v>7.13</v>
      </c>
      <c r="H4003" s="23"/>
      <c r="I4003" s="23"/>
    </row>
    <row r="4004" spans="1:9">
      <c r="A4004" s="21" t="s">
        <v>9187</v>
      </c>
      <c r="B4004" s="21"/>
      <c r="C4004" s="22">
        <v>3986</v>
      </c>
      <c r="D4004" s="21">
        <v>7.13</v>
      </c>
      <c r="E4004" s="21" t="s">
        <v>5796</v>
      </c>
      <c r="F4004" s="23"/>
      <c r="G4004" s="23">
        <f t="shared" si="15"/>
        <v>7.13</v>
      </c>
      <c r="H4004" s="23"/>
      <c r="I4004" s="23"/>
    </row>
    <row r="4005" spans="1:9">
      <c r="A4005" s="21" t="s">
        <v>9188</v>
      </c>
      <c r="B4005" s="21"/>
      <c r="C4005" s="22">
        <v>3987</v>
      </c>
      <c r="D4005" s="21">
        <v>7.13</v>
      </c>
      <c r="E4005" s="21" t="s">
        <v>5796</v>
      </c>
      <c r="F4005" s="23"/>
      <c r="G4005" s="23">
        <f t="shared" si="15"/>
        <v>7.13</v>
      </c>
      <c r="H4005" s="23"/>
      <c r="I4005" s="23"/>
    </row>
    <row r="4006" spans="1:9">
      <c r="A4006" s="21" t="s">
        <v>9189</v>
      </c>
      <c r="B4006" s="21"/>
      <c r="C4006" s="22">
        <v>3989</v>
      </c>
      <c r="D4006" s="21">
        <v>7.11</v>
      </c>
      <c r="E4006" s="21" t="s">
        <v>5796</v>
      </c>
      <c r="F4006" s="23"/>
      <c r="G4006" s="23">
        <f t="shared" si="15"/>
        <v>7.11</v>
      </c>
      <c r="H4006" s="23"/>
      <c r="I4006" s="23"/>
    </row>
    <row r="4007" spans="1:9">
      <c r="A4007" s="21" t="s">
        <v>9190</v>
      </c>
      <c r="B4007" s="21"/>
      <c r="C4007" s="22">
        <v>3990</v>
      </c>
      <c r="D4007" s="21">
        <v>7.11</v>
      </c>
      <c r="E4007" s="21" t="s">
        <v>5796</v>
      </c>
      <c r="F4007" s="23"/>
      <c r="G4007" s="23">
        <f t="shared" si="15"/>
        <v>7.11</v>
      </c>
      <c r="H4007" s="23"/>
      <c r="I4007" s="23"/>
    </row>
    <row r="4008" spans="1:9">
      <c r="A4008" s="21" t="s">
        <v>9191</v>
      </c>
      <c r="B4008" s="21"/>
      <c r="C4008" s="22">
        <v>3991</v>
      </c>
      <c r="D4008" s="21">
        <v>7.1</v>
      </c>
      <c r="E4008" s="21" t="s">
        <v>5796</v>
      </c>
      <c r="F4008" s="23"/>
      <c r="G4008" s="23">
        <f t="shared" si="15"/>
        <v>7.1</v>
      </c>
      <c r="H4008" s="23"/>
      <c r="I4008" s="23"/>
    </row>
    <row r="4009" spans="1:9">
      <c r="A4009" s="21" t="s">
        <v>9192</v>
      </c>
      <c r="B4009" s="21"/>
      <c r="C4009" s="22">
        <v>3993</v>
      </c>
      <c r="D4009" s="21">
        <v>7.07</v>
      </c>
      <c r="E4009" s="21" t="s">
        <v>5796</v>
      </c>
      <c r="F4009" s="23"/>
      <c r="G4009" s="23">
        <f t="shared" si="15"/>
        <v>7.07</v>
      </c>
      <c r="H4009" s="23"/>
      <c r="I4009" s="23"/>
    </row>
    <row r="4010" spans="1:9">
      <c r="A4010" s="21" t="s">
        <v>9193</v>
      </c>
      <c r="B4010" s="21"/>
      <c r="C4010" s="22">
        <v>3994</v>
      </c>
      <c r="D4010" s="21">
        <v>7.03</v>
      </c>
      <c r="E4010" s="21" t="s">
        <v>5796</v>
      </c>
      <c r="F4010" s="23"/>
      <c r="G4010" s="23">
        <f t="shared" si="15"/>
        <v>7.03</v>
      </c>
      <c r="H4010" s="23"/>
      <c r="I4010" s="23"/>
    </row>
    <row r="4011" spans="1:9">
      <c r="A4011" s="21" t="s">
        <v>9194</v>
      </c>
      <c r="B4011" s="21"/>
      <c r="C4011" s="22">
        <v>3995</v>
      </c>
      <c r="D4011" s="21">
        <v>7.01</v>
      </c>
      <c r="E4011" s="21" t="s">
        <v>5796</v>
      </c>
      <c r="F4011" s="23"/>
      <c r="G4011" s="23">
        <f t="shared" si="15"/>
        <v>7.01</v>
      </c>
      <c r="H4011" s="23"/>
      <c r="I4011" s="23"/>
    </row>
    <row r="4012" spans="1:9">
      <c r="A4012" s="21" t="s">
        <v>9195</v>
      </c>
      <c r="B4012" s="21"/>
      <c r="C4012" s="22">
        <v>3996</v>
      </c>
      <c r="D4012" s="21">
        <v>7.01</v>
      </c>
      <c r="E4012" s="21" t="s">
        <v>5796</v>
      </c>
      <c r="F4012" s="23"/>
      <c r="G4012" s="23">
        <f t="shared" si="15"/>
        <v>7.01</v>
      </c>
      <c r="H4012" s="23"/>
      <c r="I4012" s="23"/>
    </row>
    <row r="4013" spans="1:9">
      <c r="A4013" s="21" t="s">
        <v>9196</v>
      </c>
      <c r="B4013" s="21"/>
      <c r="C4013" s="22">
        <v>3997</v>
      </c>
      <c r="D4013" s="21">
        <v>7.01</v>
      </c>
      <c r="E4013" s="21" t="s">
        <v>5796</v>
      </c>
      <c r="F4013" s="23"/>
      <c r="G4013" s="23">
        <f t="shared" si="15"/>
        <v>7.01</v>
      </c>
      <c r="H4013" s="23"/>
      <c r="I4013" s="23"/>
    </row>
    <row r="4014" spans="1:9">
      <c r="A4014" s="21" t="s">
        <v>9197</v>
      </c>
      <c r="B4014" s="21"/>
      <c r="C4014" s="22">
        <v>3998</v>
      </c>
      <c r="D4014" s="21">
        <v>7.01</v>
      </c>
      <c r="E4014" s="21" t="s">
        <v>5796</v>
      </c>
      <c r="F4014" s="23"/>
      <c r="G4014" s="23">
        <f t="shared" si="15"/>
        <v>7.01</v>
      </c>
      <c r="H4014" s="23"/>
      <c r="I4014" s="23"/>
    </row>
    <row r="4015" spans="1:9">
      <c r="A4015" s="21" t="s">
        <v>9198</v>
      </c>
      <c r="B4015" s="21"/>
      <c r="C4015" s="22">
        <v>3999</v>
      </c>
      <c r="D4015" s="21">
        <v>7.01</v>
      </c>
      <c r="E4015" s="21" t="s">
        <v>5796</v>
      </c>
      <c r="F4015" s="23"/>
      <c r="G4015" s="23">
        <f t="shared" si="15"/>
        <v>7.01</v>
      </c>
      <c r="H4015" s="23"/>
      <c r="I4015" s="23"/>
    </row>
    <row r="4016" spans="1:9">
      <c r="A4016" s="21" t="s">
        <v>9199</v>
      </c>
      <c r="B4016" s="21"/>
      <c r="C4016" s="22">
        <v>4000</v>
      </c>
      <c r="D4016" s="21">
        <v>7</v>
      </c>
      <c r="E4016" s="21" t="s">
        <v>5796</v>
      </c>
      <c r="F4016" s="23"/>
      <c r="G4016" s="23">
        <f t="shared" si="15"/>
        <v>7</v>
      </c>
      <c r="H4016" s="23"/>
      <c r="I4016" s="23"/>
    </row>
    <row r="4017" spans="1:9">
      <c r="A4017" s="21" t="s">
        <v>9200</v>
      </c>
      <c r="B4017" s="21"/>
      <c r="C4017" s="22">
        <v>4001</v>
      </c>
      <c r="D4017" s="21">
        <v>7</v>
      </c>
      <c r="E4017" s="21" t="s">
        <v>5796</v>
      </c>
      <c r="F4017" s="23"/>
      <c r="G4017" s="23">
        <f t="shared" si="15"/>
        <v>7</v>
      </c>
      <c r="H4017" s="23"/>
      <c r="I4017" s="23"/>
    </row>
    <row r="4018" spans="1:9">
      <c r="A4018" s="21" t="s">
        <v>9201</v>
      </c>
      <c r="B4018" s="21"/>
      <c r="C4018" s="22">
        <v>4002</v>
      </c>
      <c r="D4018" s="21">
        <v>6.99</v>
      </c>
      <c r="E4018" s="21" t="s">
        <v>5796</v>
      </c>
      <c r="F4018" s="23"/>
      <c r="G4018" s="23">
        <f t="shared" si="15"/>
        <v>6.99</v>
      </c>
      <c r="H4018" s="23"/>
      <c r="I4018" s="23"/>
    </row>
    <row r="4019" spans="1:9">
      <c r="A4019" s="21" t="s">
        <v>9202</v>
      </c>
      <c r="B4019" s="21"/>
      <c r="C4019" s="22">
        <v>4003</v>
      </c>
      <c r="D4019" s="21">
        <v>6.98</v>
      </c>
      <c r="E4019" s="21" t="s">
        <v>5796</v>
      </c>
      <c r="F4019" s="23"/>
      <c r="G4019" s="23">
        <f t="shared" si="15"/>
        <v>6.98</v>
      </c>
      <c r="H4019" s="23"/>
      <c r="I4019" s="23"/>
    </row>
    <row r="4020" spans="1:9">
      <c r="A4020" s="21" t="s">
        <v>9203</v>
      </c>
      <c r="B4020" s="21"/>
      <c r="C4020" s="22">
        <v>4004</v>
      </c>
      <c r="D4020" s="21">
        <v>6.97</v>
      </c>
      <c r="E4020" s="21" t="s">
        <v>5796</v>
      </c>
      <c r="F4020" s="23"/>
      <c r="G4020" s="23">
        <f t="shared" si="15"/>
        <v>6.97</v>
      </c>
      <c r="H4020" s="23"/>
      <c r="I4020" s="23"/>
    </row>
    <row r="4021" spans="1:9">
      <c r="A4021" s="21" t="s">
        <v>9204</v>
      </c>
      <c r="B4021" s="21"/>
      <c r="C4021" s="22">
        <v>4005</v>
      </c>
      <c r="D4021" s="21">
        <v>6.96</v>
      </c>
      <c r="E4021" s="21" t="s">
        <v>5796</v>
      </c>
      <c r="F4021" s="23"/>
      <c r="G4021" s="23">
        <f t="shared" si="15"/>
        <v>6.96</v>
      </c>
      <c r="H4021" s="23"/>
      <c r="I4021" s="23"/>
    </row>
    <row r="4022" spans="1:9">
      <c r="A4022" s="21" t="s">
        <v>9205</v>
      </c>
      <c r="B4022" s="21"/>
      <c r="C4022" s="22">
        <v>4006</v>
      </c>
      <c r="D4022" s="21">
        <v>6.95</v>
      </c>
      <c r="E4022" s="21" t="s">
        <v>5796</v>
      </c>
      <c r="F4022" s="23"/>
      <c r="G4022" s="23">
        <f t="shared" si="15"/>
        <v>6.95</v>
      </c>
      <c r="H4022" s="23"/>
      <c r="I4022" s="23"/>
    </row>
    <row r="4023" spans="1:9">
      <c r="A4023" s="21" t="s">
        <v>9206</v>
      </c>
      <c r="B4023" s="21"/>
      <c r="C4023" s="22">
        <v>4007</v>
      </c>
      <c r="D4023" s="21">
        <v>6.95</v>
      </c>
      <c r="E4023" s="21" t="s">
        <v>5796</v>
      </c>
      <c r="F4023" s="23"/>
      <c r="G4023" s="23">
        <f t="shared" si="15"/>
        <v>6.95</v>
      </c>
      <c r="H4023" s="23"/>
      <c r="I4023" s="23"/>
    </row>
    <row r="4024" spans="1:9">
      <c r="A4024" s="21" t="s">
        <v>9207</v>
      </c>
      <c r="B4024" s="21"/>
      <c r="C4024" s="22">
        <v>4008</v>
      </c>
      <c r="D4024" s="21">
        <v>6.95</v>
      </c>
      <c r="E4024" s="21" t="s">
        <v>5796</v>
      </c>
      <c r="F4024" s="23"/>
      <c r="G4024" s="23">
        <f t="shared" si="15"/>
        <v>6.95</v>
      </c>
      <c r="H4024" s="23"/>
      <c r="I4024" s="23"/>
    </row>
    <row r="4025" spans="1:9">
      <c r="A4025" s="21" t="s">
        <v>9208</v>
      </c>
      <c r="B4025" s="21"/>
      <c r="C4025" s="22">
        <v>4009</v>
      </c>
      <c r="D4025" s="21">
        <v>6.95</v>
      </c>
      <c r="E4025" s="21" t="s">
        <v>5796</v>
      </c>
      <c r="F4025" s="23"/>
      <c r="G4025" s="23">
        <f t="shared" si="15"/>
        <v>6.95</v>
      </c>
      <c r="H4025" s="23"/>
      <c r="I4025" s="23"/>
    </row>
    <row r="4026" spans="1:9">
      <c r="A4026" s="21" t="s">
        <v>9209</v>
      </c>
      <c r="B4026" s="21"/>
      <c r="C4026" s="22">
        <v>4010</v>
      </c>
      <c r="D4026" s="21">
        <v>6.94</v>
      </c>
      <c r="E4026" s="21" t="s">
        <v>5796</v>
      </c>
      <c r="F4026" s="23"/>
      <c r="G4026" s="23">
        <f t="shared" si="15"/>
        <v>6.94</v>
      </c>
      <c r="H4026" s="23"/>
      <c r="I4026" s="23"/>
    </row>
    <row r="4027" spans="1:9">
      <c r="A4027" s="21" t="s">
        <v>9210</v>
      </c>
      <c r="B4027" s="21"/>
      <c r="C4027" s="22">
        <v>4011</v>
      </c>
      <c r="D4027" s="21">
        <v>6.92</v>
      </c>
      <c r="E4027" s="21" t="s">
        <v>5796</v>
      </c>
      <c r="F4027" s="23"/>
      <c r="G4027" s="23">
        <f t="shared" si="15"/>
        <v>6.92</v>
      </c>
      <c r="H4027" s="23"/>
      <c r="I4027" s="23"/>
    </row>
    <row r="4028" spans="1:9">
      <c r="A4028" s="21" t="s">
        <v>9211</v>
      </c>
      <c r="B4028" s="21"/>
      <c r="C4028" s="22">
        <v>4012</v>
      </c>
      <c r="D4028" s="21">
        <v>6.9</v>
      </c>
      <c r="E4028" s="21" t="s">
        <v>5796</v>
      </c>
      <c r="F4028" s="23"/>
      <c r="G4028" s="23">
        <f t="shared" si="15"/>
        <v>6.9</v>
      </c>
      <c r="H4028" s="23"/>
      <c r="I4028" s="23"/>
    </row>
    <row r="4029" spans="1:9">
      <c r="A4029" s="21" t="s">
        <v>9212</v>
      </c>
      <c r="B4029" s="21"/>
      <c r="C4029" s="22">
        <v>4013</v>
      </c>
      <c r="D4029" s="21">
        <v>6.89</v>
      </c>
      <c r="E4029" s="21" t="s">
        <v>5796</v>
      </c>
      <c r="F4029" s="23"/>
      <c r="G4029" s="23">
        <f t="shared" si="15"/>
        <v>6.89</v>
      </c>
      <c r="H4029" s="23"/>
      <c r="I4029" s="23"/>
    </row>
    <row r="4030" spans="1:9">
      <c r="A4030" s="21" t="s">
        <v>9213</v>
      </c>
      <c r="B4030" s="21"/>
      <c r="C4030" s="22">
        <v>4014</v>
      </c>
      <c r="D4030" s="21">
        <v>6.89</v>
      </c>
      <c r="E4030" s="21" t="s">
        <v>5796</v>
      </c>
      <c r="F4030" s="23"/>
      <c r="G4030" s="23">
        <f t="shared" si="15"/>
        <v>6.89</v>
      </c>
      <c r="H4030" s="23"/>
      <c r="I4030" s="23"/>
    </row>
    <row r="4031" spans="1:9">
      <c r="A4031" s="21" t="s">
        <v>9214</v>
      </c>
      <c r="B4031" s="21"/>
      <c r="C4031" s="22">
        <v>4015</v>
      </c>
      <c r="D4031" s="21">
        <v>6.88</v>
      </c>
      <c r="E4031" s="21" t="s">
        <v>5796</v>
      </c>
      <c r="F4031" s="23"/>
      <c r="G4031" s="23">
        <f t="shared" si="15"/>
        <v>6.88</v>
      </c>
      <c r="H4031" s="23"/>
      <c r="I4031" s="23"/>
    </row>
    <row r="4032" spans="1:9">
      <c r="A4032" s="21" t="s">
        <v>9215</v>
      </c>
      <c r="B4032" s="21"/>
      <c r="C4032" s="22">
        <v>4016</v>
      </c>
      <c r="D4032" s="21">
        <v>6.86</v>
      </c>
      <c r="E4032" s="21" t="s">
        <v>5796</v>
      </c>
      <c r="F4032" s="23"/>
      <c r="G4032" s="23">
        <f t="shared" si="15"/>
        <v>6.86</v>
      </c>
      <c r="H4032" s="23"/>
      <c r="I4032" s="23"/>
    </row>
    <row r="4033" spans="1:9">
      <c r="A4033" s="21" t="s">
        <v>9216</v>
      </c>
      <c r="B4033" s="21"/>
      <c r="C4033" s="22">
        <v>4017</v>
      </c>
      <c r="D4033" s="21">
        <v>6.86</v>
      </c>
      <c r="E4033" s="21" t="s">
        <v>5796</v>
      </c>
      <c r="F4033" s="23"/>
      <c r="G4033" s="23">
        <f t="shared" si="15"/>
        <v>6.86</v>
      </c>
      <c r="H4033" s="23"/>
      <c r="I4033" s="23"/>
    </row>
    <row r="4034" spans="1:9">
      <c r="A4034" s="21" t="s">
        <v>9217</v>
      </c>
      <c r="B4034" s="21"/>
      <c r="C4034" s="22">
        <v>4018</v>
      </c>
      <c r="D4034" s="21">
        <v>6.85</v>
      </c>
      <c r="E4034" s="21" t="s">
        <v>5796</v>
      </c>
      <c r="F4034" s="23"/>
      <c r="G4034" s="23">
        <f t="shared" si="15"/>
        <v>6.85</v>
      </c>
      <c r="H4034" s="23"/>
      <c r="I4034" s="23"/>
    </row>
    <row r="4035" spans="1:9">
      <c r="A4035" s="21" t="s">
        <v>9218</v>
      </c>
      <c r="B4035" s="21"/>
      <c r="C4035" s="22">
        <v>4019</v>
      </c>
      <c r="D4035" s="21">
        <v>6.84</v>
      </c>
      <c r="E4035" s="21" t="s">
        <v>5796</v>
      </c>
      <c r="F4035" s="23"/>
      <c r="G4035" s="23">
        <f t="shared" si="15"/>
        <v>6.84</v>
      </c>
      <c r="H4035" s="23"/>
      <c r="I4035" s="23"/>
    </row>
    <row r="4036" spans="1:9">
      <c r="A4036" s="21" t="s">
        <v>9219</v>
      </c>
      <c r="B4036" s="21"/>
      <c r="C4036" s="22">
        <v>4020</v>
      </c>
      <c r="D4036" s="21">
        <v>6.84</v>
      </c>
      <c r="E4036" s="21" t="s">
        <v>5796</v>
      </c>
      <c r="F4036" s="23"/>
      <c r="G4036" s="23">
        <f t="shared" si="15"/>
        <v>6.84</v>
      </c>
      <c r="H4036" s="23"/>
      <c r="I4036" s="23"/>
    </row>
    <row r="4037" spans="1:9">
      <c r="A4037" s="21" t="s">
        <v>9220</v>
      </c>
      <c r="B4037" s="21"/>
      <c r="C4037" s="22">
        <v>4021</v>
      </c>
      <c r="D4037" s="21">
        <v>6.83</v>
      </c>
      <c r="E4037" s="21" t="s">
        <v>5796</v>
      </c>
      <c r="F4037" s="23"/>
      <c r="G4037" s="23">
        <f t="shared" si="15"/>
        <v>6.83</v>
      </c>
      <c r="H4037" s="23"/>
      <c r="I4037" s="23"/>
    </row>
    <row r="4038" spans="1:9">
      <c r="A4038" s="21" t="s">
        <v>9221</v>
      </c>
      <c r="B4038" s="21"/>
      <c r="C4038" s="22">
        <v>4022</v>
      </c>
      <c r="D4038" s="21">
        <v>6.83</v>
      </c>
      <c r="E4038" s="21" t="s">
        <v>5796</v>
      </c>
      <c r="F4038" s="23"/>
      <c r="G4038" s="23">
        <f t="shared" si="15"/>
        <v>6.83</v>
      </c>
      <c r="H4038" s="23"/>
      <c r="I4038" s="23"/>
    </row>
    <row r="4039" spans="1:9">
      <c r="A4039" s="21" t="s">
        <v>9222</v>
      </c>
      <c r="B4039" s="21"/>
      <c r="C4039" s="22">
        <v>4023</v>
      </c>
      <c r="D4039" s="21">
        <v>6.83</v>
      </c>
      <c r="E4039" s="21" t="s">
        <v>5796</v>
      </c>
      <c r="F4039" s="23"/>
      <c r="G4039" s="23">
        <f t="shared" si="15"/>
        <v>6.83</v>
      </c>
      <c r="H4039" s="23"/>
      <c r="I4039" s="23"/>
    </row>
    <row r="4040" spans="1:9">
      <c r="A4040" s="21" t="s">
        <v>9223</v>
      </c>
      <c r="B4040" s="21"/>
      <c r="C4040" s="22">
        <v>4024</v>
      </c>
      <c r="D4040" s="21">
        <v>6.82</v>
      </c>
      <c r="E4040" s="21" t="s">
        <v>5796</v>
      </c>
      <c r="F4040" s="23"/>
      <c r="G4040" s="23">
        <f t="shared" si="15"/>
        <v>6.82</v>
      </c>
      <c r="H4040" s="23"/>
      <c r="I4040" s="23"/>
    </row>
    <row r="4041" spans="1:9">
      <c r="A4041" s="21" t="s">
        <v>9224</v>
      </c>
      <c r="B4041" s="21"/>
      <c r="C4041" s="22">
        <v>4025</v>
      </c>
      <c r="D4041" s="21">
        <v>6.82</v>
      </c>
      <c r="E4041" s="21" t="s">
        <v>5796</v>
      </c>
      <c r="F4041" s="23"/>
      <c r="G4041" s="23">
        <f t="shared" si="15"/>
        <v>6.82</v>
      </c>
      <c r="H4041" s="23"/>
      <c r="I4041" s="23"/>
    </row>
    <row r="4042" spans="1:9">
      <c r="A4042" s="21" t="s">
        <v>9225</v>
      </c>
      <c r="B4042" s="21"/>
      <c r="C4042" s="22">
        <v>4026</v>
      </c>
      <c r="D4042" s="21">
        <v>6.82</v>
      </c>
      <c r="E4042" s="21" t="s">
        <v>5796</v>
      </c>
      <c r="F4042" s="23"/>
      <c r="G4042" s="23">
        <f t="shared" si="15"/>
        <v>6.82</v>
      </c>
      <c r="H4042" s="23"/>
      <c r="I4042" s="23"/>
    </row>
    <row r="4043" spans="1:9">
      <c r="A4043" s="21" t="s">
        <v>9226</v>
      </c>
      <c r="B4043" s="21"/>
      <c r="C4043" s="22">
        <v>4027</v>
      </c>
      <c r="D4043" s="21">
        <v>6.82</v>
      </c>
      <c r="E4043" s="21" t="s">
        <v>5796</v>
      </c>
      <c r="F4043" s="23"/>
      <c r="G4043" s="23">
        <f t="shared" si="15"/>
        <v>6.82</v>
      </c>
      <c r="H4043" s="23"/>
      <c r="I4043" s="23"/>
    </row>
    <row r="4044" spans="1:9">
      <c r="A4044" s="21" t="s">
        <v>9227</v>
      </c>
      <c r="B4044" s="21"/>
      <c r="C4044" s="22">
        <v>4028</v>
      </c>
      <c r="D4044" s="21">
        <v>6.81</v>
      </c>
      <c r="E4044" s="21" t="s">
        <v>5796</v>
      </c>
      <c r="F4044" s="23"/>
      <c r="G4044" s="23">
        <f t="shared" si="15"/>
        <v>6.81</v>
      </c>
      <c r="H4044" s="23"/>
      <c r="I4044" s="23"/>
    </row>
    <row r="4045" spans="1:9">
      <c r="A4045" s="21" t="s">
        <v>9228</v>
      </c>
      <c r="B4045" s="21"/>
      <c r="C4045" s="22">
        <v>4029</v>
      </c>
      <c r="D4045" s="21">
        <v>6.8</v>
      </c>
      <c r="E4045" s="21" t="s">
        <v>5796</v>
      </c>
      <c r="F4045" s="23"/>
      <c r="G4045" s="23">
        <f t="shared" si="15"/>
        <v>6.8</v>
      </c>
      <c r="H4045" s="23"/>
      <c r="I4045" s="23"/>
    </row>
    <row r="4046" spans="1:9">
      <c r="A4046" s="21" t="s">
        <v>9229</v>
      </c>
      <c r="B4046" s="21"/>
      <c r="C4046" s="22">
        <v>4030</v>
      </c>
      <c r="D4046" s="21">
        <v>6.8</v>
      </c>
      <c r="E4046" s="21" t="s">
        <v>5796</v>
      </c>
      <c r="F4046" s="23"/>
      <c r="G4046" s="23">
        <f t="shared" si="15"/>
        <v>6.8</v>
      </c>
      <c r="H4046" s="23"/>
      <c r="I4046" s="23"/>
    </row>
    <row r="4047" spans="1:9">
      <c r="A4047" s="21" t="s">
        <v>9230</v>
      </c>
      <c r="B4047" s="21"/>
      <c r="C4047" s="22">
        <v>4031</v>
      </c>
      <c r="D4047" s="21">
        <v>6.79</v>
      </c>
      <c r="E4047" s="21" t="s">
        <v>5796</v>
      </c>
      <c r="F4047" s="23"/>
      <c r="G4047" s="23">
        <f t="shared" si="15"/>
        <v>6.79</v>
      </c>
      <c r="H4047" s="23"/>
      <c r="I4047" s="23"/>
    </row>
    <row r="4048" spans="1:9">
      <c r="A4048" s="21" t="s">
        <v>9231</v>
      </c>
      <c r="B4048" s="21"/>
      <c r="C4048" s="22">
        <v>4032</v>
      </c>
      <c r="D4048" s="21">
        <v>6.78</v>
      </c>
      <c r="E4048" s="21" t="s">
        <v>5796</v>
      </c>
      <c r="F4048" s="23"/>
      <c r="G4048" s="23">
        <f t="shared" si="15"/>
        <v>6.78</v>
      </c>
      <c r="H4048" s="23"/>
      <c r="I4048" s="23"/>
    </row>
    <row r="4049" spans="1:9">
      <c r="A4049" s="21" t="s">
        <v>9232</v>
      </c>
      <c r="B4049" s="21"/>
      <c r="C4049" s="22">
        <v>4033</v>
      </c>
      <c r="D4049" s="21">
        <v>6.77</v>
      </c>
      <c r="E4049" s="21" t="s">
        <v>5796</v>
      </c>
      <c r="F4049" s="23"/>
      <c r="G4049" s="23">
        <f t="shared" si="15"/>
        <v>6.77</v>
      </c>
      <c r="H4049" s="23"/>
      <c r="I4049" s="23"/>
    </row>
    <row r="4050" spans="1:9">
      <c r="A4050" s="21" t="s">
        <v>9233</v>
      </c>
      <c r="B4050" s="21"/>
      <c r="C4050" s="22">
        <v>4034</v>
      </c>
      <c r="D4050" s="21">
        <v>6.77</v>
      </c>
      <c r="E4050" s="21" t="s">
        <v>5796</v>
      </c>
      <c r="F4050" s="23"/>
      <c r="G4050" s="23">
        <f t="shared" si="15"/>
        <v>6.77</v>
      </c>
      <c r="H4050" s="23"/>
      <c r="I4050" s="23"/>
    </row>
    <row r="4051" spans="1:9">
      <c r="A4051" s="21" t="s">
        <v>9234</v>
      </c>
      <c r="B4051" s="21"/>
      <c r="C4051" s="22">
        <v>4035</v>
      </c>
      <c r="D4051" s="21">
        <v>6.75</v>
      </c>
      <c r="E4051" s="21" t="s">
        <v>5796</v>
      </c>
      <c r="F4051" s="23"/>
      <c r="G4051" s="23">
        <f t="shared" si="15"/>
        <v>6.75</v>
      </c>
      <c r="H4051" s="23"/>
      <c r="I4051" s="23"/>
    </row>
    <row r="4052" spans="1:9">
      <c r="A4052" s="21" t="s">
        <v>9235</v>
      </c>
      <c r="B4052" s="21"/>
      <c r="C4052" s="22">
        <v>4036</v>
      </c>
      <c r="D4052" s="21">
        <v>6.75</v>
      </c>
      <c r="E4052" s="21" t="s">
        <v>5796</v>
      </c>
      <c r="F4052" s="23"/>
      <c r="G4052" s="23">
        <f t="shared" si="15"/>
        <v>6.75</v>
      </c>
      <c r="H4052" s="23"/>
      <c r="I4052" s="23"/>
    </row>
    <row r="4053" spans="1:9">
      <c r="A4053" s="21" t="s">
        <v>9236</v>
      </c>
      <c r="B4053" s="21"/>
      <c r="C4053" s="22">
        <v>4037</v>
      </c>
      <c r="D4053" s="21">
        <v>6.75</v>
      </c>
      <c r="E4053" s="21" t="s">
        <v>5796</v>
      </c>
      <c r="F4053" s="23"/>
      <c r="G4053" s="23">
        <f t="shared" si="15"/>
        <v>6.75</v>
      </c>
      <c r="H4053" s="23"/>
      <c r="I4053" s="23"/>
    </row>
    <row r="4054" spans="1:9">
      <c r="A4054" s="21" t="s">
        <v>9237</v>
      </c>
      <c r="B4054" s="21"/>
      <c r="C4054" s="22">
        <v>4038</v>
      </c>
      <c r="D4054" s="21">
        <v>6.74</v>
      </c>
      <c r="E4054" s="21" t="s">
        <v>5796</v>
      </c>
      <c r="F4054" s="23"/>
      <c r="G4054" s="23">
        <f t="shared" si="15"/>
        <v>6.74</v>
      </c>
      <c r="H4054" s="23"/>
      <c r="I4054" s="23"/>
    </row>
    <row r="4055" spans="1:9">
      <c r="A4055" s="21" t="s">
        <v>9238</v>
      </c>
      <c r="B4055" s="21"/>
      <c r="C4055" s="22">
        <v>4039</v>
      </c>
      <c r="D4055" s="21">
        <v>6.73</v>
      </c>
      <c r="E4055" s="21" t="s">
        <v>5796</v>
      </c>
      <c r="F4055" s="23"/>
      <c r="G4055" s="23">
        <f t="shared" si="15"/>
        <v>6.73</v>
      </c>
      <c r="H4055" s="23"/>
      <c r="I4055" s="23"/>
    </row>
    <row r="4056" spans="1:9">
      <c r="A4056" s="21" t="s">
        <v>9239</v>
      </c>
      <c r="B4056" s="21"/>
      <c r="C4056" s="22">
        <v>4040</v>
      </c>
      <c r="D4056" s="21">
        <v>6.73</v>
      </c>
      <c r="E4056" s="21" t="s">
        <v>5796</v>
      </c>
      <c r="F4056" s="23"/>
      <c r="G4056" s="23">
        <f t="shared" si="15"/>
        <v>6.73</v>
      </c>
      <c r="H4056" s="23"/>
      <c r="I4056" s="23"/>
    </row>
    <row r="4057" spans="1:9">
      <c r="A4057" s="21" t="s">
        <v>9240</v>
      </c>
      <c r="B4057" s="21"/>
      <c r="C4057" s="22">
        <v>4041</v>
      </c>
      <c r="D4057" s="21">
        <v>6.73</v>
      </c>
      <c r="E4057" s="21" t="s">
        <v>5796</v>
      </c>
      <c r="F4057" s="23"/>
      <c r="G4057" s="23">
        <f t="shared" si="15"/>
        <v>6.73</v>
      </c>
      <c r="H4057" s="23"/>
      <c r="I4057" s="23"/>
    </row>
    <row r="4058" spans="1:9">
      <c r="A4058" s="21" t="s">
        <v>9241</v>
      </c>
      <c r="B4058" s="21"/>
      <c r="C4058" s="22">
        <v>4042</v>
      </c>
      <c r="D4058" s="21">
        <v>6.72</v>
      </c>
      <c r="E4058" s="21" t="s">
        <v>5796</v>
      </c>
      <c r="F4058" s="23"/>
      <c r="G4058" s="23">
        <f t="shared" si="15"/>
        <v>6.72</v>
      </c>
      <c r="H4058" s="23"/>
      <c r="I4058" s="23"/>
    </row>
    <row r="4059" spans="1:9">
      <c r="A4059" s="21" t="s">
        <v>9242</v>
      </c>
      <c r="B4059" s="21"/>
      <c r="C4059" s="22">
        <v>4043</v>
      </c>
      <c r="D4059" s="21">
        <v>6.72</v>
      </c>
      <c r="E4059" s="21" t="s">
        <v>5796</v>
      </c>
      <c r="F4059" s="23"/>
      <c r="G4059" s="23">
        <f t="shared" si="15"/>
        <v>6.72</v>
      </c>
      <c r="H4059" s="23"/>
      <c r="I4059" s="23"/>
    </row>
    <row r="4060" spans="1:9">
      <c r="A4060" s="21" t="s">
        <v>9243</v>
      </c>
      <c r="B4060" s="21"/>
      <c r="C4060" s="22">
        <v>4045</v>
      </c>
      <c r="D4060" s="21">
        <v>6.71</v>
      </c>
      <c r="E4060" s="21" t="s">
        <v>5796</v>
      </c>
      <c r="F4060" s="23"/>
      <c r="G4060" s="23">
        <f t="shared" si="15"/>
        <v>6.71</v>
      </c>
      <c r="H4060" s="23"/>
      <c r="I4060" s="23"/>
    </row>
    <row r="4061" spans="1:9">
      <c r="A4061" s="21" t="s">
        <v>9244</v>
      </c>
      <c r="B4061" s="21"/>
      <c r="C4061" s="22">
        <v>4046</v>
      </c>
      <c r="D4061" s="21">
        <v>6.71</v>
      </c>
      <c r="E4061" s="21" t="s">
        <v>5796</v>
      </c>
      <c r="F4061" s="23"/>
      <c r="G4061" s="23">
        <f t="shared" si="15"/>
        <v>6.71</v>
      </c>
      <c r="H4061" s="23"/>
      <c r="I4061" s="23"/>
    </row>
    <row r="4062" spans="1:9">
      <c r="A4062" s="21" t="s">
        <v>9245</v>
      </c>
      <c r="B4062" s="21"/>
      <c r="C4062" s="22">
        <v>4047</v>
      </c>
      <c r="D4062" s="21">
        <v>6.69</v>
      </c>
      <c r="E4062" s="21" t="s">
        <v>5796</v>
      </c>
      <c r="F4062" s="23"/>
      <c r="G4062" s="23">
        <f t="shared" si="15"/>
        <v>6.69</v>
      </c>
      <c r="H4062" s="23"/>
      <c r="I4062" s="23"/>
    </row>
    <row r="4063" spans="1:9">
      <c r="A4063" s="21" t="s">
        <v>9246</v>
      </c>
      <c r="B4063" s="21"/>
      <c r="C4063" s="22">
        <v>4048</v>
      </c>
      <c r="D4063" s="21">
        <v>6.68</v>
      </c>
      <c r="E4063" s="21" t="s">
        <v>5796</v>
      </c>
      <c r="F4063" s="23"/>
      <c r="G4063" s="23">
        <f t="shared" si="15"/>
        <v>6.68</v>
      </c>
      <c r="H4063" s="23"/>
      <c r="I4063" s="23"/>
    </row>
    <row r="4064" spans="1:9">
      <c r="A4064" s="21" t="s">
        <v>9247</v>
      </c>
      <c r="B4064" s="21"/>
      <c r="C4064" s="22">
        <v>4049</v>
      </c>
      <c r="D4064" s="21">
        <v>6.66</v>
      </c>
      <c r="E4064" s="21" t="s">
        <v>5796</v>
      </c>
      <c r="F4064" s="23"/>
      <c r="G4064" s="23">
        <f t="shared" si="15"/>
        <v>6.66</v>
      </c>
      <c r="H4064" s="23"/>
      <c r="I4064" s="23"/>
    </row>
    <row r="4065" spans="1:9">
      <c r="A4065" s="21" t="s">
        <v>9248</v>
      </c>
      <c r="B4065" s="21"/>
      <c r="C4065" s="22">
        <v>4050</v>
      </c>
      <c r="D4065" s="21">
        <v>6.66</v>
      </c>
      <c r="E4065" s="21" t="s">
        <v>5796</v>
      </c>
      <c r="F4065" s="23"/>
      <c r="G4065" s="23">
        <f t="shared" si="15"/>
        <v>6.66</v>
      </c>
      <c r="H4065" s="23"/>
      <c r="I4065" s="23"/>
    </row>
    <row r="4066" spans="1:9">
      <c r="A4066" s="21" t="s">
        <v>9249</v>
      </c>
      <c r="B4066" s="21"/>
      <c r="C4066" s="22">
        <v>4051</v>
      </c>
      <c r="D4066" s="21">
        <v>6.64</v>
      </c>
      <c r="E4066" s="21" t="s">
        <v>5796</v>
      </c>
      <c r="F4066" s="23"/>
      <c r="G4066" s="23">
        <f t="shared" si="15"/>
        <v>6.64</v>
      </c>
      <c r="H4066" s="23"/>
      <c r="I4066" s="23"/>
    </row>
    <row r="4067" spans="1:9">
      <c r="A4067" s="21" t="s">
        <v>9250</v>
      </c>
      <c r="B4067" s="21"/>
      <c r="C4067" s="22">
        <v>4052</v>
      </c>
      <c r="D4067" s="21">
        <v>6.64</v>
      </c>
      <c r="E4067" s="21" t="s">
        <v>5796</v>
      </c>
      <c r="F4067" s="23"/>
      <c r="G4067" s="23">
        <f t="shared" si="15"/>
        <v>6.64</v>
      </c>
      <c r="H4067" s="23"/>
      <c r="I4067" s="23"/>
    </row>
    <row r="4068" spans="1:9">
      <c r="A4068" s="21" t="s">
        <v>9251</v>
      </c>
      <c r="B4068" s="21"/>
      <c r="C4068" s="22">
        <v>4053</v>
      </c>
      <c r="D4068" s="21">
        <v>6.63</v>
      </c>
      <c r="E4068" s="21" t="s">
        <v>5796</v>
      </c>
      <c r="F4068" s="23"/>
      <c r="G4068" s="23">
        <f t="shared" si="15"/>
        <v>6.63</v>
      </c>
      <c r="H4068" s="23"/>
      <c r="I4068" s="23"/>
    </row>
    <row r="4069" spans="1:9">
      <c r="A4069" s="21" t="s">
        <v>9252</v>
      </c>
      <c r="B4069" s="21"/>
      <c r="C4069" s="22">
        <v>4054</v>
      </c>
      <c r="D4069" s="21">
        <v>6.61</v>
      </c>
      <c r="E4069" s="21" t="s">
        <v>5796</v>
      </c>
      <c r="F4069" s="23"/>
      <c r="G4069" s="23">
        <f t="shared" si="15"/>
        <v>6.61</v>
      </c>
      <c r="H4069" s="23"/>
      <c r="I4069" s="23"/>
    </row>
    <row r="4070" spans="1:9">
      <c r="A4070" s="21" t="s">
        <v>9253</v>
      </c>
      <c r="B4070" s="21"/>
      <c r="C4070" s="22">
        <v>4055</v>
      </c>
      <c r="D4070" s="21">
        <v>6.6</v>
      </c>
      <c r="E4070" s="21" t="s">
        <v>5796</v>
      </c>
      <c r="F4070" s="23"/>
      <c r="G4070" s="23">
        <f t="shared" si="15"/>
        <v>6.6</v>
      </c>
      <c r="H4070" s="23"/>
      <c r="I4070" s="23"/>
    </row>
    <row r="4071" spans="1:9">
      <c r="A4071" s="21" t="s">
        <v>9254</v>
      </c>
      <c r="B4071" s="21"/>
      <c r="C4071" s="22">
        <v>4056</v>
      </c>
      <c r="D4071" s="21">
        <v>6.59</v>
      </c>
      <c r="E4071" s="21" t="s">
        <v>5796</v>
      </c>
      <c r="F4071" s="23"/>
      <c r="G4071" s="23">
        <f t="shared" si="15"/>
        <v>6.59</v>
      </c>
      <c r="H4071" s="23"/>
      <c r="I4071" s="23"/>
    </row>
    <row r="4072" spans="1:9">
      <c r="A4072" s="21" t="s">
        <v>9255</v>
      </c>
      <c r="B4072" s="21"/>
      <c r="C4072" s="22">
        <v>4057</v>
      </c>
      <c r="D4072" s="21">
        <v>6.59</v>
      </c>
      <c r="E4072" s="21" t="s">
        <v>5796</v>
      </c>
      <c r="F4072" s="23"/>
      <c r="G4072" s="23">
        <f t="shared" si="15"/>
        <v>6.59</v>
      </c>
      <c r="H4072" s="23"/>
      <c r="I4072" s="23"/>
    </row>
    <row r="4073" spans="1:9">
      <c r="A4073" s="21" t="s">
        <v>9256</v>
      </c>
      <c r="B4073" s="21"/>
      <c r="C4073" s="22">
        <v>4058</v>
      </c>
      <c r="D4073" s="21">
        <v>6.59</v>
      </c>
      <c r="E4073" s="21" t="s">
        <v>5796</v>
      </c>
      <c r="F4073" s="23"/>
      <c r="G4073" s="23">
        <f t="shared" si="15"/>
        <v>6.59</v>
      </c>
      <c r="H4073" s="23"/>
      <c r="I4073" s="23"/>
    </row>
    <row r="4074" spans="1:9">
      <c r="A4074" s="21" t="s">
        <v>9257</v>
      </c>
      <c r="B4074" s="21"/>
      <c r="C4074" s="22">
        <v>4059</v>
      </c>
      <c r="D4074" s="21">
        <v>6.58</v>
      </c>
      <c r="E4074" s="21" t="s">
        <v>5796</v>
      </c>
      <c r="F4074" s="23"/>
      <c r="G4074" s="23">
        <f t="shared" si="15"/>
        <v>6.58</v>
      </c>
      <c r="H4074" s="23"/>
      <c r="I4074" s="23"/>
    </row>
    <row r="4075" spans="1:9">
      <c r="A4075" s="21" t="s">
        <v>9258</v>
      </c>
      <c r="B4075" s="21"/>
      <c r="C4075" s="22">
        <v>4060</v>
      </c>
      <c r="D4075" s="21">
        <v>6.57</v>
      </c>
      <c r="E4075" s="21" t="s">
        <v>5796</v>
      </c>
      <c r="F4075" s="23"/>
      <c r="G4075" s="23">
        <f t="shared" si="15"/>
        <v>6.57</v>
      </c>
      <c r="H4075" s="23"/>
      <c r="I4075" s="23"/>
    </row>
    <row r="4076" spans="1:9">
      <c r="A4076" s="21" t="s">
        <v>9259</v>
      </c>
      <c r="B4076" s="21"/>
      <c r="C4076" s="22">
        <v>4061</v>
      </c>
      <c r="D4076" s="21">
        <v>6.56</v>
      </c>
      <c r="E4076" s="21" t="s">
        <v>5796</v>
      </c>
      <c r="F4076" s="23"/>
      <c r="G4076" s="23">
        <f t="shared" si="15"/>
        <v>6.56</v>
      </c>
      <c r="H4076" s="23"/>
      <c r="I4076" s="23"/>
    </row>
    <row r="4077" spans="1:9">
      <c r="A4077" s="21" t="s">
        <v>9260</v>
      </c>
      <c r="B4077" s="21"/>
      <c r="C4077" s="22">
        <v>4062</v>
      </c>
      <c r="D4077" s="21">
        <v>6.56</v>
      </c>
      <c r="E4077" s="21" t="s">
        <v>5796</v>
      </c>
      <c r="F4077" s="23"/>
      <c r="G4077" s="23">
        <f t="shared" si="15"/>
        <v>6.56</v>
      </c>
      <c r="H4077" s="23"/>
      <c r="I4077" s="23"/>
    </row>
    <row r="4078" spans="1:9">
      <c r="A4078" s="21" t="s">
        <v>9261</v>
      </c>
      <c r="B4078" s="21"/>
      <c r="C4078" s="22">
        <v>4063</v>
      </c>
      <c r="D4078" s="21">
        <v>6.55</v>
      </c>
      <c r="E4078" s="21" t="s">
        <v>5796</v>
      </c>
      <c r="F4078" s="23"/>
      <c r="G4078" s="23">
        <f t="shared" si="15"/>
        <v>6.55</v>
      </c>
      <c r="H4078" s="23"/>
      <c r="I4078" s="23"/>
    </row>
    <row r="4079" spans="1:9">
      <c r="A4079" s="21" t="s">
        <v>9262</v>
      </c>
      <c r="B4079" s="21"/>
      <c r="C4079" s="22">
        <v>4064</v>
      </c>
      <c r="D4079" s="21">
        <v>6.54</v>
      </c>
      <c r="E4079" s="21" t="s">
        <v>5796</v>
      </c>
      <c r="F4079" s="23"/>
      <c r="G4079" s="23">
        <f t="shared" si="15"/>
        <v>6.54</v>
      </c>
      <c r="H4079" s="23"/>
      <c r="I4079" s="23"/>
    </row>
    <row r="4080" spans="1:9">
      <c r="A4080" s="21" t="s">
        <v>9263</v>
      </c>
      <c r="B4080" s="21"/>
      <c r="C4080" s="22">
        <v>4065</v>
      </c>
      <c r="D4080" s="21">
        <v>6.54</v>
      </c>
      <c r="E4080" s="21" t="s">
        <v>5796</v>
      </c>
      <c r="F4080" s="23"/>
      <c r="G4080" s="23">
        <f t="shared" si="15"/>
        <v>6.54</v>
      </c>
      <c r="H4080" s="23"/>
      <c r="I4080" s="23"/>
    </row>
    <row r="4081" spans="1:9">
      <c r="A4081" s="21" t="s">
        <v>9264</v>
      </c>
      <c r="B4081" s="21"/>
      <c r="C4081" s="22">
        <v>4066</v>
      </c>
      <c r="D4081" s="21">
        <v>6.53</v>
      </c>
      <c r="E4081" s="21" t="s">
        <v>5796</v>
      </c>
      <c r="F4081" s="23"/>
      <c r="G4081" s="23">
        <f t="shared" si="15"/>
        <v>6.53</v>
      </c>
      <c r="H4081" s="23"/>
      <c r="I4081" s="23"/>
    </row>
    <row r="4082" spans="1:9">
      <c r="A4082" s="21" t="s">
        <v>9265</v>
      </c>
      <c r="B4082" s="21"/>
      <c r="C4082" s="22">
        <v>4067</v>
      </c>
      <c r="D4082" s="21">
        <v>6.52</v>
      </c>
      <c r="E4082" s="21" t="s">
        <v>5796</v>
      </c>
      <c r="F4082" s="23"/>
      <c r="G4082" s="23">
        <f t="shared" si="15"/>
        <v>6.52</v>
      </c>
      <c r="H4082" s="23"/>
      <c r="I4082" s="23"/>
    </row>
    <row r="4083" spans="1:9">
      <c r="A4083" s="21" t="s">
        <v>9266</v>
      </c>
      <c r="B4083" s="21"/>
      <c r="C4083" s="22">
        <v>4068</v>
      </c>
      <c r="D4083" s="21">
        <v>6.5</v>
      </c>
      <c r="E4083" s="21" t="s">
        <v>5796</v>
      </c>
      <c r="F4083" s="23"/>
      <c r="G4083" s="23">
        <f t="shared" ref="G4083:G4337" si="16">VALUE(SUBSTITUTE(D4083, ",", ""))</f>
        <v>6.5</v>
      </c>
      <c r="H4083" s="23"/>
      <c r="I4083" s="23"/>
    </row>
    <row r="4084" spans="1:9">
      <c r="A4084" s="21" t="s">
        <v>9267</v>
      </c>
      <c r="B4084" s="21"/>
      <c r="C4084" s="22">
        <v>4069</v>
      </c>
      <c r="D4084" s="21">
        <v>6.48</v>
      </c>
      <c r="E4084" s="21" t="s">
        <v>5796</v>
      </c>
      <c r="F4084" s="23"/>
      <c r="G4084" s="23">
        <f t="shared" si="16"/>
        <v>6.48</v>
      </c>
      <c r="H4084" s="23"/>
      <c r="I4084" s="23"/>
    </row>
    <row r="4085" spans="1:9">
      <c r="A4085" s="21" t="s">
        <v>9268</v>
      </c>
      <c r="B4085" s="21"/>
      <c r="C4085" s="22">
        <v>4070</v>
      </c>
      <c r="D4085" s="21">
        <v>6.47</v>
      </c>
      <c r="E4085" s="21" t="s">
        <v>5796</v>
      </c>
      <c r="F4085" s="23"/>
      <c r="G4085" s="23">
        <f t="shared" si="16"/>
        <v>6.47</v>
      </c>
      <c r="H4085" s="23"/>
      <c r="I4085" s="23"/>
    </row>
    <row r="4086" spans="1:9">
      <c r="A4086" s="21" t="s">
        <v>9269</v>
      </c>
      <c r="B4086" s="21"/>
      <c r="C4086" s="22">
        <v>4071</v>
      </c>
      <c r="D4086" s="21">
        <v>6.45</v>
      </c>
      <c r="E4086" s="21" t="s">
        <v>5796</v>
      </c>
      <c r="F4086" s="23"/>
      <c r="G4086" s="23">
        <f t="shared" si="16"/>
        <v>6.45</v>
      </c>
      <c r="H4086" s="23"/>
      <c r="I4086" s="23"/>
    </row>
    <row r="4087" spans="1:9">
      <c r="A4087" s="21" t="s">
        <v>9270</v>
      </c>
      <c r="B4087" s="21"/>
      <c r="C4087" s="22">
        <v>4072</v>
      </c>
      <c r="D4087" s="21">
        <v>6.44</v>
      </c>
      <c r="E4087" s="21" t="s">
        <v>5796</v>
      </c>
      <c r="F4087" s="23"/>
      <c r="G4087" s="23">
        <f t="shared" si="16"/>
        <v>6.44</v>
      </c>
      <c r="H4087" s="23"/>
      <c r="I4087" s="23"/>
    </row>
    <row r="4088" spans="1:9">
      <c r="A4088" s="21" t="s">
        <v>9271</v>
      </c>
      <c r="B4088" s="21"/>
      <c r="C4088" s="22">
        <v>4073</v>
      </c>
      <c r="D4088" s="21">
        <v>6.43</v>
      </c>
      <c r="E4088" s="21" t="s">
        <v>5796</v>
      </c>
      <c r="F4088" s="23"/>
      <c r="G4088" s="23">
        <f t="shared" si="16"/>
        <v>6.43</v>
      </c>
      <c r="H4088" s="23"/>
      <c r="I4088" s="23"/>
    </row>
    <row r="4089" spans="1:9">
      <c r="A4089" s="21" t="s">
        <v>9272</v>
      </c>
      <c r="B4089" s="21"/>
      <c r="C4089" s="22">
        <v>4074</v>
      </c>
      <c r="D4089" s="21">
        <v>6.42</v>
      </c>
      <c r="E4089" s="21" t="s">
        <v>5796</v>
      </c>
      <c r="F4089" s="23"/>
      <c r="G4089" s="23">
        <f t="shared" si="16"/>
        <v>6.42</v>
      </c>
      <c r="H4089" s="23"/>
      <c r="I4089" s="23"/>
    </row>
    <row r="4090" spans="1:9">
      <c r="A4090" s="21" t="s">
        <v>9273</v>
      </c>
      <c r="B4090" s="21"/>
      <c r="C4090" s="22">
        <v>4075</v>
      </c>
      <c r="D4090" s="21">
        <v>6.42</v>
      </c>
      <c r="E4090" s="21" t="s">
        <v>5796</v>
      </c>
      <c r="F4090" s="23"/>
      <c r="G4090" s="23">
        <f t="shared" si="16"/>
        <v>6.42</v>
      </c>
      <c r="H4090" s="23"/>
      <c r="I4090" s="23"/>
    </row>
    <row r="4091" spans="1:9">
      <c r="A4091" s="21" t="s">
        <v>9274</v>
      </c>
      <c r="B4091" s="21"/>
      <c r="C4091" s="22">
        <v>4076</v>
      </c>
      <c r="D4091" s="21">
        <v>6.41</v>
      </c>
      <c r="E4091" s="21" t="s">
        <v>5796</v>
      </c>
      <c r="F4091" s="23"/>
      <c r="G4091" s="23">
        <f t="shared" si="16"/>
        <v>6.41</v>
      </c>
      <c r="H4091" s="23"/>
      <c r="I4091" s="23"/>
    </row>
    <row r="4092" spans="1:9">
      <c r="A4092" s="21" t="s">
        <v>9275</v>
      </c>
      <c r="B4092" s="21"/>
      <c r="C4092" s="22">
        <v>4077</v>
      </c>
      <c r="D4092" s="21">
        <v>6.4</v>
      </c>
      <c r="E4092" s="21" t="s">
        <v>5796</v>
      </c>
      <c r="F4092" s="23"/>
      <c r="G4092" s="23">
        <f t="shared" si="16"/>
        <v>6.4</v>
      </c>
      <c r="H4092" s="23"/>
      <c r="I4092" s="23"/>
    </row>
    <row r="4093" spans="1:9">
      <c r="A4093" s="21" t="s">
        <v>9276</v>
      </c>
      <c r="B4093" s="21"/>
      <c r="C4093" s="22">
        <v>4078</v>
      </c>
      <c r="D4093" s="21">
        <v>6.4</v>
      </c>
      <c r="E4093" s="21" t="s">
        <v>5796</v>
      </c>
      <c r="F4093" s="23"/>
      <c r="G4093" s="23">
        <f t="shared" si="16"/>
        <v>6.4</v>
      </c>
      <c r="H4093" s="23"/>
      <c r="I4093" s="23"/>
    </row>
    <row r="4094" spans="1:9">
      <c r="A4094" s="21" t="s">
        <v>9277</v>
      </c>
      <c r="B4094" s="21"/>
      <c r="C4094" s="22">
        <v>4079</v>
      </c>
      <c r="D4094" s="21">
        <v>6.39</v>
      </c>
      <c r="E4094" s="21" t="s">
        <v>5796</v>
      </c>
      <c r="F4094" s="23"/>
      <c r="G4094" s="23">
        <f t="shared" si="16"/>
        <v>6.39</v>
      </c>
      <c r="H4094" s="23"/>
      <c r="I4094" s="23"/>
    </row>
    <row r="4095" spans="1:9">
      <c r="A4095" s="21" t="s">
        <v>9278</v>
      </c>
      <c r="B4095" s="21"/>
      <c r="C4095" s="22">
        <v>4080</v>
      </c>
      <c r="D4095" s="21">
        <v>6.38</v>
      </c>
      <c r="E4095" s="21" t="s">
        <v>5796</v>
      </c>
      <c r="F4095" s="23"/>
      <c r="G4095" s="23">
        <f t="shared" si="16"/>
        <v>6.38</v>
      </c>
      <c r="H4095" s="23"/>
      <c r="I4095" s="23"/>
    </row>
    <row r="4096" spans="1:9">
      <c r="A4096" s="21" t="s">
        <v>9279</v>
      </c>
      <c r="B4096" s="21"/>
      <c r="C4096" s="22">
        <v>4081</v>
      </c>
      <c r="D4096" s="21">
        <v>6.38</v>
      </c>
      <c r="E4096" s="21" t="s">
        <v>5796</v>
      </c>
      <c r="F4096" s="23"/>
      <c r="G4096" s="23">
        <f t="shared" si="16"/>
        <v>6.38</v>
      </c>
      <c r="H4096" s="23"/>
      <c r="I4096" s="23"/>
    </row>
    <row r="4097" spans="1:9">
      <c r="A4097" s="21" t="s">
        <v>9280</v>
      </c>
      <c r="B4097" s="21"/>
      <c r="C4097" s="22">
        <v>4082</v>
      </c>
      <c r="D4097" s="21">
        <v>6.37</v>
      </c>
      <c r="E4097" s="21" t="s">
        <v>5796</v>
      </c>
      <c r="F4097" s="23"/>
      <c r="G4097" s="23">
        <f t="shared" si="16"/>
        <v>6.37</v>
      </c>
      <c r="H4097" s="23"/>
      <c r="I4097" s="23"/>
    </row>
    <row r="4098" spans="1:9">
      <c r="A4098" s="21" t="s">
        <v>9281</v>
      </c>
      <c r="B4098" s="21"/>
      <c r="C4098" s="22">
        <v>4083</v>
      </c>
      <c r="D4098" s="21">
        <v>6.36</v>
      </c>
      <c r="E4098" s="21" t="s">
        <v>5796</v>
      </c>
      <c r="F4098" s="23"/>
      <c r="G4098" s="23">
        <f t="shared" si="16"/>
        <v>6.36</v>
      </c>
      <c r="H4098" s="23"/>
      <c r="I4098" s="23"/>
    </row>
    <row r="4099" spans="1:9">
      <c r="A4099" s="21" t="s">
        <v>9282</v>
      </c>
      <c r="B4099" s="21"/>
      <c r="C4099" s="22">
        <v>4084</v>
      </c>
      <c r="D4099" s="21">
        <v>6.36</v>
      </c>
      <c r="E4099" s="21" t="s">
        <v>5796</v>
      </c>
      <c r="F4099" s="23"/>
      <c r="G4099" s="23">
        <f t="shared" si="16"/>
        <v>6.36</v>
      </c>
      <c r="H4099" s="23"/>
      <c r="I4099" s="23"/>
    </row>
    <row r="4100" spans="1:9">
      <c r="A4100" s="21" t="s">
        <v>9283</v>
      </c>
      <c r="B4100" s="21"/>
      <c r="C4100" s="22">
        <v>4085</v>
      </c>
      <c r="D4100" s="21">
        <v>6.35</v>
      </c>
      <c r="E4100" s="21" t="s">
        <v>5796</v>
      </c>
      <c r="F4100" s="23"/>
      <c r="G4100" s="23">
        <f t="shared" si="16"/>
        <v>6.35</v>
      </c>
      <c r="H4100" s="23"/>
      <c r="I4100" s="23"/>
    </row>
    <row r="4101" spans="1:9">
      <c r="A4101" s="21" t="s">
        <v>9284</v>
      </c>
      <c r="B4101" s="21"/>
      <c r="C4101" s="22">
        <v>4087</v>
      </c>
      <c r="D4101" s="21">
        <v>6.34</v>
      </c>
      <c r="E4101" s="21" t="s">
        <v>5796</v>
      </c>
      <c r="F4101" s="23"/>
      <c r="G4101" s="23">
        <f t="shared" si="16"/>
        <v>6.34</v>
      </c>
      <c r="H4101" s="23"/>
      <c r="I4101" s="23"/>
    </row>
    <row r="4102" spans="1:9">
      <c r="A4102" s="21" t="s">
        <v>9285</v>
      </c>
      <c r="B4102" s="21"/>
      <c r="C4102" s="22">
        <v>4088</v>
      </c>
      <c r="D4102" s="21">
        <v>6.34</v>
      </c>
      <c r="E4102" s="21" t="s">
        <v>5796</v>
      </c>
      <c r="F4102" s="23"/>
      <c r="G4102" s="23">
        <f t="shared" si="16"/>
        <v>6.34</v>
      </c>
      <c r="H4102" s="23"/>
      <c r="I4102" s="23"/>
    </row>
    <row r="4103" spans="1:9">
      <c r="A4103" s="21" t="s">
        <v>9286</v>
      </c>
      <c r="B4103" s="21"/>
      <c r="C4103" s="22">
        <v>4089</v>
      </c>
      <c r="D4103" s="21">
        <v>6.34</v>
      </c>
      <c r="E4103" s="21" t="s">
        <v>5796</v>
      </c>
      <c r="F4103" s="23"/>
      <c r="G4103" s="23">
        <f t="shared" si="16"/>
        <v>6.34</v>
      </c>
      <c r="H4103" s="23"/>
      <c r="I4103" s="23"/>
    </row>
    <row r="4104" spans="1:9">
      <c r="A4104" s="21" t="s">
        <v>9287</v>
      </c>
      <c r="B4104" s="21"/>
      <c r="C4104" s="22">
        <v>4090</v>
      </c>
      <c r="D4104" s="21">
        <v>6.32</v>
      </c>
      <c r="E4104" s="21" t="s">
        <v>5796</v>
      </c>
      <c r="F4104" s="23"/>
      <c r="G4104" s="23">
        <f t="shared" si="16"/>
        <v>6.32</v>
      </c>
      <c r="H4104" s="23"/>
      <c r="I4104" s="23"/>
    </row>
    <row r="4105" spans="1:9">
      <c r="A4105" s="21" t="s">
        <v>9288</v>
      </c>
      <c r="B4105" s="21"/>
      <c r="C4105" s="22">
        <v>4091</v>
      </c>
      <c r="D4105" s="21">
        <v>6.3</v>
      </c>
      <c r="E4105" s="21" t="s">
        <v>5796</v>
      </c>
      <c r="F4105" s="23"/>
      <c r="G4105" s="23">
        <f t="shared" si="16"/>
        <v>6.3</v>
      </c>
      <c r="H4105" s="23"/>
      <c r="I4105" s="23"/>
    </row>
    <row r="4106" spans="1:9">
      <c r="A4106" s="21" t="s">
        <v>9289</v>
      </c>
      <c r="B4106" s="21"/>
      <c r="C4106" s="22">
        <v>4092</v>
      </c>
      <c r="D4106" s="21">
        <v>6.29</v>
      </c>
      <c r="E4106" s="21" t="s">
        <v>5796</v>
      </c>
      <c r="F4106" s="23"/>
      <c r="G4106" s="23">
        <f t="shared" si="16"/>
        <v>6.29</v>
      </c>
      <c r="H4106" s="23"/>
      <c r="I4106" s="23"/>
    </row>
    <row r="4107" spans="1:9">
      <c r="A4107" s="21" t="s">
        <v>9290</v>
      </c>
      <c r="B4107" s="21"/>
      <c r="C4107" s="22">
        <v>4093</v>
      </c>
      <c r="D4107" s="21">
        <v>6.28</v>
      </c>
      <c r="E4107" s="21" t="s">
        <v>5796</v>
      </c>
      <c r="F4107" s="23"/>
      <c r="G4107" s="23">
        <f t="shared" si="16"/>
        <v>6.28</v>
      </c>
      <c r="H4107" s="23"/>
      <c r="I4107" s="23"/>
    </row>
    <row r="4108" spans="1:9">
      <c r="A4108" s="21" t="s">
        <v>9291</v>
      </c>
      <c r="B4108" s="21"/>
      <c r="C4108" s="22">
        <v>4094</v>
      </c>
      <c r="D4108" s="21">
        <v>6.26</v>
      </c>
      <c r="E4108" s="21" t="s">
        <v>5796</v>
      </c>
      <c r="F4108" s="23"/>
      <c r="G4108" s="23">
        <f t="shared" si="16"/>
        <v>6.26</v>
      </c>
      <c r="H4108" s="23"/>
      <c r="I4108" s="23"/>
    </row>
    <row r="4109" spans="1:9">
      <c r="A4109" s="21" t="s">
        <v>9292</v>
      </c>
      <c r="B4109" s="21"/>
      <c r="C4109" s="22">
        <v>4095</v>
      </c>
      <c r="D4109" s="21">
        <v>6.25</v>
      </c>
      <c r="E4109" s="21" t="s">
        <v>5796</v>
      </c>
      <c r="F4109" s="23"/>
      <c r="G4109" s="23">
        <f t="shared" si="16"/>
        <v>6.25</v>
      </c>
      <c r="H4109" s="23"/>
      <c r="I4109" s="23"/>
    </row>
    <row r="4110" spans="1:9">
      <c r="A4110" s="21" t="s">
        <v>9293</v>
      </c>
      <c r="B4110" s="21"/>
      <c r="C4110" s="22">
        <v>4096</v>
      </c>
      <c r="D4110" s="21">
        <v>6.25</v>
      </c>
      <c r="E4110" s="21" t="s">
        <v>5796</v>
      </c>
      <c r="F4110" s="23"/>
      <c r="G4110" s="23">
        <f t="shared" si="16"/>
        <v>6.25</v>
      </c>
      <c r="H4110" s="23"/>
      <c r="I4110" s="23"/>
    </row>
    <row r="4111" spans="1:9">
      <c r="A4111" s="21" t="s">
        <v>9294</v>
      </c>
      <c r="B4111" s="21"/>
      <c r="C4111" s="22">
        <v>4097</v>
      </c>
      <c r="D4111" s="21">
        <v>6.23</v>
      </c>
      <c r="E4111" s="21" t="s">
        <v>5796</v>
      </c>
      <c r="F4111" s="23"/>
      <c r="G4111" s="23">
        <f t="shared" si="16"/>
        <v>6.23</v>
      </c>
      <c r="H4111" s="23"/>
      <c r="I4111" s="23"/>
    </row>
    <row r="4112" spans="1:9">
      <c r="A4112" s="21" t="s">
        <v>9295</v>
      </c>
      <c r="B4112" s="21"/>
      <c r="C4112" s="22">
        <v>4098</v>
      </c>
      <c r="D4112" s="21">
        <v>6.23</v>
      </c>
      <c r="E4112" s="21" t="s">
        <v>5796</v>
      </c>
      <c r="F4112" s="23"/>
      <c r="G4112" s="23">
        <f t="shared" si="16"/>
        <v>6.23</v>
      </c>
      <c r="H4112" s="23"/>
      <c r="I4112" s="23"/>
    </row>
    <row r="4113" spans="1:9">
      <c r="A4113" s="21" t="s">
        <v>9296</v>
      </c>
      <c r="B4113" s="21"/>
      <c r="C4113" s="22">
        <v>4099</v>
      </c>
      <c r="D4113" s="21">
        <v>6.21</v>
      </c>
      <c r="E4113" s="21" t="s">
        <v>5796</v>
      </c>
      <c r="F4113" s="23"/>
      <c r="G4113" s="23">
        <f t="shared" si="16"/>
        <v>6.21</v>
      </c>
      <c r="H4113" s="23"/>
      <c r="I4113" s="23"/>
    </row>
    <row r="4114" spans="1:9">
      <c r="A4114" s="21" t="s">
        <v>9297</v>
      </c>
      <c r="B4114" s="21"/>
      <c r="C4114" s="22">
        <v>4100</v>
      </c>
      <c r="D4114" s="21">
        <v>6.21</v>
      </c>
      <c r="E4114" s="21" t="s">
        <v>5796</v>
      </c>
      <c r="F4114" s="23"/>
      <c r="G4114" s="23">
        <f t="shared" si="16"/>
        <v>6.21</v>
      </c>
      <c r="H4114" s="23"/>
      <c r="I4114" s="23"/>
    </row>
    <row r="4115" spans="1:9">
      <c r="A4115" s="21" t="s">
        <v>9298</v>
      </c>
      <c r="B4115" s="21"/>
      <c r="C4115" s="22">
        <v>4101</v>
      </c>
      <c r="D4115" s="21">
        <v>6.2</v>
      </c>
      <c r="E4115" s="21" t="s">
        <v>5796</v>
      </c>
      <c r="F4115" s="23"/>
      <c r="G4115" s="23">
        <f t="shared" si="16"/>
        <v>6.2</v>
      </c>
      <c r="H4115" s="23"/>
      <c r="I4115" s="23"/>
    </row>
    <row r="4116" spans="1:9">
      <c r="A4116" s="21" t="s">
        <v>9299</v>
      </c>
      <c r="B4116" s="21"/>
      <c r="C4116" s="22">
        <v>4102</v>
      </c>
      <c r="D4116" s="21">
        <v>6.18</v>
      </c>
      <c r="E4116" s="21" t="s">
        <v>5796</v>
      </c>
      <c r="F4116" s="23"/>
      <c r="G4116" s="23">
        <f t="shared" si="16"/>
        <v>6.18</v>
      </c>
      <c r="H4116" s="23"/>
      <c r="I4116" s="23"/>
    </row>
    <row r="4117" spans="1:9">
      <c r="A4117" s="21" t="s">
        <v>9300</v>
      </c>
      <c r="B4117" s="21"/>
      <c r="C4117" s="22">
        <v>4103</v>
      </c>
      <c r="D4117" s="21">
        <v>6.17</v>
      </c>
      <c r="E4117" s="21" t="s">
        <v>5796</v>
      </c>
      <c r="F4117" s="23"/>
      <c r="G4117" s="23">
        <f t="shared" si="16"/>
        <v>6.17</v>
      </c>
      <c r="H4117" s="23"/>
      <c r="I4117" s="23"/>
    </row>
    <row r="4118" spans="1:9">
      <c r="A4118" s="21" t="s">
        <v>9301</v>
      </c>
      <c r="B4118" s="21"/>
      <c r="C4118" s="22">
        <v>4104</v>
      </c>
      <c r="D4118" s="21">
        <v>6.17</v>
      </c>
      <c r="E4118" s="21" t="s">
        <v>5796</v>
      </c>
      <c r="F4118" s="23"/>
      <c r="G4118" s="23">
        <f t="shared" si="16"/>
        <v>6.17</v>
      </c>
      <c r="H4118" s="23"/>
      <c r="I4118" s="23"/>
    </row>
    <row r="4119" spans="1:9">
      <c r="A4119" s="21" t="s">
        <v>9302</v>
      </c>
      <c r="B4119" s="21"/>
      <c r="C4119" s="22">
        <v>4105</v>
      </c>
      <c r="D4119" s="21">
        <v>6.17</v>
      </c>
      <c r="E4119" s="21" t="s">
        <v>5796</v>
      </c>
      <c r="F4119" s="23"/>
      <c r="G4119" s="23">
        <f t="shared" si="16"/>
        <v>6.17</v>
      </c>
      <c r="H4119" s="23"/>
      <c r="I4119" s="23"/>
    </row>
    <row r="4120" spans="1:9">
      <c r="A4120" s="21" t="s">
        <v>9303</v>
      </c>
      <c r="B4120" s="21"/>
      <c r="C4120" s="22">
        <v>4106</v>
      </c>
      <c r="D4120" s="21">
        <v>6.13</v>
      </c>
      <c r="E4120" s="21" t="s">
        <v>5796</v>
      </c>
      <c r="F4120" s="23"/>
      <c r="G4120" s="23">
        <f t="shared" si="16"/>
        <v>6.13</v>
      </c>
      <c r="H4120" s="23"/>
      <c r="I4120" s="23"/>
    </row>
    <row r="4121" spans="1:9">
      <c r="A4121" s="21" t="s">
        <v>9304</v>
      </c>
      <c r="B4121" s="21"/>
      <c r="C4121" s="22">
        <v>4107</v>
      </c>
      <c r="D4121" s="21">
        <v>6.12</v>
      </c>
      <c r="E4121" s="21" t="s">
        <v>5796</v>
      </c>
      <c r="F4121" s="23"/>
      <c r="G4121" s="23">
        <f t="shared" si="16"/>
        <v>6.12</v>
      </c>
      <c r="H4121" s="23"/>
      <c r="I4121" s="23"/>
    </row>
    <row r="4122" spans="1:9">
      <c r="A4122" s="21" t="s">
        <v>9305</v>
      </c>
      <c r="B4122" s="21"/>
      <c r="C4122" s="22">
        <v>4108</v>
      </c>
      <c r="D4122" s="21">
        <v>6.1</v>
      </c>
      <c r="E4122" s="21" t="s">
        <v>5796</v>
      </c>
      <c r="F4122" s="23"/>
      <c r="G4122" s="23">
        <f t="shared" si="16"/>
        <v>6.1</v>
      </c>
      <c r="H4122" s="23"/>
      <c r="I4122" s="23"/>
    </row>
    <row r="4123" spans="1:9">
      <c r="A4123" s="21" t="s">
        <v>9306</v>
      </c>
      <c r="B4123" s="21"/>
      <c r="C4123" s="22">
        <v>4109</v>
      </c>
      <c r="D4123" s="21">
        <v>6.1</v>
      </c>
      <c r="E4123" s="21" t="s">
        <v>5796</v>
      </c>
      <c r="F4123" s="23"/>
      <c r="G4123" s="23">
        <f t="shared" si="16"/>
        <v>6.1</v>
      </c>
      <c r="H4123" s="23"/>
      <c r="I4123" s="23"/>
    </row>
    <row r="4124" spans="1:9">
      <c r="A4124" s="21" t="s">
        <v>9307</v>
      </c>
      <c r="B4124" s="21"/>
      <c r="C4124" s="22">
        <v>4110</v>
      </c>
      <c r="D4124" s="21">
        <v>6.07</v>
      </c>
      <c r="E4124" s="21" t="s">
        <v>5796</v>
      </c>
      <c r="F4124" s="23"/>
      <c r="G4124" s="23">
        <f t="shared" si="16"/>
        <v>6.07</v>
      </c>
      <c r="H4124" s="23"/>
      <c r="I4124" s="23"/>
    </row>
    <row r="4125" spans="1:9">
      <c r="A4125" s="21" t="s">
        <v>9308</v>
      </c>
      <c r="B4125" s="21"/>
      <c r="C4125" s="22">
        <v>4111</v>
      </c>
      <c r="D4125" s="21">
        <v>6.05</v>
      </c>
      <c r="E4125" s="21" t="s">
        <v>5796</v>
      </c>
      <c r="F4125" s="23"/>
      <c r="G4125" s="23">
        <f t="shared" si="16"/>
        <v>6.05</v>
      </c>
      <c r="H4125" s="23"/>
      <c r="I4125" s="23"/>
    </row>
    <row r="4126" spans="1:9">
      <c r="A4126" s="21" t="s">
        <v>9309</v>
      </c>
      <c r="B4126" s="21"/>
      <c r="C4126" s="22">
        <v>4112</v>
      </c>
      <c r="D4126" s="21">
        <v>6.04</v>
      </c>
      <c r="E4126" s="21" t="s">
        <v>5796</v>
      </c>
      <c r="F4126" s="23"/>
      <c r="G4126" s="23">
        <f t="shared" si="16"/>
        <v>6.04</v>
      </c>
      <c r="H4126" s="23"/>
      <c r="I4126" s="23"/>
    </row>
    <row r="4127" spans="1:9">
      <c r="A4127" s="21" t="s">
        <v>9310</v>
      </c>
      <c r="B4127" s="21"/>
      <c r="C4127" s="22">
        <v>4113</v>
      </c>
      <c r="D4127" s="21">
        <v>6.04</v>
      </c>
      <c r="E4127" s="21" t="s">
        <v>5796</v>
      </c>
      <c r="F4127" s="23"/>
      <c r="G4127" s="23">
        <f t="shared" si="16"/>
        <v>6.04</v>
      </c>
      <c r="H4127" s="23"/>
      <c r="I4127" s="23"/>
    </row>
    <row r="4128" spans="1:9">
      <c r="A4128" s="21" t="s">
        <v>9311</v>
      </c>
      <c r="B4128" s="21"/>
      <c r="C4128" s="22">
        <v>4114</v>
      </c>
      <c r="D4128" s="21">
        <v>6.04</v>
      </c>
      <c r="E4128" s="21" t="s">
        <v>5796</v>
      </c>
      <c r="F4128" s="23"/>
      <c r="G4128" s="23">
        <f t="shared" si="16"/>
        <v>6.04</v>
      </c>
      <c r="H4128" s="23"/>
      <c r="I4128" s="23"/>
    </row>
    <row r="4129" spans="1:9">
      <c r="A4129" s="21" t="s">
        <v>9312</v>
      </c>
      <c r="B4129" s="21"/>
      <c r="C4129" s="22">
        <v>4115</v>
      </c>
      <c r="D4129" s="21">
        <v>6.02</v>
      </c>
      <c r="E4129" s="21" t="s">
        <v>5796</v>
      </c>
      <c r="F4129" s="23"/>
      <c r="G4129" s="23">
        <f t="shared" si="16"/>
        <v>6.02</v>
      </c>
      <c r="H4129" s="23"/>
      <c r="I4129" s="23"/>
    </row>
    <row r="4130" spans="1:9">
      <c r="A4130" s="21" t="s">
        <v>9313</v>
      </c>
      <c r="B4130" s="21"/>
      <c r="C4130" s="22">
        <v>4117</v>
      </c>
      <c r="D4130" s="21">
        <v>6.01</v>
      </c>
      <c r="E4130" s="21" t="s">
        <v>5796</v>
      </c>
      <c r="F4130" s="23"/>
      <c r="G4130" s="23">
        <f t="shared" si="16"/>
        <v>6.01</v>
      </c>
      <c r="H4130" s="23"/>
      <c r="I4130" s="23"/>
    </row>
    <row r="4131" spans="1:9">
      <c r="A4131" s="21" t="s">
        <v>9314</v>
      </c>
      <c r="B4131" s="21"/>
      <c r="C4131" s="22">
        <v>4118</v>
      </c>
      <c r="D4131" s="21">
        <v>6.01</v>
      </c>
      <c r="E4131" s="21" t="s">
        <v>5796</v>
      </c>
      <c r="F4131" s="23"/>
      <c r="G4131" s="23">
        <f t="shared" si="16"/>
        <v>6.01</v>
      </c>
      <c r="H4131" s="23"/>
      <c r="I4131" s="23"/>
    </row>
    <row r="4132" spans="1:9">
      <c r="A4132" s="21" t="s">
        <v>9315</v>
      </c>
      <c r="B4132" s="21"/>
      <c r="C4132" s="22">
        <v>4119</v>
      </c>
      <c r="D4132" s="21">
        <v>6.01</v>
      </c>
      <c r="E4132" s="21" t="s">
        <v>5796</v>
      </c>
      <c r="F4132" s="23"/>
      <c r="G4132" s="23">
        <f t="shared" si="16"/>
        <v>6.01</v>
      </c>
      <c r="H4132" s="23"/>
      <c r="I4132" s="23"/>
    </row>
    <row r="4133" spans="1:9">
      <c r="A4133" s="21" t="s">
        <v>9316</v>
      </c>
      <c r="B4133" s="21"/>
      <c r="C4133" s="22">
        <v>4120</v>
      </c>
      <c r="D4133" s="21">
        <v>6.01</v>
      </c>
      <c r="E4133" s="21" t="s">
        <v>5796</v>
      </c>
      <c r="F4133" s="23"/>
      <c r="G4133" s="23">
        <f t="shared" si="16"/>
        <v>6.01</v>
      </c>
      <c r="H4133" s="23"/>
      <c r="I4133" s="23"/>
    </row>
    <row r="4134" spans="1:9">
      <c r="A4134" s="21" t="s">
        <v>9317</v>
      </c>
      <c r="B4134" s="21"/>
      <c r="C4134" s="22">
        <v>4121</v>
      </c>
      <c r="D4134" s="21">
        <v>6</v>
      </c>
      <c r="E4134" s="21" t="s">
        <v>5796</v>
      </c>
      <c r="F4134" s="23"/>
      <c r="G4134" s="23">
        <f t="shared" si="16"/>
        <v>6</v>
      </c>
      <c r="H4134" s="23"/>
      <c r="I4134" s="23"/>
    </row>
    <row r="4135" spans="1:9">
      <c r="A4135" s="21" t="s">
        <v>9318</v>
      </c>
      <c r="B4135" s="21"/>
      <c r="C4135" s="22">
        <v>4122</v>
      </c>
      <c r="D4135" s="21">
        <v>6</v>
      </c>
      <c r="E4135" s="21" t="s">
        <v>5796</v>
      </c>
      <c r="F4135" s="23"/>
      <c r="G4135" s="23">
        <f t="shared" si="16"/>
        <v>6</v>
      </c>
      <c r="H4135" s="23"/>
      <c r="I4135" s="23"/>
    </row>
    <row r="4136" spans="1:9">
      <c r="A4136" s="21" t="s">
        <v>9319</v>
      </c>
      <c r="B4136" s="21"/>
      <c r="C4136" s="22">
        <v>4123</v>
      </c>
      <c r="D4136" s="21">
        <v>5.99</v>
      </c>
      <c r="E4136" s="21" t="s">
        <v>5796</v>
      </c>
      <c r="F4136" s="23"/>
      <c r="G4136" s="23">
        <f t="shared" si="16"/>
        <v>5.99</v>
      </c>
      <c r="H4136" s="23"/>
      <c r="I4136" s="23"/>
    </row>
    <row r="4137" spans="1:9">
      <c r="A4137" s="21" t="s">
        <v>9320</v>
      </c>
      <c r="B4137" s="21"/>
      <c r="C4137" s="22">
        <v>4124</v>
      </c>
      <c r="D4137" s="21">
        <v>5.96</v>
      </c>
      <c r="E4137" s="21" t="s">
        <v>5796</v>
      </c>
      <c r="F4137" s="23"/>
      <c r="G4137" s="23">
        <f t="shared" si="16"/>
        <v>5.96</v>
      </c>
      <c r="H4137" s="23"/>
      <c r="I4137" s="23"/>
    </row>
    <row r="4138" spans="1:9">
      <c r="A4138" s="21" t="s">
        <v>9321</v>
      </c>
      <c r="B4138" s="21"/>
      <c r="C4138" s="22">
        <v>4125</v>
      </c>
      <c r="D4138" s="21">
        <v>5.96</v>
      </c>
      <c r="E4138" s="21" t="s">
        <v>5796</v>
      </c>
      <c r="F4138" s="23"/>
      <c r="G4138" s="23">
        <f t="shared" si="16"/>
        <v>5.96</v>
      </c>
      <c r="H4138" s="23"/>
      <c r="I4138" s="23"/>
    </row>
    <row r="4139" spans="1:9">
      <c r="A4139" s="21" t="s">
        <v>9322</v>
      </c>
      <c r="B4139" s="21"/>
      <c r="C4139" s="22">
        <v>4126</v>
      </c>
      <c r="D4139" s="21">
        <v>5.94</v>
      </c>
      <c r="E4139" s="21" t="s">
        <v>5796</v>
      </c>
      <c r="F4139" s="23"/>
      <c r="G4139" s="23">
        <f t="shared" si="16"/>
        <v>5.94</v>
      </c>
      <c r="H4139" s="23"/>
      <c r="I4139" s="23"/>
    </row>
    <row r="4140" spans="1:9">
      <c r="A4140" s="21" t="s">
        <v>9323</v>
      </c>
      <c r="B4140" s="21"/>
      <c r="C4140" s="22">
        <v>4127</v>
      </c>
      <c r="D4140" s="21">
        <v>5.91</v>
      </c>
      <c r="E4140" s="21" t="s">
        <v>5796</v>
      </c>
      <c r="F4140" s="23"/>
      <c r="G4140" s="23">
        <f t="shared" si="16"/>
        <v>5.91</v>
      </c>
      <c r="H4140" s="23"/>
      <c r="I4140" s="23"/>
    </row>
    <row r="4141" spans="1:9">
      <c r="A4141" s="21" t="s">
        <v>9324</v>
      </c>
      <c r="B4141" s="21"/>
      <c r="C4141" s="22">
        <v>4128</v>
      </c>
      <c r="D4141" s="21">
        <v>5.9</v>
      </c>
      <c r="E4141" s="21" t="s">
        <v>5796</v>
      </c>
      <c r="F4141" s="23"/>
      <c r="G4141" s="23">
        <f t="shared" si="16"/>
        <v>5.9</v>
      </c>
      <c r="H4141" s="23"/>
      <c r="I4141" s="23"/>
    </row>
    <row r="4142" spans="1:9">
      <c r="A4142" s="21" t="s">
        <v>9325</v>
      </c>
      <c r="B4142" s="21"/>
      <c r="C4142" s="22">
        <v>4129</v>
      </c>
      <c r="D4142" s="21">
        <v>5.9</v>
      </c>
      <c r="E4142" s="21" t="s">
        <v>5796</v>
      </c>
      <c r="F4142" s="23"/>
      <c r="G4142" s="23">
        <f t="shared" si="16"/>
        <v>5.9</v>
      </c>
      <c r="H4142" s="23"/>
      <c r="I4142" s="23"/>
    </row>
    <row r="4143" spans="1:9">
      <c r="A4143" s="21" t="s">
        <v>9326</v>
      </c>
      <c r="B4143" s="21"/>
      <c r="C4143" s="22">
        <v>4130</v>
      </c>
      <c r="D4143" s="21">
        <v>5.9</v>
      </c>
      <c r="E4143" s="21" t="s">
        <v>5796</v>
      </c>
      <c r="F4143" s="23"/>
      <c r="G4143" s="23">
        <f t="shared" si="16"/>
        <v>5.9</v>
      </c>
      <c r="H4143" s="23"/>
      <c r="I4143" s="23"/>
    </row>
    <row r="4144" spans="1:9">
      <c r="A4144" s="21" t="s">
        <v>9327</v>
      </c>
      <c r="B4144" s="21"/>
      <c r="C4144" s="22">
        <v>4131</v>
      </c>
      <c r="D4144" s="21">
        <v>5.9</v>
      </c>
      <c r="E4144" s="21" t="s">
        <v>5796</v>
      </c>
      <c r="F4144" s="23"/>
      <c r="G4144" s="23">
        <f t="shared" si="16"/>
        <v>5.9</v>
      </c>
      <c r="H4144" s="23"/>
      <c r="I4144" s="23"/>
    </row>
    <row r="4145" spans="1:9">
      <c r="A4145" s="21" t="s">
        <v>9328</v>
      </c>
      <c r="B4145" s="21"/>
      <c r="C4145" s="22">
        <v>4132</v>
      </c>
      <c r="D4145" s="21">
        <v>5.9</v>
      </c>
      <c r="E4145" s="21" t="s">
        <v>5796</v>
      </c>
      <c r="F4145" s="23"/>
      <c r="G4145" s="23">
        <f t="shared" si="16"/>
        <v>5.9</v>
      </c>
      <c r="H4145" s="23"/>
      <c r="I4145" s="23"/>
    </row>
    <row r="4146" spans="1:9">
      <c r="A4146" s="21" t="s">
        <v>9329</v>
      </c>
      <c r="B4146" s="21"/>
      <c r="C4146" s="22">
        <v>4133</v>
      </c>
      <c r="D4146" s="21">
        <v>5.89</v>
      </c>
      <c r="E4146" s="21" t="s">
        <v>5796</v>
      </c>
      <c r="F4146" s="23"/>
      <c r="G4146" s="23">
        <f t="shared" si="16"/>
        <v>5.89</v>
      </c>
      <c r="H4146" s="23"/>
      <c r="I4146" s="23"/>
    </row>
    <row r="4147" spans="1:9">
      <c r="A4147" s="21" t="s">
        <v>9330</v>
      </c>
      <c r="B4147" s="21"/>
      <c r="C4147" s="22">
        <v>4134</v>
      </c>
      <c r="D4147" s="21">
        <v>5.88</v>
      </c>
      <c r="E4147" s="21" t="s">
        <v>5796</v>
      </c>
      <c r="F4147" s="23"/>
      <c r="G4147" s="23">
        <f t="shared" si="16"/>
        <v>5.88</v>
      </c>
      <c r="H4147" s="23"/>
      <c r="I4147" s="23"/>
    </row>
    <row r="4148" spans="1:9">
      <c r="A4148" s="21" t="s">
        <v>9331</v>
      </c>
      <c r="B4148" s="21"/>
      <c r="C4148" s="22">
        <v>4135</v>
      </c>
      <c r="D4148" s="21">
        <v>5.88</v>
      </c>
      <c r="E4148" s="21" t="s">
        <v>5796</v>
      </c>
      <c r="F4148" s="23"/>
      <c r="G4148" s="23">
        <f t="shared" si="16"/>
        <v>5.88</v>
      </c>
      <c r="H4148" s="23"/>
      <c r="I4148" s="23"/>
    </row>
    <row r="4149" spans="1:9">
      <c r="A4149" s="21" t="s">
        <v>9332</v>
      </c>
      <c r="B4149" s="21"/>
      <c r="C4149" s="22">
        <v>4136</v>
      </c>
      <c r="D4149" s="21">
        <v>5.87</v>
      </c>
      <c r="E4149" s="21" t="s">
        <v>5796</v>
      </c>
      <c r="F4149" s="23"/>
      <c r="G4149" s="23">
        <f t="shared" si="16"/>
        <v>5.87</v>
      </c>
      <c r="H4149" s="23"/>
      <c r="I4149" s="23"/>
    </row>
    <row r="4150" spans="1:9">
      <c r="A4150" s="21" t="s">
        <v>9333</v>
      </c>
      <c r="B4150" s="21"/>
      <c r="C4150" s="22">
        <v>4137</v>
      </c>
      <c r="D4150" s="21">
        <v>5.86</v>
      </c>
      <c r="E4150" s="21" t="s">
        <v>5796</v>
      </c>
      <c r="F4150" s="23"/>
      <c r="G4150" s="23">
        <f t="shared" si="16"/>
        <v>5.86</v>
      </c>
      <c r="H4150" s="23"/>
      <c r="I4150" s="23"/>
    </row>
    <row r="4151" spans="1:9">
      <c r="A4151" s="21" t="s">
        <v>9334</v>
      </c>
      <c r="B4151" s="21"/>
      <c r="C4151" s="22">
        <v>4138</v>
      </c>
      <c r="D4151" s="21">
        <v>5.86</v>
      </c>
      <c r="E4151" s="21" t="s">
        <v>5796</v>
      </c>
      <c r="F4151" s="23"/>
      <c r="G4151" s="23">
        <f t="shared" si="16"/>
        <v>5.86</v>
      </c>
      <c r="H4151" s="23"/>
      <c r="I4151" s="23"/>
    </row>
    <row r="4152" spans="1:9">
      <c r="A4152" s="21" t="s">
        <v>9335</v>
      </c>
      <c r="B4152" s="21"/>
      <c r="C4152" s="22">
        <v>4139</v>
      </c>
      <c r="D4152" s="21">
        <v>5.86</v>
      </c>
      <c r="E4152" s="21" t="s">
        <v>5796</v>
      </c>
      <c r="F4152" s="23"/>
      <c r="G4152" s="23">
        <f t="shared" si="16"/>
        <v>5.86</v>
      </c>
      <c r="H4152" s="23"/>
      <c r="I4152" s="23"/>
    </row>
    <row r="4153" spans="1:9">
      <c r="A4153" s="21" t="s">
        <v>9336</v>
      </c>
      <c r="B4153" s="21"/>
      <c r="C4153" s="22">
        <v>4140</v>
      </c>
      <c r="D4153" s="21">
        <v>5.86</v>
      </c>
      <c r="E4153" s="21" t="s">
        <v>5796</v>
      </c>
      <c r="F4153" s="23"/>
      <c r="G4153" s="23">
        <f t="shared" si="16"/>
        <v>5.86</v>
      </c>
      <c r="H4153" s="23"/>
      <c r="I4153" s="23"/>
    </row>
    <row r="4154" spans="1:9">
      <c r="A4154" s="21" t="s">
        <v>9337</v>
      </c>
      <c r="B4154" s="21"/>
      <c r="C4154" s="22">
        <v>4141</v>
      </c>
      <c r="D4154" s="21">
        <v>5.85</v>
      </c>
      <c r="E4154" s="21" t="s">
        <v>5796</v>
      </c>
      <c r="F4154" s="23"/>
      <c r="G4154" s="23">
        <f t="shared" si="16"/>
        <v>5.85</v>
      </c>
      <c r="H4154" s="23"/>
      <c r="I4154" s="23"/>
    </row>
    <row r="4155" spans="1:9">
      <c r="A4155" s="21" t="s">
        <v>9338</v>
      </c>
      <c r="B4155" s="21"/>
      <c r="C4155" s="22">
        <v>4142</v>
      </c>
      <c r="D4155" s="21">
        <v>5.85</v>
      </c>
      <c r="E4155" s="21" t="s">
        <v>5796</v>
      </c>
      <c r="F4155" s="23"/>
      <c r="G4155" s="23">
        <f t="shared" si="16"/>
        <v>5.85</v>
      </c>
      <c r="H4155" s="23"/>
      <c r="I4155" s="23"/>
    </row>
    <row r="4156" spans="1:9">
      <c r="A4156" s="21" t="s">
        <v>9339</v>
      </c>
      <c r="B4156" s="21"/>
      <c r="C4156" s="22">
        <v>4143</v>
      </c>
      <c r="D4156" s="21">
        <v>5.84</v>
      </c>
      <c r="E4156" s="21" t="s">
        <v>5796</v>
      </c>
      <c r="F4156" s="23"/>
      <c r="G4156" s="23">
        <f t="shared" si="16"/>
        <v>5.84</v>
      </c>
      <c r="H4156" s="23"/>
      <c r="I4156" s="23"/>
    </row>
    <row r="4157" spans="1:9">
      <c r="A4157" s="21" t="s">
        <v>9340</v>
      </c>
      <c r="B4157" s="21"/>
      <c r="C4157" s="22">
        <v>4144</v>
      </c>
      <c r="D4157" s="21">
        <v>5.83</v>
      </c>
      <c r="E4157" s="21" t="s">
        <v>5796</v>
      </c>
      <c r="F4157" s="23"/>
      <c r="G4157" s="23">
        <f t="shared" si="16"/>
        <v>5.83</v>
      </c>
      <c r="H4157" s="23"/>
      <c r="I4157" s="23"/>
    </row>
    <row r="4158" spans="1:9">
      <c r="A4158" s="21" t="s">
        <v>9341</v>
      </c>
      <c r="B4158" s="21"/>
      <c r="C4158" s="22">
        <v>4145</v>
      </c>
      <c r="D4158" s="21">
        <v>5.82</v>
      </c>
      <c r="E4158" s="21" t="s">
        <v>5796</v>
      </c>
      <c r="F4158" s="23"/>
      <c r="G4158" s="23">
        <f t="shared" si="16"/>
        <v>5.82</v>
      </c>
      <c r="H4158" s="23"/>
      <c r="I4158" s="23"/>
    </row>
    <row r="4159" spans="1:9">
      <c r="A4159" s="21" t="s">
        <v>9342</v>
      </c>
      <c r="B4159" s="21"/>
      <c r="C4159" s="22">
        <v>4146</v>
      </c>
      <c r="D4159" s="21">
        <v>5.8</v>
      </c>
      <c r="E4159" s="21" t="s">
        <v>5796</v>
      </c>
      <c r="F4159" s="23"/>
      <c r="G4159" s="23">
        <f t="shared" si="16"/>
        <v>5.8</v>
      </c>
      <c r="H4159" s="23"/>
      <c r="I4159" s="23"/>
    </row>
    <row r="4160" spans="1:9">
      <c r="A4160" s="21" t="s">
        <v>9343</v>
      </c>
      <c r="B4160" s="21"/>
      <c r="C4160" s="22">
        <v>4147</v>
      </c>
      <c r="D4160" s="21">
        <v>5.79</v>
      </c>
      <c r="E4160" s="21" t="s">
        <v>5796</v>
      </c>
      <c r="F4160" s="23"/>
      <c r="G4160" s="23">
        <f t="shared" si="16"/>
        <v>5.79</v>
      </c>
      <c r="H4160" s="23"/>
      <c r="I4160" s="23"/>
    </row>
    <row r="4161" spans="1:9">
      <c r="A4161" s="21" t="s">
        <v>9344</v>
      </c>
      <c r="B4161" s="21"/>
      <c r="C4161" s="22">
        <v>4148</v>
      </c>
      <c r="D4161" s="21">
        <v>5.78</v>
      </c>
      <c r="E4161" s="21" t="s">
        <v>5796</v>
      </c>
      <c r="F4161" s="23"/>
      <c r="G4161" s="23">
        <f t="shared" si="16"/>
        <v>5.78</v>
      </c>
      <c r="H4161" s="23"/>
      <c r="I4161" s="23"/>
    </row>
    <row r="4162" spans="1:9">
      <c r="A4162" s="21" t="s">
        <v>9345</v>
      </c>
      <c r="B4162" s="21"/>
      <c r="C4162" s="22">
        <v>4149</v>
      </c>
      <c r="D4162" s="21">
        <v>5.78</v>
      </c>
      <c r="E4162" s="21" t="s">
        <v>5796</v>
      </c>
      <c r="F4162" s="23"/>
      <c r="G4162" s="23">
        <f t="shared" si="16"/>
        <v>5.78</v>
      </c>
      <c r="H4162" s="23"/>
      <c r="I4162" s="23"/>
    </row>
    <row r="4163" spans="1:9">
      <c r="A4163" s="21" t="s">
        <v>9346</v>
      </c>
      <c r="B4163" s="21"/>
      <c r="C4163" s="22">
        <v>4150</v>
      </c>
      <c r="D4163" s="21">
        <v>5.78</v>
      </c>
      <c r="E4163" s="21" t="s">
        <v>5796</v>
      </c>
      <c r="F4163" s="23"/>
      <c r="G4163" s="23">
        <f t="shared" si="16"/>
        <v>5.78</v>
      </c>
      <c r="H4163" s="23"/>
      <c r="I4163" s="23"/>
    </row>
    <row r="4164" spans="1:9">
      <c r="A4164" s="21" t="s">
        <v>9347</v>
      </c>
      <c r="B4164" s="21"/>
      <c r="C4164" s="22">
        <v>4151</v>
      </c>
      <c r="D4164" s="21">
        <v>5.77</v>
      </c>
      <c r="E4164" s="21" t="s">
        <v>5796</v>
      </c>
      <c r="F4164" s="23"/>
      <c r="G4164" s="23">
        <f t="shared" si="16"/>
        <v>5.77</v>
      </c>
      <c r="H4164" s="23"/>
      <c r="I4164" s="23"/>
    </row>
    <row r="4165" spans="1:9">
      <c r="A4165" s="21" t="s">
        <v>9348</v>
      </c>
      <c r="B4165" s="21"/>
      <c r="C4165" s="22">
        <v>4152</v>
      </c>
      <c r="D4165" s="21">
        <v>5.77</v>
      </c>
      <c r="E4165" s="21" t="s">
        <v>5796</v>
      </c>
      <c r="F4165" s="23"/>
      <c r="G4165" s="23">
        <f t="shared" si="16"/>
        <v>5.77</v>
      </c>
      <c r="H4165" s="23"/>
      <c r="I4165" s="23"/>
    </row>
    <row r="4166" spans="1:9">
      <c r="A4166" s="21" t="s">
        <v>9349</v>
      </c>
      <c r="B4166" s="21"/>
      <c r="C4166" s="22">
        <v>4153</v>
      </c>
      <c r="D4166" s="21">
        <v>5.76</v>
      </c>
      <c r="E4166" s="21" t="s">
        <v>5796</v>
      </c>
      <c r="F4166" s="23"/>
      <c r="G4166" s="23">
        <f t="shared" si="16"/>
        <v>5.76</v>
      </c>
      <c r="H4166" s="23"/>
      <c r="I4166" s="23"/>
    </row>
    <row r="4167" spans="1:9">
      <c r="A4167" s="21" t="s">
        <v>9350</v>
      </c>
      <c r="B4167" s="21"/>
      <c r="C4167" s="22">
        <v>4154</v>
      </c>
      <c r="D4167" s="21">
        <v>5.74</v>
      </c>
      <c r="E4167" s="21" t="s">
        <v>5796</v>
      </c>
      <c r="F4167" s="23"/>
      <c r="G4167" s="23">
        <f t="shared" si="16"/>
        <v>5.74</v>
      </c>
      <c r="H4167" s="23"/>
      <c r="I4167" s="23"/>
    </row>
    <row r="4168" spans="1:9">
      <c r="A4168" s="21" t="s">
        <v>9351</v>
      </c>
      <c r="B4168" s="21"/>
      <c r="C4168" s="22">
        <v>4155</v>
      </c>
      <c r="D4168" s="21">
        <v>5.72</v>
      </c>
      <c r="E4168" s="21" t="s">
        <v>5796</v>
      </c>
      <c r="F4168" s="23"/>
      <c r="G4168" s="23">
        <f t="shared" si="16"/>
        <v>5.72</v>
      </c>
      <c r="H4168" s="23"/>
      <c r="I4168" s="23"/>
    </row>
    <row r="4169" spans="1:9">
      <c r="A4169" s="21" t="s">
        <v>9352</v>
      </c>
      <c r="B4169" s="21"/>
      <c r="C4169" s="22">
        <v>4156</v>
      </c>
      <c r="D4169" s="21">
        <v>5.72</v>
      </c>
      <c r="E4169" s="21" t="s">
        <v>5796</v>
      </c>
      <c r="F4169" s="23"/>
      <c r="G4169" s="23">
        <f t="shared" si="16"/>
        <v>5.72</v>
      </c>
      <c r="H4169" s="23"/>
      <c r="I4169" s="23"/>
    </row>
    <row r="4170" spans="1:9">
      <c r="A4170" s="21" t="s">
        <v>9353</v>
      </c>
      <c r="B4170" s="21"/>
      <c r="C4170" s="22">
        <v>4157</v>
      </c>
      <c r="D4170" s="21">
        <v>5.72</v>
      </c>
      <c r="E4170" s="21" t="s">
        <v>5796</v>
      </c>
      <c r="F4170" s="23"/>
      <c r="G4170" s="23">
        <f t="shared" si="16"/>
        <v>5.72</v>
      </c>
      <c r="H4170" s="23"/>
      <c r="I4170" s="23"/>
    </row>
    <row r="4171" spans="1:9">
      <c r="A4171" s="21" t="s">
        <v>9354</v>
      </c>
      <c r="B4171" s="21"/>
      <c r="C4171" s="22">
        <v>4158</v>
      </c>
      <c r="D4171" s="21">
        <v>5.72</v>
      </c>
      <c r="E4171" s="21" t="s">
        <v>5796</v>
      </c>
      <c r="F4171" s="23"/>
      <c r="G4171" s="23">
        <f t="shared" si="16"/>
        <v>5.72</v>
      </c>
      <c r="H4171" s="23"/>
      <c r="I4171" s="23"/>
    </row>
    <row r="4172" spans="1:9">
      <c r="A4172" s="21" t="s">
        <v>9355</v>
      </c>
      <c r="B4172" s="21"/>
      <c r="C4172" s="22">
        <v>4159</v>
      </c>
      <c r="D4172" s="21">
        <v>5.7</v>
      </c>
      <c r="E4172" s="21" t="s">
        <v>5796</v>
      </c>
      <c r="F4172" s="23"/>
      <c r="G4172" s="23">
        <f t="shared" si="16"/>
        <v>5.7</v>
      </c>
      <c r="H4172" s="23"/>
      <c r="I4172" s="23"/>
    </row>
    <row r="4173" spans="1:9">
      <c r="A4173" s="21" t="s">
        <v>9356</v>
      </c>
      <c r="B4173" s="21"/>
      <c r="C4173" s="22">
        <v>4160</v>
      </c>
      <c r="D4173" s="21">
        <v>5.69</v>
      </c>
      <c r="E4173" s="21" t="s">
        <v>5796</v>
      </c>
      <c r="F4173" s="23"/>
      <c r="G4173" s="23">
        <f t="shared" si="16"/>
        <v>5.69</v>
      </c>
      <c r="H4173" s="23"/>
      <c r="I4173" s="23"/>
    </row>
    <row r="4174" spans="1:9">
      <c r="A4174" s="21" t="s">
        <v>9357</v>
      </c>
      <c r="B4174" s="21"/>
      <c r="C4174" s="22">
        <v>4161</v>
      </c>
      <c r="D4174" s="21">
        <v>5.67</v>
      </c>
      <c r="E4174" s="21" t="s">
        <v>5796</v>
      </c>
      <c r="F4174" s="23"/>
      <c r="G4174" s="23">
        <f t="shared" si="16"/>
        <v>5.67</v>
      </c>
      <c r="H4174" s="23"/>
      <c r="I4174" s="23"/>
    </row>
    <row r="4175" spans="1:9">
      <c r="A4175" s="21" t="s">
        <v>9358</v>
      </c>
      <c r="B4175" s="21"/>
      <c r="C4175" s="22">
        <v>4162</v>
      </c>
      <c r="D4175" s="21">
        <v>5.66</v>
      </c>
      <c r="E4175" s="21" t="s">
        <v>5796</v>
      </c>
      <c r="F4175" s="23"/>
      <c r="G4175" s="23">
        <f t="shared" si="16"/>
        <v>5.66</v>
      </c>
      <c r="H4175" s="23"/>
      <c r="I4175" s="23"/>
    </row>
    <row r="4176" spans="1:9">
      <c r="A4176" s="21" t="s">
        <v>9359</v>
      </c>
      <c r="B4176" s="21"/>
      <c r="C4176" s="22">
        <v>4163</v>
      </c>
      <c r="D4176" s="21">
        <v>5.66</v>
      </c>
      <c r="E4176" s="21" t="s">
        <v>5796</v>
      </c>
      <c r="F4176" s="23"/>
      <c r="G4176" s="23">
        <f t="shared" si="16"/>
        <v>5.66</v>
      </c>
      <c r="H4176" s="23"/>
      <c r="I4176" s="23"/>
    </row>
    <row r="4177" spans="1:9">
      <c r="A4177" s="21" t="s">
        <v>9360</v>
      </c>
      <c r="B4177" s="21"/>
      <c r="C4177" s="22">
        <v>4164</v>
      </c>
      <c r="D4177" s="21">
        <v>5.66</v>
      </c>
      <c r="E4177" s="21" t="s">
        <v>5796</v>
      </c>
      <c r="F4177" s="23"/>
      <c r="G4177" s="23">
        <f t="shared" si="16"/>
        <v>5.66</v>
      </c>
      <c r="H4177" s="23"/>
      <c r="I4177" s="23"/>
    </row>
    <row r="4178" spans="1:9">
      <c r="A4178" s="21" t="s">
        <v>9361</v>
      </c>
      <c r="B4178" s="21"/>
      <c r="C4178" s="22">
        <v>4165</v>
      </c>
      <c r="D4178" s="21">
        <v>5.62</v>
      </c>
      <c r="E4178" s="21" t="s">
        <v>5796</v>
      </c>
      <c r="F4178" s="23"/>
      <c r="G4178" s="23">
        <f t="shared" si="16"/>
        <v>5.62</v>
      </c>
      <c r="H4178" s="23"/>
      <c r="I4178" s="23"/>
    </row>
    <row r="4179" spans="1:9">
      <c r="A4179" s="21" t="s">
        <v>9362</v>
      </c>
      <c r="B4179" s="21"/>
      <c r="C4179" s="22">
        <v>4166</v>
      </c>
      <c r="D4179" s="21">
        <v>5.62</v>
      </c>
      <c r="E4179" s="21" t="s">
        <v>5796</v>
      </c>
      <c r="F4179" s="23"/>
      <c r="G4179" s="23">
        <f t="shared" si="16"/>
        <v>5.62</v>
      </c>
      <c r="H4179" s="23"/>
      <c r="I4179" s="23"/>
    </row>
    <row r="4180" spans="1:9">
      <c r="A4180" s="21" t="s">
        <v>9363</v>
      </c>
      <c r="B4180" s="21"/>
      <c r="C4180" s="22">
        <v>4167</v>
      </c>
      <c r="D4180" s="21">
        <v>5.6</v>
      </c>
      <c r="E4180" s="21" t="s">
        <v>5796</v>
      </c>
      <c r="F4180" s="23"/>
      <c r="G4180" s="23">
        <f t="shared" si="16"/>
        <v>5.6</v>
      </c>
      <c r="H4180" s="23"/>
      <c r="I4180" s="23"/>
    </row>
    <row r="4181" spans="1:9">
      <c r="A4181" s="21" t="s">
        <v>9364</v>
      </c>
      <c r="B4181" s="21"/>
      <c r="C4181" s="22">
        <v>4168</v>
      </c>
      <c r="D4181" s="21">
        <v>5.59</v>
      </c>
      <c r="E4181" s="21" t="s">
        <v>5796</v>
      </c>
      <c r="F4181" s="23"/>
      <c r="G4181" s="23">
        <f t="shared" si="16"/>
        <v>5.59</v>
      </c>
      <c r="H4181" s="23"/>
      <c r="I4181" s="23"/>
    </row>
    <row r="4182" spans="1:9">
      <c r="A4182" s="21" t="s">
        <v>9365</v>
      </c>
      <c r="B4182" s="21"/>
      <c r="C4182" s="22">
        <v>4169</v>
      </c>
      <c r="D4182" s="21">
        <v>5.58</v>
      </c>
      <c r="E4182" s="21" t="s">
        <v>5796</v>
      </c>
      <c r="F4182" s="23"/>
      <c r="G4182" s="23">
        <f t="shared" si="16"/>
        <v>5.58</v>
      </c>
      <c r="H4182" s="23"/>
      <c r="I4182" s="23"/>
    </row>
    <row r="4183" spans="1:9">
      <c r="A4183" s="21" t="s">
        <v>9366</v>
      </c>
      <c r="B4183" s="21"/>
      <c r="C4183" s="22">
        <v>4170</v>
      </c>
      <c r="D4183" s="21">
        <v>5.57</v>
      </c>
      <c r="E4183" s="21" t="s">
        <v>5796</v>
      </c>
      <c r="F4183" s="23"/>
      <c r="G4183" s="23">
        <f t="shared" si="16"/>
        <v>5.57</v>
      </c>
      <c r="H4183" s="23"/>
      <c r="I4183" s="23"/>
    </row>
    <row r="4184" spans="1:9">
      <c r="A4184" s="21" t="s">
        <v>9367</v>
      </c>
      <c r="B4184" s="21"/>
      <c r="C4184" s="22">
        <v>4171</v>
      </c>
      <c r="D4184" s="21">
        <v>5.57</v>
      </c>
      <c r="E4184" s="21" t="s">
        <v>5796</v>
      </c>
      <c r="F4184" s="23"/>
      <c r="G4184" s="23">
        <f t="shared" si="16"/>
        <v>5.57</v>
      </c>
      <c r="H4184" s="23"/>
      <c r="I4184" s="23"/>
    </row>
    <row r="4185" spans="1:9">
      <c r="A4185" s="21" t="s">
        <v>9368</v>
      </c>
      <c r="B4185" s="21"/>
      <c r="C4185" s="22">
        <v>4172</v>
      </c>
      <c r="D4185" s="21">
        <v>5.57</v>
      </c>
      <c r="E4185" s="21" t="s">
        <v>5796</v>
      </c>
      <c r="F4185" s="23"/>
      <c r="G4185" s="23">
        <f t="shared" si="16"/>
        <v>5.57</v>
      </c>
      <c r="H4185" s="23"/>
      <c r="I4185" s="23"/>
    </row>
    <row r="4186" spans="1:9">
      <c r="A4186" s="21" t="s">
        <v>9369</v>
      </c>
      <c r="B4186" s="21"/>
      <c r="C4186" s="22">
        <v>4173</v>
      </c>
      <c r="D4186" s="21">
        <v>5.55</v>
      </c>
      <c r="E4186" s="21" t="s">
        <v>5796</v>
      </c>
      <c r="F4186" s="23"/>
      <c r="G4186" s="23">
        <f t="shared" si="16"/>
        <v>5.55</v>
      </c>
      <c r="H4186" s="23"/>
      <c r="I4186" s="23"/>
    </row>
    <row r="4187" spans="1:9">
      <c r="A4187" s="21" t="s">
        <v>9370</v>
      </c>
      <c r="B4187" s="21"/>
      <c r="C4187" s="22">
        <v>4174</v>
      </c>
      <c r="D4187" s="21">
        <v>5.55</v>
      </c>
      <c r="E4187" s="21" t="s">
        <v>5796</v>
      </c>
      <c r="F4187" s="23"/>
      <c r="G4187" s="23">
        <f t="shared" si="16"/>
        <v>5.55</v>
      </c>
      <c r="H4187" s="23"/>
      <c r="I4187" s="23"/>
    </row>
    <row r="4188" spans="1:9">
      <c r="A4188" s="21" t="s">
        <v>9371</v>
      </c>
      <c r="B4188" s="21"/>
      <c r="C4188" s="22">
        <v>4175</v>
      </c>
      <c r="D4188" s="21">
        <v>5.54</v>
      </c>
      <c r="E4188" s="21" t="s">
        <v>5796</v>
      </c>
      <c r="F4188" s="23"/>
      <c r="G4188" s="23">
        <f t="shared" si="16"/>
        <v>5.54</v>
      </c>
      <c r="H4188" s="23"/>
      <c r="I4188" s="23"/>
    </row>
    <row r="4189" spans="1:9">
      <c r="A4189" s="21" t="s">
        <v>9372</v>
      </c>
      <c r="B4189" s="21"/>
      <c r="C4189" s="22">
        <v>4176</v>
      </c>
      <c r="D4189" s="21">
        <v>5.54</v>
      </c>
      <c r="E4189" s="21" t="s">
        <v>5796</v>
      </c>
      <c r="F4189" s="23"/>
      <c r="G4189" s="23">
        <f t="shared" si="16"/>
        <v>5.54</v>
      </c>
      <c r="H4189" s="23"/>
      <c r="I4189" s="23"/>
    </row>
    <row r="4190" spans="1:9">
      <c r="A4190" s="21" t="s">
        <v>9373</v>
      </c>
      <c r="B4190" s="21"/>
      <c r="C4190" s="22">
        <v>4177</v>
      </c>
      <c r="D4190" s="21">
        <v>5.53</v>
      </c>
      <c r="E4190" s="21" t="s">
        <v>5796</v>
      </c>
      <c r="F4190" s="23"/>
      <c r="G4190" s="23">
        <f t="shared" si="16"/>
        <v>5.53</v>
      </c>
      <c r="H4190" s="23"/>
      <c r="I4190" s="23"/>
    </row>
    <row r="4191" spans="1:9">
      <c r="A4191" s="21" t="s">
        <v>9374</v>
      </c>
      <c r="B4191" s="21"/>
      <c r="C4191" s="22">
        <v>4178</v>
      </c>
      <c r="D4191" s="21">
        <v>5.52</v>
      </c>
      <c r="E4191" s="21" t="s">
        <v>5796</v>
      </c>
      <c r="F4191" s="23"/>
      <c r="G4191" s="23">
        <f t="shared" si="16"/>
        <v>5.52</v>
      </c>
      <c r="H4191" s="23"/>
      <c r="I4191" s="23"/>
    </row>
    <row r="4192" spans="1:9">
      <c r="A4192" s="21" t="s">
        <v>9375</v>
      </c>
      <c r="B4192" s="21"/>
      <c r="C4192" s="22">
        <v>4179</v>
      </c>
      <c r="D4192" s="21">
        <v>5.5</v>
      </c>
      <c r="E4192" s="21" t="s">
        <v>5796</v>
      </c>
      <c r="F4192" s="23"/>
      <c r="G4192" s="23">
        <f t="shared" si="16"/>
        <v>5.5</v>
      </c>
      <c r="H4192" s="23"/>
      <c r="I4192" s="23"/>
    </row>
    <row r="4193" spans="1:9">
      <c r="A4193" s="21" t="s">
        <v>9376</v>
      </c>
      <c r="B4193" s="21"/>
      <c r="C4193" s="22">
        <v>4180</v>
      </c>
      <c r="D4193" s="21">
        <v>5.5</v>
      </c>
      <c r="E4193" s="21" t="s">
        <v>5796</v>
      </c>
      <c r="F4193" s="23"/>
      <c r="G4193" s="23">
        <f t="shared" si="16"/>
        <v>5.5</v>
      </c>
      <c r="H4193" s="23"/>
      <c r="I4193" s="23"/>
    </row>
    <row r="4194" spans="1:9">
      <c r="A4194" s="21" t="s">
        <v>9377</v>
      </c>
      <c r="B4194" s="21"/>
      <c r="C4194" s="22">
        <v>4181</v>
      </c>
      <c r="D4194" s="21">
        <v>5.49</v>
      </c>
      <c r="E4194" s="21" t="s">
        <v>5796</v>
      </c>
      <c r="F4194" s="23"/>
      <c r="G4194" s="23">
        <f t="shared" si="16"/>
        <v>5.49</v>
      </c>
      <c r="H4194" s="23"/>
      <c r="I4194" s="23"/>
    </row>
    <row r="4195" spans="1:9">
      <c r="A4195" s="21" t="s">
        <v>9378</v>
      </c>
      <c r="B4195" s="21"/>
      <c r="C4195" s="22">
        <v>4182</v>
      </c>
      <c r="D4195" s="21">
        <v>5.49</v>
      </c>
      <c r="E4195" s="21" t="s">
        <v>5796</v>
      </c>
      <c r="F4195" s="23"/>
      <c r="G4195" s="23">
        <f t="shared" si="16"/>
        <v>5.49</v>
      </c>
      <c r="H4195" s="23"/>
      <c r="I4195" s="23"/>
    </row>
    <row r="4196" spans="1:9">
      <c r="A4196" s="21" t="s">
        <v>9379</v>
      </c>
      <c r="B4196" s="21"/>
      <c r="C4196" s="22">
        <v>4183</v>
      </c>
      <c r="D4196" s="21">
        <v>5.48</v>
      </c>
      <c r="E4196" s="21" t="s">
        <v>5796</v>
      </c>
      <c r="F4196" s="23"/>
      <c r="G4196" s="23">
        <f t="shared" si="16"/>
        <v>5.48</v>
      </c>
      <c r="H4196" s="23"/>
      <c r="I4196" s="23"/>
    </row>
    <row r="4197" spans="1:9">
      <c r="A4197" s="21" t="s">
        <v>9380</v>
      </c>
      <c r="B4197" s="21"/>
      <c r="C4197" s="22">
        <v>4184</v>
      </c>
      <c r="D4197" s="21">
        <v>5.48</v>
      </c>
      <c r="E4197" s="21" t="s">
        <v>5796</v>
      </c>
      <c r="F4197" s="23"/>
      <c r="G4197" s="23">
        <f t="shared" si="16"/>
        <v>5.48</v>
      </c>
      <c r="H4197" s="23"/>
      <c r="I4197" s="23"/>
    </row>
    <row r="4198" spans="1:9">
      <c r="A4198" s="21" t="s">
        <v>9381</v>
      </c>
      <c r="B4198" s="21"/>
      <c r="C4198" s="22">
        <v>4185</v>
      </c>
      <c r="D4198" s="21">
        <v>5.48</v>
      </c>
      <c r="E4198" s="21" t="s">
        <v>5796</v>
      </c>
      <c r="F4198" s="23"/>
      <c r="G4198" s="23">
        <f t="shared" si="16"/>
        <v>5.48</v>
      </c>
      <c r="H4198" s="23"/>
      <c r="I4198" s="23"/>
    </row>
    <row r="4199" spans="1:9">
      <c r="A4199" s="21" t="s">
        <v>9382</v>
      </c>
      <c r="B4199" s="21"/>
      <c r="C4199" s="22">
        <v>4186</v>
      </c>
      <c r="D4199" s="21">
        <v>5.47</v>
      </c>
      <c r="E4199" s="21" t="s">
        <v>5796</v>
      </c>
      <c r="F4199" s="23"/>
      <c r="G4199" s="23">
        <f t="shared" si="16"/>
        <v>5.47</v>
      </c>
      <c r="H4199" s="23"/>
      <c r="I4199" s="23"/>
    </row>
    <row r="4200" spans="1:9">
      <c r="A4200" s="21" t="s">
        <v>9383</v>
      </c>
      <c r="B4200" s="21"/>
      <c r="C4200" s="22">
        <v>4187</v>
      </c>
      <c r="D4200" s="21">
        <v>5.47</v>
      </c>
      <c r="E4200" s="21" t="s">
        <v>5796</v>
      </c>
      <c r="F4200" s="23"/>
      <c r="G4200" s="23">
        <f t="shared" si="16"/>
        <v>5.47</v>
      </c>
      <c r="H4200" s="23"/>
      <c r="I4200" s="23"/>
    </row>
    <row r="4201" spans="1:9">
      <c r="A4201" s="21" t="s">
        <v>9384</v>
      </c>
      <c r="B4201" s="21"/>
      <c r="C4201" s="22">
        <v>4188</v>
      </c>
      <c r="D4201" s="21">
        <v>5.46</v>
      </c>
      <c r="E4201" s="21" t="s">
        <v>5796</v>
      </c>
      <c r="F4201" s="23"/>
      <c r="G4201" s="23">
        <f t="shared" si="16"/>
        <v>5.46</v>
      </c>
      <c r="H4201" s="23"/>
      <c r="I4201" s="23"/>
    </row>
    <row r="4202" spans="1:9">
      <c r="A4202" s="21" t="s">
        <v>9385</v>
      </c>
      <c r="B4202" s="21"/>
      <c r="C4202" s="22">
        <v>4189</v>
      </c>
      <c r="D4202" s="21">
        <v>5.45</v>
      </c>
      <c r="E4202" s="21" t="s">
        <v>5796</v>
      </c>
      <c r="F4202" s="23"/>
      <c r="G4202" s="23">
        <f t="shared" si="16"/>
        <v>5.45</v>
      </c>
      <c r="H4202" s="23"/>
      <c r="I4202" s="23"/>
    </row>
    <row r="4203" spans="1:9">
      <c r="A4203" s="21" t="s">
        <v>9386</v>
      </c>
      <c r="B4203" s="21"/>
      <c r="C4203" s="22">
        <v>4190</v>
      </c>
      <c r="D4203" s="21">
        <v>5.42</v>
      </c>
      <c r="E4203" s="21" t="s">
        <v>5796</v>
      </c>
      <c r="F4203" s="23"/>
      <c r="G4203" s="23">
        <f t="shared" si="16"/>
        <v>5.42</v>
      </c>
      <c r="H4203" s="23"/>
      <c r="I4203" s="23"/>
    </row>
    <row r="4204" spans="1:9">
      <c r="A4204" s="21" t="s">
        <v>9387</v>
      </c>
      <c r="B4204" s="21"/>
      <c r="C4204" s="22">
        <v>4191</v>
      </c>
      <c r="D4204" s="21">
        <v>5.4</v>
      </c>
      <c r="E4204" s="21" t="s">
        <v>5796</v>
      </c>
      <c r="F4204" s="23"/>
      <c r="G4204" s="23">
        <f t="shared" si="16"/>
        <v>5.4</v>
      </c>
      <c r="H4204" s="23"/>
      <c r="I4204" s="23"/>
    </row>
    <row r="4205" spans="1:9">
      <c r="A4205" s="21" t="s">
        <v>9388</v>
      </c>
      <c r="B4205" s="21"/>
      <c r="C4205" s="22">
        <v>4192</v>
      </c>
      <c r="D4205" s="21">
        <v>5.4</v>
      </c>
      <c r="E4205" s="21" t="s">
        <v>5796</v>
      </c>
      <c r="F4205" s="23"/>
      <c r="G4205" s="23">
        <f t="shared" si="16"/>
        <v>5.4</v>
      </c>
      <c r="H4205" s="23"/>
      <c r="I4205" s="23"/>
    </row>
    <row r="4206" spans="1:9">
      <c r="A4206" s="21" t="s">
        <v>9389</v>
      </c>
      <c r="B4206" s="21"/>
      <c r="C4206" s="22">
        <v>4193</v>
      </c>
      <c r="D4206" s="21">
        <v>5.39</v>
      </c>
      <c r="E4206" s="21" t="s">
        <v>5796</v>
      </c>
      <c r="F4206" s="23"/>
      <c r="G4206" s="23">
        <f t="shared" si="16"/>
        <v>5.39</v>
      </c>
      <c r="H4206" s="23"/>
      <c r="I4206" s="23"/>
    </row>
    <row r="4207" spans="1:9">
      <c r="A4207" s="21" t="s">
        <v>9390</v>
      </c>
      <c r="B4207" s="21"/>
      <c r="C4207" s="22">
        <v>4194</v>
      </c>
      <c r="D4207" s="21">
        <v>5.39</v>
      </c>
      <c r="E4207" s="21" t="s">
        <v>5796</v>
      </c>
      <c r="F4207" s="23"/>
      <c r="G4207" s="23">
        <f t="shared" si="16"/>
        <v>5.39</v>
      </c>
      <c r="H4207" s="23"/>
      <c r="I4207" s="23"/>
    </row>
    <row r="4208" spans="1:9">
      <c r="A4208" s="21" t="s">
        <v>9391</v>
      </c>
      <c r="B4208" s="21"/>
      <c r="C4208" s="22">
        <v>4195</v>
      </c>
      <c r="D4208" s="21">
        <v>5.39</v>
      </c>
      <c r="E4208" s="21" t="s">
        <v>5796</v>
      </c>
      <c r="F4208" s="23"/>
      <c r="G4208" s="23">
        <f t="shared" si="16"/>
        <v>5.39</v>
      </c>
      <c r="H4208" s="23"/>
      <c r="I4208" s="23"/>
    </row>
    <row r="4209" spans="1:9">
      <c r="A4209" s="21" t="s">
        <v>9392</v>
      </c>
      <c r="B4209" s="21"/>
      <c r="C4209" s="22">
        <v>4196</v>
      </c>
      <c r="D4209" s="21">
        <v>5.38</v>
      </c>
      <c r="E4209" s="21" t="s">
        <v>5796</v>
      </c>
      <c r="F4209" s="23"/>
      <c r="G4209" s="23">
        <f t="shared" si="16"/>
        <v>5.38</v>
      </c>
      <c r="H4209" s="23"/>
      <c r="I4209" s="23"/>
    </row>
    <row r="4210" spans="1:9">
      <c r="A4210" s="21" t="s">
        <v>9393</v>
      </c>
      <c r="B4210" s="21"/>
      <c r="C4210" s="22">
        <v>4197</v>
      </c>
      <c r="D4210" s="21">
        <v>5.38</v>
      </c>
      <c r="E4210" s="21" t="s">
        <v>5796</v>
      </c>
      <c r="F4210" s="23"/>
      <c r="G4210" s="23">
        <f t="shared" si="16"/>
        <v>5.38</v>
      </c>
      <c r="H4210" s="23"/>
      <c r="I4210" s="23"/>
    </row>
    <row r="4211" spans="1:9">
      <c r="A4211" s="21" t="s">
        <v>9394</v>
      </c>
      <c r="B4211" s="21"/>
      <c r="C4211" s="22">
        <v>4198</v>
      </c>
      <c r="D4211" s="21">
        <v>5.37</v>
      </c>
      <c r="E4211" s="21" t="s">
        <v>5796</v>
      </c>
      <c r="F4211" s="23"/>
      <c r="G4211" s="23">
        <f t="shared" si="16"/>
        <v>5.37</v>
      </c>
      <c r="H4211" s="23"/>
      <c r="I4211" s="23"/>
    </row>
    <row r="4212" spans="1:9">
      <c r="A4212" s="21" t="s">
        <v>9395</v>
      </c>
      <c r="B4212" s="21"/>
      <c r="C4212" s="22">
        <v>4199</v>
      </c>
      <c r="D4212" s="21">
        <v>5.36</v>
      </c>
      <c r="E4212" s="21" t="s">
        <v>5796</v>
      </c>
      <c r="F4212" s="23"/>
      <c r="G4212" s="23">
        <f t="shared" si="16"/>
        <v>5.36</v>
      </c>
      <c r="H4212" s="23"/>
      <c r="I4212" s="23"/>
    </row>
    <row r="4213" spans="1:9">
      <c r="A4213" s="21" t="s">
        <v>9396</v>
      </c>
      <c r="B4213" s="21"/>
      <c r="C4213" s="22">
        <v>4200</v>
      </c>
      <c r="D4213" s="21">
        <v>5.36</v>
      </c>
      <c r="E4213" s="21" t="s">
        <v>5796</v>
      </c>
      <c r="F4213" s="23"/>
      <c r="G4213" s="23">
        <f t="shared" si="16"/>
        <v>5.36</v>
      </c>
      <c r="H4213" s="23"/>
      <c r="I4213" s="23"/>
    </row>
    <row r="4214" spans="1:9">
      <c r="A4214" s="21" t="s">
        <v>9397</v>
      </c>
      <c r="B4214" s="21"/>
      <c r="C4214" s="22">
        <v>4201</v>
      </c>
      <c r="D4214" s="21">
        <v>5.35</v>
      </c>
      <c r="E4214" s="21" t="s">
        <v>5796</v>
      </c>
      <c r="F4214" s="23"/>
      <c r="G4214" s="23">
        <f t="shared" si="16"/>
        <v>5.35</v>
      </c>
      <c r="H4214" s="23"/>
      <c r="I4214" s="23"/>
    </row>
    <row r="4215" spans="1:9">
      <c r="A4215" s="21" t="s">
        <v>9398</v>
      </c>
      <c r="B4215" s="21"/>
      <c r="C4215" s="22">
        <v>4202</v>
      </c>
      <c r="D4215" s="21">
        <v>5.34</v>
      </c>
      <c r="E4215" s="21" t="s">
        <v>5796</v>
      </c>
      <c r="F4215" s="23"/>
      <c r="G4215" s="23">
        <f t="shared" si="16"/>
        <v>5.34</v>
      </c>
      <c r="H4215" s="23"/>
      <c r="I4215" s="23"/>
    </row>
    <row r="4216" spans="1:9">
      <c r="A4216" s="21" t="s">
        <v>9399</v>
      </c>
      <c r="B4216" s="21"/>
      <c r="C4216" s="22">
        <v>4203</v>
      </c>
      <c r="D4216" s="21">
        <v>5.34</v>
      </c>
      <c r="E4216" s="21" t="s">
        <v>5796</v>
      </c>
      <c r="F4216" s="23"/>
      <c r="G4216" s="23">
        <f t="shared" si="16"/>
        <v>5.34</v>
      </c>
      <c r="H4216" s="23"/>
      <c r="I4216" s="23"/>
    </row>
    <row r="4217" spans="1:9">
      <c r="A4217" s="21" t="s">
        <v>9400</v>
      </c>
      <c r="B4217" s="21"/>
      <c r="C4217" s="22">
        <v>4204</v>
      </c>
      <c r="D4217" s="21">
        <v>5.34</v>
      </c>
      <c r="E4217" s="21" t="s">
        <v>5796</v>
      </c>
      <c r="F4217" s="23"/>
      <c r="G4217" s="23">
        <f t="shared" si="16"/>
        <v>5.34</v>
      </c>
      <c r="H4217" s="23"/>
      <c r="I4217" s="23"/>
    </row>
    <row r="4218" spans="1:9">
      <c r="A4218" s="21" t="s">
        <v>9401</v>
      </c>
      <c r="B4218" s="21"/>
      <c r="C4218" s="22">
        <v>4205</v>
      </c>
      <c r="D4218" s="21">
        <v>5.34</v>
      </c>
      <c r="E4218" s="21" t="s">
        <v>5796</v>
      </c>
      <c r="F4218" s="23"/>
      <c r="G4218" s="23">
        <f t="shared" si="16"/>
        <v>5.34</v>
      </c>
      <c r="H4218" s="23"/>
      <c r="I4218" s="23"/>
    </row>
    <row r="4219" spans="1:9">
      <c r="A4219" s="21" t="s">
        <v>9402</v>
      </c>
      <c r="B4219" s="21"/>
      <c r="C4219" s="22">
        <v>4206</v>
      </c>
      <c r="D4219" s="21">
        <v>5.31</v>
      </c>
      <c r="E4219" s="21" t="s">
        <v>5796</v>
      </c>
      <c r="F4219" s="23"/>
      <c r="G4219" s="23">
        <f t="shared" si="16"/>
        <v>5.31</v>
      </c>
      <c r="H4219" s="23"/>
      <c r="I4219" s="23"/>
    </row>
    <row r="4220" spans="1:9">
      <c r="A4220" s="21" t="s">
        <v>9403</v>
      </c>
      <c r="B4220" s="21"/>
      <c r="C4220" s="22">
        <v>4207</v>
      </c>
      <c r="D4220" s="21">
        <v>5.31</v>
      </c>
      <c r="E4220" s="21" t="s">
        <v>5796</v>
      </c>
      <c r="F4220" s="23"/>
      <c r="G4220" s="23">
        <f t="shared" si="16"/>
        <v>5.31</v>
      </c>
      <c r="H4220" s="23"/>
      <c r="I4220" s="23"/>
    </row>
    <row r="4221" spans="1:9">
      <c r="A4221" s="21" t="s">
        <v>9404</v>
      </c>
      <c r="B4221" s="21"/>
      <c r="C4221" s="22">
        <v>4208</v>
      </c>
      <c r="D4221" s="21">
        <v>5.31</v>
      </c>
      <c r="E4221" s="21" t="s">
        <v>5796</v>
      </c>
      <c r="F4221" s="23"/>
      <c r="G4221" s="23">
        <f t="shared" si="16"/>
        <v>5.31</v>
      </c>
      <c r="H4221" s="23"/>
      <c r="I4221" s="23"/>
    </row>
    <row r="4222" spans="1:9">
      <c r="A4222" s="21" t="s">
        <v>9405</v>
      </c>
      <c r="B4222" s="21"/>
      <c r="C4222" s="22">
        <v>4209</v>
      </c>
      <c r="D4222" s="21">
        <v>5.3</v>
      </c>
      <c r="E4222" s="21" t="s">
        <v>5796</v>
      </c>
      <c r="F4222" s="23"/>
      <c r="G4222" s="23">
        <f t="shared" si="16"/>
        <v>5.3</v>
      </c>
      <c r="H4222" s="23"/>
      <c r="I4222" s="23"/>
    </row>
    <row r="4223" spans="1:9">
      <c r="A4223" s="21" t="s">
        <v>9406</v>
      </c>
      <c r="B4223" s="21"/>
      <c r="C4223" s="22">
        <v>4210</v>
      </c>
      <c r="D4223" s="21">
        <v>5.3</v>
      </c>
      <c r="E4223" s="21" t="s">
        <v>5796</v>
      </c>
      <c r="F4223" s="23"/>
      <c r="G4223" s="23">
        <f t="shared" si="16"/>
        <v>5.3</v>
      </c>
      <c r="H4223" s="23"/>
      <c r="I4223" s="23"/>
    </row>
    <row r="4224" spans="1:9">
      <c r="A4224" s="21" t="s">
        <v>9407</v>
      </c>
      <c r="B4224" s="21"/>
      <c r="C4224" s="22">
        <v>4211</v>
      </c>
      <c r="D4224" s="21">
        <v>5.29</v>
      </c>
      <c r="E4224" s="21" t="s">
        <v>5796</v>
      </c>
      <c r="F4224" s="23"/>
      <c r="G4224" s="23">
        <f t="shared" si="16"/>
        <v>5.29</v>
      </c>
      <c r="H4224" s="23"/>
      <c r="I4224" s="23"/>
    </row>
    <row r="4225" spans="1:9">
      <c r="A4225" s="21" t="s">
        <v>9408</v>
      </c>
      <c r="B4225" s="21"/>
      <c r="C4225" s="22">
        <v>4212</v>
      </c>
      <c r="D4225" s="21">
        <v>5.28</v>
      </c>
      <c r="E4225" s="21" t="s">
        <v>5796</v>
      </c>
      <c r="F4225" s="23"/>
      <c r="G4225" s="23">
        <f t="shared" si="16"/>
        <v>5.28</v>
      </c>
      <c r="H4225" s="23"/>
      <c r="I4225" s="23"/>
    </row>
    <row r="4226" spans="1:9">
      <c r="A4226" s="21" t="s">
        <v>9409</v>
      </c>
      <c r="B4226" s="21"/>
      <c r="C4226" s="22">
        <v>4213</v>
      </c>
      <c r="D4226" s="21">
        <v>5.27</v>
      </c>
      <c r="E4226" s="21" t="s">
        <v>5796</v>
      </c>
      <c r="F4226" s="23"/>
      <c r="G4226" s="23">
        <f t="shared" si="16"/>
        <v>5.27</v>
      </c>
      <c r="H4226" s="23"/>
      <c r="I4226" s="23"/>
    </row>
    <row r="4227" spans="1:9">
      <c r="A4227" s="21" t="s">
        <v>9410</v>
      </c>
      <c r="B4227" s="21"/>
      <c r="C4227" s="22">
        <v>4214</v>
      </c>
      <c r="D4227" s="21">
        <v>5.26</v>
      </c>
      <c r="E4227" s="21" t="s">
        <v>5796</v>
      </c>
      <c r="F4227" s="23"/>
      <c r="G4227" s="23">
        <f t="shared" si="16"/>
        <v>5.26</v>
      </c>
      <c r="H4227" s="23"/>
      <c r="I4227" s="23"/>
    </row>
    <row r="4228" spans="1:9">
      <c r="A4228" s="21" t="s">
        <v>9411</v>
      </c>
      <c r="B4228" s="21"/>
      <c r="C4228" s="22">
        <v>4215</v>
      </c>
      <c r="D4228" s="21">
        <v>5.24</v>
      </c>
      <c r="E4228" s="21" t="s">
        <v>5796</v>
      </c>
      <c r="F4228" s="23"/>
      <c r="G4228" s="23">
        <f t="shared" si="16"/>
        <v>5.24</v>
      </c>
      <c r="H4228" s="23"/>
      <c r="I4228" s="23"/>
    </row>
    <row r="4229" spans="1:9">
      <c r="A4229" s="21" t="s">
        <v>9412</v>
      </c>
      <c r="B4229" s="21"/>
      <c r="C4229" s="22">
        <v>4216</v>
      </c>
      <c r="D4229" s="21">
        <v>5.23</v>
      </c>
      <c r="E4229" s="21" t="s">
        <v>5796</v>
      </c>
      <c r="F4229" s="23"/>
      <c r="G4229" s="23">
        <f t="shared" si="16"/>
        <v>5.23</v>
      </c>
      <c r="H4229" s="23"/>
      <c r="I4229" s="23"/>
    </row>
    <row r="4230" spans="1:9">
      <c r="A4230" s="21" t="s">
        <v>9413</v>
      </c>
      <c r="B4230" s="21"/>
      <c r="C4230" s="22">
        <v>4217</v>
      </c>
      <c r="D4230" s="21">
        <v>5.22</v>
      </c>
      <c r="E4230" s="21" t="s">
        <v>5796</v>
      </c>
      <c r="F4230" s="23"/>
      <c r="G4230" s="23">
        <f t="shared" si="16"/>
        <v>5.22</v>
      </c>
      <c r="H4230" s="23"/>
      <c r="I4230" s="23"/>
    </row>
    <row r="4231" spans="1:9">
      <c r="A4231" s="21" t="s">
        <v>9414</v>
      </c>
      <c r="B4231" s="21"/>
      <c r="C4231" s="22">
        <v>4218</v>
      </c>
      <c r="D4231" s="21">
        <v>5.21</v>
      </c>
      <c r="E4231" s="21" t="s">
        <v>5796</v>
      </c>
      <c r="F4231" s="23"/>
      <c r="G4231" s="23">
        <f t="shared" si="16"/>
        <v>5.21</v>
      </c>
      <c r="H4231" s="23"/>
      <c r="I4231" s="23"/>
    </row>
    <row r="4232" spans="1:9">
      <c r="A4232" s="21" t="s">
        <v>9415</v>
      </c>
      <c r="B4232" s="21"/>
      <c r="C4232" s="22">
        <v>4219</v>
      </c>
      <c r="D4232" s="21">
        <v>5.2</v>
      </c>
      <c r="E4232" s="21" t="s">
        <v>5796</v>
      </c>
      <c r="F4232" s="23"/>
      <c r="G4232" s="23">
        <f t="shared" si="16"/>
        <v>5.2</v>
      </c>
      <c r="H4232" s="23"/>
      <c r="I4232" s="23"/>
    </row>
    <row r="4233" spans="1:9">
      <c r="A4233" s="21" t="s">
        <v>9416</v>
      </c>
      <c r="B4233" s="21"/>
      <c r="C4233" s="22">
        <v>4221</v>
      </c>
      <c r="D4233" s="21">
        <v>5.19</v>
      </c>
      <c r="E4233" s="21" t="s">
        <v>5796</v>
      </c>
      <c r="F4233" s="23"/>
      <c r="G4233" s="23">
        <f t="shared" si="16"/>
        <v>5.19</v>
      </c>
      <c r="H4233" s="23"/>
      <c r="I4233" s="23"/>
    </row>
    <row r="4234" spans="1:9">
      <c r="A4234" s="21" t="s">
        <v>9417</v>
      </c>
      <c r="B4234" s="21"/>
      <c r="C4234" s="22">
        <v>4222</v>
      </c>
      <c r="D4234" s="21">
        <v>5.18</v>
      </c>
      <c r="E4234" s="21" t="s">
        <v>5796</v>
      </c>
      <c r="F4234" s="23"/>
      <c r="G4234" s="23">
        <f t="shared" si="16"/>
        <v>5.18</v>
      </c>
      <c r="H4234" s="23"/>
      <c r="I4234" s="23"/>
    </row>
    <row r="4235" spans="1:9">
      <c r="A4235" s="21" t="s">
        <v>9418</v>
      </c>
      <c r="B4235" s="21"/>
      <c r="C4235" s="22">
        <v>4223</v>
      </c>
      <c r="D4235" s="21">
        <v>5.17</v>
      </c>
      <c r="E4235" s="21" t="s">
        <v>5796</v>
      </c>
      <c r="F4235" s="23"/>
      <c r="G4235" s="23">
        <f t="shared" si="16"/>
        <v>5.17</v>
      </c>
      <c r="H4235" s="23"/>
      <c r="I4235" s="23"/>
    </row>
    <row r="4236" spans="1:9">
      <c r="A4236" s="21" t="s">
        <v>9419</v>
      </c>
      <c r="B4236" s="21"/>
      <c r="C4236" s="22">
        <v>4224</v>
      </c>
      <c r="D4236" s="21">
        <v>5.17</v>
      </c>
      <c r="E4236" s="21" t="s">
        <v>5796</v>
      </c>
      <c r="F4236" s="23"/>
      <c r="G4236" s="23">
        <f t="shared" si="16"/>
        <v>5.17</v>
      </c>
      <c r="H4236" s="23"/>
      <c r="I4236" s="23"/>
    </row>
    <row r="4237" spans="1:9">
      <c r="A4237" s="21" t="s">
        <v>9420</v>
      </c>
      <c r="B4237" s="21"/>
      <c r="C4237" s="22">
        <v>4225</v>
      </c>
      <c r="D4237" s="21">
        <v>5.14</v>
      </c>
      <c r="E4237" s="21" t="s">
        <v>5796</v>
      </c>
      <c r="F4237" s="23"/>
      <c r="G4237" s="23">
        <f t="shared" si="16"/>
        <v>5.14</v>
      </c>
      <c r="H4237" s="23"/>
      <c r="I4237" s="23"/>
    </row>
    <row r="4238" spans="1:9">
      <c r="A4238" s="21" t="s">
        <v>9421</v>
      </c>
      <c r="B4238" s="21"/>
      <c r="C4238" s="22">
        <v>4226</v>
      </c>
      <c r="D4238" s="21">
        <v>5.12</v>
      </c>
      <c r="E4238" s="21" t="s">
        <v>5796</v>
      </c>
      <c r="F4238" s="23"/>
      <c r="G4238" s="23">
        <f t="shared" si="16"/>
        <v>5.12</v>
      </c>
      <c r="H4238" s="23"/>
      <c r="I4238" s="23"/>
    </row>
    <row r="4239" spans="1:9">
      <c r="A4239" s="21" t="s">
        <v>9422</v>
      </c>
      <c r="B4239" s="21"/>
      <c r="C4239" s="22">
        <v>4227</v>
      </c>
      <c r="D4239" s="21">
        <v>5.12</v>
      </c>
      <c r="E4239" s="21" t="s">
        <v>5796</v>
      </c>
      <c r="F4239" s="23"/>
      <c r="G4239" s="23">
        <f t="shared" si="16"/>
        <v>5.12</v>
      </c>
      <c r="H4239" s="23"/>
      <c r="I4239" s="23"/>
    </row>
    <row r="4240" spans="1:9">
      <c r="A4240" s="21" t="s">
        <v>9423</v>
      </c>
      <c r="B4240" s="21"/>
      <c r="C4240" s="22">
        <v>4228</v>
      </c>
      <c r="D4240" s="21">
        <v>5.09</v>
      </c>
      <c r="E4240" s="21" t="s">
        <v>5796</v>
      </c>
      <c r="F4240" s="23"/>
      <c r="G4240" s="23">
        <f t="shared" si="16"/>
        <v>5.09</v>
      </c>
      <c r="H4240" s="23"/>
      <c r="I4240" s="23"/>
    </row>
    <row r="4241" spans="1:9">
      <c r="A4241" s="21" t="s">
        <v>9424</v>
      </c>
      <c r="B4241" s="21"/>
      <c r="C4241" s="22">
        <v>4229</v>
      </c>
      <c r="D4241" s="21">
        <v>5.09</v>
      </c>
      <c r="E4241" s="21" t="s">
        <v>5796</v>
      </c>
      <c r="F4241" s="23"/>
      <c r="G4241" s="23">
        <f t="shared" si="16"/>
        <v>5.09</v>
      </c>
      <c r="H4241" s="23"/>
      <c r="I4241" s="23"/>
    </row>
    <row r="4242" spans="1:9">
      <c r="A4242" s="21" t="s">
        <v>9425</v>
      </c>
      <c r="B4242" s="21"/>
      <c r="C4242" s="22">
        <v>4230</v>
      </c>
      <c r="D4242" s="21">
        <v>5.07</v>
      </c>
      <c r="E4242" s="21" t="s">
        <v>5796</v>
      </c>
      <c r="F4242" s="23"/>
      <c r="G4242" s="23">
        <f t="shared" si="16"/>
        <v>5.07</v>
      </c>
      <c r="H4242" s="23"/>
      <c r="I4242" s="23"/>
    </row>
    <row r="4243" spans="1:9">
      <c r="A4243" s="21" t="s">
        <v>9426</v>
      </c>
      <c r="B4243" s="21"/>
      <c r="C4243" s="22">
        <v>4231</v>
      </c>
      <c r="D4243" s="21">
        <v>5.07</v>
      </c>
      <c r="E4243" s="21" t="s">
        <v>5796</v>
      </c>
      <c r="F4243" s="23"/>
      <c r="G4243" s="23">
        <f t="shared" si="16"/>
        <v>5.07</v>
      </c>
      <c r="H4243" s="23"/>
      <c r="I4243" s="23"/>
    </row>
    <row r="4244" spans="1:9">
      <c r="A4244" s="21" t="s">
        <v>9427</v>
      </c>
      <c r="B4244" s="21"/>
      <c r="C4244" s="22">
        <v>4232</v>
      </c>
      <c r="D4244" s="21">
        <v>5.0599999999999996</v>
      </c>
      <c r="E4244" s="21" t="s">
        <v>5796</v>
      </c>
      <c r="F4244" s="23"/>
      <c r="G4244" s="23">
        <f t="shared" si="16"/>
        <v>5.0599999999999996</v>
      </c>
      <c r="H4244" s="23"/>
      <c r="I4244" s="23"/>
    </row>
    <row r="4245" spans="1:9">
      <c r="A4245" s="21" t="s">
        <v>9428</v>
      </c>
      <c r="B4245" s="21"/>
      <c r="C4245" s="22">
        <v>4233</v>
      </c>
      <c r="D4245" s="21">
        <v>5.0599999999999996</v>
      </c>
      <c r="E4245" s="21" t="s">
        <v>5796</v>
      </c>
      <c r="F4245" s="23"/>
      <c r="G4245" s="23">
        <f t="shared" si="16"/>
        <v>5.0599999999999996</v>
      </c>
      <c r="H4245" s="23"/>
      <c r="I4245" s="23"/>
    </row>
    <row r="4246" spans="1:9">
      <c r="A4246" s="21" t="s">
        <v>9429</v>
      </c>
      <c r="B4246" s="21"/>
      <c r="C4246" s="22">
        <v>4234</v>
      </c>
      <c r="D4246" s="21">
        <v>5.04</v>
      </c>
      <c r="E4246" s="21" t="s">
        <v>5796</v>
      </c>
      <c r="F4246" s="23"/>
      <c r="G4246" s="23">
        <f t="shared" si="16"/>
        <v>5.04</v>
      </c>
      <c r="H4246" s="23"/>
      <c r="I4246" s="23"/>
    </row>
    <row r="4247" spans="1:9">
      <c r="A4247" s="21" t="s">
        <v>9430</v>
      </c>
      <c r="B4247" s="21"/>
      <c r="C4247" s="22">
        <v>4235</v>
      </c>
      <c r="D4247" s="21">
        <v>5.01</v>
      </c>
      <c r="E4247" s="21" t="s">
        <v>5796</v>
      </c>
      <c r="F4247" s="23"/>
      <c r="G4247" s="23">
        <f t="shared" si="16"/>
        <v>5.01</v>
      </c>
      <c r="H4247" s="23"/>
      <c r="I4247" s="23"/>
    </row>
    <row r="4248" spans="1:9">
      <c r="A4248" s="21" t="s">
        <v>9431</v>
      </c>
      <c r="B4248" s="21"/>
      <c r="C4248" s="22">
        <v>4236</v>
      </c>
      <c r="D4248" s="21">
        <v>5.01</v>
      </c>
      <c r="E4248" s="21" t="s">
        <v>5796</v>
      </c>
      <c r="F4248" s="23"/>
      <c r="G4248" s="23">
        <f t="shared" si="16"/>
        <v>5.01</v>
      </c>
      <c r="H4248" s="23"/>
      <c r="I4248" s="23"/>
    </row>
    <row r="4249" spans="1:9">
      <c r="A4249" s="21" t="s">
        <v>9432</v>
      </c>
      <c r="B4249" s="21"/>
      <c r="C4249" s="22">
        <v>4237</v>
      </c>
      <c r="D4249" s="21">
        <v>5</v>
      </c>
      <c r="E4249" s="21" t="s">
        <v>5796</v>
      </c>
      <c r="F4249" s="23"/>
      <c r="G4249" s="23">
        <f t="shared" si="16"/>
        <v>5</v>
      </c>
      <c r="H4249" s="23"/>
      <c r="I4249" s="23"/>
    </row>
    <row r="4250" spans="1:9">
      <c r="A4250" s="21" t="s">
        <v>9433</v>
      </c>
      <c r="B4250" s="21"/>
      <c r="C4250" s="22">
        <v>4238</v>
      </c>
      <c r="D4250" s="21">
        <v>5</v>
      </c>
      <c r="E4250" s="21" t="s">
        <v>5796</v>
      </c>
      <c r="F4250" s="23"/>
      <c r="G4250" s="23">
        <f t="shared" si="16"/>
        <v>5</v>
      </c>
      <c r="H4250" s="23"/>
      <c r="I4250" s="23"/>
    </row>
    <row r="4251" spans="1:9">
      <c r="A4251" s="21" t="s">
        <v>9434</v>
      </c>
      <c r="B4251" s="21"/>
      <c r="C4251" s="22">
        <v>4239</v>
      </c>
      <c r="D4251" s="21">
        <v>4.99</v>
      </c>
      <c r="E4251" s="21" t="s">
        <v>5796</v>
      </c>
      <c r="F4251" s="23"/>
      <c r="G4251" s="23">
        <f t="shared" si="16"/>
        <v>4.99</v>
      </c>
      <c r="H4251" s="23"/>
      <c r="I4251" s="23"/>
    </row>
    <row r="4252" spans="1:9">
      <c r="A4252" s="21" t="s">
        <v>9435</v>
      </c>
      <c r="B4252" s="21"/>
      <c r="C4252" s="22">
        <v>4240</v>
      </c>
      <c r="D4252" s="21">
        <v>4.99</v>
      </c>
      <c r="E4252" s="21" t="s">
        <v>5796</v>
      </c>
      <c r="F4252" s="23"/>
      <c r="G4252" s="23">
        <f t="shared" si="16"/>
        <v>4.99</v>
      </c>
      <c r="H4252" s="23"/>
      <c r="I4252" s="23"/>
    </row>
    <row r="4253" spans="1:9">
      <c r="A4253" s="21" t="s">
        <v>9436</v>
      </c>
      <c r="B4253" s="21"/>
      <c r="C4253" s="22">
        <v>4241</v>
      </c>
      <c r="D4253" s="21">
        <v>4.99</v>
      </c>
      <c r="E4253" s="21" t="s">
        <v>5796</v>
      </c>
      <c r="F4253" s="23"/>
      <c r="G4253" s="23">
        <f t="shared" si="16"/>
        <v>4.99</v>
      </c>
      <c r="H4253" s="23"/>
      <c r="I4253" s="23"/>
    </row>
    <row r="4254" spans="1:9">
      <c r="A4254" s="21" t="s">
        <v>9437</v>
      </c>
      <c r="B4254" s="21"/>
      <c r="C4254" s="22">
        <v>4242</v>
      </c>
      <c r="D4254" s="21">
        <v>4.99</v>
      </c>
      <c r="E4254" s="21" t="s">
        <v>5796</v>
      </c>
      <c r="F4254" s="23"/>
      <c r="G4254" s="23">
        <f t="shared" si="16"/>
        <v>4.99</v>
      </c>
      <c r="H4254" s="23"/>
      <c r="I4254" s="23"/>
    </row>
    <row r="4255" spans="1:9">
      <c r="A4255" s="21" t="s">
        <v>9438</v>
      </c>
      <c r="B4255" s="21"/>
      <c r="C4255" s="22">
        <v>4243</v>
      </c>
      <c r="D4255" s="21">
        <v>4.9800000000000004</v>
      </c>
      <c r="E4255" s="21" t="s">
        <v>5796</v>
      </c>
      <c r="F4255" s="23"/>
      <c r="G4255" s="23">
        <f t="shared" si="16"/>
        <v>4.9800000000000004</v>
      </c>
      <c r="H4255" s="23"/>
      <c r="I4255" s="23"/>
    </row>
    <row r="4256" spans="1:9">
      <c r="A4256" s="21" t="s">
        <v>9439</v>
      </c>
      <c r="B4256" s="21"/>
      <c r="C4256" s="22">
        <v>4244</v>
      </c>
      <c r="D4256" s="21">
        <v>4.9800000000000004</v>
      </c>
      <c r="E4256" s="21" t="s">
        <v>5796</v>
      </c>
      <c r="F4256" s="23"/>
      <c r="G4256" s="23">
        <f t="shared" si="16"/>
        <v>4.9800000000000004</v>
      </c>
      <c r="H4256" s="23"/>
      <c r="I4256" s="23"/>
    </row>
    <row r="4257" spans="1:9">
      <c r="A4257" s="21" t="s">
        <v>9440</v>
      </c>
      <c r="B4257" s="21"/>
      <c r="C4257" s="22">
        <v>4245</v>
      </c>
      <c r="D4257" s="21">
        <v>4.9800000000000004</v>
      </c>
      <c r="E4257" s="21" t="s">
        <v>5796</v>
      </c>
      <c r="F4257" s="23"/>
      <c r="G4257" s="23">
        <f t="shared" si="16"/>
        <v>4.9800000000000004</v>
      </c>
      <c r="H4257" s="23"/>
      <c r="I4257" s="23"/>
    </row>
    <row r="4258" spans="1:9">
      <c r="A4258" s="21" t="s">
        <v>9441</v>
      </c>
      <c r="B4258" s="21"/>
      <c r="C4258" s="22">
        <v>4246</v>
      </c>
      <c r="D4258" s="21">
        <v>4.9800000000000004</v>
      </c>
      <c r="E4258" s="21" t="s">
        <v>5796</v>
      </c>
      <c r="F4258" s="23"/>
      <c r="G4258" s="23">
        <f t="shared" si="16"/>
        <v>4.9800000000000004</v>
      </c>
      <c r="H4258" s="23"/>
      <c r="I4258" s="23"/>
    </row>
    <row r="4259" spans="1:9">
      <c r="A4259" s="21" t="s">
        <v>9442</v>
      </c>
      <c r="B4259" s="21"/>
      <c r="C4259" s="22">
        <v>4247</v>
      </c>
      <c r="D4259" s="21">
        <v>4.97</v>
      </c>
      <c r="E4259" s="21" t="s">
        <v>5796</v>
      </c>
      <c r="F4259" s="23"/>
      <c r="G4259" s="23">
        <f t="shared" si="16"/>
        <v>4.97</v>
      </c>
      <c r="H4259" s="23"/>
      <c r="I4259" s="23"/>
    </row>
    <row r="4260" spans="1:9">
      <c r="A4260" s="21" t="s">
        <v>9443</v>
      </c>
      <c r="B4260" s="21"/>
      <c r="C4260" s="22">
        <v>4248</v>
      </c>
      <c r="D4260" s="21">
        <v>4.96</v>
      </c>
      <c r="E4260" s="21" t="s">
        <v>5796</v>
      </c>
      <c r="F4260" s="23"/>
      <c r="G4260" s="23">
        <f t="shared" si="16"/>
        <v>4.96</v>
      </c>
      <c r="H4260" s="23"/>
      <c r="I4260" s="23"/>
    </row>
    <row r="4261" spans="1:9">
      <c r="A4261" s="21" t="s">
        <v>9444</v>
      </c>
      <c r="B4261" s="21"/>
      <c r="C4261" s="22">
        <v>4249</v>
      </c>
      <c r="D4261" s="21">
        <v>4.96</v>
      </c>
      <c r="E4261" s="21" t="s">
        <v>5796</v>
      </c>
      <c r="F4261" s="23"/>
      <c r="G4261" s="23">
        <f t="shared" si="16"/>
        <v>4.96</v>
      </c>
      <c r="H4261" s="23"/>
      <c r="I4261" s="23"/>
    </row>
    <row r="4262" spans="1:9">
      <c r="A4262" s="21" t="s">
        <v>9445</v>
      </c>
      <c r="B4262" s="21"/>
      <c r="C4262" s="22">
        <v>4250</v>
      </c>
      <c r="D4262" s="21">
        <v>4.96</v>
      </c>
      <c r="E4262" s="21" t="s">
        <v>5796</v>
      </c>
      <c r="F4262" s="23"/>
      <c r="G4262" s="23">
        <f t="shared" si="16"/>
        <v>4.96</v>
      </c>
      <c r="H4262" s="23"/>
      <c r="I4262" s="23"/>
    </row>
    <row r="4263" spans="1:9">
      <c r="A4263" s="21" t="s">
        <v>9446</v>
      </c>
      <c r="B4263" s="21"/>
      <c r="C4263" s="22">
        <v>4251</v>
      </c>
      <c r="D4263" s="21">
        <v>4.93</v>
      </c>
      <c r="E4263" s="21" t="s">
        <v>5796</v>
      </c>
      <c r="F4263" s="23"/>
      <c r="G4263" s="23">
        <f t="shared" si="16"/>
        <v>4.93</v>
      </c>
      <c r="H4263" s="23"/>
      <c r="I4263" s="23"/>
    </row>
    <row r="4264" spans="1:9">
      <c r="A4264" s="21" t="s">
        <v>9447</v>
      </c>
      <c r="B4264" s="21"/>
      <c r="C4264" s="22">
        <v>4252</v>
      </c>
      <c r="D4264" s="21">
        <v>4.93</v>
      </c>
      <c r="E4264" s="21" t="s">
        <v>5796</v>
      </c>
      <c r="F4264" s="23"/>
      <c r="G4264" s="23">
        <f t="shared" si="16"/>
        <v>4.93</v>
      </c>
      <c r="H4264" s="23"/>
      <c r="I4264" s="23"/>
    </row>
    <row r="4265" spans="1:9">
      <c r="A4265" s="21" t="s">
        <v>9448</v>
      </c>
      <c r="B4265" s="21"/>
      <c r="C4265" s="22">
        <v>4253</v>
      </c>
      <c r="D4265" s="21">
        <v>4.93</v>
      </c>
      <c r="E4265" s="21" t="s">
        <v>5796</v>
      </c>
      <c r="F4265" s="23"/>
      <c r="G4265" s="23">
        <f t="shared" si="16"/>
        <v>4.93</v>
      </c>
      <c r="H4265" s="23"/>
      <c r="I4265" s="23"/>
    </row>
    <row r="4266" spans="1:9">
      <c r="A4266" s="21" t="s">
        <v>9449</v>
      </c>
      <c r="B4266" s="21"/>
      <c r="C4266" s="22">
        <v>4254</v>
      </c>
      <c r="D4266" s="21">
        <v>4.93</v>
      </c>
      <c r="E4266" s="21" t="s">
        <v>5796</v>
      </c>
      <c r="F4266" s="23"/>
      <c r="G4266" s="23">
        <f t="shared" si="16"/>
        <v>4.93</v>
      </c>
      <c r="H4266" s="23"/>
      <c r="I4266" s="23"/>
    </row>
    <row r="4267" spans="1:9">
      <c r="A4267" s="21" t="s">
        <v>9450</v>
      </c>
      <c r="B4267" s="21"/>
      <c r="C4267" s="22">
        <v>4255</v>
      </c>
      <c r="D4267" s="21">
        <v>4.91</v>
      </c>
      <c r="E4267" s="21" t="s">
        <v>5796</v>
      </c>
      <c r="F4267" s="23"/>
      <c r="G4267" s="23">
        <f t="shared" si="16"/>
        <v>4.91</v>
      </c>
      <c r="H4267" s="23"/>
      <c r="I4267" s="23"/>
    </row>
    <row r="4268" spans="1:9">
      <c r="A4268" s="21" t="s">
        <v>9451</v>
      </c>
      <c r="B4268" s="21"/>
      <c r="C4268" s="22">
        <v>4256</v>
      </c>
      <c r="D4268" s="21">
        <v>4.91</v>
      </c>
      <c r="E4268" s="21" t="s">
        <v>5796</v>
      </c>
      <c r="F4268" s="23"/>
      <c r="G4268" s="23">
        <f t="shared" si="16"/>
        <v>4.91</v>
      </c>
      <c r="H4268" s="23"/>
      <c r="I4268" s="23"/>
    </row>
    <row r="4269" spans="1:9">
      <c r="A4269" s="21" t="s">
        <v>9452</v>
      </c>
      <c r="B4269" s="21"/>
      <c r="C4269" s="22">
        <v>4257</v>
      </c>
      <c r="D4269" s="21">
        <v>4.8899999999999997</v>
      </c>
      <c r="E4269" s="21" t="s">
        <v>5796</v>
      </c>
      <c r="F4269" s="23"/>
      <c r="G4269" s="23">
        <f t="shared" si="16"/>
        <v>4.8899999999999997</v>
      </c>
      <c r="H4269" s="23"/>
      <c r="I4269" s="23"/>
    </row>
    <row r="4270" spans="1:9">
      <c r="A4270" s="21" t="s">
        <v>9453</v>
      </c>
      <c r="B4270" s="21"/>
      <c r="C4270" s="22">
        <v>4258</v>
      </c>
      <c r="D4270" s="21">
        <v>4.8899999999999997</v>
      </c>
      <c r="E4270" s="21" t="s">
        <v>5796</v>
      </c>
      <c r="F4270" s="23"/>
      <c r="G4270" s="23">
        <f t="shared" si="16"/>
        <v>4.8899999999999997</v>
      </c>
      <c r="H4270" s="23"/>
      <c r="I4270" s="23"/>
    </row>
    <row r="4271" spans="1:9">
      <c r="A4271" s="21" t="s">
        <v>9454</v>
      </c>
      <c r="B4271" s="21"/>
      <c r="C4271" s="22">
        <v>4259</v>
      </c>
      <c r="D4271" s="21">
        <v>4.87</v>
      </c>
      <c r="E4271" s="21" t="s">
        <v>5796</v>
      </c>
      <c r="F4271" s="23"/>
      <c r="G4271" s="23">
        <f t="shared" si="16"/>
        <v>4.87</v>
      </c>
      <c r="H4271" s="23"/>
      <c r="I4271" s="23"/>
    </row>
    <row r="4272" spans="1:9">
      <c r="A4272" s="21" t="s">
        <v>9455</v>
      </c>
      <c r="B4272" s="21"/>
      <c r="C4272" s="22">
        <v>4260</v>
      </c>
      <c r="D4272" s="21">
        <v>4.87</v>
      </c>
      <c r="E4272" s="21" t="s">
        <v>5796</v>
      </c>
      <c r="F4272" s="23"/>
      <c r="G4272" s="23">
        <f t="shared" si="16"/>
        <v>4.87</v>
      </c>
      <c r="H4272" s="23"/>
      <c r="I4272" s="23"/>
    </row>
    <row r="4273" spans="1:9">
      <c r="A4273" s="21" t="s">
        <v>9456</v>
      </c>
      <c r="B4273" s="21"/>
      <c r="C4273" s="22">
        <v>4261</v>
      </c>
      <c r="D4273" s="21">
        <v>4.8600000000000003</v>
      </c>
      <c r="E4273" s="21" t="s">
        <v>5796</v>
      </c>
      <c r="F4273" s="23"/>
      <c r="G4273" s="23">
        <f t="shared" si="16"/>
        <v>4.8600000000000003</v>
      </c>
      <c r="H4273" s="23"/>
      <c r="I4273" s="23"/>
    </row>
    <row r="4274" spans="1:9">
      <c r="A4274" s="21" t="s">
        <v>9457</v>
      </c>
      <c r="B4274" s="21"/>
      <c r="C4274" s="22">
        <v>4262</v>
      </c>
      <c r="D4274" s="21">
        <v>4.8600000000000003</v>
      </c>
      <c r="E4274" s="21" t="s">
        <v>5796</v>
      </c>
      <c r="F4274" s="23"/>
      <c r="G4274" s="23">
        <f t="shared" si="16"/>
        <v>4.8600000000000003</v>
      </c>
      <c r="H4274" s="23"/>
      <c r="I4274" s="23"/>
    </row>
    <row r="4275" spans="1:9">
      <c r="A4275" s="21" t="s">
        <v>9458</v>
      </c>
      <c r="B4275" s="21"/>
      <c r="C4275" s="22">
        <v>4263</v>
      </c>
      <c r="D4275" s="21">
        <v>4.8499999999999996</v>
      </c>
      <c r="E4275" s="21" t="s">
        <v>5796</v>
      </c>
      <c r="F4275" s="23"/>
      <c r="G4275" s="23">
        <f t="shared" si="16"/>
        <v>4.8499999999999996</v>
      </c>
      <c r="H4275" s="23"/>
      <c r="I4275" s="23"/>
    </row>
    <row r="4276" spans="1:9">
      <c r="A4276" s="21" t="s">
        <v>9459</v>
      </c>
      <c r="B4276" s="21"/>
      <c r="C4276" s="22">
        <v>4264</v>
      </c>
      <c r="D4276" s="21">
        <v>4.83</v>
      </c>
      <c r="E4276" s="21" t="s">
        <v>5796</v>
      </c>
      <c r="F4276" s="23"/>
      <c r="G4276" s="23">
        <f t="shared" si="16"/>
        <v>4.83</v>
      </c>
      <c r="H4276" s="23"/>
      <c r="I4276" s="23"/>
    </row>
    <row r="4277" spans="1:9">
      <c r="A4277" s="21" t="s">
        <v>9460</v>
      </c>
      <c r="B4277" s="21"/>
      <c r="C4277" s="22">
        <v>4265</v>
      </c>
      <c r="D4277" s="21">
        <v>4.82</v>
      </c>
      <c r="E4277" s="21" t="s">
        <v>5796</v>
      </c>
      <c r="F4277" s="23"/>
      <c r="G4277" s="23">
        <f t="shared" si="16"/>
        <v>4.82</v>
      </c>
      <c r="H4277" s="23"/>
      <c r="I4277" s="23"/>
    </row>
    <row r="4278" spans="1:9">
      <c r="A4278" s="21" t="s">
        <v>9461</v>
      </c>
      <c r="B4278" s="21"/>
      <c r="C4278" s="22">
        <v>4266</v>
      </c>
      <c r="D4278" s="21">
        <v>4.8</v>
      </c>
      <c r="E4278" s="21" t="s">
        <v>5796</v>
      </c>
      <c r="F4278" s="23"/>
      <c r="G4278" s="23">
        <f t="shared" si="16"/>
        <v>4.8</v>
      </c>
      <c r="H4278" s="23"/>
      <c r="I4278" s="23"/>
    </row>
    <row r="4279" spans="1:9">
      <c r="A4279" s="21" t="s">
        <v>9462</v>
      </c>
      <c r="B4279" s="21"/>
      <c r="C4279" s="22">
        <v>4267</v>
      </c>
      <c r="D4279" s="21">
        <v>4.8</v>
      </c>
      <c r="E4279" s="21" t="s">
        <v>5796</v>
      </c>
      <c r="F4279" s="23"/>
      <c r="G4279" s="23">
        <f t="shared" si="16"/>
        <v>4.8</v>
      </c>
      <c r="H4279" s="23"/>
      <c r="I4279" s="23"/>
    </row>
    <row r="4280" spans="1:9">
      <c r="A4280" s="21" t="s">
        <v>9463</v>
      </c>
      <c r="B4280" s="21"/>
      <c r="C4280" s="22">
        <v>4268</v>
      </c>
      <c r="D4280" s="21">
        <v>4.8</v>
      </c>
      <c r="E4280" s="21" t="s">
        <v>5796</v>
      </c>
      <c r="F4280" s="23"/>
      <c r="G4280" s="23">
        <f t="shared" si="16"/>
        <v>4.8</v>
      </c>
      <c r="H4280" s="23"/>
      <c r="I4280" s="23"/>
    </row>
    <row r="4281" spans="1:9">
      <c r="A4281" s="21" t="s">
        <v>9464</v>
      </c>
      <c r="B4281" s="21"/>
      <c r="C4281" s="22">
        <v>4269</v>
      </c>
      <c r="D4281" s="21">
        <v>4.79</v>
      </c>
      <c r="E4281" s="21" t="s">
        <v>5796</v>
      </c>
      <c r="F4281" s="23"/>
      <c r="G4281" s="23">
        <f t="shared" si="16"/>
        <v>4.79</v>
      </c>
      <c r="H4281" s="23"/>
      <c r="I4281" s="23"/>
    </row>
    <row r="4282" spans="1:9">
      <c r="A4282" s="21" t="s">
        <v>9465</v>
      </c>
      <c r="B4282" s="21"/>
      <c r="C4282" s="22">
        <v>4270</v>
      </c>
      <c r="D4282" s="21">
        <v>4.78</v>
      </c>
      <c r="E4282" s="21" t="s">
        <v>5796</v>
      </c>
      <c r="F4282" s="23"/>
      <c r="G4282" s="23">
        <f t="shared" si="16"/>
        <v>4.78</v>
      </c>
      <c r="H4282" s="23"/>
      <c r="I4282" s="23"/>
    </row>
    <row r="4283" spans="1:9">
      <c r="A4283" s="21" t="s">
        <v>9466</v>
      </c>
      <c r="B4283" s="21"/>
      <c r="C4283" s="22">
        <v>4271</v>
      </c>
      <c r="D4283" s="21">
        <v>4.78</v>
      </c>
      <c r="E4283" s="21" t="s">
        <v>5796</v>
      </c>
      <c r="F4283" s="23"/>
      <c r="G4283" s="23">
        <f t="shared" si="16"/>
        <v>4.78</v>
      </c>
      <c r="H4283" s="23"/>
      <c r="I4283" s="23"/>
    </row>
    <row r="4284" spans="1:9">
      <c r="A4284" s="21" t="s">
        <v>9467</v>
      </c>
      <c r="B4284" s="21"/>
      <c r="C4284" s="22">
        <v>4272</v>
      </c>
      <c r="D4284" s="21">
        <v>4.7699999999999996</v>
      </c>
      <c r="E4284" s="21" t="s">
        <v>5796</v>
      </c>
      <c r="F4284" s="23"/>
      <c r="G4284" s="23">
        <f t="shared" si="16"/>
        <v>4.7699999999999996</v>
      </c>
      <c r="H4284" s="23"/>
      <c r="I4284" s="23"/>
    </row>
    <row r="4285" spans="1:9">
      <c r="A4285" s="21" t="s">
        <v>9468</v>
      </c>
      <c r="B4285" s="21"/>
      <c r="C4285" s="22">
        <v>4273</v>
      </c>
      <c r="D4285" s="21">
        <v>4.7699999999999996</v>
      </c>
      <c r="E4285" s="21" t="s">
        <v>5796</v>
      </c>
      <c r="F4285" s="23"/>
      <c r="G4285" s="23">
        <f t="shared" si="16"/>
        <v>4.7699999999999996</v>
      </c>
      <c r="H4285" s="23"/>
      <c r="I4285" s="23"/>
    </row>
    <row r="4286" spans="1:9">
      <c r="A4286" s="21" t="s">
        <v>9469</v>
      </c>
      <c r="B4286" s="21"/>
      <c r="C4286" s="22">
        <v>4274</v>
      </c>
      <c r="D4286" s="21">
        <v>4.7699999999999996</v>
      </c>
      <c r="E4286" s="21" t="s">
        <v>5796</v>
      </c>
      <c r="F4286" s="23"/>
      <c r="G4286" s="23">
        <f t="shared" si="16"/>
        <v>4.7699999999999996</v>
      </c>
      <c r="H4286" s="23"/>
      <c r="I4286" s="23"/>
    </row>
    <row r="4287" spans="1:9">
      <c r="A4287" s="21" t="s">
        <v>9470</v>
      </c>
      <c r="B4287" s="21"/>
      <c r="C4287" s="22">
        <v>4275</v>
      </c>
      <c r="D4287" s="21">
        <v>4.76</v>
      </c>
      <c r="E4287" s="21" t="s">
        <v>5796</v>
      </c>
      <c r="F4287" s="23"/>
      <c r="G4287" s="23">
        <f t="shared" si="16"/>
        <v>4.76</v>
      </c>
      <c r="H4287" s="23"/>
      <c r="I4287" s="23"/>
    </row>
    <row r="4288" spans="1:9">
      <c r="A4288" s="21" t="s">
        <v>9471</v>
      </c>
      <c r="B4288" s="21"/>
      <c r="C4288" s="22">
        <v>4276</v>
      </c>
      <c r="D4288" s="21">
        <v>4.76</v>
      </c>
      <c r="E4288" s="21" t="s">
        <v>5796</v>
      </c>
      <c r="F4288" s="23"/>
      <c r="G4288" s="23">
        <f t="shared" si="16"/>
        <v>4.76</v>
      </c>
      <c r="H4288" s="23"/>
      <c r="I4288" s="23"/>
    </row>
    <row r="4289" spans="1:9">
      <c r="A4289" s="21" t="s">
        <v>9472</v>
      </c>
      <c r="B4289" s="21"/>
      <c r="C4289" s="22">
        <v>4278</v>
      </c>
      <c r="D4289" s="21">
        <v>4.75</v>
      </c>
      <c r="E4289" s="21" t="s">
        <v>5796</v>
      </c>
      <c r="F4289" s="23"/>
      <c r="G4289" s="23">
        <f t="shared" si="16"/>
        <v>4.75</v>
      </c>
      <c r="H4289" s="23"/>
      <c r="I4289" s="23"/>
    </row>
    <row r="4290" spans="1:9">
      <c r="A4290" s="21" t="s">
        <v>9473</v>
      </c>
      <c r="B4290" s="21"/>
      <c r="C4290" s="22">
        <v>4279</v>
      </c>
      <c r="D4290" s="21">
        <v>4.75</v>
      </c>
      <c r="E4290" s="21" t="s">
        <v>5796</v>
      </c>
      <c r="F4290" s="23"/>
      <c r="G4290" s="23">
        <f t="shared" si="16"/>
        <v>4.75</v>
      </c>
      <c r="H4290" s="23"/>
      <c r="I4290" s="23"/>
    </row>
    <row r="4291" spans="1:9">
      <c r="A4291" s="21" t="s">
        <v>9474</v>
      </c>
      <c r="B4291" s="21"/>
      <c r="C4291" s="22">
        <v>4280</v>
      </c>
      <c r="D4291" s="21">
        <v>4.75</v>
      </c>
      <c r="E4291" s="21" t="s">
        <v>5796</v>
      </c>
      <c r="F4291" s="23"/>
      <c r="G4291" s="23">
        <f t="shared" si="16"/>
        <v>4.75</v>
      </c>
      <c r="H4291" s="23"/>
      <c r="I4291" s="23"/>
    </row>
    <row r="4292" spans="1:9">
      <c r="A4292" s="21" t="s">
        <v>9475</v>
      </c>
      <c r="B4292" s="21"/>
      <c r="C4292" s="22">
        <v>4281</v>
      </c>
      <c r="D4292" s="21">
        <v>4.74</v>
      </c>
      <c r="E4292" s="21" t="s">
        <v>5796</v>
      </c>
      <c r="F4292" s="23"/>
      <c r="G4292" s="23">
        <f t="shared" si="16"/>
        <v>4.74</v>
      </c>
      <c r="H4292" s="23"/>
      <c r="I4292" s="23"/>
    </row>
    <row r="4293" spans="1:9">
      <c r="A4293" s="21" t="s">
        <v>9476</v>
      </c>
      <c r="B4293" s="21"/>
      <c r="C4293" s="22">
        <v>4282</v>
      </c>
      <c r="D4293" s="21">
        <v>4.7300000000000004</v>
      </c>
      <c r="E4293" s="21" t="s">
        <v>5796</v>
      </c>
      <c r="F4293" s="23"/>
      <c r="G4293" s="23">
        <f t="shared" si="16"/>
        <v>4.7300000000000004</v>
      </c>
      <c r="H4293" s="23"/>
      <c r="I4293" s="23"/>
    </row>
    <row r="4294" spans="1:9">
      <c r="A4294" s="21" t="s">
        <v>9477</v>
      </c>
      <c r="B4294" s="21"/>
      <c r="C4294" s="22">
        <v>4283</v>
      </c>
      <c r="D4294" s="21">
        <v>4.72</v>
      </c>
      <c r="E4294" s="21" t="s">
        <v>5796</v>
      </c>
      <c r="F4294" s="23"/>
      <c r="G4294" s="23">
        <f t="shared" si="16"/>
        <v>4.72</v>
      </c>
      <c r="H4294" s="23"/>
      <c r="I4294" s="23"/>
    </row>
    <row r="4295" spans="1:9">
      <c r="A4295" s="21" t="s">
        <v>9478</v>
      </c>
      <c r="B4295" s="21"/>
      <c r="C4295" s="22">
        <v>4284</v>
      </c>
      <c r="D4295" s="21">
        <v>4.71</v>
      </c>
      <c r="E4295" s="21" t="s">
        <v>5796</v>
      </c>
      <c r="F4295" s="23"/>
      <c r="G4295" s="23">
        <f t="shared" si="16"/>
        <v>4.71</v>
      </c>
      <c r="H4295" s="23"/>
      <c r="I4295" s="23"/>
    </row>
    <row r="4296" spans="1:9">
      <c r="A4296" s="21" t="s">
        <v>9479</v>
      </c>
      <c r="B4296" s="21"/>
      <c r="C4296" s="22">
        <v>4285</v>
      </c>
      <c r="D4296" s="21">
        <v>4.71</v>
      </c>
      <c r="E4296" s="21" t="s">
        <v>5796</v>
      </c>
      <c r="F4296" s="23"/>
      <c r="G4296" s="23">
        <f t="shared" si="16"/>
        <v>4.71</v>
      </c>
      <c r="H4296" s="23"/>
      <c r="I4296" s="23"/>
    </row>
    <row r="4297" spans="1:9">
      <c r="A4297" s="21" t="s">
        <v>9480</v>
      </c>
      <c r="B4297" s="21"/>
      <c r="C4297" s="22">
        <v>4286</v>
      </c>
      <c r="D4297" s="21">
        <v>4.71</v>
      </c>
      <c r="E4297" s="21" t="s">
        <v>5796</v>
      </c>
      <c r="F4297" s="23"/>
      <c r="G4297" s="23">
        <f t="shared" si="16"/>
        <v>4.71</v>
      </c>
      <c r="H4297" s="23"/>
      <c r="I4297" s="23"/>
    </row>
    <row r="4298" spans="1:9">
      <c r="A4298" s="21" t="s">
        <v>9481</v>
      </c>
      <c r="B4298" s="21"/>
      <c r="C4298" s="22">
        <v>4287</v>
      </c>
      <c r="D4298" s="21">
        <v>4.7</v>
      </c>
      <c r="E4298" s="21" t="s">
        <v>5796</v>
      </c>
      <c r="F4298" s="23"/>
      <c r="G4298" s="23">
        <f t="shared" si="16"/>
        <v>4.7</v>
      </c>
      <c r="H4298" s="23"/>
      <c r="I4298" s="23"/>
    </row>
    <row r="4299" spans="1:9">
      <c r="A4299" s="21" t="s">
        <v>9482</v>
      </c>
      <c r="B4299" s="21"/>
      <c r="C4299" s="22">
        <v>4288</v>
      </c>
      <c r="D4299" s="21">
        <v>4.6900000000000004</v>
      </c>
      <c r="E4299" s="21" t="s">
        <v>5796</v>
      </c>
      <c r="F4299" s="23"/>
      <c r="G4299" s="23">
        <f t="shared" si="16"/>
        <v>4.6900000000000004</v>
      </c>
      <c r="H4299" s="23"/>
      <c r="I4299" s="23"/>
    </row>
    <row r="4300" spans="1:9">
      <c r="A4300" s="21" t="s">
        <v>9483</v>
      </c>
      <c r="B4300" s="21"/>
      <c r="C4300" s="22">
        <v>4289</v>
      </c>
      <c r="D4300" s="21">
        <v>4.6900000000000004</v>
      </c>
      <c r="E4300" s="21" t="s">
        <v>5796</v>
      </c>
      <c r="F4300" s="23"/>
      <c r="G4300" s="23">
        <f t="shared" si="16"/>
        <v>4.6900000000000004</v>
      </c>
      <c r="H4300" s="23"/>
      <c r="I4300" s="23"/>
    </row>
    <row r="4301" spans="1:9">
      <c r="A4301" s="21" t="s">
        <v>9484</v>
      </c>
      <c r="B4301" s="21"/>
      <c r="C4301" s="22">
        <v>4290</v>
      </c>
      <c r="D4301" s="21">
        <v>4.68</v>
      </c>
      <c r="E4301" s="21" t="s">
        <v>5796</v>
      </c>
      <c r="F4301" s="23"/>
      <c r="G4301" s="23">
        <f t="shared" si="16"/>
        <v>4.68</v>
      </c>
      <c r="H4301" s="23"/>
      <c r="I4301" s="23"/>
    </row>
    <row r="4302" spans="1:9">
      <c r="A4302" s="21" t="s">
        <v>9485</v>
      </c>
      <c r="B4302" s="21"/>
      <c r="C4302" s="22">
        <v>4291</v>
      </c>
      <c r="D4302" s="21">
        <v>4.67</v>
      </c>
      <c r="E4302" s="21" t="s">
        <v>5796</v>
      </c>
      <c r="F4302" s="23"/>
      <c r="G4302" s="23">
        <f t="shared" si="16"/>
        <v>4.67</v>
      </c>
      <c r="H4302" s="23"/>
      <c r="I4302" s="23"/>
    </row>
    <row r="4303" spans="1:9">
      <c r="A4303" s="21" t="s">
        <v>9486</v>
      </c>
      <c r="B4303" s="21"/>
      <c r="C4303" s="22">
        <v>4292</v>
      </c>
      <c r="D4303" s="21">
        <v>4.6500000000000004</v>
      </c>
      <c r="E4303" s="21" t="s">
        <v>5796</v>
      </c>
      <c r="F4303" s="23"/>
      <c r="G4303" s="23">
        <f t="shared" si="16"/>
        <v>4.6500000000000004</v>
      </c>
      <c r="H4303" s="23"/>
      <c r="I4303" s="23"/>
    </row>
    <row r="4304" spans="1:9">
      <c r="A4304" s="21" t="s">
        <v>9487</v>
      </c>
      <c r="B4304" s="21"/>
      <c r="C4304" s="22">
        <v>4293</v>
      </c>
      <c r="D4304" s="21">
        <v>4.6500000000000004</v>
      </c>
      <c r="E4304" s="21" t="s">
        <v>5796</v>
      </c>
      <c r="F4304" s="23"/>
      <c r="G4304" s="23">
        <f t="shared" si="16"/>
        <v>4.6500000000000004</v>
      </c>
      <c r="H4304" s="23"/>
      <c r="I4304" s="23"/>
    </row>
    <row r="4305" spans="1:9">
      <c r="A4305" s="21" t="s">
        <v>9488</v>
      </c>
      <c r="B4305" s="21"/>
      <c r="C4305" s="22">
        <v>4294</v>
      </c>
      <c r="D4305" s="21">
        <v>4.62</v>
      </c>
      <c r="E4305" s="21" t="s">
        <v>5796</v>
      </c>
      <c r="F4305" s="23"/>
      <c r="G4305" s="23">
        <f t="shared" si="16"/>
        <v>4.62</v>
      </c>
      <c r="H4305" s="23"/>
      <c r="I4305" s="23"/>
    </row>
    <row r="4306" spans="1:9">
      <c r="A4306" s="21" t="s">
        <v>9489</v>
      </c>
      <c r="B4306" s="21"/>
      <c r="C4306" s="22">
        <v>4295</v>
      </c>
      <c r="D4306" s="21">
        <v>4.62</v>
      </c>
      <c r="E4306" s="21" t="s">
        <v>5796</v>
      </c>
      <c r="F4306" s="23"/>
      <c r="G4306" s="23">
        <f t="shared" si="16"/>
        <v>4.62</v>
      </c>
      <c r="H4306" s="23"/>
      <c r="I4306" s="23"/>
    </row>
    <row r="4307" spans="1:9">
      <c r="A4307" s="21" t="s">
        <v>9490</v>
      </c>
      <c r="B4307" s="21"/>
      <c r="C4307" s="22">
        <v>4296</v>
      </c>
      <c r="D4307" s="21">
        <v>4.6100000000000003</v>
      </c>
      <c r="E4307" s="21" t="s">
        <v>5796</v>
      </c>
      <c r="F4307" s="23"/>
      <c r="G4307" s="23">
        <f t="shared" si="16"/>
        <v>4.6100000000000003</v>
      </c>
      <c r="H4307" s="23"/>
      <c r="I4307" s="23"/>
    </row>
    <row r="4308" spans="1:9">
      <c r="A4308" s="21" t="s">
        <v>9491</v>
      </c>
      <c r="B4308" s="21"/>
      <c r="C4308" s="22">
        <v>4297</v>
      </c>
      <c r="D4308" s="21">
        <v>4.59</v>
      </c>
      <c r="E4308" s="21" t="s">
        <v>5796</v>
      </c>
      <c r="F4308" s="23"/>
      <c r="G4308" s="23">
        <f t="shared" si="16"/>
        <v>4.59</v>
      </c>
      <c r="H4308" s="23"/>
      <c r="I4308" s="23"/>
    </row>
    <row r="4309" spans="1:9">
      <c r="A4309" s="21" t="s">
        <v>9492</v>
      </c>
      <c r="B4309" s="21"/>
      <c r="C4309" s="22">
        <v>4298</v>
      </c>
      <c r="D4309" s="21">
        <v>4.59</v>
      </c>
      <c r="E4309" s="21" t="s">
        <v>5796</v>
      </c>
      <c r="F4309" s="23"/>
      <c r="G4309" s="23">
        <f t="shared" si="16"/>
        <v>4.59</v>
      </c>
      <c r="H4309" s="23"/>
      <c r="I4309" s="23"/>
    </row>
    <row r="4310" spans="1:9">
      <c r="A4310" s="21" t="s">
        <v>9493</v>
      </c>
      <c r="B4310" s="21"/>
      <c r="C4310" s="22">
        <v>4299</v>
      </c>
      <c r="D4310" s="21">
        <v>4.59</v>
      </c>
      <c r="E4310" s="21" t="s">
        <v>5796</v>
      </c>
      <c r="F4310" s="23"/>
      <c r="G4310" s="23">
        <f t="shared" si="16"/>
        <v>4.59</v>
      </c>
      <c r="H4310" s="23"/>
      <c r="I4310" s="23"/>
    </row>
    <row r="4311" spans="1:9">
      <c r="A4311" s="21" t="s">
        <v>9494</v>
      </c>
      <c r="B4311" s="21"/>
      <c r="C4311" s="22">
        <v>4300</v>
      </c>
      <c r="D4311" s="21">
        <v>4.58</v>
      </c>
      <c r="E4311" s="21" t="s">
        <v>5796</v>
      </c>
      <c r="F4311" s="23"/>
      <c r="G4311" s="23">
        <f t="shared" si="16"/>
        <v>4.58</v>
      </c>
      <c r="H4311" s="23"/>
      <c r="I4311" s="23"/>
    </row>
    <row r="4312" spans="1:9">
      <c r="A4312" s="21" t="s">
        <v>9495</v>
      </c>
      <c r="B4312" s="21"/>
      <c r="C4312" s="22">
        <v>4301</v>
      </c>
      <c r="D4312" s="21">
        <v>4.57</v>
      </c>
      <c r="E4312" s="21" t="s">
        <v>5796</v>
      </c>
      <c r="F4312" s="23"/>
      <c r="G4312" s="23">
        <f t="shared" si="16"/>
        <v>4.57</v>
      </c>
      <c r="H4312" s="23"/>
      <c r="I4312" s="23"/>
    </row>
    <row r="4313" spans="1:9">
      <c r="A4313" s="21" t="s">
        <v>9496</v>
      </c>
      <c r="B4313" s="21"/>
      <c r="C4313" s="22">
        <v>4302</v>
      </c>
      <c r="D4313" s="21">
        <v>4.5599999999999996</v>
      </c>
      <c r="E4313" s="21" t="s">
        <v>5796</v>
      </c>
      <c r="F4313" s="23"/>
      <c r="G4313" s="23">
        <f t="shared" si="16"/>
        <v>4.5599999999999996</v>
      </c>
      <c r="H4313" s="23"/>
      <c r="I4313" s="23"/>
    </row>
    <row r="4314" spans="1:9">
      <c r="A4314" s="21" t="s">
        <v>9497</v>
      </c>
      <c r="B4314" s="21"/>
      <c r="C4314" s="22">
        <v>4303</v>
      </c>
      <c r="D4314" s="21">
        <v>4.5599999999999996</v>
      </c>
      <c r="E4314" s="21" t="s">
        <v>5796</v>
      </c>
      <c r="F4314" s="23"/>
      <c r="G4314" s="23">
        <f t="shared" si="16"/>
        <v>4.5599999999999996</v>
      </c>
      <c r="H4314" s="23"/>
      <c r="I4314" s="23"/>
    </row>
    <row r="4315" spans="1:9">
      <c r="A4315" s="21" t="s">
        <v>9498</v>
      </c>
      <c r="B4315" s="21"/>
      <c r="C4315" s="22">
        <v>4304</v>
      </c>
      <c r="D4315" s="21">
        <v>4.55</v>
      </c>
      <c r="E4315" s="21" t="s">
        <v>5796</v>
      </c>
      <c r="F4315" s="23"/>
      <c r="G4315" s="23">
        <f t="shared" si="16"/>
        <v>4.55</v>
      </c>
      <c r="H4315" s="23"/>
      <c r="I4315" s="23"/>
    </row>
    <row r="4316" spans="1:9">
      <c r="A4316" s="21" t="s">
        <v>9499</v>
      </c>
      <c r="B4316" s="21"/>
      <c r="C4316" s="22">
        <v>4305</v>
      </c>
      <c r="D4316" s="21">
        <v>4.54</v>
      </c>
      <c r="E4316" s="21" t="s">
        <v>5796</v>
      </c>
      <c r="F4316" s="23"/>
      <c r="G4316" s="23">
        <f t="shared" si="16"/>
        <v>4.54</v>
      </c>
      <c r="H4316" s="23"/>
      <c r="I4316" s="23"/>
    </row>
    <row r="4317" spans="1:9">
      <c r="A4317" s="21" t="s">
        <v>9500</v>
      </c>
      <c r="B4317" s="21"/>
      <c r="C4317" s="22">
        <v>4306</v>
      </c>
      <c r="D4317" s="21">
        <v>4.5199999999999996</v>
      </c>
      <c r="E4317" s="21" t="s">
        <v>5796</v>
      </c>
      <c r="F4317" s="23"/>
      <c r="G4317" s="23">
        <f t="shared" si="16"/>
        <v>4.5199999999999996</v>
      </c>
      <c r="H4317" s="23"/>
      <c r="I4317" s="23"/>
    </row>
    <row r="4318" spans="1:9">
      <c r="A4318" s="21" t="s">
        <v>9501</v>
      </c>
      <c r="B4318" s="21"/>
      <c r="C4318" s="22">
        <v>4307</v>
      </c>
      <c r="D4318" s="21">
        <v>4.5199999999999996</v>
      </c>
      <c r="E4318" s="21" t="s">
        <v>5796</v>
      </c>
      <c r="F4318" s="23"/>
      <c r="G4318" s="23">
        <f t="shared" si="16"/>
        <v>4.5199999999999996</v>
      </c>
      <c r="H4318" s="23"/>
      <c r="I4318" s="23"/>
    </row>
    <row r="4319" spans="1:9">
      <c r="A4319" s="21" t="s">
        <v>9502</v>
      </c>
      <c r="B4319" s="21"/>
      <c r="C4319" s="22">
        <v>4308</v>
      </c>
      <c r="D4319" s="21">
        <v>4.51</v>
      </c>
      <c r="E4319" s="21" t="s">
        <v>5796</v>
      </c>
      <c r="F4319" s="23"/>
      <c r="G4319" s="23">
        <f t="shared" si="16"/>
        <v>4.51</v>
      </c>
      <c r="H4319" s="23"/>
      <c r="I4319" s="23"/>
    </row>
    <row r="4320" spans="1:9">
      <c r="A4320" s="21" t="s">
        <v>9503</v>
      </c>
      <c r="B4320" s="21"/>
      <c r="C4320" s="22">
        <v>4309</v>
      </c>
      <c r="D4320" s="21">
        <v>4.51</v>
      </c>
      <c r="E4320" s="21" t="s">
        <v>5796</v>
      </c>
      <c r="F4320" s="23"/>
      <c r="G4320" s="23">
        <f t="shared" si="16"/>
        <v>4.51</v>
      </c>
      <c r="H4320" s="23"/>
      <c r="I4320" s="23"/>
    </row>
    <row r="4321" spans="1:9">
      <c r="A4321" s="21" t="s">
        <v>9504</v>
      </c>
      <c r="B4321" s="21"/>
      <c r="C4321" s="22">
        <v>4310</v>
      </c>
      <c r="D4321" s="21">
        <v>4.5</v>
      </c>
      <c r="E4321" s="21" t="s">
        <v>5796</v>
      </c>
      <c r="F4321" s="23"/>
      <c r="G4321" s="23">
        <f t="shared" si="16"/>
        <v>4.5</v>
      </c>
      <c r="H4321" s="23"/>
      <c r="I4321" s="23"/>
    </row>
    <row r="4322" spans="1:9">
      <c r="A4322" s="21" t="s">
        <v>9505</v>
      </c>
      <c r="B4322" s="21"/>
      <c r="C4322" s="22">
        <v>4311</v>
      </c>
      <c r="D4322" s="21">
        <v>4.5</v>
      </c>
      <c r="E4322" s="21" t="s">
        <v>5796</v>
      </c>
      <c r="F4322" s="23"/>
      <c r="G4322" s="23">
        <f t="shared" si="16"/>
        <v>4.5</v>
      </c>
      <c r="H4322" s="23"/>
      <c r="I4322" s="23"/>
    </row>
    <row r="4323" spans="1:9">
      <c r="A4323" s="21" t="s">
        <v>9506</v>
      </c>
      <c r="B4323" s="21"/>
      <c r="C4323" s="22">
        <v>4312</v>
      </c>
      <c r="D4323" s="21">
        <v>4.49</v>
      </c>
      <c r="E4323" s="21" t="s">
        <v>5796</v>
      </c>
      <c r="F4323" s="23"/>
      <c r="G4323" s="23">
        <f t="shared" si="16"/>
        <v>4.49</v>
      </c>
      <c r="H4323" s="23"/>
      <c r="I4323" s="23"/>
    </row>
    <row r="4324" spans="1:9">
      <c r="A4324" s="21" t="s">
        <v>9507</v>
      </c>
      <c r="B4324" s="21"/>
      <c r="C4324" s="22">
        <v>4313</v>
      </c>
      <c r="D4324" s="21">
        <v>4.4800000000000004</v>
      </c>
      <c r="E4324" s="21" t="s">
        <v>5796</v>
      </c>
      <c r="F4324" s="23"/>
      <c r="G4324" s="23">
        <f t="shared" si="16"/>
        <v>4.4800000000000004</v>
      </c>
      <c r="H4324" s="23"/>
      <c r="I4324" s="23"/>
    </row>
    <row r="4325" spans="1:9">
      <c r="A4325" s="21" t="s">
        <v>9508</v>
      </c>
      <c r="B4325" s="21"/>
      <c r="C4325" s="22">
        <v>4314</v>
      </c>
      <c r="D4325" s="21">
        <v>4.4800000000000004</v>
      </c>
      <c r="E4325" s="21" t="s">
        <v>5796</v>
      </c>
      <c r="F4325" s="23"/>
      <c r="G4325" s="23">
        <f t="shared" si="16"/>
        <v>4.4800000000000004</v>
      </c>
      <c r="H4325" s="23"/>
      <c r="I4325" s="23"/>
    </row>
    <row r="4326" spans="1:9">
      <c r="A4326" s="21" t="s">
        <v>9509</v>
      </c>
      <c r="B4326" s="21"/>
      <c r="C4326" s="22">
        <v>4315</v>
      </c>
      <c r="D4326" s="21">
        <v>4.4800000000000004</v>
      </c>
      <c r="E4326" s="21" t="s">
        <v>5796</v>
      </c>
      <c r="F4326" s="23"/>
      <c r="G4326" s="23">
        <f t="shared" si="16"/>
        <v>4.4800000000000004</v>
      </c>
      <c r="H4326" s="23"/>
      <c r="I4326" s="23"/>
    </row>
    <row r="4327" spans="1:9">
      <c r="A4327" s="21" t="s">
        <v>9510</v>
      </c>
      <c r="B4327" s="21"/>
      <c r="C4327" s="22">
        <v>4316</v>
      </c>
      <c r="D4327" s="21">
        <v>4.47</v>
      </c>
      <c r="E4327" s="21" t="s">
        <v>5796</v>
      </c>
      <c r="F4327" s="23"/>
      <c r="G4327" s="23">
        <f t="shared" si="16"/>
        <v>4.47</v>
      </c>
      <c r="H4327" s="23"/>
      <c r="I4327" s="23"/>
    </row>
    <row r="4328" spans="1:9">
      <c r="A4328" s="21" t="s">
        <v>9511</v>
      </c>
      <c r="B4328" s="21"/>
      <c r="C4328" s="22">
        <v>4317</v>
      </c>
      <c r="D4328" s="21">
        <v>4.47</v>
      </c>
      <c r="E4328" s="21" t="s">
        <v>5796</v>
      </c>
      <c r="F4328" s="23"/>
      <c r="G4328" s="23">
        <f t="shared" si="16"/>
        <v>4.47</v>
      </c>
      <c r="H4328" s="23"/>
      <c r="I4328" s="23"/>
    </row>
    <row r="4329" spans="1:9">
      <c r="A4329" s="21" t="s">
        <v>9512</v>
      </c>
      <c r="B4329" s="21"/>
      <c r="C4329" s="22">
        <v>4318</v>
      </c>
      <c r="D4329" s="21">
        <v>4.46</v>
      </c>
      <c r="E4329" s="21" t="s">
        <v>5796</v>
      </c>
      <c r="F4329" s="23"/>
      <c r="G4329" s="23">
        <f t="shared" si="16"/>
        <v>4.46</v>
      </c>
      <c r="H4329" s="23"/>
      <c r="I4329" s="23"/>
    </row>
    <row r="4330" spans="1:9">
      <c r="A4330" s="21" t="s">
        <v>9513</v>
      </c>
      <c r="B4330" s="21"/>
      <c r="C4330" s="22">
        <v>4319</v>
      </c>
      <c r="D4330" s="21">
        <v>4.46</v>
      </c>
      <c r="E4330" s="21" t="s">
        <v>5796</v>
      </c>
      <c r="F4330" s="23"/>
      <c r="G4330" s="23">
        <f t="shared" si="16"/>
        <v>4.46</v>
      </c>
      <c r="H4330" s="23"/>
      <c r="I4330" s="23"/>
    </row>
    <row r="4331" spans="1:9">
      <c r="A4331" s="21" t="s">
        <v>9514</v>
      </c>
      <c r="B4331" s="21"/>
      <c r="C4331" s="22">
        <v>4320</v>
      </c>
      <c r="D4331" s="21">
        <v>4.46</v>
      </c>
      <c r="E4331" s="21" t="s">
        <v>5796</v>
      </c>
      <c r="F4331" s="23"/>
      <c r="G4331" s="23">
        <f t="shared" si="16"/>
        <v>4.46</v>
      </c>
      <c r="H4331" s="23"/>
      <c r="I4331" s="23"/>
    </row>
    <row r="4332" spans="1:9">
      <c r="A4332" s="21" t="s">
        <v>9515</v>
      </c>
      <c r="B4332" s="21"/>
      <c r="C4332" s="22">
        <v>4321</v>
      </c>
      <c r="D4332" s="21">
        <v>4.4400000000000004</v>
      </c>
      <c r="E4332" s="21" t="s">
        <v>5796</v>
      </c>
      <c r="F4332" s="23"/>
      <c r="G4332" s="23">
        <f t="shared" si="16"/>
        <v>4.4400000000000004</v>
      </c>
      <c r="H4332" s="23"/>
      <c r="I4332" s="23"/>
    </row>
    <row r="4333" spans="1:9">
      <c r="A4333" s="21" t="s">
        <v>9516</v>
      </c>
      <c r="B4333" s="21"/>
      <c r="C4333" s="22">
        <v>4322</v>
      </c>
      <c r="D4333" s="21">
        <v>4.4400000000000004</v>
      </c>
      <c r="E4333" s="21" t="s">
        <v>5796</v>
      </c>
      <c r="F4333" s="23"/>
      <c r="G4333" s="23">
        <f t="shared" si="16"/>
        <v>4.4400000000000004</v>
      </c>
      <c r="H4333" s="23"/>
      <c r="I4333" s="23"/>
    </row>
    <row r="4334" spans="1:9">
      <c r="A4334" s="21" t="s">
        <v>9517</v>
      </c>
      <c r="B4334" s="21"/>
      <c r="C4334" s="22">
        <v>4323</v>
      </c>
      <c r="D4334" s="21">
        <v>4.41</v>
      </c>
      <c r="E4334" s="21" t="s">
        <v>5796</v>
      </c>
      <c r="F4334" s="23"/>
      <c r="G4334" s="23">
        <f t="shared" si="16"/>
        <v>4.41</v>
      </c>
      <c r="H4334" s="23"/>
      <c r="I4334" s="23"/>
    </row>
    <row r="4335" spans="1:9">
      <c r="A4335" s="21" t="s">
        <v>9518</v>
      </c>
      <c r="B4335" s="21"/>
      <c r="C4335" s="22">
        <v>4324</v>
      </c>
      <c r="D4335" s="21">
        <v>4.41</v>
      </c>
      <c r="E4335" s="21" t="s">
        <v>5796</v>
      </c>
      <c r="F4335" s="23"/>
      <c r="G4335" s="23">
        <f t="shared" si="16"/>
        <v>4.41</v>
      </c>
      <c r="H4335" s="23"/>
      <c r="I4335" s="23"/>
    </row>
    <row r="4336" spans="1:9">
      <c r="A4336" s="21" t="s">
        <v>9519</v>
      </c>
      <c r="B4336" s="21"/>
      <c r="C4336" s="22">
        <v>4325</v>
      </c>
      <c r="D4336" s="21">
        <v>4.4000000000000004</v>
      </c>
      <c r="E4336" s="21" t="s">
        <v>5796</v>
      </c>
      <c r="F4336" s="23"/>
      <c r="G4336" s="23">
        <f t="shared" si="16"/>
        <v>4.4000000000000004</v>
      </c>
      <c r="H4336" s="23"/>
      <c r="I4336" s="23"/>
    </row>
    <row r="4337" spans="1:9">
      <c r="A4337" s="21" t="s">
        <v>9520</v>
      </c>
      <c r="B4337" s="21"/>
      <c r="C4337" s="22">
        <v>4326</v>
      </c>
      <c r="D4337" s="21">
        <v>4.3899999999999997</v>
      </c>
      <c r="E4337" s="21" t="s">
        <v>5796</v>
      </c>
      <c r="F4337" s="23"/>
      <c r="G4337" s="23">
        <f t="shared" si="16"/>
        <v>4.3899999999999997</v>
      </c>
      <c r="H4337" s="23"/>
      <c r="I4337" s="23"/>
    </row>
    <row r="4338" spans="1:9">
      <c r="A4338" s="21" t="s">
        <v>9521</v>
      </c>
      <c r="B4338" s="21"/>
      <c r="C4338" s="22">
        <v>4327</v>
      </c>
      <c r="D4338" s="21">
        <v>4.37</v>
      </c>
      <c r="E4338" s="21" t="s">
        <v>5796</v>
      </c>
      <c r="F4338" s="23"/>
      <c r="G4338" s="23">
        <f t="shared" ref="G4338:G4592" si="17">VALUE(SUBSTITUTE(D4338, ",", ""))</f>
        <v>4.37</v>
      </c>
      <c r="H4338" s="23"/>
      <c r="I4338" s="23"/>
    </row>
    <row r="4339" spans="1:9">
      <c r="A4339" s="21" t="s">
        <v>9522</v>
      </c>
      <c r="B4339" s="21"/>
      <c r="C4339" s="22">
        <v>4328</v>
      </c>
      <c r="D4339" s="21">
        <v>4.3499999999999996</v>
      </c>
      <c r="E4339" s="21" t="s">
        <v>5796</v>
      </c>
      <c r="F4339" s="23"/>
      <c r="G4339" s="23">
        <f t="shared" si="17"/>
        <v>4.3499999999999996</v>
      </c>
      <c r="H4339" s="23"/>
      <c r="I4339" s="23"/>
    </row>
    <row r="4340" spans="1:9">
      <c r="A4340" s="21" t="s">
        <v>9523</v>
      </c>
      <c r="B4340" s="21"/>
      <c r="C4340" s="22">
        <v>4329</v>
      </c>
      <c r="D4340" s="21">
        <v>4.3499999999999996</v>
      </c>
      <c r="E4340" s="21" t="s">
        <v>5796</v>
      </c>
      <c r="F4340" s="23"/>
      <c r="G4340" s="23">
        <f t="shared" si="17"/>
        <v>4.3499999999999996</v>
      </c>
      <c r="H4340" s="23"/>
      <c r="I4340" s="23"/>
    </row>
    <row r="4341" spans="1:9">
      <c r="A4341" s="21" t="s">
        <v>9524</v>
      </c>
      <c r="B4341" s="21"/>
      <c r="C4341" s="22">
        <v>4330</v>
      </c>
      <c r="D4341" s="21">
        <v>4.3499999999999996</v>
      </c>
      <c r="E4341" s="21" t="s">
        <v>5796</v>
      </c>
      <c r="F4341" s="23"/>
      <c r="G4341" s="23">
        <f t="shared" si="17"/>
        <v>4.3499999999999996</v>
      </c>
      <c r="H4341" s="23"/>
      <c r="I4341" s="23"/>
    </row>
    <row r="4342" spans="1:9">
      <c r="A4342" s="21" t="s">
        <v>9525</v>
      </c>
      <c r="B4342" s="21"/>
      <c r="C4342" s="22">
        <v>4331</v>
      </c>
      <c r="D4342" s="21">
        <v>4.34</v>
      </c>
      <c r="E4342" s="21" t="s">
        <v>5796</v>
      </c>
      <c r="F4342" s="23"/>
      <c r="G4342" s="23">
        <f t="shared" si="17"/>
        <v>4.34</v>
      </c>
      <c r="H4342" s="23"/>
      <c r="I4342" s="23"/>
    </row>
    <row r="4343" spans="1:9">
      <c r="A4343" s="21" t="s">
        <v>9526</v>
      </c>
      <c r="B4343" s="21"/>
      <c r="C4343" s="22">
        <v>4332</v>
      </c>
      <c r="D4343" s="21">
        <v>4.34</v>
      </c>
      <c r="E4343" s="21" t="s">
        <v>5796</v>
      </c>
      <c r="F4343" s="23"/>
      <c r="G4343" s="23">
        <f t="shared" si="17"/>
        <v>4.34</v>
      </c>
      <c r="H4343" s="23"/>
      <c r="I4343" s="23"/>
    </row>
    <row r="4344" spans="1:9">
      <c r="A4344" s="21" t="s">
        <v>9527</v>
      </c>
      <c r="B4344" s="21"/>
      <c r="C4344" s="22">
        <v>4333</v>
      </c>
      <c r="D4344" s="21">
        <v>4.34</v>
      </c>
      <c r="E4344" s="21" t="s">
        <v>5796</v>
      </c>
      <c r="F4344" s="23"/>
      <c r="G4344" s="23">
        <f t="shared" si="17"/>
        <v>4.34</v>
      </c>
      <c r="H4344" s="23"/>
      <c r="I4344" s="23"/>
    </row>
    <row r="4345" spans="1:9">
      <c r="A4345" s="21" t="s">
        <v>9528</v>
      </c>
      <c r="B4345" s="21"/>
      <c r="C4345" s="22">
        <v>4334</v>
      </c>
      <c r="D4345" s="21">
        <v>4.34</v>
      </c>
      <c r="E4345" s="21" t="s">
        <v>5796</v>
      </c>
      <c r="F4345" s="23"/>
      <c r="G4345" s="23">
        <f t="shared" si="17"/>
        <v>4.34</v>
      </c>
      <c r="H4345" s="23"/>
      <c r="I4345" s="23"/>
    </row>
    <row r="4346" spans="1:9">
      <c r="A4346" s="21" t="s">
        <v>9529</v>
      </c>
      <c r="B4346" s="21"/>
      <c r="C4346" s="22">
        <v>4335</v>
      </c>
      <c r="D4346" s="21">
        <v>4.33</v>
      </c>
      <c r="E4346" s="21" t="s">
        <v>5796</v>
      </c>
      <c r="F4346" s="23"/>
      <c r="G4346" s="23">
        <f t="shared" si="17"/>
        <v>4.33</v>
      </c>
      <c r="H4346" s="23"/>
      <c r="I4346" s="23"/>
    </row>
    <row r="4347" spans="1:9">
      <c r="A4347" s="21" t="s">
        <v>9530</v>
      </c>
      <c r="B4347" s="21"/>
      <c r="C4347" s="22">
        <v>4336</v>
      </c>
      <c r="D4347" s="21">
        <v>4.33</v>
      </c>
      <c r="E4347" s="21" t="s">
        <v>5796</v>
      </c>
      <c r="F4347" s="23"/>
      <c r="G4347" s="23">
        <f t="shared" si="17"/>
        <v>4.33</v>
      </c>
      <c r="H4347" s="23"/>
      <c r="I4347" s="23"/>
    </row>
    <row r="4348" spans="1:9">
      <c r="A4348" s="21" t="s">
        <v>9531</v>
      </c>
      <c r="B4348" s="21"/>
      <c r="C4348" s="22">
        <v>4337</v>
      </c>
      <c r="D4348" s="21">
        <v>4.32</v>
      </c>
      <c r="E4348" s="21" t="s">
        <v>5796</v>
      </c>
      <c r="F4348" s="23"/>
      <c r="G4348" s="23">
        <f t="shared" si="17"/>
        <v>4.32</v>
      </c>
      <c r="H4348" s="23"/>
      <c r="I4348" s="23"/>
    </row>
    <row r="4349" spans="1:9">
      <c r="A4349" s="21" t="s">
        <v>9532</v>
      </c>
      <c r="B4349" s="21"/>
      <c r="C4349" s="22">
        <v>4338</v>
      </c>
      <c r="D4349" s="21">
        <v>4.32</v>
      </c>
      <c r="E4349" s="21" t="s">
        <v>5796</v>
      </c>
      <c r="F4349" s="23"/>
      <c r="G4349" s="23">
        <f t="shared" si="17"/>
        <v>4.32</v>
      </c>
      <c r="H4349" s="23"/>
      <c r="I4349" s="23"/>
    </row>
    <row r="4350" spans="1:9">
      <c r="A4350" s="21" t="s">
        <v>9533</v>
      </c>
      <c r="B4350" s="21"/>
      <c r="C4350" s="22">
        <v>4340</v>
      </c>
      <c r="D4350" s="21">
        <v>4.3099999999999996</v>
      </c>
      <c r="E4350" s="21" t="s">
        <v>5796</v>
      </c>
      <c r="F4350" s="23"/>
      <c r="G4350" s="23">
        <f t="shared" si="17"/>
        <v>4.3099999999999996</v>
      </c>
      <c r="H4350" s="23"/>
      <c r="I4350" s="23"/>
    </row>
    <row r="4351" spans="1:9">
      <c r="A4351" s="21" t="s">
        <v>9534</v>
      </c>
      <c r="B4351" s="21"/>
      <c r="C4351" s="22">
        <v>4341</v>
      </c>
      <c r="D4351" s="21">
        <v>4.3099999999999996</v>
      </c>
      <c r="E4351" s="21" t="s">
        <v>5796</v>
      </c>
      <c r="F4351" s="23"/>
      <c r="G4351" s="23">
        <f t="shared" si="17"/>
        <v>4.3099999999999996</v>
      </c>
      <c r="H4351" s="23"/>
      <c r="I4351" s="23"/>
    </row>
    <row r="4352" spans="1:9">
      <c r="A4352" s="21" t="s">
        <v>9535</v>
      </c>
      <c r="B4352" s="21"/>
      <c r="C4352" s="22">
        <v>4342</v>
      </c>
      <c r="D4352" s="21">
        <v>4.3</v>
      </c>
      <c r="E4352" s="21" t="s">
        <v>5796</v>
      </c>
      <c r="F4352" s="23"/>
      <c r="G4352" s="23">
        <f t="shared" si="17"/>
        <v>4.3</v>
      </c>
      <c r="H4352" s="23"/>
      <c r="I4352" s="23"/>
    </row>
    <row r="4353" spans="1:9">
      <c r="A4353" s="21" t="s">
        <v>9536</v>
      </c>
      <c r="B4353" s="21"/>
      <c r="C4353" s="22">
        <v>4343</v>
      </c>
      <c r="D4353" s="21">
        <v>4.29</v>
      </c>
      <c r="E4353" s="21" t="s">
        <v>5796</v>
      </c>
      <c r="F4353" s="23"/>
      <c r="G4353" s="23">
        <f t="shared" si="17"/>
        <v>4.29</v>
      </c>
      <c r="H4353" s="23"/>
      <c r="I4353" s="23"/>
    </row>
    <row r="4354" spans="1:9">
      <c r="A4354" s="21" t="s">
        <v>9537</v>
      </c>
      <c r="B4354" s="21"/>
      <c r="C4354" s="22">
        <v>4344</v>
      </c>
      <c r="D4354" s="21">
        <v>4.28</v>
      </c>
      <c r="E4354" s="21" t="s">
        <v>5796</v>
      </c>
      <c r="F4354" s="23"/>
      <c r="G4354" s="23">
        <f t="shared" si="17"/>
        <v>4.28</v>
      </c>
      <c r="H4354" s="23"/>
      <c r="I4354" s="23"/>
    </row>
    <row r="4355" spans="1:9">
      <c r="A4355" s="21" t="s">
        <v>9538</v>
      </c>
      <c r="B4355" s="21"/>
      <c r="C4355" s="22">
        <v>4345</v>
      </c>
      <c r="D4355" s="21">
        <v>4.2699999999999996</v>
      </c>
      <c r="E4355" s="21" t="s">
        <v>5796</v>
      </c>
      <c r="F4355" s="23"/>
      <c r="G4355" s="23">
        <f t="shared" si="17"/>
        <v>4.2699999999999996</v>
      </c>
      <c r="H4355" s="23"/>
      <c r="I4355" s="23"/>
    </row>
    <row r="4356" spans="1:9">
      <c r="A4356" s="21" t="s">
        <v>9539</v>
      </c>
      <c r="B4356" s="21"/>
      <c r="C4356" s="22">
        <v>4346</v>
      </c>
      <c r="D4356" s="21">
        <v>4.25</v>
      </c>
      <c r="E4356" s="21" t="s">
        <v>5796</v>
      </c>
      <c r="F4356" s="23"/>
      <c r="G4356" s="23">
        <f t="shared" si="17"/>
        <v>4.25</v>
      </c>
      <c r="H4356" s="23"/>
      <c r="I4356" s="23"/>
    </row>
    <row r="4357" spans="1:9">
      <c r="A4357" s="21" t="s">
        <v>9540</v>
      </c>
      <c r="B4357" s="21"/>
      <c r="C4357" s="22">
        <v>4347</v>
      </c>
      <c r="D4357" s="21">
        <v>4.25</v>
      </c>
      <c r="E4357" s="21" t="s">
        <v>5796</v>
      </c>
      <c r="F4357" s="23"/>
      <c r="G4357" s="23">
        <f t="shared" si="17"/>
        <v>4.25</v>
      </c>
      <c r="H4357" s="23"/>
      <c r="I4357" s="23"/>
    </row>
    <row r="4358" spans="1:9">
      <c r="A4358" s="21" t="s">
        <v>9541</v>
      </c>
      <c r="B4358" s="21"/>
      <c r="C4358" s="22">
        <v>4348</v>
      </c>
      <c r="D4358" s="21">
        <v>4.24</v>
      </c>
      <c r="E4358" s="21" t="s">
        <v>5796</v>
      </c>
      <c r="F4358" s="23"/>
      <c r="G4358" s="23">
        <f t="shared" si="17"/>
        <v>4.24</v>
      </c>
      <c r="H4358" s="23"/>
      <c r="I4358" s="23"/>
    </row>
    <row r="4359" spans="1:9">
      <c r="A4359" s="21" t="s">
        <v>9542</v>
      </c>
      <c r="B4359" s="21"/>
      <c r="C4359" s="22">
        <v>4349</v>
      </c>
      <c r="D4359" s="21">
        <v>4.2300000000000004</v>
      </c>
      <c r="E4359" s="21" t="s">
        <v>5796</v>
      </c>
      <c r="F4359" s="23"/>
      <c r="G4359" s="23">
        <f t="shared" si="17"/>
        <v>4.2300000000000004</v>
      </c>
      <c r="H4359" s="23"/>
      <c r="I4359" s="23"/>
    </row>
    <row r="4360" spans="1:9">
      <c r="A4360" s="21" t="s">
        <v>9543</v>
      </c>
      <c r="B4360" s="21"/>
      <c r="C4360" s="22">
        <v>4350</v>
      </c>
      <c r="D4360" s="21">
        <v>4.2300000000000004</v>
      </c>
      <c r="E4360" s="21" t="s">
        <v>5796</v>
      </c>
      <c r="F4360" s="23"/>
      <c r="G4360" s="23">
        <f t="shared" si="17"/>
        <v>4.2300000000000004</v>
      </c>
      <c r="H4360" s="23"/>
      <c r="I4360" s="23"/>
    </row>
    <row r="4361" spans="1:9">
      <c r="A4361" s="21" t="s">
        <v>9544</v>
      </c>
      <c r="B4361" s="21"/>
      <c r="C4361" s="22">
        <v>4351</v>
      </c>
      <c r="D4361" s="21">
        <v>4.22</v>
      </c>
      <c r="E4361" s="21" t="s">
        <v>5796</v>
      </c>
      <c r="F4361" s="23"/>
      <c r="G4361" s="23">
        <f t="shared" si="17"/>
        <v>4.22</v>
      </c>
      <c r="H4361" s="23"/>
      <c r="I4361" s="23"/>
    </row>
    <row r="4362" spans="1:9">
      <c r="A4362" s="21" t="s">
        <v>9545</v>
      </c>
      <c r="B4362" s="21"/>
      <c r="C4362" s="22">
        <v>4352</v>
      </c>
      <c r="D4362" s="21">
        <v>4.21</v>
      </c>
      <c r="E4362" s="21" t="s">
        <v>5796</v>
      </c>
      <c r="F4362" s="23"/>
      <c r="G4362" s="23">
        <f t="shared" si="17"/>
        <v>4.21</v>
      </c>
      <c r="H4362" s="23"/>
      <c r="I4362" s="23"/>
    </row>
    <row r="4363" spans="1:9">
      <c r="A4363" s="21" t="s">
        <v>9546</v>
      </c>
      <c r="B4363" s="21"/>
      <c r="C4363" s="22">
        <v>4353</v>
      </c>
      <c r="D4363" s="21">
        <v>4.18</v>
      </c>
      <c r="E4363" s="21" t="s">
        <v>5796</v>
      </c>
      <c r="F4363" s="23"/>
      <c r="G4363" s="23">
        <f t="shared" si="17"/>
        <v>4.18</v>
      </c>
      <c r="H4363" s="23"/>
      <c r="I4363" s="23"/>
    </row>
    <row r="4364" spans="1:9">
      <c r="A4364" s="21" t="s">
        <v>9547</v>
      </c>
      <c r="B4364" s="21"/>
      <c r="C4364" s="22">
        <v>4354</v>
      </c>
      <c r="D4364" s="21">
        <v>4.18</v>
      </c>
      <c r="E4364" s="21" t="s">
        <v>5796</v>
      </c>
      <c r="F4364" s="23"/>
      <c r="G4364" s="23">
        <f t="shared" si="17"/>
        <v>4.18</v>
      </c>
      <c r="H4364" s="23"/>
      <c r="I4364" s="23"/>
    </row>
    <row r="4365" spans="1:9">
      <c r="A4365" s="21" t="s">
        <v>9548</v>
      </c>
      <c r="B4365" s="21"/>
      <c r="C4365" s="22">
        <v>4355</v>
      </c>
      <c r="D4365" s="21">
        <v>4.17</v>
      </c>
      <c r="E4365" s="21" t="s">
        <v>5796</v>
      </c>
      <c r="F4365" s="23"/>
      <c r="G4365" s="23">
        <f t="shared" si="17"/>
        <v>4.17</v>
      </c>
      <c r="H4365" s="23"/>
      <c r="I4365" s="23"/>
    </row>
    <row r="4366" spans="1:9">
      <c r="A4366" s="21" t="s">
        <v>9549</v>
      </c>
      <c r="B4366" s="21"/>
      <c r="C4366" s="22">
        <v>4356</v>
      </c>
      <c r="D4366" s="21">
        <v>4.1399999999999997</v>
      </c>
      <c r="E4366" s="21" t="s">
        <v>5796</v>
      </c>
      <c r="F4366" s="23"/>
      <c r="G4366" s="23">
        <f t="shared" si="17"/>
        <v>4.1399999999999997</v>
      </c>
      <c r="H4366" s="23"/>
      <c r="I4366" s="23"/>
    </row>
    <row r="4367" spans="1:9">
      <c r="A4367" s="21" t="s">
        <v>9550</v>
      </c>
      <c r="B4367" s="21"/>
      <c r="C4367" s="22">
        <v>4357</v>
      </c>
      <c r="D4367" s="21">
        <v>4.1399999999999997</v>
      </c>
      <c r="E4367" s="21" t="s">
        <v>5796</v>
      </c>
      <c r="F4367" s="23"/>
      <c r="G4367" s="23">
        <f t="shared" si="17"/>
        <v>4.1399999999999997</v>
      </c>
      <c r="H4367" s="23"/>
      <c r="I4367" s="23"/>
    </row>
    <row r="4368" spans="1:9">
      <c r="A4368" s="21" t="s">
        <v>9551</v>
      </c>
      <c r="B4368" s="21"/>
      <c r="C4368" s="22">
        <v>4358</v>
      </c>
      <c r="D4368" s="21">
        <v>4.1399999999999997</v>
      </c>
      <c r="E4368" s="21" t="s">
        <v>5796</v>
      </c>
      <c r="F4368" s="23"/>
      <c r="G4368" s="23">
        <f t="shared" si="17"/>
        <v>4.1399999999999997</v>
      </c>
      <c r="H4368" s="23"/>
      <c r="I4368" s="23"/>
    </row>
    <row r="4369" spans="1:9">
      <c r="A4369" s="21" t="s">
        <v>9552</v>
      </c>
      <c r="B4369" s="21"/>
      <c r="C4369" s="22">
        <v>4359</v>
      </c>
      <c r="D4369" s="21">
        <v>4.1399999999999997</v>
      </c>
      <c r="E4369" s="21" t="s">
        <v>5796</v>
      </c>
      <c r="F4369" s="23"/>
      <c r="G4369" s="23">
        <f t="shared" si="17"/>
        <v>4.1399999999999997</v>
      </c>
      <c r="H4369" s="23"/>
      <c r="I4369" s="23"/>
    </row>
    <row r="4370" spans="1:9">
      <c r="A4370" s="21" t="s">
        <v>9553</v>
      </c>
      <c r="B4370" s="21"/>
      <c r="C4370" s="22">
        <v>4360</v>
      </c>
      <c r="D4370" s="21">
        <v>4.13</v>
      </c>
      <c r="E4370" s="21" t="s">
        <v>5796</v>
      </c>
      <c r="F4370" s="23"/>
      <c r="G4370" s="23">
        <f t="shared" si="17"/>
        <v>4.13</v>
      </c>
      <c r="H4370" s="23"/>
      <c r="I4370" s="23"/>
    </row>
    <row r="4371" spans="1:9">
      <c r="A4371" s="21" t="s">
        <v>9554</v>
      </c>
      <c r="B4371" s="21"/>
      <c r="C4371" s="22">
        <v>4361</v>
      </c>
      <c r="D4371" s="21">
        <v>4.12</v>
      </c>
      <c r="E4371" s="21" t="s">
        <v>5796</v>
      </c>
      <c r="F4371" s="23"/>
      <c r="G4371" s="23">
        <f t="shared" si="17"/>
        <v>4.12</v>
      </c>
      <c r="H4371" s="23"/>
      <c r="I4371" s="23"/>
    </row>
    <row r="4372" spans="1:9">
      <c r="A4372" s="21" t="s">
        <v>9555</v>
      </c>
      <c r="B4372" s="21"/>
      <c r="C4372" s="22">
        <v>4362</v>
      </c>
      <c r="D4372" s="21">
        <v>4.1100000000000003</v>
      </c>
      <c r="E4372" s="21" t="s">
        <v>5796</v>
      </c>
      <c r="F4372" s="23"/>
      <c r="G4372" s="23">
        <f t="shared" si="17"/>
        <v>4.1100000000000003</v>
      </c>
      <c r="H4372" s="23"/>
      <c r="I4372" s="23"/>
    </row>
    <row r="4373" spans="1:9">
      <c r="A4373" s="21" t="s">
        <v>9556</v>
      </c>
      <c r="B4373" s="21"/>
      <c r="C4373" s="22">
        <v>4363</v>
      </c>
      <c r="D4373" s="21">
        <v>4.1100000000000003</v>
      </c>
      <c r="E4373" s="21" t="s">
        <v>5796</v>
      </c>
      <c r="F4373" s="23"/>
      <c r="G4373" s="23">
        <f t="shared" si="17"/>
        <v>4.1100000000000003</v>
      </c>
      <c r="H4373" s="23"/>
      <c r="I4373" s="23"/>
    </row>
    <row r="4374" spans="1:9">
      <c r="A4374" s="21" t="s">
        <v>9557</v>
      </c>
      <c r="B4374" s="21"/>
      <c r="C4374" s="22">
        <v>4364</v>
      </c>
      <c r="D4374" s="21">
        <v>4.09</v>
      </c>
      <c r="E4374" s="21" t="s">
        <v>5796</v>
      </c>
      <c r="F4374" s="23"/>
      <c r="G4374" s="23">
        <f t="shared" si="17"/>
        <v>4.09</v>
      </c>
      <c r="H4374" s="23"/>
      <c r="I4374" s="23"/>
    </row>
    <row r="4375" spans="1:9">
      <c r="A4375" s="21" t="s">
        <v>9558</v>
      </c>
      <c r="B4375" s="21"/>
      <c r="C4375" s="22">
        <v>4365</v>
      </c>
      <c r="D4375" s="21">
        <v>4.09</v>
      </c>
      <c r="E4375" s="21" t="s">
        <v>5796</v>
      </c>
      <c r="F4375" s="23"/>
      <c r="G4375" s="23">
        <f t="shared" si="17"/>
        <v>4.09</v>
      </c>
      <c r="H4375" s="23"/>
      <c r="I4375" s="23"/>
    </row>
    <row r="4376" spans="1:9">
      <c r="A4376" s="21" t="s">
        <v>9559</v>
      </c>
      <c r="B4376" s="21"/>
      <c r="C4376" s="22">
        <v>4366</v>
      </c>
      <c r="D4376" s="21">
        <v>4.09</v>
      </c>
      <c r="E4376" s="21" t="s">
        <v>5796</v>
      </c>
      <c r="F4376" s="23"/>
      <c r="G4376" s="23">
        <f t="shared" si="17"/>
        <v>4.09</v>
      </c>
      <c r="H4376" s="23"/>
      <c r="I4376" s="23"/>
    </row>
    <row r="4377" spans="1:9">
      <c r="A4377" s="21" t="s">
        <v>9560</v>
      </c>
      <c r="B4377" s="21"/>
      <c r="C4377" s="22">
        <v>4367</v>
      </c>
      <c r="D4377" s="21">
        <v>4.09</v>
      </c>
      <c r="E4377" s="21" t="s">
        <v>5796</v>
      </c>
      <c r="F4377" s="23"/>
      <c r="G4377" s="23">
        <f t="shared" si="17"/>
        <v>4.09</v>
      </c>
      <c r="H4377" s="23"/>
      <c r="I4377" s="23"/>
    </row>
    <row r="4378" spans="1:9">
      <c r="A4378" s="21" t="s">
        <v>9561</v>
      </c>
      <c r="B4378" s="21"/>
      <c r="C4378" s="22">
        <v>4368</v>
      </c>
      <c r="D4378" s="21">
        <v>4.09</v>
      </c>
      <c r="E4378" s="21" t="s">
        <v>5796</v>
      </c>
      <c r="F4378" s="23"/>
      <c r="G4378" s="23">
        <f t="shared" si="17"/>
        <v>4.09</v>
      </c>
      <c r="H4378" s="23"/>
      <c r="I4378" s="23"/>
    </row>
    <row r="4379" spans="1:9">
      <c r="A4379" s="21" t="s">
        <v>9562</v>
      </c>
      <c r="B4379" s="21"/>
      <c r="C4379" s="22">
        <v>4369</v>
      </c>
      <c r="D4379" s="21">
        <v>4.08</v>
      </c>
      <c r="E4379" s="21" t="s">
        <v>5796</v>
      </c>
      <c r="F4379" s="23"/>
      <c r="G4379" s="23">
        <f t="shared" si="17"/>
        <v>4.08</v>
      </c>
      <c r="H4379" s="23"/>
      <c r="I4379" s="23"/>
    </row>
    <row r="4380" spans="1:9">
      <c r="A4380" s="21" t="s">
        <v>9563</v>
      </c>
      <c r="B4380" s="21"/>
      <c r="C4380" s="22">
        <v>4370</v>
      </c>
      <c r="D4380" s="21">
        <v>4.08</v>
      </c>
      <c r="E4380" s="21" t="s">
        <v>5796</v>
      </c>
      <c r="F4380" s="23"/>
      <c r="G4380" s="23">
        <f t="shared" si="17"/>
        <v>4.08</v>
      </c>
      <c r="H4380" s="23"/>
      <c r="I4380" s="23"/>
    </row>
    <row r="4381" spans="1:9">
      <c r="A4381" s="21" t="s">
        <v>9564</v>
      </c>
      <c r="B4381" s="21"/>
      <c r="C4381" s="22">
        <v>4371</v>
      </c>
      <c r="D4381" s="21">
        <v>4.07</v>
      </c>
      <c r="E4381" s="21" t="s">
        <v>5796</v>
      </c>
      <c r="F4381" s="23"/>
      <c r="G4381" s="23">
        <f t="shared" si="17"/>
        <v>4.07</v>
      </c>
      <c r="H4381" s="23"/>
      <c r="I4381" s="23"/>
    </row>
    <row r="4382" spans="1:9">
      <c r="A4382" s="21" t="s">
        <v>9565</v>
      </c>
      <c r="B4382" s="21"/>
      <c r="C4382" s="22">
        <v>4372</v>
      </c>
      <c r="D4382" s="21">
        <v>4.07</v>
      </c>
      <c r="E4382" s="21" t="s">
        <v>5796</v>
      </c>
      <c r="F4382" s="23"/>
      <c r="G4382" s="23">
        <f t="shared" si="17"/>
        <v>4.07</v>
      </c>
      <c r="H4382" s="23"/>
      <c r="I4382" s="23"/>
    </row>
    <row r="4383" spans="1:9">
      <c r="A4383" s="21" t="s">
        <v>9566</v>
      </c>
      <c r="B4383" s="21"/>
      <c r="C4383" s="22">
        <v>4373</v>
      </c>
      <c r="D4383" s="21">
        <v>4.0599999999999996</v>
      </c>
      <c r="E4383" s="21" t="s">
        <v>5796</v>
      </c>
      <c r="F4383" s="23"/>
      <c r="G4383" s="23">
        <f t="shared" si="17"/>
        <v>4.0599999999999996</v>
      </c>
      <c r="H4383" s="23"/>
      <c r="I4383" s="23"/>
    </row>
    <row r="4384" spans="1:9">
      <c r="A4384" s="21" t="s">
        <v>9567</v>
      </c>
      <c r="B4384" s="21"/>
      <c r="C4384" s="22">
        <v>4374</v>
      </c>
      <c r="D4384" s="21">
        <v>4.0599999999999996</v>
      </c>
      <c r="E4384" s="21" t="s">
        <v>5796</v>
      </c>
      <c r="F4384" s="23"/>
      <c r="G4384" s="23">
        <f t="shared" si="17"/>
        <v>4.0599999999999996</v>
      </c>
      <c r="H4384" s="23"/>
      <c r="I4384" s="23"/>
    </row>
    <row r="4385" spans="1:9">
      <c r="A4385" s="21" t="s">
        <v>9568</v>
      </c>
      <c r="B4385" s="21"/>
      <c r="C4385" s="22">
        <v>4375</v>
      </c>
      <c r="D4385" s="21">
        <v>4.04</v>
      </c>
      <c r="E4385" s="21" t="s">
        <v>5796</v>
      </c>
      <c r="F4385" s="23"/>
      <c r="G4385" s="23">
        <f t="shared" si="17"/>
        <v>4.04</v>
      </c>
      <c r="H4385" s="23"/>
      <c r="I4385" s="23"/>
    </row>
    <row r="4386" spans="1:9">
      <c r="A4386" s="21" t="s">
        <v>9569</v>
      </c>
      <c r="B4386" s="21"/>
      <c r="C4386" s="22">
        <v>4376</v>
      </c>
      <c r="D4386" s="21">
        <v>4.04</v>
      </c>
      <c r="E4386" s="21" t="s">
        <v>5796</v>
      </c>
      <c r="F4386" s="23"/>
      <c r="G4386" s="23">
        <f t="shared" si="17"/>
        <v>4.04</v>
      </c>
      <c r="H4386" s="23"/>
      <c r="I4386" s="23"/>
    </row>
    <row r="4387" spans="1:9">
      <c r="A4387" s="21" t="s">
        <v>9570</v>
      </c>
      <c r="B4387" s="21"/>
      <c r="C4387" s="22">
        <v>4377</v>
      </c>
      <c r="D4387" s="21">
        <v>4.03</v>
      </c>
      <c r="E4387" s="21" t="s">
        <v>5796</v>
      </c>
      <c r="F4387" s="23"/>
      <c r="G4387" s="23">
        <f t="shared" si="17"/>
        <v>4.03</v>
      </c>
      <c r="H4387" s="23"/>
      <c r="I4387" s="23"/>
    </row>
    <row r="4388" spans="1:9">
      <c r="A4388" s="21" t="s">
        <v>9571</v>
      </c>
      <c r="B4388" s="21"/>
      <c r="C4388" s="22">
        <v>4378</v>
      </c>
      <c r="D4388" s="21">
        <v>4.01</v>
      </c>
      <c r="E4388" s="21" t="s">
        <v>5796</v>
      </c>
      <c r="F4388" s="23"/>
      <c r="G4388" s="23">
        <f t="shared" si="17"/>
        <v>4.01</v>
      </c>
      <c r="H4388" s="23"/>
      <c r="I4388" s="23"/>
    </row>
    <row r="4389" spans="1:9">
      <c r="A4389" s="21" t="s">
        <v>9572</v>
      </c>
      <c r="B4389" s="21"/>
      <c r="C4389" s="22">
        <v>4379</v>
      </c>
      <c r="D4389" s="21">
        <v>4.01</v>
      </c>
      <c r="E4389" s="21" t="s">
        <v>5796</v>
      </c>
      <c r="F4389" s="23"/>
      <c r="G4389" s="23">
        <f t="shared" si="17"/>
        <v>4.01</v>
      </c>
      <c r="H4389" s="23"/>
      <c r="I4389" s="23"/>
    </row>
    <row r="4390" spans="1:9">
      <c r="A4390" s="21" t="s">
        <v>9573</v>
      </c>
      <c r="B4390" s="21"/>
      <c r="C4390" s="22">
        <v>4380</v>
      </c>
      <c r="D4390" s="21">
        <v>4.01</v>
      </c>
      <c r="E4390" s="21" t="s">
        <v>5796</v>
      </c>
      <c r="F4390" s="23"/>
      <c r="G4390" s="23">
        <f t="shared" si="17"/>
        <v>4.01</v>
      </c>
      <c r="H4390" s="23"/>
      <c r="I4390" s="23"/>
    </row>
    <row r="4391" spans="1:9">
      <c r="A4391" s="21" t="s">
        <v>9574</v>
      </c>
      <c r="B4391" s="21"/>
      <c r="C4391" s="22">
        <v>4382</v>
      </c>
      <c r="D4391" s="21">
        <v>4</v>
      </c>
      <c r="E4391" s="21" t="s">
        <v>5796</v>
      </c>
      <c r="F4391" s="23"/>
      <c r="G4391" s="23">
        <f t="shared" si="17"/>
        <v>4</v>
      </c>
      <c r="H4391" s="23"/>
      <c r="I4391" s="23"/>
    </row>
    <row r="4392" spans="1:9">
      <c r="A4392" s="21" t="s">
        <v>9575</v>
      </c>
      <c r="B4392" s="21"/>
      <c r="C4392" s="22">
        <v>4383</v>
      </c>
      <c r="D4392" s="21">
        <v>4</v>
      </c>
      <c r="E4392" s="21" t="s">
        <v>5796</v>
      </c>
      <c r="F4392" s="23"/>
      <c r="G4392" s="23">
        <f t="shared" si="17"/>
        <v>4</v>
      </c>
      <c r="H4392" s="23"/>
      <c r="I4392" s="23"/>
    </row>
    <row r="4393" spans="1:9">
      <c r="A4393" s="21" t="s">
        <v>9576</v>
      </c>
      <c r="B4393" s="21"/>
      <c r="C4393" s="22">
        <v>4384</v>
      </c>
      <c r="D4393" s="21">
        <v>3.99</v>
      </c>
      <c r="E4393" s="21" t="s">
        <v>5796</v>
      </c>
      <c r="F4393" s="23"/>
      <c r="G4393" s="23">
        <f t="shared" si="17"/>
        <v>3.99</v>
      </c>
      <c r="H4393" s="23"/>
      <c r="I4393" s="23"/>
    </row>
    <row r="4394" spans="1:9">
      <c r="A4394" s="21" t="s">
        <v>9577</v>
      </c>
      <c r="B4394" s="21"/>
      <c r="C4394" s="22">
        <v>4385</v>
      </c>
      <c r="D4394" s="21">
        <v>3.99</v>
      </c>
      <c r="E4394" s="21" t="s">
        <v>5796</v>
      </c>
      <c r="F4394" s="23"/>
      <c r="G4394" s="23">
        <f t="shared" si="17"/>
        <v>3.99</v>
      </c>
      <c r="H4394" s="23"/>
      <c r="I4394" s="23"/>
    </row>
    <row r="4395" spans="1:9">
      <c r="A4395" s="21" t="s">
        <v>9578</v>
      </c>
      <c r="B4395" s="21"/>
      <c r="C4395" s="22">
        <v>4386</v>
      </c>
      <c r="D4395" s="21">
        <v>3.99</v>
      </c>
      <c r="E4395" s="21" t="s">
        <v>5796</v>
      </c>
      <c r="F4395" s="23"/>
      <c r="G4395" s="23">
        <f t="shared" si="17"/>
        <v>3.99</v>
      </c>
      <c r="H4395" s="23"/>
      <c r="I4395" s="23"/>
    </row>
    <row r="4396" spans="1:9">
      <c r="A4396" s="21" t="s">
        <v>9579</v>
      </c>
      <c r="B4396" s="21"/>
      <c r="C4396" s="22">
        <v>4387</v>
      </c>
      <c r="D4396" s="21">
        <v>3.99</v>
      </c>
      <c r="E4396" s="21" t="s">
        <v>5796</v>
      </c>
      <c r="F4396" s="23"/>
      <c r="G4396" s="23">
        <f t="shared" si="17"/>
        <v>3.99</v>
      </c>
      <c r="H4396" s="23"/>
      <c r="I4396" s="23"/>
    </row>
    <row r="4397" spans="1:9">
      <c r="A4397" s="21" t="s">
        <v>9580</v>
      </c>
      <c r="B4397" s="21"/>
      <c r="C4397" s="22">
        <v>4388</v>
      </c>
      <c r="D4397" s="21">
        <v>3.98</v>
      </c>
      <c r="E4397" s="21" t="s">
        <v>5796</v>
      </c>
      <c r="F4397" s="23"/>
      <c r="G4397" s="23">
        <f t="shared" si="17"/>
        <v>3.98</v>
      </c>
      <c r="H4397" s="23"/>
      <c r="I4397" s="23"/>
    </row>
    <row r="4398" spans="1:9">
      <c r="A4398" s="21" t="s">
        <v>9581</v>
      </c>
      <c r="B4398" s="21"/>
      <c r="C4398" s="22">
        <v>4389</v>
      </c>
      <c r="D4398" s="21">
        <v>3.98</v>
      </c>
      <c r="E4398" s="21" t="s">
        <v>5796</v>
      </c>
      <c r="F4398" s="23"/>
      <c r="G4398" s="23">
        <f t="shared" si="17"/>
        <v>3.98</v>
      </c>
      <c r="H4398" s="23"/>
      <c r="I4398" s="23"/>
    </row>
    <row r="4399" spans="1:9">
      <c r="A4399" s="21" t="s">
        <v>9582</v>
      </c>
      <c r="B4399" s="21"/>
      <c r="C4399" s="22">
        <v>4390</v>
      </c>
      <c r="D4399" s="21">
        <v>3.98</v>
      </c>
      <c r="E4399" s="21" t="s">
        <v>5796</v>
      </c>
      <c r="F4399" s="23"/>
      <c r="G4399" s="23">
        <f t="shared" si="17"/>
        <v>3.98</v>
      </c>
      <c r="H4399" s="23"/>
      <c r="I4399" s="23"/>
    </row>
    <row r="4400" spans="1:9">
      <c r="A4400" s="21" t="s">
        <v>9583</v>
      </c>
      <c r="B4400" s="21"/>
      <c r="C4400" s="22">
        <v>4391</v>
      </c>
      <c r="D4400" s="21">
        <v>3.95</v>
      </c>
      <c r="E4400" s="21" t="s">
        <v>5796</v>
      </c>
      <c r="F4400" s="23"/>
      <c r="G4400" s="23">
        <f t="shared" si="17"/>
        <v>3.95</v>
      </c>
      <c r="H4400" s="23"/>
      <c r="I4400" s="23"/>
    </row>
    <row r="4401" spans="1:9">
      <c r="A4401" s="21" t="s">
        <v>9584</v>
      </c>
      <c r="B4401" s="21"/>
      <c r="C4401" s="22">
        <v>4392</v>
      </c>
      <c r="D4401" s="21">
        <v>3.95</v>
      </c>
      <c r="E4401" s="21" t="s">
        <v>5796</v>
      </c>
      <c r="F4401" s="23"/>
      <c r="G4401" s="23">
        <f t="shared" si="17"/>
        <v>3.95</v>
      </c>
      <c r="H4401" s="23"/>
      <c r="I4401" s="23"/>
    </row>
    <row r="4402" spans="1:9">
      <c r="A4402" s="21" t="s">
        <v>9585</v>
      </c>
      <c r="B4402" s="21"/>
      <c r="C4402" s="22">
        <v>4393</v>
      </c>
      <c r="D4402" s="21">
        <v>3.94</v>
      </c>
      <c r="E4402" s="21" t="s">
        <v>5796</v>
      </c>
      <c r="F4402" s="23"/>
      <c r="G4402" s="23">
        <f t="shared" si="17"/>
        <v>3.94</v>
      </c>
      <c r="H4402" s="23"/>
      <c r="I4402" s="23"/>
    </row>
    <row r="4403" spans="1:9">
      <c r="A4403" s="21" t="s">
        <v>9586</v>
      </c>
      <c r="B4403" s="21"/>
      <c r="C4403" s="22">
        <v>4394</v>
      </c>
      <c r="D4403" s="21">
        <v>3.94</v>
      </c>
      <c r="E4403" s="21" t="s">
        <v>5796</v>
      </c>
      <c r="F4403" s="23"/>
      <c r="G4403" s="23">
        <f t="shared" si="17"/>
        <v>3.94</v>
      </c>
      <c r="H4403" s="23"/>
      <c r="I4403" s="23"/>
    </row>
    <row r="4404" spans="1:9">
      <c r="A4404" s="21" t="s">
        <v>9587</v>
      </c>
      <c r="B4404" s="21"/>
      <c r="C4404" s="22">
        <v>4395</v>
      </c>
      <c r="D4404" s="21">
        <v>3.93</v>
      </c>
      <c r="E4404" s="21" t="s">
        <v>5796</v>
      </c>
      <c r="F4404" s="23"/>
      <c r="G4404" s="23">
        <f t="shared" si="17"/>
        <v>3.93</v>
      </c>
      <c r="H4404" s="23"/>
      <c r="I4404" s="23"/>
    </row>
    <row r="4405" spans="1:9">
      <c r="A4405" s="21" t="s">
        <v>9588</v>
      </c>
      <c r="B4405" s="21"/>
      <c r="C4405" s="22">
        <v>4396</v>
      </c>
      <c r="D4405" s="21">
        <v>3.93</v>
      </c>
      <c r="E4405" s="21" t="s">
        <v>5796</v>
      </c>
      <c r="F4405" s="23"/>
      <c r="G4405" s="23">
        <f t="shared" si="17"/>
        <v>3.93</v>
      </c>
      <c r="H4405" s="23"/>
      <c r="I4405" s="23"/>
    </row>
    <row r="4406" spans="1:9">
      <c r="A4406" s="21" t="s">
        <v>9589</v>
      </c>
      <c r="B4406" s="21"/>
      <c r="C4406" s="22">
        <v>4397</v>
      </c>
      <c r="D4406" s="21">
        <v>3.9</v>
      </c>
      <c r="E4406" s="21" t="s">
        <v>5796</v>
      </c>
      <c r="F4406" s="23"/>
      <c r="G4406" s="23">
        <f t="shared" si="17"/>
        <v>3.9</v>
      </c>
      <c r="H4406" s="23"/>
      <c r="I4406" s="23"/>
    </row>
    <row r="4407" spans="1:9">
      <c r="A4407" s="21" t="s">
        <v>9590</v>
      </c>
      <c r="B4407" s="21"/>
      <c r="C4407" s="22">
        <v>4398</v>
      </c>
      <c r="D4407" s="21">
        <v>3.9</v>
      </c>
      <c r="E4407" s="21" t="s">
        <v>5796</v>
      </c>
      <c r="F4407" s="23"/>
      <c r="G4407" s="23">
        <f t="shared" si="17"/>
        <v>3.9</v>
      </c>
      <c r="H4407" s="23"/>
      <c r="I4407" s="23"/>
    </row>
    <row r="4408" spans="1:9">
      <c r="A4408" s="21" t="s">
        <v>9591</v>
      </c>
      <c r="B4408" s="21"/>
      <c r="C4408" s="22">
        <v>4399</v>
      </c>
      <c r="D4408" s="21">
        <v>3.9</v>
      </c>
      <c r="E4408" s="21" t="s">
        <v>5796</v>
      </c>
      <c r="F4408" s="23"/>
      <c r="G4408" s="23">
        <f t="shared" si="17"/>
        <v>3.9</v>
      </c>
      <c r="H4408" s="23"/>
      <c r="I4408" s="23"/>
    </row>
    <row r="4409" spans="1:9">
      <c r="A4409" s="21" t="s">
        <v>9592</v>
      </c>
      <c r="B4409" s="21"/>
      <c r="C4409" s="22">
        <v>4400</v>
      </c>
      <c r="D4409" s="21">
        <v>3.89</v>
      </c>
      <c r="E4409" s="21" t="s">
        <v>5796</v>
      </c>
      <c r="F4409" s="23"/>
      <c r="G4409" s="23">
        <f t="shared" si="17"/>
        <v>3.89</v>
      </c>
      <c r="H4409" s="23"/>
      <c r="I4409" s="23"/>
    </row>
    <row r="4410" spans="1:9">
      <c r="A4410" s="21" t="s">
        <v>9593</v>
      </c>
      <c r="B4410" s="21"/>
      <c r="C4410" s="22">
        <v>4401</v>
      </c>
      <c r="D4410" s="21">
        <v>3.89</v>
      </c>
      <c r="E4410" s="21" t="s">
        <v>5796</v>
      </c>
      <c r="F4410" s="23"/>
      <c r="G4410" s="23">
        <f t="shared" si="17"/>
        <v>3.89</v>
      </c>
      <c r="H4410" s="23"/>
      <c r="I4410" s="23"/>
    </row>
    <row r="4411" spans="1:9">
      <c r="A4411" s="21" t="s">
        <v>9594</v>
      </c>
      <c r="B4411" s="21"/>
      <c r="C4411" s="22">
        <v>4402</v>
      </c>
      <c r="D4411" s="21">
        <v>3.88</v>
      </c>
      <c r="E4411" s="21" t="s">
        <v>5796</v>
      </c>
      <c r="F4411" s="23"/>
      <c r="G4411" s="23">
        <f t="shared" si="17"/>
        <v>3.88</v>
      </c>
      <c r="H4411" s="23"/>
      <c r="I4411" s="23"/>
    </row>
    <row r="4412" spans="1:9">
      <c r="A4412" s="21" t="s">
        <v>9595</v>
      </c>
      <c r="B4412" s="21"/>
      <c r="C4412" s="22">
        <v>4403</v>
      </c>
      <c r="D4412" s="21">
        <v>3.87</v>
      </c>
      <c r="E4412" s="21" t="s">
        <v>5796</v>
      </c>
      <c r="F4412" s="23"/>
      <c r="G4412" s="23">
        <f t="shared" si="17"/>
        <v>3.87</v>
      </c>
      <c r="H4412" s="23"/>
      <c r="I4412" s="23"/>
    </row>
    <row r="4413" spans="1:9">
      <c r="A4413" s="21" t="s">
        <v>9596</v>
      </c>
      <c r="B4413" s="21"/>
      <c r="C4413" s="22">
        <v>4404</v>
      </c>
      <c r="D4413" s="21">
        <v>3.86</v>
      </c>
      <c r="E4413" s="21" t="s">
        <v>5796</v>
      </c>
      <c r="F4413" s="23"/>
      <c r="G4413" s="23">
        <f t="shared" si="17"/>
        <v>3.86</v>
      </c>
      <c r="H4413" s="23"/>
      <c r="I4413" s="23"/>
    </row>
    <row r="4414" spans="1:9">
      <c r="A4414" s="21" t="s">
        <v>9597</v>
      </c>
      <c r="B4414" s="21"/>
      <c r="C4414" s="22">
        <v>4405</v>
      </c>
      <c r="D4414" s="21">
        <v>3.86</v>
      </c>
      <c r="E4414" s="21" t="s">
        <v>5796</v>
      </c>
      <c r="F4414" s="23"/>
      <c r="G4414" s="23">
        <f t="shared" si="17"/>
        <v>3.86</v>
      </c>
      <c r="H4414" s="23"/>
      <c r="I4414" s="23"/>
    </row>
    <row r="4415" spans="1:9">
      <c r="A4415" s="21" t="s">
        <v>9598</v>
      </c>
      <c r="B4415" s="21"/>
      <c r="C4415" s="22">
        <v>4406</v>
      </c>
      <c r="D4415" s="21">
        <v>3.83</v>
      </c>
      <c r="E4415" s="21" t="s">
        <v>5796</v>
      </c>
      <c r="F4415" s="23"/>
      <c r="G4415" s="23">
        <f t="shared" si="17"/>
        <v>3.83</v>
      </c>
      <c r="H4415" s="23"/>
      <c r="I4415" s="23"/>
    </row>
    <row r="4416" spans="1:9">
      <c r="A4416" s="21" t="s">
        <v>9599</v>
      </c>
      <c r="B4416" s="21"/>
      <c r="C4416" s="22">
        <v>4408</v>
      </c>
      <c r="D4416" s="21">
        <v>3.81</v>
      </c>
      <c r="E4416" s="21" t="s">
        <v>5796</v>
      </c>
      <c r="F4416" s="23"/>
      <c r="G4416" s="23">
        <f t="shared" si="17"/>
        <v>3.81</v>
      </c>
      <c r="H4416" s="23"/>
      <c r="I4416" s="23"/>
    </row>
    <row r="4417" spans="1:9">
      <c r="A4417" s="21" t="s">
        <v>9600</v>
      </c>
      <c r="B4417" s="21"/>
      <c r="C4417" s="22">
        <v>4409</v>
      </c>
      <c r="D4417" s="21">
        <v>3.79</v>
      </c>
      <c r="E4417" s="21" t="s">
        <v>5796</v>
      </c>
      <c r="F4417" s="23"/>
      <c r="G4417" s="23">
        <f t="shared" si="17"/>
        <v>3.79</v>
      </c>
      <c r="H4417" s="23"/>
      <c r="I4417" s="23"/>
    </row>
    <row r="4418" spans="1:9">
      <c r="A4418" s="21" t="s">
        <v>9601</v>
      </c>
      <c r="B4418" s="21"/>
      <c r="C4418" s="22">
        <v>4410</v>
      </c>
      <c r="D4418" s="21">
        <v>3.79</v>
      </c>
      <c r="E4418" s="21" t="s">
        <v>5796</v>
      </c>
      <c r="F4418" s="23"/>
      <c r="G4418" s="23">
        <f t="shared" si="17"/>
        <v>3.79</v>
      </c>
      <c r="H4418" s="23"/>
      <c r="I4418" s="23"/>
    </row>
    <row r="4419" spans="1:9">
      <c r="A4419" s="21" t="s">
        <v>9602</v>
      </c>
      <c r="B4419" s="21"/>
      <c r="C4419" s="22">
        <v>4411</v>
      </c>
      <c r="D4419" s="21">
        <v>3.78</v>
      </c>
      <c r="E4419" s="21" t="s">
        <v>5796</v>
      </c>
      <c r="F4419" s="23"/>
      <c r="G4419" s="23">
        <f t="shared" si="17"/>
        <v>3.78</v>
      </c>
      <c r="H4419" s="23"/>
      <c r="I4419" s="23"/>
    </row>
    <row r="4420" spans="1:9">
      <c r="A4420" s="21" t="s">
        <v>9603</v>
      </c>
      <c r="B4420" s="21"/>
      <c r="C4420" s="22">
        <v>4412</v>
      </c>
      <c r="D4420" s="21">
        <v>3.78</v>
      </c>
      <c r="E4420" s="21" t="s">
        <v>5796</v>
      </c>
      <c r="F4420" s="23"/>
      <c r="G4420" s="23">
        <f t="shared" si="17"/>
        <v>3.78</v>
      </c>
      <c r="H4420" s="23"/>
      <c r="I4420" s="23"/>
    </row>
    <row r="4421" spans="1:9">
      <c r="A4421" s="21" t="s">
        <v>9604</v>
      </c>
      <c r="B4421" s="21"/>
      <c r="C4421" s="22">
        <v>4413</v>
      </c>
      <c r="D4421" s="21">
        <v>3.77</v>
      </c>
      <c r="E4421" s="21" t="s">
        <v>5796</v>
      </c>
      <c r="F4421" s="23"/>
      <c r="G4421" s="23">
        <f t="shared" si="17"/>
        <v>3.77</v>
      </c>
      <c r="H4421" s="23"/>
      <c r="I4421" s="23"/>
    </row>
    <row r="4422" spans="1:9">
      <c r="A4422" s="21" t="s">
        <v>9605</v>
      </c>
      <c r="B4422" s="21"/>
      <c r="C4422" s="22">
        <v>4414</v>
      </c>
      <c r="D4422" s="21">
        <v>3.76</v>
      </c>
      <c r="E4422" s="21" t="s">
        <v>5796</v>
      </c>
      <c r="F4422" s="23"/>
      <c r="G4422" s="23">
        <f t="shared" si="17"/>
        <v>3.76</v>
      </c>
      <c r="H4422" s="23"/>
      <c r="I4422" s="23"/>
    </row>
    <row r="4423" spans="1:9">
      <c r="A4423" s="21" t="s">
        <v>9606</v>
      </c>
      <c r="B4423" s="21"/>
      <c r="C4423" s="22">
        <v>4415</v>
      </c>
      <c r="D4423" s="21">
        <v>3.74</v>
      </c>
      <c r="E4423" s="21" t="s">
        <v>5796</v>
      </c>
      <c r="F4423" s="23"/>
      <c r="G4423" s="23">
        <f t="shared" si="17"/>
        <v>3.74</v>
      </c>
      <c r="H4423" s="23"/>
      <c r="I4423" s="23"/>
    </row>
    <row r="4424" spans="1:9">
      <c r="A4424" s="21" t="s">
        <v>9607</v>
      </c>
      <c r="B4424" s="21"/>
      <c r="C4424" s="22">
        <v>4416</v>
      </c>
      <c r="D4424" s="21">
        <v>3.74</v>
      </c>
      <c r="E4424" s="21" t="s">
        <v>5796</v>
      </c>
      <c r="F4424" s="23"/>
      <c r="G4424" s="23">
        <f t="shared" si="17"/>
        <v>3.74</v>
      </c>
      <c r="H4424" s="23"/>
      <c r="I4424" s="23"/>
    </row>
    <row r="4425" spans="1:9">
      <c r="A4425" s="21" t="s">
        <v>9608</v>
      </c>
      <c r="B4425" s="21"/>
      <c r="C4425" s="22">
        <v>4417</v>
      </c>
      <c r="D4425" s="21">
        <v>3.73</v>
      </c>
      <c r="E4425" s="21" t="s">
        <v>5796</v>
      </c>
      <c r="F4425" s="23"/>
      <c r="G4425" s="23">
        <f t="shared" si="17"/>
        <v>3.73</v>
      </c>
      <c r="H4425" s="23"/>
      <c r="I4425" s="23"/>
    </row>
    <row r="4426" spans="1:9">
      <c r="A4426" s="21" t="s">
        <v>9609</v>
      </c>
      <c r="B4426" s="21"/>
      <c r="C4426" s="22">
        <v>4418</v>
      </c>
      <c r="D4426" s="21">
        <v>3.72</v>
      </c>
      <c r="E4426" s="21" t="s">
        <v>5796</v>
      </c>
      <c r="F4426" s="23"/>
      <c r="G4426" s="23">
        <f t="shared" si="17"/>
        <v>3.72</v>
      </c>
      <c r="H4426" s="23"/>
      <c r="I4426" s="23"/>
    </row>
    <row r="4427" spans="1:9">
      <c r="A4427" s="21" t="s">
        <v>9610</v>
      </c>
      <c r="B4427" s="21"/>
      <c r="C4427" s="22">
        <v>4419</v>
      </c>
      <c r="D4427" s="21">
        <v>3.72</v>
      </c>
      <c r="E4427" s="21" t="s">
        <v>5796</v>
      </c>
      <c r="F4427" s="23"/>
      <c r="G4427" s="23">
        <f t="shared" si="17"/>
        <v>3.72</v>
      </c>
      <c r="H4427" s="23"/>
      <c r="I4427" s="23"/>
    </row>
    <row r="4428" spans="1:9">
      <c r="A4428" s="21" t="s">
        <v>9611</v>
      </c>
      <c r="B4428" s="21"/>
      <c r="C4428" s="22">
        <v>4420</v>
      </c>
      <c r="D4428" s="21">
        <v>3.72</v>
      </c>
      <c r="E4428" s="21" t="s">
        <v>5796</v>
      </c>
      <c r="F4428" s="23"/>
      <c r="G4428" s="23">
        <f t="shared" si="17"/>
        <v>3.72</v>
      </c>
      <c r="H4428" s="23"/>
      <c r="I4428" s="23"/>
    </row>
    <row r="4429" spans="1:9">
      <c r="A4429" s="21" t="s">
        <v>9612</v>
      </c>
      <c r="B4429" s="21"/>
      <c r="C4429" s="22">
        <v>4421</v>
      </c>
      <c r="D4429" s="21">
        <v>3.72</v>
      </c>
      <c r="E4429" s="21" t="s">
        <v>5796</v>
      </c>
      <c r="F4429" s="23"/>
      <c r="G4429" s="23">
        <f t="shared" si="17"/>
        <v>3.72</v>
      </c>
      <c r="H4429" s="23"/>
      <c r="I4429" s="23"/>
    </row>
    <row r="4430" spans="1:9">
      <c r="A4430" s="21" t="s">
        <v>9613</v>
      </c>
      <c r="B4430" s="21"/>
      <c r="C4430" s="22">
        <v>4422</v>
      </c>
      <c r="D4430" s="21">
        <v>3.71</v>
      </c>
      <c r="E4430" s="21" t="s">
        <v>5796</v>
      </c>
      <c r="F4430" s="23"/>
      <c r="G4430" s="23">
        <f t="shared" si="17"/>
        <v>3.71</v>
      </c>
      <c r="H4430" s="23"/>
      <c r="I4430" s="23"/>
    </row>
    <row r="4431" spans="1:9">
      <c r="A4431" s="21" t="s">
        <v>9614</v>
      </c>
      <c r="B4431" s="21"/>
      <c r="C4431" s="22">
        <v>4423</v>
      </c>
      <c r="D4431" s="21">
        <v>3.7</v>
      </c>
      <c r="E4431" s="21" t="s">
        <v>5796</v>
      </c>
      <c r="F4431" s="23"/>
      <c r="G4431" s="23">
        <f t="shared" si="17"/>
        <v>3.7</v>
      </c>
      <c r="H4431" s="23"/>
      <c r="I4431" s="23"/>
    </row>
    <row r="4432" spans="1:9">
      <c r="A4432" s="21" t="s">
        <v>9615</v>
      </c>
      <c r="B4432" s="21"/>
      <c r="C4432" s="22">
        <v>4424</v>
      </c>
      <c r="D4432" s="21">
        <v>3.7</v>
      </c>
      <c r="E4432" s="21" t="s">
        <v>5796</v>
      </c>
      <c r="F4432" s="23"/>
      <c r="G4432" s="23">
        <f t="shared" si="17"/>
        <v>3.7</v>
      </c>
      <c r="H4432" s="23"/>
      <c r="I4432" s="23"/>
    </row>
    <row r="4433" spans="1:9">
      <c r="A4433" s="21" t="s">
        <v>9616</v>
      </c>
      <c r="B4433" s="21"/>
      <c r="C4433" s="22">
        <v>4425</v>
      </c>
      <c r="D4433" s="21">
        <v>3.68</v>
      </c>
      <c r="E4433" s="21" t="s">
        <v>5796</v>
      </c>
      <c r="F4433" s="23"/>
      <c r="G4433" s="23">
        <f t="shared" si="17"/>
        <v>3.68</v>
      </c>
      <c r="H4433" s="23"/>
      <c r="I4433" s="23"/>
    </row>
    <row r="4434" spans="1:9">
      <c r="A4434" s="21" t="s">
        <v>9617</v>
      </c>
      <c r="B4434" s="21"/>
      <c r="C4434" s="22">
        <v>4426</v>
      </c>
      <c r="D4434" s="21">
        <v>3.66</v>
      </c>
      <c r="E4434" s="21" t="s">
        <v>5796</v>
      </c>
      <c r="F4434" s="23"/>
      <c r="G4434" s="23">
        <f t="shared" si="17"/>
        <v>3.66</v>
      </c>
      <c r="H4434" s="23"/>
      <c r="I4434" s="23"/>
    </row>
    <row r="4435" spans="1:9">
      <c r="A4435" s="21" t="s">
        <v>9618</v>
      </c>
      <c r="B4435" s="21"/>
      <c r="C4435" s="22">
        <v>4428</v>
      </c>
      <c r="D4435" s="21">
        <v>3.65</v>
      </c>
      <c r="E4435" s="21" t="s">
        <v>5796</v>
      </c>
      <c r="F4435" s="23"/>
      <c r="G4435" s="23">
        <f t="shared" si="17"/>
        <v>3.65</v>
      </c>
      <c r="H4435" s="23"/>
      <c r="I4435" s="23"/>
    </row>
    <row r="4436" spans="1:9">
      <c r="A4436" s="21" t="s">
        <v>9619</v>
      </c>
      <c r="B4436" s="21"/>
      <c r="C4436" s="22">
        <v>4429</v>
      </c>
      <c r="D4436" s="21">
        <v>3.64</v>
      </c>
      <c r="E4436" s="21" t="s">
        <v>5796</v>
      </c>
      <c r="F4436" s="23"/>
      <c r="G4436" s="23">
        <f t="shared" si="17"/>
        <v>3.64</v>
      </c>
      <c r="H4436" s="23"/>
      <c r="I4436" s="23"/>
    </row>
    <row r="4437" spans="1:9">
      <c r="A4437" s="21" t="s">
        <v>9620</v>
      </c>
      <c r="B4437" s="21"/>
      <c r="C4437" s="22">
        <v>4430</v>
      </c>
      <c r="D4437" s="21">
        <v>3.64</v>
      </c>
      <c r="E4437" s="21" t="s">
        <v>5796</v>
      </c>
      <c r="F4437" s="23"/>
      <c r="G4437" s="23">
        <f t="shared" si="17"/>
        <v>3.64</v>
      </c>
      <c r="H4437" s="23"/>
      <c r="I4437" s="23"/>
    </row>
    <row r="4438" spans="1:9">
      <c r="A4438" s="21" t="s">
        <v>9621</v>
      </c>
      <c r="B4438" s="21"/>
      <c r="C4438" s="22">
        <v>4431</v>
      </c>
      <c r="D4438" s="21">
        <v>3.64</v>
      </c>
      <c r="E4438" s="21" t="s">
        <v>5796</v>
      </c>
      <c r="F4438" s="23"/>
      <c r="G4438" s="23">
        <f t="shared" si="17"/>
        <v>3.64</v>
      </c>
      <c r="H4438" s="23"/>
      <c r="I4438" s="23"/>
    </row>
    <row r="4439" spans="1:9">
      <c r="A4439" s="21" t="s">
        <v>9622</v>
      </c>
      <c r="B4439" s="21"/>
      <c r="C4439" s="22">
        <v>4432</v>
      </c>
      <c r="D4439" s="21">
        <v>3.63</v>
      </c>
      <c r="E4439" s="21" t="s">
        <v>5796</v>
      </c>
      <c r="F4439" s="23"/>
      <c r="G4439" s="23">
        <f t="shared" si="17"/>
        <v>3.63</v>
      </c>
      <c r="H4439" s="23"/>
      <c r="I4439" s="23"/>
    </row>
    <row r="4440" spans="1:9">
      <c r="A4440" s="21" t="s">
        <v>9623</v>
      </c>
      <c r="B4440" s="21"/>
      <c r="C4440" s="22">
        <v>4433</v>
      </c>
      <c r="D4440" s="21">
        <v>3.63</v>
      </c>
      <c r="E4440" s="21" t="s">
        <v>5796</v>
      </c>
      <c r="F4440" s="23"/>
      <c r="G4440" s="23">
        <f t="shared" si="17"/>
        <v>3.63</v>
      </c>
      <c r="H4440" s="23"/>
      <c r="I4440" s="23"/>
    </row>
    <row r="4441" spans="1:9">
      <c r="A4441" s="21" t="s">
        <v>9624</v>
      </c>
      <c r="B4441" s="21"/>
      <c r="C4441" s="22">
        <v>4434</v>
      </c>
      <c r="D4441" s="21">
        <v>3.63</v>
      </c>
      <c r="E4441" s="21" t="s">
        <v>5796</v>
      </c>
      <c r="F4441" s="23"/>
      <c r="G4441" s="23">
        <f t="shared" si="17"/>
        <v>3.63</v>
      </c>
      <c r="H4441" s="23"/>
      <c r="I4441" s="23"/>
    </row>
    <row r="4442" spans="1:9">
      <c r="A4442" s="21" t="s">
        <v>9625</v>
      </c>
      <c r="B4442" s="21"/>
      <c r="C4442" s="22">
        <v>4435</v>
      </c>
      <c r="D4442" s="21">
        <v>3.62</v>
      </c>
      <c r="E4442" s="21" t="s">
        <v>5796</v>
      </c>
      <c r="F4442" s="23"/>
      <c r="G4442" s="23">
        <f t="shared" si="17"/>
        <v>3.62</v>
      </c>
      <c r="H4442" s="23"/>
      <c r="I4442" s="23"/>
    </row>
    <row r="4443" spans="1:9">
      <c r="A4443" s="21" t="s">
        <v>9626</v>
      </c>
      <c r="B4443" s="21"/>
      <c r="C4443" s="22">
        <v>4436</v>
      </c>
      <c r="D4443" s="21">
        <v>3.61</v>
      </c>
      <c r="E4443" s="21" t="s">
        <v>5796</v>
      </c>
      <c r="F4443" s="23"/>
      <c r="G4443" s="23">
        <f t="shared" si="17"/>
        <v>3.61</v>
      </c>
      <c r="H4443" s="23"/>
      <c r="I4443" s="23"/>
    </row>
    <row r="4444" spans="1:9">
      <c r="A4444" s="21" t="s">
        <v>9627</v>
      </c>
      <c r="B4444" s="21"/>
      <c r="C4444" s="22">
        <v>4437</v>
      </c>
      <c r="D4444" s="21">
        <v>3.61</v>
      </c>
      <c r="E4444" s="21" t="s">
        <v>5796</v>
      </c>
      <c r="F4444" s="23"/>
      <c r="G4444" s="23">
        <f t="shared" si="17"/>
        <v>3.61</v>
      </c>
      <c r="H4444" s="23"/>
      <c r="I4444" s="23"/>
    </row>
    <row r="4445" spans="1:9">
      <c r="A4445" s="21" t="s">
        <v>9628</v>
      </c>
      <c r="B4445" s="21"/>
      <c r="C4445" s="22">
        <v>4438</v>
      </c>
      <c r="D4445" s="21">
        <v>3.6</v>
      </c>
      <c r="E4445" s="21" t="s">
        <v>5796</v>
      </c>
      <c r="F4445" s="23"/>
      <c r="G4445" s="23">
        <f t="shared" si="17"/>
        <v>3.6</v>
      </c>
      <c r="H4445" s="23"/>
      <c r="I4445" s="23"/>
    </row>
    <row r="4446" spans="1:9">
      <c r="A4446" s="21" t="s">
        <v>9629</v>
      </c>
      <c r="B4446" s="21"/>
      <c r="C4446" s="22">
        <v>4439</v>
      </c>
      <c r="D4446" s="21">
        <v>3.6</v>
      </c>
      <c r="E4446" s="21" t="s">
        <v>5796</v>
      </c>
      <c r="F4446" s="23"/>
      <c r="G4446" s="23">
        <f t="shared" si="17"/>
        <v>3.6</v>
      </c>
      <c r="H4446" s="23"/>
      <c r="I4446" s="23"/>
    </row>
    <row r="4447" spans="1:9">
      <c r="A4447" s="21" t="s">
        <v>9630</v>
      </c>
      <c r="B4447" s="21"/>
      <c r="C4447" s="22">
        <v>4440</v>
      </c>
      <c r="D4447" s="21">
        <v>3.6</v>
      </c>
      <c r="E4447" s="21" t="s">
        <v>5796</v>
      </c>
      <c r="F4447" s="23"/>
      <c r="G4447" s="23">
        <f t="shared" si="17"/>
        <v>3.6</v>
      </c>
      <c r="H4447" s="23"/>
      <c r="I4447" s="23"/>
    </row>
    <row r="4448" spans="1:9">
      <c r="A4448" s="21" t="s">
        <v>9631</v>
      </c>
      <c r="B4448" s="21"/>
      <c r="C4448" s="22">
        <v>4441</v>
      </c>
      <c r="D4448" s="21">
        <v>3.6</v>
      </c>
      <c r="E4448" s="21" t="s">
        <v>5796</v>
      </c>
      <c r="F4448" s="23"/>
      <c r="G4448" s="23">
        <f t="shared" si="17"/>
        <v>3.6</v>
      </c>
      <c r="H4448" s="23"/>
      <c r="I4448" s="23"/>
    </row>
    <row r="4449" spans="1:9">
      <c r="A4449" s="21" t="s">
        <v>9632</v>
      </c>
      <c r="B4449" s="21"/>
      <c r="C4449" s="22">
        <v>4442</v>
      </c>
      <c r="D4449" s="21">
        <v>3.59</v>
      </c>
      <c r="E4449" s="21" t="s">
        <v>5796</v>
      </c>
      <c r="F4449" s="23"/>
      <c r="G4449" s="23">
        <f t="shared" si="17"/>
        <v>3.59</v>
      </c>
      <c r="H4449" s="23"/>
      <c r="I4449" s="23"/>
    </row>
    <row r="4450" spans="1:9">
      <c r="A4450" s="21" t="s">
        <v>9633</v>
      </c>
      <c r="B4450" s="21"/>
      <c r="C4450" s="22">
        <v>4443</v>
      </c>
      <c r="D4450" s="21">
        <v>3.59</v>
      </c>
      <c r="E4450" s="21" t="s">
        <v>5796</v>
      </c>
      <c r="F4450" s="23"/>
      <c r="G4450" s="23">
        <f t="shared" si="17"/>
        <v>3.59</v>
      </c>
      <c r="H4450" s="23"/>
      <c r="I4450" s="23"/>
    </row>
    <row r="4451" spans="1:9">
      <c r="A4451" s="21" t="s">
        <v>9634</v>
      </c>
      <c r="B4451" s="21"/>
      <c r="C4451" s="22">
        <v>4444</v>
      </c>
      <c r="D4451" s="21">
        <v>3.58</v>
      </c>
      <c r="E4451" s="21" t="s">
        <v>5796</v>
      </c>
      <c r="F4451" s="23"/>
      <c r="G4451" s="23">
        <f t="shared" si="17"/>
        <v>3.58</v>
      </c>
      <c r="H4451" s="23"/>
      <c r="I4451" s="23"/>
    </row>
    <row r="4452" spans="1:9">
      <c r="A4452" s="21" t="s">
        <v>9635</v>
      </c>
      <c r="B4452" s="21"/>
      <c r="C4452" s="22">
        <v>4445</v>
      </c>
      <c r="D4452" s="21">
        <v>3.57</v>
      </c>
      <c r="E4452" s="21" t="s">
        <v>5796</v>
      </c>
      <c r="F4452" s="23"/>
      <c r="G4452" s="23">
        <f t="shared" si="17"/>
        <v>3.57</v>
      </c>
      <c r="H4452" s="23"/>
      <c r="I4452" s="23"/>
    </row>
    <row r="4453" spans="1:9">
      <c r="A4453" s="21" t="s">
        <v>9636</v>
      </c>
      <c r="B4453" s="21"/>
      <c r="C4453" s="22">
        <v>4446</v>
      </c>
      <c r="D4453" s="21">
        <v>3.57</v>
      </c>
      <c r="E4453" s="21" t="s">
        <v>5796</v>
      </c>
      <c r="F4453" s="23"/>
      <c r="G4453" s="23">
        <f t="shared" si="17"/>
        <v>3.57</v>
      </c>
      <c r="H4453" s="23"/>
      <c r="I4453" s="23"/>
    </row>
    <row r="4454" spans="1:9">
      <c r="A4454" s="21" t="s">
        <v>9637</v>
      </c>
      <c r="B4454" s="21"/>
      <c r="C4454" s="22">
        <v>4447</v>
      </c>
      <c r="D4454" s="21">
        <v>3.56</v>
      </c>
      <c r="E4454" s="21" t="s">
        <v>5796</v>
      </c>
      <c r="F4454" s="23"/>
      <c r="G4454" s="23">
        <f t="shared" si="17"/>
        <v>3.56</v>
      </c>
      <c r="H4454" s="23"/>
      <c r="I4454" s="23"/>
    </row>
    <row r="4455" spans="1:9">
      <c r="A4455" s="21" t="s">
        <v>9638</v>
      </c>
      <c r="B4455" s="21"/>
      <c r="C4455" s="22">
        <v>4448</v>
      </c>
      <c r="D4455" s="21">
        <v>3.55</v>
      </c>
      <c r="E4455" s="21" t="s">
        <v>5796</v>
      </c>
      <c r="F4455" s="23"/>
      <c r="G4455" s="23">
        <f t="shared" si="17"/>
        <v>3.55</v>
      </c>
      <c r="H4455" s="23"/>
      <c r="I4455" s="23"/>
    </row>
    <row r="4456" spans="1:9">
      <c r="A4456" s="21" t="s">
        <v>9639</v>
      </c>
      <c r="B4456" s="21"/>
      <c r="C4456" s="22">
        <v>4449</v>
      </c>
      <c r="D4456" s="21">
        <v>3.55</v>
      </c>
      <c r="E4456" s="21" t="s">
        <v>5796</v>
      </c>
      <c r="F4456" s="23"/>
      <c r="G4456" s="23">
        <f t="shared" si="17"/>
        <v>3.55</v>
      </c>
      <c r="H4456" s="23"/>
      <c r="I4456" s="23"/>
    </row>
    <row r="4457" spans="1:9">
      <c r="A4457" s="21" t="s">
        <v>9640</v>
      </c>
      <c r="B4457" s="21"/>
      <c r="C4457" s="22">
        <v>4450</v>
      </c>
      <c r="D4457" s="21">
        <v>3.55</v>
      </c>
      <c r="E4457" s="21" t="s">
        <v>5796</v>
      </c>
      <c r="F4457" s="23"/>
      <c r="G4457" s="23">
        <f t="shared" si="17"/>
        <v>3.55</v>
      </c>
      <c r="H4457" s="23"/>
      <c r="I4457" s="23"/>
    </row>
    <row r="4458" spans="1:9">
      <c r="A4458" s="21" t="s">
        <v>9641</v>
      </c>
      <c r="B4458" s="21"/>
      <c r="C4458" s="22">
        <v>4451</v>
      </c>
      <c r="D4458" s="21">
        <v>3.54</v>
      </c>
      <c r="E4458" s="21" t="s">
        <v>5796</v>
      </c>
      <c r="F4458" s="23"/>
      <c r="G4458" s="23">
        <f t="shared" si="17"/>
        <v>3.54</v>
      </c>
      <c r="H4458" s="23"/>
      <c r="I4458" s="23"/>
    </row>
    <row r="4459" spans="1:9">
      <c r="A4459" s="21" t="s">
        <v>9642</v>
      </c>
      <c r="B4459" s="21"/>
      <c r="C4459" s="22">
        <v>4452</v>
      </c>
      <c r="D4459" s="21">
        <v>3.53</v>
      </c>
      <c r="E4459" s="21" t="s">
        <v>5796</v>
      </c>
      <c r="F4459" s="23"/>
      <c r="G4459" s="23">
        <f t="shared" si="17"/>
        <v>3.53</v>
      </c>
      <c r="H4459" s="23"/>
      <c r="I4459" s="23"/>
    </row>
    <row r="4460" spans="1:9">
      <c r="A4460" s="21" t="s">
        <v>9643</v>
      </c>
      <c r="B4460" s="21"/>
      <c r="C4460" s="22">
        <v>4453</v>
      </c>
      <c r="D4460" s="21">
        <v>3.52</v>
      </c>
      <c r="E4460" s="21" t="s">
        <v>5796</v>
      </c>
      <c r="F4460" s="23"/>
      <c r="G4460" s="23">
        <f t="shared" si="17"/>
        <v>3.52</v>
      </c>
      <c r="H4460" s="23"/>
      <c r="I4460" s="23"/>
    </row>
    <row r="4461" spans="1:9">
      <c r="A4461" s="21" t="s">
        <v>9644</v>
      </c>
      <c r="B4461" s="21"/>
      <c r="C4461" s="22">
        <v>4454</v>
      </c>
      <c r="D4461" s="21">
        <v>3.52</v>
      </c>
      <c r="E4461" s="21" t="s">
        <v>5796</v>
      </c>
      <c r="F4461" s="23"/>
      <c r="G4461" s="23">
        <f t="shared" si="17"/>
        <v>3.52</v>
      </c>
      <c r="H4461" s="23"/>
      <c r="I4461" s="23"/>
    </row>
    <row r="4462" spans="1:9">
      <c r="A4462" s="21" t="s">
        <v>9645</v>
      </c>
      <c r="B4462" s="21"/>
      <c r="C4462" s="22">
        <v>4455</v>
      </c>
      <c r="D4462" s="21">
        <v>3.51</v>
      </c>
      <c r="E4462" s="21" t="s">
        <v>5796</v>
      </c>
      <c r="F4462" s="23"/>
      <c r="G4462" s="23">
        <f t="shared" si="17"/>
        <v>3.51</v>
      </c>
      <c r="H4462" s="23"/>
      <c r="I4462" s="23"/>
    </row>
    <row r="4463" spans="1:9">
      <c r="A4463" s="21" t="s">
        <v>9646</v>
      </c>
      <c r="B4463" s="21"/>
      <c r="C4463" s="22">
        <v>4456</v>
      </c>
      <c r="D4463" s="21">
        <v>3.5</v>
      </c>
      <c r="E4463" s="21" t="s">
        <v>5796</v>
      </c>
      <c r="F4463" s="23"/>
      <c r="G4463" s="23">
        <f t="shared" si="17"/>
        <v>3.5</v>
      </c>
      <c r="H4463" s="23"/>
      <c r="I4463" s="23"/>
    </row>
    <row r="4464" spans="1:9">
      <c r="A4464" s="21" t="s">
        <v>9647</v>
      </c>
      <c r="B4464" s="21"/>
      <c r="C4464" s="22">
        <v>4457</v>
      </c>
      <c r="D4464" s="21">
        <v>3.49</v>
      </c>
      <c r="E4464" s="21" t="s">
        <v>5796</v>
      </c>
      <c r="F4464" s="23"/>
      <c r="G4464" s="23">
        <f t="shared" si="17"/>
        <v>3.49</v>
      </c>
      <c r="H4464" s="23"/>
      <c r="I4464" s="23"/>
    </row>
    <row r="4465" spans="1:9">
      <c r="A4465" s="21" t="s">
        <v>9648</v>
      </c>
      <c r="B4465" s="21"/>
      <c r="C4465" s="22">
        <v>4458</v>
      </c>
      <c r="D4465" s="21">
        <v>3.49</v>
      </c>
      <c r="E4465" s="21" t="s">
        <v>5796</v>
      </c>
      <c r="F4465" s="23"/>
      <c r="G4465" s="23">
        <f t="shared" si="17"/>
        <v>3.49</v>
      </c>
      <c r="H4465" s="23"/>
      <c r="I4465" s="23"/>
    </row>
    <row r="4466" spans="1:9">
      <c r="A4466" s="21" t="s">
        <v>9649</v>
      </c>
      <c r="B4466" s="21"/>
      <c r="C4466" s="22">
        <v>4459</v>
      </c>
      <c r="D4466" s="21">
        <v>3.49</v>
      </c>
      <c r="E4466" s="21" t="s">
        <v>5796</v>
      </c>
      <c r="F4466" s="23"/>
      <c r="G4466" s="23">
        <f t="shared" si="17"/>
        <v>3.49</v>
      </c>
      <c r="H4466" s="23"/>
      <c r="I4466" s="23"/>
    </row>
    <row r="4467" spans="1:9">
      <c r="A4467" s="21" t="s">
        <v>9650</v>
      </c>
      <c r="B4467" s="21"/>
      <c r="C4467" s="22">
        <v>4460</v>
      </c>
      <c r="D4467" s="21">
        <v>3.48</v>
      </c>
      <c r="E4467" s="21" t="s">
        <v>5796</v>
      </c>
      <c r="F4467" s="23"/>
      <c r="G4467" s="23">
        <f t="shared" si="17"/>
        <v>3.48</v>
      </c>
      <c r="H4467" s="23"/>
      <c r="I4467" s="23"/>
    </row>
    <row r="4468" spans="1:9">
      <c r="A4468" s="21" t="s">
        <v>9651</v>
      </c>
      <c r="B4468" s="21"/>
      <c r="C4468" s="22">
        <v>4461</v>
      </c>
      <c r="D4468" s="21">
        <v>3.47</v>
      </c>
      <c r="E4468" s="21" t="s">
        <v>5796</v>
      </c>
      <c r="F4468" s="23"/>
      <c r="G4468" s="23">
        <f t="shared" si="17"/>
        <v>3.47</v>
      </c>
      <c r="H4468" s="23"/>
      <c r="I4468" s="23"/>
    </row>
    <row r="4469" spans="1:9">
      <c r="A4469" s="21" t="s">
        <v>9652</v>
      </c>
      <c r="B4469" s="21"/>
      <c r="C4469" s="22">
        <v>4462</v>
      </c>
      <c r="D4469" s="21">
        <v>3.47</v>
      </c>
      <c r="E4469" s="21" t="s">
        <v>5796</v>
      </c>
      <c r="F4469" s="23"/>
      <c r="G4469" s="23">
        <f t="shared" si="17"/>
        <v>3.47</v>
      </c>
      <c r="H4469" s="23"/>
      <c r="I4469" s="23"/>
    </row>
    <row r="4470" spans="1:9">
      <c r="A4470" s="21" t="s">
        <v>9653</v>
      </c>
      <c r="B4470" s="21"/>
      <c r="C4470" s="22">
        <v>4464</v>
      </c>
      <c r="D4470" s="21">
        <v>3.44</v>
      </c>
      <c r="E4470" s="21" t="s">
        <v>5796</v>
      </c>
      <c r="F4470" s="23"/>
      <c r="G4470" s="23">
        <f t="shared" si="17"/>
        <v>3.44</v>
      </c>
      <c r="H4470" s="23"/>
      <c r="I4470" s="23"/>
    </row>
    <row r="4471" spans="1:9">
      <c r="A4471" s="21" t="s">
        <v>9654</v>
      </c>
      <c r="B4471" s="21"/>
      <c r="C4471" s="22">
        <v>4465</v>
      </c>
      <c r="D4471" s="21">
        <v>3.44</v>
      </c>
      <c r="E4471" s="21" t="s">
        <v>5796</v>
      </c>
      <c r="F4471" s="23"/>
      <c r="G4471" s="23">
        <f t="shared" si="17"/>
        <v>3.44</v>
      </c>
      <c r="H4471" s="23"/>
      <c r="I4471" s="23"/>
    </row>
    <row r="4472" spans="1:9">
      <c r="A4472" s="21" t="s">
        <v>9655</v>
      </c>
      <c r="B4472" s="21"/>
      <c r="C4472" s="22">
        <v>4466</v>
      </c>
      <c r="D4472" s="21">
        <v>3.44</v>
      </c>
      <c r="E4472" s="21" t="s">
        <v>5796</v>
      </c>
      <c r="F4472" s="23"/>
      <c r="G4472" s="23">
        <f t="shared" si="17"/>
        <v>3.44</v>
      </c>
      <c r="H4472" s="23"/>
      <c r="I4472" s="23"/>
    </row>
    <row r="4473" spans="1:9">
      <c r="A4473" s="21" t="s">
        <v>9656</v>
      </c>
      <c r="B4473" s="21"/>
      <c r="C4473" s="22">
        <v>4467</v>
      </c>
      <c r="D4473" s="21">
        <v>3.43</v>
      </c>
      <c r="E4473" s="21" t="s">
        <v>5796</v>
      </c>
      <c r="F4473" s="23"/>
      <c r="G4473" s="23">
        <f t="shared" si="17"/>
        <v>3.43</v>
      </c>
      <c r="H4473" s="23"/>
      <c r="I4473" s="23"/>
    </row>
    <row r="4474" spans="1:9">
      <c r="A4474" s="21" t="s">
        <v>9657</v>
      </c>
      <c r="B4474" s="21"/>
      <c r="C4474" s="22">
        <v>4468</v>
      </c>
      <c r="D4474" s="21">
        <v>3.43</v>
      </c>
      <c r="E4474" s="21" t="s">
        <v>5796</v>
      </c>
      <c r="F4474" s="23"/>
      <c r="G4474" s="23">
        <f t="shared" si="17"/>
        <v>3.43</v>
      </c>
      <c r="H4474" s="23"/>
      <c r="I4474" s="23"/>
    </row>
    <row r="4475" spans="1:9">
      <c r="A4475" s="21" t="s">
        <v>9658</v>
      </c>
      <c r="B4475" s="21"/>
      <c r="C4475" s="22">
        <v>4469</v>
      </c>
      <c r="D4475" s="21">
        <v>3.41</v>
      </c>
      <c r="E4475" s="21" t="s">
        <v>5796</v>
      </c>
      <c r="F4475" s="23"/>
      <c r="G4475" s="23">
        <f t="shared" si="17"/>
        <v>3.41</v>
      </c>
      <c r="H4475" s="23"/>
      <c r="I4475" s="23"/>
    </row>
    <row r="4476" spans="1:9">
      <c r="A4476" s="21" t="s">
        <v>9659</v>
      </c>
      <c r="B4476" s="21"/>
      <c r="C4476" s="22">
        <v>4470</v>
      </c>
      <c r="D4476" s="21">
        <v>3.41</v>
      </c>
      <c r="E4476" s="21" t="s">
        <v>5796</v>
      </c>
      <c r="F4476" s="23"/>
      <c r="G4476" s="23">
        <f t="shared" si="17"/>
        <v>3.41</v>
      </c>
      <c r="H4476" s="23"/>
      <c r="I4476" s="23"/>
    </row>
    <row r="4477" spans="1:9">
      <c r="A4477" s="21" t="s">
        <v>9660</v>
      </c>
      <c r="B4477" s="21"/>
      <c r="C4477" s="22">
        <v>4471</v>
      </c>
      <c r="D4477" s="21">
        <v>3.4</v>
      </c>
      <c r="E4477" s="21" t="s">
        <v>5796</v>
      </c>
      <c r="F4477" s="23"/>
      <c r="G4477" s="23">
        <f t="shared" si="17"/>
        <v>3.4</v>
      </c>
      <c r="H4477" s="23"/>
      <c r="I4477" s="23"/>
    </row>
    <row r="4478" spans="1:9">
      <c r="A4478" s="21" t="s">
        <v>9661</v>
      </c>
      <c r="B4478" s="21"/>
      <c r="C4478" s="22">
        <v>4472</v>
      </c>
      <c r="D4478" s="21">
        <v>3.4</v>
      </c>
      <c r="E4478" s="21" t="s">
        <v>5796</v>
      </c>
      <c r="F4478" s="23"/>
      <c r="G4478" s="23">
        <f t="shared" si="17"/>
        <v>3.4</v>
      </c>
      <c r="H4478" s="23"/>
      <c r="I4478" s="23"/>
    </row>
    <row r="4479" spans="1:9">
      <c r="A4479" s="21" t="s">
        <v>9662</v>
      </c>
      <c r="B4479" s="21"/>
      <c r="C4479" s="22">
        <v>4473</v>
      </c>
      <c r="D4479" s="21">
        <v>3.4</v>
      </c>
      <c r="E4479" s="21" t="s">
        <v>5796</v>
      </c>
      <c r="F4479" s="23"/>
      <c r="G4479" s="23">
        <f t="shared" si="17"/>
        <v>3.4</v>
      </c>
      <c r="H4479" s="23"/>
      <c r="I4479" s="23"/>
    </row>
    <row r="4480" spans="1:9">
      <c r="A4480" s="21" t="s">
        <v>9663</v>
      </c>
      <c r="B4480" s="21"/>
      <c r="C4480" s="22">
        <v>4474</v>
      </c>
      <c r="D4480" s="21">
        <v>3.39</v>
      </c>
      <c r="E4480" s="21" t="s">
        <v>5796</v>
      </c>
      <c r="F4480" s="23"/>
      <c r="G4480" s="23">
        <f t="shared" si="17"/>
        <v>3.39</v>
      </c>
      <c r="H4480" s="23"/>
      <c r="I4480" s="23"/>
    </row>
    <row r="4481" spans="1:9">
      <c r="A4481" s="21" t="s">
        <v>9664</v>
      </c>
      <c r="B4481" s="21"/>
      <c r="C4481" s="22">
        <v>4475</v>
      </c>
      <c r="D4481" s="21">
        <v>3.39</v>
      </c>
      <c r="E4481" s="21" t="s">
        <v>5796</v>
      </c>
      <c r="F4481" s="23"/>
      <c r="G4481" s="23">
        <f t="shared" si="17"/>
        <v>3.39</v>
      </c>
      <c r="H4481" s="23"/>
      <c r="I4481" s="23"/>
    </row>
    <row r="4482" spans="1:9">
      <c r="A4482" s="21" t="s">
        <v>9665</v>
      </c>
      <c r="B4482" s="21"/>
      <c r="C4482" s="22">
        <v>4476</v>
      </c>
      <c r="D4482" s="21">
        <v>3.38</v>
      </c>
      <c r="E4482" s="21" t="s">
        <v>5796</v>
      </c>
      <c r="F4482" s="23"/>
      <c r="G4482" s="23">
        <f t="shared" si="17"/>
        <v>3.38</v>
      </c>
      <c r="H4482" s="23"/>
      <c r="I4482" s="23"/>
    </row>
    <row r="4483" spans="1:9">
      <c r="A4483" s="21" t="s">
        <v>9666</v>
      </c>
      <c r="B4483" s="21"/>
      <c r="C4483" s="22">
        <v>4477</v>
      </c>
      <c r="D4483" s="21">
        <v>3.38</v>
      </c>
      <c r="E4483" s="21" t="s">
        <v>5796</v>
      </c>
      <c r="F4483" s="23"/>
      <c r="G4483" s="23">
        <f t="shared" si="17"/>
        <v>3.38</v>
      </c>
      <c r="H4483" s="23"/>
      <c r="I4483" s="23"/>
    </row>
    <row r="4484" spans="1:9">
      <c r="A4484" s="21" t="s">
        <v>9667</v>
      </c>
      <c r="B4484" s="21"/>
      <c r="C4484" s="22">
        <v>4478</v>
      </c>
      <c r="D4484" s="21">
        <v>3.38</v>
      </c>
      <c r="E4484" s="21" t="s">
        <v>5796</v>
      </c>
      <c r="F4484" s="23"/>
      <c r="G4484" s="23">
        <f t="shared" si="17"/>
        <v>3.38</v>
      </c>
      <c r="H4484" s="23"/>
      <c r="I4484" s="23"/>
    </row>
    <row r="4485" spans="1:9">
      <c r="A4485" s="21" t="s">
        <v>9668</v>
      </c>
      <c r="B4485" s="21"/>
      <c r="C4485" s="22">
        <v>4479</v>
      </c>
      <c r="D4485" s="21">
        <v>3.37</v>
      </c>
      <c r="E4485" s="21" t="s">
        <v>5796</v>
      </c>
      <c r="F4485" s="23"/>
      <c r="G4485" s="23">
        <f t="shared" si="17"/>
        <v>3.37</v>
      </c>
      <c r="H4485" s="23"/>
      <c r="I4485" s="23"/>
    </row>
    <row r="4486" spans="1:9">
      <c r="A4486" s="21" t="s">
        <v>9669</v>
      </c>
      <c r="B4486" s="21"/>
      <c r="C4486" s="22">
        <v>4480</v>
      </c>
      <c r="D4486" s="21">
        <v>3.37</v>
      </c>
      <c r="E4486" s="21" t="s">
        <v>5796</v>
      </c>
      <c r="F4486" s="23"/>
      <c r="G4486" s="23">
        <f t="shared" si="17"/>
        <v>3.37</v>
      </c>
      <c r="H4486" s="23"/>
      <c r="I4486" s="23"/>
    </row>
    <row r="4487" spans="1:9">
      <c r="A4487" s="21" t="s">
        <v>9670</v>
      </c>
      <c r="B4487" s="21"/>
      <c r="C4487" s="22">
        <v>4481</v>
      </c>
      <c r="D4487" s="21">
        <v>3.37</v>
      </c>
      <c r="E4487" s="21" t="s">
        <v>5796</v>
      </c>
      <c r="F4487" s="23"/>
      <c r="G4487" s="23">
        <f t="shared" si="17"/>
        <v>3.37</v>
      </c>
      <c r="H4487" s="23"/>
      <c r="I4487" s="23"/>
    </row>
    <row r="4488" spans="1:9">
      <c r="A4488" s="21" t="s">
        <v>9671</v>
      </c>
      <c r="B4488" s="21"/>
      <c r="C4488" s="22">
        <v>4482</v>
      </c>
      <c r="D4488" s="21">
        <v>3.36</v>
      </c>
      <c r="E4488" s="21" t="s">
        <v>5796</v>
      </c>
      <c r="F4488" s="23"/>
      <c r="G4488" s="23">
        <f t="shared" si="17"/>
        <v>3.36</v>
      </c>
      <c r="H4488" s="23"/>
      <c r="I4488" s="23"/>
    </row>
    <row r="4489" spans="1:9">
      <c r="A4489" s="21" t="s">
        <v>9672</v>
      </c>
      <c r="B4489" s="21"/>
      <c r="C4489" s="22">
        <v>4483</v>
      </c>
      <c r="D4489" s="21">
        <v>3.36</v>
      </c>
      <c r="E4489" s="21" t="s">
        <v>5796</v>
      </c>
      <c r="F4489" s="23"/>
      <c r="G4489" s="23">
        <f t="shared" si="17"/>
        <v>3.36</v>
      </c>
      <c r="H4489" s="23"/>
      <c r="I4489" s="23"/>
    </row>
    <row r="4490" spans="1:9">
      <c r="A4490" s="21" t="s">
        <v>9673</v>
      </c>
      <c r="B4490" s="21"/>
      <c r="C4490" s="22">
        <v>4484</v>
      </c>
      <c r="D4490" s="21">
        <v>3.36</v>
      </c>
      <c r="E4490" s="21" t="s">
        <v>5796</v>
      </c>
      <c r="F4490" s="23"/>
      <c r="G4490" s="23">
        <f t="shared" si="17"/>
        <v>3.36</v>
      </c>
      <c r="H4490" s="23"/>
      <c r="I4490" s="23"/>
    </row>
    <row r="4491" spans="1:9">
      <c r="A4491" s="21" t="s">
        <v>9674</v>
      </c>
      <c r="B4491" s="21"/>
      <c r="C4491" s="22">
        <v>4485</v>
      </c>
      <c r="D4491" s="21">
        <v>3.35</v>
      </c>
      <c r="E4491" s="21" t="s">
        <v>5796</v>
      </c>
      <c r="F4491" s="23"/>
      <c r="G4491" s="23">
        <f t="shared" si="17"/>
        <v>3.35</v>
      </c>
      <c r="H4491" s="23"/>
      <c r="I4491" s="23"/>
    </row>
    <row r="4492" spans="1:9">
      <c r="A4492" s="21" t="s">
        <v>9675</v>
      </c>
      <c r="B4492" s="21"/>
      <c r="C4492" s="22">
        <v>4486</v>
      </c>
      <c r="D4492" s="21">
        <v>3.34</v>
      </c>
      <c r="E4492" s="21" t="s">
        <v>5796</v>
      </c>
      <c r="F4492" s="23"/>
      <c r="G4492" s="23">
        <f t="shared" si="17"/>
        <v>3.34</v>
      </c>
      <c r="H4492" s="23"/>
      <c r="I4492" s="23"/>
    </row>
    <row r="4493" spans="1:9">
      <c r="A4493" s="21" t="s">
        <v>9676</v>
      </c>
      <c r="B4493" s="21"/>
      <c r="C4493" s="22">
        <v>4487</v>
      </c>
      <c r="D4493" s="21">
        <v>3.33</v>
      </c>
      <c r="E4493" s="21" t="s">
        <v>5796</v>
      </c>
      <c r="F4493" s="23"/>
      <c r="G4493" s="23">
        <f t="shared" si="17"/>
        <v>3.33</v>
      </c>
      <c r="H4493" s="23"/>
      <c r="I4493" s="23"/>
    </row>
    <row r="4494" spans="1:9">
      <c r="A4494" s="21" t="s">
        <v>9677</v>
      </c>
      <c r="B4494" s="21"/>
      <c r="C4494" s="22">
        <v>4488</v>
      </c>
      <c r="D4494" s="21">
        <v>3.32</v>
      </c>
      <c r="E4494" s="21" t="s">
        <v>5796</v>
      </c>
      <c r="F4494" s="23"/>
      <c r="G4494" s="23">
        <f t="shared" si="17"/>
        <v>3.32</v>
      </c>
      <c r="H4494" s="23"/>
      <c r="I4494" s="23"/>
    </row>
    <row r="4495" spans="1:9">
      <c r="A4495" s="21" t="s">
        <v>9678</v>
      </c>
      <c r="B4495" s="21"/>
      <c r="C4495" s="22">
        <v>4489</v>
      </c>
      <c r="D4495" s="21">
        <v>3.32</v>
      </c>
      <c r="E4495" s="21" t="s">
        <v>5796</v>
      </c>
      <c r="F4495" s="23"/>
      <c r="G4495" s="23">
        <f t="shared" si="17"/>
        <v>3.32</v>
      </c>
      <c r="H4495" s="23"/>
      <c r="I4495" s="23"/>
    </row>
    <row r="4496" spans="1:9">
      <c r="A4496" s="21" t="s">
        <v>9679</v>
      </c>
      <c r="B4496" s="21"/>
      <c r="C4496" s="22">
        <v>4490</v>
      </c>
      <c r="D4496" s="21">
        <v>3.32</v>
      </c>
      <c r="E4496" s="21" t="s">
        <v>5796</v>
      </c>
      <c r="F4496" s="23"/>
      <c r="G4496" s="23">
        <f t="shared" si="17"/>
        <v>3.32</v>
      </c>
      <c r="H4496" s="23"/>
      <c r="I4496" s="23"/>
    </row>
    <row r="4497" spans="1:9">
      <c r="A4497" s="21" t="s">
        <v>9680</v>
      </c>
      <c r="B4497" s="21"/>
      <c r="C4497" s="22">
        <v>4491</v>
      </c>
      <c r="D4497" s="21">
        <v>3.29</v>
      </c>
      <c r="E4497" s="21" t="s">
        <v>5796</v>
      </c>
      <c r="F4497" s="23"/>
      <c r="G4497" s="23">
        <f t="shared" si="17"/>
        <v>3.29</v>
      </c>
      <c r="H4497" s="23"/>
      <c r="I4497" s="23"/>
    </row>
    <row r="4498" spans="1:9">
      <c r="A4498" s="21" t="s">
        <v>9681</v>
      </c>
      <c r="B4498" s="21"/>
      <c r="C4498" s="22">
        <v>4492</v>
      </c>
      <c r="D4498" s="21">
        <v>3.28</v>
      </c>
      <c r="E4498" s="21" t="s">
        <v>5796</v>
      </c>
      <c r="F4498" s="23"/>
      <c r="G4498" s="23">
        <f t="shared" si="17"/>
        <v>3.28</v>
      </c>
      <c r="H4498" s="23"/>
      <c r="I4498" s="23"/>
    </row>
    <row r="4499" spans="1:9">
      <c r="A4499" s="21" t="s">
        <v>9682</v>
      </c>
      <c r="B4499" s="21"/>
      <c r="C4499" s="22">
        <v>4493</v>
      </c>
      <c r="D4499" s="21">
        <v>3.28</v>
      </c>
      <c r="E4499" s="21" t="s">
        <v>5796</v>
      </c>
      <c r="F4499" s="23"/>
      <c r="G4499" s="23">
        <f t="shared" si="17"/>
        <v>3.28</v>
      </c>
      <c r="H4499" s="23"/>
      <c r="I4499" s="23"/>
    </row>
    <row r="4500" spans="1:9">
      <c r="A4500" s="21" t="s">
        <v>9683</v>
      </c>
      <c r="B4500" s="21"/>
      <c r="C4500" s="22">
        <v>4494</v>
      </c>
      <c r="D4500" s="21">
        <v>3.27</v>
      </c>
      <c r="E4500" s="21" t="s">
        <v>5796</v>
      </c>
      <c r="F4500" s="23"/>
      <c r="G4500" s="23">
        <f t="shared" si="17"/>
        <v>3.27</v>
      </c>
      <c r="H4500" s="23"/>
      <c r="I4500" s="23"/>
    </row>
    <row r="4501" spans="1:9">
      <c r="A4501" s="21" t="s">
        <v>9684</v>
      </c>
      <c r="B4501" s="21"/>
      <c r="C4501" s="22">
        <v>4495</v>
      </c>
      <c r="D4501" s="21">
        <v>3.27</v>
      </c>
      <c r="E4501" s="21" t="s">
        <v>5796</v>
      </c>
      <c r="F4501" s="23"/>
      <c r="G4501" s="23">
        <f t="shared" si="17"/>
        <v>3.27</v>
      </c>
      <c r="H4501" s="23"/>
      <c r="I4501" s="23"/>
    </row>
    <row r="4502" spans="1:9">
      <c r="A4502" s="21" t="s">
        <v>9685</v>
      </c>
      <c r="B4502" s="21"/>
      <c r="C4502" s="22">
        <v>4496</v>
      </c>
      <c r="D4502" s="21">
        <v>3.27</v>
      </c>
      <c r="E4502" s="21" t="s">
        <v>5796</v>
      </c>
      <c r="F4502" s="23"/>
      <c r="G4502" s="23">
        <f t="shared" si="17"/>
        <v>3.27</v>
      </c>
      <c r="H4502" s="23"/>
      <c r="I4502" s="23"/>
    </row>
    <row r="4503" spans="1:9">
      <c r="A4503" s="21" t="s">
        <v>9686</v>
      </c>
      <c r="B4503" s="21"/>
      <c r="C4503" s="22">
        <v>4497</v>
      </c>
      <c r="D4503" s="21">
        <v>3.26</v>
      </c>
      <c r="E4503" s="21" t="s">
        <v>5796</v>
      </c>
      <c r="F4503" s="23"/>
      <c r="G4503" s="23">
        <f t="shared" si="17"/>
        <v>3.26</v>
      </c>
      <c r="H4503" s="23"/>
      <c r="I4503" s="23"/>
    </row>
    <row r="4504" spans="1:9">
      <c r="A4504" s="21" t="s">
        <v>9687</v>
      </c>
      <c r="B4504" s="21"/>
      <c r="C4504" s="22">
        <v>4498</v>
      </c>
      <c r="D4504" s="21">
        <v>3.26</v>
      </c>
      <c r="E4504" s="21" t="s">
        <v>5796</v>
      </c>
      <c r="F4504" s="23"/>
      <c r="G4504" s="23">
        <f t="shared" si="17"/>
        <v>3.26</v>
      </c>
      <c r="H4504" s="23"/>
      <c r="I4504" s="23"/>
    </row>
    <row r="4505" spans="1:9">
      <c r="A4505" s="21" t="s">
        <v>9688</v>
      </c>
      <c r="B4505" s="21"/>
      <c r="C4505" s="22">
        <v>4499</v>
      </c>
      <c r="D4505" s="21">
        <v>3.26</v>
      </c>
      <c r="E4505" s="21" t="s">
        <v>5796</v>
      </c>
      <c r="F4505" s="23"/>
      <c r="G4505" s="23">
        <f t="shared" si="17"/>
        <v>3.26</v>
      </c>
      <c r="H4505" s="23"/>
      <c r="I4505" s="23"/>
    </row>
    <row r="4506" spans="1:9">
      <c r="A4506" s="21" t="s">
        <v>9689</v>
      </c>
      <c r="B4506" s="21"/>
      <c r="C4506" s="22">
        <v>4500</v>
      </c>
      <c r="D4506" s="21">
        <v>3.25</v>
      </c>
      <c r="E4506" s="21" t="s">
        <v>5796</v>
      </c>
      <c r="F4506" s="23"/>
      <c r="G4506" s="23">
        <f t="shared" si="17"/>
        <v>3.25</v>
      </c>
      <c r="H4506" s="23"/>
      <c r="I4506" s="23"/>
    </row>
    <row r="4507" spans="1:9">
      <c r="A4507" s="21" t="s">
        <v>9690</v>
      </c>
      <c r="B4507" s="21"/>
      <c r="C4507" s="22">
        <v>4501</v>
      </c>
      <c r="D4507" s="21">
        <v>3.25</v>
      </c>
      <c r="E4507" s="21" t="s">
        <v>5796</v>
      </c>
      <c r="F4507" s="23"/>
      <c r="G4507" s="23">
        <f t="shared" si="17"/>
        <v>3.25</v>
      </c>
      <c r="H4507" s="23"/>
      <c r="I4507" s="23"/>
    </row>
    <row r="4508" spans="1:9">
      <c r="A4508" s="21" t="s">
        <v>9691</v>
      </c>
      <c r="B4508" s="21"/>
      <c r="C4508" s="22">
        <v>4502</v>
      </c>
      <c r="D4508" s="21">
        <v>3.23</v>
      </c>
      <c r="E4508" s="21" t="s">
        <v>5796</v>
      </c>
      <c r="F4508" s="23"/>
      <c r="G4508" s="23">
        <f t="shared" si="17"/>
        <v>3.23</v>
      </c>
      <c r="H4508" s="23"/>
      <c r="I4508" s="23"/>
    </row>
    <row r="4509" spans="1:9">
      <c r="A4509" s="21" t="s">
        <v>9692</v>
      </c>
      <c r="B4509" s="21"/>
      <c r="C4509" s="22">
        <v>4503</v>
      </c>
      <c r="D4509" s="21">
        <v>3.2</v>
      </c>
      <c r="E4509" s="21" t="s">
        <v>5796</v>
      </c>
      <c r="F4509" s="23"/>
      <c r="G4509" s="23">
        <f t="shared" si="17"/>
        <v>3.2</v>
      </c>
      <c r="H4509" s="23"/>
      <c r="I4509" s="23"/>
    </row>
    <row r="4510" spans="1:9">
      <c r="A4510" s="21" t="s">
        <v>9693</v>
      </c>
      <c r="B4510" s="21"/>
      <c r="C4510" s="22">
        <v>4504</v>
      </c>
      <c r="D4510" s="21">
        <v>3.2</v>
      </c>
      <c r="E4510" s="21" t="s">
        <v>5796</v>
      </c>
      <c r="F4510" s="23"/>
      <c r="G4510" s="23">
        <f t="shared" si="17"/>
        <v>3.2</v>
      </c>
      <c r="H4510" s="23"/>
      <c r="I4510" s="23"/>
    </row>
    <row r="4511" spans="1:9">
      <c r="A4511" s="21" t="s">
        <v>9694</v>
      </c>
      <c r="B4511" s="21"/>
      <c r="C4511" s="22">
        <v>4505</v>
      </c>
      <c r="D4511" s="21">
        <v>3.19</v>
      </c>
      <c r="E4511" s="21" t="s">
        <v>5796</v>
      </c>
      <c r="F4511" s="23"/>
      <c r="G4511" s="23">
        <f t="shared" si="17"/>
        <v>3.19</v>
      </c>
      <c r="H4511" s="23"/>
      <c r="I4511" s="23"/>
    </row>
    <row r="4512" spans="1:9">
      <c r="A4512" s="21" t="s">
        <v>9695</v>
      </c>
      <c r="B4512" s="21"/>
      <c r="C4512" s="22">
        <v>4506</v>
      </c>
      <c r="D4512" s="21">
        <v>3.19</v>
      </c>
      <c r="E4512" s="21" t="s">
        <v>5796</v>
      </c>
      <c r="F4512" s="23"/>
      <c r="G4512" s="23">
        <f t="shared" si="17"/>
        <v>3.19</v>
      </c>
      <c r="H4512" s="23"/>
      <c r="I4512" s="23"/>
    </row>
    <row r="4513" spans="1:9">
      <c r="A4513" s="21" t="s">
        <v>9696</v>
      </c>
      <c r="B4513" s="21"/>
      <c r="C4513" s="22">
        <v>4508</v>
      </c>
      <c r="D4513" s="21">
        <v>3.18</v>
      </c>
      <c r="E4513" s="21" t="s">
        <v>5796</v>
      </c>
      <c r="F4513" s="23"/>
      <c r="G4513" s="23">
        <f t="shared" si="17"/>
        <v>3.18</v>
      </c>
      <c r="H4513" s="23"/>
      <c r="I4513" s="23"/>
    </row>
    <row r="4514" spans="1:9">
      <c r="A4514" s="21" t="s">
        <v>9697</v>
      </c>
      <c r="B4514" s="21"/>
      <c r="C4514" s="22">
        <v>4509</v>
      </c>
      <c r="D4514" s="21">
        <v>3.18</v>
      </c>
      <c r="E4514" s="21" t="s">
        <v>5796</v>
      </c>
      <c r="F4514" s="23"/>
      <c r="G4514" s="23">
        <f t="shared" si="17"/>
        <v>3.18</v>
      </c>
      <c r="H4514" s="23"/>
      <c r="I4514" s="23"/>
    </row>
    <row r="4515" spans="1:9">
      <c r="A4515" s="21" t="s">
        <v>9698</v>
      </c>
      <c r="B4515" s="21"/>
      <c r="C4515" s="22">
        <v>4510</v>
      </c>
      <c r="D4515" s="21">
        <v>3.18</v>
      </c>
      <c r="E4515" s="21" t="s">
        <v>5796</v>
      </c>
      <c r="F4515" s="23"/>
      <c r="G4515" s="23">
        <f t="shared" si="17"/>
        <v>3.18</v>
      </c>
      <c r="H4515" s="23"/>
      <c r="I4515" s="23"/>
    </row>
    <row r="4516" spans="1:9">
      <c r="A4516" s="21" t="s">
        <v>9699</v>
      </c>
      <c r="B4516" s="21"/>
      <c r="C4516" s="22">
        <v>4511</v>
      </c>
      <c r="D4516" s="21">
        <v>3.17</v>
      </c>
      <c r="E4516" s="21" t="s">
        <v>5796</v>
      </c>
      <c r="F4516" s="23"/>
      <c r="G4516" s="23">
        <f t="shared" si="17"/>
        <v>3.17</v>
      </c>
      <c r="H4516" s="23"/>
      <c r="I4516" s="23"/>
    </row>
    <row r="4517" spans="1:9">
      <c r="A4517" s="21" t="s">
        <v>9700</v>
      </c>
      <c r="B4517" s="21"/>
      <c r="C4517" s="22">
        <v>4512</v>
      </c>
      <c r="D4517" s="21">
        <v>3.16</v>
      </c>
      <c r="E4517" s="21" t="s">
        <v>5796</v>
      </c>
      <c r="F4517" s="23"/>
      <c r="G4517" s="23">
        <f t="shared" si="17"/>
        <v>3.16</v>
      </c>
      <c r="H4517" s="23"/>
      <c r="I4517" s="23"/>
    </row>
    <row r="4518" spans="1:9">
      <c r="A4518" s="21" t="s">
        <v>9701</v>
      </c>
      <c r="B4518" s="21"/>
      <c r="C4518" s="22">
        <v>4513</v>
      </c>
      <c r="D4518" s="21">
        <v>3.13</v>
      </c>
      <c r="E4518" s="21" t="s">
        <v>5796</v>
      </c>
      <c r="F4518" s="23"/>
      <c r="G4518" s="23">
        <f t="shared" si="17"/>
        <v>3.13</v>
      </c>
      <c r="H4518" s="23"/>
      <c r="I4518" s="23"/>
    </row>
    <row r="4519" spans="1:9">
      <c r="A4519" s="21" t="s">
        <v>9702</v>
      </c>
      <c r="B4519" s="21"/>
      <c r="C4519" s="22">
        <v>4514</v>
      </c>
      <c r="D4519" s="21">
        <v>3.13</v>
      </c>
      <c r="E4519" s="21" t="s">
        <v>5796</v>
      </c>
      <c r="F4519" s="23"/>
      <c r="G4519" s="23">
        <f t="shared" si="17"/>
        <v>3.13</v>
      </c>
      <c r="H4519" s="23"/>
      <c r="I4519" s="23"/>
    </row>
    <row r="4520" spans="1:9">
      <c r="A4520" s="21" t="s">
        <v>9703</v>
      </c>
      <c r="B4520" s="21"/>
      <c r="C4520" s="22">
        <v>4515</v>
      </c>
      <c r="D4520" s="21">
        <v>3.13</v>
      </c>
      <c r="E4520" s="21" t="s">
        <v>5796</v>
      </c>
      <c r="F4520" s="23"/>
      <c r="G4520" s="23">
        <f t="shared" si="17"/>
        <v>3.13</v>
      </c>
      <c r="H4520" s="23"/>
      <c r="I4520" s="23"/>
    </row>
    <row r="4521" spans="1:9">
      <c r="A4521" s="21" t="s">
        <v>9704</v>
      </c>
      <c r="B4521" s="21"/>
      <c r="C4521" s="22">
        <v>4516</v>
      </c>
      <c r="D4521" s="21">
        <v>3.13</v>
      </c>
      <c r="E4521" s="21" t="s">
        <v>5796</v>
      </c>
      <c r="F4521" s="23"/>
      <c r="G4521" s="23">
        <f t="shared" si="17"/>
        <v>3.13</v>
      </c>
      <c r="H4521" s="23"/>
      <c r="I4521" s="23"/>
    </row>
    <row r="4522" spans="1:9">
      <c r="A4522" s="21" t="s">
        <v>9705</v>
      </c>
      <c r="B4522" s="21"/>
      <c r="C4522" s="22">
        <v>4517</v>
      </c>
      <c r="D4522" s="21">
        <v>3.12</v>
      </c>
      <c r="E4522" s="21" t="s">
        <v>5796</v>
      </c>
      <c r="F4522" s="23"/>
      <c r="G4522" s="23">
        <f t="shared" si="17"/>
        <v>3.12</v>
      </c>
      <c r="H4522" s="23"/>
      <c r="I4522" s="23"/>
    </row>
    <row r="4523" spans="1:9">
      <c r="A4523" s="21" t="s">
        <v>9706</v>
      </c>
      <c r="B4523" s="21"/>
      <c r="C4523" s="22">
        <v>4518</v>
      </c>
      <c r="D4523" s="21">
        <v>3.11</v>
      </c>
      <c r="E4523" s="21" t="s">
        <v>5796</v>
      </c>
      <c r="F4523" s="23"/>
      <c r="G4523" s="23">
        <f t="shared" si="17"/>
        <v>3.11</v>
      </c>
      <c r="H4523" s="23"/>
      <c r="I4523" s="23"/>
    </row>
    <row r="4524" spans="1:9">
      <c r="A4524" s="21" t="s">
        <v>9707</v>
      </c>
      <c r="B4524" s="21"/>
      <c r="C4524" s="22">
        <v>4519</v>
      </c>
      <c r="D4524" s="21">
        <v>3.11</v>
      </c>
      <c r="E4524" s="21" t="s">
        <v>5796</v>
      </c>
      <c r="F4524" s="23"/>
      <c r="G4524" s="23">
        <f t="shared" si="17"/>
        <v>3.11</v>
      </c>
      <c r="H4524" s="23"/>
      <c r="I4524" s="23"/>
    </row>
    <row r="4525" spans="1:9">
      <c r="A4525" s="21" t="s">
        <v>9708</v>
      </c>
      <c r="B4525" s="21"/>
      <c r="C4525" s="22">
        <v>4520</v>
      </c>
      <c r="D4525" s="21">
        <v>3.11</v>
      </c>
      <c r="E4525" s="21" t="s">
        <v>5796</v>
      </c>
      <c r="F4525" s="23"/>
      <c r="G4525" s="23">
        <f t="shared" si="17"/>
        <v>3.11</v>
      </c>
      <c r="H4525" s="23"/>
      <c r="I4525" s="23"/>
    </row>
    <row r="4526" spans="1:9">
      <c r="A4526" s="21" t="s">
        <v>9709</v>
      </c>
      <c r="B4526" s="21"/>
      <c r="C4526" s="22">
        <v>4521</v>
      </c>
      <c r="D4526" s="21">
        <v>3.11</v>
      </c>
      <c r="E4526" s="21" t="s">
        <v>5796</v>
      </c>
      <c r="F4526" s="23"/>
      <c r="G4526" s="23">
        <f t="shared" si="17"/>
        <v>3.11</v>
      </c>
      <c r="H4526" s="23"/>
      <c r="I4526" s="23"/>
    </row>
    <row r="4527" spans="1:9">
      <c r="A4527" s="21" t="s">
        <v>9710</v>
      </c>
      <c r="B4527" s="21"/>
      <c r="C4527" s="22">
        <v>4522</v>
      </c>
      <c r="D4527" s="21">
        <v>3.1</v>
      </c>
      <c r="E4527" s="21" t="s">
        <v>5796</v>
      </c>
      <c r="F4527" s="23"/>
      <c r="G4527" s="23">
        <f t="shared" si="17"/>
        <v>3.1</v>
      </c>
      <c r="H4527" s="23"/>
      <c r="I4527" s="23"/>
    </row>
    <row r="4528" spans="1:9">
      <c r="A4528" s="21" t="s">
        <v>9711</v>
      </c>
      <c r="B4528" s="21"/>
      <c r="C4528" s="22">
        <v>4523</v>
      </c>
      <c r="D4528" s="21">
        <v>3.1</v>
      </c>
      <c r="E4528" s="21" t="s">
        <v>5796</v>
      </c>
      <c r="F4528" s="23"/>
      <c r="G4528" s="23">
        <f t="shared" si="17"/>
        <v>3.1</v>
      </c>
      <c r="H4528" s="23"/>
      <c r="I4528" s="23"/>
    </row>
    <row r="4529" spans="1:9">
      <c r="A4529" s="21" t="s">
        <v>9712</v>
      </c>
      <c r="B4529" s="21"/>
      <c r="C4529" s="22">
        <v>4524</v>
      </c>
      <c r="D4529" s="21">
        <v>3.1</v>
      </c>
      <c r="E4529" s="21" t="s">
        <v>5796</v>
      </c>
      <c r="F4529" s="23"/>
      <c r="G4529" s="23">
        <f t="shared" si="17"/>
        <v>3.1</v>
      </c>
      <c r="H4529" s="23"/>
      <c r="I4529" s="23"/>
    </row>
    <row r="4530" spans="1:9">
      <c r="A4530" s="21" t="s">
        <v>9713</v>
      </c>
      <c r="B4530" s="21"/>
      <c r="C4530" s="22">
        <v>4525</v>
      </c>
      <c r="D4530" s="21">
        <v>3.07</v>
      </c>
      <c r="E4530" s="21" t="s">
        <v>5796</v>
      </c>
      <c r="F4530" s="23"/>
      <c r="G4530" s="23">
        <f t="shared" si="17"/>
        <v>3.07</v>
      </c>
      <c r="H4530" s="23"/>
      <c r="I4530" s="23"/>
    </row>
    <row r="4531" spans="1:9">
      <c r="A4531" s="21" t="s">
        <v>9714</v>
      </c>
      <c r="B4531" s="21"/>
      <c r="C4531" s="22">
        <v>4526</v>
      </c>
      <c r="D4531" s="21">
        <v>3.06</v>
      </c>
      <c r="E4531" s="21" t="s">
        <v>5796</v>
      </c>
      <c r="F4531" s="23"/>
      <c r="G4531" s="23">
        <f t="shared" si="17"/>
        <v>3.06</v>
      </c>
      <c r="H4531" s="23"/>
      <c r="I4531" s="23"/>
    </row>
    <row r="4532" spans="1:9">
      <c r="A4532" s="21" t="s">
        <v>9715</v>
      </c>
      <c r="B4532" s="21"/>
      <c r="C4532" s="22">
        <v>4527</v>
      </c>
      <c r="D4532" s="21">
        <v>3.06</v>
      </c>
      <c r="E4532" s="21" t="s">
        <v>5796</v>
      </c>
      <c r="F4532" s="23"/>
      <c r="G4532" s="23">
        <f t="shared" si="17"/>
        <v>3.06</v>
      </c>
      <c r="H4532" s="23"/>
      <c r="I4532" s="23"/>
    </row>
    <row r="4533" spans="1:9">
      <c r="A4533" s="21" t="s">
        <v>9716</v>
      </c>
      <c r="B4533" s="21"/>
      <c r="C4533" s="22">
        <v>4528</v>
      </c>
      <c r="D4533" s="21">
        <v>3.05</v>
      </c>
      <c r="E4533" s="21" t="s">
        <v>5796</v>
      </c>
      <c r="F4533" s="23"/>
      <c r="G4533" s="23">
        <f t="shared" si="17"/>
        <v>3.05</v>
      </c>
      <c r="H4533" s="23"/>
      <c r="I4533" s="23"/>
    </row>
    <row r="4534" spans="1:9">
      <c r="A4534" s="21" t="s">
        <v>9717</v>
      </c>
      <c r="B4534" s="21"/>
      <c r="C4534" s="22">
        <v>4529</v>
      </c>
      <c r="D4534" s="21">
        <v>3.05</v>
      </c>
      <c r="E4534" s="21" t="s">
        <v>5796</v>
      </c>
      <c r="F4534" s="23"/>
      <c r="G4534" s="23">
        <f t="shared" si="17"/>
        <v>3.05</v>
      </c>
      <c r="H4534" s="23"/>
      <c r="I4534" s="23"/>
    </row>
    <row r="4535" spans="1:9">
      <c r="A4535" s="21" t="s">
        <v>9718</v>
      </c>
      <c r="B4535" s="21"/>
      <c r="C4535" s="22">
        <v>4530</v>
      </c>
      <c r="D4535" s="21">
        <v>3.04</v>
      </c>
      <c r="E4535" s="21" t="s">
        <v>5796</v>
      </c>
      <c r="F4535" s="23"/>
      <c r="G4535" s="23">
        <f t="shared" si="17"/>
        <v>3.04</v>
      </c>
      <c r="H4535" s="23"/>
      <c r="I4535" s="23"/>
    </row>
    <row r="4536" spans="1:9">
      <c r="A4536" s="21" t="s">
        <v>9719</v>
      </c>
      <c r="B4536" s="21"/>
      <c r="C4536" s="22">
        <v>4531</v>
      </c>
      <c r="D4536" s="21">
        <v>3.04</v>
      </c>
      <c r="E4536" s="21" t="s">
        <v>5796</v>
      </c>
      <c r="F4536" s="23"/>
      <c r="G4536" s="23">
        <f t="shared" si="17"/>
        <v>3.04</v>
      </c>
      <c r="H4536" s="23"/>
      <c r="I4536" s="23"/>
    </row>
    <row r="4537" spans="1:9">
      <c r="A4537" s="21" t="s">
        <v>9720</v>
      </c>
      <c r="B4537" s="21"/>
      <c r="C4537" s="22">
        <v>4532</v>
      </c>
      <c r="D4537" s="21">
        <v>3.04</v>
      </c>
      <c r="E4537" s="21" t="s">
        <v>5796</v>
      </c>
      <c r="F4537" s="23"/>
      <c r="G4537" s="23">
        <f t="shared" si="17"/>
        <v>3.04</v>
      </c>
      <c r="H4537" s="23"/>
      <c r="I4537" s="23"/>
    </row>
    <row r="4538" spans="1:9">
      <c r="A4538" s="21" t="s">
        <v>9721</v>
      </c>
      <c r="B4538" s="21"/>
      <c r="C4538" s="22">
        <v>4533</v>
      </c>
      <c r="D4538" s="21">
        <v>3.03</v>
      </c>
      <c r="E4538" s="21" t="s">
        <v>5796</v>
      </c>
      <c r="F4538" s="23"/>
      <c r="G4538" s="23">
        <f t="shared" si="17"/>
        <v>3.03</v>
      </c>
      <c r="H4538" s="23"/>
      <c r="I4538" s="23"/>
    </row>
    <row r="4539" spans="1:9">
      <c r="A4539" s="21" t="s">
        <v>9722</v>
      </c>
      <c r="B4539" s="21"/>
      <c r="C4539" s="22">
        <v>4534</v>
      </c>
      <c r="D4539" s="21">
        <v>3.03</v>
      </c>
      <c r="E4539" s="21" t="s">
        <v>5796</v>
      </c>
      <c r="F4539" s="23"/>
      <c r="G4539" s="23">
        <f t="shared" si="17"/>
        <v>3.03</v>
      </c>
      <c r="H4539" s="23"/>
      <c r="I4539" s="23"/>
    </row>
    <row r="4540" spans="1:9">
      <c r="A4540" s="21" t="s">
        <v>9723</v>
      </c>
      <c r="B4540" s="21"/>
      <c r="C4540" s="22">
        <v>4535</v>
      </c>
      <c r="D4540" s="21">
        <v>3.02</v>
      </c>
      <c r="E4540" s="21" t="s">
        <v>5796</v>
      </c>
      <c r="F4540" s="23"/>
      <c r="G4540" s="23">
        <f t="shared" si="17"/>
        <v>3.02</v>
      </c>
      <c r="H4540" s="23"/>
      <c r="I4540" s="23"/>
    </row>
    <row r="4541" spans="1:9">
      <c r="A4541" s="21" t="s">
        <v>9724</v>
      </c>
      <c r="B4541" s="21"/>
      <c r="C4541" s="22">
        <v>4536</v>
      </c>
      <c r="D4541" s="21">
        <v>3.02</v>
      </c>
      <c r="E4541" s="21" t="s">
        <v>5796</v>
      </c>
      <c r="F4541" s="23"/>
      <c r="G4541" s="23">
        <f t="shared" si="17"/>
        <v>3.02</v>
      </c>
      <c r="H4541" s="23"/>
      <c r="I4541" s="23"/>
    </row>
    <row r="4542" spans="1:9">
      <c r="A4542" s="21" t="s">
        <v>9725</v>
      </c>
      <c r="B4542" s="21"/>
      <c r="C4542" s="22">
        <v>4537</v>
      </c>
      <c r="D4542" s="21">
        <v>3.01</v>
      </c>
      <c r="E4542" s="21" t="s">
        <v>5796</v>
      </c>
      <c r="F4542" s="23"/>
      <c r="G4542" s="23">
        <f t="shared" si="17"/>
        <v>3.01</v>
      </c>
      <c r="H4542" s="23"/>
      <c r="I4542" s="23"/>
    </row>
    <row r="4543" spans="1:9">
      <c r="A4543" s="21" t="s">
        <v>9726</v>
      </c>
      <c r="B4543" s="21"/>
      <c r="C4543" s="22">
        <v>4538</v>
      </c>
      <c r="D4543" s="21">
        <v>3</v>
      </c>
      <c r="E4543" s="21" t="s">
        <v>5796</v>
      </c>
      <c r="F4543" s="23"/>
      <c r="G4543" s="23">
        <f t="shared" si="17"/>
        <v>3</v>
      </c>
      <c r="H4543" s="23"/>
      <c r="I4543" s="23"/>
    </row>
    <row r="4544" spans="1:9">
      <c r="A4544" s="21" t="s">
        <v>9727</v>
      </c>
      <c r="B4544" s="21"/>
      <c r="C4544" s="22">
        <v>4539</v>
      </c>
      <c r="D4544" s="21">
        <v>2.99</v>
      </c>
      <c r="E4544" s="21" t="s">
        <v>5796</v>
      </c>
      <c r="F4544" s="23"/>
      <c r="G4544" s="23">
        <f t="shared" si="17"/>
        <v>2.99</v>
      </c>
      <c r="H4544" s="23"/>
      <c r="I4544" s="23"/>
    </row>
    <row r="4545" spans="1:9">
      <c r="A4545" s="21" t="s">
        <v>9728</v>
      </c>
      <c r="B4545" s="21"/>
      <c r="C4545" s="22">
        <v>4540</v>
      </c>
      <c r="D4545" s="21">
        <v>2.99</v>
      </c>
      <c r="E4545" s="21" t="s">
        <v>5796</v>
      </c>
      <c r="F4545" s="23"/>
      <c r="G4545" s="23">
        <f t="shared" si="17"/>
        <v>2.99</v>
      </c>
      <c r="H4545" s="23"/>
      <c r="I4545" s="23"/>
    </row>
    <row r="4546" spans="1:9">
      <c r="A4546" s="21" t="s">
        <v>9729</v>
      </c>
      <c r="B4546" s="21"/>
      <c r="C4546" s="22">
        <v>4541</v>
      </c>
      <c r="D4546" s="21">
        <v>2.99</v>
      </c>
      <c r="E4546" s="21" t="s">
        <v>5796</v>
      </c>
      <c r="F4546" s="23"/>
      <c r="G4546" s="23">
        <f t="shared" si="17"/>
        <v>2.99</v>
      </c>
      <c r="H4546" s="23"/>
      <c r="I4546" s="23"/>
    </row>
    <row r="4547" spans="1:9">
      <c r="A4547" s="21" t="s">
        <v>9730</v>
      </c>
      <c r="B4547" s="21"/>
      <c r="C4547" s="22">
        <v>4542</v>
      </c>
      <c r="D4547" s="21">
        <v>2.99</v>
      </c>
      <c r="E4547" s="21" t="s">
        <v>5796</v>
      </c>
      <c r="F4547" s="23"/>
      <c r="G4547" s="23">
        <f t="shared" si="17"/>
        <v>2.99</v>
      </c>
      <c r="H4547" s="23"/>
      <c r="I4547" s="23"/>
    </row>
    <row r="4548" spans="1:9">
      <c r="A4548" s="21" t="s">
        <v>9731</v>
      </c>
      <c r="B4548" s="21"/>
      <c r="C4548" s="22">
        <v>4543</v>
      </c>
      <c r="D4548" s="21">
        <v>2.98</v>
      </c>
      <c r="E4548" s="21" t="s">
        <v>5796</v>
      </c>
      <c r="F4548" s="23"/>
      <c r="G4548" s="23">
        <f t="shared" si="17"/>
        <v>2.98</v>
      </c>
      <c r="H4548" s="23"/>
      <c r="I4548" s="23"/>
    </row>
    <row r="4549" spans="1:9">
      <c r="A4549" s="21" t="s">
        <v>9732</v>
      </c>
      <c r="B4549" s="21"/>
      <c r="C4549" s="22">
        <v>4544</v>
      </c>
      <c r="D4549" s="21">
        <v>2.96</v>
      </c>
      <c r="E4549" s="21" t="s">
        <v>5796</v>
      </c>
      <c r="F4549" s="23"/>
      <c r="G4549" s="23">
        <f t="shared" si="17"/>
        <v>2.96</v>
      </c>
      <c r="H4549" s="23"/>
      <c r="I4549" s="23"/>
    </row>
    <row r="4550" spans="1:9">
      <c r="A4550" s="21" t="s">
        <v>9733</v>
      </c>
      <c r="B4550" s="21"/>
      <c r="C4550" s="22">
        <v>4545</v>
      </c>
      <c r="D4550" s="21">
        <v>2.95</v>
      </c>
      <c r="E4550" s="21" t="s">
        <v>5796</v>
      </c>
      <c r="F4550" s="23"/>
      <c r="G4550" s="23">
        <f t="shared" si="17"/>
        <v>2.95</v>
      </c>
      <c r="H4550" s="23"/>
      <c r="I4550" s="23"/>
    </row>
    <row r="4551" spans="1:9">
      <c r="A4551" s="21" t="s">
        <v>9734</v>
      </c>
      <c r="B4551" s="21"/>
      <c r="C4551" s="22">
        <v>4546</v>
      </c>
      <c r="D4551" s="21">
        <v>2.95</v>
      </c>
      <c r="E4551" s="21" t="s">
        <v>5796</v>
      </c>
      <c r="F4551" s="23"/>
      <c r="G4551" s="23">
        <f t="shared" si="17"/>
        <v>2.95</v>
      </c>
      <c r="H4551" s="23"/>
      <c r="I4551" s="23"/>
    </row>
    <row r="4552" spans="1:9">
      <c r="A4552" s="21" t="s">
        <v>9735</v>
      </c>
      <c r="B4552" s="21"/>
      <c r="C4552" s="22">
        <v>4547</v>
      </c>
      <c r="D4552" s="21">
        <v>2.95</v>
      </c>
      <c r="E4552" s="21" t="s">
        <v>5796</v>
      </c>
      <c r="F4552" s="23"/>
      <c r="G4552" s="23">
        <f t="shared" si="17"/>
        <v>2.95</v>
      </c>
      <c r="H4552" s="23"/>
      <c r="I4552" s="23"/>
    </row>
    <row r="4553" spans="1:9">
      <c r="A4553" s="21" t="s">
        <v>9736</v>
      </c>
      <c r="B4553" s="21"/>
      <c r="C4553" s="22">
        <v>4548</v>
      </c>
      <c r="D4553" s="21">
        <v>2.95</v>
      </c>
      <c r="E4553" s="21" t="s">
        <v>5796</v>
      </c>
      <c r="F4553" s="23"/>
      <c r="G4553" s="23">
        <f t="shared" si="17"/>
        <v>2.95</v>
      </c>
      <c r="H4553" s="23"/>
      <c r="I4553" s="23"/>
    </row>
    <row r="4554" spans="1:9">
      <c r="A4554" s="21" t="s">
        <v>9737</v>
      </c>
      <c r="B4554" s="21"/>
      <c r="C4554" s="22">
        <v>4549</v>
      </c>
      <c r="D4554" s="21">
        <v>2.95</v>
      </c>
      <c r="E4554" s="21" t="s">
        <v>5796</v>
      </c>
      <c r="F4554" s="23"/>
      <c r="G4554" s="23">
        <f t="shared" si="17"/>
        <v>2.95</v>
      </c>
      <c r="H4554" s="23"/>
      <c r="I4554" s="23"/>
    </row>
    <row r="4555" spans="1:9">
      <c r="A4555" s="21" t="s">
        <v>9738</v>
      </c>
      <c r="B4555" s="21"/>
      <c r="C4555" s="22">
        <v>4550</v>
      </c>
      <c r="D4555" s="21">
        <v>2.93</v>
      </c>
      <c r="E4555" s="21" t="s">
        <v>5796</v>
      </c>
      <c r="F4555" s="23"/>
      <c r="G4555" s="23">
        <f t="shared" si="17"/>
        <v>2.93</v>
      </c>
      <c r="H4555" s="23"/>
      <c r="I4555" s="23"/>
    </row>
    <row r="4556" spans="1:9">
      <c r="A4556" s="21" t="s">
        <v>9739</v>
      </c>
      <c r="B4556" s="21"/>
      <c r="C4556" s="22">
        <v>4551</v>
      </c>
      <c r="D4556" s="21">
        <v>2.92</v>
      </c>
      <c r="E4556" s="21" t="s">
        <v>5796</v>
      </c>
      <c r="F4556" s="23"/>
      <c r="G4556" s="23">
        <f t="shared" si="17"/>
        <v>2.92</v>
      </c>
      <c r="H4556" s="23"/>
      <c r="I4556" s="23"/>
    </row>
    <row r="4557" spans="1:9">
      <c r="A4557" s="21" t="s">
        <v>9740</v>
      </c>
      <c r="B4557" s="21"/>
      <c r="C4557" s="22">
        <v>4552</v>
      </c>
      <c r="D4557" s="21">
        <v>2.91</v>
      </c>
      <c r="E4557" s="21" t="s">
        <v>5796</v>
      </c>
      <c r="F4557" s="23"/>
      <c r="G4557" s="23">
        <f t="shared" si="17"/>
        <v>2.91</v>
      </c>
      <c r="H4557" s="23"/>
      <c r="I4557" s="23"/>
    </row>
    <row r="4558" spans="1:9">
      <c r="A4558" s="21" t="s">
        <v>9741</v>
      </c>
      <c r="B4558" s="21"/>
      <c r="C4558" s="22">
        <v>4553</v>
      </c>
      <c r="D4558" s="21">
        <v>2.9</v>
      </c>
      <c r="E4558" s="21" t="s">
        <v>5796</v>
      </c>
      <c r="F4558" s="23"/>
      <c r="G4558" s="23">
        <f t="shared" si="17"/>
        <v>2.9</v>
      </c>
      <c r="H4558" s="23"/>
      <c r="I4558" s="23"/>
    </row>
    <row r="4559" spans="1:9">
      <c r="A4559" s="21" t="s">
        <v>9742</v>
      </c>
      <c r="B4559" s="21"/>
      <c r="C4559" s="22">
        <v>4554</v>
      </c>
      <c r="D4559" s="21">
        <v>2.89</v>
      </c>
      <c r="E4559" s="21" t="s">
        <v>5796</v>
      </c>
      <c r="F4559" s="23"/>
      <c r="G4559" s="23">
        <f t="shared" si="17"/>
        <v>2.89</v>
      </c>
      <c r="H4559" s="23"/>
      <c r="I4559" s="23"/>
    </row>
    <row r="4560" spans="1:9">
      <c r="A4560" s="21" t="s">
        <v>9743</v>
      </c>
      <c r="B4560" s="21"/>
      <c r="C4560" s="22">
        <v>4555</v>
      </c>
      <c r="D4560" s="21">
        <v>2.89</v>
      </c>
      <c r="E4560" s="21" t="s">
        <v>5796</v>
      </c>
      <c r="F4560" s="23"/>
      <c r="G4560" s="23">
        <f t="shared" si="17"/>
        <v>2.89</v>
      </c>
      <c r="H4560" s="23"/>
      <c r="I4560" s="23"/>
    </row>
    <row r="4561" spans="1:9">
      <c r="A4561" s="21" t="s">
        <v>9744</v>
      </c>
      <c r="B4561" s="21"/>
      <c r="C4561" s="22">
        <v>4556</v>
      </c>
      <c r="D4561" s="21">
        <v>2.88</v>
      </c>
      <c r="E4561" s="21" t="s">
        <v>5796</v>
      </c>
      <c r="F4561" s="23"/>
      <c r="G4561" s="23">
        <f t="shared" si="17"/>
        <v>2.88</v>
      </c>
      <c r="H4561" s="23"/>
      <c r="I4561" s="23"/>
    </row>
    <row r="4562" spans="1:9">
      <c r="A4562" s="21" t="s">
        <v>9745</v>
      </c>
      <c r="B4562" s="21"/>
      <c r="C4562" s="22">
        <v>4557</v>
      </c>
      <c r="D4562" s="21">
        <v>2.88</v>
      </c>
      <c r="E4562" s="21" t="s">
        <v>5796</v>
      </c>
      <c r="F4562" s="23"/>
      <c r="G4562" s="23">
        <f t="shared" si="17"/>
        <v>2.88</v>
      </c>
      <c r="H4562" s="23"/>
      <c r="I4562" s="23"/>
    </row>
    <row r="4563" spans="1:9">
      <c r="A4563" s="21" t="s">
        <v>9746</v>
      </c>
      <c r="B4563" s="21"/>
      <c r="C4563" s="22">
        <v>4558</v>
      </c>
      <c r="D4563" s="21">
        <v>2.88</v>
      </c>
      <c r="E4563" s="21" t="s">
        <v>5796</v>
      </c>
      <c r="F4563" s="23"/>
      <c r="G4563" s="23">
        <f t="shared" si="17"/>
        <v>2.88</v>
      </c>
      <c r="H4563" s="23"/>
      <c r="I4563" s="23"/>
    </row>
    <row r="4564" spans="1:9">
      <c r="A4564" s="21" t="s">
        <v>9747</v>
      </c>
      <c r="B4564" s="21"/>
      <c r="C4564" s="22">
        <v>4559</v>
      </c>
      <c r="D4564" s="21">
        <v>2.88</v>
      </c>
      <c r="E4564" s="21" t="s">
        <v>5796</v>
      </c>
      <c r="F4564" s="23"/>
      <c r="G4564" s="23">
        <f t="shared" si="17"/>
        <v>2.88</v>
      </c>
      <c r="H4564" s="23"/>
      <c r="I4564" s="23"/>
    </row>
    <row r="4565" spans="1:9">
      <c r="A4565" s="21" t="s">
        <v>9748</v>
      </c>
      <c r="B4565" s="21"/>
      <c r="C4565" s="22">
        <v>4560</v>
      </c>
      <c r="D4565" s="21">
        <v>2.87</v>
      </c>
      <c r="E4565" s="21" t="s">
        <v>5796</v>
      </c>
      <c r="F4565" s="23"/>
      <c r="G4565" s="23">
        <f t="shared" si="17"/>
        <v>2.87</v>
      </c>
      <c r="H4565" s="23"/>
      <c r="I4565" s="23"/>
    </row>
    <row r="4566" spans="1:9">
      <c r="A4566" s="21" t="s">
        <v>9749</v>
      </c>
      <c r="B4566" s="21"/>
      <c r="C4566" s="22">
        <v>4561</v>
      </c>
      <c r="D4566" s="21">
        <v>2.86</v>
      </c>
      <c r="E4566" s="21" t="s">
        <v>5796</v>
      </c>
      <c r="F4566" s="23"/>
      <c r="G4566" s="23">
        <f t="shared" si="17"/>
        <v>2.86</v>
      </c>
      <c r="H4566" s="23"/>
      <c r="I4566" s="23"/>
    </row>
    <row r="4567" spans="1:9">
      <c r="A4567" s="21" t="s">
        <v>9750</v>
      </c>
      <c r="B4567" s="21"/>
      <c r="C4567" s="22">
        <v>4562</v>
      </c>
      <c r="D4567" s="21">
        <v>2.86</v>
      </c>
      <c r="E4567" s="21" t="s">
        <v>5796</v>
      </c>
      <c r="F4567" s="23"/>
      <c r="G4567" s="23">
        <f t="shared" si="17"/>
        <v>2.86</v>
      </c>
      <c r="H4567" s="23"/>
      <c r="I4567" s="23"/>
    </row>
    <row r="4568" spans="1:9">
      <c r="A4568" s="21" t="s">
        <v>9751</v>
      </c>
      <c r="B4568" s="21"/>
      <c r="C4568" s="22">
        <v>4563</v>
      </c>
      <c r="D4568" s="21">
        <v>2.85</v>
      </c>
      <c r="E4568" s="21" t="s">
        <v>5796</v>
      </c>
      <c r="F4568" s="23"/>
      <c r="G4568" s="23">
        <f t="shared" si="17"/>
        <v>2.85</v>
      </c>
      <c r="H4568" s="23"/>
      <c r="I4568" s="23"/>
    </row>
    <row r="4569" spans="1:9">
      <c r="A4569" s="21" t="s">
        <v>9752</v>
      </c>
      <c r="B4569" s="21"/>
      <c r="C4569" s="22">
        <v>4564</v>
      </c>
      <c r="D4569" s="21">
        <v>2.85</v>
      </c>
      <c r="E4569" s="21" t="s">
        <v>5796</v>
      </c>
      <c r="F4569" s="23"/>
      <c r="G4569" s="23">
        <f t="shared" si="17"/>
        <v>2.85</v>
      </c>
      <c r="H4569" s="23"/>
      <c r="I4569" s="23"/>
    </row>
    <row r="4570" spans="1:9">
      <c r="A4570" s="21" t="s">
        <v>9753</v>
      </c>
      <c r="B4570" s="21"/>
      <c r="C4570" s="22">
        <v>4565</v>
      </c>
      <c r="D4570" s="21">
        <v>2.84</v>
      </c>
      <c r="E4570" s="21" t="s">
        <v>5796</v>
      </c>
      <c r="F4570" s="23"/>
      <c r="G4570" s="23">
        <f t="shared" si="17"/>
        <v>2.84</v>
      </c>
      <c r="H4570" s="23"/>
      <c r="I4570" s="23"/>
    </row>
    <row r="4571" spans="1:9">
      <c r="A4571" s="21" t="s">
        <v>9754</v>
      </c>
      <c r="B4571" s="21"/>
      <c r="C4571" s="22">
        <v>4566</v>
      </c>
      <c r="D4571" s="21">
        <v>2.84</v>
      </c>
      <c r="E4571" s="21" t="s">
        <v>5796</v>
      </c>
      <c r="F4571" s="23"/>
      <c r="G4571" s="23">
        <f t="shared" si="17"/>
        <v>2.84</v>
      </c>
      <c r="H4571" s="23"/>
      <c r="I4571" s="23"/>
    </row>
    <row r="4572" spans="1:9">
      <c r="A4572" s="21" t="s">
        <v>9755</v>
      </c>
      <c r="B4572" s="21"/>
      <c r="C4572" s="22">
        <v>4567</v>
      </c>
      <c r="D4572" s="21">
        <v>2.84</v>
      </c>
      <c r="E4572" s="21" t="s">
        <v>5796</v>
      </c>
      <c r="F4572" s="23"/>
      <c r="G4572" s="23">
        <f t="shared" si="17"/>
        <v>2.84</v>
      </c>
      <c r="H4572" s="23"/>
      <c r="I4572" s="23"/>
    </row>
    <row r="4573" spans="1:9">
      <c r="A4573" s="21" t="s">
        <v>9756</v>
      </c>
      <c r="B4573" s="21"/>
      <c r="C4573" s="22">
        <v>4568</v>
      </c>
      <c r="D4573" s="21">
        <v>2.84</v>
      </c>
      <c r="E4573" s="21" t="s">
        <v>5796</v>
      </c>
      <c r="F4573" s="23"/>
      <c r="G4573" s="23">
        <f t="shared" si="17"/>
        <v>2.84</v>
      </c>
      <c r="H4573" s="23"/>
      <c r="I4573" s="23"/>
    </row>
    <row r="4574" spans="1:9">
      <c r="A4574" s="21" t="s">
        <v>9757</v>
      </c>
      <c r="B4574" s="21"/>
      <c r="C4574" s="22">
        <v>4569</v>
      </c>
      <c r="D4574" s="21">
        <v>2.83</v>
      </c>
      <c r="E4574" s="21" t="s">
        <v>5796</v>
      </c>
      <c r="F4574" s="23"/>
      <c r="G4574" s="23">
        <f t="shared" si="17"/>
        <v>2.83</v>
      </c>
      <c r="H4574" s="23"/>
      <c r="I4574" s="23"/>
    </row>
    <row r="4575" spans="1:9">
      <c r="A4575" s="21" t="s">
        <v>9758</v>
      </c>
      <c r="B4575" s="21"/>
      <c r="C4575" s="22">
        <v>4570</v>
      </c>
      <c r="D4575" s="21">
        <v>2.82</v>
      </c>
      <c r="E4575" s="21" t="s">
        <v>5796</v>
      </c>
      <c r="F4575" s="23"/>
      <c r="G4575" s="23">
        <f t="shared" si="17"/>
        <v>2.82</v>
      </c>
      <c r="H4575" s="23"/>
      <c r="I4575" s="23"/>
    </row>
    <row r="4576" spans="1:9">
      <c r="A4576" s="21" t="s">
        <v>9759</v>
      </c>
      <c r="B4576" s="21"/>
      <c r="C4576" s="22">
        <v>4571</v>
      </c>
      <c r="D4576" s="21">
        <v>2.81</v>
      </c>
      <c r="E4576" s="21" t="s">
        <v>5796</v>
      </c>
      <c r="F4576" s="23"/>
      <c r="G4576" s="23">
        <f t="shared" si="17"/>
        <v>2.81</v>
      </c>
      <c r="H4576" s="23"/>
      <c r="I4576" s="23"/>
    </row>
    <row r="4577" spans="1:9">
      <c r="A4577" s="21" t="s">
        <v>9760</v>
      </c>
      <c r="B4577" s="21"/>
      <c r="C4577" s="22">
        <v>4572</v>
      </c>
      <c r="D4577" s="21">
        <v>2.81</v>
      </c>
      <c r="E4577" s="21" t="s">
        <v>5796</v>
      </c>
      <c r="F4577" s="23"/>
      <c r="G4577" s="23">
        <f t="shared" si="17"/>
        <v>2.81</v>
      </c>
      <c r="H4577" s="23"/>
      <c r="I4577" s="23"/>
    </row>
    <row r="4578" spans="1:9">
      <c r="A4578" s="21" t="s">
        <v>9761</v>
      </c>
      <c r="B4578" s="21"/>
      <c r="C4578" s="22">
        <v>4573</v>
      </c>
      <c r="D4578" s="21">
        <v>2.81</v>
      </c>
      <c r="E4578" s="21" t="s">
        <v>5796</v>
      </c>
      <c r="F4578" s="23"/>
      <c r="G4578" s="23">
        <f t="shared" si="17"/>
        <v>2.81</v>
      </c>
      <c r="H4578" s="23"/>
      <c r="I4578" s="23"/>
    </row>
    <row r="4579" spans="1:9">
      <c r="A4579" s="21" t="s">
        <v>9762</v>
      </c>
      <c r="B4579" s="21"/>
      <c r="C4579" s="22">
        <v>4574</v>
      </c>
      <c r="D4579" s="21">
        <v>2.81</v>
      </c>
      <c r="E4579" s="21" t="s">
        <v>5796</v>
      </c>
      <c r="F4579" s="23"/>
      <c r="G4579" s="23">
        <f t="shared" si="17"/>
        <v>2.81</v>
      </c>
      <c r="H4579" s="23"/>
      <c r="I4579" s="23"/>
    </row>
    <row r="4580" spans="1:9">
      <c r="A4580" s="21" t="s">
        <v>9763</v>
      </c>
      <c r="B4580" s="21"/>
      <c r="C4580" s="22">
        <v>4575</v>
      </c>
      <c r="D4580" s="21">
        <v>2.8</v>
      </c>
      <c r="E4580" s="21" t="s">
        <v>5796</v>
      </c>
      <c r="F4580" s="23"/>
      <c r="G4580" s="23">
        <f t="shared" si="17"/>
        <v>2.8</v>
      </c>
      <c r="H4580" s="23"/>
      <c r="I4580" s="23"/>
    </row>
    <row r="4581" spans="1:9">
      <c r="A4581" s="21" t="s">
        <v>9764</v>
      </c>
      <c r="B4581" s="21"/>
      <c r="C4581" s="22">
        <v>4576</v>
      </c>
      <c r="D4581" s="21">
        <v>2.78</v>
      </c>
      <c r="E4581" s="21" t="s">
        <v>5796</v>
      </c>
      <c r="F4581" s="23"/>
      <c r="G4581" s="23">
        <f t="shared" si="17"/>
        <v>2.78</v>
      </c>
      <c r="H4581" s="23"/>
      <c r="I4581" s="23"/>
    </row>
    <row r="4582" spans="1:9">
      <c r="A4582" s="21" t="s">
        <v>9765</v>
      </c>
      <c r="B4582" s="21"/>
      <c r="C4582" s="22">
        <v>4577</v>
      </c>
      <c r="D4582" s="21">
        <v>2.78</v>
      </c>
      <c r="E4582" s="21" t="s">
        <v>5796</v>
      </c>
      <c r="F4582" s="23"/>
      <c r="G4582" s="23">
        <f t="shared" si="17"/>
        <v>2.78</v>
      </c>
      <c r="H4582" s="23"/>
      <c r="I4582" s="23"/>
    </row>
    <row r="4583" spans="1:9">
      <c r="A4583" s="21" t="s">
        <v>9766</v>
      </c>
      <c r="B4583" s="21"/>
      <c r="C4583" s="22">
        <v>4578</v>
      </c>
      <c r="D4583" s="21">
        <v>2.78</v>
      </c>
      <c r="E4583" s="21" t="s">
        <v>5796</v>
      </c>
      <c r="F4583" s="23"/>
      <c r="G4583" s="23">
        <f t="shared" si="17"/>
        <v>2.78</v>
      </c>
      <c r="H4583" s="23"/>
      <c r="I4583" s="23"/>
    </row>
    <row r="4584" spans="1:9">
      <c r="A4584" s="21" t="s">
        <v>9767</v>
      </c>
      <c r="B4584" s="21"/>
      <c r="C4584" s="22">
        <v>4579</v>
      </c>
      <c r="D4584" s="21">
        <v>2.78</v>
      </c>
      <c r="E4584" s="21" t="s">
        <v>5796</v>
      </c>
      <c r="F4584" s="23"/>
      <c r="G4584" s="23">
        <f t="shared" si="17"/>
        <v>2.78</v>
      </c>
      <c r="H4584" s="23"/>
      <c r="I4584" s="23"/>
    </row>
    <row r="4585" spans="1:9">
      <c r="A4585" s="21" t="s">
        <v>9768</v>
      </c>
      <c r="B4585" s="21"/>
      <c r="C4585" s="22">
        <v>4580</v>
      </c>
      <c r="D4585" s="21">
        <v>2.74</v>
      </c>
      <c r="E4585" s="21" t="s">
        <v>5796</v>
      </c>
      <c r="F4585" s="23"/>
      <c r="G4585" s="23">
        <f t="shared" si="17"/>
        <v>2.74</v>
      </c>
      <c r="H4585" s="23"/>
      <c r="I4585" s="23"/>
    </row>
    <row r="4586" spans="1:9">
      <c r="A4586" s="21" t="s">
        <v>9769</v>
      </c>
      <c r="B4586" s="21"/>
      <c r="C4586" s="22">
        <v>4581</v>
      </c>
      <c r="D4586" s="21">
        <v>2.74</v>
      </c>
      <c r="E4586" s="21" t="s">
        <v>5796</v>
      </c>
      <c r="F4586" s="23"/>
      <c r="G4586" s="23">
        <f t="shared" si="17"/>
        <v>2.74</v>
      </c>
      <c r="H4586" s="23"/>
      <c r="I4586" s="23"/>
    </row>
    <row r="4587" spans="1:9">
      <c r="A4587" s="21" t="s">
        <v>9770</v>
      </c>
      <c r="B4587" s="21"/>
      <c r="C4587" s="22">
        <v>4582</v>
      </c>
      <c r="D4587" s="21">
        <v>2.73</v>
      </c>
      <c r="E4587" s="21" t="s">
        <v>5796</v>
      </c>
      <c r="F4587" s="23"/>
      <c r="G4587" s="23">
        <f t="shared" si="17"/>
        <v>2.73</v>
      </c>
      <c r="H4587" s="23"/>
      <c r="I4587" s="23"/>
    </row>
    <row r="4588" spans="1:9">
      <c r="A4588" s="21" t="s">
        <v>9771</v>
      </c>
      <c r="B4588" s="21"/>
      <c r="C4588" s="22">
        <v>4583</v>
      </c>
      <c r="D4588" s="21">
        <v>2.72</v>
      </c>
      <c r="E4588" s="21" t="s">
        <v>5796</v>
      </c>
      <c r="F4588" s="23"/>
      <c r="G4588" s="23">
        <f t="shared" si="17"/>
        <v>2.72</v>
      </c>
      <c r="H4588" s="23"/>
      <c r="I4588" s="23"/>
    </row>
    <row r="4589" spans="1:9">
      <c r="A4589" s="21" t="s">
        <v>9772</v>
      </c>
      <c r="B4589" s="21"/>
      <c r="C4589" s="22">
        <v>4584</v>
      </c>
      <c r="D4589" s="21">
        <v>2.72</v>
      </c>
      <c r="E4589" s="21" t="s">
        <v>5796</v>
      </c>
      <c r="F4589" s="23"/>
      <c r="G4589" s="23">
        <f t="shared" si="17"/>
        <v>2.72</v>
      </c>
      <c r="H4589" s="23"/>
      <c r="I4589" s="23"/>
    </row>
    <row r="4590" spans="1:9">
      <c r="A4590" s="21" t="s">
        <v>9773</v>
      </c>
      <c r="B4590" s="21"/>
      <c r="C4590" s="22">
        <v>4585</v>
      </c>
      <c r="D4590" s="21">
        <v>2.72</v>
      </c>
      <c r="E4590" s="21" t="s">
        <v>5796</v>
      </c>
      <c r="F4590" s="23"/>
      <c r="G4590" s="23">
        <f t="shared" si="17"/>
        <v>2.72</v>
      </c>
      <c r="H4590" s="23"/>
      <c r="I4590" s="23"/>
    </row>
    <row r="4591" spans="1:9">
      <c r="A4591" s="21" t="s">
        <v>9774</v>
      </c>
      <c r="B4591" s="21"/>
      <c r="C4591" s="22">
        <v>4586</v>
      </c>
      <c r="D4591" s="21">
        <v>2.71</v>
      </c>
      <c r="E4591" s="21" t="s">
        <v>5796</v>
      </c>
      <c r="F4591" s="23"/>
      <c r="G4591" s="23">
        <f t="shared" si="17"/>
        <v>2.71</v>
      </c>
      <c r="H4591" s="23"/>
      <c r="I4591" s="23"/>
    </row>
    <row r="4592" spans="1:9">
      <c r="A4592" s="21" t="s">
        <v>9775</v>
      </c>
      <c r="B4592" s="21"/>
      <c r="C4592" s="22">
        <v>4587</v>
      </c>
      <c r="D4592" s="21">
        <v>2.71</v>
      </c>
      <c r="E4592" s="21" t="s">
        <v>5796</v>
      </c>
      <c r="F4592" s="23"/>
      <c r="G4592" s="23">
        <f t="shared" si="17"/>
        <v>2.71</v>
      </c>
      <c r="H4592" s="23"/>
      <c r="I4592" s="23"/>
    </row>
    <row r="4593" spans="1:9">
      <c r="A4593" s="21" t="s">
        <v>9776</v>
      </c>
      <c r="B4593" s="21"/>
      <c r="C4593" s="22">
        <v>4588</v>
      </c>
      <c r="D4593" s="21">
        <v>2.7</v>
      </c>
      <c r="E4593" s="21" t="s">
        <v>5796</v>
      </c>
      <c r="F4593" s="23"/>
      <c r="G4593" s="23">
        <f t="shared" ref="G4593:G4847" si="18">VALUE(SUBSTITUTE(D4593, ",", ""))</f>
        <v>2.7</v>
      </c>
      <c r="H4593" s="23"/>
      <c r="I4593" s="23"/>
    </row>
    <row r="4594" spans="1:9">
      <c r="A4594" s="21" t="s">
        <v>9777</v>
      </c>
      <c r="B4594" s="21"/>
      <c r="C4594" s="22">
        <v>4589</v>
      </c>
      <c r="D4594" s="21">
        <v>2.7</v>
      </c>
      <c r="E4594" s="21" t="s">
        <v>5796</v>
      </c>
      <c r="F4594" s="23"/>
      <c r="G4594" s="23">
        <f t="shared" si="18"/>
        <v>2.7</v>
      </c>
      <c r="H4594" s="23"/>
      <c r="I4594" s="23"/>
    </row>
    <row r="4595" spans="1:9">
      <c r="A4595" s="21" t="s">
        <v>9778</v>
      </c>
      <c r="B4595" s="21"/>
      <c r="C4595" s="22">
        <v>4590</v>
      </c>
      <c r="D4595" s="21">
        <v>2.7</v>
      </c>
      <c r="E4595" s="21" t="s">
        <v>5796</v>
      </c>
      <c r="F4595" s="23"/>
      <c r="G4595" s="23">
        <f t="shared" si="18"/>
        <v>2.7</v>
      </c>
      <c r="H4595" s="23"/>
      <c r="I4595" s="23"/>
    </row>
    <row r="4596" spans="1:9">
      <c r="A4596" s="21" t="s">
        <v>9779</v>
      </c>
      <c r="B4596" s="21"/>
      <c r="C4596" s="22">
        <v>4591</v>
      </c>
      <c r="D4596" s="21">
        <v>2.69</v>
      </c>
      <c r="E4596" s="21" t="s">
        <v>5796</v>
      </c>
      <c r="F4596" s="23"/>
      <c r="G4596" s="23">
        <f t="shared" si="18"/>
        <v>2.69</v>
      </c>
      <c r="H4596" s="23"/>
      <c r="I4596" s="23"/>
    </row>
    <row r="4597" spans="1:9">
      <c r="A4597" s="21" t="s">
        <v>9780</v>
      </c>
      <c r="B4597" s="21"/>
      <c r="C4597" s="22">
        <v>4592</v>
      </c>
      <c r="D4597" s="21">
        <v>2.67</v>
      </c>
      <c r="E4597" s="21" t="s">
        <v>5796</v>
      </c>
      <c r="F4597" s="23"/>
      <c r="G4597" s="23">
        <f t="shared" si="18"/>
        <v>2.67</v>
      </c>
      <c r="H4597" s="23"/>
      <c r="I4597" s="23"/>
    </row>
    <row r="4598" spans="1:9">
      <c r="A4598" s="21" t="s">
        <v>9781</v>
      </c>
      <c r="B4598" s="21"/>
      <c r="C4598" s="22">
        <v>4593</v>
      </c>
      <c r="D4598" s="21">
        <v>2.66</v>
      </c>
      <c r="E4598" s="21" t="s">
        <v>5796</v>
      </c>
      <c r="F4598" s="23"/>
      <c r="G4598" s="23">
        <f t="shared" si="18"/>
        <v>2.66</v>
      </c>
      <c r="H4598" s="23"/>
      <c r="I4598" s="23"/>
    </row>
    <row r="4599" spans="1:9">
      <c r="A4599" s="21" t="s">
        <v>9782</v>
      </c>
      <c r="B4599" s="21"/>
      <c r="C4599" s="22">
        <v>4594</v>
      </c>
      <c r="D4599" s="21">
        <v>2.66</v>
      </c>
      <c r="E4599" s="21" t="s">
        <v>5796</v>
      </c>
      <c r="F4599" s="23"/>
      <c r="G4599" s="23">
        <f t="shared" si="18"/>
        <v>2.66</v>
      </c>
      <c r="H4599" s="23"/>
      <c r="I4599" s="23"/>
    </row>
    <row r="4600" spans="1:9">
      <c r="A4600" s="21" t="s">
        <v>9783</v>
      </c>
      <c r="B4600" s="21"/>
      <c r="C4600" s="22">
        <v>4595</v>
      </c>
      <c r="D4600" s="21">
        <v>2.65</v>
      </c>
      <c r="E4600" s="21" t="s">
        <v>5796</v>
      </c>
      <c r="F4600" s="23"/>
      <c r="G4600" s="23">
        <f t="shared" si="18"/>
        <v>2.65</v>
      </c>
      <c r="H4600" s="23"/>
      <c r="I4600" s="23"/>
    </row>
    <row r="4601" spans="1:9">
      <c r="A4601" s="21" t="s">
        <v>9784</v>
      </c>
      <c r="B4601" s="21"/>
      <c r="C4601" s="22">
        <v>4596</v>
      </c>
      <c r="D4601" s="21">
        <v>2.65</v>
      </c>
      <c r="E4601" s="21" t="s">
        <v>5796</v>
      </c>
      <c r="F4601" s="23"/>
      <c r="G4601" s="23">
        <f t="shared" si="18"/>
        <v>2.65</v>
      </c>
      <c r="H4601" s="23"/>
      <c r="I4601" s="23"/>
    </row>
    <row r="4602" spans="1:9">
      <c r="A4602" s="21" t="s">
        <v>9785</v>
      </c>
      <c r="B4602" s="21"/>
      <c r="C4602" s="22">
        <v>4597</v>
      </c>
      <c r="D4602" s="21">
        <v>2.65</v>
      </c>
      <c r="E4602" s="21" t="s">
        <v>5796</v>
      </c>
      <c r="F4602" s="23"/>
      <c r="G4602" s="23">
        <f t="shared" si="18"/>
        <v>2.65</v>
      </c>
      <c r="H4602" s="23"/>
      <c r="I4602" s="23"/>
    </row>
    <row r="4603" spans="1:9">
      <c r="A4603" s="21" t="s">
        <v>9786</v>
      </c>
      <c r="B4603" s="21"/>
      <c r="C4603" s="22">
        <v>4598</v>
      </c>
      <c r="D4603" s="21">
        <v>2.64</v>
      </c>
      <c r="E4603" s="21" t="s">
        <v>5796</v>
      </c>
      <c r="F4603" s="23"/>
      <c r="G4603" s="23">
        <f t="shared" si="18"/>
        <v>2.64</v>
      </c>
      <c r="H4603" s="23"/>
      <c r="I4603" s="23"/>
    </row>
    <row r="4604" spans="1:9">
      <c r="A4604" s="21" t="s">
        <v>9787</v>
      </c>
      <c r="B4604" s="21"/>
      <c r="C4604" s="22">
        <v>4599</v>
      </c>
      <c r="D4604" s="21">
        <v>2.64</v>
      </c>
      <c r="E4604" s="21" t="s">
        <v>5796</v>
      </c>
      <c r="F4604" s="23"/>
      <c r="G4604" s="23">
        <f t="shared" si="18"/>
        <v>2.64</v>
      </c>
      <c r="H4604" s="23"/>
      <c r="I4604" s="23"/>
    </row>
    <row r="4605" spans="1:9">
      <c r="A4605" s="21" t="s">
        <v>9788</v>
      </c>
      <c r="B4605" s="21"/>
      <c r="C4605" s="22">
        <v>4600</v>
      </c>
      <c r="D4605" s="21">
        <v>2.63</v>
      </c>
      <c r="E4605" s="21" t="s">
        <v>5796</v>
      </c>
      <c r="F4605" s="23"/>
      <c r="G4605" s="23">
        <f t="shared" si="18"/>
        <v>2.63</v>
      </c>
      <c r="H4605" s="23"/>
      <c r="I4605" s="23"/>
    </row>
    <row r="4606" spans="1:9">
      <c r="A4606" s="21" t="s">
        <v>9789</v>
      </c>
      <c r="B4606" s="21"/>
      <c r="C4606" s="22">
        <v>4602</v>
      </c>
      <c r="D4606" s="21">
        <v>2.62</v>
      </c>
      <c r="E4606" s="21" t="s">
        <v>5796</v>
      </c>
      <c r="F4606" s="23"/>
      <c r="G4606" s="23">
        <f t="shared" si="18"/>
        <v>2.62</v>
      </c>
      <c r="H4606" s="23"/>
      <c r="I4606" s="23"/>
    </row>
    <row r="4607" spans="1:9">
      <c r="A4607" s="21" t="s">
        <v>9790</v>
      </c>
      <c r="B4607" s="21"/>
      <c r="C4607" s="22">
        <v>4603</v>
      </c>
      <c r="D4607" s="21">
        <v>2.61</v>
      </c>
      <c r="E4607" s="21" t="s">
        <v>5796</v>
      </c>
      <c r="F4607" s="23"/>
      <c r="G4607" s="23">
        <f t="shared" si="18"/>
        <v>2.61</v>
      </c>
      <c r="H4607" s="23"/>
      <c r="I4607" s="23"/>
    </row>
    <row r="4608" spans="1:9">
      <c r="A4608" s="21" t="s">
        <v>9791</v>
      </c>
      <c r="B4608" s="21"/>
      <c r="C4608" s="22">
        <v>4604</v>
      </c>
      <c r="D4608" s="21">
        <v>2.61</v>
      </c>
      <c r="E4608" s="21" t="s">
        <v>5796</v>
      </c>
      <c r="F4608" s="23"/>
      <c r="G4608" s="23">
        <f t="shared" si="18"/>
        <v>2.61</v>
      </c>
      <c r="H4608" s="23"/>
      <c r="I4608" s="23"/>
    </row>
    <row r="4609" spans="1:9">
      <c r="A4609" s="21" t="s">
        <v>9792</v>
      </c>
      <c r="B4609" s="21"/>
      <c r="C4609" s="22">
        <v>4605</v>
      </c>
      <c r="D4609" s="21">
        <v>2.61</v>
      </c>
      <c r="E4609" s="21" t="s">
        <v>5796</v>
      </c>
      <c r="F4609" s="23"/>
      <c r="G4609" s="23">
        <f t="shared" si="18"/>
        <v>2.61</v>
      </c>
      <c r="H4609" s="23"/>
      <c r="I4609" s="23"/>
    </row>
    <row r="4610" spans="1:9">
      <c r="A4610" s="21" t="s">
        <v>9793</v>
      </c>
      <c r="B4610" s="21"/>
      <c r="C4610" s="22">
        <v>4606</v>
      </c>
      <c r="D4610" s="21">
        <v>2.6</v>
      </c>
      <c r="E4610" s="21" t="s">
        <v>5796</v>
      </c>
      <c r="F4610" s="23"/>
      <c r="G4610" s="23">
        <f t="shared" si="18"/>
        <v>2.6</v>
      </c>
      <c r="H4610" s="23"/>
      <c r="I4610" s="23"/>
    </row>
    <row r="4611" spans="1:9">
      <c r="A4611" s="21" t="s">
        <v>9794</v>
      </c>
      <c r="B4611" s="21"/>
      <c r="C4611" s="22">
        <v>4607</v>
      </c>
      <c r="D4611" s="21">
        <v>2.6</v>
      </c>
      <c r="E4611" s="21" t="s">
        <v>5796</v>
      </c>
      <c r="F4611" s="23"/>
      <c r="G4611" s="23">
        <f t="shared" si="18"/>
        <v>2.6</v>
      </c>
      <c r="H4611" s="23"/>
      <c r="I4611" s="23"/>
    </row>
    <row r="4612" spans="1:9">
      <c r="A4612" s="21" t="s">
        <v>9795</v>
      </c>
      <c r="B4612" s="21"/>
      <c r="C4612" s="22">
        <v>4608</v>
      </c>
      <c r="D4612" s="21">
        <v>2.59</v>
      </c>
      <c r="E4612" s="21" t="s">
        <v>5796</v>
      </c>
      <c r="F4612" s="23"/>
      <c r="G4612" s="23">
        <f t="shared" si="18"/>
        <v>2.59</v>
      </c>
      <c r="H4612" s="23"/>
      <c r="I4612" s="23"/>
    </row>
    <row r="4613" spans="1:9">
      <c r="A4613" s="21" t="s">
        <v>9796</v>
      </c>
      <c r="B4613" s="21"/>
      <c r="C4613" s="22">
        <v>4609</v>
      </c>
      <c r="D4613" s="21">
        <v>2.58</v>
      </c>
      <c r="E4613" s="21" t="s">
        <v>5796</v>
      </c>
      <c r="F4613" s="23"/>
      <c r="G4613" s="23">
        <f t="shared" si="18"/>
        <v>2.58</v>
      </c>
      <c r="H4613" s="23"/>
      <c r="I4613" s="23"/>
    </row>
    <row r="4614" spans="1:9">
      <c r="A4614" s="21" t="s">
        <v>9797</v>
      </c>
      <c r="B4614" s="21"/>
      <c r="C4614" s="22">
        <v>4610</v>
      </c>
      <c r="D4614" s="21">
        <v>2.57</v>
      </c>
      <c r="E4614" s="21" t="s">
        <v>5796</v>
      </c>
      <c r="F4614" s="23"/>
      <c r="G4614" s="23">
        <f t="shared" si="18"/>
        <v>2.57</v>
      </c>
      <c r="H4614" s="23"/>
      <c r="I4614" s="23"/>
    </row>
    <row r="4615" spans="1:9">
      <c r="A4615" s="21" t="s">
        <v>9798</v>
      </c>
      <c r="B4615" s="21"/>
      <c r="C4615" s="22">
        <v>4611</v>
      </c>
      <c r="D4615" s="21">
        <v>2.56</v>
      </c>
      <c r="E4615" s="21" t="s">
        <v>5796</v>
      </c>
      <c r="F4615" s="23"/>
      <c r="G4615" s="23">
        <f t="shared" si="18"/>
        <v>2.56</v>
      </c>
      <c r="H4615" s="23"/>
      <c r="I4615" s="23"/>
    </row>
    <row r="4616" spans="1:9">
      <c r="A4616" s="21" t="s">
        <v>9799</v>
      </c>
      <c r="B4616" s="21"/>
      <c r="C4616" s="22">
        <v>4612</v>
      </c>
      <c r="D4616" s="21">
        <v>2.5499999999999998</v>
      </c>
      <c r="E4616" s="21" t="s">
        <v>5796</v>
      </c>
      <c r="F4616" s="23"/>
      <c r="G4616" s="23">
        <f t="shared" si="18"/>
        <v>2.5499999999999998</v>
      </c>
      <c r="H4616" s="23"/>
      <c r="I4616" s="23"/>
    </row>
    <row r="4617" spans="1:9">
      <c r="A4617" s="21" t="s">
        <v>9800</v>
      </c>
      <c r="B4617" s="21"/>
      <c r="C4617" s="22">
        <v>4613</v>
      </c>
      <c r="D4617" s="21">
        <v>2.54</v>
      </c>
      <c r="E4617" s="21" t="s">
        <v>5796</v>
      </c>
      <c r="F4617" s="23"/>
      <c r="G4617" s="23">
        <f t="shared" si="18"/>
        <v>2.54</v>
      </c>
      <c r="H4617" s="23"/>
      <c r="I4617" s="23"/>
    </row>
    <row r="4618" spans="1:9">
      <c r="A4618" s="21" t="s">
        <v>9801</v>
      </c>
      <c r="B4618" s="21"/>
      <c r="C4618" s="22">
        <v>4614</v>
      </c>
      <c r="D4618" s="21">
        <v>2.52</v>
      </c>
      <c r="E4618" s="21" t="s">
        <v>5796</v>
      </c>
      <c r="F4618" s="23"/>
      <c r="G4618" s="23">
        <f t="shared" si="18"/>
        <v>2.52</v>
      </c>
      <c r="H4618" s="23"/>
      <c r="I4618" s="23"/>
    </row>
    <row r="4619" spans="1:9">
      <c r="A4619" s="21" t="s">
        <v>9802</v>
      </c>
      <c r="B4619" s="21"/>
      <c r="C4619" s="22">
        <v>4615</v>
      </c>
      <c r="D4619" s="21">
        <v>2.52</v>
      </c>
      <c r="E4619" s="21" t="s">
        <v>5796</v>
      </c>
      <c r="F4619" s="23"/>
      <c r="G4619" s="23">
        <f t="shared" si="18"/>
        <v>2.52</v>
      </c>
      <c r="H4619" s="23"/>
      <c r="I4619" s="23"/>
    </row>
    <row r="4620" spans="1:9">
      <c r="A4620" s="21" t="s">
        <v>9803</v>
      </c>
      <c r="B4620" s="21"/>
      <c r="C4620" s="22">
        <v>4616</v>
      </c>
      <c r="D4620" s="21">
        <v>2.5099999999999998</v>
      </c>
      <c r="E4620" s="21" t="s">
        <v>5796</v>
      </c>
      <c r="F4620" s="23"/>
      <c r="G4620" s="23">
        <f t="shared" si="18"/>
        <v>2.5099999999999998</v>
      </c>
      <c r="H4620" s="23"/>
      <c r="I4620" s="23"/>
    </row>
    <row r="4621" spans="1:9">
      <c r="A4621" s="21" t="s">
        <v>9804</v>
      </c>
      <c r="B4621" s="21"/>
      <c r="C4621" s="22">
        <v>4617</v>
      </c>
      <c r="D4621" s="21">
        <v>2.5099999999999998</v>
      </c>
      <c r="E4621" s="21" t="s">
        <v>5796</v>
      </c>
      <c r="F4621" s="23"/>
      <c r="G4621" s="23">
        <f t="shared" si="18"/>
        <v>2.5099999999999998</v>
      </c>
      <c r="H4621" s="23"/>
      <c r="I4621" s="23"/>
    </row>
    <row r="4622" spans="1:9">
      <c r="A4622" s="21" t="s">
        <v>9805</v>
      </c>
      <c r="B4622" s="21"/>
      <c r="C4622" s="22">
        <v>4618</v>
      </c>
      <c r="D4622" s="21">
        <v>2.5</v>
      </c>
      <c r="E4622" s="21" t="s">
        <v>5796</v>
      </c>
      <c r="F4622" s="23"/>
      <c r="G4622" s="23">
        <f t="shared" si="18"/>
        <v>2.5</v>
      </c>
      <c r="H4622" s="23"/>
      <c r="I4622" s="23"/>
    </row>
    <row r="4623" spans="1:9">
      <c r="A4623" s="21" t="s">
        <v>9806</v>
      </c>
      <c r="B4623" s="21"/>
      <c r="C4623" s="22">
        <v>4619</v>
      </c>
      <c r="D4623" s="21">
        <v>2.5</v>
      </c>
      <c r="E4623" s="21" t="s">
        <v>5796</v>
      </c>
      <c r="F4623" s="23"/>
      <c r="G4623" s="23">
        <f t="shared" si="18"/>
        <v>2.5</v>
      </c>
      <c r="H4623" s="23"/>
      <c r="I4623" s="23"/>
    </row>
    <row r="4624" spans="1:9">
      <c r="A4624" s="21" t="s">
        <v>9807</v>
      </c>
      <c r="B4624" s="21"/>
      <c r="C4624" s="22">
        <v>4620</v>
      </c>
      <c r="D4624" s="21">
        <v>2.5</v>
      </c>
      <c r="E4624" s="21" t="s">
        <v>5796</v>
      </c>
      <c r="F4624" s="23"/>
      <c r="G4624" s="23">
        <f t="shared" si="18"/>
        <v>2.5</v>
      </c>
      <c r="H4624" s="23"/>
      <c r="I4624" s="23"/>
    </row>
    <row r="4625" spans="1:9">
      <c r="A4625" s="21" t="s">
        <v>9808</v>
      </c>
      <c r="B4625" s="21"/>
      <c r="C4625" s="22">
        <v>4621</v>
      </c>
      <c r="D4625" s="21">
        <v>2.48</v>
      </c>
      <c r="E4625" s="21" t="s">
        <v>5796</v>
      </c>
      <c r="F4625" s="23"/>
      <c r="G4625" s="23">
        <f t="shared" si="18"/>
        <v>2.48</v>
      </c>
      <c r="H4625" s="23"/>
      <c r="I4625" s="23"/>
    </row>
    <row r="4626" spans="1:9">
      <c r="A4626" s="21" t="s">
        <v>9809</v>
      </c>
      <c r="B4626" s="21"/>
      <c r="C4626" s="22">
        <v>4622</v>
      </c>
      <c r="D4626" s="21">
        <v>2.48</v>
      </c>
      <c r="E4626" s="21" t="s">
        <v>5796</v>
      </c>
      <c r="F4626" s="23"/>
      <c r="G4626" s="23">
        <f t="shared" si="18"/>
        <v>2.48</v>
      </c>
      <c r="H4626" s="23"/>
      <c r="I4626" s="23"/>
    </row>
    <row r="4627" spans="1:9">
      <c r="A4627" s="21" t="s">
        <v>9810</v>
      </c>
      <c r="B4627" s="21"/>
      <c r="C4627" s="22">
        <v>4623</v>
      </c>
      <c r="D4627" s="21">
        <v>2.48</v>
      </c>
      <c r="E4627" s="21" t="s">
        <v>5796</v>
      </c>
      <c r="F4627" s="23"/>
      <c r="G4627" s="23">
        <f t="shared" si="18"/>
        <v>2.48</v>
      </c>
      <c r="H4627" s="23"/>
      <c r="I4627" s="23"/>
    </row>
    <row r="4628" spans="1:9">
      <c r="A4628" s="21" t="s">
        <v>9811</v>
      </c>
      <c r="B4628" s="21"/>
      <c r="C4628" s="22">
        <v>4624</v>
      </c>
      <c r="D4628" s="21">
        <v>2.48</v>
      </c>
      <c r="E4628" s="21" t="s">
        <v>5796</v>
      </c>
      <c r="F4628" s="23"/>
      <c r="G4628" s="23">
        <f t="shared" si="18"/>
        <v>2.48</v>
      </c>
      <c r="H4628" s="23"/>
      <c r="I4628" s="23"/>
    </row>
    <row r="4629" spans="1:9">
      <c r="A4629" s="21" t="s">
        <v>9812</v>
      </c>
      <c r="B4629" s="21"/>
      <c r="C4629" s="22">
        <v>4625</v>
      </c>
      <c r="D4629" s="21">
        <v>2.4700000000000002</v>
      </c>
      <c r="E4629" s="21" t="s">
        <v>5796</v>
      </c>
      <c r="F4629" s="23"/>
      <c r="G4629" s="23">
        <f t="shared" si="18"/>
        <v>2.4700000000000002</v>
      </c>
      <c r="H4629" s="23"/>
      <c r="I4629" s="23"/>
    </row>
    <row r="4630" spans="1:9">
      <c r="A4630" s="21" t="s">
        <v>9813</v>
      </c>
      <c r="B4630" s="21"/>
      <c r="C4630" s="22">
        <v>4626</v>
      </c>
      <c r="D4630" s="21">
        <v>2.4500000000000002</v>
      </c>
      <c r="E4630" s="21" t="s">
        <v>5796</v>
      </c>
      <c r="F4630" s="23"/>
      <c r="G4630" s="23">
        <f t="shared" si="18"/>
        <v>2.4500000000000002</v>
      </c>
      <c r="H4630" s="23"/>
      <c r="I4630" s="23"/>
    </row>
    <row r="4631" spans="1:9">
      <c r="A4631" s="21" t="s">
        <v>9814</v>
      </c>
      <c r="B4631" s="21"/>
      <c r="C4631" s="22">
        <v>4628</v>
      </c>
      <c r="D4631" s="21">
        <v>2.4300000000000002</v>
      </c>
      <c r="E4631" s="21" t="s">
        <v>5796</v>
      </c>
      <c r="F4631" s="23"/>
      <c r="G4631" s="23">
        <f t="shared" si="18"/>
        <v>2.4300000000000002</v>
      </c>
      <c r="H4631" s="23"/>
      <c r="I4631" s="23"/>
    </row>
    <row r="4632" spans="1:9">
      <c r="A4632" s="21" t="s">
        <v>9815</v>
      </c>
      <c r="B4632" s="21"/>
      <c r="C4632" s="22">
        <v>4629</v>
      </c>
      <c r="D4632" s="21">
        <v>2.4300000000000002</v>
      </c>
      <c r="E4632" s="21" t="s">
        <v>5796</v>
      </c>
      <c r="F4632" s="23"/>
      <c r="G4632" s="23">
        <f t="shared" si="18"/>
        <v>2.4300000000000002</v>
      </c>
      <c r="H4632" s="23"/>
      <c r="I4632" s="23"/>
    </row>
    <row r="4633" spans="1:9">
      <c r="A4633" s="21" t="s">
        <v>9816</v>
      </c>
      <c r="B4633" s="21"/>
      <c r="C4633" s="22">
        <v>4630</v>
      </c>
      <c r="D4633" s="21">
        <v>2.42</v>
      </c>
      <c r="E4633" s="21" t="s">
        <v>5796</v>
      </c>
      <c r="F4633" s="23"/>
      <c r="G4633" s="23">
        <f t="shared" si="18"/>
        <v>2.42</v>
      </c>
      <c r="H4633" s="23"/>
      <c r="I4633" s="23"/>
    </row>
    <row r="4634" spans="1:9">
      <c r="A4634" s="21" t="s">
        <v>9817</v>
      </c>
      <c r="B4634" s="21"/>
      <c r="C4634" s="22">
        <v>4631</v>
      </c>
      <c r="D4634" s="21">
        <v>2.41</v>
      </c>
      <c r="E4634" s="21" t="s">
        <v>5796</v>
      </c>
      <c r="F4634" s="23"/>
      <c r="G4634" s="23">
        <f t="shared" si="18"/>
        <v>2.41</v>
      </c>
      <c r="H4634" s="23"/>
      <c r="I4634" s="23"/>
    </row>
    <row r="4635" spans="1:9">
      <c r="A4635" s="21" t="s">
        <v>9818</v>
      </c>
      <c r="B4635" s="21"/>
      <c r="C4635" s="22">
        <v>4632</v>
      </c>
      <c r="D4635" s="21">
        <v>2.41</v>
      </c>
      <c r="E4635" s="21" t="s">
        <v>5796</v>
      </c>
      <c r="F4635" s="23"/>
      <c r="G4635" s="23">
        <f t="shared" si="18"/>
        <v>2.41</v>
      </c>
      <c r="H4635" s="23"/>
      <c r="I4635" s="23"/>
    </row>
    <row r="4636" spans="1:9">
      <c r="A4636" s="21" t="s">
        <v>9819</v>
      </c>
      <c r="B4636" s="21"/>
      <c r="C4636" s="22">
        <v>4633</v>
      </c>
      <c r="D4636" s="21">
        <v>2.41</v>
      </c>
      <c r="E4636" s="21" t="s">
        <v>5796</v>
      </c>
      <c r="F4636" s="23"/>
      <c r="G4636" s="23">
        <f t="shared" si="18"/>
        <v>2.41</v>
      </c>
      <c r="H4636" s="23"/>
      <c r="I4636" s="23"/>
    </row>
    <row r="4637" spans="1:9">
      <c r="A4637" s="21" t="s">
        <v>9820</v>
      </c>
      <c r="B4637" s="21"/>
      <c r="C4637" s="22">
        <v>4634</v>
      </c>
      <c r="D4637" s="21">
        <v>2.41</v>
      </c>
      <c r="E4637" s="21" t="s">
        <v>5796</v>
      </c>
      <c r="F4637" s="23"/>
      <c r="G4637" s="23">
        <f t="shared" si="18"/>
        <v>2.41</v>
      </c>
      <c r="H4637" s="23"/>
      <c r="I4637" s="23"/>
    </row>
    <row r="4638" spans="1:9">
      <c r="A4638" s="21" t="s">
        <v>9821</v>
      </c>
      <c r="B4638" s="21"/>
      <c r="C4638" s="22">
        <v>4635</v>
      </c>
      <c r="D4638" s="21">
        <v>2.4</v>
      </c>
      <c r="E4638" s="21" t="s">
        <v>5796</v>
      </c>
      <c r="F4638" s="23"/>
      <c r="G4638" s="23">
        <f t="shared" si="18"/>
        <v>2.4</v>
      </c>
      <c r="H4638" s="23"/>
      <c r="I4638" s="23"/>
    </row>
    <row r="4639" spans="1:9">
      <c r="A4639" s="21" t="s">
        <v>9822</v>
      </c>
      <c r="B4639" s="21"/>
      <c r="C4639" s="22">
        <v>4636</v>
      </c>
      <c r="D4639" s="21">
        <v>2.39</v>
      </c>
      <c r="E4639" s="21" t="s">
        <v>5796</v>
      </c>
      <c r="F4639" s="23"/>
      <c r="G4639" s="23">
        <f t="shared" si="18"/>
        <v>2.39</v>
      </c>
      <c r="H4639" s="23"/>
      <c r="I4639" s="23"/>
    </row>
    <row r="4640" spans="1:9">
      <c r="A4640" s="21" t="s">
        <v>9823</v>
      </c>
      <c r="B4640" s="21"/>
      <c r="C4640" s="22">
        <v>4637</v>
      </c>
      <c r="D4640" s="21">
        <v>2.39</v>
      </c>
      <c r="E4640" s="21" t="s">
        <v>5796</v>
      </c>
      <c r="F4640" s="23"/>
      <c r="G4640" s="23">
        <f t="shared" si="18"/>
        <v>2.39</v>
      </c>
      <c r="H4640" s="23"/>
      <c r="I4640" s="23"/>
    </row>
    <row r="4641" spans="1:9">
      <c r="A4641" s="21" t="s">
        <v>9824</v>
      </c>
      <c r="B4641" s="21"/>
      <c r="C4641" s="22">
        <v>4639</v>
      </c>
      <c r="D4641" s="21">
        <v>2.38</v>
      </c>
      <c r="E4641" s="21" t="s">
        <v>5796</v>
      </c>
      <c r="F4641" s="23"/>
      <c r="G4641" s="23">
        <f t="shared" si="18"/>
        <v>2.38</v>
      </c>
      <c r="H4641" s="23"/>
      <c r="I4641" s="23"/>
    </row>
    <row r="4642" spans="1:9">
      <c r="A4642" s="21" t="s">
        <v>9825</v>
      </c>
      <c r="B4642" s="21"/>
      <c r="C4642" s="22">
        <v>4640</v>
      </c>
      <c r="D4642" s="21">
        <v>2.37</v>
      </c>
      <c r="E4642" s="21" t="s">
        <v>5796</v>
      </c>
      <c r="F4642" s="23"/>
      <c r="G4642" s="23">
        <f t="shared" si="18"/>
        <v>2.37</v>
      </c>
      <c r="H4642" s="23"/>
      <c r="I4642" s="23"/>
    </row>
    <row r="4643" spans="1:9">
      <c r="A4643" s="21" t="s">
        <v>9826</v>
      </c>
      <c r="B4643" s="21"/>
      <c r="C4643" s="22">
        <v>4641</v>
      </c>
      <c r="D4643" s="21">
        <v>2.37</v>
      </c>
      <c r="E4643" s="21" t="s">
        <v>5796</v>
      </c>
      <c r="F4643" s="23"/>
      <c r="G4643" s="23">
        <f t="shared" si="18"/>
        <v>2.37</v>
      </c>
      <c r="H4643" s="23"/>
      <c r="I4643" s="23"/>
    </row>
    <row r="4644" spans="1:9">
      <c r="A4644" s="21" t="s">
        <v>9827</v>
      </c>
      <c r="B4644" s="21"/>
      <c r="C4644" s="22">
        <v>4642</v>
      </c>
      <c r="D4644" s="21">
        <v>2.36</v>
      </c>
      <c r="E4644" s="21" t="s">
        <v>5796</v>
      </c>
      <c r="F4644" s="23"/>
      <c r="G4644" s="23">
        <f t="shared" si="18"/>
        <v>2.36</v>
      </c>
      <c r="H4644" s="23"/>
      <c r="I4644" s="23"/>
    </row>
    <row r="4645" spans="1:9">
      <c r="A4645" s="21" t="s">
        <v>9828</v>
      </c>
      <c r="B4645" s="21"/>
      <c r="C4645" s="22">
        <v>4643</v>
      </c>
      <c r="D4645" s="21">
        <v>2.3199999999999998</v>
      </c>
      <c r="E4645" s="21" t="s">
        <v>5796</v>
      </c>
      <c r="F4645" s="23"/>
      <c r="G4645" s="23">
        <f t="shared" si="18"/>
        <v>2.3199999999999998</v>
      </c>
      <c r="H4645" s="23"/>
      <c r="I4645" s="23"/>
    </row>
    <row r="4646" spans="1:9">
      <c r="A4646" s="21" t="s">
        <v>9829</v>
      </c>
      <c r="B4646" s="21"/>
      <c r="C4646" s="22">
        <v>4644</v>
      </c>
      <c r="D4646" s="21">
        <v>2.2999999999999998</v>
      </c>
      <c r="E4646" s="21" t="s">
        <v>5796</v>
      </c>
      <c r="F4646" s="23"/>
      <c r="G4646" s="23">
        <f t="shared" si="18"/>
        <v>2.2999999999999998</v>
      </c>
      <c r="H4646" s="23"/>
      <c r="I4646" s="23"/>
    </row>
    <row r="4647" spans="1:9">
      <c r="A4647" s="21" t="s">
        <v>9830</v>
      </c>
      <c r="B4647" s="21"/>
      <c r="C4647" s="22">
        <v>4645</v>
      </c>
      <c r="D4647" s="21">
        <v>2.2999999999999998</v>
      </c>
      <c r="E4647" s="21" t="s">
        <v>5796</v>
      </c>
      <c r="F4647" s="23"/>
      <c r="G4647" s="23">
        <f t="shared" si="18"/>
        <v>2.2999999999999998</v>
      </c>
      <c r="H4647" s="23"/>
      <c r="I4647" s="23"/>
    </row>
    <row r="4648" spans="1:9">
      <c r="A4648" s="21" t="s">
        <v>9831</v>
      </c>
      <c r="B4648" s="21"/>
      <c r="C4648" s="22">
        <v>4646</v>
      </c>
      <c r="D4648" s="21">
        <v>2.29</v>
      </c>
      <c r="E4648" s="21" t="s">
        <v>5796</v>
      </c>
      <c r="F4648" s="23"/>
      <c r="G4648" s="23">
        <f t="shared" si="18"/>
        <v>2.29</v>
      </c>
      <c r="H4648" s="23"/>
      <c r="I4648" s="23"/>
    </row>
    <row r="4649" spans="1:9">
      <c r="A4649" s="21" t="s">
        <v>9832</v>
      </c>
      <c r="B4649" s="21"/>
      <c r="C4649" s="22">
        <v>4647</v>
      </c>
      <c r="D4649" s="21">
        <v>2.29</v>
      </c>
      <c r="E4649" s="21" t="s">
        <v>5796</v>
      </c>
      <c r="F4649" s="23"/>
      <c r="G4649" s="23">
        <f t="shared" si="18"/>
        <v>2.29</v>
      </c>
      <c r="H4649" s="23"/>
      <c r="I4649" s="23"/>
    </row>
    <row r="4650" spans="1:9">
      <c r="A4650" s="21" t="s">
        <v>9833</v>
      </c>
      <c r="B4650" s="21"/>
      <c r="C4650" s="22">
        <v>4648</v>
      </c>
      <c r="D4650" s="21">
        <v>2.2799999999999998</v>
      </c>
      <c r="E4650" s="21" t="s">
        <v>5796</v>
      </c>
      <c r="F4650" s="23"/>
      <c r="G4650" s="23">
        <f t="shared" si="18"/>
        <v>2.2799999999999998</v>
      </c>
      <c r="H4650" s="23"/>
      <c r="I4650" s="23"/>
    </row>
    <row r="4651" spans="1:9">
      <c r="A4651" s="21" t="s">
        <v>9834</v>
      </c>
      <c r="B4651" s="21"/>
      <c r="C4651" s="22">
        <v>4649</v>
      </c>
      <c r="D4651" s="21">
        <v>2.2799999999999998</v>
      </c>
      <c r="E4651" s="21" t="s">
        <v>5796</v>
      </c>
      <c r="F4651" s="23"/>
      <c r="G4651" s="23">
        <f t="shared" si="18"/>
        <v>2.2799999999999998</v>
      </c>
      <c r="H4651" s="23"/>
      <c r="I4651" s="23"/>
    </row>
    <row r="4652" spans="1:9">
      <c r="A4652" s="21" t="s">
        <v>9835</v>
      </c>
      <c r="B4652" s="21"/>
      <c r="C4652" s="22">
        <v>4650</v>
      </c>
      <c r="D4652" s="21">
        <v>2.2799999999999998</v>
      </c>
      <c r="E4652" s="21" t="s">
        <v>5796</v>
      </c>
      <c r="F4652" s="23"/>
      <c r="G4652" s="23">
        <f t="shared" si="18"/>
        <v>2.2799999999999998</v>
      </c>
      <c r="H4652" s="23"/>
      <c r="I4652" s="23"/>
    </row>
    <row r="4653" spans="1:9">
      <c r="A4653" s="21" t="s">
        <v>9836</v>
      </c>
      <c r="B4653" s="21"/>
      <c r="C4653" s="22">
        <v>4651</v>
      </c>
      <c r="D4653" s="21">
        <v>2.27</v>
      </c>
      <c r="E4653" s="21" t="s">
        <v>5796</v>
      </c>
      <c r="F4653" s="23"/>
      <c r="G4653" s="23">
        <f t="shared" si="18"/>
        <v>2.27</v>
      </c>
      <c r="H4653" s="23"/>
      <c r="I4653" s="23"/>
    </row>
    <row r="4654" spans="1:9">
      <c r="A4654" s="21" t="s">
        <v>9837</v>
      </c>
      <c r="B4654" s="21"/>
      <c r="C4654" s="22">
        <v>4652</v>
      </c>
      <c r="D4654" s="21">
        <v>2.2599999999999998</v>
      </c>
      <c r="E4654" s="21" t="s">
        <v>5796</v>
      </c>
      <c r="F4654" s="23"/>
      <c r="G4654" s="23">
        <f t="shared" si="18"/>
        <v>2.2599999999999998</v>
      </c>
      <c r="H4654" s="23"/>
      <c r="I4654" s="23"/>
    </row>
    <row r="4655" spans="1:9">
      <c r="A4655" s="21" t="s">
        <v>9838</v>
      </c>
      <c r="B4655" s="21"/>
      <c r="C4655" s="22">
        <v>4653</v>
      </c>
      <c r="D4655" s="21">
        <v>2.2599999999999998</v>
      </c>
      <c r="E4655" s="21" t="s">
        <v>5796</v>
      </c>
      <c r="F4655" s="23"/>
      <c r="G4655" s="23">
        <f t="shared" si="18"/>
        <v>2.2599999999999998</v>
      </c>
      <c r="H4655" s="23"/>
      <c r="I4655" s="23"/>
    </row>
    <row r="4656" spans="1:9">
      <c r="A4656" s="21" t="s">
        <v>9839</v>
      </c>
      <c r="B4656" s="21"/>
      <c r="C4656" s="22">
        <v>4654</v>
      </c>
      <c r="D4656" s="21">
        <v>2.2599999999999998</v>
      </c>
      <c r="E4656" s="21" t="s">
        <v>5796</v>
      </c>
      <c r="F4656" s="23"/>
      <c r="G4656" s="23">
        <f t="shared" si="18"/>
        <v>2.2599999999999998</v>
      </c>
      <c r="H4656" s="23"/>
      <c r="I4656" s="23"/>
    </row>
    <row r="4657" spans="1:9">
      <c r="A4657" s="21" t="s">
        <v>9840</v>
      </c>
      <c r="B4657" s="21"/>
      <c r="C4657" s="22">
        <v>4655</v>
      </c>
      <c r="D4657" s="21">
        <v>2.25</v>
      </c>
      <c r="E4657" s="21" t="s">
        <v>5796</v>
      </c>
      <c r="F4657" s="23"/>
      <c r="G4657" s="23">
        <f t="shared" si="18"/>
        <v>2.25</v>
      </c>
      <c r="H4657" s="23"/>
      <c r="I4657" s="23"/>
    </row>
    <row r="4658" spans="1:9">
      <c r="A4658" s="21" t="s">
        <v>9841</v>
      </c>
      <c r="B4658" s="21"/>
      <c r="C4658" s="22">
        <v>4656</v>
      </c>
      <c r="D4658" s="21">
        <v>2.25</v>
      </c>
      <c r="E4658" s="21" t="s">
        <v>5796</v>
      </c>
      <c r="F4658" s="23"/>
      <c r="G4658" s="23">
        <f t="shared" si="18"/>
        <v>2.25</v>
      </c>
      <c r="H4658" s="23"/>
      <c r="I4658" s="23"/>
    </row>
    <row r="4659" spans="1:9">
      <c r="A4659" s="21" t="s">
        <v>9842</v>
      </c>
      <c r="B4659" s="21"/>
      <c r="C4659" s="22">
        <v>4657</v>
      </c>
      <c r="D4659" s="21">
        <v>2.25</v>
      </c>
      <c r="E4659" s="21" t="s">
        <v>5796</v>
      </c>
      <c r="F4659" s="23"/>
      <c r="G4659" s="23">
        <f t="shared" si="18"/>
        <v>2.25</v>
      </c>
      <c r="H4659" s="23"/>
      <c r="I4659" s="23"/>
    </row>
    <row r="4660" spans="1:9">
      <c r="A4660" s="21" t="s">
        <v>9843</v>
      </c>
      <c r="B4660" s="21"/>
      <c r="C4660" s="22">
        <v>4658</v>
      </c>
      <c r="D4660" s="21">
        <v>2.2400000000000002</v>
      </c>
      <c r="E4660" s="21" t="s">
        <v>5796</v>
      </c>
      <c r="F4660" s="23"/>
      <c r="G4660" s="23">
        <f t="shared" si="18"/>
        <v>2.2400000000000002</v>
      </c>
      <c r="H4660" s="23"/>
      <c r="I4660" s="23"/>
    </row>
    <row r="4661" spans="1:9">
      <c r="A4661" s="21" t="s">
        <v>9844</v>
      </c>
      <c r="B4661" s="21"/>
      <c r="C4661" s="22">
        <v>4659</v>
      </c>
      <c r="D4661" s="21">
        <v>2.2400000000000002</v>
      </c>
      <c r="E4661" s="21" t="s">
        <v>5796</v>
      </c>
      <c r="F4661" s="23"/>
      <c r="G4661" s="23">
        <f t="shared" si="18"/>
        <v>2.2400000000000002</v>
      </c>
      <c r="H4661" s="23"/>
      <c r="I4661" s="23"/>
    </row>
    <row r="4662" spans="1:9">
      <c r="A4662" s="21" t="s">
        <v>9845</v>
      </c>
      <c r="B4662" s="21"/>
      <c r="C4662" s="22">
        <v>4660</v>
      </c>
      <c r="D4662" s="21">
        <v>2.2400000000000002</v>
      </c>
      <c r="E4662" s="21" t="s">
        <v>5796</v>
      </c>
      <c r="F4662" s="23"/>
      <c r="G4662" s="23">
        <f t="shared" si="18"/>
        <v>2.2400000000000002</v>
      </c>
      <c r="H4662" s="23"/>
      <c r="I4662" s="23"/>
    </row>
    <row r="4663" spans="1:9">
      <c r="A4663" s="21" t="s">
        <v>9846</v>
      </c>
      <c r="B4663" s="21"/>
      <c r="C4663" s="22">
        <v>4661</v>
      </c>
      <c r="D4663" s="21">
        <v>2.23</v>
      </c>
      <c r="E4663" s="21" t="s">
        <v>5796</v>
      </c>
      <c r="F4663" s="23"/>
      <c r="G4663" s="23">
        <f t="shared" si="18"/>
        <v>2.23</v>
      </c>
      <c r="H4663" s="23"/>
      <c r="I4663" s="23"/>
    </row>
    <row r="4664" spans="1:9">
      <c r="A4664" s="21" t="s">
        <v>9847</v>
      </c>
      <c r="B4664" s="21"/>
      <c r="C4664" s="22">
        <v>4662</v>
      </c>
      <c r="D4664" s="21">
        <v>2.2200000000000002</v>
      </c>
      <c r="E4664" s="21" t="s">
        <v>5796</v>
      </c>
      <c r="F4664" s="23"/>
      <c r="G4664" s="23">
        <f t="shared" si="18"/>
        <v>2.2200000000000002</v>
      </c>
      <c r="H4664" s="23"/>
      <c r="I4664" s="23"/>
    </row>
    <row r="4665" spans="1:9">
      <c r="A4665" s="21" t="s">
        <v>9848</v>
      </c>
      <c r="B4665" s="21"/>
      <c r="C4665" s="22">
        <v>4663</v>
      </c>
      <c r="D4665" s="21">
        <v>2.2200000000000002</v>
      </c>
      <c r="E4665" s="21" t="s">
        <v>5796</v>
      </c>
      <c r="F4665" s="23"/>
      <c r="G4665" s="23">
        <f t="shared" si="18"/>
        <v>2.2200000000000002</v>
      </c>
      <c r="H4665" s="23"/>
      <c r="I4665" s="23"/>
    </row>
    <row r="4666" spans="1:9">
      <c r="A4666" s="21" t="s">
        <v>9849</v>
      </c>
      <c r="B4666" s="21"/>
      <c r="C4666" s="22">
        <v>4664</v>
      </c>
      <c r="D4666" s="21">
        <v>2.21</v>
      </c>
      <c r="E4666" s="21" t="s">
        <v>5796</v>
      </c>
      <c r="F4666" s="23"/>
      <c r="G4666" s="23">
        <f t="shared" si="18"/>
        <v>2.21</v>
      </c>
      <c r="H4666" s="23"/>
      <c r="I4666" s="23"/>
    </row>
    <row r="4667" spans="1:9">
      <c r="A4667" s="21" t="s">
        <v>9850</v>
      </c>
      <c r="B4667" s="21"/>
      <c r="C4667" s="22">
        <v>4665</v>
      </c>
      <c r="D4667" s="21">
        <v>2.21</v>
      </c>
      <c r="E4667" s="21" t="s">
        <v>5796</v>
      </c>
      <c r="F4667" s="23"/>
      <c r="G4667" s="23">
        <f t="shared" si="18"/>
        <v>2.21</v>
      </c>
      <c r="H4667" s="23"/>
      <c r="I4667" s="23"/>
    </row>
    <row r="4668" spans="1:9">
      <c r="A4668" s="21" t="s">
        <v>9851</v>
      </c>
      <c r="B4668" s="21"/>
      <c r="C4668" s="22">
        <v>4666</v>
      </c>
      <c r="D4668" s="21">
        <v>2.2000000000000002</v>
      </c>
      <c r="E4668" s="21" t="s">
        <v>5796</v>
      </c>
      <c r="F4668" s="23"/>
      <c r="G4668" s="23">
        <f t="shared" si="18"/>
        <v>2.2000000000000002</v>
      </c>
      <c r="H4668" s="23"/>
      <c r="I4668" s="23"/>
    </row>
    <row r="4669" spans="1:9">
      <c r="A4669" s="21" t="s">
        <v>9852</v>
      </c>
      <c r="B4669" s="21"/>
      <c r="C4669" s="22">
        <v>4667</v>
      </c>
      <c r="D4669" s="21">
        <v>2.2000000000000002</v>
      </c>
      <c r="E4669" s="21" t="s">
        <v>5796</v>
      </c>
      <c r="F4669" s="23"/>
      <c r="G4669" s="23">
        <f t="shared" si="18"/>
        <v>2.2000000000000002</v>
      </c>
      <c r="H4669" s="23"/>
      <c r="I4669" s="23"/>
    </row>
    <row r="4670" spans="1:9">
      <c r="A4670" s="21" t="s">
        <v>9853</v>
      </c>
      <c r="B4670" s="21"/>
      <c r="C4670" s="22">
        <v>4668</v>
      </c>
      <c r="D4670" s="21">
        <v>2.19</v>
      </c>
      <c r="E4670" s="21" t="s">
        <v>5796</v>
      </c>
      <c r="F4670" s="23"/>
      <c r="G4670" s="23">
        <f t="shared" si="18"/>
        <v>2.19</v>
      </c>
      <c r="H4670" s="23"/>
      <c r="I4670" s="23"/>
    </row>
    <row r="4671" spans="1:9">
      <c r="A4671" s="21" t="s">
        <v>9854</v>
      </c>
      <c r="B4671" s="21"/>
      <c r="C4671" s="22">
        <v>4669</v>
      </c>
      <c r="D4671" s="21">
        <v>2.19</v>
      </c>
      <c r="E4671" s="21" t="s">
        <v>5796</v>
      </c>
      <c r="F4671" s="23"/>
      <c r="G4671" s="23">
        <f t="shared" si="18"/>
        <v>2.19</v>
      </c>
      <c r="H4671" s="23"/>
      <c r="I4671" s="23"/>
    </row>
    <row r="4672" spans="1:9">
      <c r="A4672" s="21" t="s">
        <v>9855</v>
      </c>
      <c r="B4672" s="21"/>
      <c r="C4672" s="22">
        <v>4670</v>
      </c>
      <c r="D4672" s="21">
        <v>2.19</v>
      </c>
      <c r="E4672" s="21" t="s">
        <v>5796</v>
      </c>
      <c r="F4672" s="23"/>
      <c r="G4672" s="23">
        <f t="shared" si="18"/>
        <v>2.19</v>
      </c>
      <c r="H4672" s="23"/>
      <c r="I4672" s="23"/>
    </row>
    <row r="4673" spans="1:9">
      <c r="A4673" s="21" t="s">
        <v>9856</v>
      </c>
      <c r="B4673" s="21"/>
      <c r="C4673" s="22">
        <v>4671</v>
      </c>
      <c r="D4673" s="21">
        <v>2.19</v>
      </c>
      <c r="E4673" s="21" t="s">
        <v>5796</v>
      </c>
      <c r="F4673" s="23"/>
      <c r="G4673" s="23">
        <f t="shared" si="18"/>
        <v>2.19</v>
      </c>
      <c r="H4673" s="23"/>
      <c r="I4673" s="23"/>
    </row>
    <row r="4674" spans="1:9">
      <c r="A4674" s="21" t="s">
        <v>9857</v>
      </c>
      <c r="B4674" s="21"/>
      <c r="C4674" s="22">
        <v>4672</v>
      </c>
      <c r="D4674" s="21">
        <v>2.1800000000000002</v>
      </c>
      <c r="E4674" s="21" t="s">
        <v>5796</v>
      </c>
      <c r="F4674" s="23"/>
      <c r="G4674" s="23">
        <f t="shared" si="18"/>
        <v>2.1800000000000002</v>
      </c>
      <c r="H4674" s="23"/>
      <c r="I4674" s="23"/>
    </row>
    <row r="4675" spans="1:9">
      <c r="A4675" s="21" t="s">
        <v>9858</v>
      </c>
      <c r="B4675" s="21"/>
      <c r="C4675" s="22">
        <v>4673</v>
      </c>
      <c r="D4675" s="21">
        <v>2.1800000000000002</v>
      </c>
      <c r="E4675" s="21" t="s">
        <v>5796</v>
      </c>
      <c r="F4675" s="23"/>
      <c r="G4675" s="23">
        <f t="shared" si="18"/>
        <v>2.1800000000000002</v>
      </c>
      <c r="H4675" s="23"/>
      <c r="I4675" s="23"/>
    </row>
    <row r="4676" spans="1:9">
      <c r="A4676" s="21" t="s">
        <v>9859</v>
      </c>
      <c r="B4676" s="21"/>
      <c r="C4676" s="22">
        <v>4674</v>
      </c>
      <c r="D4676" s="21">
        <v>2.1800000000000002</v>
      </c>
      <c r="E4676" s="21" t="s">
        <v>5796</v>
      </c>
      <c r="F4676" s="23"/>
      <c r="G4676" s="23">
        <f t="shared" si="18"/>
        <v>2.1800000000000002</v>
      </c>
      <c r="H4676" s="23"/>
      <c r="I4676" s="23"/>
    </row>
    <row r="4677" spans="1:9">
      <c r="A4677" s="21" t="s">
        <v>9860</v>
      </c>
      <c r="B4677" s="21"/>
      <c r="C4677" s="22">
        <v>4675</v>
      </c>
      <c r="D4677" s="21">
        <v>2.1800000000000002</v>
      </c>
      <c r="E4677" s="21" t="s">
        <v>5796</v>
      </c>
      <c r="F4677" s="23"/>
      <c r="G4677" s="23">
        <f t="shared" si="18"/>
        <v>2.1800000000000002</v>
      </c>
      <c r="H4677" s="23"/>
      <c r="I4677" s="23"/>
    </row>
    <row r="4678" spans="1:9">
      <c r="A4678" s="21" t="s">
        <v>9861</v>
      </c>
      <c r="B4678" s="21"/>
      <c r="C4678" s="22">
        <v>4676</v>
      </c>
      <c r="D4678" s="21">
        <v>2.17</v>
      </c>
      <c r="E4678" s="21" t="s">
        <v>5796</v>
      </c>
      <c r="F4678" s="23"/>
      <c r="G4678" s="23">
        <f t="shared" si="18"/>
        <v>2.17</v>
      </c>
      <c r="H4678" s="23"/>
      <c r="I4678" s="23"/>
    </row>
    <row r="4679" spans="1:9">
      <c r="A4679" s="21" t="s">
        <v>9862</v>
      </c>
      <c r="B4679" s="21"/>
      <c r="C4679" s="22">
        <v>4677</v>
      </c>
      <c r="D4679" s="21">
        <v>2.17</v>
      </c>
      <c r="E4679" s="21" t="s">
        <v>5796</v>
      </c>
      <c r="F4679" s="23"/>
      <c r="G4679" s="23">
        <f t="shared" si="18"/>
        <v>2.17</v>
      </c>
      <c r="H4679" s="23"/>
      <c r="I4679" s="23"/>
    </row>
    <row r="4680" spans="1:9">
      <c r="A4680" s="21" t="s">
        <v>9863</v>
      </c>
      <c r="B4680" s="21"/>
      <c r="C4680" s="22">
        <v>4678</v>
      </c>
      <c r="D4680" s="21">
        <v>2.15</v>
      </c>
      <c r="E4680" s="21" t="s">
        <v>5796</v>
      </c>
      <c r="F4680" s="23"/>
      <c r="G4680" s="23">
        <f t="shared" si="18"/>
        <v>2.15</v>
      </c>
      <c r="H4680" s="23"/>
      <c r="I4680" s="23"/>
    </row>
    <row r="4681" spans="1:9">
      <c r="A4681" s="21" t="s">
        <v>9864</v>
      </c>
      <c r="B4681" s="21"/>
      <c r="C4681" s="22">
        <v>4679</v>
      </c>
      <c r="D4681" s="21">
        <v>2.13</v>
      </c>
      <c r="E4681" s="21" t="s">
        <v>5796</v>
      </c>
      <c r="F4681" s="23"/>
      <c r="G4681" s="23">
        <f t="shared" si="18"/>
        <v>2.13</v>
      </c>
      <c r="H4681" s="23"/>
      <c r="I4681" s="23"/>
    </row>
    <row r="4682" spans="1:9">
      <c r="A4682" s="21" t="s">
        <v>9865</v>
      </c>
      <c r="B4682" s="21"/>
      <c r="C4682" s="22">
        <v>4680</v>
      </c>
      <c r="D4682" s="21">
        <v>2.13</v>
      </c>
      <c r="E4682" s="21" t="s">
        <v>5796</v>
      </c>
      <c r="F4682" s="23"/>
      <c r="G4682" s="23">
        <f t="shared" si="18"/>
        <v>2.13</v>
      </c>
      <c r="H4682" s="23"/>
      <c r="I4682" s="23"/>
    </row>
    <row r="4683" spans="1:9">
      <c r="A4683" s="21" t="s">
        <v>9866</v>
      </c>
      <c r="B4683" s="21"/>
      <c r="C4683" s="22">
        <v>4681</v>
      </c>
      <c r="D4683" s="21">
        <v>2.13</v>
      </c>
      <c r="E4683" s="21" t="s">
        <v>5796</v>
      </c>
      <c r="F4683" s="23"/>
      <c r="G4683" s="23">
        <f t="shared" si="18"/>
        <v>2.13</v>
      </c>
      <c r="H4683" s="23"/>
      <c r="I4683" s="23"/>
    </row>
    <row r="4684" spans="1:9">
      <c r="A4684" s="21" t="s">
        <v>9867</v>
      </c>
      <c r="B4684" s="21"/>
      <c r="C4684" s="22">
        <v>4682</v>
      </c>
      <c r="D4684" s="21">
        <v>2.13</v>
      </c>
      <c r="E4684" s="21" t="s">
        <v>5796</v>
      </c>
      <c r="F4684" s="23"/>
      <c r="G4684" s="23">
        <f t="shared" si="18"/>
        <v>2.13</v>
      </c>
      <c r="H4684" s="23"/>
      <c r="I4684" s="23"/>
    </row>
    <row r="4685" spans="1:9">
      <c r="A4685" s="21" t="s">
        <v>9868</v>
      </c>
      <c r="B4685" s="21"/>
      <c r="C4685" s="22">
        <v>4683</v>
      </c>
      <c r="D4685" s="21">
        <v>2.13</v>
      </c>
      <c r="E4685" s="21" t="s">
        <v>5796</v>
      </c>
      <c r="F4685" s="23"/>
      <c r="G4685" s="23">
        <f t="shared" si="18"/>
        <v>2.13</v>
      </c>
      <c r="H4685" s="23"/>
      <c r="I4685" s="23"/>
    </row>
    <row r="4686" spans="1:9">
      <c r="A4686" s="21" t="s">
        <v>9869</v>
      </c>
      <c r="B4686" s="21"/>
      <c r="C4686" s="22">
        <v>4684</v>
      </c>
      <c r="D4686" s="21">
        <v>2.13</v>
      </c>
      <c r="E4686" s="21" t="s">
        <v>5796</v>
      </c>
      <c r="F4686" s="23"/>
      <c r="G4686" s="23">
        <f t="shared" si="18"/>
        <v>2.13</v>
      </c>
      <c r="H4686" s="23"/>
      <c r="I4686" s="23"/>
    </row>
    <row r="4687" spans="1:9">
      <c r="A4687" s="21" t="s">
        <v>9870</v>
      </c>
      <c r="B4687" s="21"/>
      <c r="C4687" s="22">
        <v>4685</v>
      </c>
      <c r="D4687" s="21">
        <v>2.11</v>
      </c>
      <c r="E4687" s="21" t="s">
        <v>5796</v>
      </c>
      <c r="F4687" s="23"/>
      <c r="G4687" s="23">
        <f t="shared" si="18"/>
        <v>2.11</v>
      </c>
      <c r="H4687" s="23"/>
      <c r="I4687" s="23"/>
    </row>
    <row r="4688" spans="1:9">
      <c r="A4688" s="21" t="s">
        <v>9871</v>
      </c>
      <c r="B4688" s="21"/>
      <c r="C4688" s="22">
        <v>4686</v>
      </c>
      <c r="D4688" s="21">
        <v>2.11</v>
      </c>
      <c r="E4688" s="21" t="s">
        <v>5796</v>
      </c>
      <c r="F4688" s="23"/>
      <c r="G4688" s="23">
        <f t="shared" si="18"/>
        <v>2.11</v>
      </c>
      <c r="H4688" s="23"/>
      <c r="I4688" s="23"/>
    </row>
    <row r="4689" spans="1:9">
      <c r="A4689" s="21" t="s">
        <v>9872</v>
      </c>
      <c r="B4689" s="21"/>
      <c r="C4689" s="22">
        <v>4687</v>
      </c>
      <c r="D4689" s="21">
        <v>2.1</v>
      </c>
      <c r="E4689" s="21" t="s">
        <v>5796</v>
      </c>
      <c r="F4689" s="23"/>
      <c r="G4689" s="23">
        <f t="shared" si="18"/>
        <v>2.1</v>
      </c>
      <c r="H4689" s="23"/>
      <c r="I4689" s="23"/>
    </row>
    <row r="4690" spans="1:9">
      <c r="A4690" s="21" t="s">
        <v>9873</v>
      </c>
      <c r="B4690" s="21"/>
      <c r="C4690" s="22">
        <v>4688</v>
      </c>
      <c r="D4690" s="21">
        <v>2.1</v>
      </c>
      <c r="E4690" s="21" t="s">
        <v>5796</v>
      </c>
      <c r="F4690" s="23"/>
      <c r="G4690" s="23">
        <f t="shared" si="18"/>
        <v>2.1</v>
      </c>
      <c r="H4690" s="23"/>
      <c r="I4690" s="23"/>
    </row>
    <row r="4691" spans="1:9">
      <c r="A4691" s="21" t="s">
        <v>9874</v>
      </c>
      <c r="B4691" s="21"/>
      <c r="C4691" s="22">
        <v>4689</v>
      </c>
      <c r="D4691" s="21">
        <v>2.1</v>
      </c>
      <c r="E4691" s="21" t="s">
        <v>5796</v>
      </c>
      <c r="F4691" s="23"/>
      <c r="G4691" s="23">
        <f t="shared" si="18"/>
        <v>2.1</v>
      </c>
      <c r="H4691" s="23"/>
      <c r="I4691" s="23"/>
    </row>
    <row r="4692" spans="1:9">
      <c r="A4692" s="21" t="s">
        <v>9875</v>
      </c>
      <c r="B4692" s="21"/>
      <c r="C4692" s="22">
        <v>4690</v>
      </c>
      <c r="D4692" s="21">
        <v>2.09</v>
      </c>
      <c r="E4692" s="21" t="s">
        <v>5796</v>
      </c>
      <c r="F4692" s="23"/>
      <c r="G4692" s="23">
        <f t="shared" si="18"/>
        <v>2.09</v>
      </c>
      <c r="H4692" s="23"/>
      <c r="I4692" s="23"/>
    </row>
    <row r="4693" spans="1:9">
      <c r="A4693" s="21" t="s">
        <v>9876</v>
      </c>
      <c r="B4693" s="21"/>
      <c r="C4693" s="22">
        <v>4691</v>
      </c>
      <c r="D4693" s="21">
        <v>2.09</v>
      </c>
      <c r="E4693" s="21" t="s">
        <v>5796</v>
      </c>
      <c r="F4693" s="23"/>
      <c r="G4693" s="23">
        <f t="shared" si="18"/>
        <v>2.09</v>
      </c>
      <c r="H4693" s="23"/>
      <c r="I4693" s="23"/>
    </row>
    <row r="4694" spans="1:9">
      <c r="A4694" s="21" t="s">
        <v>9877</v>
      </c>
      <c r="B4694" s="21"/>
      <c r="C4694" s="22">
        <v>4692</v>
      </c>
      <c r="D4694" s="21">
        <v>2.0699999999999998</v>
      </c>
      <c r="E4694" s="21" t="s">
        <v>5796</v>
      </c>
      <c r="F4694" s="23"/>
      <c r="G4694" s="23">
        <f t="shared" si="18"/>
        <v>2.0699999999999998</v>
      </c>
      <c r="H4694" s="23"/>
      <c r="I4694" s="23"/>
    </row>
    <row r="4695" spans="1:9">
      <c r="A4695" s="21" t="s">
        <v>9878</v>
      </c>
      <c r="B4695" s="21"/>
      <c r="C4695" s="22">
        <v>4693</v>
      </c>
      <c r="D4695" s="21">
        <v>2.06</v>
      </c>
      <c r="E4695" s="21" t="s">
        <v>5796</v>
      </c>
      <c r="F4695" s="23"/>
      <c r="G4695" s="23">
        <f t="shared" si="18"/>
        <v>2.06</v>
      </c>
      <c r="H4695" s="23"/>
      <c r="I4695" s="23"/>
    </row>
    <row r="4696" spans="1:9">
      <c r="A4696" s="21" t="s">
        <v>9879</v>
      </c>
      <c r="B4696" s="21"/>
      <c r="C4696" s="22">
        <v>4694</v>
      </c>
      <c r="D4696" s="21">
        <v>2.0499999999999998</v>
      </c>
      <c r="E4696" s="21" t="s">
        <v>5796</v>
      </c>
      <c r="F4696" s="23"/>
      <c r="G4696" s="23">
        <f t="shared" si="18"/>
        <v>2.0499999999999998</v>
      </c>
      <c r="H4696" s="23"/>
      <c r="I4696" s="23"/>
    </row>
    <row r="4697" spans="1:9">
      <c r="A4697" s="21" t="s">
        <v>9880</v>
      </c>
      <c r="B4697" s="21"/>
      <c r="C4697" s="22">
        <v>4695</v>
      </c>
      <c r="D4697" s="21">
        <v>2.04</v>
      </c>
      <c r="E4697" s="21" t="s">
        <v>5796</v>
      </c>
      <c r="F4697" s="23"/>
      <c r="G4697" s="23">
        <f t="shared" si="18"/>
        <v>2.04</v>
      </c>
      <c r="H4697" s="23"/>
      <c r="I4697" s="23"/>
    </row>
    <row r="4698" spans="1:9">
      <c r="A4698" s="21" t="s">
        <v>9881</v>
      </c>
      <c r="B4698" s="21"/>
      <c r="C4698" s="22">
        <v>4696</v>
      </c>
      <c r="D4698" s="21">
        <v>2.04</v>
      </c>
      <c r="E4698" s="21" t="s">
        <v>5796</v>
      </c>
      <c r="F4698" s="23"/>
      <c r="G4698" s="23">
        <f t="shared" si="18"/>
        <v>2.04</v>
      </c>
      <c r="H4698" s="23"/>
      <c r="I4698" s="23"/>
    </row>
    <row r="4699" spans="1:9">
      <c r="A4699" s="21" t="s">
        <v>9882</v>
      </c>
      <c r="B4699" s="21"/>
      <c r="C4699" s="22">
        <v>4697</v>
      </c>
      <c r="D4699" s="21">
        <v>2.0299999999999998</v>
      </c>
      <c r="E4699" s="21" t="s">
        <v>5796</v>
      </c>
      <c r="F4699" s="23"/>
      <c r="G4699" s="23">
        <f t="shared" si="18"/>
        <v>2.0299999999999998</v>
      </c>
      <c r="H4699" s="23"/>
      <c r="I4699" s="23"/>
    </row>
    <row r="4700" spans="1:9">
      <c r="A4700" s="21" t="s">
        <v>9883</v>
      </c>
      <c r="B4700" s="21"/>
      <c r="C4700" s="22">
        <v>4698</v>
      </c>
      <c r="D4700" s="21">
        <v>2.0299999999999998</v>
      </c>
      <c r="E4700" s="21" t="s">
        <v>5796</v>
      </c>
      <c r="F4700" s="23"/>
      <c r="G4700" s="23">
        <f t="shared" si="18"/>
        <v>2.0299999999999998</v>
      </c>
      <c r="H4700" s="23"/>
      <c r="I4700" s="23"/>
    </row>
    <row r="4701" spans="1:9">
      <c r="A4701" s="21" t="s">
        <v>9884</v>
      </c>
      <c r="B4701" s="21"/>
      <c r="C4701" s="22">
        <v>4699</v>
      </c>
      <c r="D4701" s="21">
        <v>2.02</v>
      </c>
      <c r="E4701" s="21" t="s">
        <v>5796</v>
      </c>
      <c r="F4701" s="23"/>
      <c r="G4701" s="23">
        <f t="shared" si="18"/>
        <v>2.02</v>
      </c>
      <c r="H4701" s="23"/>
      <c r="I4701" s="23"/>
    </row>
    <row r="4702" spans="1:9">
      <c r="A4702" s="21" t="s">
        <v>9885</v>
      </c>
      <c r="B4702" s="21"/>
      <c r="C4702" s="22">
        <v>4700</v>
      </c>
      <c r="D4702" s="21">
        <v>2.0099999999999998</v>
      </c>
      <c r="E4702" s="21" t="s">
        <v>5796</v>
      </c>
      <c r="F4702" s="23"/>
      <c r="G4702" s="23">
        <f t="shared" si="18"/>
        <v>2.0099999999999998</v>
      </c>
      <c r="H4702" s="23"/>
      <c r="I4702" s="23"/>
    </row>
    <row r="4703" spans="1:9">
      <c r="A4703" s="21" t="s">
        <v>9886</v>
      </c>
      <c r="B4703" s="21"/>
      <c r="C4703" s="22">
        <v>4701</v>
      </c>
      <c r="D4703" s="21">
        <v>2.0099999999999998</v>
      </c>
      <c r="E4703" s="21" t="s">
        <v>5796</v>
      </c>
      <c r="F4703" s="23"/>
      <c r="G4703" s="23">
        <f t="shared" si="18"/>
        <v>2.0099999999999998</v>
      </c>
      <c r="H4703" s="23"/>
      <c r="I4703" s="23"/>
    </row>
    <row r="4704" spans="1:9">
      <c r="A4704" s="21" t="s">
        <v>9887</v>
      </c>
      <c r="B4704" s="21"/>
      <c r="C4704" s="22">
        <v>4702</v>
      </c>
      <c r="D4704" s="21">
        <v>2</v>
      </c>
      <c r="E4704" s="21" t="s">
        <v>5796</v>
      </c>
      <c r="F4704" s="23"/>
      <c r="G4704" s="23">
        <f t="shared" si="18"/>
        <v>2</v>
      </c>
      <c r="H4704" s="23"/>
      <c r="I4704" s="23"/>
    </row>
    <row r="4705" spans="1:9">
      <c r="A4705" s="21" t="s">
        <v>9888</v>
      </c>
      <c r="B4705" s="21"/>
      <c r="C4705" s="22">
        <v>4703</v>
      </c>
      <c r="D4705" s="21">
        <v>2</v>
      </c>
      <c r="E4705" s="21" t="s">
        <v>5796</v>
      </c>
      <c r="F4705" s="23"/>
      <c r="G4705" s="23">
        <f t="shared" si="18"/>
        <v>2</v>
      </c>
      <c r="H4705" s="23"/>
      <c r="I4705" s="23"/>
    </row>
    <row r="4706" spans="1:9">
      <c r="A4706" s="21" t="s">
        <v>9889</v>
      </c>
      <c r="B4706" s="21"/>
      <c r="C4706" s="22">
        <v>4704</v>
      </c>
      <c r="D4706" s="21">
        <v>1.99</v>
      </c>
      <c r="E4706" s="21" t="s">
        <v>5796</v>
      </c>
      <c r="F4706" s="23"/>
      <c r="G4706" s="23">
        <f t="shared" si="18"/>
        <v>1.99</v>
      </c>
      <c r="H4706" s="23"/>
      <c r="I4706" s="23"/>
    </row>
    <row r="4707" spans="1:9">
      <c r="A4707" s="21" t="s">
        <v>9890</v>
      </c>
      <c r="B4707" s="21"/>
      <c r="C4707" s="22">
        <v>4705</v>
      </c>
      <c r="D4707" s="21">
        <v>1.99</v>
      </c>
      <c r="E4707" s="21" t="s">
        <v>5796</v>
      </c>
      <c r="F4707" s="23"/>
      <c r="G4707" s="23">
        <f t="shared" si="18"/>
        <v>1.99</v>
      </c>
      <c r="H4707" s="23"/>
      <c r="I4707" s="23"/>
    </row>
    <row r="4708" spans="1:9">
      <c r="A4708" s="21" t="s">
        <v>9891</v>
      </c>
      <c r="B4708" s="21"/>
      <c r="C4708" s="22">
        <v>4706</v>
      </c>
      <c r="D4708" s="21">
        <v>1.99</v>
      </c>
      <c r="E4708" s="21" t="s">
        <v>5796</v>
      </c>
      <c r="F4708" s="23"/>
      <c r="G4708" s="23">
        <f t="shared" si="18"/>
        <v>1.99</v>
      </c>
      <c r="H4708" s="23"/>
      <c r="I4708" s="23"/>
    </row>
    <row r="4709" spans="1:9">
      <c r="A4709" s="21" t="s">
        <v>9892</v>
      </c>
      <c r="B4709" s="21"/>
      <c r="C4709" s="22">
        <v>4707</v>
      </c>
      <c r="D4709" s="21">
        <v>1.99</v>
      </c>
      <c r="E4709" s="21" t="s">
        <v>5796</v>
      </c>
      <c r="F4709" s="23"/>
      <c r="G4709" s="23">
        <f t="shared" si="18"/>
        <v>1.99</v>
      </c>
      <c r="H4709" s="23"/>
      <c r="I4709" s="23"/>
    </row>
    <row r="4710" spans="1:9">
      <c r="A4710" s="21" t="s">
        <v>9893</v>
      </c>
      <c r="B4710" s="21"/>
      <c r="C4710" s="22">
        <v>4708</v>
      </c>
      <c r="D4710" s="21">
        <v>1.98</v>
      </c>
      <c r="E4710" s="21" t="s">
        <v>5796</v>
      </c>
      <c r="F4710" s="23"/>
      <c r="G4710" s="23">
        <f t="shared" si="18"/>
        <v>1.98</v>
      </c>
      <c r="H4710" s="23"/>
      <c r="I4710" s="23"/>
    </row>
    <row r="4711" spans="1:9">
      <c r="A4711" s="21" t="s">
        <v>9894</v>
      </c>
      <c r="B4711" s="21"/>
      <c r="C4711" s="22">
        <v>4709</v>
      </c>
      <c r="D4711" s="21">
        <v>1.98</v>
      </c>
      <c r="E4711" s="21" t="s">
        <v>5796</v>
      </c>
      <c r="F4711" s="23"/>
      <c r="G4711" s="23">
        <f t="shared" si="18"/>
        <v>1.98</v>
      </c>
      <c r="H4711" s="23"/>
      <c r="I4711" s="23"/>
    </row>
    <row r="4712" spans="1:9">
      <c r="A4712" s="21" t="s">
        <v>9895</v>
      </c>
      <c r="B4712" s="21"/>
      <c r="C4712" s="22">
        <v>4710</v>
      </c>
      <c r="D4712" s="21">
        <v>1.98</v>
      </c>
      <c r="E4712" s="21" t="s">
        <v>5796</v>
      </c>
      <c r="F4712" s="23"/>
      <c r="G4712" s="23">
        <f t="shared" si="18"/>
        <v>1.98</v>
      </c>
      <c r="H4712" s="23"/>
      <c r="I4712" s="23"/>
    </row>
    <row r="4713" spans="1:9">
      <c r="A4713" s="21" t="s">
        <v>9896</v>
      </c>
      <c r="B4713" s="21"/>
      <c r="C4713" s="22">
        <v>4711</v>
      </c>
      <c r="D4713" s="21">
        <v>1.97</v>
      </c>
      <c r="E4713" s="21" t="s">
        <v>5796</v>
      </c>
      <c r="F4713" s="23"/>
      <c r="G4713" s="23">
        <f t="shared" si="18"/>
        <v>1.97</v>
      </c>
      <c r="H4713" s="23"/>
      <c r="I4713" s="23"/>
    </row>
    <row r="4714" spans="1:9">
      <c r="A4714" s="21" t="s">
        <v>9897</v>
      </c>
      <c r="B4714" s="21"/>
      <c r="C4714" s="22">
        <v>4712</v>
      </c>
      <c r="D4714" s="21">
        <v>1.97</v>
      </c>
      <c r="E4714" s="21" t="s">
        <v>5796</v>
      </c>
      <c r="F4714" s="23"/>
      <c r="G4714" s="23">
        <f t="shared" si="18"/>
        <v>1.97</v>
      </c>
      <c r="H4714" s="23"/>
      <c r="I4714" s="23"/>
    </row>
    <row r="4715" spans="1:9">
      <c r="A4715" s="21" t="s">
        <v>9898</v>
      </c>
      <c r="B4715" s="21"/>
      <c r="C4715" s="22">
        <v>4713</v>
      </c>
      <c r="D4715" s="21">
        <v>1.97</v>
      </c>
      <c r="E4715" s="21" t="s">
        <v>5796</v>
      </c>
      <c r="F4715" s="23"/>
      <c r="G4715" s="23">
        <f t="shared" si="18"/>
        <v>1.97</v>
      </c>
      <c r="H4715" s="23"/>
      <c r="I4715" s="23"/>
    </row>
    <row r="4716" spans="1:9">
      <c r="A4716" s="21" t="s">
        <v>9899</v>
      </c>
      <c r="B4716" s="21"/>
      <c r="C4716" s="22">
        <v>4714</v>
      </c>
      <c r="D4716" s="21">
        <v>1.96</v>
      </c>
      <c r="E4716" s="21" t="s">
        <v>5796</v>
      </c>
      <c r="F4716" s="23"/>
      <c r="G4716" s="23">
        <f t="shared" si="18"/>
        <v>1.96</v>
      </c>
      <c r="H4716" s="23"/>
      <c r="I4716" s="23"/>
    </row>
    <row r="4717" spans="1:9">
      <c r="A4717" s="21" t="s">
        <v>9900</v>
      </c>
      <c r="B4717" s="21"/>
      <c r="C4717" s="22">
        <v>4715</v>
      </c>
      <c r="D4717" s="21">
        <v>1.96</v>
      </c>
      <c r="E4717" s="21" t="s">
        <v>5796</v>
      </c>
      <c r="F4717" s="23"/>
      <c r="G4717" s="23">
        <f t="shared" si="18"/>
        <v>1.96</v>
      </c>
      <c r="H4717" s="23"/>
      <c r="I4717" s="23"/>
    </row>
    <row r="4718" spans="1:9">
      <c r="A4718" s="21" t="s">
        <v>9901</v>
      </c>
      <c r="B4718" s="21"/>
      <c r="C4718" s="22">
        <v>4716</v>
      </c>
      <c r="D4718" s="21">
        <v>1.94</v>
      </c>
      <c r="E4718" s="21" t="s">
        <v>5796</v>
      </c>
      <c r="F4718" s="23"/>
      <c r="G4718" s="23">
        <f t="shared" si="18"/>
        <v>1.94</v>
      </c>
      <c r="H4718" s="23"/>
      <c r="I4718" s="23"/>
    </row>
    <row r="4719" spans="1:9">
      <c r="A4719" s="21" t="s">
        <v>9902</v>
      </c>
      <c r="B4719" s="21"/>
      <c r="C4719" s="22">
        <v>4717</v>
      </c>
      <c r="D4719" s="21">
        <v>1.94</v>
      </c>
      <c r="E4719" s="21" t="s">
        <v>5796</v>
      </c>
      <c r="F4719" s="23"/>
      <c r="G4719" s="23">
        <f t="shared" si="18"/>
        <v>1.94</v>
      </c>
      <c r="H4719" s="23"/>
      <c r="I4719" s="23"/>
    </row>
    <row r="4720" spans="1:9">
      <c r="A4720" s="21" t="s">
        <v>9903</v>
      </c>
      <c r="B4720" s="21"/>
      <c r="C4720" s="22">
        <v>4718</v>
      </c>
      <c r="D4720" s="21">
        <v>1.93</v>
      </c>
      <c r="E4720" s="21" t="s">
        <v>5796</v>
      </c>
      <c r="F4720" s="23"/>
      <c r="G4720" s="23">
        <f t="shared" si="18"/>
        <v>1.93</v>
      </c>
      <c r="H4720" s="23"/>
      <c r="I4720" s="23"/>
    </row>
    <row r="4721" spans="1:9">
      <c r="A4721" s="21" t="s">
        <v>9904</v>
      </c>
      <c r="B4721" s="21"/>
      <c r="C4721" s="22">
        <v>4719</v>
      </c>
      <c r="D4721" s="21">
        <v>1.93</v>
      </c>
      <c r="E4721" s="21" t="s">
        <v>5796</v>
      </c>
      <c r="F4721" s="23"/>
      <c r="G4721" s="23">
        <f t="shared" si="18"/>
        <v>1.93</v>
      </c>
      <c r="H4721" s="23"/>
      <c r="I4721" s="23"/>
    </row>
    <row r="4722" spans="1:9">
      <c r="A4722" s="21" t="s">
        <v>9905</v>
      </c>
      <c r="B4722" s="21"/>
      <c r="C4722" s="22">
        <v>4720</v>
      </c>
      <c r="D4722" s="21">
        <v>1.92</v>
      </c>
      <c r="E4722" s="21" t="s">
        <v>5796</v>
      </c>
      <c r="F4722" s="23"/>
      <c r="G4722" s="23">
        <f t="shared" si="18"/>
        <v>1.92</v>
      </c>
      <c r="H4722" s="23"/>
      <c r="I4722" s="23"/>
    </row>
    <row r="4723" spans="1:9">
      <c r="A4723" s="21" t="s">
        <v>9906</v>
      </c>
      <c r="B4723" s="21"/>
      <c r="C4723" s="22">
        <v>4721</v>
      </c>
      <c r="D4723" s="21">
        <v>1.91</v>
      </c>
      <c r="E4723" s="21" t="s">
        <v>5796</v>
      </c>
      <c r="F4723" s="23"/>
      <c r="G4723" s="23">
        <f t="shared" si="18"/>
        <v>1.91</v>
      </c>
      <c r="H4723" s="23"/>
      <c r="I4723" s="23"/>
    </row>
    <row r="4724" spans="1:9">
      <c r="A4724" s="21" t="s">
        <v>9907</v>
      </c>
      <c r="B4724" s="21"/>
      <c r="C4724" s="22">
        <v>4722</v>
      </c>
      <c r="D4724" s="21">
        <v>1.9</v>
      </c>
      <c r="E4724" s="21" t="s">
        <v>5796</v>
      </c>
      <c r="F4724" s="23"/>
      <c r="G4724" s="23">
        <f t="shared" si="18"/>
        <v>1.9</v>
      </c>
      <c r="H4724" s="23"/>
      <c r="I4724" s="23"/>
    </row>
    <row r="4725" spans="1:9">
      <c r="A4725" s="21" t="s">
        <v>9908</v>
      </c>
      <c r="B4725" s="21"/>
      <c r="C4725" s="22">
        <v>4723</v>
      </c>
      <c r="D4725" s="21">
        <v>1.89</v>
      </c>
      <c r="E4725" s="21" t="s">
        <v>5796</v>
      </c>
      <c r="F4725" s="23"/>
      <c r="G4725" s="23">
        <f t="shared" si="18"/>
        <v>1.89</v>
      </c>
      <c r="H4725" s="23"/>
      <c r="I4725" s="23"/>
    </row>
    <row r="4726" spans="1:9">
      <c r="A4726" s="21" t="s">
        <v>9909</v>
      </c>
      <c r="B4726" s="21"/>
      <c r="C4726" s="22">
        <v>4724</v>
      </c>
      <c r="D4726" s="21">
        <v>1.88</v>
      </c>
      <c r="E4726" s="21" t="s">
        <v>5796</v>
      </c>
      <c r="F4726" s="23"/>
      <c r="G4726" s="23">
        <f t="shared" si="18"/>
        <v>1.88</v>
      </c>
      <c r="H4726" s="23"/>
      <c r="I4726" s="23"/>
    </row>
    <row r="4727" spans="1:9">
      <c r="A4727" s="21" t="s">
        <v>9910</v>
      </c>
      <c r="B4727" s="21"/>
      <c r="C4727" s="22">
        <v>4725</v>
      </c>
      <c r="D4727" s="21">
        <v>1.87</v>
      </c>
      <c r="E4727" s="21" t="s">
        <v>5796</v>
      </c>
      <c r="F4727" s="23"/>
      <c r="G4727" s="23">
        <f t="shared" si="18"/>
        <v>1.87</v>
      </c>
      <c r="H4727" s="23"/>
      <c r="I4727" s="23"/>
    </row>
    <row r="4728" spans="1:9">
      <c r="A4728" s="21" t="s">
        <v>9911</v>
      </c>
      <c r="B4728" s="21"/>
      <c r="C4728" s="22">
        <v>4726</v>
      </c>
      <c r="D4728" s="21">
        <v>1.87</v>
      </c>
      <c r="E4728" s="21" t="s">
        <v>5796</v>
      </c>
      <c r="F4728" s="23"/>
      <c r="G4728" s="23">
        <f t="shared" si="18"/>
        <v>1.87</v>
      </c>
      <c r="H4728" s="23"/>
      <c r="I4728" s="23"/>
    </row>
    <row r="4729" spans="1:9">
      <c r="A4729" s="21" t="s">
        <v>9912</v>
      </c>
      <c r="B4729" s="21"/>
      <c r="C4729" s="22">
        <v>4727</v>
      </c>
      <c r="D4729" s="21">
        <v>1.85</v>
      </c>
      <c r="E4729" s="21" t="s">
        <v>5796</v>
      </c>
      <c r="F4729" s="23"/>
      <c r="G4729" s="23">
        <f t="shared" si="18"/>
        <v>1.85</v>
      </c>
      <c r="H4729" s="23"/>
      <c r="I4729" s="23"/>
    </row>
    <row r="4730" spans="1:9">
      <c r="A4730" s="21" t="s">
        <v>9913</v>
      </c>
      <c r="B4730" s="21"/>
      <c r="C4730" s="22">
        <v>4728</v>
      </c>
      <c r="D4730" s="21">
        <v>1.84</v>
      </c>
      <c r="E4730" s="21" t="s">
        <v>5796</v>
      </c>
      <c r="F4730" s="23"/>
      <c r="G4730" s="23">
        <f t="shared" si="18"/>
        <v>1.84</v>
      </c>
      <c r="H4730" s="23"/>
      <c r="I4730" s="23"/>
    </row>
    <row r="4731" spans="1:9">
      <c r="A4731" s="21" t="s">
        <v>9914</v>
      </c>
      <c r="B4731" s="21"/>
      <c r="C4731" s="22">
        <v>4729</v>
      </c>
      <c r="D4731" s="21">
        <v>1.84</v>
      </c>
      <c r="E4731" s="21" t="s">
        <v>5796</v>
      </c>
      <c r="F4731" s="23"/>
      <c r="G4731" s="23">
        <f t="shared" si="18"/>
        <v>1.84</v>
      </c>
      <c r="H4731" s="23"/>
      <c r="I4731" s="23"/>
    </row>
    <row r="4732" spans="1:9">
      <c r="A4732" s="21" t="s">
        <v>9915</v>
      </c>
      <c r="B4732" s="21"/>
      <c r="C4732" s="22">
        <v>4730</v>
      </c>
      <c r="D4732" s="21">
        <v>1.83</v>
      </c>
      <c r="E4732" s="21" t="s">
        <v>5796</v>
      </c>
      <c r="F4732" s="23"/>
      <c r="G4732" s="23">
        <f t="shared" si="18"/>
        <v>1.83</v>
      </c>
      <c r="H4732" s="23"/>
      <c r="I4732" s="23"/>
    </row>
    <row r="4733" spans="1:9">
      <c r="A4733" s="21" t="s">
        <v>9916</v>
      </c>
      <c r="B4733" s="21"/>
      <c r="C4733" s="22">
        <v>4731</v>
      </c>
      <c r="D4733" s="21">
        <v>1.83</v>
      </c>
      <c r="E4733" s="21" t="s">
        <v>5796</v>
      </c>
      <c r="F4733" s="23"/>
      <c r="G4733" s="23">
        <f t="shared" si="18"/>
        <v>1.83</v>
      </c>
      <c r="H4733" s="23"/>
      <c r="I4733" s="23"/>
    </row>
    <row r="4734" spans="1:9">
      <c r="A4734" s="21" t="s">
        <v>9917</v>
      </c>
      <c r="B4734" s="21"/>
      <c r="C4734" s="22">
        <v>4732</v>
      </c>
      <c r="D4734" s="21">
        <v>1.82</v>
      </c>
      <c r="E4734" s="21" t="s">
        <v>5796</v>
      </c>
      <c r="F4734" s="23"/>
      <c r="G4734" s="23">
        <f t="shared" si="18"/>
        <v>1.82</v>
      </c>
      <c r="H4734" s="23"/>
      <c r="I4734" s="23"/>
    </row>
    <row r="4735" spans="1:9">
      <c r="A4735" s="21" t="s">
        <v>9918</v>
      </c>
      <c r="B4735" s="21"/>
      <c r="C4735" s="22">
        <v>4733</v>
      </c>
      <c r="D4735" s="21">
        <v>1.82</v>
      </c>
      <c r="E4735" s="21" t="s">
        <v>5796</v>
      </c>
      <c r="F4735" s="23"/>
      <c r="G4735" s="23">
        <f t="shared" si="18"/>
        <v>1.82</v>
      </c>
      <c r="H4735" s="23"/>
      <c r="I4735" s="23"/>
    </row>
    <row r="4736" spans="1:9">
      <c r="A4736" s="21" t="s">
        <v>9919</v>
      </c>
      <c r="B4736" s="21"/>
      <c r="C4736" s="22">
        <v>4734</v>
      </c>
      <c r="D4736" s="21">
        <v>1.81</v>
      </c>
      <c r="E4736" s="21" t="s">
        <v>5796</v>
      </c>
      <c r="F4736" s="23"/>
      <c r="G4736" s="23">
        <f t="shared" si="18"/>
        <v>1.81</v>
      </c>
      <c r="H4736" s="23"/>
      <c r="I4736" s="23"/>
    </row>
    <row r="4737" spans="1:9">
      <c r="A4737" s="21" t="s">
        <v>9920</v>
      </c>
      <c r="B4737" s="21"/>
      <c r="C4737" s="22">
        <v>4735</v>
      </c>
      <c r="D4737" s="21">
        <v>1.81</v>
      </c>
      <c r="E4737" s="21" t="s">
        <v>5796</v>
      </c>
      <c r="F4737" s="23"/>
      <c r="G4737" s="23">
        <f t="shared" si="18"/>
        <v>1.81</v>
      </c>
      <c r="H4737" s="23"/>
      <c r="I4737" s="23"/>
    </row>
    <row r="4738" spans="1:9">
      <c r="A4738" s="21" t="s">
        <v>9921</v>
      </c>
      <c r="B4738" s="21"/>
      <c r="C4738" s="22">
        <v>4736</v>
      </c>
      <c r="D4738" s="21">
        <v>1.8</v>
      </c>
      <c r="E4738" s="21" t="s">
        <v>5796</v>
      </c>
      <c r="F4738" s="23"/>
      <c r="G4738" s="23">
        <f t="shared" si="18"/>
        <v>1.8</v>
      </c>
      <c r="H4738" s="23"/>
      <c r="I4738" s="23"/>
    </row>
    <row r="4739" spans="1:9">
      <c r="A4739" s="21" t="s">
        <v>9922</v>
      </c>
      <c r="B4739" s="21"/>
      <c r="C4739" s="22">
        <v>4737</v>
      </c>
      <c r="D4739" s="21">
        <v>1.79</v>
      </c>
      <c r="E4739" s="21" t="s">
        <v>5796</v>
      </c>
      <c r="F4739" s="23"/>
      <c r="G4739" s="23">
        <f t="shared" si="18"/>
        <v>1.79</v>
      </c>
      <c r="H4739" s="23"/>
      <c r="I4739" s="23"/>
    </row>
    <row r="4740" spans="1:9">
      <c r="A4740" s="21" t="s">
        <v>9923</v>
      </c>
      <c r="B4740" s="21"/>
      <c r="C4740" s="22">
        <v>4738</v>
      </c>
      <c r="D4740" s="21">
        <v>1.79</v>
      </c>
      <c r="E4740" s="21" t="s">
        <v>5796</v>
      </c>
      <c r="F4740" s="23"/>
      <c r="G4740" s="23">
        <f t="shared" si="18"/>
        <v>1.79</v>
      </c>
      <c r="H4740" s="23"/>
      <c r="I4740" s="23"/>
    </row>
    <row r="4741" spans="1:9">
      <c r="A4741" s="21" t="s">
        <v>9924</v>
      </c>
      <c r="B4741" s="21"/>
      <c r="C4741" s="22">
        <v>4739</v>
      </c>
      <c r="D4741" s="21">
        <v>1.79</v>
      </c>
      <c r="E4741" s="21" t="s">
        <v>5796</v>
      </c>
      <c r="F4741" s="23"/>
      <c r="G4741" s="23">
        <f t="shared" si="18"/>
        <v>1.79</v>
      </c>
      <c r="H4741" s="23"/>
      <c r="I4741" s="23"/>
    </row>
    <row r="4742" spans="1:9">
      <c r="A4742" s="21" t="s">
        <v>9925</v>
      </c>
      <c r="B4742" s="21"/>
      <c r="C4742" s="22">
        <v>4740</v>
      </c>
      <c r="D4742" s="21">
        <v>1.78</v>
      </c>
      <c r="E4742" s="21" t="s">
        <v>5796</v>
      </c>
      <c r="F4742" s="23"/>
      <c r="G4742" s="23">
        <f t="shared" si="18"/>
        <v>1.78</v>
      </c>
      <c r="H4742" s="23"/>
      <c r="I4742" s="23"/>
    </row>
    <row r="4743" spans="1:9">
      <c r="A4743" s="21" t="s">
        <v>9926</v>
      </c>
      <c r="B4743" s="21"/>
      <c r="C4743" s="22">
        <v>4741</v>
      </c>
      <c r="D4743" s="21">
        <v>1.77</v>
      </c>
      <c r="E4743" s="21" t="s">
        <v>5796</v>
      </c>
      <c r="F4743" s="23"/>
      <c r="G4743" s="23">
        <f t="shared" si="18"/>
        <v>1.77</v>
      </c>
      <c r="H4743" s="23"/>
      <c r="I4743" s="23"/>
    </row>
    <row r="4744" spans="1:9">
      <c r="A4744" s="21" t="s">
        <v>9927</v>
      </c>
      <c r="B4744" s="21"/>
      <c r="C4744" s="22">
        <v>4742</v>
      </c>
      <c r="D4744" s="21">
        <v>1.77</v>
      </c>
      <c r="E4744" s="21" t="s">
        <v>5796</v>
      </c>
      <c r="F4744" s="23"/>
      <c r="G4744" s="23">
        <f t="shared" si="18"/>
        <v>1.77</v>
      </c>
      <c r="H4744" s="23"/>
      <c r="I4744" s="23"/>
    </row>
    <row r="4745" spans="1:9">
      <c r="A4745" s="21" t="s">
        <v>9928</v>
      </c>
      <c r="B4745" s="21"/>
      <c r="C4745" s="22">
        <v>4743</v>
      </c>
      <c r="D4745" s="21">
        <v>1.76</v>
      </c>
      <c r="E4745" s="21" t="s">
        <v>5796</v>
      </c>
      <c r="F4745" s="23"/>
      <c r="G4745" s="23">
        <f t="shared" si="18"/>
        <v>1.76</v>
      </c>
      <c r="H4745" s="23"/>
      <c r="I4745" s="23"/>
    </row>
    <row r="4746" spans="1:9">
      <c r="A4746" s="21" t="s">
        <v>9929</v>
      </c>
      <c r="B4746" s="21"/>
      <c r="C4746" s="22">
        <v>4744</v>
      </c>
      <c r="D4746" s="21">
        <v>1.75</v>
      </c>
      <c r="E4746" s="21" t="s">
        <v>5796</v>
      </c>
      <c r="F4746" s="23"/>
      <c r="G4746" s="23">
        <f t="shared" si="18"/>
        <v>1.75</v>
      </c>
      <c r="H4746" s="23"/>
      <c r="I4746" s="23"/>
    </row>
    <row r="4747" spans="1:9">
      <c r="A4747" s="21" t="s">
        <v>9930</v>
      </c>
      <c r="B4747" s="21"/>
      <c r="C4747" s="22">
        <v>4745</v>
      </c>
      <c r="D4747" s="21">
        <v>1.75</v>
      </c>
      <c r="E4747" s="21" t="s">
        <v>5796</v>
      </c>
      <c r="F4747" s="23"/>
      <c r="G4747" s="23">
        <f t="shared" si="18"/>
        <v>1.75</v>
      </c>
      <c r="H4747" s="23"/>
      <c r="I4747" s="23"/>
    </row>
    <row r="4748" spans="1:9">
      <c r="A4748" s="21" t="s">
        <v>9931</v>
      </c>
      <c r="B4748" s="21"/>
      <c r="C4748" s="22">
        <v>4746</v>
      </c>
      <c r="D4748" s="21">
        <v>1.73</v>
      </c>
      <c r="E4748" s="21" t="s">
        <v>5796</v>
      </c>
      <c r="F4748" s="23"/>
      <c r="G4748" s="23">
        <f t="shared" si="18"/>
        <v>1.73</v>
      </c>
      <c r="H4748" s="23"/>
      <c r="I4748" s="23"/>
    </row>
    <row r="4749" spans="1:9">
      <c r="A4749" s="21" t="s">
        <v>9932</v>
      </c>
      <c r="B4749" s="21"/>
      <c r="C4749" s="22">
        <v>4747</v>
      </c>
      <c r="D4749" s="21">
        <v>1.72</v>
      </c>
      <c r="E4749" s="21" t="s">
        <v>5796</v>
      </c>
      <c r="F4749" s="23"/>
      <c r="G4749" s="23">
        <f t="shared" si="18"/>
        <v>1.72</v>
      </c>
      <c r="H4749" s="23"/>
      <c r="I4749" s="23"/>
    </row>
    <row r="4750" spans="1:9">
      <c r="A4750" s="21" t="s">
        <v>9933</v>
      </c>
      <c r="B4750" s="21"/>
      <c r="C4750" s="22">
        <v>4748</v>
      </c>
      <c r="D4750" s="21">
        <v>1.72</v>
      </c>
      <c r="E4750" s="21" t="s">
        <v>5796</v>
      </c>
      <c r="F4750" s="23"/>
      <c r="G4750" s="23">
        <f t="shared" si="18"/>
        <v>1.72</v>
      </c>
      <c r="H4750" s="23"/>
      <c r="I4750" s="23"/>
    </row>
    <row r="4751" spans="1:9">
      <c r="A4751" s="21" t="s">
        <v>9934</v>
      </c>
      <c r="B4751" s="21"/>
      <c r="C4751" s="22">
        <v>4749</v>
      </c>
      <c r="D4751" s="21">
        <v>1.72</v>
      </c>
      <c r="E4751" s="21" t="s">
        <v>5796</v>
      </c>
      <c r="F4751" s="23"/>
      <c r="G4751" s="23">
        <f t="shared" si="18"/>
        <v>1.72</v>
      </c>
      <c r="H4751" s="23"/>
      <c r="I4751" s="23"/>
    </row>
    <row r="4752" spans="1:9">
      <c r="A4752" s="21" t="s">
        <v>9935</v>
      </c>
      <c r="B4752" s="21"/>
      <c r="C4752" s="22">
        <v>4750</v>
      </c>
      <c r="D4752" s="21">
        <v>1.69</v>
      </c>
      <c r="E4752" s="21" t="s">
        <v>5796</v>
      </c>
      <c r="F4752" s="23"/>
      <c r="G4752" s="23">
        <f t="shared" si="18"/>
        <v>1.69</v>
      </c>
      <c r="H4752" s="23"/>
      <c r="I4752" s="23"/>
    </row>
    <row r="4753" spans="1:9">
      <c r="A4753" s="21" t="s">
        <v>9936</v>
      </c>
      <c r="B4753" s="21"/>
      <c r="C4753" s="22">
        <v>4751</v>
      </c>
      <c r="D4753" s="21">
        <v>1.68</v>
      </c>
      <c r="E4753" s="21" t="s">
        <v>5796</v>
      </c>
      <c r="F4753" s="23"/>
      <c r="G4753" s="23">
        <f t="shared" si="18"/>
        <v>1.68</v>
      </c>
      <c r="H4753" s="23"/>
      <c r="I4753" s="23"/>
    </row>
    <row r="4754" spans="1:9">
      <c r="A4754" s="21" t="s">
        <v>9937</v>
      </c>
      <c r="B4754" s="21"/>
      <c r="C4754" s="22">
        <v>4752</v>
      </c>
      <c r="D4754" s="21">
        <v>1.68</v>
      </c>
      <c r="E4754" s="21" t="s">
        <v>5796</v>
      </c>
      <c r="F4754" s="23"/>
      <c r="G4754" s="23">
        <f t="shared" si="18"/>
        <v>1.68</v>
      </c>
      <c r="H4754" s="23"/>
      <c r="I4754" s="23"/>
    </row>
    <row r="4755" spans="1:9">
      <c r="A4755" s="21" t="s">
        <v>9938</v>
      </c>
      <c r="B4755" s="21"/>
      <c r="C4755" s="22">
        <v>4753</v>
      </c>
      <c r="D4755" s="21">
        <v>1.67</v>
      </c>
      <c r="E4755" s="21" t="s">
        <v>5796</v>
      </c>
      <c r="F4755" s="23"/>
      <c r="G4755" s="23">
        <f t="shared" si="18"/>
        <v>1.67</v>
      </c>
      <c r="H4755" s="23"/>
      <c r="I4755" s="23"/>
    </row>
    <row r="4756" spans="1:9">
      <c r="A4756" s="21" t="s">
        <v>9939</v>
      </c>
      <c r="B4756" s="21"/>
      <c r="C4756" s="22">
        <v>4754</v>
      </c>
      <c r="D4756" s="21">
        <v>1.66</v>
      </c>
      <c r="E4756" s="21" t="s">
        <v>5796</v>
      </c>
      <c r="F4756" s="23"/>
      <c r="G4756" s="23">
        <f t="shared" si="18"/>
        <v>1.66</v>
      </c>
      <c r="H4756" s="23"/>
      <c r="I4756" s="23"/>
    </row>
    <row r="4757" spans="1:9">
      <c r="A4757" s="21" t="s">
        <v>9940</v>
      </c>
      <c r="B4757" s="21"/>
      <c r="C4757" s="22">
        <v>4755</v>
      </c>
      <c r="D4757" s="21">
        <v>1.66</v>
      </c>
      <c r="E4757" s="21" t="s">
        <v>5796</v>
      </c>
      <c r="F4757" s="23"/>
      <c r="G4757" s="23">
        <f t="shared" si="18"/>
        <v>1.66</v>
      </c>
      <c r="H4757" s="23"/>
      <c r="I4757" s="23"/>
    </row>
    <row r="4758" spans="1:9">
      <c r="A4758" s="21" t="s">
        <v>9941</v>
      </c>
      <c r="B4758" s="21"/>
      <c r="C4758" s="22">
        <v>4756</v>
      </c>
      <c r="D4758" s="21">
        <v>1.66</v>
      </c>
      <c r="E4758" s="21" t="s">
        <v>5796</v>
      </c>
      <c r="F4758" s="23"/>
      <c r="G4758" s="23">
        <f t="shared" si="18"/>
        <v>1.66</v>
      </c>
      <c r="H4758" s="23"/>
      <c r="I4758" s="23"/>
    </row>
    <row r="4759" spans="1:9">
      <c r="A4759" s="21" t="s">
        <v>9942</v>
      </c>
      <c r="B4759" s="21"/>
      <c r="C4759" s="22">
        <v>4757</v>
      </c>
      <c r="D4759" s="21">
        <v>1.66</v>
      </c>
      <c r="E4759" s="21" t="s">
        <v>5796</v>
      </c>
      <c r="F4759" s="23"/>
      <c r="G4759" s="23">
        <f t="shared" si="18"/>
        <v>1.66</v>
      </c>
      <c r="H4759" s="23"/>
      <c r="I4759" s="23"/>
    </row>
    <row r="4760" spans="1:9">
      <c r="A4760" s="21" t="s">
        <v>9943</v>
      </c>
      <c r="B4760" s="21"/>
      <c r="C4760" s="22">
        <v>4758</v>
      </c>
      <c r="D4760" s="21">
        <v>1.66</v>
      </c>
      <c r="E4760" s="21" t="s">
        <v>5796</v>
      </c>
      <c r="F4760" s="23"/>
      <c r="G4760" s="23">
        <f t="shared" si="18"/>
        <v>1.66</v>
      </c>
      <c r="H4760" s="23"/>
      <c r="I4760" s="23"/>
    </row>
    <row r="4761" spans="1:9">
      <c r="A4761" s="21" t="s">
        <v>9944</v>
      </c>
      <c r="B4761" s="21"/>
      <c r="C4761" s="22">
        <v>4759</v>
      </c>
      <c r="D4761" s="21">
        <v>1.65</v>
      </c>
      <c r="E4761" s="21" t="s">
        <v>5796</v>
      </c>
      <c r="F4761" s="23"/>
      <c r="G4761" s="23">
        <f t="shared" si="18"/>
        <v>1.65</v>
      </c>
      <c r="H4761" s="23"/>
      <c r="I4761" s="23"/>
    </row>
    <row r="4762" spans="1:9">
      <c r="A4762" s="21" t="s">
        <v>9945</v>
      </c>
      <c r="B4762" s="21"/>
      <c r="C4762" s="22">
        <v>4760</v>
      </c>
      <c r="D4762" s="21">
        <v>1.64</v>
      </c>
      <c r="E4762" s="21" t="s">
        <v>5796</v>
      </c>
      <c r="F4762" s="23"/>
      <c r="G4762" s="23">
        <f t="shared" si="18"/>
        <v>1.64</v>
      </c>
      <c r="H4762" s="23"/>
      <c r="I4762" s="23"/>
    </row>
    <row r="4763" spans="1:9">
      <c r="A4763" s="21" t="s">
        <v>9946</v>
      </c>
      <c r="B4763" s="21"/>
      <c r="C4763" s="22">
        <v>4761</v>
      </c>
      <c r="D4763" s="21">
        <v>1.63</v>
      </c>
      <c r="E4763" s="21" t="s">
        <v>5796</v>
      </c>
      <c r="F4763" s="23"/>
      <c r="G4763" s="23">
        <f t="shared" si="18"/>
        <v>1.63</v>
      </c>
      <c r="H4763" s="23"/>
      <c r="I4763" s="23"/>
    </row>
    <row r="4764" spans="1:9">
      <c r="A4764" s="21" t="s">
        <v>9947</v>
      </c>
      <c r="B4764" s="21"/>
      <c r="C4764" s="22">
        <v>4762</v>
      </c>
      <c r="D4764" s="21">
        <v>1.62</v>
      </c>
      <c r="E4764" s="21" t="s">
        <v>5796</v>
      </c>
      <c r="F4764" s="23"/>
      <c r="G4764" s="23">
        <f t="shared" si="18"/>
        <v>1.62</v>
      </c>
      <c r="H4764" s="23"/>
      <c r="I4764" s="23"/>
    </row>
    <row r="4765" spans="1:9">
      <c r="A4765" s="21" t="s">
        <v>9948</v>
      </c>
      <c r="B4765" s="21"/>
      <c r="C4765" s="22">
        <v>4763</v>
      </c>
      <c r="D4765" s="21">
        <v>1.61</v>
      </c>
      <c r="E4765" s="21" t="s">
        <v>5796</v>
      </c>
      <c r="F4765" s="23"/>
      <c r="G4765" s="23">
        <f t="shared" si="18"/>
        <v>1.61</v>
      </c>
      <c r="H4765" s="23"/>
      <c r="I4765" s="23"/>
    </row>
    <row r="4766" spans="1:9">
      <c r="A4766" s="21" t="s">
        <v>9949</v>
      </c>
      <c r="B4766" s="21"/>
      <c r="C4766" s="22">
        <v>4764</v>
      </c>
      <c r="D4766" s="21">
        <v>1.6</v>
      </c>
      <c r="E4766" s="21" t="s">
        <v>5796</v>
      </c>
      <c r="F4766" s="23"/>
      <c r="G4766" s="23">
        <f t="shared" si="18"/>
        <v>1.6</v>
      </c>
      <c r="H4766" s="23"/>
      <c r="I4766" s="23"/>
    </row>
    <row r="4767" spans="1:9">
      <c r="A4767" s="21" t="s">
        <v>9950</v>
      </c>
      <c r="B4767" s="21"/>
      <c r="C4767" s="22">
        <v>4765</v>
      </c>
      <c r="D4767" s="21">
        <v>1.6</v>
      </c>
      <c r="E4767" s="21" t="s">
        <v>5796</v>
      </c>
      <c r="F4767" s="23"/>
      <c r="G4767" s="23">
        <f t="shared" si="18"/>
        <v>1.6</v>
      </c>
      <c r="H4767" s="23"/>
      <c r="I4767" s="23"/>
    </row>
    <row r="4768" spans="1:9">
      <c r="A4768" s="21" t="s">
        <v>9951</v>
      </c>
      <c r="B4768" s="21"/>
      <c r="C4768" s="22">
        <v>4766</v>
      </c>
      <c r="D4768" s="21">
        <v>1.6</v>
      </c>
      <c r="E4768" s="21" t="s">
        <v>5796</v>
      </c>
      <c r="F4768" s="23"/>
      <c r="G4768" s="23">
        <f t="shared" si="18"/>
        <v>1.6</v>
      </c>
      <c r="H4768" s="23"/>
      <c r="I4768" s="23"/>
    </row>
    <row r="4769" spans="1:9">
      <c r="A4769" s="21" t="s">
        <v>9952</v>
      </c>
      <c r="B4769" s="21"/>
      <c r="C4769" s="22">
        <v>4767</v>
      </c>
      <c r="D4769" s="21">
        <v>1.6</v>
      </c>
      <c r="E4769" s="21" t="s">
        <v>5796</v>
      </c>
      <c r="F4769" s="23"/>
      <c r="G4769" s="23">
        <f t="shared" si="18"/>
        <v>1.6</v>
      </c>
      <c r="H4769" s="23"/>
      <c r="I4769" s="23"/>
    </row>
    <row r="4770" spans="1:9">
      <c r="A4770" s="21" t="s">
        <v>9953</v>
      </c>
      <c r="B4770" s="21"/>
      <c r="C4770" s="22">
        <v>4768</v>
      </c>
      <c r="D4770" s="21">
        <v>1.59</v>
      </c>
      <c r="E4770" s="21" t="s">
        <v>5796</v>
      </c>
      <c r="F4770" s="23"/>
      <c r="G4770" s="23">
        <f t="shared" si="18"/>
        <v>1.59</v>
      </c>
      <c r="H4770" s="23"/>
      <c r="I4770" s="23"/>
    </row>
    <row r="4771" spans="1:9">
      <c r="A4771" s="21" t="s">
        <v>9954</v>
      </c>
      <c r="B4771" s="21"/>
      <c r="C4771" s="22">
        <v>4769</v>
      </c>
      <c r="D4771" s="21">
        <v>1.59</v>
      </c>
      <c r="E4771" s="21" t="s">
        <v>5796</v>
      </c>
      <c r="F4771" s="23"/>
      <c r="G4771" s="23">
        <f t="shared" si="18"/>
        <v>1.59</v>
      </c>
      <c r="H4771" s="23"/>
      <c r="I4771" s="23"/>
    </row>
    <row r="4772" spans="1:9">
      <c r="A4772" s="21" t="s">
        <v>9955</v>
      </c>
      <c r="B4772" s="21"/>
      <c r="C4772" s="22">
        <v>4770</v>
      </c>
      <c r="D4772" s="21">
        <v>1.59</v>
      </c>
      <c r="E4772" s="21" t="s">
        <v>5796</v>
      </c>
      <c r="F4772" s="23"/>
      <c r="G4772" s="23">
        <f t="shared" si="18"/>
        <v>1.59</v>
      </c>
      <c r="H4772" s="23"/>
      <c r="I4772" s="23"/>
    </row>
    <row r="4773" spans="1:9">
      <c r="A4773" s="21" t="s">
        <v>9956</v>
      </c>
      <c r="B4773" s="21"/>
      <c r="C4773" s="22">
        <v>4771</v>
      </c>
      <c r="D4773" s="21">
        <v>1.59</v>
      </c>
      <c r="E4773" s="21" t="s">
        <v>5796</v>
      </c>
      <c r="F4773" s="23"/>
      <c r="G4773" s="23">
        <f t="shared" si="18"/>
        <v>1.59</v>
      </c>
      <c r="H4773" s="23"/>
      <c r="I4773" s="23"/>
    </row>
    <row r="4774" spans="1:9">
      <c r="A4774" s="21" t="s">
        <v>9957</v>
      </c>
      <c r="B4774" s="21"/>
      <c r="C4774" s="22">
        <v>4772</v>
      </c>
      <c r="D4774" s="21">
        <v>1.59</v>
      </c>
      <c r="E4774" s="21" t="s">
        <v>5796</v>
      </c>
      <c r="F4774" s="23"/>
      <c r="G4774" s="23">
        <f t="shared" si="18"/>
        <v>1.59</v>
      </c>
      <c r="H4774" s="23"/>
      <c r="I4774" s="23"/>
    </row>
    <row r="4775" spans="1:9">
      <c r="A4775" s="21" t="s">
        <v>9958</v>
      </c>
      <c r="B4775" s="21"/>
      <c r="C4775" s="22">
        <v>4773</v>
      </c>
      <c r="D4775" s="21">
        <v>1.58</v>
      </c>
      <c r="E4775" s="21" t="s">
        <v>5796</v>
      </c>
      <c r="F4775" s="23"/>
      <c r="G4775" s="23">
        <f t="shared" si="18"/>
        <v>1.58</v>
      </c>
      <c r="H4775" s="23"/>
      <c r="I4775" s="23"/>
    </row>
    <row r="4776" spans="1:9">
      <c r="A4776" s="21" t="s">
        <v>9959</v>
      </c>
      <c r="B4776" s="21"/>
      <c r="C4776" s="22">
        <v>4774</v>
      </c>
      <c r="D4776" s="21">
        <v>1.58</v>
      </c>
      <c r="E4776" s="21" t="s">
        <v>5796</v>
      </c>
      <c r="F4776" s="23"/>
      <c r="G4776" s="23">
        <f t="shared" si="18"/>
        <v>1.58</v>
      </c>
      <c r="H4776" s="23"/>
      <c r="I4776" s="23"/>
    </row>
    <row r="4777" spans="1:9">
      <c r="A4777" s="21" t="s">
        <v>9960</v>
      </c>
      <c r="B4777" s="21"/>
      <c r="C4777" s="22">
        <v>4775</v>
      </c>
      <c r="D4777" s="21">
        <v>1.56</v>
      </c>
      <c r="E4777" s="21" t="s">
        <v>5796</v>
      </c>
      <c r="F4777" s="23"/>
      <c r="G4777" s="23">
        <f t="shared" si="18"/>
        <v>1.56</v>
      </c>
      <c r="H4777" s="23"/>
      <c r="I4777" s="23"/>
    </row>
    <row r="4778" spans="1:9">
      <c r="A4778" s="21" t="s">
        <v>9961</v>
      </c>
      <c r="B4778" s="21"/>
      <c r="C4778" s="22">
        <v>4776</v>
      </c>
      <c r="D4778" s="21">
        <v>1.55</v>
      </c>
      <c r="E4778" s="21" t="s">
        <v>5796</v>
      </c>
      <c r="F4778" s="23"/>
      <c r="G4778" s="23">
        <f t="shared" si="18"/>
        <v>1.55</v>
      </c>
      <c r="H4778" s="23"/>
      <c r="I4778" s="23"/>
    </row>
    <row r="4779" spans="1:9">
      <c r="A4779" s="21" t="s">
        <v>9962</v>
      </c>
      <c r="B4779" s="21"/>
      <c r="C4779" s="22">
        <v>4777</v>
      </c>
      <c r="D4779" s="21">
        <v>1.55</v>
      </c>
      <c r="E4779" s="21" t="s">
        <v>5796</v>
      </c>
      <c r="F4779" s="23"/>
      <c r="G4779" s="23">
        <f t="shared" si="18"/>
        <v>1.55</v>
      </c>
      <c r="H4779" s="23"/>
      <c r="I4779" s="23"/>
    </row>
    <row r="4780" spans="1:9">
      <c r="A4780" s="21" t="s">
        <v>9963</v>
      </c>
      <c r="B4780" s="21"/>
      <c r="C4780" s="22">
        <v>4778</v>
      </c>
      <c r="D4780" s="21">
        <v>1.55</v>
      </c>
      <c r="E4780" s="21" t="s">
        <v>5796</v>
      </c>
      <c r="F4780" s="23"/>
      <c r="G4780" s="23">
        <f t="shared" si="18"/>
        <v>1.55</v>
      </c>
      <c r="H4780" s="23"/>
      <c r="I4780" s="23"/>
    </row>
    <row r="4781" spans="1:9">
      <c r="A4781" s="21" t="s">
        <v>9964</v>
      </c>
      <c r="B4781" s="21"/>
      <c r="C4781" s="22">
        <v>4779</v>
      </c>
      <c r="D4781" s="21">
        <v>1.54</v>
      </c>
      <c r="E4781" s="21" t="s">
        <v>5796</v>
      </c>
      <c r="F4781" s="23"/>
      <c r="G4781" s="23">
        <f t="shared" si="18"/>
        <v>1.54</v>
      </c>
      <c r="H4781" s="23"/>
      <c r="I4781" s="23"/>
    </row>
    <row r="4782" spans="1:9">
      <c r="A4782" s="21" t="s">
        <v>9965</v>
      </c>
      <c r="B4782" s="21"/>
      <c r="C4782" s="22">
        <v>4780</v>
      </c>
      <c r="D4782" s="21">
        <v>1.53</v>
      </c>
      <c r="E4782" s="21" t="s">
        <v>5796</v>
      </c>
      <c r="F4782" s="23"/>
      <c r="G4782" s="23">
        <f t="shared" si="18"/>
        <v>1.53</v>
      </c>
      <c r="H4782" s="23"/>
      <c r="I4782" s="23"/>
    </row>
    <row r="4783" spans="1:9">
      <c r="A4783" s="21" t="s">
        <v>9966</v>
      </c>
      <c r="B4783" s="21"/>
      <c r="C4783" s="22">
        <v>4781</v>
      </c>
      <c r="D4783" s="21">
        <v>1.52</v>
      </c>
      <c r="E4783" s="21" t="s">
        <v>5796</v>
      </c>
      <c r="F4783" s="23"/>
      <c r="G4783" s="23">
        <f t="shared" si="18"/>
        <v>1.52</v>
      </c>
      <c r="H4783" s="23"/>
      <c r="I4783" s="23"/>
    </row>
    <row r="4784" spans="1:9">
      <c r="A4784" s="21" t="s">
        <v>9967</v>
      </c>
      <c r="B4784" s="21"/>
      <c r="C4784" s="22">
        <v>4782</v>
      </c>
      <c r="D4784" s="21">
        <v>1.52</v>
      </c>
      <c r="E4784" s="21" t="s">
        <v>5796</v>
      </c>
      <c r="F4784" s="23"/>
      <c r="G4784" s="23">
        <f t="shared" si="18"/>
        <v>1.52</v>
      </c>
      <c r="H4784" s="23"/>
      <c r="I4784" s="23"/>
    </row>
    <row r="4785" spans="1:9">
      <c r="A4785" s="21" t="s">
        <v>9968</v>
      </c>
      <c r="B4785" s="21"/>
      <c r="C4785" s="22">
        <v>4783</v>
      </c>
      <c r="D4785" s="21">
        <v>1.5</v>
      </c>
      <c r="E4785" s="21" t="s">
        <v>5796</v>
      </c>
      <c r="F4785" s="23"/>
      <c r="G4785" s="23">
        <f t="shared" si="18"/>
        <v>1.5</v>
      </c>
      <c r="H4785" s="23"/>
      <c r="I4785" s="23"/>
    </row>
    <row r="4786" spans="1:9">
      <c r="A4786" s="21" t="s">
        <v>9969</v>
      </c>
      <c r="B4786" s="21"/>
      <c r="C4786" s="22">
        <v>4784</v>
      </c>
      <c r="D4786" s="21">
        <v>1.5</v>
      </c>
      <c r="E4786" s="21" t="s">
        <v>5796</v>
      </c>
      <c r="F4786" s="23"/>
      <c r="G4786" s="23">
        <f t="shared" si="18"/>
        <v>1.5</v>
      </c>
      <c r="H4786" s="23"/>
      <c r="I4786" s="23"/>
    </row>
    <row r="4787" spans="1:9">
      <c r="A4787" s="21" t="s">
        <v>9970</v>
      </c>
      <c r="B4787" s="21"/>
      <c r="C4787" s="22">
        <v>4785</v>
      </c>
      <c r="D4787" s="21">
        <v>1.5</v>
      </c>
      <c r="E4787" s="21" t="s">
        <v>5796</v>
      </c>
      <c r="F4787" s="23"/>
      <c r="G4787" s="23">
        <f t="shared" si="18"/>
        <v>1.5</v>
      </c>
      <c r="H4787" s="23"/>
      <c r="I4787" s="23"/>
    </row>
    <row r="4788" spans="1:9">
      <c r="A4788" s="21" t="s">
        <v>9971</v>
      </c>
      <c r="B4788" s="21"/>
      <c r="C4788" s="22">
        <v>4786</v>
      </c>
      <c r="D4788" s="21">
        <v>1.49</v>
      </c>
      <c r="E4788" s="21" t="s">
        <v>5796</v>
      </c>
      <c r="F4788" s="23"/>
      <c r="G4788" s="23">
        <f t="shared" si="18"/>
        <v>1.49</v>
      </c>
      <c r="H4788" s="23"/>
      <c r="I4788" s="23"/>
    </row>
    <row r="4789" spans="1:9">
      <c r="A4789" s="21" t="s">
        <v>9972</v>
      </c>
      <c r="B4789" s="21"/>
      <c r="C4789" s="22">
        <v>4787</v>
      </c>
      <c r="D4789" s="21">
        <v>1.49</v>
      </c>
      <c r="E4789" s="21" t="s">
        <v>5796</v>
      </c>
      <c r="F4789" s="23"/>
      <c r="G4789" s="23">
        <f t="shared" si="18"/>
        <v>1.49</v>
      </c>
      <c r="H4789" s="23"/>
      <c r="I4789" s="23"/>
    </row>
    <row r="4790" spans="1:9">
      <c r="A4790" s="21" t="s">
        <v>9973</v>
      </c>
      <c r="B4790" s="21"/>
      <c r="C4790" s="22">
        <v>4788</v>
      </c>
      <c r="D4790" s="21">
        <v>1.48</v>
      </c>
      <c r="E4790" s="21" t="s">
        <v>5796</v>
      </c>
      <c r="F4790" s="23"/>
      <c r="G4790" s="23">
        <f t="shared" si="18"/>
        <v>1.48</v>
      </c>
      <c r="H4790" s="23"/>
      <c r="I4790" s="23"/>
    </row>
    <row r="4791" spans="1:9">
      <c r="A4791" s="21" t="s">
        <v>9974</v>
      </c>
      <c r="B4791" s="21"/>
      <c r="C4791" s="22">
        <v>4789</v>
      </c>
      <c r="D4791" s="21">
        <v>1.48</v>
      </c>
      <c r="E4791" s="21" t="s">
        <v>5796</v>
      </c>
      <c r="F4791" s="23"/>
      <c r="G4791" s="23">
        <f t="shared" si="18"/>
        <v>1.48</v>
      </c>
      <c r="H4791" s="23"/>
      <c r="I4791" s="23"/>
    </row>
    <row r="4792" spans="1:9">
      <c r="A4792" s="21" t="s">
        <v>9975</v>
      </c>
      <c r="B4792" s="21"/>
      <c r="C4792" s="22">
        <v>4790</v>
      </c>
      <c r="D4792" s="21">
        <v>1.48</v>
      </c>
      <c r="E4792" s="21" t="s">
        <v>5796</v>
      </c>
      <c r="F4792" s="23"/>
      <c r="G4792" s="23">
        <f t="shared" si="18"/>
        <v>1.48</v>
      </c>
      <c r="H4792" s="23"/>
      <c r="I4792" s="23"/>
    </row>
    <row r="4793" spans="1:9">
      <c r="A4793" s="21" t="s">
        <v>9976</v>
      </c>
      <c r="B4793" s="21"/>
      <c r="C4793" s="22">
        <v>4791</v>
      </c>
      <c r="D4793" s="21">
        <v>1.47</v>
      </c>
      <c r="E4793" s="21" t="s">
        <v>5796</v>
      </c>
      <c r="F4793" s="23"/>
      <c r="G4793" s="23">
        <f t="shared" si="18"/>
        <v>1.47</v>
      </c>
      <c r="H4793" s="23"/>
      <c r="I4793" s="23"/>
    </row>
    <row r="4794" spans="1:9">
      <c r="A4794" s="21" t="s">
        <v>9977</v>
      </c>
      <c r="B4794" s="21"/>
      <c r="C4794" s="22">
        <v>4792</v>
      </c>
      <c r="D4794" s="21">
        <v>1.47</v>
      </c>
      <c r="E4794" s="21" t="s">
        <v>5796</v>
      </c>
      <c r="F4794" s="23"/>
      <c r="G4794" s="23">
        <f t="shared" si="18"/>
        <v>1.47</v>
      </c>
      <c r="H4794" s="23"/>
      <c r="I4794" s="23"/>
    </row>
    <row r="4795" spans="1:9">
      <c r="A4795" s="21" t="s">
        <v>9978</v>
      </c>
      <c r="B4795" s="21"/>
      <c r="C4795" s="22">
        <v>4793</v>
      </c>
      <c r="D4795" s="21">
        <v>1.47</v>
      </c>
      <c r="E4795" s="21" t="s">
        <v>5796</v>
      </c>
      <c r="F4795" s="23"/>
      <c r="G4795" s="23">
        <f t="shared" si="18"/>
        <v>1.47</v>
      </c>
      <c r="H4795" s="23"/>
      <c r="I4795" s="23"/>
    </row>
    <row r="4796" spans="1:9">
      <c r="A4796" s="21" t="s">
        <v>9979</v>
      </c>
      <c r="B4796" s="21"/>
      <c r="C4796" s="22">
        <v>4794</v>
      </c>
      <c r="D4796" s="21">
        <v>1.47</v>
      </c>
      <c r="E4796" s="21" t="s">
        <v>5796</v>
      </c>
      <c r="F4796" s="23"/>
      <c r="G4796" s="23">
        <f t="shared" si="18"/>
        <v>1.47</v>
      </c>
      <c r="H4796" s="23"/>
      <c r="I4796" s="23"/>
    </row>
    <row r="4797" spans="1:9">
      <c r="A4797" s="21" t="s">
        <v>9980</v>
      </c>
      <c r="B4797" s="21"/>
      <c r="C4797" s="22">
        <v>4795</v>
      </c>
      <c r="D4797" s="21">
        <v>1.47</v>
      </c>
      <c r="E4797" s="21" t="s">
        <v>5796</v>
      </c>
      <c r="F4797" s="23"/>
      <c r="G4797" s="23">
        <f t="shared" si="18"/>
        <v>1.47</v>
      </c>
      <c r="H4797" s="23"/>
      <c r="I4797" s="23"/>
    </row>
    <row r="4798" spans="1:9">
      <c r="A4798" s="21" t="s">
        <v>9981</v>
      </c>
      <c r="B4798" s="21"/>
      <c r="C4798" s="22">
        <v>4796</v>
      </c>
      <c r="D4798" s="21">
        <v>1.44</v>
      </c>
      <c r="E4798" s="21" t="s">
        <v>5796</v>
      </c>
      <c r="F4798" s="23"/>
      <c r="G4798" s="23">
        <f t="shared" si="18"/>
        <v>1.44</v>
      </c>
      <c r="H4798" s="23"/>
      <c r="I4798" s="23"/>
    </row>
    <row r="4799" spans="1:9">
      <c r="A4799" s="21" t="s">
        <v>9982</v>
      </c>
      <c r="B4799" s="21"/>
      <c r="C4799" s="22">
        <v>4797</v>
      </c>
      <c r="D4799" s="21">
        <v>1.43</v>
      </c>
      <c r="E4799" s="21" t="s">
        <v>5796</v>
      </c>
      <c r="F4799" s="23"/>
      <c r="G4799" s="23">
        <f t="shared" si="18"/>
        <v>1.43</v>
      </c>
      <c r="H4799" s="23"/>
      <c r="I4799" s="23"/>
    </row>
    <row r="4800" spans="1:9">
      <c r="A4800" s="21" t="s">
        <v>9983</v>
      </c>
      <c r="B4800" s="21"/>
      <c r="C4800" s="22">
        <v>4798</v>
      </c>
      <c r="D4800" s="21">
        <v>1.43</v>
      </c>
      <c r="E4800" s="21" t="s">
        <v>5796</v>
      </c>
      <c r="F4800" s="23"/>
      <c r="G4800" s="23">
        <f t="shared" si="18"/>
        <v>1.43</v>
      </c>
      <c r="H4800" s="23"/>
      <c r="I4800" s="23"/>
    </row>
    <row r="4801" spans="1:9">
      <c r="A4801" s="21" t="s">
        <v>9984</v>
      </c>
      <c r="B4801" s="21"/>
      <c r="C4801" s="22">
        <v>4799</v>
      </c>
      <c r="D4801" s="21">
        <v>1.43</v>
      </c>
      <c r="E4801" s="21" t="s">
        <v>5796</v>
      </c>
      <c r="F4801" s="23"/>
      <c r="G4801" s="23">
        <f t="shared" si="18"/>
        <v>1.43</v>
      </c>
      <c r="H4801" s="23"/>
      <c r="I4801" s="23"/>
    </row>
    <row r="4802" spans="1:9">
      <c r="A4802" s="21" t="s">
        <v>9985</v>
      </c>
      <c r="B4802" s="21"/>
      <c r="C4802" s="22">
        <v>4800</v>
      </c>
      <c r="D4802" s="21">
        <v>1.43</v>
      </c>
      <c r="E4802" s="21" t="s">
        <v>5796</v>
      </c>
      <c r="F4802" s="23"/>
      <c r="G4802" s="23">
        <f t="shared" si="18"/>
        <v>1.43</v>
      </c>
      <c r="H4802" s="23"/>
      <c r="I4802" s="23"/>
    </row>
    <row r="4803" spans="1:9">
      <c r="A4803" s="21" t="s">
        <v>9986</v>
      </c>
      <c r="B4803" s="21"/>
      <c r="C4803" s="22">
        <v>4801</v>
      </c>
      <c r="D4803" s="21">
        <v>1.42</v>
      </c>
      <c r="E4803" s="21" t="s">
        <v>5796</v>
      </c>
      <c r="F4803" s="23"/>
      <c r="G4803" s="23">
        <f t="shared" si="18"/>
        <v>1.42</v>
      </c>
      <c r="H4803" s="23"/>
      <c r="I4803" s="23"/>
    </row>
    <row r="4804" spans="1:9">
      <c r="A4804" s="21" t="s">
        <v>9987</v>
      </c>
      <c r="B4804" s="21"/>
      <c r="C4804" s="22">
        <v>4802</v>
      </c>
      <c r="D4804" s="21">
        <v>1.41</v>
      </c>
      <c r="E4804" s="21" t="s">
        <v>5796</v>
      </c>
      <c r="F4804" s="23"/>
      <c r="G4804" s="23">
        <f t="shared" si="18"/>
        <v>1.41</v>
      </c>
      <c r="H4804" s="23"/>
      <c r="I4804" s="23"/>
    </row>
    <row r="4805" spans="1:9">
      <c r="A4805" s="21" t="s">
        <v>9988</v>
      </c>
      <c r="B4805" s="21"/>
      <c r="C4805" s="22">
        <v>4803</v>
      </c>
      <c r="D4805" s="21">
        <v>1.39</v>
      </c>
      <c r="E4805" s="21" t="s">
        <v>5796</v>
      </c>
      <c r="F4805" s="23"/>
      <c r="G4805" s="23">
        <f t="shared" si="18"/>
        <v>1.39</v>
      </c>
      <c r="H4805" s="23"/>
      <c r="I4805" s="23"/>
    </row>
    <row r="4806" spans="1:9">
      <c r="A4806" s="21" t="s">
        <v>9989</v>
      </c>
      <c r="B4806" s="21"/>
      <c r="C4806" s="22">
        <v>4804</v>
      </c>
      <c r="D4806" s="21">
        <v>1.38</v>
      </c>
      <c r="E4806" s="21" t="s">
        <v>5796</v>
      </c>
      <c r="F4806" s="23"/>
      <c r="G4806" s="23">
        <f t="shared" si="18"/>
        <v>1.38</v>
      </c>
      <c r="H4806" s="23"/>
      <c r="I4806" s="23"/>
    </row>
    <row r="4807" spans="1:9">
      <c r="A4807" s="21" t="s">
        <v>9990</v>
      </c>
      <c r="B4807" s="21"/>
      <c r="C4807" s="22">
        <v>4805</v>
      </c>
      <c r="D4807" s="21">
        <v>1.38</v>
      </c>
      <c r="E4807" s="21" t="s">
        <v>5796</v>
      </c>
      <c r="F4807" s="23"/>
      <c r="G4807" s="23">
        <f t="shared" si="18"/>
        <v>1.38</v>
      </c>
      <c r="H4807" s="23"/>
      <c r="I4807" s="23"/>
    </row>
    <row r="4808" spans="1:9">
      <c r="A4808" s="21" t="s">
        <v>9991</v>
      </c>
      <c r="B4808" s="21"/>
      <c r="C4808" s="22">
        <v>4806</v>
      </c>
      <c r="D4808" s="21">
        <v>1.38</v>
      </c>
      <c r="E4808" s="21" t="s">
        <v>5796</v>
      </c>
      <c r="F4808" s="23"/>
      <c r="G4808" s="23">
        <f t="shared" si="18"/>
        <v>1.38</v>
      </c>
      <c r="H4808" s="23"/>
      <c r="I4808" s="23"/>
    </row>
    <row r="4809" spans="1:9">
      <c r="A4809" s="21" t="s">
        <v>9992</v>
      </c>
      <c r="B4809" s="21"/>
      <c r="C4809" s="22">
        <v>4807</v>
      </c>
      <c r="D4809" s="21">
        <v>1.37</v>
      </c>
      <c r="E4809" s="21" t="s">
        <v>5796</v>
      </c>
      <c r="F4809" s="23"/>
      <c r="G4809" s="23">
        <f t="shared" si="18"/>
        <v>1.37</v>
      </c>
      <c r="H4809" s="23"/>
      <c r="I4809" s="23"/>
    </row>
    <row r="4810" spans="1:9">
      <c r="A4810" s="21" t="s">
        <v>9993</v>
      </c>
      <c r="B4810" s="21"/>
      <c r="C4810" s="22">
        <v>4808</v>
      </c>
      <c r="D4810" s="21">
        <v>1.35</v>
      </c>
      <c r="E4810" s="21" t="s">
        <v>5796</v>
      </c>
      <c r="F4810" s="23"/>
      <c r="G4810" s="23">
        <f t="shared" si="18"/>
        <v>1.35</v>
      </c>
      <c r="H4810" s="23"/>
      <c r="I4810" s="23"/>
    </row>
    <row r="4811" spans="1:9">
      <c r="A4811" s="21" t="s">
        <v>9994</v>
      </c>
      <c r="B4811" s="21"/>
      <c r="C4811" s="22">
        <v>4809</v>
      </c>
      <c r="D4811" s="21">
        <v>1.34</v>
      </c>
      <c r="E4811" s="21" t="s">
        <v>5796</v>
      </c>
      <c r="F4811" s="23"/>
      <c r="G4811" s="23">
        <f t="shared" si="18"/>
        <v>1.34</v>
      </c>
      <c r="H4811" s="23"/>
      <c r="I4811" s="23"/>
    </row>
    <row r="4812" spans="1:9">
      <c r="A4812" s="21" t="s">
        <v>9995</v>
      </c>
      <c r="B4812" s="21"/>
      <c r="C4812" s="22">
        <v>4810</v>
      </c>
      <c r="D4812" s="21">
        <v>1.34</v>
      </c>
      <c r="E4812" s="21" t="s">
        <v>5796</v>
      </c>
      <c r="F4812" s="23"/>
      <c r="G4812" s="23">
        <f t="shared" si="18"/>
        <v>1.34</v>
      </c>
      <c r="H4812" s="23"/>
      <c r="I4812" s="23"/>
    </row>
    <row r="4813" spans="1:9">
      <c r="A4813" s="21" t="s">
        <v>9996</v>
      </c>
      <c r="B4813" s="21"/>
      <c r="C4813" s="22">
        <v>4811</v>
      </c>
      <c r="D4813" s="21">
        <v>1.34</v>
      </c>
      <c r="E4813" s="21" t="s">
        <v>5796</v>
      </c>
      <c r="F4813" s="23"/>
      <c r="G4813" s="23">
        <f t="shared" si="18"/>
        <v>1.34</v>
      </c>
      <c r="H4813" s="23"/>
      <c r="I4813" s="23"/>
    </row>
    <row r="4814" spans="1:9">
      <c r="A4814" s="21" t="s">
        <v>9997</v>
      </c>
      <c r="B4814" s="21"/>
      <c r="C4814" s="22">
        <v>4812</v>
      </c>
      <c r="D4814" s="21">
        <v>1.33</v>
      </c>
      <c r="E4814" s="21" t="s">
        <v>5796</v>
      </c>
      <c r="F4814" s="23"/>
      <c r="G4814" s="23">
        <f t="shared" si="18"/>
        <v>1.33</v>
      </c>
      <c r="H4814" s="23"/>
      <c r="I4814" s="23"/>
    </row>
    <row r="4815" spans="1:9">
      <c r="A4815" s="21" t="s">
        <v>9998</v>
      </c>
      <c r="B4815" s="21"/>
      <c r="C4815" s="22">
        <v>4813</v>
      </c>
      <c r="D4815" s="21">
        <v>1.31</v>
      </c>
      <c r="E4815" s="21" t="s">
        <v>5796</v>
      </c>
      <c r="F4815" s="23"/>
      <c r="G4815" s="23">
        <f t="shared" si="18"/>
        <v>1.31</v>
      </c>
      <c r="H4815" s="23"/>
      <c r="I4815" s="23"/>
    </row>
    <row r="4816" spans="1:9">
      <c r="A4816" s="21" t="s">
        <v>9999</v>
      </c>
      <c r="B4816" s="21"/>
      <c r="C4816" s="22">
        <v>4814</v>
      </c>
      <c r="D4816" s="21">
        <v>1.31</v>
      </c>
      <c r="E4816" s="21" t="s">
        <v>5796</v>
      </c>
      <c r="F4816" s="23"/>
      <c r="G4816" s="23">
        <f t="shared" si="18"/>
        <v>1.31</v>
      </c>
      <c r="H4816" s="23"/>
      <c r="I4816" s="23"/>
    </row>
    <row r="4817" spans="1:9">
      <c r="A4817" s="21" t="s">
        <v>10000</v>
      </c>
      <c r="B4817" s="21"/>
      <c r="C4817" s="22">
        <v>4815</v>
      </c>
      <c r="D4817" s="21">
        <v>1.31</v>
      </c>
      <c r="E4817" s="21" t="s">
        <v>5796</v>
      </c>
      <c r="F4817" s="23"/>
      <c r="G4817" s="23">
        <f t="shared" si="18"/>
        <v>1.31</v>
      </c>
      <c r="H4817" s="23"/>
      <c r="I4817" s="23"/>
    </row>
    <row r="4818" spans="1:9">
      <c r="A4818" s="21" t="s">
        <v>10001</v>
      </c>
      <c r="B4818" s="21"/>
      <c r="C4818" s="22">
        <v>4816</v>
      </c>
      <c r="D4818" s="21">
        <v>1.3</v>
      </c>
      <c r="E4818" s="21" t="s">
        <v>5796</v>
      </c>
      <c r="F4818" s="23"/>
      <c r="G4818" s="23">
        <f t="shared" si="18"/>
        <v>1.3</v>
      </c>
      <c r="H4818" s="23"/>
      <c r="I4818" s="23"/>
    </row>
    <row r="4819" spans="1:9">
      <c r="A4819" s="21" t="s">
        <v>10002</v>
      </c>
      <c r="B4819" s="21"/>
      <c r="C4819" s="22">
        <v>4817</v>
      </c>
      <c r="D4819" s="21">
        <v>1.29</v>
      </c>
      <c r="E4819" s="21" t="s">
        <v>5796</v>
      </c>
      <c r="F4819" s="23"/>
      <c r="G4819" s="23">
        <f t="shared" si="18"/>
        <v>1.29</v>
      </c>
      <c r="H4819" s="23"/>
      <c r="I4819" s="23"/>
    </row>
    <row r="4820" spans="1:9">
      <c r="A4820" s="21" t="s">
        <v>10003</v>
      </c>
      <c r="B4820" s="21"/>
      <c r="C4820" s="22">
        <v>4818</v>
      </c>
      <c r="D4820" s="21">
        <v>1.28</v>
      </c>
      <c r="E4820" s="21" t="s">
        <v>5796</v>
      </c>
      <c r="F4820" s="23"/>
      <c r="G4820" s="23">
        <f t="shared" si="18"/>
        <v>1.28</v>
      </c>
      <c r="H4820" s="23"/>
      <c r="I4820" s="23"/>
    </row>
    <row r="4821" spans="1:9">
      <c r="A4821" s="21" t="s">
        <v>10004</v>
      </c>
      <c r="B4821" s="21"/>
      <c r="C4821" s="22">
        <v>4819</v>
      </c>
      <c r="D4821" s="21">
        <v>1.28</v>
      </c>
      <c r="E4821" s="21" t="s">
        <v>5796</v>
      </c>
      <c r="F4821" s="23"/>
      <c r="G4821" s="23">
        <f t="shared" si="18"/>
        <v>1.28</v>
      </c>
      <c r="H4821" s="23"/>
      <c r="I4821" s="23"/>
    </row>
    <row r="4822" spans="1:9">
      <c r="A4822" s="21" t="s">
        <v>10005</v>
      </c>
      <c r="B4822" s="21"/>
      <c r="C4822" s="22">
        <v>4820</v>
      </c>
      <c r="D4822" s="21">
        <v>1.28</v>
      </c>
      <c r="E4822" s="21" t="s">
        <v>5796</v>
      </c>
      <c r="F4822" s="23"/>
      <c r="G4822" s="23">
        <f t="shared" si="18"/>
        <v>1.28</v>
      </c>
      <c r="H4822" s="23"/>
      <c r="I4822" s="23"/>
    </row>
    <row r="4823" spans="1:9">
      <c r="A4823" s="21" t="s">
        <v>10006</v>
      </c>
      <c r="B4823" s="21"/>
      <c r="C4823" s="22">
        <v>4821</v>
      </c>
      <c r="D4823" s="21">
        <v>1.27</v>
      </c>
      <c r="E4823" s="21" t="s">
        <v>5796</v>
      </c>
      <c r="F4823" s="23"/>
      <c r="G4823" s="23">
        <f t="shared" si="18"/>
        <v>1.27</v>
      </c>
      <c r="H4823" s="23"/>
      <c r="I4823" s="23"/>
    </row>
    <row r="4824" spans="1:9">
      <c r="A4824" s="21" t="s">
        <v>10007</v>
      </c>
      <c r="B4824" s="21"/>
      <c r="C4824" s="22">
        <v>4822</v>
      </c>
      <c r="D4824" s="21">
        <v>1.27</v>
      </c>
      <c r="E4824" s="21" t="s">
        <v>5796</v>
      </c>
      <c r="F4824" s="23"/>
      <c r="G4824" s="23">
        <f t="shared" si="18"/>
        <v>1.27</v>
      </c>
      <c r="H4824" s="23"/>
      <c r="I4824" s="23"/>
    </row>
    <row r="4825" spans="1:9">
      <c r="A4825" s="21" t="s">
        <v>10008</v>
      </c>
      <c r="B4825" s="21"/>
      <c r="C4825" s="22">
        <v>4823</v>
      </c>
      <c r="D4825" s="21">
        <v>1.27</v>
      </c>
      <c r="E4825" s="21" t="s">
        <v>5796</v>
      </c>
      <c r="F4825" s="23"/>
      <c r="G4825" s="23">
        <f t="shared" si="18"/>
        <v>1.27</v>
      </c>
      <c r="H4825" s="23"/>
      <c r="I4825" s="23"/>
    </row>
    <row r="4826" spans="1:9">
      <c r="A4826" s="21" t="s">
        <v>10009</v>
      </c>
      <c r="B4826" s="21"/>
      <c r="C4826" s="22">
        <v>4824</v>
      </c>
      <c r="D4826" s="21">
        <v>1.26</v>
      </c>
      <c r="E4826" s="21" t="s">
        <v>5796</v>
      </c>
      <c r="F4826" s="23"/>
      <c r="G4826" s="23">
        <f t="shared" si="18"/>
        <v>1.26</v>
      </c>
      <c r="H4826" s="23"/>
      <c r="I4826" s="23"/>
    </row>
    <row r="4827" spans="1:9">
      <c r="A4827" s="21" t="s">
        <v>10010</v>
      </c>
      <c r="B4827" s="21"/>
      <c r="C4827" s="22">
        <v>4825</v>
      </c>
      <c r="D4827" s="21">
        <v>1.26</v>
      </c>
      <c r="E4827" s="21" t="s">
        <v>5796</v>
      </c>
      <c r="F4827" s="23"/>
      <c r="G4827" s="23">
        <f t="shared" si="18"/>
        <v>1.26</v>
      </c>
      <c r="H4827" s="23"/>
      <c r="I4827" s="23"/>
    </row>
    <row r="4828" spans="1:9">
      <c r="A4828" s="21" t="s">
        <v>10011</v>
      </c>
      <c r="B4828" s="21"/>
      <c r="C4828" s="22">
        <v>4826</v>
      </c>
      <c r="D4828" s="21">
        <v>1.26</v>
      </c>
      <c r="E4828" s="21" t="s">
        <v>5796</v>
      </c>
      <c r="F4828" s="23"/>
      <c r="G4828" s="23">
        <f t="shared" si="18"/>
        <v>1.26</v>
      </c>
      <c r="H4828" s="23"/>
      <c r="I4828" s="23"/>
    </row>
    <row r="4829" spans="1:9">
      <c r="A4829" s="21" t="s">
        <v>10012</v>
      </c>
      <c r="B4829" s="21"/>
      <c r="C4829" s="22">
        <v>4827</v>
      </c>
      <c r="D4829" s="21">
        <v>1.26</v>
      </c>
      <c r="E4829" s="21" t="s">
        <v>5796</v>
      </c>
      <c r="F4829" s="23"/>
      <c r="G4829" s="23">
        <f t="shared" si="18"/>
        <v>1.26</v>
      </c>
      <c r="H4829" s="23"/>
      <c r="I4829" s="23"/>
    </row>
    <row r="4830" spans="1:9">
      <c r="A4830" s="21" t="s">
        <v>10013</v>
      </c>
      <c r="B4830" s="21"/>
      <c r="C4830" s="22">
        <v>4828</v>
      </c>
      <c r="D4830" s="21">
        <v>1.25</v>
      </c>
      <c r="E4830" s="21" t="s">
        <v>5796</v>
      </c>
      <c r="F4830" s="23"/>
      <c r="G4830" s="23">
        <f t="shared" si="18"/>
        <v>1.25</v>
      </c>
      <c r="H4830" s="23"/>
      <c r="I4830" s="23"/>
    </row>
    <row r="4831" spans="1:9">
      <c r="A4831" s="21" t="s">
        <v>10014</v>
      </c>
      <c r="B4831" s="21"/>
      <c r="C4831" s="22">
        <v>4829</v>
      </c>
      <c r="D4831" s="21">
        <v>1.25</v>
      </c>
      <c r="E4831" s="21" t="s">
        <v>5796</v>
      </c>
      <c r="F4831" s="23"/>
      <c r="G4831" s="23">
        <f t="shared" si="18"/>
        <v>1.25</v>
      </c>
      <c r="H4831" s="23"/>
      <c r="I4831" s="23"/>
    </row>
    <row r="4832" spans="1:9">
      <c r="A4832" s="21" t="s">
        <v>10015</v>
      </c>
      <c r="B4832" s="21"/>
      <c r="C4832" s="22">
        <v>4830</v>
      </c>
      <c r="D4832" s="21">
        <v>1.25</v>
      </c>
      <c r="E4832" s="21" t="s">
        <v>5796</v>
      </c>
      <c r="F4832" s="23"/>
      <c r="G4832" s="23">
        <f t="shared" si="18"/>
        <v>1.25</v>
      </c>
      <c r="H4832" s="23"/>
      <c r="I4832" s="23"/>
    </row>
    <row r="4833" spans="1:9">
      <c r="A4833" s="21" t="s">
        <v>10016</v>
      </c>
      <c r="B4833" s="21"/>
      <c r="C4833" s="22">
        <v>4831</v>
      </c>
      <c r="D4833" s="21">
        <v>1.24</v>
      </c>
      <c r="E4833" s="21" t="s">
        <v>5796</v>
      </c>
      <c r="F4833" s="23"/>
      <c r="G4833" s="23">
        <f t="shared" si="18"/>
        <v>1.24</v>
      </c>
      <c r="H4833" s="23"/>
      <c r="I4833" s="23"/>
    </row>
    <row r="4834" spans="1:9">
      <c r="A4834" s="21" t="s">
        <v>10017</v>
      </c>
      <c r="B4834" s="21"/>
      <c r="C4834" s="22">
        <v>4832</v>
      </c>
      <c r="D4834" s="21">
        <v>1.24</v>
      </c>
      <c r="E4834" s="21" t="s">
        <v>5796</v>
      </c>
      <c r="F4834" s="23"/>
      <c r="G4834" s="23">
        <f t="shared" si="18"/>
        <v>1.24</v>
      </c>
      <c r="H4834" s="23"/>
      <c r="I4834" s="23"/>
    </row>
    <row r="4835" spans="1:9">
      <c r="A4835" s="21" t="s">
        <v>10018</v>
      </c>
      <c r="B4835" s="21"/>
      <c r="C4835" s="22">
        <v>4833</v>
      </c>
      <c r="D4835" s="21">
        <v>1.22</v>
      </c>
      <c r="E4835" s="21" t="s">
        <v>5796</v>
      </c>
      <c r="F4835" s="23"/>
      <c r="G4835" s="23">
        <f t="shared" si="18"/>
        <v>1.22</v>
      </c>
      <c r="H4835" s="23"/>
      <c r="I4835" s="23"/>
    </row>
    <row r="4836" spans="1:9">
      <c r="A4836" s="21" t="s">
        <v>10019</v>
      </c>
      <c r="B4836" s="21"/>
      <c r="C4836" s="22">
        <v>4834</v>
      </c>
      <c r="D4836" s="21">
        <v>1.22</v>
      </c>
      <c r="E4836" s="21" t="s">
        <v>5796</v>
      </c>
      <c r="F4836" s="23"/>
      <c r="G4836" s="23">
        <f t="shared" si="18"/>
        <v>1.22</v>
      </c>
      <c r="H4836" s="23"/>
      <c r="I4836" s="23"/>
    </row>
    <row r="4837" spans="1:9">
      <c r="A4837" s="21" t="s">
        <v>10020</v>
      </c>
      <c r="B4837" s="21"/>
      <c r="C4837" s="22">
        <v>4835</v>
      </c>
      <c r="D4837" s="21">
        <v>1.21</v>
      </c>
      <c r="E4837" s="21" t="s">
        <v>5796</v>
      </c>
      <c r="F4837" s="23"/>
      <c r="G4837" s="23">
        <f t="shared" si="18"/>
        <v>1.21</v>
      </c>
      <c r="H4837" s="23"/>
      <c r="I4837" s="23"/>
    </row>
    <row r="4838" spans="1:9">
      <c r="A4838" s="21" t="s">
        <v>10021</v>
      </c>
      <c r="B4838" s="21"/>
      <c r="C4838" s="22">
        <v>4836</v>
      </c>
      <c r="D4838" s="21">
        <v>1.21</v>
      </c>
      <c r="E4838" s="21" t="s">
        <v>5796</v>
      </c>
      <c r="F4838" s="23"/>
      <c r="G4838" s="23">
        <f t="shared" si="18"/>
        <v>1.21</v>
      </c>
      <c r="H4838" s="23"/>
      <c r="I4838" s="23"/>
    </row>
    <row r="4839" spans="1:9">
      <c r="A4839" s="21" t="s">
        <v>10022</v>
      </c>
      <c r="B4839" s="21"/>
      <c r="C4839" s="22">
        <v>4837</v>
      </c>
      <c r="D4839" s="21">
        <v>1.21</v>
      </c>
      <c r="E4839" s="21" t="s">
        <v>5796</v>
      </c>
      <c r="F4839" s="23"/>
      <c r="G4839" s="23">
        <f t="shared" si="18"/>
        <v>1.21</v>
      </c>
      <c r="H4839" s="23"/>
      <c r="I4839" s="23"/>
    </row>
    <row r="4840" spans="1:9">
      <c r="A4840" s="21" t="s">
        <v>10023</v>
      </c>
      <c r="B4840" s="21"/>
      <c r="C4840" s="22">
        <v>4838</v>
      </c>
      <c r="D4840" s="21">
        <v>1.2</v>
      </c>
      <c r="E4840" s="21" t="s">
        <v>5796</v>
      </c>
      <c r="F4840" s="23"/>
      <c r="G4840" s="23">
        <f t="shared" si="18"/>
        <v>1.2</v>
      </c>
      <c r="H4840" s="23"/>
      <c r="I4840" s="23"/>
    </row>
    <row r="4841" spans="1:9">
      <c r="A4841" s="21" t="s">
        <v>10024</v>
      </c>
      <c r="B4841" s="21"/>
      <c r="C4841" s="22">
        <v>4839</v>
      </c>
      <c r="D4841" s="21">
        <v>1.2</v>
      </c>
      <c r="E4841" s="21" t="s">
        <v>5796</v>
      </c>
      <c r="F4841" s="23"/>
      <c r="G4841" s="23">
        <f t="shared" si="18"/>
        <v>1.2</v>
      </c>
      <c r="H4841" s="23"/>
      <c r="I4841" s="23"/>
    </row>
    <row r="4842" spans="1:9">
      <c r="A4842" s="21" t="s">
        <v>10025</v>
      </c>
      <c r="B4842" s="21"/>
      <c r="C4842" s="22">
        <v>4840</v>
      </c>
      <c r="D4842" s="21">
        <v>1.19</v>
      </c>
      <c r="E4842" s="21" t="s">
        <v>5796</v>
      </c>
      <c r="F4842" s="23"/>
      <c r="G4842" s="23">
        <f t="shared" si="18"/>
        <v>1.19</v>
      </c>
      <c r="H4842" s="23"/>
      <c r="I4842" s="23"/>
    </row>
    <row r="4843" spans="1:9">
      <c r="A4843" s="21" t="s">
        <v>10026</v>
      </c>
      <c r="B4843" s="21"/>
      <c r="C4843" s="22">
        <v>4841</v>
      </c>
      <c r="D4843" s="21">
        <v>1.18</v>
      </c>
      <c r="E4843" s="21" t="s">
        <v>5796</v>
      </c>
      <c r="F4843" s="23"/>
      <c r="G4843" s="23">
        <f t="shared" si="18"/>
        <v>1.18</v>
      </c>
      <c r="H4843" s="23"/>
      <c r="I4843" s="23"/>
    </row>
    <row r="4844" spans="1:9">
      <c r="A4844" s="21" t="s">
        <v>10027</v>
      </c>
      <c r="B4844" s="21"/>
      <c r="C4844" s="22">
        <v>4842</v>
      </c>
      <c r="D4844" s="21">
        <v>1.18</v>
      </c>
      <c r="E4844" s="21" t="s">
        <v>5796</v>
      </c>
      <c r="F4844" s="23"/>
      <c r="G4844" s="23">
        <f t="shared" si="18"/>
        <v>1.18</v>
      </c>
      <c r="H4844" s="23"/>
      <c r="I4844" s="23"/>
    </row>
    <row r="4845" spans="1:9">
      <c r="A4845" s="21" t="s">
        <v>10028</v>
      </c>
      <c r="B4845" s="21"/>
      <c r="C4845" s="22">
        <v>4843</v>
      </c>
      <c r="D4845" s="21">
        <v>1.17</v>
      </c>
      <c r="E4845" s="21" t="s">
        <v>5796</v>
      </c>
      <c r="F4845" s="23"/>
      <c r="G4845" s="23">
        <f t="shared" si="18"/>
        <v>1.17</v>
      </c>
      <c r="H4845" s="23"/>
      <c r="I4845" s="23"/>
    </row>
    <row r="4846" spans="1:9">
      <c r="A4846" s="21" t="s">
        <v>10029</v>
      </c>
      <c r="B4846" s="21"/>
      <c r="C4846" s="22">
        <v>4844</v>
      </c>
      <c r="D4846" s="21">
        <v>1.17</v>
      </c>
      <c r="E4846" s="21" t="s">
        <v>5796</v>
      </c>
      <c r="F4846" s="23"/>
      <c r="G4846" s="23">
        <f t="shared" si="18"/>
        <v>1.17</v>
      </c>
      <c r="H4846" s="23"/>
      <c r="I4846" s="23"/>
    </row>
    <row r="4847" spans="1:9">
      <c r="A4847" s="21" t="s">
        <v>10030</v>
      </c>
      <c r="B4847" s="21"/>
      <c r="C4847" s="22">
        <v>4845</v>
      </c>
      <c r="D4847" s="21">
        <v>1.17</v>
      </c>
      <c r="E4847" s="21" t="s">
        <v>5796</v>
      </c>
      <c r="F4847" s="23"/>
      <c r="G4847" s="23">
        <f t="shared" si="18"/>
        <v>1.17</v>
      </c>
      <c r="H4847" s="23"/>
      <c r="I4847" s="23"/>
    </row>
    <row r="4848" spans="1:9">
      <c r="A4848" s="21" t="s">
        <v>10031</v>
      </c>
      <c r="B4848" s="21"/>
      <c r="C4848" s="22">
        <v>4846</v>
      </c>
      <c r="D4848" s="21">
        <v>1.1499999999999999</v>
      </c>
      <c r="E4848" s="21" t="s">
        <v>5796</v>
      </c>
      <c r="F4848" s="23"/>
      <c r="G4848" s="23">
        <f t="shared" ref="G4848:G5048" si="19">VALUE(SUBSTITUTE(D4848, ",", ""))</f>
        <v>1.1499999999999999</v>
      </c>
      <c r="H4848" s="23"/>
      <c r="I4848" s="23"/>
    </row>
    <row r="4849" spans="1:9">
      <c r="A4849" s="21" t="s">
        <v>10032</v>
      </c>
      <c r="B4849" s="21"/>
      <c r="C4849" s="22">
        <v>4847</v>
      </c>
      <c r="D4849" s="21">
        <v>1.1399999999999999</v>
      </c>
      <c r="E4849" s="21" t="s">
        <v>5796</v>
      </c>
      <c r="F4849" s="23"/>
      <c r="G4849" s="23">
        <f t="shared" si="19"/>
        <v>1.1399999999999999</v>
      </c>
      <c r="H4849" s="23"/>
      <c r="I4849" s="23"/>
    </row>
    <row r="4850" spans="1:9">
      <c r="A4850" s="21" t="s">
        <v>10033</v>
      </c>
      <c r="B4850" s="21"/>
      <c r="C4850" s="22">
        <v>4848</v>
      </c>
      <c r="D4850" s="21">
        <v>1.1299999999999999</v>
      </c>
      <c r="E4850" s="21" t="s">
        <v>5796</v>
      </c>
      <c r="F4850" s="23"/>
      <c r="G4850" s="23">
        <f t="shared" si="19"/>
        <v>1.1299999999999999</v>
      </c>
      <c r="H4850" s="23"/>
      <c r="I4850" s="23"/>
    </row>
    <row r="4851" spans="1:9">
      <c r="A4851" s="21" t="s">
        <v>10034</v>
      </c>
      <c r="B4851" s="21"/>
      <c r="C4851" s="22">
        <v>4849</v>
      </c>
      <c r="D4851" s="21">
        <v>1.1299999999999999</v>
      </c>
      <c r="E4851" s="21" t="s">
        <v>5796</v>
      </c>
      <c r="F4851" s="23"/>
      <c r="G4851" s="23">
        <f t="shared" si="19"/>
        <v>1.1299999999999999</v>
      </c>
      <c r="H4851" s="23"/>
      <c r="I4851" s="23"/>
    </row>
    <row r="4852" spans="1:9">
      <c r="A4852" s="21" t="s">
        <v>10035</v>
      </c>
      <c r="B4852" s="21"/>
      <c r="C4852" s="22">
        <v>4850</v>
      </c>
      <c r="D4852" s="21">
        <v>1.1299999999999999</v>
      </c>
      <c r="E4852" s="21" t="s">
        <v>5796</v>
      </c>
      <c r="F4852" s="23"/>
      <c r="G4852" s="23">
        <f t="shared" si="19"/>
        <v>1.1299999999999999</v>
      </c>
      <c r="H4852" s="23"/>
      <c r="I4852" s="23"/>
    </row>
    <row r="4853" spans="1:9">
      <c r="A4853" s="21" t="s">
        <v>10036</v>
      </c>
      <c r="B4853" s="21"/>
      <c r="C4853" s="22">
        <v>4851</v>
      </c>
      <c r="D4853" s="21">
        <v>1.1200000000000001</v>
      </c>
      <c r="E4853" s="21" t="s">
        <v>5796</v>
      </c>
      <c r="F4853" s="23"/>
      <c r="G4853" s="23">
        <f t="shared" si="19"/>
        <v>1.1200000000000001</v>
      </c>
      <c r="H4853" s="23"/>
      <c r="I4853" s="23"/>
    </row>
    <row r="4854" spans="1:9">
      <c r="A4854" s="21" t="s">
        <v>10037</v>
      </c>
      <c r="B4854" s="21"/>
      <c r="C4854" s="22">
        <v>4852</v>
      </c>
      <c r="D4854" s="21">
        <v>1.1200000000000001</v>
      </c>
      <c r="E4854" s="21" t="s">
        <v>5796</v>
      </c>
      <c r="F4854" s="23"/>
      <c r="G4854" s="23">
        <f t="shared" si="19"/>
        <v>1.1200000000000001</v>
      </c>
      <c r="H4854" s="23"/>
      <c r="I4854" s="23"/>
    </row>
    <row r="4855" spans="1:9">
      <c r="A4855" s="21" t="s">
        <v>10038</v>
      </c>
      <c r="B4855" s="21"/>
      <c r="C4855" s="22">
        <v>4853</v>
      </c>
      <c r="D4855" s="21">
        <v>1.1200000000000001</v>
      </c>
      <c r="E4855" s="21" t="s">
        <v>5796</v>
      </c>
      <c r="F4855" s="23"/>
      <c r="G4855" s="23">
        <f t="shared" si="19"/>
        <v>1.1200000000000001</v>
      </c>
      <c r="H4855" s="23"/>
      <c r="I4855" s="23"/>
    </row>
    <row r="4856" spans="1:9">
      <c r="A4856" s="21" t="s">
        <v>10039</v>
      </c>
      <c r="B4856" s="21"/>
      <c r="C4856" s="22">
        <v>4854</v>
      </c>
      <c r="D4856" s="21">
        <v>1.1000000000000001</v>
      </c>
      <c r="E4856" s="21" t="s">
        <v>5796</v>
      </c>
      <c r="F4856" s="23"/>
      <c r="G4856" s="23">
        <f t="shared" si="19"/>
        <v>1.1000000000000001</v>
      </c>
      <c r="H4856" s="23"/>
      <c r="I4856" s="23"/>
    </row>
    <row r="4857" spans="1:9">
      <c r="A4857" s="21" t="s">
        <v>10040</v>
      </c>
      <c r="B4857" s="21"/>
      <c r="C4857" s="22">
        <v>4855</v>
      </c>
      <c r="D4857" s="21">
        <v>1.1000000000000001</v>
      </c>
      <c r="E4857" s="21" t="s">
        <v>5796</v>
      </c>
      <c r="F4857" s="23"/>
      <c r="G4857" s="23">
        <f t="shared" si="19"/>
        <v>1.1000000000000001</v>
      </c>
      <c r="H4857" s="23"/>
      <c r="I4857" s="23"/>
    </row>
    <row r="4858" spans="1:9">
      <c r="A4858" s="21" t="s">
        <v>10041</v>
      </c>
      <c r="B4858" s="21"/>
      <c r="C4858" s="22">
        <v>4856</v>
      </c>
      <c r="D4858" s="21">
        <v>1.0900000000000001</v>
      </c>
      <c r="E4858" s="21" t="s">
        <v>5796</v>
      </c>
      <c r="F4858" s="23"/>
      <c r="G4858" s="23">
        <f t="shared" si="19"/>
        <v>1.0900000000000001</v>
      </c>
      <c r="H4858" s="23"/>
      <c r="I4858" s="23"/>
    </row>
    <row r="4859" spans="1:9">
      <c r="A4859" s="21" t="s">
        <v>10042</v>
      </c>
      <c r="B4859" s="21"/>
      <c r="C4859" s="22">
        <v>4857</v>
      </c>
      <c r="D4859" s="21">
        <v>1.0900000000000001</v>
      </c>
      <c r="E4859" s="21" t="s">
        <v>5796</v>
      </c>
      <c r="F4859" s="23"/>
      <c r="G4859" s="23">
        <f t="shared" si="19"/>
        <v>1.0900000000000001</v>
      </c>
      <c r="H4859" s="23"/>
      <c r="I4859" s="23"/>
    </row>
    <row r="4860" spans="1:9">
      <c r="A4860" s="21" t="s">
        <v>10043</v>
      </c>
      <c r="B4860" s="21"/>
      <c r="C4860" s="22">
        <v>4858</v>
      </c>
      <c r="D4860" s="21">
        <v>1.08</v>
      </c>
      <c r="E4860" s="21" t="s">
        <v>5796</v>
      </c>
      <c r="F4860" s="23"/>
      <c r="G4860" s="23">
        <f t="shared" si="19"/>
        <v>1.08</v>
      </c>
      <c r="H4860" s="23"/>
      <c r="I4860" s="23"/>
    </row>
    <row r="4861" spans="1:9">
      <c r="A4861" s="21" t="s">
        <v>10044</v>
      </c>
      <c r="B4861" s="21"/>
      <c r="C4861" s="22">
        <v>4859</v>
      </c>
      <c r="D4861" s="21">
        <v>1.08</v>
      </c>
      <c r="E4861" s="21" t="s">
        <v>5796</v>
      </c>
      <c r="F4861" s="23"/>
      <c r="G4861" s="23">
        <f t="shared" si="19"/>
        <v>1.08</v>
      </c>
      <c r="H4861" s="23"/>
      <c r="I4861" s="23"/>
    </row>
    <row r="4862" spans="1:9">
      <c r="A4862" s="21" t="s">
        <v>10045</v>
      </c>
      <c r="B4862" s="21"/>
      <c r="C4862" s="22">
        <v>4860</v>
      </c>
      <c r="D4862" s="21">
        <v>1.08</v>
      </c>
      <c r="E4862" s="21" t="s">
        <v>5796</v>
      </c>
      <c r="F4862" s="23"/>
      <c r="G4862" s="23">
        <f t="shared" si="19"/>
        <v>1.08</v>
      </c>
      <c r="H4862" s="23"/>
      <c r="I4862" s="23"/>
    </row>
    <row r="4863" spans="1:9">
      <c r="A4863" s="21" t="s">
        <v>10046</v>
      </c>
      <c r="B4863" s="21"/>
      <c r="C4863" s="22">
        <v>4861</v>
      </c>
      <c r="D4863" s="21">
        <v>1.07</v>
      </c>
      <c r="E4863" s="21" t="s">
        <v>5796</v>
      </c>
      <c r="F4863" s="23"/>
      <c r="G4863" s="23">
        <f t="shared" si="19"/>
        <v>1.07</v>
      </c>
      <c r="H4863" s="23"/>
      <c r="I4863" s="23"/>
    </row>
    <row r="4864" spans="1:9">
      <c r="A4864" s="21" t="s">
        <v>10047</v>
      </c>
      <c r="B4864" s="21"/>
      <c r="C4864" s="22">
        <v>4862</v>
      </c>
      <c r="D4864" s="21">
        <v>1.06</v>
      </c>
      <c r="E4864" s="21" t="s">
        <v>5796</v>
      </c>
      <c r="F4864" s="23"/>
      <c r="G4864" s="23">
        <f t="shared" si="19"/>
        <v>1.06</v>
      </c>
      <c r="H4864" s="23"/>
      <c r="I4864" s="23"/>
    </row>
    <row r="4865" spans="1:9">
      <c r="A4865" s="21" t="s">
        <v>10048</v>
      </c>
      <c r="B4865" s="21"/>
      <c r="C4865" s="22">
        <v>4863</v>
      </c>
      <c r="D4865" s="21">
        <v>1.06</v>
      </c>
      <c r="E4865" s="21" t="s">
        <v>5796</v>
      </c>
      <c r="F4865" s="23"/>
      <c r="G4865" s="23">
        <f t="shared" si="19"/>
        <v>1.06</v>
      </c>
      <c r="H4865" s="23"/>
      <c r="I4865" s="23"/>
    </row>
    <row r="4866" spans="1:9">
      <c r="A4866" s="21" t="s">
        <v>10049</v>
      </c>
      <c r="B4866" s="21"/>
      <c r="C4866" s="22">
        <v>4864</v>
      </c>
      <c r="D4866" s="21">
        <v>1.01</v>
      </c>
      <c r="E4866" s="21" t="s">
        <v>5796</v>
      </c>
      <c r="F4866" s="23"/>
      <c r="G4866" s="23">
        <f t="shared" si="19"/>
        <v>1.01</v>
      </c>
      <c r="H4866" s="23"/>
      <c r="I4866" s="23"/>
    </row>
    <row r="4867" spans="1:9">
      <c r="A4867" s="21" t="s">
        <v>10050</v>
      </c>
      <c r="B4867" s="21"/>
      <c r="C4867" s="22">
        <v>4865</v>
      </c>
      <c r="D4867" s="21">
        <v>1</v>
      </c>
      <c r="E4867" s="21" t="s">
        <v>5796</v>
      </c>
      <c r="F4867" s="23"/>
      <c r="G4867" s="23">
        <f t="shared" si="19"/>
        <v>1</v>
      </c>
      <c r="H4867" s="23"/>
      <c r="I4867" s="23"/>
    </row>
    <row r="4868" spans="1:9">
      <c r="A4868" s="21" t="s">
        <v>10051</v>
      </c>
      <c r="B4868" s="21"/>
      <c r="C4868" s="22">
        <v>4866</v>
      </c>
      <c r="D4868" s="21">
        <v>1</v>
      </c>
      <c r="E4868" s="21" t="s">
        <v>5796</v>
      </c>
      <c r="F4868" s="23"/>
      <c r="G4868" s="23">
        <f t="shared" si="19"/>
        <v>1</v>
      </c>
      <c r="H4868" s="23"/>
      <c r="I4868" s="23"/>
    </row>
    <row r="4869" spans="1:9">
      <c r="A4869" s="21" t="s">
        <v>10052</v>
      </c>
      <c r="B4869" s="21"/>
      <c r="C4869" s="22">
        <v>4867</v>
      </c>
      <c r="D4869" s="21">
        <v>1</v>
      </c>
      <c r="E4869" s="21" t="s">
        <v>5796</v>
      </c>
      <c r="F4869" s="23"/>
      <c r="G4869" s="23">
        <f t="shared" si="19"/>
        <v>1</v>
      </c>
      <c r="H4869" s="23"/>
      <c r="I4869" s="23"/>
    </row>
    <row r="4870" spans="1:9">
      <c r="A4870" s="21" t="s">
        <v>10053</v>
      </c>
      <c r="B4870" s="21"/>
      <c r="C4870" s="22">
        <v>4868</v>
      </c>
      <c r="D4870" s="21">
        <v>1</v>
      </c>
      <c r="E4870" s="21" t="s">
        <v>5796</v>
      </c>
      <c r="F4870" s="23"/>
      <c r="G4870" s="23">
        <f t="shared" si="19"/>
        <v>1</v>
      </c>
      <c r="H4870" s="23"/>
      <c r="I4870" s="23"/>
    </row>
    <row r="4871" spans="1:9">
      <c r="A4871" s="21" t="s">
        <v>10054</v>
      </c>
      <c r="B4871" s="21"/>
      <c r="C4871" s="22">
        <v>4869</v>
      </c>
      <c r="D4871" s="21">
        <v>1</v>
      </c>
      <c r="E4871" s="21" t="s">
        <v>5796</v>
      </c>
      <c r="F4871" s="23"/>
      <c r="G4871" s="23">
        <f t="shared" si="19"/>
        <v>1</v>
      </c>
      <c r="H4871" s="23"/>
      <c r="I4871" s="23"/>
    </row>
    <row r="4872" spans="1:9">
      <c r="A4872" s="21" t="s">
        <v>10055</v>
      </c>
      <c r="B4872" s="21"/>
      <c r="C4872" s="22">
        <v>4870</v>
      </c>
      <c r="D4872" s="21">
        <v>1</v>
      </c>
      <c r="E4872" s="21" t="s">
        <v>5796</v>
      </c>
      <c r="F4872" s="23"/>
      <c r="G4872" s="23">
        <f t="shared" si="19"/>
        <v>1</v>
      </c>
      <c r="H4872" s="23"/>
      <c r="I4872" s="23"/>
    </row>
    <row r="4873" spans="1:9">
      <c r="A4873" s="21" t="s">
        <v>10056</v>
      </c>
      <c r="B4873" s="21"/>
      <c r="C4873" s="22">
        <v>4871</v>
      </c>
      <c r="D4873" s="21">
        <v>1</v>
      </c>
      <c r="E4873" s="21" t="s">
        <v>5796</v>
      </c>
      <c r="F4873" s="23"/>
      <c r="G4873" s="23">
        <f t="shared" si="19"/>
        <v>1</v>
      </c>
      <c r="H4873" s="23"/>
      <c r="I4873" s="23"/>
    </row>
    <row r="4874" spans="1:9">
      <c r="A4874" s="21" t="s">
        <v>10057</v>
      </c>
      <c r="B4874" s="21"/>
      <c r="C4874" s="22">
        <v>4872</v>
      </c>
      <c r="D4874" s="21">
        <v>1</v>
      </c>
      <c r="E4874" s="21" t="s">
        <v>5796</v>
      </c>
      <c r="F4874" s="23"/>
      <c r="G4874" s="23">
        <f t="shared" si="19"/>
        <v>1</v>
      </c>
      <c r="H4874" s="23"/>
      <c r="I4874" s="23"/>
    </row>
    <row r="4875" spans="1:9">
      <c r="A4875" s="21" t="s">
        <v>10058</v>
      </c>
      <c r="B4875" s="21"/>
      <c r="C4875" s="22">
        <v>4873</v>
      </c>
      <c r="D4875" s="21">
        <v>0.99</v>
      </c>
      <c r="E4875" s="21" t="s">
        <v>5796</v>
      </c>
      <c r="F4875" s="23"/>
      <c r="G4875" s="23">
        <f t="shared" si="19"/>
        <v>0.99</v>
      </c>
      <c r="H4875" s="23"/>
      <c r="I4875" s="23"/>
    </row>
    <row r="4876" spans="1:9">
      <c r="A4876" s="21" t="s">
        <v>10059</v>
      </c>
      <c r="B4876" s="21"/>
      <c r="C4876" s="22">
        <v>4874</v>
      </c>
      <c r="D4876" s="21">
        <v>0.99</v>
      </c>
      <c r="E4876" s="21" t="s">
        <v>5796</v>
      </c>
      <c r="F4876" s="23"/>
      <c r="G4876" s="23">
        <f t="shared" si="19"/>
        <v>0.99</v>
      </c>
      <c r="H4876" s="23"/>
      <c r="I4876" s="23"/>
    </row>
    <row r="4877" spans="1:9">
      <c r="A4877" s="21" t="s">
        <v>10060</v>
      </c>
      <c r="B4877" s="21"/>
      <c r="C4877" s="22">
        <v>4875</v>
      </c>
      <c r="D4877" s="21">
        <v>0.98</v>
      </c>
      <c r="E4877" s="21" t="s">
        <v>5796</v>
      </c>
      <c r="F4877" s="23"/>
      <c r="G4877" s="23">
        <f t="shared" si="19"/>
        <v>0.98</v>
      </c>
      <c r="H4877" s="23"/>
      <c r="I4877" s="23"/>
    </row>
    <row r="4878" spans="1:9">
      <c r="A4878" s="21" t="s">
        <v>10061</v>
      </c>
      <c r="B4878" s="21"/>
      <c r="C4878" s="22">
        <v>4876</v>
      </c>
      <c r="D4878" s="21">
        <v>0.98</v>
      </c>
      <c r="E4878" s="21" t="s">
        <v>5796</v>
      </c>
      <c r="F4878" s="23"/>
      <c r="G4878" s="23">
        <f t="shared" si="19"/>
        <v>0.98</v>
      </c>
      <c r="H4878" s="23"/>
      <c r="I4878" s="23"/>
    </row>
    <row r="4879" spans="1:9">
      <c r="A4879" s="21" t="s">
        <v>10062</v>
      </c>
      <c r="B4879" s="21"/>
      <c r="C4879" s="22">
        <v>4877</v>
      </c>
      <c r="D4879" s="21">
        <v>0.97</v>
      </c>
      <c r="E4879" s="21" t="s">
        <v>5796</v>
      </c>
      <c r="F4879" s="23"/>
      <c r="G4879" s="23">
        <f t="shared" si="19"/>
        <v>0.97</v>
      </c>
      <c r="H4879" s="23"/>
      <c r="I4879" s="23"/>
    </row>
    <row r="4880" spans="1:9">
      <c r="A4880" s="21" t="s">
        <v>10063</v>
      </c>
      <c r="B4880" s="21"/>
      <c r="C4880" s="22">
        <v>4878</v>
      </c>
      <c r="D4880" s="21">
        <v>0.97</v>
      </c>
      <c r="E4880" s="21" t="s">
        <v>5796</v>
      </c>
      <c r="F4880" s="23"/>
      <c r="G4880" s="23">
        <f t="shared" si="19"/>
        <v>0.97</v>
      </c>
      <c r="H4880" s="23"/>
      <c r="I4880" s="23"/>
    </row>
    <row r="4881" spans="1:9">
      <c r="A4881" s="21" t="s">
        <v>10064</v>
      </c>
      <c r="B4881" s="21"/>
      <c r="C4881" s="22">
        <v>4879</v>
      </c>
      <c r="D4881" s="21">
        <v>0.96</v>
      </c>
      <c r="E4881" s="21" t="s">
        <v>5796</v>
      </c>
      <c r="F4881" s="23"/>
      <c r="G4881" s="23">
        <f t="shared" si="19"/>
        <v>0.96</v>
      </c>
      <c r="H4881" s="23"/>
      <c r="I4881" s="23"/>
    </row>
    <row r="4882" spans="1:9">
      <c r="A4882" s="21" t="s">
        <v>10065</v>
      </c>
      <c r="B4882" s="21"/>
      <c r="C4882" s="22">
        <v>4880</v>
      </c>
      <c r="D4882" s="21">
        <v>0.95</v>
      </c>
      <c r="E4882" s="21" t="s">
        <v>5796</v>
      </c>
      <c r="F4882" s="23"/>
      <c r="G4882" s="23">
        <f t="shared" si="19"/>
        <v>0.95</v>
      </c>
      <c r="H4882" s="23"/>
      <c r="I4882" s="23"/>
    </row>
    <row r="4883" spans="1:9">
      <c r="A4883" s="21" t="s">
        <v>10066</v>
      </c>
      <c r="B4883" s="21"/>
      <c r="C4883" s="22">
        <v>4881</v>
      </c>
      <c r="D4883" s="21">
        <v>0.94</v>
      </c>
      <c r="E4883" s="21" t="s">
        <v>5796</v>
      </c>
      <c r="F4883" s="23"/>
      <c r="G4883" s="23">
        <f t="shared" si="19"/>
        <v>0.94</v>
      </c>
      <c r="H4883" s="23"/>
      <c r="I4883" s="23"/>
    </row>
    <row r="4884" spans="1:9">
      <c r="A4884" s="21" t="s">
        <v>10067</v>
      </c>
      <c r="B4884" s="21"/>
      <c r="C4884" s="22">
        <v>4882</v>
      </c>
      <c r="D4884" s="21">
        <v>0.93</v>
      </c>
      <c r="E4884" s="21" t="s">
        <v>5796</v>
      </c>
      <c r="F4884" s="23"/>
      <c r="G4884" s="23">
        <f t="shared" si="19"/>
        <v>0.93</v>
      </c>
      <c r="H4884" s="23"/>
      <c r="I4884" s="23"/>
    </row>
    <row r="4885" spans="1:9">
      <c r="A4885" s="21" t="s">
        <v>10068</v>
      </c>
      <c r="B4885" s="21"/>
      <c r="C4885" s="22">
        <v>4883</v>
      </c>
      <c r="D4885" s="21">
        <v>0.93</v>
      </c>
      <c r="E4885" s="21" t="s">
        <v>5796</v>
      </c>
      <c r="F4885" s="23"/>
      <c r="G4885" s="23">
        <f t="shared" si="19"/>
        <v>0.93</v>
      </c>
      <c r="H4885" s="23"/>
      <c r="I4885" s="23"/>
    </row>
    <row r="4886" spans="1:9">
      <c r="A4886" s="21" t="s">
        <v>10069</v>
      </c>
      <c r="B4886" s="21"/>
      <c r="C4886" s="22">
        <v>4884</v>
      </c>
      <c r="D4886" s="21">
        <v>0.91</v>
      </c>
      <c r="E4886" s="21" t="s">
        <v>5796</v>
      </c>
      <c r="F4886" s="23"/>
      <c r="G4886" s="23">
        <f t="shared" si="19"/>
        <v>0.91</v>
      </c>
      <c r="H4886" s="23"/>
      <c r="I4886" s="23"/>
    </row>
    <row r="4887" spans="1:9">
      <c r="A4887" s="21" t="s">
        <v>10070</v>
      </c>
      <c r="B4887" s="21"/>
      <c r="C4887" s="22">
        <v>4885</v>
      </c>
      <c r="D4887" s="21">
        <v>0.91</v>
      </c>
      <c r="E4887" s="21" t="s">
        <v>5796</v>
      </c>
      <c r="F4887" s="23"/>
      <c r="G4887" s="23">
        <f t="shared" si="19"/>
        <v>0.91</v>
      </c>
      <c r="H4887" s="23"/>
      <c r="I4887" s="23"/>
    </row>
    <row r="4888" spans="1:9">
      <c r="A4888" s="21" t="s">
        <v>10071</v>
      </c>
      <c r="B4888" s="21"/>
      <c r="C4888" s="22">
        <v>4886</v>
      </c>
      <c r="D4888" s="21">
        <v>0.91</v>
      </c>
      <c r="E4888" s="21" t="s">
        <v>5796</v>
      </c>
      <c r="F4888" s="23"/>
      <c r="G4888" s="23">
        <f t="shared" si="19"/>
        <v>0.91</v>
      </c>
      <c r="H4888" s="23"/>
      <c r="I4888" s="23"/>
    </row>
    <row r="4889" spans="1:9">
      <c r="A4889" s="21" t="s">
        <v>10072</v>
      </c>
      <c r="B4889" s="21"/>
      <c r="C4889" s="22">
        <v>4887</v>
      </c>
      <c r="D4889" s="21">
        <v>0.91</v>
      </c>
      <c r="E4889" s="21" t="s">
        <v>5796</v>
      </c>
      <c r="F4889" s="23"/>
      <c r="G4889" s="23">
        <f t="shared" si="19"/>
        <v>0.91</v>
      </c>
      <c r="H4889" s="23"/>
      <c r="I4889" s="23"/>
    </row>
    <row r="4890" spans="1:9">
      <c r="A4890" s="21" t="s">
        <v>10073</v>
      </c>
      <c r="B4890" s="21"/>
      <c r="C4890" s="22">
        <v>4888</v>
      </c>
      <c r="D4890" s="21">
        <v>0.9</v>
      </c>
      <c r="E4890" s="21" t="s">
        <v>5796</v>
      </c>
      <c r="F4890" s="23"/>
      <c r="G4890" s="23">
        <f t="shared" si="19"/>
        <v>0.9</v>
      </c>
      <c r="H4890" s="23"/>
      <c r="I4890" s="23"/>
    </row>
    <row r="4891" spans="1:9">
      <c r="A4891" s="21" t="s">
        <v>10074</v>
      </c>
      <c r="B4891" s="21"/>
      <c r="C4891" s="22">
        <v>4889</v>
      </c>
      <c r="D4891" s="21">
        <v>0.9</v>
      </c>
      <c r="E4891" s="21" t="s">
        <v>5796</v>
      </c>
      <c r="F4891" s="23"/>
      <c r="G4891" s="23">
        <f t="shared" si="19"/>
        <v>0.9</v>
      </c>
      <c r="H4891" s="23"/>
      <c r="I4891" s="23"/>
    </row>
    <row r="4892" spans="1:9">
      <c r="A4892" s="21" t="s">
        <v>10075</v>
      </c>
      <c r="B4892" s="21"/>
      <c r="C4892" s="22">
        <v>4890</v>
      </c>
      <c r="D4892" s="21">
        <v>0.9</v>
      </c>
      <c r="E4892" s="21" t="s">
        <v>5796</v>
      </c>
      <c r="F4892" s="23"/>
      <c r="G4892" s="23">
        <f t="shared" si="19"/>
        <v>0.9</v>
      </c>
      <c r="H4892" s="23"/>
      <c r="I4892" s="23"/>
    </row>
    <row r="4893" spans="1:9">
      <c r="A4893" s="21" t="s">
        <v>10076</v>
      </c>
      <c r="B4893" s="21"/>
      <c r="C4893" s="22">
        <v>4891</v>
      </c>
      <c r="D4893" s="21">
        <v>0.89</v>
      </c>
      <c r="E4893" s="21" t="s">
        <v>5796</v>
      </c>
      <c r="F4893" s="23"/>
      <c r="G4893" s="23">
        <f t="shared" si="19"/>
        <v>0.89</v>
      </c>
      <c r="H4893" s="23"/>
      <c r="I4893" s="23"/>
    </row>
    <row r="4894" spans="1:9">
      <c r="A4894" s="21" t="s">
        <v>10077</v>
      </c>
      <c r="B4894" s="21"/>
      <c r="C4894" s="22">
        <v>4892</v>
      </c>
      <c r="D4894" s="21">
        <v>0.89</v>
      </c>
      <c r="E4894" s="21" t="s">
        <v>5796</v>
      </c>
      <c r="F4894" s="23"/>
      <c r="G4894" s="23">
        <f t="shared" si="19"/>
        <v>0.89</v>
      </c>
      <c r="H4894" s="23"/>
      <c r="I4894" s="23"/>
    </row>
    <row r="4895" spans="1:9">
      <c r="A4895" s="21" t="s">
        <v>10078</v>
      </c>
      <c r="B4895" s="21"/>
      <c r="C4895" s="22">
        <v>4893</v>
      </c>
      <c r="D4895" s="21">
        <v>0.89</v>
      </c>
      <c r="E4895" s="21" t="s">
        <v>5796</v>
      </c>
      <c r="F4895" s="23"/>
      <c r="G4895" s="23">
        <f t="shared" si="19"/>
        <v>0.89</v>
      </c>
      <c r="H4895" s="23"/>
      <c r="I4895" s="23"/>
    </row>
    <row r="4896" spans="1:9">
      <c r="A4896" s="21" t="s">
        <v>10079</v>
      </c>
      <c r="B4896" s="21"/>
      <c r="C4896" s="22">
        <v>4894</v>
      </c>
      <c r="D4896" s="21">
        <v>0.88</v>
      </c>
      <c r="E4896" s="21" t="s">
        <v>5796</v>
      </c>
      <c r="F4896" s="23"/>
      <c r="G4896" s="23">
        <f t="shared" si="19"/>
        <v>0.88</v>
      </c>
      <c r="H4896" s="23"/>
      <c r="I4896" s="23"/>
    </row>
    <row r="4897" spans="1:9">
      <c r="A4897" s="21" t="s">
        <v>10080</v>
      </c>
      <c r="B4897" s="21"/>
      <c r="C4897" s="22">
        <v>4895</v>
      </c>
      <c r="D4897" s="21">
        <v>0.87</v>
      </c>
      <c r="E4897" s="21" t="s">
        <v>5796</v>
      </c>
      <c r="F4897" s="23"/>
      <c r="G4897" s="23">
        <f t="shared" si="19"/>
        <v>0.87</v>
      </c>
      <c r="H4897" s="23"/>
      <c r="I4897" s="23"/>
    </row>
    <row r="4898" spans="1:9">
      <c r="A4898" s="21" t="s">
        <v>10081</v>
      </c>
      <c r="B4898" s="21"/>
      <c r="C4898" s="22">
        <v>4896</v>
      </c>
      <c r="D4898" s="21">
        <v>0.87</v>
      </c>
      <c r="E4898" s="21" t="s">
        <v>5796</v>
      </c>
      <c r="F4898" s="23"/>
      <c r="G4898" s="23">
        <f t="shared" si="19"/>
        <v>0.87</v>
      </c>
      <c r="H4898" s="23"/>
      <c r="I4898" s="23"/>
    </row>
    <row r="4899" spans="1:9">
      <c r="A4899" s="21" t="s">
        <v>10082</v>
      </c>
      <c r="B4899" s="21"/>
      <c r="C4899" s="22">
        <v>4897</v>
      </c>
      <c r="D4899" s="21">
        <v>0.86</v>
      </c>
      <c r="E4899" s="21" t="s">
        <v>5796</v>
      </c>
      <c r="F4899" s="23"/>
      <c r="G4899" s="23">
        <f t="shared" si="19"/>
        <v>0.86</v>
      </c>
      <c r="H4899" s="23"/>
      <c r="I4899" s="23"/>
    </row>
    <row r="4900" spans="1:9">
      <c r="A4900" s="21" t="s">
        <v>10083</v>
      </c>
      <c r="B4900" s="21"/>
      <c r="C4900" s="22">
        <v>4898</v>
      </c>
      <c r="D4900" s="21">
        <v>0.85</v>
      </c>
      <c r="E4900" s="21" t="s">
        <v>5796</v>
      </c>
      <c r="F4900" s="23"/>
      <c r="G4900" s="23">
        <f t="shared" si="19"/>
        <v>0.85</v>
      </c>
      <c r="H4900" s="23"/>
      <c r="I4900" s="23"/>
    </row>
    <row r="4901" spans="1:9">
      <c r="A4901" s="21" t="s">
        <v>10084</v>
      </c>
      <c r="B4901" s="21"/>
      <c r="C4901" s="22">
        <v>4899</v>
      </c>
      <c r="D4901" s="21">
        <v>0.85</v>
      </c>
      <c r="E4901" s="21" t="s">
        <v>5796</v>
      </c>
      <c r="F4901" s="23"/>
      <c r="G4901" s="23">
        <f t="shared" si="19"/>
        <v>0.85</v>
      </c>
      <c r="H4901" s="23"/>
      <c r="I4901" s="23"/>
    </row>
    <row r="4902" spans="1:9">
      <c r="A4902" s="21" t="s">
        <v>10085</v>
      </c>
      <c r="B4902" s="21"/>
      <c r="C4902" s="22">
        <v>4900</v>
      </c>
      <c r="D4902" s="21">
        <v>0.85</v>
      </c>
      <c r="E4902" s="21" t="s">
        <v>5796</v>
      </c>
      <c r="F4902" s="23"/>
      <c r="G4902" s="23">
        <f t="shared" si="19"/>
        <v>0.85</v>
      </c>
      <c r="H4902" s="23"/>
      <c r="I4902" s="23"/>
    </row>
    <row r="4903" spans="1:9">
      <c r="A4903" s="21" t="s">
        <v>10086</v>
      </c>
      <c r="B4903" s="21"/>
      <c r="C4903" s="22">
        <v>4901</v>
      </c>
      <c r="D4903" s="21">
        <v>0.84</v>
      </c>
      <c r="E4903" s="21" t="s">
        <v>5796</v>
      </c>
      <c r="F4903" s="23"/>
      <c r="G4903" s="23">
        <f t="shared" si="19"/>
        <v>0.84</v>
      </c>
      <c r="H4903" s="23"/>
      <c r="I4903" s="23"/>
    </row>
    <row r="4904" spans="1:9">
      <c r="A4904" s="21" t="s">
        <v>10087</v>
      </c>
      <c r="B4904" s="21"/>
      <c r="C4904" s="22">
        <v>4902</v>
      </c>
      <c r="D4904" s="21">
        <v>0.84</v>
      </c>
      <c r="E4904" s="21" t="s">
        <v>5796</v>
      </c>
      <c r="F4904" s="23"/>
      <c r="G4904" s="23">
        <f t="shared" si="19"/>
        <v>0.84</v>
      </c>
      <c r="H4904" s="23"/>
      <c r="I4904" s="23"/>
    </row>
    <row r="4905" spans="1:9">
      <c r="A4905" s="21" t="s">
        <v>10088</v>
      </c>
      <c r="B4905" s="21"/>
      <c r="C4905" s="22">
        <v>4903</v>
      </c>
      <c r="D4905" s="21">
        <v>0.83</v>
      </c>
      <c r="E4905" s="21" t="s">
        <v>5796</v>
      </c>
      <c r="F4905" s="23"/>
      <c r="G4905" s="23">
        <f t="shared" si="19"/>
        <v>0.83</v>
      </c>
      <c r="H4905" s="23"/>
      <c r="I4905" s="23"/>
    </row>
    <row r="4906" spans="1:9">
      <c r="A4906" s="21" t="s">
        <v>10089</v>
      </c>
      <c r="B4906" s="21"/>
      <c r="C4906" s="22">
        <v>4904</v>
      </c>
      <c r="D4906" s="21">
        <v>0.82</v>
      </c>
      <c r="E4906" s="21" t="s">
        <v>5796</v>
      </c>
      <c r="F4906" s="23"/>
      <c r="G4906" s="23">
        <f t="shared" si="19"/>
        <v>0.82</v>
      </c>
      <c r="H4906" s="23"/>
      <c r="I4906" s="23"/>
    </row>
    <row r="4907" spans="1:9">
      <c r="A4907" s="21" t="s">
        <v>10090</v>
      </c>
      <c r="B4907" s="21"/>
      <c r="C4907" s="22">
        <v>4905</v>
      </c>
      <c r="D4907" s="21">
        <v>0.82</v>
      </c>
      <c r="E4907" s="21" t="s">
        <v>5796</v>
      </c>
      <c r="F4907" s="23"/>
      <c r="G4907" s="23">
        <f t="shared" si="19"/>
        <v>0.82</v>
      </c>
      <c r="H4907" s="23"/>
      <c r="I4907" s="23"/>
    </row>
    <row r="4908" spans="1:9">
      <c r="A4908" s="21" t="s">
        <v>10091</v>
      </c>
      <c r="B4908" s="21"/>
      <c r="C4908" s="22">
        <v>4906</v>
      </c>
      <c r="D4908" s="21">
        <v>0.81</v>
      </c>
      <c r="E4908" s="21" t="s">
        <v>5796</v>
      </c>
      <c r="F4908" s="23"/>
      <c r="G4908" s="23">
        <f t="shared" si="19"/>
        <v>0.81</v>
      </c>
      <c r="H4908" s="23"/>
      <c r="I4908" s="23"/>
    </row>
    <row r="4909" spans="1:9">
      <c r="A4909" s="21" t="s">
        <v>10092</v>
      </c>
      <c r="B4909" s="21"/>
      <c r="C4909" s="22">
        <v>4907</v>
      </c>
      <c r="D4909" s="21">
        <v>0.79</v>
      </c>
      <c r="E4909" s="21" t="s">
        <v>5796</v>
      </c>
      <c r="F4909" s="23"/>
      <c r="G4909" s="23">
        <f t="shared" si="19"/>
        <v>0.79</v>
      </c>
      <c r="H4909" s="23"/>
      <c r="I4909" s="23"/>
    </row>
    <row r="4910" spans="1:9">
      <c r="A4910" s="21" t="s">
        <v>10093</v>
      </c>
      <c r="B4910" s="21"/>
      <c r="C4910" s="22">
        <v>4908</v>
      </c>
      <c r="D4910" s="21">
        <v>0.75</v>
      </c>
      <c r="E4910" s="21" t="s">
        <v>5796</v>
      </c>
      <c r="F4910" s="23"/>
      <c r="G4910" s="23">
        <f t="shared" si="19"/>
        <v>0.75</v>
      </c>
      <c r="H4910" s="23"/>
      <c r="I4910" s="23"/>
    </row>
    <row r="4911" spans="1:9">
      <c r="A4911" s="21" t="s">
        <v>10094</v>
      </c>
      <c r="B4911" s="21"/>
      <c r="C4911" s="22">
        <v>4909</v>
      </c>
      <c r="D4911" s="21">
        <v>0.75</v>
      </c>
      <c r="E4911" s="21" t="s">
        <v>5796</v>
      </c>
      <c r="F4911" s="23"/>
      <c r="G4911" s="23">
        <f t="shared" si="19"/>
        <v>0.75</v>
      </c>
      <c r="H4911" s="23"/>
      <c r="I4911" s="23"/>
    </row>
    <row r="4912" spans="1:9">
      <c r="A4912" s="21" t="s">
        <v>10095</v>
      </c>
      <c r="B4912" s="21"/>
      <c r="C4912" s="22">
        <v>4910</v>
      </c>
      <c r="D4912" s="21">
        <v>0.75</v>
      </c>
      <c r="E4912" s="21" t="s">
        <v>5796</v>
      </c>
      <c r="F4912" s="23"/>
      <c r="G4912" s="23">
        <f t="shared" si="19"/>
        <v>0.75</v>
      </c>
      <c r="H4912" s="23"/>
      <c r="I4912" s="23"/>
    </row>
    <row r="4913" spans="1:9">
      <c r="A4913" s="21" t="s">
        <v>10096</v>
      </c>
      <c r="B4913" s="21"/>
      <c r="C4913" s="22">
        <v>4911</v>
      </c>
      <c r="D4913" s="21">
        <v>0.75</v>
      </c>
      <c r="E4913" s="21" t="s">
        <v>5796</v>
      </c>
      <c r="F4913" s="23"/>
      <c r="G4913" s="23">
        <f t="shared" si="19"/>
        <v>0.75</v>
      </c>
      <c r="H4913" s="23"/>
      <c r="I4913" s="23"/>
    </row>
    <row r="4914" spans="1:9">
      <c r="A4914" s="21" t="s">
        <v>10097</v>
      </c>
      <c r="B4914" s="21"/>
      <c r="C4914" s="22">
        <v>4912</v>
      </c>
      <c r="D4914" s="21">
        <v>0.75</v>
      </c>
      <c r="E4914" s="21" t="s">
        <v>5796</v>
      </c>
      <c r="F4914" s="23"/>
      <c r="G4914" s="23">
        <f t="shared" si="19"/>
        <v>0.75</v>
      </c>
      <c r="H4914" s="23"/>
      <c r="I4914" s="23"/>
    </row>
    <row r="4915" spans="1:9">
      <c r="A4915" s="21" t="s">
        <v>10098</v>
      </c>
      <c r="B4915" s="21"/>
      <c r="C4915" s="22">
        <v>4913</v>
      </c>
      <c r="D4915" s="21">
        <v>0.74</v>
      </c>
      <c r="E4915" s="21" t="s">
        <v>5796</v>
      </c>
      <c r="F4915" s="23"/>
      <c r="G4915" s="23">
        <f t="shared" si="19"/>
        <v>0.74</v>
      </c>
      <c r="H4915" s="23"/>
      <c r="I4915" s="23"/>
    </row>
    <row r="4916" spans="1:9">
      <c r="A4916" s="21" t="s">
        <v>10099</v>
      </c>
      <c r="B4916" s="21"/>
      <c r="C4916" s="22">
        <v>4914</v>
      </c>
      <c r="D4916" s="21">
        <v>0.74</v>
      </c>
      <c r="E4916" s="21" t="s">
        <v>5796</v>
      </c>
      <c r="F4916" s="23"/>
      <c r="G4916" s="23">
        <f t="shared" si="19"/>
        <v>0.74</v>
      </c>
      <c r="H4916" s="23"/>
      <c r="I4916" s="23"/>
    </row>
    <row r="4917" spans="1:9">
      <c r="A4917" s="21" t="s">
        <v>10100</v>
      </c>
      <c r="B4917" s="21"/>
      <c r="C4917" s="22">
        <v>4915</v>
      </c>
      <c r="D4917" s="21">
        <v>0.74</v>
      </c>
      <c r="E4917" s="21" t="s">
        <v>5796</v>
      </c>
      <c r="F4917" s="23"/>
      <c r="G4917" s="23">
        <f t="shared" si="19"/>
        <v>0.74</v>
      </c>
      <c r="H4917" s="23"/>
      <c r="I4917" s="23"/>
    </row>
    <row r="4918" spans="1:9">
      <c r="A4918" s="21" t="s">
        <v>10101</v>
      </c>
      <c r="B4918" s="21"/>
      <c r="C4918" s="22">
        <v>4916</v>
      </c>
      <c r="D4918" s="21">
        <v>0.73</v>
      </c>
      <c r="E4918" s="21" t="s">
        <v>5796</v>
      </c>
      <c r="F4918" s="23"/>
      <c r="G4918" s="23">
        <f t="shared" si="19"/>
        <v>0.73</v>
      </c>
      <c r="H4918" s="23"/>
      <c r="I4918" s="23"/>
    </row>
    <row r="4919" spans="1:9">
      <c r="A4919" s="21" t="s">
        <v>10102</v>
      </c>
      <c r="B4919" s="21"/>
      <c r="C4919" s="22">
        <v>4917</v>
      </c>
      <c r="D4919" s="21">
        <v>0.73</v>
      </c>
      <c r="E4919" s="21" t="s">
        <v>5796</v>
      </c>
      <c r="F4919" s="23"/>
      <c r="G4919" s="23">
        <f t="shared" si="19"/>
        <v>0.73</v>
      </c>
      <c r="H4919" s="23"/>
      <c r="I4919" s="23"/>
    </row>
    <row r="4920" spans="1:9">
      <c r="A4920" s="21" t="s">
        <v>10103</v>
      </c>
      <c r="B4920" s="21"/>
      <c r="C4920" s="22">
        <v>4918</v>
      </c>
      <c r="D4920" s="21">
        <v>0.73</v>
      </c>
      <c r="E4920" s="21" t="s">
        <v>5796</v>
      </c>
      <c r="F4920" s="23"/>
      <c r="G4920" s="23">
        <f t="shared" si="19"/>
        <v>0.73</v>
      </c>
      <c r="H4920" s="23"/>
      <c r="I4920" s="23"/>
    </row>
    <row r="4921" spans="1:9">
      <c r="A4921" s="21" t="s">
        <v>10104</v>
      </c>
      <c r="B4921" s="21"/>
      <c r="C4921" s="22">
        <v>4919</v>
      </c>
      <c r="D4921" s="21">
        <v>0.71</v>
      </c>
      <c r="E4921" s="21" t="s">
        <v>5796</v>
      </c>
      <c r="F4921" s="23"/>
      <c r="G4921" s="23">
        <f t="shared" si="19"/>
        <v>0.71</v>
      </c>
      <c r="H4921" s="23"/>
      <c r="I4921" s="23"/>
    </row>
    <row r="4922" spans="1:9">
      <c r="A4922" s="21" t="s">
        <v>10105</v>
      </c>
      <c r="B4922" s="21"/>
      <c r="C4922" s="22">
        <v>4920</v>
      </c>
      <c r="D4922" s="21">
        <v>0.7</v>
      </c>
      <c r="E4922" s="21" t="s">
        <v>5796</v>
      </c>
      <c r="F4922" s="23"/>
      <c r="G4922" s="23">
        <f t="shared" si="19"/>
        <v>0.7</v>
      </c>
      <c r="H4922" s="23"/>
      <c r="I4922" s="23"/>
    </row>
    <row r="4923" spans="1:9">
      <c r="A4923" s="21" t="s">
        <v>10106</v>
      </c>
      <c r="B4923" s="21"/>
      <c r="C4923" s="22">
        <v>4921</v>
      </c>
      <c r="D4923" s="21">
        <v>0.69</v>
      </c>
      <c r="E4923" s="21" t="s">
        <v>5796</v>
      </c>
      <c r="F4923" s="23"/>
      <c r="G4923" s="23">
        <f t="shared" si="19"/>
        <v>0.69</v>
      </c>
      <c r="H4923" s="23"/>
      <c r="I4923" s="23"/>
    </row>
    <row r="4924" spans="1:9">
      <c r="A4924" s="21" t="s">
        <v>10107</v>
      </c>
      <c r="B4924" s="21"/>
      <c r="C4924" s="22">
        <v>4922</v>
      </c>
      <c r="D4924" s="21">
        <v>0.68</v>
      </c>
      <c r="E4924" s="21" t="s">
        <v>5796</v>
      </c>
      <c r="F4924" s="23"/>
      <c r="G4924" s="23">
        <f t="shared" si="19"/>
        <v>0.68</v>
      </c>
      <c r="H4924" s="23"/>
      <c r="I4924" s="23"/>
    </row>
    <row r="4925" spans="1:9">
      <c r="A4925" s="21" t="s">
        <v>10108</v>
      </c>
      <c r="B4925" s="21"/>
      <c r="C4925" s="22">
        <v>4923</v>
      </c>
      <c r="D4925" s="21">
        <v>0.68</v>
      </c>
      <c r="E4925" s="21" t="s">
        <v>5796</v>
      </c>
      <c r="F4925" s="23"/>
      <c r="G4925" s="23">
        <f t="shared" si="19"/>
        <v>0.68</v>
      </c>
      <c r="H4925" s="23"/>
      <c r="I4925" s="23"/>
    </row>
    <row r="4926" spans="1:9">
      <c r="A4926" s="21" t="s">
        <v>10109</v>
      </c>
      <c r="B4926" s="21"/>
      <c r="C4926" s="22">
        <v>4924</v>
      </c>
      <c r="D4926" s="21">
        <v>0.68</v>
      </c>
      <c r="E4926" s="21" t="s">
        <v>5796</v>
      </c>
      <c r="F4926" s="23"/>
      <c r="G4926" s="23">
        <f t="shared" si="19"/>
        <v>0.68</v>
      </c>
      <c r="H4926" s="23"/>
      <c r="I4926" s="23"/>
    </row>
    <row r="4927" spans="1:9">
      <c r="A4927" s="21" t="s">
        <v>10110</v>
      </c>
      <c r="B4927" s="21"/>
      <c r="C4927" s="22">
        <v>4925</v>
      </c>
      <c r="D4927" s="21">
        <v>0.66</v>
      </c>
      <c r="E4927" s="21" t="s">
        <v>5796</v>
      </c>
      <c r="F4927" s="23"/>
      <c r="G4927" s="23">
        <f t="shared" si="19"/>
        <v>0.66</v>
      </c>
      <c r="H4927" s="23"/>
      <c r="I4927" s="23"/>
    </row>
    <row r="4928" spans="1:9">
      <c r="A4928" s="21" t="s">
        <v>10111</v>
      </c>
      <c r="B4928" s="21"/>
      <c r="C4928" s="22">
        <v>4926</v>
      </c>
      <c r="D4928" s="21">
        <v>0.64</v>
      </c>
      <c r="E4928" s="21" t="s">
        <v>5796</v>
      </c>
      <c r="F4928" s="23"/>
      <c r="G4928" s="23">
        <f t="shared" si="19"/>
        <v>0.64</v>
      </c>
      <c r="H4928" s="23"/>
      <c r="I4928" s="23"/>
    </row>
    <row r="4929" spans="1:9">
      <c r="A4929" s="21" t="s">
        <v>10112</v>
      </c>
      <c r="B4929" s="21"/>
      <c r="C4929" s="22">
        <v>4927</v>
      </c>
      <c r="D4929" s="21">
        <v>0.64</v>
      </c>
      <c r="E4929" s="21" t="s">
        <v>5796</v>
      </c>
      <c r="F4929" s="23"/>
      <c r="G4929" s="23">
        <f t="shared" si="19"/>
        <v>0.64</v>
      </c>
      <c r="H4929" s="23"/>
      <c r="I4929" s="23"/>
    </row>
    <row r="4930" spans="1:9">
      <c r="A4930" s="21" t="s">
        <v>10113</v>
      </c>
      <c r="B4930" s="21"/>
      <c r="C4930" s="22">
        <v>4928</v>
      </c>
      <c r="D4930" s="21">
        <v>0.63</v>
      </c>
      <c r="E4930" s="21" t="s">
        <v>5796</v>
      </c>
      <c r="F4930" s="23"/>
      <c r="G4930" s="23">
        <f t="shared" si="19"/>
        <v>0.63</v>
      </c>
      <c r="H4930" s="23"/>
      <c r="I4930" s="23"/>
    </row>
    <row r="4931" spans="1:9">
      <c r="A4931" s="21" t="s">
        <v>10114</v>
      </c>
      <c r="B4931" s="21"/>
      <c r="C4931" s="22">
        <v>4929</v>
      </c>
      <c r="D4931" s="21">
        <v>0.63</v>
      </c>
      <c r="E4931" s="21" t="s">
        <v>5796</v>
      </c>
      <c r="F4931" s="23"/>
      <c r="G4931" s="23">
        <f t="shared" si="19"/>
        <v>0.63</v>
      </c>
      <c r="H4931" s="23"/>
      <c r="I4931" s="23"/>
    </row>
    <row r="4932" spans="1:9">
      <c r="A4932" s="21" t="s">
        <v>10115</v>
      </c>
      <c r="B4932" s="21"/>
      <c r="C4932" s="22">
        <v>4930</v>
      </c>
      <c r="D4932" s="21">
        <v>0.63</v>
      </c>
      <c r="E4932" s="21" t="s">
        <v>5796</v>
      </c>
      <c r="F4932" s="23"/>
      <c r="G4932" s="23">
        <f t="shared" si="19"/>
        <v>0.63</v>
      </c>
      <c r="H4932" s="23"/>
      <c r="I4932" s="23"/>
    </row>
    <row r="4933" spans="1:9">
      <c r="A4933" s="21" t="s">
        <v>10116</v>
      </c>
      <c r="B4933" s="21"/>
      <c r="C4933" s="22">
        <v>4931</v>
      </c>
      <c r="D4933" s="21">
        <v>0.62</v>
      </c>
      <c r="E4933" s="21" t="s">
        <v>5796</v>
      </c>
      <c r="F4933" s="23"/>
      <c r="G4933" s="23">
        <f t="shared" si="19"/>
        <v>0.62</v>
      </c>
      <c r="H4933" s="23"/>
      <c r="I4933" s="23"/>
    </row>
    <row r="4934" spans="1:9">
      <c r="A4934" s="21" t="s">
        <v>10117</v>
      </c>
      <c r="B4934" s="21"/>
      <c r="C4934" s="22">
        <v>4932</v>
      </c>
      <c r="D4934" s="21">
        <v>0.62</v>
      </c>
      <c r="E4934" s="21" t="s">
        <v>5796</v>
      </c>
      <c r="F4934" s="23"/>
      <c r="G4934" s="23">
        <f t="shared" si="19"/>
        <v>0.62</v>
      </c>
      <c r="H4934" s="23"/>
      <c r="I4934" s="23"/>
    </row>
    <row r="4935" spans="1:9">
      <c r="A4935" s="21" t="s">
        <v>10118</v>
      </c>
      <c r="B4935" s="21"/>
      <c r="C4935" s="22">
        <v>4933</v>
      </c>
      <c r="D4935" s="21">
        <v>0.61</v>
      </c>
      <c r="E4935" s="21" t="s">
        <v>5796</v>
      </c>
      <c r="F4935" s="23"/>
      <c r="G4935" s="23">
        <f t="shared" si="19"/>
        <v>0.61</v>
      </c>
      <c r="H4935" s="23"/>
      <c r="I4935" s="23"/>
    </row>
    <row r="4936" spans="1:9">
      <c r="A4936" s="21" t="s">
        <v>10119</v>
      </c>
      <c r="B4936" s="21"/>
      <c r="C4936" s="22">
        <v>4934</v>
      </c>
      <c r="D4936" s="21">
        <v>0.6</v>
      </c>
      <c r="E4936" s="21" t="s">
        <v>5796</v>
      </c>
      <c r="F4936" s="23"/>
      <c r="G4936" s="23">
        <f t="shared" si="19"/>
        <v>0.6</v>
      </c>
      <c r="H4936" s="23"/>
      <c r="I4936" s="23"/>
    </row>
    <row r="4937" spans="1:9">
      <c r="A4937" s="21" t="s">
        <v>10120</v>
      </c>
      <c r="B4937" s="21"/>
      <c r="C4937" s="22">
        <v>4935</v>
      </c>
      <c r="D4937" s="21">
        <v>0.57999999999999996</v>
      </c>
      <c r="E4937" s="21" t="s">
        <v>5796</v>
      </c>
      <c r="F4937" s="23"/>
      <c r="G4937" s="23">
        <f t="shared" si="19"/>
        <v>0.57999999999999996</v>
      </c>
      <c r="H4937" s="23"/>
      <c r="I4937" s="23"/>
    </row>
    <row r="4938" spans="1:9">
      <c r="A4938" s="21" t="s">
        <v>10121</v>
      </c>
      <c r="B4938" s="21"/>
      <c r="C4938" s="22">
        <v>4936</v>
      </c>
      <c r="D4938" s="21">
        <v>0.57999999999999996</v>
      </c>
      <c r="E4938" s="21" t="s">
        <v>5796</v>
      </c>
      <c r="F4938" s="23"/>
      <c r="G4938" s="23">
        <f t="shared" si="19"/>
        <v>0.57999999999999996</v>
      </c>
      <c r="H4938" s="23"/>
      <c r="I4938" s="23"/>
    </row>
    <row r="4939" spans="1:9">
      <c r="A4939" s="21" t="s">
        <v>10122</v>
      </c>
      <c r="B4939" s="21"/>
      <c r="C4939" s="22">
        <v>4937</v>
      </c>
      <c r="D4939" s="21">
        <v>0.57999999999999996</v>
      </c>
      <c r="E4939" s="21" t="s">
        <v>5796</v>
      </c>
      <c r="F4939" s="23"/>
      <c r="G4939" s="23">
        <f t="shared" si="19"/>
        <v>0.57999999999999996</v>
      </c>
      <c r="H4939" s="23"/>
      <c r="I4939" s="23"/>
    </row>
    <row r="4940" spans="1:9">
      <c r="A4940" s="21" t="s">
        <v>10123</v>
      </c>
      <c r="B4940" s="21"/>
      <c r="C4940" s="22">
        <v>4938</v>
      </c>
      <c r="D4940" s="21">
        <v>0.57999999999999996</v>
      </c>
      <c r="E4940" s="21" t="s">
        <v>5796</v>
      </c>
      <c r="F4940" s="23"/>
      <c r="G4940" s="23">
        <f t="shared" si="19"/>
        <v>0.57999999999999996</v>
      </c>
      <c r="H4940" s="23"/>
      <c r="I4940" s="23"/>
    </row>
    <row r="4941" spans="1:9">
      <c r="A4941" s="21" t="s">
        <v>10124</v>
      </c>
      <c r="B4941" s="21"/>
      <c r="C4941" s="22">
        <v>4939</v>
      </c>
      <c r="D4941" s="21">
        <v>0.56000000000000005</v>
      </c>
      <c r="E4941" s="21" t="s">
        <v>5796</v>
      </c>
      <c r="F4941" s="23"/>
      <c r="G4941" s="23">
        <f t="shared" si="19"/>
        <v>0.56000000000000005</v>
      </c>
      <c r="H4941" s="23"/>
      <c r="I4941" s="23"/>
    </row>
    <row r="4942" spans="1:9">
      <c r="A4942" s="21" t="s">
        <v>10125</v>
      </c>
      <c r="B4942" s="21"/>
      <c r="C4942" s="22">
        <v>4940</v>
      </c>
      <c r="D4942" s="21">
        <v>0.56000000000000005</v>
      </c>
      <c r="E4942" s="21" t="s">
        <v>5796</v>
      </c>
      <c r="F4942" s="23"/>
      <c r="G4942" s="23">
        <f t="shared" si="19"/>
        <v>0.56000000000000005</v>
      </c>
      <c r="H4942" s="23"/>
      <c r="I4942" s="23"/>
    </row>
    <row r="4943" spans="1:9">
      <c r="A4943" s="21" t="s">
        <v>10126</v>
      </c>
      <c r="B4943" s="21"/>
      <c r="C4943" s="22">
        <v>4941</v>
      </c>
      <c r="D4943" s="21">
        <v>0.55000000000000004</v>
      </c>
      <c r="E4943" s="21" t="s">
        <v>5796</v>
      </c>
      <c r="F4943" s="23"/>
      <c r="G4943" s="23">
        <f t="shared" si="19"/>
        <v>0.55000000000000004</v>
      </c>
      <c r="H4943" s="23"/>
      <c r="I4943" s="23"/>
    </row>
    <row r="4944" spans="1:9">
      <c r="A4944" s="21" t="s">
        <v>10127</v>
      </c>
      <c r="B4944" s="21"/>
      <c r="C4944" s="22">
        <v>4942</v>
      </c>
      <c r="D4944" s="21">
        <v>0.54</v>
      </c>
      <c r="E4944" s="21" t="s">
        <v>5796</v>
      </c>
      <c r="F4944" s="23"/>
      <c r="G4944" s="23">
        <f t="shared" si="19"/>
        <v>0.54</v>
      </c>
      <c r="H4944" s="23"/>
      <c r="I4944" s="23"/>
    </row>
    <row r="4945" spans="1:9">
      <c r="A4945" s="21" t="s">
        <v>10128</v>
      </c>
      <c r="B4945" s="21"/>
      <c r="C4945" s="22">
        <v>4943</v>
      </c>
      <c r="D4945" s="21">
        <v>0.54</v>
      </c>
      <c r="E4945" s="21" t="s">
        <v>5796</v>
      </c>
      <c r="F4945" s="23"/>
      <c r="G4945" s="23">
        <f t="shared" si="19"/>
        <v>0.54</v>
      </c>
      <c r="H4945" s="23"/>
      <c r="I4945" s="23"/>
    </row>
    <row r="4946" spans="1:9">
      <c r="A4946" s="21" t="s">
        <v>10129</v>
      </c>
      <c r="B4946" s="21"/>
      <c r="C4946" s="22">
        <v>4944</v>
      </c>
      <c r="D4946" s="21">
        <v>0.52</v>
      </c>
      <c r="E4946" s="21" t="s">
        <v>5796</v>
      </c>
      <c r="F4946" s="23"/>
      <c r="G4946" s="23">
        <f t="shared" si="19"/>
        <v>0.52</v>
      </c>
      <c r="H4946" s="23"/>
      <c r="I4946" s="23"/>
    </row>
    <row r="4947" spans="1:9">
      <c r="A4947" s="21" t="s">
        <v>10130</v>
      </c>
      <c r="B4947" s="21"/>
      <c r="C4947" s="22">
        <v>4945</v>
      </c>
      <c r="D4947" s="21">
        <v>0.5</v>
      </c>
      <c r="E4947" s="21" t="s">
        <v>5796</v>
      </c>
      <c r="F4947" s="23"/>
      <c r="G4947" s="23">
        <f t="shared" si="19"/>
        <v>0.5</v>
      </c>
      <c r="H4947" s="23"/>
      <c r="I4947" s="23"/>
    </row>
    <row r="4948" spans="1:9">
      <c r="A4948" s="21" t="s">
        <v>10131</v>
      </c>
      <c r="B4948" s="21"/>
      <c r="C4948" s="22">
        <v>4946</v>
      </c>
      <c r="D4948" s="21">
        <v>0.5</v>
      </c>
      <c r="E4948" s="21" t="s">
        <v>5796</v>
      </c>
      <c r="F4948" s="23"/>
      <c r="G4948" s="23">
        <f t="shared" si="19"/>
        <v>0.5</v>
      </c>
      <c r="H4948" s="23"/>
      <c r="I4948" s="23"/>
    </row>
    <row r="4949" spans="1:9">
      <c r="A4949" s="21" t="s">
        <v>10132</v>
      </c>
      <c r="B4949" s="21"/>
      <c r="C4949" s="22">
        <v>4947</v>
      </c>
      <c r="D4949" s="21">
        <v>0.5</v>
      </c>
      <c r="E4949" s="21" t="s">
        <v>5796</v>
      </c>
      <c r="F4949" s="23"/>
      <c r="G4949" s="23">
        <f t="shared" si="19"/>
        <v>0.5</v>
      </c>
      <c r="H4949" s="23"/>
      <c r="I4949" s="23"/>
    </row>
    <row r="4950" spans="1:9">
      <c r="A4950" s="21" t="s">
        <v>10133</v>
      </c>
      <c r="B4950" s="21"/>
      <c r="C4950" s="22">
        <v>4948</v>
      </c>
      <c r="D4950" s="21">
        <v>0.5</v>
      </c>
      <c r="E4950" s="21" t="s">
        <v>5796</v>
      </c>
      <c r="F4950" s="23"/>
      <c r="G4950" s="23">
        <f t="shared" si="19"/>
        <v>0.5</v>
      </c>
      <c r="H4950" s="23"/>
      <c r="I4950" s="23"/>
    </row>
    <row r="4951" spans="1:9">
      <c r="A4951" s="21" t="s">
        <v>10134</v>
      </c>
      <c r="B4951" s="21"/>
      <c r="C4951" s="22">
        <v>4949</v>
      </c>
      <c r="D4951" s="21">
        <v>0.5</v>
      </c>
      <c r="E4951" s="21" t="s">
        <v>5796</v>
      </c>
      <c r="F4951" s="23"/>
      <c r="G4951" s="23">
        <f t="shared" si="19"/>
        <v>0.5</v>
      </c>
      <c r="H4951" s="23"/>
      <c r="I4951" s="23"/>
    </row>
    <row r="4952" spans="1:9">
      <c r="A4952" s="21" t="s">
        <v>10135</v>
      </c>
      <c r="B4952" s="21"/>
      <c r="C4952" s="22">
        <v>4950</v>
      </c>
      <c r="D4952" s="21">
        <v>0.49</v>
      </c>
      <c r="E4952" s="21" t="s">
        <v>5796</v>
      </c>
      <c r="F4952" s="23"/>
      <c r="G4952" s="23">
        <f t="shared" si="19"/>
        <v>0.49</v>
      </c>
      <c r="H4952" s="23"/>
      <c r="I4952" s="23"/>
    </row>
    <row r="4953" spans="1:9">
      <c r="A4953" s="21" t="s">
        <v>10136</v>
      </c>
      <c r="B4953" s="21"/>
      <c r="C4953" s="22">
        <v>4951</v>
      </c>
      <c r="D4953" s="21">
        <v>0.48</v>
      </c>
      <c r="E4953" s="21" t="s">
        <v>5796</v>
      </c>
      <c r="F4953" s="23"/>
      <c r="G4953" s="23">
        <f t="shared" si="19"/>
        <v>0.48</v>
      </c>
      <c r="H4953" s="23"/>
      <c r="I4953" s="23"/>
    </row>
    <row r="4954" spans="1:9">
      <c r="A4954" s="21" t="s">
        <v>10137</v>
      </c>
      <c r="B4954" s="21"/>
      <c r="C4954" s="22">
        <v>4952</v>
      </c>
      <c r="D4954" s="21">
        <v>0.48</v>
      </c>
      <c r="E4954" s="21" t="s">
        <v>5796</v>
      </c>
      <c r="F4954" s="23"/>
      <c r="G4954" s="23">
        <f t="shared" si="19"/>
        <v>0.48</v>
      </c>
      <c r="H4954" s="23"/>
      <c r="I4954" s="23"/>
    </row>
    <row r="4955" spans="1:9">
      <c r="A4955" s="21" t="s">
        <v>10138</v>
      </c>
      <c r="B4955" s="21"/>
      <c r="C4955" s="22">
        <v>4953</v>
      </c>
      <c r="D4955" s="21">
        <v>0.48</v>
      </c>
      <c r="E4955" s="21" t="s">
        <v>5796</v>
      </c>
      <c r="F4955" s="23"/>
      <c r="G4955" s="23">
        <f t="shared" si="19"/>
        <v>0.48</v>
      </c>
      <c r="H4955" s="23"/>
      <c r="I4955" s="23"/>
    </row>
    <row r="4956" spans="1:9">
      <c r="A4956" s="21" t="s">
        <v>10139</v>
      </c>
      <c r="B4956" s="21"/>
      <c r="C4956" s="22">
        <v>4954</v>
      </c>
      <c r="D4956" s="21">
        <v>0.47</v>
      </c>
      <c r="E4956" s="21" t="s">
        <v>5796</v>
      </c>
      <c r="F4956" s="23"/>
      <c r="G4956" s="23">
        <f t="shared" si="19"/>
        <v>0.47</v>
      </c>
      <c r="H4956" s="23"/>
      <c r="I4956" s="23"/>
    </row>
    <row r="4957" spans="1:9">
      <c r="A4957" s="21" t="s">
        <v>10140</v>
      </c>
      <c r="B4957" s="21"/>
      <c r="C4957" s="22">
        <v>4955</v>
      </c>
      <c r="D4957" s="21">
        <v>0.47</v>
      </c>
      <c r="E4957" s="21" t="s">
        <v>5796</v>
      </c>
      <c r="F4957" s="23"/>
      <c r="G4957" s="23">
        <f t="shared" si="19"/>
        <v>0.47</v>
      </c>
      <c r="H4957" s="23"/>
      <c r="I4957" s="23"/>
    </row>
    <row r="4958" spans="1:9">
      <c r="A4958" s="21" t="s">
        <v>10141</v>
      </c>
      <c r="B4958" s="21"/>
      <c r="C4958" s="22">
        <v>4956</v>
      </c>
      <c r="D4958" s="21">
        <v>0.46</v>
      </c>
      <c r="E4958" s="21" t="s">
        <v>5796</v>
      </c>
      <c r="F4958" s="23"/>
      <c r="G4958" s="23">
        <f t="shared" si="19"/>
        <v>0.46</v>
      </c>
      <c r="H4958" s="23"/>
      <c r="I4958" s="23"/>
    </row>
    <row r="4959" spans="1:9">
      <c r="A4959" s="21" t="s">
        <v>10142</v>
      </c>
      <c r="B4959" s="21"/>
      <c r="C4959" s="22">
        <v>4957</v>
      </c>
      <c r="D4959" s="21">
        <v>0.46</v>
      </c>
      <c r="E4959" s="21" t="s">
        <v>5796</v>
      </c>
      <c r="F4959" s="23"/>
      <c r="G4959" s="23">
        <f t="shared" si="19"/>
        <v>0.46</v>
      </c>
      <c r="H4959" s="23"/>
      <c r="I4959" s="23"/>
    </row>
    <row r="4960" spans="1:9">
      <c r="A4960" s="21" t="s">
        <v>10143</v>
      </c>
      <c r="B4960" s="21"/>
      <c r="C4960" s="22">
        <v>4958</v>
      </c>
      <c r="D4960" s="21">
        <v>0.46</v>
      </c>
      <c r="E4960" s="21" t="s">
        <v>5796</v>
      </c>
      <c r="F4960" s="23"/>
      <c r="G4960" s="23">
        <f t="shared" si="19"/>
        <v>0.46</v>
      </c>
      <c r="H4960" s="23"/>
      <c r="I4960" s="23"/>
    </row>
    <row r="4961" spans="1:9">
      <c r="A4961" s="21" t="s">
        <v>10144</v>
      </c>
      <c r="B4961" s="21"/>
      <c r="C4961" s="22">
        <v>4959</v>
      </c>
      <c r="D4961" s="21">
        <v>0.46</v>
      </c>
      <c r="E4961" s="21" t="s">
        <v>5796</v>
      </c>
      <c r="F4961" s="23"/>
      <c r="G4961" s="23">
        <f t="shared" si="19"/>
        <v>0.46</v>
      </c>
      <c r="H4961" s="23"/>
      <c r="I4961" s="23"/>
    </row>
    <row r="4962" spans="1:9">
      <c r="A4962" s="21" t="s">
        <v>10145</v>
      </c>
      <c r="B4962" s="21"/>
      <c r="C4962" s="22">
        <v>4960</v>
      </c>
      <c r="D4962" s="21">
        <v>0.46</v>
      </c>
      <c r="E4962" s="21" t="s">
        <v>5796</v>
      </c>
      <c r="F4962" s="23"/>
      <c r="G4962" s="23">
        <f t="shared" si="19"/>
        <v>0.46</v>
      </c>
      <c r="H4962" s="23"/>
      <c r="I4962" s="23"/>
    </row>
    <row r="4963" spans="1:9">
      <c r="A4963" s="21" t="s">
        <v>10146</v>
      </c>
      <c r="B4963" s="21"/>
      <c r="C4963" s="22">
        <v>4961</v>
      </c>
      <c r="D4963" s="21">
        <v>0.45</v>
      </c>
      <c r="E4963" s="21" t="s">
        <v>5796</v>
      </c>
      <c r="F4963" s="23"/>
      <c r="G4963" s="23">
        <f t="shared" si="19"/>
        <v>0.45</v>
      </c>
      <c r="H4963" s="23"/>
      <c r="I4963" s="23"/>
    </row>
    <row r="4964" spans="1:9">
      <c r="A4964" s="21" t="s">
        <v>10147</v>
      </c>
      <c r="B4964" s="21"/>
      <c r="C4964" s="22">
        <v>4962</v>
      </c>
      <c r="D4964" s="21">
        <v>0.45</v>
      </c>
      <c r="E4964" s="21" t="s">
        <v>5796</v>
      </c>
      <c r="F4964" s="23"/>
      <c r="G4964" s="23">
        <f t="shared" si="19"/>
        <v>0.45</v>
      </c>
      <c r="H4964" s="23"/>
      <c r="I4964" s="23"/>
    </row>
    <row r="4965" spans="1:9">
      <c r="A4965" s="21" t="s">
        <v>10148</v>
      </c>
      <c r="B4965" s="21"/>
      <c r="C4965" s="22">
        <v>4963</v>
      </c>
      <c r="D4965" s="21">
        <v>0.44</v>
      </c>
      <c r="E4965" s="21" t="s">
        <v>5796</v>
      </c>
      <c r="F4965" s="23"/>
      <c r="G4965" s="23">
        <f t="shared" si="19"/>
        <v>0.44</v>
      </c>
      <c r="H4965" s="23"/>
      <c r="I4965" s="23"/>
    </row>
    <row r="4966" spans="1:9">
      <c r="A4966" s="21" t="s">
        <v>10149</v>
      </c>
      <c r="B4966" s="21"/>
      <c r="C4966" s="22">
        <v>4964</v>
      </c>
      <c r="D4966" s="21">
        <v>0.44</v>
      </c>
      <c r="E4966" s="21" t="s">
        <v>5796</v>
      </c>
      <c r="F4966" s="23"/>
      <c r="G4966" s="23">
        <f t="shared" si="19"/>
        <v>0.44</v>
      </c>
      <c r="H4966" s="23"/>
      <c r="I4966" s="23"/>
    </row>
    <row r="4967" spans="1:9">
      <c r="A4967" s="21" t="s">
        <v>10150</v>
      </c>
      <c r="B4967" s="21"/>
      <c r="C4967" s="22">
        <v>4965</v>
      </c>
      <c r="D4967" s="21">
        <v>0.43</v>
      </c>
      <c r="E4967" s="21" t="s">
        <v>5796</v>
      </c>
      <c r="F4967" s="23"/>
      <c r="G4967" s="23">
        <f t="shared" si="19"/>
        <v>0.43</v>
      </c>
      <c r="H4967" s="23"/>
      <c r="I4967" s="23"/>
    </row>
    <row r="4968" spans="1:9">
      <c r="A4968" s="21" t="s">
        <v>10151</v>
      </c>
      <c r="B4968" s="21"/>
      <c r="C4968" s="22">
        <v>4966</v>
      </c>
      <c r="D4968" s="21">
        <v>0.43</v>
      </c>
      <c r="E4968" s="21" t="s">
        <v>5796</v>
      </c>
      <c r="F4968" s="23"/>
      <c r="G4968" s="23">
        <f t="shared" si="19"/>
        <v>0.43</v>
      </c>
      <c r="H4968" s="23"/>
      <c r="I4968" s="23"/>
    </row>
    <row r="4969" spans="1:9">
      <c r="A4969" s="21" t="s">
        <v>10152</v>
      </c>
      <c r="B4969" s="21"/>
      <c r="C4969" s="22">
        <v>4967</v>
      </c>
      <c r="D4969" s="21">
        <v>0.42</v>
      </c>
      <c r="E4969" s="21" t="s">
        <v>5796</v>
      </c>
      <c r="F4969" s="23"/>
      <c r="G4969" s="23">
        <f t="shared" si="19"/>
        <v>0.42</v>
      </c>
      <c r="H4969" s="23"/>
      <c r="I4969" s="23"/>
    </row>
    <row r="4970" spans="1:9">
      <c r="A4970" s="21" t="s">
        <v>10153</v>
      </c>
      <c r="B4970" s="21"/>
      <c r="C4970" s="22">
        <v>4968</v>
      </c>
      <c r="D4970" s="21">
        <v>0.4</v>
      </c>
      <c r="E4970" s="21" t="s">
        <v>5796</v>
      </c>
      <c r="F4970" s="23"/>
      <c r="G4970" s="23">
        <f t="shared" si="19"/>
        <v>0.4</v>
      </c>
      <c r="H4970" s="23"/>
      <c r="I4970" s="23"/>
    </row>
    <row r="4971" spans="1:9">
      <c r="A4971" s="21" t="s">
        <v>10154</v>
      </c>
      <c r="B4971" s="21"/>
      <c r="C4971" s="22">
        <v>4969</v>
      </c>
      <c r="D4971" s="21">
        <v>0.4</v>
      </c>
      <c r="E4971" s="21" t="s">
        <v>5796</v>
      </c>
      <c r="F4971" s="23"/>
      <c r="G4971" s="23">
        <f t="shared" si="19"/>
        <v>0.4</v>
      </c>
      <c r="H4971" s="23"/>
      <c r="I4971" s="23"/>
    </row>
    <row r="4972" spans="1:9">
      <c r="A4972" s="21" t="s">
        <v>10155</v>
      </c>
      <c r="B4972" s="21"/>
      <c r="C4972" s="22">
        <v>4970</v>
      </c>
      <c r="D4972" s="21">
        <v>0.39</v>
      </c>
      <c r="E4972" s="21" t="s">
        <v>5796</v>
      </c>
      <c r="F4972" s="23"/>
      <c r="G4972" s="23">
        <f t="shared" si="19"/>
        <v>0.39</v>
      </c>
      <c r="H4972" s="23"/>
      <c r="I4972" s="23"/>
    </row>
    <row r="4973" spans="1:9">
      <c r="A4973" s="21" t="s">
        <v>10156</v>
      </c>
      <c r="B4973" s="21"/>
      <c r="C4973" s="22">
        <v>4971</v>
      </c>
      <c r="D4973" s="21">
        <v>0.38</v>
      </c>
      <c r="E4973" s="21" t="s">
        <v>5796</v>
      </c>
      <c r="F4973" s="23"/>
      <c r="G4973" s="23">
        <f t="shared" si="19"/>
        <v>0.38</v>
      </c>
      <c r="H4973" s="23"/>
      <c r="I4973" s="23"/>
    </row>
    <row r="4974" spans="1:9">
      <c r="A4974" s="21" t="s">
        <v>10157</v>
      </c>
      <c r="B4974" s="21"/>
      <c r="C4974" s="22">
        <v>4972</v>
      </c>
      <c r="D4974" s="21">
        <v>0.38</v>
      </c>
      <c r="E4974" s="21" t="s">
        <v>5796</v>
      </c>
      <c r="F4974" s="23"/>
      <c r="G4974" s="23">
        <f t="shared" si="19"/>
        <v>0.38</v>
      </c>
      <c r="H4974" s="23"/>
      <c r="I4974" s="23"/>
    </row>
    <row r="4975" spans="1:9">
      <c r="A4975" s="21" t="s">
        <v>10158</v>
      </c>
      <c r="B4975" s="21"/>
      <c r="C4975" s="22">
        <v>4973</v>
      </c>
      <c r="D4975" s="21">
        <v>0.38</v>
      </c>
      <c r="E4975" s="21" t="s">
        <v>5796</v>
      </c>
      <c r="F4975" s="23"/>
      <c r="G4975" s="23">
        <f t="shared" si="19"/>
        <v>0.38</v>
      </c>
      <c r="H4975" s="23"/>
      <c r="I4975" s="23"/>
    </row>
    <row r="4976" spans="1:9">
      <c r="A4976" s="21" t="s">
        <v>10159</v>
      </c>
      <c r="B4976" s="21"/>
      <c r="C4976" s="22">
        <v>4974</v>
      </c>
      <c r="D4976" s="21">
        <v>0.37</v>
      </c>
      <c r="E4976" s="21" t="s">
        <v>5796</v>
      </c>
      <c r="F4976" s="23"/>
      <c r="G4976" s="23">
        <f t="shared" si="19"/>
        <v>0.37</v>
      </c>
      <c r="H4976" s="23"/>
      <c r="I4976" s="23"/>
    </row>
    <row r="4977" spans="1:9">
      <c r="A4977" s="21" t="s">
        <v>10160</v>
      </c>
      <c r="B4977" s="21"/>
      <c r="C4977" s="22">
        <v>4975</v>
      </c>
      <c r="D4977" s="21">
        <v>0.37</v>
      </c>
      <c r="E4977" s="21" t="s">
        <v>5796</v>
      </c>
      <c r="F4977" s="23"/>
      <c r="G4977" s="23">
        <f t="shared" si="19"/>
        <v>0.37</v>
      </c>
      <c r="H4977" s="23"/>
      <c r="I4977" s="23"/>
    </row>
    <row r="4978" spans="1:9">
      <c r="A4978" s="21" t="s">
        <v>10161</v>
      </c>
      <c r="B4978" s="21"/>
      <c r="C4978" s="22">
        <v>4976</v>
      </c>
      <c r="D4978" s="21">
        <v>0.37</v>
      </c>
      <c r="E4978" s="21" t="s">
        <v>5796</v>
      </c>
      <c r="F4978" s="23"/>
      <c r="G4978" s="23">
        <f t="shared" si="19"/>
        <v>0.37</v>
      </c>
      <c r="H4978" s="23"/>
      <c r="I4978" s="23"/>
    </row>
    <row r="4979" spans="1:9">
      <c r="A4979" s="21" t="s">
        <v>10162</v>
      </c>
      <c r="B4979" s="21"/>
      <c r="C4979" s="22">
        <v>4977</v>
      </c>
      <c r="D4979" s="21">
        <v>0.37</v>
      </c>
      <c r="E4979" s="21" t="s">
        <v>5796</v>
      </c>
      <c r="F4979" s="23"/>
      <c r="G4979" s="23">
        <f t="shared" si="19"/>
        <v>0.37</v>
      </c>
      <c r="H4979" s="23"/>
      <c r="I4979" s="23"/>
    </row>
    <row r="4980" spans="1:9">
      <c r="A4980" s="21" t="s">
        <v>10163</v>
      </c>
      <c r="B4980" s="21"/>
      <c r="C4980" s="22">
        <v>4978</v>
      </c>
      <c r="D4980" s="21">
        <v>0.36</v>
      </c>
      <c r="E4980" s="21" t="s">
        <v>5796</v>
      </c>
      <c r="F4980" s="23"/>
      <c r="G4980" s="23">
        <f t="shared" si="19"/>
        <v>0.36</v>
      </c>
      <c r="H4980" s="23"/>
      <c r="I4980" s="23"/>
    </row>
    <row r="4981" spans="1:9">
      <c r="A4981" s="21" t="s">
        <v>10164</v>
      </c>
      <c r="B4981" s="21"/>
      <c r="C4981" s="22">
        <v>4979</v>
      </c>
      <c r="D4981" s="21">
        <v>0.36</v>
      </c>
      <c r="E4981" s="21" t="s">
        <v>5796</v>
      </c>
      <c r="F4981" s="23"/>
      <c r="G4981" s="23">
        <f t="shared" si="19"/>
        <v>0.36</v>
      </c>
      <c r="H4981" s="23"/>
      <c r="I4981" s="23"/>
    </row>
    <row r="4982" spans="1:9">
      <c r="A4982" s="21" t="s">
        <v>10165</v>
      </c>
      <c r="B4982" s="21"/>
      <c r="C4982" s="22">
        <v>4980</v>
      </c>
      <c r="D4982" s="21">
        <v>0.36</v>
      </c>
      <c r="E4982" s="21" t="s">
        <v>5796</v>
      </c>
      <c r="F4982" s="23"/>
      <c r="G4982" s="23">
        <f t="shared" si="19"/>
        <v>0.36</v>
      </c>
      <c r="H4982" s="23"/>
      <c r="I4982" s="23"/>
    </row>
    <row r="4983" spans="1:9">
      <c r="A4983" s="21" t="s">
        <v>10166</v>
      </c>
      <c r="B4983" s="21"/>
      <c r="C4983" s="22">
        <v>4981</v>
      </c>
      <c r="D4983" s="21">
        <v>0.36</v>
      </c>
      <c r="E4983" s="21" t="s">
        <v>5796</v>
      </c>
      <c r="F4983" s="23"/>
      <c r="G4983" s="23">
        <f t="shared" si="19"/>
        <v>0.36</v>
      </c>
      <c r="H4983" s="23"/>
      <c r="I4983" s="23"/>
    </row>
    <row r="4984" spans="1:9">
      <c r="A4984" s="21" t="s">
        <v>10167</v>
      </c>
      <c r="B4984" s="21"/>
      <c r="C4984" s="22">
        <v>4982</v>
      </c>
      <c r="D4984" s="21">
        <v>0.35</v>
      </c>
      <c r="E4984" s="21" t="s">
        <v>5796</v>
      </c>
      <c r="F4984" s="23"/>
      <c r="G4984" s="23">
        <f t="shared" si="19"/>
        <v>0.35</v>
      </c>
      <c r="H4984" s="23"/>
      <c r="I4984" s="23"/>
    </row>
    <row r="4985" spans="1:9">
      <c r="A4985" s="21" t="s">
        <v>10168</v>
      </c>
      <c r="B4985" s="21"/>
      <c r="C4985" s="22">
        <v>4983</v>
      </c>
      <c r="D4985" s="21">
        <v>0.35</v>
      </c>
      <c r="E4985" s="21" t="s">
        <v>5796</v>
      </c>
      <c r="F4985" s="23"/>
      <c r="G4985" s="23">
        <f t="shared" si="19"/>
        <v>0.35</v>
      </c>
      <c r="H4985" s="23"/>
      <c r="I4985" s="23"/>
    </row>
    <row r="4986" spans="1:9">
      <c r="A4986" s="21" t="s">
        <v>10169</v>
      </c>
      <c r="B4986" s="21"/>
      <c r="C4986" s="22">
        <v>4984</v>
      </c>
      <c r="D4986" s="21">
        <v>0.34</v>
      </c>
      <c r="E4986" s="21" t="s">
        <v>5796</v>
      </c>
      <c r="F4986" s="23"/>
      <c r="G4986" s="23">
        <f t="shared" si="19"/>
        <v>0.34</v>
      </c>
      <c r="H4986" s="23"/>
      <c r="I4986" s="23"/>
    </row>
    <row r="4987" spans="1:9">
      <c r="A4987" s="21" t="s">
        <v>10170</v>
      </c>
      <c r="B4987" s="21"/>
      <c r="C4987" s="22">
        <v>4985</v>
      </c>
      <c r="D4987" s="21">
        <v>0.34</v>
      </c>
      <c r="E4987" s="21" t="s">
        <v>5796</v>
      </c>
      <c r="F4987" s="23"/>
      <c r="G4987" s="23">
        <f t="shared" si="19"/>
        <v>0.34</v>
      </c>
      <c r="H4987" s="23"/>
      <c r="I4987" s="23"/>
    </row>
    <row r="4988" spans="1:9">
      <c r="A4988" s="21" t="s">
        <v>10171</v>
      </c>
      <c r="B4988" s="21"/>
      <c r="C4988" s="22">
        <v>4986</v>
      </c>
      <c r="D4988" s="21">
        <v>0.33</v>
      </c>
      <c r="E4988" s="21" t="s">
        <v>5796</v>
      </c>
      <c r="F4988" s="23"/>
      <c r="G4988" s="23">
        <f t="shared" si="19"/>
        <v>0.33</v>
      </c>
      <c r="H4988" s="23"/>
      <c r="I4988" s="23"/>
    </row>
    <row r="4989" spans="1:9">
      <c r="A4989" s="21" t="s">
        <v>10172</v>
      </c>
      <c r="B4989" s="21"/>
      <c r="C4989" s="22">
        <v>4987</v>
      </c>
      <c r="D4989" s="21">
        <v>0.32</v>
      </c>
      <c r="E4989" s="21" t="s">
        <v>5796</v>
      </c>
      <c r="F4989" s="23"/>
      <c r="G4989" s="23">
        <f t="shared" si="19"/>
        <v>0.32</v>
      </c>
      <c r="H4989" s="23"/>
      <c r="I4989" s="23"/>
    </row>
    <row r="4990" spans="1:9">
      <c r="A4990" s="21" t="s">
        <v>10173</v>
      </c>
      <c r="B4990" s="21"/>
      <c r="C4990" s="22">
        <v>4988</v>
      </c>
      <c r="D4990" s="21">
        <v>0.32</v>
      </c>
      <c r="E4990" s="21" t="s">
        <v>5796</v>
      </c>
      <c r="F4990" s="23"/>
      <c r="G4990" s="23">
        <f t="shared" si="19"/>
        <v>0.32</v>
      </c>
      <c r="H4990" s="23"/>
      <c r="I4990" s="23"/>
    </row>
    <row r="4991" spans="1:9">
      <c r="A4991" s="21" t="s">
        <v>10174</v>
      </c>
      <c r="B4991" s="21"/>
      <c r="C4991" s="22">
        <v>4989</v>
      </c>
      <c r="D4991" s="21">
        <v>0.32</v>
      </c>
      <c r="E4991" s="21" t="s">
        <v>5796</v>
      </c>
      <c r="F4991" s="23"/>
      <c r="G4991" s="23">
        <f t="shared" si="19"/>
        <v>0.32</v>
      </c>
      <c r="H4991" s="23"/>
      <c r="I4991" s="23"/>
    </row>
    <row r="4992" spans="1:9">
      <c r="A4992" s="21" t="s">
        <v>10175</v>
      </c>
      <c r="B4992" s="21"/>
      <c r="C4992" s="22">
        <v>4990</v>
      </c>
      <c r="D4992" s="21">
        <v>0.32</v>
      </c>
      <c r="E4992" s="21" t="s">
        <v>5796</v>
      </c>
      <c r="F4992" s="23"/>
      <c r="G4992" s="23">
        <f t="shared" si="19"/>
        <v>0.32</v>
      </c>
      <c r="H4992" s="23"/>
      <c r="I4992" s="23"/>
    </row>
    <row r="4993" spans="1:9">
      <c r="A4993" s="21" t="s">
        <v>10176</v>
      </c>
      <c r="B4993" s="21"/>
      <c r="C4993" s="22">
        <v>4991</v>
      </c>
      <c r="D4993" s="21">
        <v>0.32</v>
      </c>
      <c r="E4993" s="21" t="s">
        <v>5796</v>
      </c>
      <c r="F4993" s="23"/>
      <c r="G4993" s="23">
        <f t="shared" si="19"/>
        <v>0.32</v>
      </c>
      <c r="H4993" s="23"/>
      <c r="I4993" s="23"/>
    </row>
    <row r="4994" spans="1:9">
      <c r="A4994" s="21" t="s">
        <v>10177</v>
      </c>
      <c r="B4994" s="21"/>
      <c r="C4994" s="22">
        <v>4992</v>
      </c>
      <c r="D4994" s="21">
        <v>0.32</v>
      </c>
      <c r="E4994" s="21" t="s">
        <v>5796</v>
      </c>
      <c r="F4994" s="23"/>
      <c r="G4994" s="23">
        <f t="shared" si="19"/>
        <v>0.32</v>
      </c>
      <c r="H4994" s="23"/>
      <c r="I4994" s="23"/>
    </row>
    <row r="4995" spans="1:9">
      <c r="A4995" s="21" t="s">
        <v>10178</v>
      </c>
      <c r="B4995" s="21"/>
      <c r="C4995" s="22">
        <v>4993</v>
      </c>
      <c r="D4995" s="21">
        <v>0.31</v>
      </c>
      <c r="E4995" s="21" t="s">
        <v>5796</v>
      </c>
      <c r="F4995" s="23"/>
      <c r="G4995" s="23">
        <f t="shared" si="19"/>
        <v>0.31</v>
      </c>
      <c r="H4995" s="23"/>
      <c r="I4995" s="23"/>
    </row>
    <row r="4996" spans="1:9">
      <c r="A4996" s="21" t="s">
        <v>10179</v>
      </c>
      <c r="B4996" s="21"/>
      <c r="C4996" s="22">
        <v>4994</v>
      </c>
      <c r="D4996" s="21">
        <v>0.28999999999999998</v>
      </c>
      <c r="E4996" s="21" t="s">
        <v>5796</v>
      </c>
      <c r="F4996" s="23"/>
      <c r="G4996" s="23">
        <f t="shared" si="19"/>
        <v>0.28999999999999998</v>
      </c>
      <c r="H4996" s="23"/>
      <c r="I4996" s="23"/>
    </row>
    <row r="4997" spans="1:9">
      <c r="A4997" s="21" t="s">
        <v>10180</v>
      </c>
      <c r="B4997" s="21"/>
      <c r="C4997" s="22">
        <v>4995</v>
      </c>
      <c r="D4997" s="21">
        <v>0.27</v>
      </c>
      <c r="E4997" s="21" t="s">
        <v>5796</v>
      </c>
      <c r="F4997" s="23"/>
      <c r="G4997" s="23">
        <f t="shared" si="19"/>
        <v>0.27</v>
      </c>
      <c r="H4997" s="23"/>
      <c r="I4997" s="23"/>
    </row>
    <row r="4998" spans="1:9">
      <c r="A4998" s="21" t="s">
        <v>10181</v>
      </c>
      <c r="B4998" s="21"/>
      <c r="C4998" s="22">
        <v>4996</v>
      </c>
      <c r="D4998" s="21">
        <v>0.27</v>
      </c>
      <c r="E4998" s="21" t="s">
        <v>5796</v>
      </c>
      <c r="F4998" s="23"/>
      <c r="G4998" s="23">
        <f t="shared" si="19"/>
        <v>0.27</v>
      </c>
      <c r="H4998" s="23"/>
      <c r="I4998" s="23"/>
    </row>
    <row r="4999" spans="1:9">
      <c r="A4999" s="21" t="s">
        <v>10182</v>
      </c>
      <c r="B4999" s="21"/>
      <c r="C4999" s="22">
        <v>4997</v>
      </c>
      <c r="D4999" s="21">
        <v>0.25</v>
      </c>
      <c r="E4999" s="21" t="s">
        <v>5796</v>
      </c>
      <c r="F4999" s="23"/>
      <c r="G4999" s="23">
        <f t="shared" si="19"/>
        <v>0.25</v>
      </c>
      <c r="H4999" s="23"/>
      <c r="I4999" s="23"/>
    </row>
    <row r="5000" spans="1:9">
      <c r="A5000" s="21" t="s">
        <v>10183</v>
      </c>
      <c r="B5000" s="21"/>
      <c r="C5000" s="22">
        <v>4998</v>
      </c>
      <c r="D5000" s="21">
        <v>0.25</v>
      </c>
      <c r="E5000" s="21" t="s">
        <v>5796</v>
      </c>
      <c r="F5000" s="23"/>
      <c r="G5000" s="23">
        <f t="shared" si="19"/>
        <v>0.25</v>
      </c>
      <c r="H5000" s="23"/>
      <c r="I5000" s="23"/>
    </row>
    <row r="5001" spans="1:9">
      <c r="A5001" s="21" t="s">
        <v>10184</v>
      </c>
      <c r="B5001" s="21"/>
      <c r="C5001" s="22">
        <v>4999</v>
      </c>
      <c r="D5001" s="21">
        <v>0.25</v>
      </c>
      <c r="E5001" s="21" t="s">
        <v>5796</v>
      </c>
      <c r="F5001" s="23"/>
      <c r="G5001" s="23">
        <f t="shared" si="19"/>
        <v>0.25</v>
      </c>
      <c r="H5001" s="23"/>
      <c r="I5001" s="23"/>
    </row>
    <row r="5002" spans="1:9">
      <c r="A5002" s="21" t="s">
        <v>10185</v>
      </c>
      <c r="B5002" s="21"/>
      <c r="C5002" s="22">
        <v>5000</v>
      </c>
      <c r="D5002" s="21">
        <v>0.25</v>
      </c>
      <c r="E5002" s="21" t="s">
        <v>5796</v>
      </c>
      <c r="F5002" s="23"/>
      <c r="G5002" s="23">
        <f t="shared" si="19"/>
        <v>0.25</v>
      </c>
      <c r="H5002" s="23"/>
      <c r="I5002" s="23"/>
    </row>
    <row r="5003" spans="1:9">
      <c r="A5003" s="21" t="s">
        <v>10186</v>
      </c>
      <c r="B5003" s="21"/>
      <c r="C5003" s="22">
        <v>5001</v>
      </c>
      <c r="D5003" s="21">
        <v>0.25</v>
      </c>
      <c r="E5003" s="21" t="s">
        <v>5796</v>
      </c>
      <c r="F5003" s="23"/>
      <c r="G5003" s="23">
        <f t="shared" si="19"/>
        <v>0.25</v>
      </c>
      <c r="H5003" s="23"/>
      <c r="I5003" s="23"/>
    </row>
    <row r="5004" spans="1:9">
      <c r="A5004" s="21" t="s">
        <v>10187</v>
      </c>
      <c r="B5004" s="21"/>
      <c r="C5004" s="22">
        <v>5002</v>
      </c>
      <c r="D5004" s="21">
        <v>0.24</v>
      </c>
      <c r="E5004" s="21" t="s">
        <v>5796</v>
      </c>
      <c r="F5004" s="23"/>
      <c r="G5004" s="23">
        <f t="shared" si="19"/>
        <v>0.24</v>
      </c>
      <c r="H5004" s="23"/>
      <c r="I5004" s="23"/>
    </row>
    <row r="5005" spans="1:9">
      <c r="A5005" s="21" t="s">
        <v>10188</v>
      </c>
      <c r="B5005" s="21"/>
      <c r="C5005" s="22">
        <v>5003</v>
      </c>
      <c r="D5005" s="21">
        <v>0.22</v>
      </c>
      <c r="E5005" s="21" t="s">
        <v>5796</v>
      </c>
      <c r="F5005" s="23"/>
      <c r="G5005" s="23">
        <f t="shared" si="19"/>
        <v>0.22</v>
      </c>
      <c r="H5005" s="23"/>
      <c r="I5005" s="23"/>
    </row>
    <row r="5006" spans="1:9">
      <c r="A5006" s="21" t="s">
        <v>10189</v>
      </c>
      <c r="B5006" s="21"/>
      <c r="C5006" s="22">
        <v>5004</v>
      </c>
      <c r="D5006" s="21">
        <v>0.21</v>
      </c>
      <c r="E5006" s="21" t="s">
        <v>5796</v>
      </c>
      <c r="F5006" s="23"/>
      <c r="G5006" s="23">
        <f t="shared" si="19"/>
        <v>0.21</v>
      </c>
      <c r="H5006" s="23"/>
      <c r="I5006" s="23"/>
    </row>
    <row r="5007" spans="1:9">
      <c r="A5007" s="21" t="s">
        <v>10190</v>
      </c>
      <c r="B5007" s="21"/>
      <c r="C5007" s="22">
        <v>5005</v>
      </c>
      <c r="D5007" s="21">
        <v>0.21</v>
      </c>
      <c r="E5007" s="21" t="s">
        <v>5796</v>
      </c>
      <c r="F5007" s="23"/>
      <c r="G5007" s="23">
        <f t="shared" si="19"/>
        <v>0.21</v>
      </c>
      <c r="H5007" s="23"/>
      <c r="I5007" s="23"/>
    </row>
    <row r="5008" spans="1:9">
      <c r="A5008" s="21" t="s">
        <v>10191</v>
      </c>
      <c r="B5008" s="21"/>
      <c r="C5008" s="22">
        <v>5006</v>
      </c>
      <c r="D5008" s="21">
        <v>0.2</v>
      </c>
      <c r="E5008" s="21" t="s">
        <v>5796</v>
      </c>
      <c r="F5008" s="23"/>
      <c r="G5008" s="23">
        <f t="shared" si="19"/>
        <v>0.2</v>
      </c>
      <c r="H5008" s="23"/>
      <c r="I5008" s="23"/>
    </row>
    <row r="5009" spans="1:9">
      <c r="A5009" s="21" t="s">
        <v>10192</v>
      </c>
      <c r="B5009" s="21"/>
      <c r="C5009" s="22">
        <v>5007</v>
      </c>
      <c r="D5009" s="21">
        <v>0.2</v>
      </c>
      <c r="E5009" s="21" t="s">
        <v>5796</v>
      </c>
      <c r="F5009" s="23"/>
      <c r="G5009" s="23">
        <f t="shared" si="19"/>
        <v>0.2</v>
      </c>
      <c r="H5009" s="23"/>
      <c r="I5009" s="23"/>
    </row>
    <row r="5010" spans="1:9">
      <c r="A5010" s="21" t="s">
        <v>10193</v>
      </c>
      <c r="B5010" s="21"/>
      <c r="C5010" s="22">
        <v>5008</v>
      </c>
      <c r="D5010" s="21">
        <v>0.2</v>
      </c>
      <c r="E5010" s="21" t="s">
        <v>5796</v>
      </c>
      <c r="F5010" s="23"/>
      <c r="G5010" s="23">
        <f t="shared" si="19"/>
        <v>0.2</v>
      </c>
      <c r="H5010" s="23"/>
      <c r="I5010" s="23"/>
    </row>
    <row r="5011" spans="1:9">
      <c r="A5011" s="21" t="s">
        <v>10194</v>
      </c>
      <c r="B5011" s="21"/>
      <c r="C5011" s="22">
        <v>5009</v>
      </c>
      <c r="D5011" s="21">
        <v>0.2</v>
      </c>
      <c r="E5011" s="21" t="s">
        <v>5796</v>
      </c>
      <c r="F5011" s="23"/>
      <c r="G5011" s="23">
        <f t="shared" si="19"/>
        <v>0.2</v>
      </c>
      <c r="H5011" s="23"/>
      <c r="I5011" s="23"/>
    </row>
    <row r="5012" spans="1:9">
      <c r="A5012" s="21" t="s">
        <v>10195</v>
      </c>
      <c r="B5012" s="21"/>
      <c r="C5012" s="22">
        <v>5010</v>
      </c>
      <c r="D5012" s="21">
        <v>0.2</v>
      </c>
      <c r="E5012" s="21" t="s">
        <v>5796</v>
      </c>
      <c r="F5012" s="23"/>
      <c r="G5012" s="23">
        <f t="shared" si="19"/>
        <v>0.2</v>
      </c>
      <c r="H5012" s="23"/>
      <c r="I5012" s="23"/>
    </row>
    <row r="5013" spans="1:9">
      <c r="A5013" s="21" t="s">
        <v>10196</v>
      </c>
      <c r="B5013" s="21"/>
      <c r="C5013" s="22">
        <v>5011</v>
      </c>
      <c r="D5013" s="21">
        <v>0.2</v>
      </c>
      <c r="E5013" s="21" t="s">
        <v>5796</v>
      </c>
      <c r="F5013" s="23"/>
      <c r="G5013" s="23">
        <f t="shared" si="19"/>
        <v>0.2</v>
      </c>
      <c r="H5013" s="23"/>
      <c r="I5013" s="23"/>
    </row>
    <row r="5014" spans="1:9">
      <c r="A5014" s="21" t="s">
        <v>10197</v>
      </c>
      <c r="B5014" s="21"/>
      <c r="C5014" s="22">
        <v>5012</v>
      </c>
      <c r="D5014" s="21">
        <v>0.2</v>
      </c>
      <c r="E5014" s="21" t="s">
        <v>5796</v>
      </c>
      <c r="F5014" s="23"/>
      <c r="G5014" s="23">
        <f t="shared" si="19"/>
        <v>0.2</v>
      </c>
      <c r="H5014" s="23"/>
      <c r="I5014" s="23"/>
    </row>
    <row r="5015" spans="1:9">
      <c r="A5015" s="21" t="s">
        <v>10198</v>
      </c>
      <c r="B5015" s="21"/>
      <c r="C5015" s="22">
        <v>5013</v>
      </c>
      <c r="D5015" s="21">
        <v>0.19</v>
      </c>
      <c r="E5015" s="21" t="s">
        <v>5796</v>
      </c>
      <c r="F5015" s="23"/>
      <c r="G5015" s="23">
        <f t="shared" si="19"/>
        <v>0.19</v>
      </c>
      <c r="H5015" s="23"/>
      <c r="I5015" s="23"/>
    </row>
    <row r="5016" spans="1:9">
      <c r="A5016" s="21" t="s">
        <v>10199</v>
      </c>
      <c r="B5016" s="21"/>
      <c r="C5016" s="22">
        <v>5014</v>
      </c>
      <c r="D5016" s="21">
        <v>0.19</v>
      </c>
      <c r="E5016" s="21" t="s">
        <v>5796</v>
      </c>
      <c r="F5016" s="23"/>
      <c r="G5016" s="23">
        <f t="shared" si="19"/>
        <v>0.19</v>
      </c>
      <c r="H5016" s="23"/>
      <c r="I5016" s="23"/>
    </row>
    <row r="5017" spans="1:9">
      <c r="A5017" s="21" t="s">
        <v>10200</v>
      </c>
      <c r="B5017" s="21"/>
      <c r="C5017" s="22">
        <v>5015</v>
      </c>
      <c r="D5017" s="21">
        <v>0.18</v>
      </c>
      <c r="E5017" s="21" t="s">
        <v>5796</v>
      </c>
      <c r="F5017" s="23"/>
      <c r="G5017" s="23">
        <f t="shared" si="19"/>
        <v>0.18</v>
      </c>
      <c r="H5017" s="23"/>
      <c r="I5017" s="23"/>
    </row>
    <row r="5018" spans="1:9">
      <c r="A5018" s="21" t="s">
        <v>10201</v>
      </c>
      <c r="B5018" s="21"/>
      <c r="C5018" s="22">
        <v>5016</v>
      </c>
      <c r="D5018" s="21">
        <v>0.18</v>
      </c>
      <c r="E5018" s="21" t="s">
        <v>5796</v>
      </c>
      <c r="F5018" s="23"/>
      <c r="G5018" s="23">
        <f t="shared" si="19"/>
        <v>0.18</v>
      </c>
      <c r="H5018" s="23"/>
      <c r="I5018" s="23"/>
    </row>
    <row r="5019" spans="1:9">
      <c r="A5019" s="21" t="s">
        <v>10202</v>
      </c>
      <c r="B5019" s="21"/>
      <c r="C5019" s="22">
        <v>5017</v>
      </c>
      <c r="D5019" s="21">
        <v>0.17</v>
      </c>
      <c r="E5019" s="21" t="s">
        <v>5796</v>
      </c>
      <c r="F5019" s="23"/>
      <c r="G5019" s="23">
        <f t="shared" si="19"/>
        <v>0.17</v>
      </c>
      <c r="H5019" s="23"/>
      <c r="I5019" s="23"/>
    </row>
    <row r="5020" spans="1:9">
      <c r="A5020" s="21" t="s">
        <v>10203</v>
      </c>
      <c r="B5020" s="21"/>
      <c r="C5020" s="22">
        <v>5018</v>
      </c>
      <c r="D5020" s="21">
        <v>0.16</v>
      </c>
      <c r="E5020" s="21" t="s">
        <v>5796</v>
      </c>
      <c r="F5020" s="23"/>
      <c r="G5020" s="23">
        <f t="shared" si="19"/>
        <v>0.16</v>
      </c>
      <c r="H5020" s="23"/>
      <c r="I5020" s="23"/>
    </row>
    <row r="5021" spans="1:9">
      <c r="A5021" s="21" t="s">
        <v>10204</v>
      </c>
      <c r="B5021" s="21"/>
      <c r="C5021" s="22">
        <v>5019</v>
      </c>
      <c r="D5021" s="21">
        <v>0.16</v>
      </c>
      <c r="E5021" s="21" t="s">
        <v>5796</v>
      </c>
      <c r="F5021" s="23"/>
      <c r="G5021" s="23">
        <f t="shared" si="19"/>
        <v>0.16</v>
      </c>
      <c r="H5021" s="23"/>
      <c r="I5021" s="23"/>
    </row>
    <row r="5022" spans="1:9">
      <c r="A5022" s="21" t="s">
        <v>10205</v>
      </c>
      <c r="B5022" s="21"/>
      <c r="C5022" s="22">
        <v>5020</v>
      </c>
      <c r="D5022" s="21">
        <v>0.16</v>
      </c>
      <c r="E5022" s="21" t="s">
        <v>5796</v>
      </c>
      <c r="F5022" s="23"/>
      <c r="G5022" s="23">
        <f t="shared" si="19"/>
        <v>0.16</v>
      </c>
      <c r="H5022" s="23"/>
      <c r="I5022" s="23"/>
    </row>
    <row r="5023" spans="1:9">
      <c r="A5023" s="21" t="s">
        <v>10206</v>
      </c>
      <c r="B5023" s="21"/>
      <c r="C5023" s="22">
        <v>5021</v>
      </c>
      <c r="D5023" s="21">
        <v>0.16</v>
      </c>
      <c r="E5023" s="21" t="s">
        <v>5796</v>
      </c>
      <c r="F5023" s="23"/>
      <c r="G5023" s="23">
        <f t="shared" si="19"/>
        <v>0.16</v>
      </c>
      <c r="H5023" s="23"/>
      <c r="I5023" s="23"/>
    </row>
    <row r="5024" spans="1:9">
      <c r="A5024" s="21" t="s">
        <v>10207</v>
      </c>
      <c r="B5024" s="21"/>
      <c r="C5024" s="22">
        <v>5022</v>
      </c>
      <c r="D5024" s="21">
        <v>0.16</v>
      </c>
      <c r="E5024" s="21" t="s">
        <v>5796</v>
      </c>
      <c r="F5024" s="23"/>
      <c r="G5024" s="23">
        <f t="shared" si="19"/>
        <v>0.16</v>
      </c>
      <c r="H5024" s="23"/>
      <c r="I5024" s="23"/>
    </row>
    <row r="5025" spans="1:9">
      <c r="A5025" s="21" t="s">
        <v>10208</v>
      </c>
      <c r="B5025" s="21"/>
      <c r="C5025" s="22">
        <v>5023</v>
      </c>
      <c r="D5025" s="21">
        <v>0.15</v>
      </c>
      <c r="E5025" s="21" t="s">
        <v>5796</v>
      </c>
      <c r="F5025" s="23"/>
      <c r="G5025" s="23">
        <f t="shared" si="19"/>
        <v>0.15</v>
      </c>
      <c r="H5025" s="23"/>
      <c r="I5025" s="23"/>
    </row>
    <row r="5026" spans="1:9">
      <c r="A5026" s="21" t="s">
        <v>10209</v>
      </c>
      <c r="B5026" s="21"/>
      <c r="C5026" s="22">
        <v>5024</v>
      </c>
      <c r="D5026" s="21">
        <v>0.14000000000000001</v>
      </c>
      <c r="E5026" s="21" t="s">
        <v>5796</v>
      </c>
      <c r="F5026" s="23"/>
      <c r="G5026" s="23">
        <f t="shared" si="19"/>
        <v>0.14000000000000001</v>
      </c>
      <c r="H5026" s="23"/>
      <c r="I5026" s="23"/>
    </row>
    <row r="5027" spans="1:9">
      <c r="A5027" s="21" t="s">
        <v>10210</v>
      </c>
      <c r="B5027" s="21"/>
      <c r="C5027" s="22">
        <v>5025</v>
      </c>
      <c r="D5027" s="21">
        <v>0.13</v>
      </c>
      <c r="E5027" s="21" t="s">
        <v>5796</v>
      </c>
      <c r="F5027" s="23"/>
      <c r="G5027" s="23">
        <f t="shared" si="19"/>
        <v>0.13</v>
      </c>
      <c r="H5027" s="23"/>
      <c r="I5027" s="23"/>
    </row>
    <row r="5028" spans="1:9">
      <c r="A5028" s="21" t="s">
        <v>10211</v>
      </c>
      <c r="B5028" s="21"/>
      <c r="C5028" s="22">
        <v>5026</v>
      </c>
      <c r="D5028" s="21">
        <v>0.13</v>
      </c>
      <c r="E5028" s="21" t="s">
        <v>5796</v>
      </c>
      <c r="F5028" s="23"/>
      <c r="G5028" s="23">
        <f t="shared" si="19"/>
        <v>0.13</v>
      </c>
      <c r="H5028" s="23"/>
      <c r="I5028" s="23"/>
    </row>
    <row r="5029" spans="1:9">
      <c r="A5029" s="21" t="s">
        <v>10212</v>
      </c>
      <c r="B5029" s="21"/>
      <c r="C5029" s="22">
        <v>5027</v>
      </c>
      <c r="D5029" s="21">
        <v>0.12</v>
      </c>
      <c r="E5029" s="21" t="s">
        <v>5796</v>
      </c>
      <c r="F5029" s="23"/>
      <c r="G5029" s="23">
        <f t="shared" si="19"/>
        <v>0.12</v>
      </c>
      <c r="H5029" s="23"/>
      <c r="I5029" s="23"/>
    </row>
    <row r="5030" spans="1:9">
      <c r="A5030" s="21" t="s">
        <v>10213</v>
      </c>
      <c r="B5030" s="21"/>
      <c r="C5030" s="22">
        <v>5028</v>
      </c>
      <c r="D5030" s="21">
        <v>0.12</v>
      </c>
      <c r="E5030" s="21" t="s">
        <v>5796</v>
      </c>
      <c r="F5030" s="23"/>
      <c r="G5030" s="23">
        <f t="shared" si="19"/>
        <v>0.12</v>
      </c>
      <c r="H5030" s="23"/>
      <c r="I5030" s="23"/>
    </row>
    <row r="5031" spans="1:9">
      <c r="A5031" s="21" t="s">
        <v>10214</v>
      </c>
      <c r="B5031" s="21"/>
      <c r="C5031" s="22">
        <v>5029</v>
      </c>
      <c r="D5031" s="21">
        <v>0.11</v>
      </c>
      <c r="E5031" s="21" t="s">
        <v>5796</v>
      </c>
      <c r="F5031" s="23"/>
      <c r="G5031" s="23">
        <f t="shared" si="19"/>
        <v>0.11</v>
      </c>
      <c r="H5031" s="23"/>
      <c r="I5031" s="23"/>
    </row>
    <row r="5032" spans="1:9">
      <c r="A5032" s="21" t="s">
        <v>10215</v>
      </c>
      <c r="B5032" s="21"/>
      <c r="C5032" s="22">
        <v>5030</v>
      </c>
      <c r="D5032" s="21">
        <v>0.11</v>
      </c>
      <c r="E5032" s="21" t="s">
        <v>5796</v>
      </c>
      <c r="F5032" s="23"/>
      <c r="G5032" s="23">
        <f t="shared" si="19"/>
        <v>0.11</v>
      </c>
      <c r="H5032" s="23"/>
      <c r="I5032" s="23"/>
    </row>
    <row r="5033" spans="1:9">
      <c r="A5033" s="21" t="s">
        <v>10216</v>
      </c>
      <c r="B5033" s="21"/>
      <c r="C5033" s="22">
        <v>5031</v>
      </c>
      <c r="D5033" s="21">
        <v>0.11</v>
      </c>
      <c r="E5033" s="21" t="s">
        <v>5796</v>
      </c>
      <c r="F5033" s="23"/>
      <c r="G5033" s="23">
        <f t="shared" si="19"/>
        <v>0.11</v>
      </c>
      <c r="H5033" s="23"/>
      <c r="I5033" s="23"/>
    </row>
    <row r="5034" spans="1:9">
      <c r="A5034" s="21" t="s">
        <v>10217</v>
      </c>
      <c r="B5034" s="21"/>
      <c r="C5034" s="22">
        <v>5032</v>
      </c>
      <c r="D5034" s="21">
        <v>0.1</v>
      </c>
      <c r="E5034" s="21" t="s">
        <v>5796</v>
      </c>
      <c r="F5034" s="23"/>
      <c r="G5034" s="23">
        <f t="shared" si="19"/>
        <v>0.1</v>
      </c>
      <c r="H5034" s="23"/>
      <c r="I5034" s="23"/>
    </row>
    <row r="5035" spans="1:9">
      <c r="A5035" s="21" t="s">
        <v>10218</v>
      </c>
      <c r="B5035" s="21"/>
      <c r="C5035" s="22">
        <v>5033</v>
      </c>
      <c r="D5035" s="21">
        <v>0.09</v>
      </c>
      <c r="E5035" s="21" t="s">
        <v>5796</v>
      </c>
      <c r="F5035" s="23"/>
      <c r="G5035" s="23">
        <f t="shared" si="19"/>
        <v>0.09</v>
      </c>
      <c r="H5035" s="23"/>
      <c r="I5035" s="23"/>
    </row>
    <row r="5036" spans="1:9">
      <c r="A5036" s="21" t="s">
        <v>10219</v>
      </c>
      <c r="B5036" s="21"/>
      <c r="C5036" s="22">
        <v>5034</v>
      </c>
      <c r="D5036" s="21">
        <v>0.09</v>
      </c>
      <c r="E5036" s="21" t="s">
        <v>5796</v>
      </c>
      <c r="F5036" s="23"/>
      <c r="G5036" s="23">
        <f t="shared" si="19"/>
        <v>0.09</v>
      </c>
      <c r="H5036" s="23"/>
      <c r="I5036" s="23"/>
    </row>
    <row r="5037" spans="1:9">
      <c r="A5037" s="21" t="s">
        <v>10220</v>
      </c>
      <c r="B5037" s="21"/>
      <c r="C5037" s="22">
        <v>5035</v>
      </c>
      <c r="D5037" s="21">
        <v>0.09</v>
      </c>
      <c r="E5037" s="21" t="s">
        <v>5796</v>
      </c>
      <c r="F5037" s="23"/>
      <c r="G5037" s="23">
        <f t="shared" si="19"/>
        <v>0.09</v>
      </c>
      <c r="H5037" s="23"/>
      <c r="I5037" s="23"/>
    </row>
    <row r="5038" spans="1:9">
      <c r="A5038" s="21" t="s">
        <v>10221</v>
      </c>
      <c r="B5038" s="21"/>
      <c r="C5038" s="22">
        <v>5036</v>
      </c>
      <c r="D5038" s="21">
        <v>0.08</v>
      </c>
      <c r="E5038" s="21" t="s">
        <v>5796</v>
      </c>
      <c r="F5038" s="23"/>
      <c r="G5038" s="23">
        <f t="shared" si="19"/>
        <v>0.08</v>
      </c>
      <c r="H5038" s="23"/>
      <c r="I5038" s="23"/>
    </row>
    <row r="5039" spans="1:9">
      <c r="A5039" s="21" t="s">
        <v>10222</v>
      </c>
      <c r="B5039" s="21"/>
      <c r="C5039" s="22">
        <v>5037</v>
      </c>
      <c r="D5039" s="21">
        <v>0.08</v>
      </c>
      <c r="E5039" s="21" t="s">
        <v>5796</v>
      </c>
      <c r="F5039" s="23"/>
      <c r="G5039" s="23">
        <f t="shared" si="19"/>
        <v>0.08</v>
      </c>
      <c r="H5039" s="23"/>
      <c r="I5039" s="23"/>
    </row>
    <row r="5040" spans="1:9">
      <c r="A5040" s="21" t="s">
        <v>10223</v>
      </c>
      <c r="B5040" s="21"/>
      <c r="C5040" s="22">
        <v>5038</v>
      </c>
      <c r="D5040" s="21">
        <v>0.08</v>
      </c>
      <c r="E5040" s="21" t="s">
        <v>5796</v>
      </c>
      <c r="F5040" s="23"/>
      <c r="G5040" s="23">
        <f t="shared" si="19"/>
        <v>0.08</v>
      </c>
      <c r="H5040" s="23"/>
      <c r="I5040" s="23"/>
    </row>
    <row r="5041" spans="1:9">
      <c r="A5041" s="21" t="s">
        <v>10224</v>
      </c>
      <c r="B5041" s="21"/>
      <c r="C5041" s="22">
        <v>5039</v>
      </c>
      <c r="D5041" s="21">
        <v>0.08</v>
      </c>
      <c r="E5041" s="21" t="s">
        <v>5796</v>
      </c>
      <c r="F5041" s="23"/>
      <c r="G5041" s="23">
        <f t="shared" si="19"/>
        <v>0.08</v>
      </c>
      <c r="H5041" s="23"/>
      <c r="I5041" s="23"/>
    </row>
    <row r="5042" spans="1:9">
      <c r="A5042" s="21" t="s">
        <v>10225</v>
      </c>
      <c r="B5042" s="21"/>
      <c r="C5042" s="22">
        <v>5040</v>
      </c>
      <c r="D5042" s="21">
        <v>0.06</v>
      </c>
      <c r="E5042" s="21" t="s">
        <v>5796</v>
      </c>
      <c r="F5042" s="23"/>
      <c r="G5042" s="23">
        <f t="shared" si="19"/>
        <v>0.06</v>
      </c>
      <c r="H5042" s="23"/>
      <c r="I5042" s="23"/>
    </row>
    <row r="5043" spans="1:9">
      <c r="A5043" s="21" t="s">
        <v>10226</v>
      </c>
      <c r="B5043" s="21"/>
      <c r="C5043" s="22">
        <v>5041</v>
      </c>
      <c r="D5043" s="21">
        <v>0.06</v>
      </c>
      <c r="E5043" s="21" t="s">
        <v>5796</v>
      </c>
      <c r="F5043" s="23"/>
      <c r="G5043" s="23">
        <f t="shared" si="19"/>
        <v>0.06</v>
      </c>
      <c r="H5043" s="23"/>
      <c r="I5043" s="23"/>
    </row>
    <row r="5044" spans="1:9">
      <c r="A5044" s="21" t="s">
        <v>10227</v>
      </c>
      <c r="B5044" s="21"/>
      <c r="C5044" s="22">
        <v>5042</v>
      </c>
      <c r="D5044" s="21">
        <v>0.05</v>
      </c>
      <c r="E5044" s="21" t="s">
        <v>5796</v>
      </c>
      <c r="F5044" s="23"/>
      <c r="G5044" s="23">
        <f t="shared" si="19"/>
        <v>0.05</v>
      </c>
      <c r="H5044" s="23"/>
      <c r="I5044" s="23"/>
    </row>
    <row r="5045" spans="1:9">
      <c r="A5045" s="21" t="s">
        <v>10228</v>
      </c>
      <c r="B5045" s="21"/>
      <c r="C5045" s="22">
        <v>5043</v>
      </c>
      <c r="D5045" s="21">
        <v>0.05</v>
      </c>
      <c r="E5045" s="21" t="s">
        <v>5796</v>
      </c>
      <c r="F5045" s="23"/>
      <c r="G5045" s="23">
        <f t="shared" si="19"/>
        <v>0.05</v>
      </c>
      <c r="H5045" s="23"/>
      <c r="I5045" s="23"/>
    </row>
    <row r="5046" spans="1:9">
      <c r="A5046" s="21" t="s">
        <v>10229</v>
      </c>
      <c r="B5046" s="21"/>
      <c r="C5046" s="22">
        <v>5044</v>
      </c>
      <c r="D5046" s="21">
        <v>0.03</v>
      </c>
      <c r="E5046" s="21" t="s">
        <v>5796</v>
      </c>
      <c r="F5046" s="23"/>
      <c r="G5046" s="23">
        <f t="shared" si="19"/>
        <v>0.03</v>
      </c>
      <c r="H5046" s="23"/>
      <c r="I5046" s="23"/>
    </row>
    <row r="5047" spans="1:9">
      <c r="A5047" s="21" t="s">
        <v>10230</v>
      </c>
      <c r="B5047" s="21"/>
      <c r="C5047" s="22">
        <v>5045</v>
      </c>
      <c r="D5047" s="21">
        <v>0.03</v>
      </c>
      <c r="E5047" s="21" t="s">
        <v>5796</v>
      </c>
      <c r="F5047" s="23"/>
      <c r="G5047" s="23">
        <f t="shared" si="19"/>
        <v>0.03</v>
      </c>
      <c r="H5047" s="23"/>
      <c r="I5047" s="23"/>
    </row>
    <row r="5048" spans="1:9">
      <c r="A5048" s="21" t="s">
        <v>10231</v>
      </c>
      <c r="B5048" s="21"/>
      <c r="C5048" s="22">
        <v>5046</v>
      </c>
      <c r="D5048" s="21">
        <v>0.02</v>
      </c>
      <c r="E5048" s="21" t="s">
        <v>5796</v>
      </c>
      <c r="F5048" s="23"/>
      <c r="G5048" s="23">
        <f t="shared" si="19"/>
        <v>0.02</v>
      </c>
      <c r="H5048" s="23"/>
      <c r="I5048" s="23"/>
    </row>
    <row r="5049" spans="1:9">
      <c r="A5049" s="21" t="s">
        <v>10232</v>
      </c>
      <c r="B5049" s="21"/>
      <c r="C5049" s="22">
        <v>5047</v>
      </c>
      <c r="D5049" s="21" t="s">
        <v>10233</v>
      </c>
      <c r="E5049" s="21" t="s">
        <v>5796</v>
      </c>
      <c r="F5049" s="23"/>
      <c r="G5049" s="21" t="s">
        <v>10233</v>
      </c>
      <c r="H5049" s="23"/>
      <c r="I5049" s="23"/>
    </row>
    <row r="5050" spans="1:9">
      <c r="A5050" s="21" t="s">
        <v>10234</v>
      </c>
      <c r="B5050" s="21"/>
      <c r="C5050" s="22">
        <v>5048</v>
      </c>
      <c r="D5050" s="21" t="s">
        <v>10233</v>
      </c>
      <c r="E5050" s="21" t="s">
        <v>5796</v>
      </c>
      <c r="F5050" s="23"/>
      <c r="G5050" s="21" t="s">
        <v>10233</v>
      </c>
      <c r="H5050" s="23"/>
      <c r="I5050" s="23"/>
    </row>
    <row r="5051" spans="1:9">
      <c r="A5051" s="21" t="s">
        <v>10235</v>
      </c>
      <c r="B5051" s="21"/>
      <c r="C5051" s="22">
        <v>5049</v>
      </c>
      <c r="D5051" s="21" t="s">
        <v>10233</v>
      </c>
      <c r="E5051" s="21" t="s">
        <v>5796</v>
      </c>
      <c r="F5051" s="23"/>
      <c r="G5051" s="21" t="s">
        <v>10233</v>
      </c>
      <c r="H5051" s="23"/>
      <c r="I5051" s="23"/>
    </row>
    <row r="5052" spans="1:9">
      <c r="A5052" s="21" t="s">
        <v>10236</v>
      </c>
      <c r="B5052" s="21"/>
      <c r="C5052" s="22">
        <v>5050</v>
      </c>
      <c r="D5052" s="21" t="s">
        <v>10233</v>
      </c>
      <c r="E5052" s="21" t="s">
        <v>5796</v>
      </c>
      <c r="F5052" s="23"/>
      <c r="G5052" s="21" t="s">
        <v>10233</v>
      </c>
      <c r="H5052" s="23"/>
      <c r="I5052" s="23"/>
    </row>
    <row r="5053" spans="1:9">
      <c r="A5053" s="21" t="s">
        <v>10237</v>
      </c>
      <c r="B5053" s="21"/>
      <c r="C5053" s="22">
        <v>5051</v>
      </c>
      <c r="D5053" s="21" t="s">
        <v>10233</v>
      </c>
      <c r="E5053" s="21" t="s">
        <v>5796</v>
      </c>
      <c r="F5053" s="23"/>
      <c r="G5053" s="21" t="s">
        <v>10233</v>
      </c>
      <c r="H5053" s="23"/>
      <c r="I5053" s="23"/>
    </row>
    <row r="5054" spans="1:9">
      <c r="A5054" s="21" t="s">
        <v>10238</v>
      </c>
      <c r="B5054" s="21"/>
      <c r="C5054" s="22">
        <v>5052</v>
      </c>
      <c r="D5054" s="21" t="s">
        <v>10233</v>
      </c>
      <c r="E5054" s="21" t="s">
        <v>5796</v>
      </c>
      <c r="F5054" s="23"/>
      <c r="G5054" s="21" t="s">
        <v>10233</v>
      </c>
      <c r="H5054" s="23"/>
      <c r="I5054" s="23"/>
    </row>
    <row r="5055" spans="1:9">
      <c r="A5055" s="21" t="s">
        <v>10239</v>
      </c>
      <c r="B5055" s="21"/>
      <c r="C5055" s="22">
        <v>5053</v>
      </c>
      <c r="D5055" s="21" t="s">
        <v>10233</v>
      </c>
      <c r="E5055" s="21" t="s">
        <v>5796</v>
      </c>
      <c r="F5055" s="23"/>
      <c r="G5055" s="21" t="s">
        <v>10233</v>
      </c>
      <c r="H5055" s="23"/>
      <c r="I5055" s="23"/>
    </row>
    <row r="5056" spans="1:9">
      <c r="A5056" s="21" t="s">
        <v>10240</v>
      </c>
      <c r="B5056" s="21"/>
      <c r="C5056" s="22">
        <v>5054</v>
      </c>
      <c r="D5056" s="21" t="s">
        <v>10233</v>
      </c>
      <c r="E5056" s="21" t="s">
        <v>5796</v>
      </c>
      <c r="F5056" s="23"/>
      <c r="G5056" s="21" t="s">
        <v>10233</v>
      </c>
      <c r="H5056" s="23"/>
      <c r="I5056" s="23"/>
    </row>
    <row r="5057" spans="1:9">
      <c r="A5057" s="21" t="s">
        <v>10241</v>
      </c>
      <c r="B5057" s="21"/>
      <c r="C5057" s="22">
        <v>5055</v>
      </c>
      <c r="D5057" s="21" t="s">
        <v>10233</v>
      </c>
      <c r="E5057" s="21" t="s">
        <v>5796</v>
      </c>
      <c r="F5057" s="23"/>
      <c r="G5057" s="21" t="s">
        <v>10233</v>
      </c>
      <c r="H5057" s="23"/>
      <c r="I5057" s="23"/>
    </row>
    <row r="5058" spans="1:9">
      <c r="A5058" s="21" t="s">
        <v>10242</v>
      </c>
      <c r="B5058" s="21"/>
      <c r="C5058" s="22">
        <v>5056</v>
      </c>
      <c r="D5058" s="21" t="s">
        <v>10233</v>
      </c>
      <c r="E5058" s="21" t="s">
        <v>5796</v>
      </c>
      <c r="F5058" s="23"/>
      <c r="G5058" s="21" t="s">
        <v>10233</v>
      </c>
      <c r="H5058" s="23"/>
      <c r="I5058" s="23"/>
    </row>
    <row r="5059" spans="1:9">
      <c r="A5059" s="21" t="s">
        <v>10243</v>
      </c>
      <c r="B5059" s="21"/>
      <c r="C5059" s="22">
        <v>5057</v>
      </c>
      <c r="D5059" s="21" t="s">
        <v>10233</v>
      </c>
      <c r="E5059" s="21" t="s">
        <v>5796</v>
      </c>
      <c r="F5059" s="23"/>
      <c r="G5059" s="21" t="s">
        <v>10233</v>
      </c>
      <c r="H5059" s="23"/>
      <c r="I5059" s="23"/>
    </row>
    <row r="5060" spans="1:9">
      <c r="A5060" s="21" t="s">
        <v>10244</v>
      </c>
      <c r="B5060" s="21"/>
      <c r="C5060" s="22">
        <v>5058</v>
      </c>
      <c r="D5060" s="21" t="s">
        <v>10233</v>
      </c>
      <c r="E5060" s="21" t="s">
        <v>5796</v>
      </c>
      <c r="F5060" s="23"/>
      <c r="G5060" s="21" t="s">
        <v>10233</v>
      </c>
      <c r="H5060" s="23"/>
      <c r="I5060" s="23"/>
    </row>
    <row r="5061" spans="1:9">
      <c r="A5061" s="21" t="s">
        <v>10245</v>
      </c>
      <c r="B5061" s="21"/>
      <c r="C5061" s="22">
        <v>5059</v>
      </c>
      <c r="D5061" s="21" t="s">
        <v>10233</v>
      </c>
      <c r="E5061" s="21" t="s">
        <v>5796</v>
      </c>
      <c r="F5061" s="23"/>
      <c r="G5061" s="21" t="s">
        <v>10233</v>
      </c>
      <c r="H5061" s="23"/>
      <c r="I5061" s="23"/>
    </row>
    <row r="5062" spans="1:9">
      <c r="A5062" s="21" t="s">
        <v>10246</v>
      </c>
      <c r="B5062" s="21"/>
      <c r="C5062" s="22">
        <v>5060</v>
      </c>
      <c r="D5062" s="21" t="s">
        <v>10233</v>
      </c>
      <c r="E5062" s="21" t="s">
        <v>5796</v>
      </c>
      <c r="F5062" s="23"/>
      <c r="G5062" s="21" t="s">
        <v>10233</v>
      </c>
      <c r="H5062" s="23"/>
      <c r="I5062" s="23"/>
    </row>
    <row r="5063" spans="1:9">
      <c r="A5063" s="21" t="s">
        <v>10247</v>
      </c>
      <c r="B5063" s="21"/>
      <c r="C5063" s="22">
        <v>5061</v>
      </c>
      <c r="D5063" s="21" t="s">
        <v>10233</v>
      </c>
      <c r="E5063" s="21" t="s">
        <v>5796</v>
      </c>
      <c r="F5063" s="23"/>
      <c r="G5063" s="21" t="s">
        <v>10233</v>
      </c>
      <c r="H5063" s="23"/>
      <c r="I5063" s="23"/>
    </row>
    <row r="5064" spans="1:9">
      <c r="A5064" s="21" t="s">
        <v>10248</v>
      </c>
      <c r="B5064" s="21"/>
      <c r="C5064" s="22">
        <v>5062</v>
      </c>
      <c r="D5064" s="21" t="s">
        <v>10233</v>
      </c>
      <c r="E5064" s="21" t="s">
        <v>5796</v>
      </c>
      <c r="F5064" s="23"/>
      <c r="G5064" s="21" t="s">
        <v>10233</v>
      </c>
      <c r="H5064" s="23"/>
      <c r="I5064" s="23"/>
    </row>
    <row r="5065" spans="1:9">
      <c r="A5065" s="21" t="s">
        <v>10249</v>
      </c>
      <c r="B5065" s="21"/>
      <c r="C5065" s="22">
        <v>5063</v>
      </c>
      <c r="D5065" s="21" t="s">
        <v>10233</v>
      </c>
      <c r="E5065" s="21" t="s">
        <v>5796</v>
      </c>
      <c r="F5065" s="23"/>
      <c r="G5065" s="21" t="s">
        <v>10233</v>
      </c>
      <c r="H5065" s="23"/>
      <c r="I5065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2448"/>
  <sheetViews>
    <sheetView workbookViewId="0"/>
  </sheetViews>
  <sheetFormatPr defaultColWidth="12.6640625" defaultRowHeight="15.75" customHeight="1"/>
  <cols>
    <col min="1" max="1" width="44.88671875" customWidth="1"/>
    <col min="2" max="2" width="12.44140625" customWidth="1"/>
  </cols>
  <sheetData>
    <row r="1" spans="1:2" ht="15.75" customHeight="1">
      <c r="A1" s="30" t="str">
        <f ca="1">IFERROR(__xludf.DUMMYFUNCTION("IMPORTRANGE(""https://docs.google.com/spreadsheets/d/1hRBrdRb2ZP-457RPyADXKd4ewsHXrksI6CnaHfwWh3k/edit#gid=0"",""Ticker_name!A:B"")"),"#REF!")</f>
        <v>#REF!</v>
      </c>
      <c r="B1" s="31"/>
    </row>
    <row r="2" spans="1:2" ht="15.75" customHeight="1">
      <c r="A2" s="32"/>
      <c r="B2" s="32"/>
    </row>
    <row r="3" spans="1:2" ht="15.75" customHeight="1">
      <c r="A3" s="32"/>
      <c r="B3" s="32"/>
    </row>
    <row r="4" spans="1:2" ht="15.75" customHeight="1">
      <c r="A4" s="32"/>
      <c r="B4" s="32"/>
    </row>
    <row r="5" spans="1:2" ht="15.75" customHeight="1">
      <c r="A5" s="32"/>
      <c r="B5" s="32"/>
    </row>
    <row r="6" spans="1:2" ht="15.75" customHeight="1">
      <c r="A6" s="32"/>
      <c r="B6" s="32"/>
    </row>
    <row r="7" spans="1:2" ht="15.75" customHeight="1">
      <c r="A7" s="32"/>
      <c r="B7" s="32"/>
    </row>
    <row r="8" spans="1:2" ht="15.75" customHeight="1">
      <c r="A8" s="32"/>
      <c r="B8" s="32"/>
    </row>
    <row r="9" spans="1:2" ht="15.75" customHeight="1">
      <c r="A9" s="32"/>
      <c r="B9" s="32"/>
    </row>
    <row r="10" spans="1:2" ht="15.75" customHeight="1">
      <c r="A10" s="32"/>
      <c r="B10" s="32"/>
    </row>
    <row r="11" spans="1:2" ht="15.75" customHeight="1">
      <c r="A11" s="32"/>
      <c r="B11" s="32"/>
    </row>
    <row r="12" spans="1:2" ht="15.75" customHeight="1">
      <c r="A12" s="32"/>
      <c r="B12" s="32"/>
    </row>
    <row r="13" spans="1:2" ht="15.75" customHeight="1">
      <c r="A13" s="32"/>
      <c r="B13" s="32"/>
    </row>
    <row r="14" spans="1:2" ht="15.75" customHeight="1">
      <c r="A14" s="32"/>
      <c r="B14" s="32"/>
    </row>
    <row r="15" spans="1:2" ht="15.75" customHeight="1">
      <c r="A15" s="32"/>
      <c r="B15" s="32"/>
    </row>
    <row r="16" spans="1:2" ht="15.75" customHeight="1">
      <c r="A16" s="32"/>
      <c r="B16" s="32"/>
    </row>
    <row r="17" spans="1:2" ht="15.75" customHeight="1">
      <c r="A17" s="32"/>
      <c r="B17" s="32"/>
    </row>
    <row r="18" spans="1:2" ht="15.75" customHeight="1">
      <c r="A18" s="32"/>
      <c r="B18" s="32"/>
    </row>
    <row r="19" spans="1:2" ht="15.75" customHeight="1">
      <c r="A19" s="32"/>
      <c r="B19" s="32"/>
    </row>
    <row r="20" spans="1:2" ht="15.75" customHeight="1">
      <c r="A20" s="32"/>
      <c r="B20" s="32"/>
    </row>
    <row r="21" spans="1:2" ht="15.75" customHeight="1">
      <c r="A21" s="32"/>
      <c r="B21" s="32"/>
    </row>
    <row r="22" spans="1:2" ht="15.75" customHeight="1">
      <c r="A22" s="32"/>
      <c r="B22" s="32"/>
    </row>
    <row r="23" spans="1:2" ht="15.75" customHeight="1">
      <c r="A23" s="32"/>
      <c r="B23" s="32"/>
    </row>
    <row r="24" spans="1:2" ht="15.75" customHeight="1">
      <c r="A24" s="32"/>
      <c r="B24" s="32"/>
    </row>
    <row r="25" spans="1:2" ht="15.75" customHeight="1">
      <c r="A25" s="32"/>
      <c r="B25" s="32"/>
    </row>
    <row r="26" spans="1:2" ht="15.75" customHeight="1">
      <c r="A26" s="32"/>
      <c r="B26" s="32"/>
    </row>
    <row r="27" spans="1:2" ht="15.75" customHeight="1">
      <c r="A27" s="32"/>
      <c r="B27" s="32"/>
    </row>
    <row r="28" spans="1:2" ht="15.75" customHeight="1">
      <c r="A28" s="32"/>
      <c r="B28" s="32"/>
    </row>
    <row r="29" spans="1:2" ht="15.75" customHeight="1">
      <c r="A29" s="32"/>
      <c r="B29" s="32"/>
    </row>
    <row r="30" spans="1:2" ht="15.75" customHeight="1">
      <c r="A30" s="32"/>
      <c r="B30" s="32"/>
    </row>
    <row r="31" spans="1:2" ht="15.75" customHeight="1">
      <c r="A31" s="32"/>
      <c r="B31" s="32"/>
    </row>
    <row r="32" spans="1:2" ht="15.75" customHeight="1">
      <c r="A32" s="32"/>
      <c r="B32" s="32"/>
    </row>
    <row r="33" spans="1:2" ht="15.75" customHeight="1">
      <c r="A33" s="32"/>
      <c r="B33" s="32"/>
    </row>
    <row r="34" spans="1:2" ht="15.75" customHeight="1">
      <c r="A34" s="32"/>
      <c r="B34" s="32"/>
    </row>
    <row r="35" spans="1:2" ht="15.75" customHeight="1">
      <c r="A35" s="32"/>
      <c r="B35" s="32"/>
    </row>
    <row r="36" spans="1:2" ht="15.75" customHeight="1">
      <c r="A36" s="32"/>
      <c r="B36" s="32"/>
    </row>
    <row r="37" spans="1:2" ht="15.75" customHeight="1">
      <c r="A37" s="32"/>
      <c r="B37" s="32"/>
    </row>
    <row r="38" spans="1:2" ht="14.4">
      <c r="A38" s="32"/>
      <c r="B38" s="32"/>
    </row>
    <row r="39" spans="1:2" ht="14.4">
      <c r="A39" s="32"/>
      <c r="B39" s="32"/>
    </row>
    <row r="40" spans="1:2" ht="14.4">
      <c r="A40" s="32"/>
      <c r="B40" s="32"/>
    </row>
    <row r="41" spans="1:2" ht="14.4">
      <c r="A41" s="32"/>
      <c r="B41" s="32"/>
    </row>
    <row r="42" spans="1:2" ht="14.4">
      <c r="A42" s="32"/>
      <c r="B42" s="32"/>
    </row>
    <row r="43" spans="1:2" ht="14.4">
      <c r="A43" s="32"/>
      <c r="B43" s="32"/>
    </row>
    <row r="44" spans="1:2" ht="14.4">
      <c r="A44" s="32"/>
      <c r="B44" s="32"/>
    </row>
    <row r="45" spans="1:2" ht="14.4">
      <c r="A45" s="32"/>
      <c r="B45" s="32"/>
    </row>
    <row r="46" spans="1:2" ht="14.4">
      <c r="A46" s="32"/>
      <c r="B46" s="32"/>
    </row>
    <row r="47" spans="1:2" ht="14.4">
      <c r="A47" s="32"/>
      <c r="B47" s="32"/>
    </row>
    <row r="48" spans="1:2" ht="14.4">
      <c r="A48" s="32"/>
      <c r="B48" s="32"/>
    </row>
    <row r="49" spans="1:2" ht="14.4">
      <c r="A49" s="32"/>
      <c r="B49" s="32"/>
    </row>
    <row r="50" spans="1:2" ht="14.4">
      <c r="A50" s="32"/>
      <c r="B50" s="32"/>
    </row>
    <row r="51" spans="1:2" ht="14.4">
      <c r="A51" s="32"/>
      <c r="B51" s="32"/>
    </row>
    <row r="52" spans="1:2" ht="14.4">
      <c r="A52" s="32"/>
      <c r="B52" s="32"/>
    </row>
    <row r="53" spans="1:2" ht="14.4">
      <c r="A53" s="32"/>
      <c r="B53" s="32"/>
    </row>
    <row r="54" spans="1:2" ht="14.4">
      <c r="A54" s="32"/>
      <c r="B54" s="32"/>
    </row>
    <row r="55" spans="1:2" ht="14.4">
      <c r="A55" s="32"/>
      <c r="B55" s="32"/>
    </row>
    <row r="56" spans="1:2" ht="14.4">
      <c r="A56" s="32"/>
      <c r="B56" s="32"/>
    </row>
    <row r="57" spans="1:2" ht="14.4">
      <c r="A57" s="32"/>
      <c r="B57" s="32"/>
    </row>
    <row r="58" spans="1:2" ht="14.4">
      <c r="A58" s="32"/>
      <c r="B58" s="32"/>
    </row>
    <row r="59" spans="1:2" ht="14.4">
      <c r="A59" s="32"/>
      <c r="B59" s="32"/>
    </row>
    <row r="60" spans="1:2" ht="14.4">
      <c r="A60" s="32"/>
      <c r="B60" s="32"/>
    </row>
    <row r="61" spans="1:2" ht="14.4">
      <c r="A61" s="32"/>
      <c r="B61" s="32"/>
    </row>
    <row r="62" spans="1:2" ht="14.4">
      <c r="A62" s="32"/>
      <c r="B62" s="32"/>
    </row>
    <row r="63" spans="1:2" ht="14.4">
      <c r="A63" s="32"/>
      <c r="B63" s="32"/>
    </row>
    <row r="64" spans="1:2" ht="14.4">
      <c r="A64" s="32"/>
      <c r="B64" s="32"/>
    </row>
    <row r="65" spans="1:2" ht="14.4">
      <c r="A65" s="32"/>
      <c r="B65" s="32"/>
    </row>
    <row r="66" spans="1:2" ht="14.4">
      <c r="A66" s="32"/>
      <c r="B66" s="32"/>
    </row>
    <row r="67" spans="1:2" ht="14.4">
      <c r="A67" s="32"/>
      <c r="B67" s="32"/>
    </row>
    <row r="68" spans="1:2" ht="14.4">
      <c r="A68" s="32"/>
      <c r="B68" s="32"/>
    </row>
    <row r="69" spans="1:2" ht="14.4">
      <c r="A69" s="32"/>
      <c r="B69" s="32"/>
    </row>
    <row r="70" spans="1:2" ht="14.4">
      <c r="A70" s="32"/>
      <c r="B70" s="32"/>
    </row>
    <row r="71" spans="1:2" ht="14.4">
      <c r="A71" s="32"/>
      <c r="B71" s="32"/>
    </row>
    <row r="72" spans="1:2" ht="14.4">
      <c r="A72" s="32"/>
      <c r="B72" s="32"/>
    </row>
    <row r="73" spans="1:2" ht="14.4">
      <c r="A73" s="32"/>
      <c r="B73" s="32"/>
    </row>
    <row r="74" spans="1:2" ht="14.4">
      <c r="A74" s="32"/>
      <c r="B74" s="32"/>
    </row>
    <row r="75" spans="1:2" ht="14.4">
      <c r="A75" s="32"/>
      <c r="B75" s="32"/>
    </row>
    <row r="76" spans="1:2" ht="14.4">
      <c r="A76" s="32"/>
      <c r="B76" s="32"/>
    </row>
    <row r="77" spans="1:2" ht="14.4">
      <c r="A77" s="32"/>
      <c r="B77" s="32"/>
    </row>
    <row r="78" spans="1:2" ht="14.4">
      <c r="A78" s="32"/>
      <c r="B78" s="32"/>
    </row>
    <row r="79" spans="1:2" ht="14.4">
      <c r="A79" s="32"/>
      <c r="B79" s="32"/>
    </row>
    <row r="80" spans="1:2" ht="14.4">
      <c r="A80" s="32"/>
      <c r="B80" s="32"/>
    </row>
    <row r="81" spans="1:2" ht="14.4">
      <c r="A81" s="32"/>
      <c r="B81" s="32"/>
    </row>
    <row r="82" spans="1:2" ht="14.4">
      <c r="A82" s="32"/>
      <c r="B82" s="32"/>
    </row>
    <row r="83" spans="1:2" ht="14.4">
      <c r="A83" s="32"/>
      <c r="B83" s="32"/>
    </row>
    <row r="84" spans="1:2" ht="14.4">
      <c r="A84" s="32"/>
      <c r="B84" s="32"/>
    </row>
    <row r="85" spans="1:2" ht="14.4">
      <c r="A85" s="32"/>
      <c r="B85" s="32"/>
    </row>
    <row r="86" spans="1:2" ht="14.4">
      <c r="A86" s="32"/>
      <c r="B86" s="32"/>
    </row>
    <row r="87" spans="1:2" ht="14.4">
      <c r="A87" s="32"/>
      <c r="B87" s="32"/>
    </row>
    <row r="88" spans="1:2" ht="14.4">
      <c r="A88" s="32"/>
      <c r="B88" s="32"/>
    </row>
    <row r="89" spans="1:2" ht="14.4">
      <c r="A89" s="32"/>
      <c r="B89" s="32"/>
    </row>
    <row r="90" spans="1:2" ht="14.4">
      <c r="A90" s="32"/>
      <c r="B90" s="32"/>
    </row>
    <row r="91" spans="1:2" ht="14.4">
      <c r="A91" s="32"/>
      <c r="B91" s="32"/>
    </row>
    <row r="92" spans="1:2" ht="14.4">
      <c r="A92" s="32"/>
      <c r="B92" s="32"/>
    </row>
    <row r="93" spans="1:2" ht="14.4">
      <c r="A93" s="32"/>
      <c r="B93" s="32"/>
    </row>
    <row r="94" spans="1:2" ht="14.4">
      <c r="A94" s="32"/>
      <c r="B94" s="32"/>
    </row>
    <row r="95" spans="1:2" ht="14.4">
      <c r="A95" s="32"/>
      <c r="B95" s="32"/>
    </row>
    <row r="96" spans="1:2" ht="14.4">
      <c r="A96" s="32"/>
      <c r="B96" s="32"/>
    </row>
    <row r="97" spans="1:2" ht="14.4">
      <c r="A97" s="32"/>
      <c r="B97" s="32"/>
    </row>
    <row r="98" spans="1:2" ht="14.4">
      <c r="A98" s="32"/>
      <c r="B98" s="32"/>
    </row>
    <row r="99" spans="1:2" ht="14.4">
      <c r="A99" s="32"/>
      <c r="B99" s="32"/>
    </row>
    <row r="100" spans="1:2" ht="14.4">
      <c r="A100" s="32"/>
      <c r="B100" s="32"/>
    </row>
    <row r="101" spans="1:2" ht="14.4">
      <c r="A101" s="32"/>
      <c r="B101" s="32"/>
    </row>
    <row r="102" spans="1:2" ht="14.4">
      <c r="A102" s="32"/>
      <c r="B102" s="32"/>
    </row>
    <row r="103" spans="1:2" ht="14.4">
      <c r="A103" s="32"/>
      <c r="B103" s="32"/>
    </row>
    <row r="104" spans="1:2" ht="14.4">
      <c r="A104" s="32"/>
      <c r="B104" s="32"/>
    </row>
    <row r="105" spans="1:2" ht="14.4">
      <c r="A105" s="32"/>
      <c r="B105" s="32"/>
    </row>
    <row r="106" spans="1:2" ht="14.4">
      <c r="A106" s="32"/>
      <c r="B106" s="32"/>
    </row>
    <row r="107" spans="1:2" ht="14.4">
      <c r="A107" s="32"/>
      <c r="B107" s="32"/>
    </row>
    <row r="108" spans="1:2" ht="14.4">
      <c r="A108" s="32"/>
      <c r="B108" s="32"/>
    </row>
    <row r="109" spans="1:2" ht="14.4">
      <c r="A109" s="32"/>
      <c r="B109" s="32"/>
    </row>
    <row r="110" spans="1:2" ht="14.4">
      <c r="A110" s="32"/>
      <c r="B110" s="32"/>
    </row>
    <row r="111" spans="1:2" ht="14.4">
      <c r="A111" s="32"/>
      <c r="B111" s="32"/>
    </row>
    <row r="112" spans="1:2" ht="14.4">
      <c r="A112" s="32"/>
      <c r="B112" s="32"/>
    </row>
    <row r="113" spans="1:2" ht="14.4">
      <c r="A113" s="32"/>
      <c r="B113" s="32"/>
    </row>
    <row r="114" spans="1:2" ht="14.4">
      <c r="A114" s="32"/>
      <c r="B114" s="32"/>
    </row>
    <row r="115" spans="1:2" ht="14.4">
      <c r="A115" s="32"/>
      <c r="B115" s="32"/>
    </row>
    <row r="116" spans="1:2" ht="14.4">
      <c r="A116" s="32"/>
      <c r="B116" s="32"/>
    </row>
    <row r="117" spans="1:2" ht="14.4">
      <c r="A117" s="32"/>
      <c r="B117" s="32"/>
    </row>
    <row r="118" spans="1:2" ht="14.4">
      <c r="A118" s="32"/>
      <c r="B118" s="32"/>
    </row>
    <row r="119" spans="1:2" ht="14.4">
      <c r="A119" s="32"/>
      <c r="B119" s="32"/>
    </row>
    <row r="120" spans="1:2" ht="14.4">
      <c r="A120" s="32"/>
      <c r="B120" s="32"/>
    </row>
    <row r="121" spans="1:2" ht="14.4">
      <c r="A121" s="32"/>
      <c r="B121" s="32"/>
    </row>
    <row r="122" spans="1:2" ht="14.4">
      <c r="A122" s="32"/>
      <c r="B122" s="32"/>
    </row>
    <row r="123" spans="1:2" ht="14.4">
      <c r="A123" s="32"/>
      <c r="B123" s="32"/>
    </row>
    <row r="124" spans="1:2" ht="14.4">
      <c r="A124" s="32"/>
      <c r="B124" s="32"/>
    </row>
    <row r="125" spans="1:2" ht="14.4">
      <c r="A125" s="32"/>
      <c r="B125" s="32"/>
    </row>
    <row r="126" spans="1:2" ht="14.4">
      <c r="A126" s="32"/>
      <c r="B126" s="32"/>
    </row>
    <row r="127" spans="1:2" ht="14.4">
      <c r="A127" s="32"/>
      <c r="B127" s="32"/>
    </row>
    <row r="128" spans="1:2" ht="14.4">
      <c r="A128" s="32"/>
      <c r="B128" s="32"/>
    </row>
    <row r="129" spans="1:2" ht="14.4">
      <c r="A129" s="32"/>
      <c r="B129" s="32"/>
    </row>
    <row r="130" spans="1:2" ht="14.4">
      <c r="A130" s="32"/>
      <c r="B130" s="32"/>
    </row>
    <row r="131" spans="1:2" ht="14.4">
      <c r="A131" s="32"/>
      <c r="B131" s="32"/>
    </row>
    <row r="132" spans="1:2" ht="14.4">
      <c r="A132" s="32"/>
      <c r="B132" s="32"/>
    </row>
    <row r="133" spans="1:2" ht="14.4">
      <c r="A133" s="32"/>
      <c r="B133" s="32"/>
    </row>
    <row r="134" spans="1:2" ht="14.4">
      <c r="A134" s="32"/>
      <c r="B134" s="32"/>
    </row>
    <row r="135" spans="1:2" ht="14.4">
      <c r="A135" s="32"/>
      <c r="B135" s="32"/>
    </row>
    <row r="136" spans="1:2" ht="14.4">
      <c r="A136" s="32"/>
      <c r="B136" s="32"/>
    </row>
    <row r="137" spans="1:2" ht="14.4">
      <c r="A137" s="32"/>
      <c r="B137" s="32"/>
    </row>
    <row r="138" spans="1:2" ht="14.4">
      <c r="A138" s="32"/>
      <c r="B138" s="32"/>
    </row>
    <row r="139" spans="1:2" ht="14.4">
      <c r="A139" s="32"/>
      <c r="B139" s="32"/>
    </row>
    <row r="140" spans="1:2" ht="14.4">
      <c r="A140" s="32"/>
      <c r="B140" s="32"/>
    </row>
    <row r="141" spans="1:2" ht="14.4">
      <c r="A141" s="32"/>
      <c r="B141" s="32"/>
    </row>
    <row r="142" spans="1:2" ht="14.4">
      <c r="A142" s="32"/>
      <c r="B142" s="32"/>
    </row>
    <row r="143" spans="1:2" ht="14.4">
      <c r="A143" s="32"/>
      <c r="B143" s="32"/>
    </row>
    <row r="144" spans="1:2" ht="14.4">
      <c r="A144" s="32"/>
      <c r="B144" s="32"/>
    </row>
    <row r="145" spans="1:2" ht="14.4">
      <c r="A145" s="32"/>
      <c r="B145" s="32"/>
    </row>
    <row r="146" spans="1:2" ht="14.4">
      <c r="A146" s="32"/>
      <c r="B146" s="32"/>
    </row>
    <row r="147" spans="1:2" ht="14.4">
      <c r="A147" s="32"/>
      <c r="B147" s="32"/>
    </row>
    <row r="148" spans="1:2" ht="14.4">
      <c r="A148" s="32"/>
      <c r="B148" s="32"/>
    </row>
    <row r="149" spans="1:2" ht="14.4">
      <c r="A149" s="32"/>
      <c r="B149" s="32"/>
    </row>
    <row r="150" spans="1:2" ht="14.4">
      <c r="A150" s="32"/>
      <c r="B150" s="32"/>
    </row>
    <row r="151" spans="1:2" ht="14.4">
      <c r="A151" s="32"/>
      <c r="B151" s="32"/>
    </row>
    <row r="152" spans="1:2" ht="14.4">
      <c r="A152" s="32"/>
      <c r="B152" s="32"/>
    </row>
    <row r="153" spans="1:2" ht="14.4">
      <c r="A153" s="32"/>
      <c r="B153" s="32"/>
    </row>
    <row r="154" spans="1:2" ht="14.4">
      <c r="A154" s="32"/>
      <c r="B154" s="32"/>
    </row>
    <row r="155" spans="1:2" ht="14.4">
      <c r="A155" s="32"/>
      <c r="B155" s="32"/>
    </row>
    <row r="156" spans="1:2" ht="14.4">
      <c r="A156" s="32"/>
      <c r="B156" s="32"/>
    </row>
    <row r="157" spans="1:2" ht="14.4">
      <c r="A157" s="32"/>
      <c r="B157" s="32"/>
    </row>
    <row r="158" spans="1:2" ht="14.4">
      <c r="A158" s="32"/>
      <c r="B158" s="32"/>
    </row>
    <row r="159" spans="1:2" ht="14.4">
      <c r="A159" s="32"/>
      <c r="B159" s="32"/>
    </row>
    <row r="160" spans="1:2" ht="14.4">
      <c r="A160" s="32"/>
      <c r="B160" s="32"/>
    </row>
    <row r="161" spans="1:2" ht="14.4">
      <c r="A161" s="32"/>
      <c r="B161" s="32"/>
    </row>
    <row r="162" spans="1:2" ht="14.4">
      <c r="A162" s="32"/>
      <c r="B162" s="32"/>
    </row>
    <row r="163" spans="1:2" ht="14.4">
      <c r="A163" s="32"/>
      <c r="B163" s="32"/>
    </row>
    <row r="164" spans="1:2" ht="14.4">
      <c r="A164" s="32"/>
      <c r="B164" s="32"/>
    </row>
    <row r="165" spans="1:2" ht="14.4">
      <c r="A165" s="32"/>
      <c r="B165" s="32"/>
    </row>
    <row r="166" spans="1:2" ht="14.4">
      <c r="A166" s="32"/>
      <c r="B166" s="32"/>
    </row>
    <row r="167" spans="1:2" ht="14.4">
      <c r="A167" s="32"/>
      <c r="B167" s="32"/>
    </row>
    <row r="168" spans="1:2" ht="14.4">
      <c r="A168" s="32"/>
      <c r="B168" s="32"/>
    </row>
    <row r="169" spans="1:2" ht="14.4">
      <c r="A169" s="32"/>
      <c r="B169" s="32"/>
    </row>
    <row r="170" spans="1:2" ht="14.4">
      <c r="A170" s="32"/>
      <c r="B170" s="32"/>
    </row>
    <row r="171" spans="1:2" ht="14.4">
      <c r="A171" s="32"/>
      <c r="B171" s="32"/>
    </row>
    <row r="172" spans="1:2" ht="14.4">
      <c r="A172" s="32"/>
      <c r="B172" s="32"/>
    </row>
    <row r="173" spans="1:2" ht="14.4">
      <c r="A173" s="32"/>
      <c r="B173" s="32"/>
    </row>
    <row r="174" spans="1:2" ht="14.4">
      <c r="A174" s="32"/>
      <c r="B174" s="32"/>
    </row>
    <row r="175" spans="1:2" ht="14.4">
      <c r="A175" s="32"/>
      <c r="B175" s="32"/>
    </row>
    <row r="176" spans="1:2" ht="14.4">
      <c r="A176" s="32"/>
      <c r="B176" s="32"/>
    </row>
    <row r="177" spans="1:2" ht="14.4">
      <c r="A177" s="32"/>
      <c r="B177" s="32"/>
    </row>
    <row r="178" spans="1:2" ht="14.4">
      <c r="A178" s="32"/>
      <c r="B178" s="32"/>
    </row>
    <row r="179" spans="1:2" ht="14.4">
      <c r="A179" s="32"/>
      <c r="B179" s="32"/>
    </row>
    <row r="180" spans="1:2" ht="14.4">
      <c r="A180" s="32"/>
      <c r="B180" s="32"/>
    </row>
    <row r="181" spans="1:2" ht="14.4">
      <c r="A181" s="32"/>
      <c r="B181" s="32"/>
    </row>
    <row r="182" spans="1:2" ht="14.4">
      <c r="A182" s="32"/>
      <c r="B182" s="32"/>
    </row>
    <row r="183" spans="1:2" ht="14.4">
      <c r="A183" s="32"/>
      <c r="B183" s="32"/>
    </row>
    <row r="184" spans="1:2" ht="14.4">
      <c r="A184" s="32"/>
      <c r="B184" s="32"/>
    </row>
    <row r="185" spans="1:2" ht="14.4">
      <c r="A185" s="32"/>
      <c r="B185" s="32"/>
    </row>
    <row r="186" spans="1:2" ht="14.4">
      <c r="A186" s="32"/>
      <c r="B186" s="32"/>
    </row>
    <row r="187" spans="1:2" ht="14.4">
      <c r="A187" s="32"/>
      <c r="B187" s="32"/>
    </row>
    <row r="188" spans="1:2" ht="14.4">
      <c r="A188" s="32"/>
      <c r="B188" s="32"/>
    </row>
    <row r="189" spans="1:2" ht="14.4">
      <c r="A189" s="32"/>
      <c r="B189" s="32"/>
    </row>
    <row r="190" spans="1:2" ht="14.4">
      <c r="A190" s="32"/>
      <c r="B190" s="32"/>
    </row>
    <row r="191" spans="1:2" ht="14.4">
      <c r="A191" s="32"/>
      <c r="B191" s="32"/>
    </row>
    <row r="192" spans="1:2" ht="14.4">
      <c r="A192" s="32"/>
      <c r="B192" s="32"/>
    </row>
    <row r="193" spans="1:2" ht="14.4">
      <c r="A193" s="32"/>
      <c r="B193" s="32"/>
    </row>
    <row r="194" spans="1:2" ht="14.4">
      <c r="A194" s="32"/>
      <c r="B194" s="32"/>
    </row>
    <row r="195" spans="1:2" ht="14.4">
      <c r="A195" s="32"/>
      <c r="B195" s="32"/>
    </row>
    <row r="196" spans="1:2" ht="14.4">
      <c r="A196" s="32"/>
      <c r="B196" s="32"/>
    </row>
    <row r="197" spans="1:2" ht="14.4">
      <c r="A197" s="32"/>
      <c r="B197" s="32"/>
    </row>
    <row r="198" spans="1:2" ht="14.4">
      <c r="A198" s="32"/>
      <c r="B198" s="32"/>
    </row>
    <row r="199" spans="1:2" ht="14.4">
      <c r="A199" s="32"/>
      <c r="B199" s="32"/>
    </row>
    <row r="200" spans="1:2" ht="14.4">
      <c r="A200" s="32"/>
      <c r="B200" s="32"/>
    </row>
    <row r="201" spans="1:2" ht="14.4">
      <c r="A201" s="32"/>
      <c r="B201" s="32"/>
    </row>
    <row r="202" spans="1:2" ht="14.4">
      <c r="A202" s="32"/>
      <c r="B202" s="32"/>
    </row>
    <row r="203" spans="1:2" ht="14.4">
      <c r="A203" s="32"/>
      <c r="B203" s="32"/>
    </row>
    <row r="204" spans="1:2" ht="14.4">
      <c r="A204" s="32"/>
      <c r="B204" s="32"/>
    </row>
    <row r="205" spans="1:2" ht="14.4">
      <c r="A205" s="32"/>
      <c r="B205" s="32"/>
    </row>
    <row r="206" spans="1:2" ht="14.4">
      <c r="A206" s="32"/>
      <c r="B206" s="32"/>
    </row>
    <row r="207" spans="1:2" ht="14.4">
      <c r="A207" s="32"/>
      <c r="B207" s="32"/>
    </row>
    <row r="208" spans="1:2" ht="14.4">
      <c r="A208" s="32"/>
      <c r="B208" s="32"/>
    </row>
    <row r="209" spans="1:2" ht="14.4">
      <c r="A209" s="32"/>
      <c r="B209" s="32"/>
    </row>
    <row r="210" spans="1:2" ht="14.4">
      <c r="A210" s="32"/>
      <c r="B210" s="32"/>
    </row>
    <row r="211" spans="1:2" ht="14.4">
      <c r="A211" s="32"/>
      <c r="B211" s="32"/>
    </row>
    <row r="212" spans="1:2" ht="14.4">
      <c r="A212" s="32"/>
      <c r="B212" s="32"/>
    </row>
    <row r="213" spans="1:2" ht="14.4">
      <c r="A213" s="32"/>
      <c r="B213" s="32"/>
    </row>
    <row r="214" spans="1:2" ht="14.4">
      <c r="A214" s="32"/>
      <c r="B214" s="32"/>
    </row>
    <row r="215" spans="1:2" ht="14.4">
      <c r="A215" s="32"/>
      <c r="B215" s="32"/>
    </row>
    <row r="216" spans="1:2" ht="14.4">
      <c r="A216" s="32"/>
      <c r="B216" s="32"/>
    </row>
    <row r="217" spans="1:2" ht="14.4">
      <c r="A217" s="32"/>
      <c r="B217" s="32"/>
    </row>
    <row r="218" spans="1:2" ht="14.4">
      <c r="A218" s="32"/>
      <c r="B218" s="32"/>
    </row>
    <row r="219" spans="1:2" ht="14.4">
      <c r="A219" s="32"/>
      <c r="B219" s="32"/>
    </row>
    <row r="220" spans="1:2" ht="14.4">
      <c r="A220" s="32"/>
      <c r="B220" s="32"/>
    </row>
    <row r="221" spans="1:2" ht="14.4">
      <c r="A221" s="32"/>
      <c r="B221" s="32"/>
    </row>
    <row r="222" spans="1:2" ht="14.4">
      <c r="A222" s="32"/>
      <c r="B222" s="32"/>
    </row>
    <row r="223" spans="1:2" ht="14.4">
      <c r="A223" s="32"/>
      <c r="B223" s="32"/>
    </row>
    <row r="224" spans="1:2" ht="14.4">
      <c r="A224" s="32"/>
      <c r="B224" s="32"/>
    </row>
    <row r="225" spans="1:2" ht="14.4">
      <c r="A225" s="32"/>
      <c r="B225" s="32"/>
    </row>
    <row r="226" spans="1:2" ht="14.4">
      <c r="A226" s="32"/>
      <c r="B226" s="32"/>
    </row>
    <row r="227" spans="1:2" ht="14.4">
      <c r="A227" s="32"/>
      <c r="B227" s="32"/>
    </row>
    <row r="228" spans="1:2" ht="14.4">
      <c r="A228" s="32"/>
      <c r="B228" s="32"/>
    </row>
    <row r="229" spans="1:2" ht="14.4">
      <c r="A229" s="32"/>
      <c r="B229" s="32"/>
    </row>
    <row r="230" spans="1:2" ht="14.4">
      <c r="A230" s="32"/>
      <c r="B230" s="32"/>
    </row>
    <row r="231" spans="1:2" ht="14.4">
      <c r="A231" s="32"/>
      <c r="B231" s="32"/>
    </row>
    <row r="232" spans="1:2" ht="14.4">
      <c r="A232" s="32"/>
      <c r="B232" s="32"/>
    </row>
    <row r="233" spans="1:2" ht="14.4">
      <c r="A233" s="32"/>
      <c r="B233" s="32"/>
    </row>
    <row r="234" spans="1:2" ht="14.4">
      <c r="A234" s="32"/>
      <c r="B234" s="32"/>
    </row>
    <row r="235" spans="1:2" ht="14.4">
      <c r="A235" s="32"/>
      <c r="B235" s="32"/>
    </row>
    <row r="236" spans="1:2" ht="14.4">
      <c r="A236" s="32"/>
      <c r="B236" s="32"/>
    </row>
    <row r="237" spans="1:2" ht="14.4">
      <c r="A237" s="32"/>
      <c r="B237" s="32"/>
    </row>
    <row r="238" spans="1:2" ht="14.4">
      <c r="A238" s="32"/>
      <c r="B238" s="32"/>
    </row>
    <row r="239" spans="1:2" ht="14.4">
      <c r="A239" s="32"/>
      <c r="B239" s="32"/>
    </row>
    <row r="240" spans="1:2" ht="14.4">
      <c r="A240" s="32"/>
      <c r="B240" s="32"/>
    </row>
    <row r="241" spans="1:2" ht="14.4">
      <c r="A241" s="32"/>
      <c r="B241" s="32"/>
    </row>
    <row r="242" spans="1:2" ht="14.4">
      <c r="A242" s="32"/>
      <c r="B242" s="32"/>
    </row>
    <row r="243" spans="1:2" ht="14.4">
      <c r="A243" s="32"/>
      <c r="B243" s="32"/>
    </row>
    <row r="244" spans="1:2" ht="14.4">
      <c r="A244" s="32"/>
      <c r="B244" s="32"/>
    </row>
    <row r="245" spans="1:2" ht="14.4">
      <c r="A245" s="32"/>
      <c r="B245" s="32"/>
    </row>
    <row r="246" spans="1:2" ht="14.4">
      <c r="A246" s="32"/>
      <c r="B246" s="32"/>
    </row>
    <row r="247" spans="1:2" ht="14.4">
      <c r="A247" s="32"/>
      <c r="B247" s="32"/>
    </row>
    <row r="248" spans="1:2" ht="14.4">
      <c r="A248" s="32"/>
      <c r="B248" s="32"/>
    </row>
    <row r="249" spans="1:2" ht="14.4">
      <c r="A249" s="32"/>
      <c r="B249" s="32"/>
    </row>
    <row r="250" spans="1:2" ht="14.4">
      <c r="A250" s="32"/>
      <c r="B250" s="32"/>
    </row>
    <row r="251" spans="1:2" ht="14.4">
      <c r="A251" s="32"/>
      <c r="B251" s="32"/>
    </row>
    <row r="252" spans="1:2" ht="14.4">
      <c r="A252" s="32"/>
      <c r="B252" s="32"/>
    </row>
    <row r="253" spans="1:2" ht="14.4">
      <c r="A253" s="32"/>
      <c r="B253" s="32"/>
    </row>
    <row r="254" spans="1:2" ht="14.4">
      <c r="A254" s="32"/>
      <c r="B254" s="32"/>
    </row>
    <row r="255" spans="1:2" ht="14.4">
      <c r="A255" s="32"/>
      <c r="B255" s="32"/>
    </row>
    <row r="256" spans="1:2" ht="14.4">
      <c r="A256" s="32"/>
      <c r="B256" s="32"/>
    </row>
    <row r="257" spans="1:2" ht="14.4">
      <c r="A257" s="32"/>
      <c r="B257" s="32"/>
    </row>
    <row r="258" spans="1:2" ht="14.4">
      <c r="A258" s="32"/>
      <c r="B258" s="32"/>
    </row>
    <row r="259" spans="1:2" ht="14.4">
      <c r="A259" s="32"/>
      <c r="B259" s="32"/>
    </row>
    <row r="260" spans="1:2" ht="14.4">
      <c r="A260" s="32"/>
      <c r="B260" s="32"/>
    </row>
    <row r="261" spans="1:2" ht="14.4">
      <c r="A261" s="32"/>
      <c r="B261" s="32"/>
    </row>
    <row r="262" spans="1:2" ht="14.4">
      <c r="A262" s="32"/>
      <c r="B262" s="32"/>
    </row>
    <row r="263" spans="1:2" ht="14.4">
      <c r="A263" s="32"/>
      <c r="B263" s="32"/>
    </row>
    <row r="264" spans="1:2" ht="14.4">
      <c r="A264" s="32"/>
      <c r="B264" s="32"/>
    </row>
    <row r="265" spans="1:2" ht="14.4">
      <c r="A265" s="32"/>
      <c r="B265" s="32"/>
    </row>
    <row r="266" spans="1:2" ht="14.4">
      <c r="A266" s="32"/>
      <c r="B266" s="32"/>
    </row>
    <row r="267" spans="1:2" ht="14.4">
      <c r="A267" s="32"/>
      <c r="B267" s="32"/>
    </row>
    <row r="268" spans="1:2" ht="14.4">
      <c r="A268" s="32"/>
      <c r="B268" s="32"/>
    </row>
    <row r="269" spans="1:2" ht="14.4">
      <c r="A269" s="32"/>
      <c r="B269" s="32"/>
    </row>
    <row r="270" spans="1:2" ht="14.4">
      <c r="A270" s="32"/>
      <c r="B270" s="32"/>
    </row>
    <row r="271" spans="1:2" ht="14.4">
      <c r="A271" s="32"/>
      <c r="B271" s="32"/>
    </row>
    <row r="272" spans="1:2" ht="14.4">
      <c r="A272" s="32"/>
      <c r="B272" s="32"/>
    </row>
    <row r="273" spans="1:2" ht="14.4">
      <c r="A273" s="32"/>
      <c r="B273" s="32"/>
    </row>
    <row r="274" spans="1:2" ht="14.4">
      <c r="A274" s="32"/>
      <c r="B274" s="32"/>
    </row>
    <row r="275" spans="1:2" ht="14.4">
      <c r="A275" s="32"/>
      <c r="B275" s="32"/>
    </row>
    <row r="276" spans="1:2" ht="14.4">
      <c r="A276" s="32"/>
      <c r="B276" s="32"/>
    </row>
    <row r="277" spans="1:2" ht="14.4">
      <c r="A277" s="32"/>
      <c r="B277" s="32"/>
    </row>
    <row r="278" spans="1:2" ht="14.4">
      <c r="A278" s="32"/>
      <c r="B278" s="32"/>
    </row>
    <row r="279" spans="1:2" ht="14.4">
      <c r="A279" s="32"/>
      <c r="B279" s="32"/>
    </row>
    <row r="280" spans="1:2" ht="14.4">
      <c r="A280" s="32"/>
      <c r="B280" s="32"/>
    </row>
    <row r="281" spans="1:2" ht="14.4">
      <c r="A281" s="32"/>
      <c r="B281" s="32"/>
    </row>
    <row r="282" spans="1:2" ht="14.4">
      <c r="A282" s="32"/>
      <c r="B282" s="32"/>
    </row>
    <row r="283" spans="1:2" ht="14.4">
      <c r="A283" s="32"/>
      <c r="B283" s="32"/>
    </row>
    <row r="284" spans="1:2" ht="14.4">
      <c r="A284" s="32"/>
      <c r="B284" s="32"/>
    </row>
    <row r="285" spans="1:2" ht="14.4">
      <c r="A285" s="32"/>
      <c r="B285" s="32"/>
    </row>
    <row r="286" spans="1:2" ht="14.4">
      <c r="A286" s="32"/>
      <c r="B286" s="32"/>
    </row>
    <row r="287" spans="1:2" ht="14.4">
      <c r="A287" s="32"/>
      <c r="B287" s="32"/>
    </row>
    <row r="288" spans="1:2" ht="14.4">
      <c r="A288" s="32"/>
      <c r="B288" s="32"/>
    </row>
    <row r="289" spans="1:2" ht="14.4">
      <c r="A289" s="32"/>
      <c r="B289" s="32"/>
    </row>
    <row r="290" spans="1:2" ht="14.4">
      <c r="A290" s="32"/>
      <c r="B290" s="32"/>
    </row>
    <row r="291" spans="1:2" ht="14.4">
      <c r="A291" s="32"/>
      <c r="B291" s="32"/>
    </row>
    <row r="292" spans="1:2" ht="14.4">
      <c r="A292" s="32"/>
      <c r="B292" s="32"/>
    </row>
    <row r="293" spans="1:2" ht="14.4">
      <c r="A293" s="32"/>
      <c r="B293" s="32"/>
    </row>
    <row r="294" spans="1:2" ht="14.4">
      <c r="A294" s="32"/>
      <c r="B294" s="32"/>
    </row>
    <row r="295" spans="1:2" ht="14.4">
      <c r="A295" s="32"/>
      <c r="B295" s="32"/>
    </row>
    <row r="296" spans="1:2" ht="14.4">
      <c r="A296" s="32"/>
      <c r="B296" s="32"/>
    </row>
    <row r="297" spans="1:2" ht="14.4">
      <c r="A297" s="32"/>
      <c r="B297" s="32"/>
    </row>
    <row r="298" spans="1:2" ht="14.4">
      <c r="A298" s="32"/>
      <c r="B298" s="32"/>
    </row>
    <row r="299" spans="1:2" ht="14.4">
      <c r="A299" s="32"/>
      <c r="B299" s="32"/>
    </row>
    <row r="300" spans="1:2" ht="14.4">
      <c r="A300" s="32"/>
      <c r="B300" s="32"/>
    </row>
    <row r="301" spans="1:2" ht="14.4">
      <c r="A301" s="32"/>
      <c r="B301" s="32"/>
    </row>
    <row r="302" spans="1:2" ht="14.4">
      <c r="A302" s="32"/>
      <c r="B302" s="32"/>
    </row>
    <row r="303" spans="1:2" ht="14.4">
      <c r="A303" s="32"/>
      <c r="B303" s="32"/>
    </row>
    <row r="304" spans="1:2" ht="14.4">
      <c r="A304" s="32"/>
      <c r="B304" s="32"/>
    </row>
    <row r="305" spans="1:2" ht="14.4">
      <c r="A305" s="32"/>
      <c r="B305" s="32"/>
    </row>
    <row r="306" spans="1:2" ht="14.4">
      <c r="A306" s="32"/>
      <c r="B306" s="32"/>
    </row>
    <row r="307" spans="1:2" ht="14.4">
      <c r="A307" s="32"/>
      <c r="B307" s="32"/>
    </row>
    <row r="308" spans="1:2" ht="14.4">
      <c r="A308" s="32"/>
      <c r="B308" s="32"/>
    </row>
    <row r="309" spans="1:2" ht="14.4">
      <c r="A309" s="32"/>
      <c r="B309" s="32"/>
    </row>
    <row r="310" spans="1:2" ht="14.4">
      <c r="A310" s="32"/>
      <c r="B310" s="32"/>
    </row>
    <row r="311" spans="1:2" ht="14.4">
      <c r="A311" s="32"/>
      <c r="B311" s="32"/>
    </row>
    <row r="312" spans="1:2" ht="14.4">
      <c r="A312" s="32"/>
      <c r="B312" s="32"/>
    </row>
    <row r="313" spans="1:2" ht="14.4">
      <c r="A313" s="32"/>
      <c r="B313" s="32"/>
    </row>
    <row r="314" spans="1:2" ht="14.4">
      <c r="A314" s="32"/>
      <c r="B314" s="32"/>
    </row>
    <row r="315" spans="1:2" ht="14.4">
      <c r="A315" s="32"/>
      <c r="B315" s="32"/>
    </row>
    <row r="316" spans="1:2" ht="14.4">
      <c r="A316" s="32"/>
      <c r="B316" s="32"/>
    </row>
    <row r="317" spans="1:2" ht="14.4">
      <c r="A317" s="32"/>
      <c r="B317" s="32"/>
    </row>
    <row r="318" spans="1:2" ht="14.4">
      <c r="A318" s="32"/>
      <c r="B318" s="32"/>
    </row>
    <row r="319" spans="1:2" ht="14.4">
      <c r="A319" s="32"/>
      <c r="B319" s="32"/>
    </row>
    <row r="320" spans="1:2" ht="14.4">
      <c r="A320" s="32"/>
      <c r="B320" s="32"/>
    </row>
    <row r="321" spans="1:2" ht="14.4">
      <c r="A321" s="32"/>
      <c r="B321" s="32"/>
    </row>
    <row r="322" spans="1:2" ht="14.4">
      <c r="A322" s="32"/>
      <c r="B322" s="32"/>
    </row>
    <row r="323" spans="1:2" ht="14.4">
      <c r="A323" s="32"/>
      <c r="B323" s="32"/>
    </row>
    <row r="324" spans="1:2" ht="14.4">
      <c r="A324" s="32"/>
      <c r="B324" s="32"/>
    </row>
    <row r="325" spans="1:2" ht="14.4">
      <c r="A325" s="32"/>
      <c r="B325" s="32"/>
    </row>
    <row r="326" spans="1:2" ht="14.4">
      <c r="A326" s="32"/>
      <c r="B326" s="32"/>
    </row>
    <row r="327" spans="1:2" ht="14.4">
      <c r="A327" s="32"/>
      <c r="B327" s="32"/>
    </row>
    <row r="328" spans="1:2" ht="14.4">
      <c r="A328" s="32"/>
      <c r="B328" s="32"/>
    </row>
    <row r="329" spans="1:2" ht="14.4">
      <c r="A329" s="32"/>
      <c r="B329" s="32"/>
    </row>
    <row r="330" spans="1:2" ht="14.4">
      <c r="A330" s="32"/>
      <c r="B330" s="32"/>
    </row>
    <row r="331" spans="1:2" ht="14.4">
      <c r="A331" s="32"/>
      <c r="B331" s="32"/>
    </row>
    <row r="332" spans="1:2" ht="14.4">
      <c r="A332" s="32"/>
      <c r="B332" s="32"/>
    </row>
    <row r="333" spans="1:2" ht="14.4">
      <c r="A333" s="32"/>
      <c r="B333" s="32"/>
    </row>
    <row r="334" spans="1:2" ht="14.4">
      <c r="A334" s="32"/>
      <c r="B334" s="32"/>
    </row>
    <row r="335" spans="1:2" ht="14.4">
      <c r="A335" s="32"/>
      <c r="B335" s="32"/>
    </row>
    <row r="336" spans="1:2" ht="14.4">
      <c r="A336" s="32"/>
      <c r="B336" s="32"/>
    </row>
    <row r="337" spans="1:2" ht="14.4">
      <c r="A337" s="32"/>
      <c r="B337" s="32"/>
    </row>
    <row r="338" spans="1:2" ht="14.4">
      <c r="A338" s="32"/>
      <c r="B338" s="32"/>
    </row>
    <row r="339" spans="1:2" ht="14.4">
      <c r="A339" s="32"/>
      <c r="B339" s="32"/>
    </row>
    <row r="340" spans="1:2" ht="14.4">
      <c r="A340" s="32"/>
      <c r="B340" s="32"/>
    </row>
    <row r="341" spans="1:2" ht="14.4">
      <c r="A341" s="32"/>
      <c r="B341" s="32"/>
    </row>
    <row r="342" spans="1:2" ht="14.4">
      <c r="A342" s="32"/>
      <c r="B342" s="32"/>
    </row>
    <row r="343" spans="1:2" ht="14.4">
      <c r="A343" s="32"/>
      <c r="B343" s="32"/>
    </row>
    <row r="344" spans="1:2" ht="14.4">
      <c r="A344" s="32"/>
      <c r="B344" s="32"/>
    </row>
    <row r="345" spans="1:2" ht="14.4">
      <c r="A345" s="32"/>
      <c r="B345" s="32"/>
    </row>
    <row r="346" spans="1:2" ht="14.4">
      <c r="A346" s="32"/>
      <c r="B346" s="32"/>
    </row>
    <row r="347" spans="1:2" ht="14.4">
      <c r="A347" s="32"/>
      <c r="B347" s="32"/>
    </row>
    <row r="348" spans="1:2" ht="14.4">
      <c r="A348" s="32"/>
      <c r="B348" s="32"/>
    </row>
    <row r="349" spans="1:2" ht="14.4">
      <c r="A349" s="32"/>
      <c r="B349" s="32"/>
    </row>
    <row r="350" spans="1:2" ht="14.4">
      <c r="A350" s="32"/>
      <c r="B350" s="32"/>
    </row>
    <row r="351" spans="1:2" ht="14.4">
      <c r="A351" s="32"/>
      <c r="B351" s="32"/>
    </row>
    <row r="352" spans="1:2" ht="14.4">
      <c r="A352" s="32"/>
      <c r="B352" s="32"/>
    </row>
    <row r="353" spans="1:2" ht="14.4">
      <c r="A353" s="32"/>
      <c r="B353" s="32"/>
    </row>
    <row r="354" spans="1:2" ht="14.4">
      <c r="A354" s="32"/>
      <c r="B354" s="32"/>
    </row>
    <row r="355" spans="1:2" ht="14.4">
      <c r="A355" s="32"/>
      <c r="B355" s="32"/>
    </row>
    <row r="356" spans="1:2" ht="14.4">
      <c r="A356" s="32"/>
      <c r="B356" s="32"/>
    </row>
    <row r="357" spans="1:2" ht="14.4">
      <c r="A357" s="32"/>
      <c r="B357" s="32"/>
    </row>
    <row r="358" spans="1:2" ht="14.4">
      <c r="A358" s="32"/>
      <c r="B358" s="32"/>
    </row>
    <row r="359" spans="1:2" ht="14.4">
      <c r="A359" s="32"/>
      <c r="B359" s="32"/>
    </row>
    <row r="360" spans="1:2" ht="14.4">
      <c r="A360" s="32"/>
      <c r="B360" s="32"/>
    </row>
    <row r="361" spans="1:2" ht="14.4">
      <c r="A361" s="32"/>
      <c r="B361" s="32"/>
    </row>
    <row r="362" spans="1:2" ht="14.4">
      <c r="A362" s="32"/>
      <c r="B362" s="32"/>
    </row>
    <row r="363" spans="1:2" ht="14.4">
      <c r="A363" s="32"/>
      <c r="B363" s="32"/>
    </row>
    <row r="364" spans="1:2" ht="14.4">
      <c r="A364" s="32"/>
      <c r="B364" s="32"/>
    </row>
    <row r="365" spans="1:2" ht="14.4">
      <c r="A365" s="32"/>
      <c r="B365" s="32"/>
    </row>
    <row r="366" spans="1:2" ht="14.4">
      <c r="A366" s="32"/>
      <c r="B366" s="32"/>
    </row>
    <row r="367" spans="1:2" ht="14.4">
      <c r="A367" s="32"/>
      <c r="B367" s="32"/>
    </row>
    <row r="368" spans="1:2" ht="14.4">
      <c r="A368" s="32"/>
      <c r="B368" s="32"/>
    </row>
    <row r="369" spans="1:2" ht="14.4">
      <c r="A369" s="32"/>
      <c r="B369" s="32"/>
    </row>
    <row r="370" spans="1:2" ht="14.4">
      <c r="A370" s="32"/>
      <c r="B370" s="32"/>
    </row>
    <row r="371" spans="1:2" ht="14.4">
      <c r="A371" s="32"/>
      <c r="B371" s="32"/>
    </row>
    <row r="372" spans="1:2" ht="14.4">
      <c r="A372" s="32"/>
      <c r="B372" s="32"/>
    </row>
    <row r="373" spans="1:2" ht="14.4">
      <c r="A373" s="32"/>
      <c r="B373" s="32"/>
    </row>
    <row r="374" spans="1:2" ht="14.4">
      <c r="A374" s="32"/>
      <c r="B374" s="32"/>
    </row>
    <row r="375" spans="1:2" ht="14.4">
      <c r="A375" s="32"/>
      <c r="B375" s="32"/>
    </row>
    <row r="376" spans="1:2" ht="14.4">
      <c r="A376" s="32"/>
      <c r="B376" s="32"/>
    </row>
    <row r="377" spans="1:2" ht="14.4">
      <c r="A377" s="32"/>
      <c r="B377" s="32"/>
    </row>
    <row r="378" spans="1:2" ht="14.4">
      <c r="A378" s="32"/>
      <c r="B378" s="32"/>
    </row>
    <row r="379" spans="1:2" ht="14.4">
      <c r="A379" s="32"/>
      <c r="B379" s="32"/>
    </row>
    <row r="380" spans="1:2" ht="14.4">
      <c r="A380" s="32"/>
      <c r="B380" s="32"/>
    </row>
    <row r="381" spans="1:2" ht="14.4">
      <c r="A381" s="32"/>
      <c r="B381" s="32"/>
    </row>
    <row r="382" spans="1:2" ht="14.4">
      <c r="A382" s="32"/>
      <c r="B382" s="32"/>
    </row>
    <row r="383" spans="1:2" ht="14.4">
      <c r="A383" s="32"/>
      <c r="B383" s="32"/>
    </row>
    <row r="384" spans="1:2" ht="14.4">
      <c r="A384" s="32"/>
      <c r="B384" s="32"/>
    </row>
    <row r="385" spans="1:2" ht="14.4">
      <c r="A385" s="32"/>
      <c r="B385" s="32"/>
    </row>
    <row r="386" spans="1:2" ht="14.4">
      <c r="A386" s="32"/>
      <c r="B386" s="32"/>
    </row>
    <row r="387" spans="1:2" ht="14.4">
      <c r="A387" s="32"/>
      <c r="B387" s="32"/>
    </row>
    <row r="388" spans="1:2" ht="14.4">
      <c r="A388" s="32"/>
      <c r="B388" s="32"/>
    </row>
    <row r="389" spans="1:2" ht="14.4">
      <c r="A389" s="32"/>
      <c r="B389" s="32"/>
    </row>
    <row r="390" spans="1:2" ht="14.4">
      <c r="A390" s="32"/>
      <c r="B390" s="32"/>
    </row>
    <row r="391" spans="1:2" ht="14.4">
      <c r="A391" s="32"/>
      <c r="B391" s="32"/>
    </row>
    <row r="392" spans="1:2" ht="14.4">
      <c r="A392" s="32"/>
      <c r="B392" s="32"/>
    </row>
    <row r="393" spans="1:2" ht="14.4">
      <c r="A393" s="32"/>
      <c r="B393" s="32"/>
    </row>
    <row r="394" spans="1:2" ht="14.4">
      <c r="A394" s="32"/>
      <c r="B394" s="32"/>
    </row>
    <row r="395" spans="1:2" ht="14.4">
      <c r="A395" s="32"/>
      <c r="B395" s="32"/>
    </row>
    <row r="396" spans="1:2" ht="14.4">
      <c r="A396" s="32"/>
      <c r="B396" s="32"/>
    </row>
    <row r="397" spans="1:2" ht="14.4">
      <c r="A397" s="32"/>
      <c r="B397" s="32"/>
    </row>
    <row r="398" spans="1:2" ht="14.4">
      <c r="A398" s="32"/>
      <c r="B398" s="32"/>
    </row>
    <row r="399" spans="1:2" ht="14.4">
      <c r="A399" s="32"/>
      <c r="B399" s="32"/>
    </row>
    <row r="400" spans="1:2" ht="14.4">
      <c r="A400" s="32"/>
      <c r="B400" s="32"/>
    </row>
    <row r="401" spans="1:2" ht="14.4">
      <c r="A401" s="32"/>
      <c r="B401" s="32"/>
    </row>
    <row r="402" spans="1:2" ht="14.4">
      <c r="A402" s="32"/>
      <c r="B402" s="32"/>
    </row>
    <row r="403" spans="1:2" ht="14.4">
      <c r="A403" s="32"/>
      <c r="B403" s="32"/>
    </row>
    <row r="404" spans="1:2" ht="14.4">
      <c r="A404" s="32"/>
      <c r="B404" s="32"/>
    </row>
    <row r="405" spans="1:2" ht="14.4">
      <c r="A405" s="32"/>
      <c r="B405" s="32"/>
    </row>
    <row r="406" spans="1:2" ht="14.4">
      <c r="A406" s="32"/>
      <c r="B406" s="32"/>
    </row>
    <row r="407" spans="1:2" ht="14.4">
      <c r="A407" s="32"/>
      <c r="B407" s="32"/>
    </row>
    <row r="408" spans="1:2" ht="14.4">
      <c r="A408" s="32"/>
      <c r="B408" s="32"/>
    </row>
    <row r="409" spans="1:2" ht="14.4">
      <c r="A409" s="32"/>
      <c r="B409" s="32"/>
    </row>
    <row r="410" spans="1:2" ht="14.4">
      <c r="A410" s="32"/>
      <c r="B410" s="32"/>
    </row>
    <row r="411" spans="1:2" ht="14.4">
      <c r="A411" s="32"/>
      <c r="B411" s="32"/>
    </row>
    <row r="412" spans="1:2" ht="14.4">
      <c r="A412" s="32"/>
      <c r="B412" s="32"/>
    </row>
    <row r="413" spans="1:2" ht="14.4">
      <c r="A413" s="32"/>
      <c r="B413" s="32"/>
    </row>
    <row r="414" spans="1:2" ht="14.4">
      <c r="A414" s="32"/>
      <c r="B414" s="32"/>
    </row>
    <row r="415" spans="1:2" ht="14.4">
      <c r="A415" s="32"/>
      <c r="B415" s="32"/>
    </row>
    <row r="416" spans="1:2" ht="14.4">
      <c r="A416" s="32"/>
      <c r="B416" s="32"/>
    </row>
    <row r="417" spans="1:2" ht="14.4">
      <c r="A417" s="32"/>
      <c r="B417" s="32"/>
    </row>
    <row r="418" spans="1:2" ht="14.4">
      <c r="A418" s="32"/>
      <c r="B418" s="32"/>
    </row>
    <row r="419" spans="1:2" ht="14.4">
      <c r="A419" s="32"/>
      <c r="B419" s="32"/>
    </row>
    <row r="420" spans="1:2" ht="14.4">
      <c r="A420" s="32"/>
      <c r="B420" s="32"/>
    </row>
    <row r="421" spans="1:2" ht="14.4">
      <c r="A421" s="32"/>
      <c r="B421" s="32"/>
    </row>
    <row r="422" spans="1:2" ht="14.4">
      <c r="A422" s="32"/>
      <c r="B422" s="32"/>
    </row>
    <row r="423" spans="1:2" ht="14.4">
      <c r="A423" s="32"/>
      <c r="B423" s="32"/>
    </row>
    <row r="424" spans="1:2" ht="14.4">
      <c r="A424" s="32"/>
      <c r="B424" s="32"/>
    </row>
    <row r="425" spans="1:2" ht="14.4">
      <c r="A425" s="32"/>
      <c r="B425" s="32"/>
    </row>
    <row r="426" spans="1:2" ht="14.4">
      <c r="A426" s="32"/>
      <c r="B426" s="32"/>
    </row>
    <row r="427" spans="1:2" ht="14.4">
      <c r="A427" s="32"/>
      <c r="B427" s="32"/>
    </row>
    <row r="428" spans="1:2" ht="14.4">
      <c r="A428" s="32"/>
      <c r="B428" s="32"/>
    </row>
    <row r="429" spans="1:2" ht="14.4">
      <c r="A429" s="32"/>
      <c r="B429" s="32"/>
    </row>
    <row r="430" spans="1:2" ht="14.4">
      <c r="A430" s="32"/>
      <c r="B430" s="32"/>
    </row>
    <row r="431" spans="1:2" ht="14.4">
      <c r="A431" s="32"/>
      <c r="B431" s="32"/>
    </row>
    <row r="432" spans="1:2" ht="14.4">
      <c r="A432" s="32"/>
      <c r="B432" s="32"/>
    </row>
    <row r="433" spans="1:2" ht="14.4">
      <c r="A433" s="32"/>
      <c r="B433" s="32"/>
    </row>
    <row r="434" spans="1:2" ht="14.4">
      <c r="A434" s="32"/>
      <c r="B434" s="32"/>
    </row>
    <row r="435" spans="1:2" ht="14.4">
      <c r="A435" s="32"/>
      <c r="B435" s="32"/>
    </row>
    <row r="436" spans="1:2" ht="14.4">
      <c r="A436" s="32"/>
      <c r="B436" s="32"/>
    </row>
    <row r="437" spans="1:2" ht="14.4">
      <c r="A437" s="32"/>
      <c r="B437" s="32"/>
    </row>
    <row r="438" spans="1:2" ht="14.4">
      <c r="A438" s="32"/>
      <c r="B438" s="32"/>
    </row>
    <row r="439" spans="1:2" ht="14.4">
      <c r="A439" s="32"/>
      <c r="B439" s="32"/>
    </row>
    <row r="440" spans="1:2" ht="14.4">
      <c r="A440" s="32"/>
      <c r="B440" s="32"/>
    </row>
    <row r="441" spans="1:2" ht="14.4">
      <c r="A441" s="32"/>
      <c r="B441" s="32"/>
    </row>
    <row r="442" spans="1:2" ht="14.4">
      <c r="A442" s="32"/>
      <c r="B442" s="32"/>
    </row>
    <row r="443" spans="1:2" ht="14.4">
      <c r="A443" s="32"/>
      <c r="B443" s="32"/>
    </row>
    <row r="444" spans="1:2" ht="14.4">
      <c r="A444" s="32"/>
      <c r="B444" s="32"/>
    </row>
    <row r="445" spans="1:2" ht="14.4">
      <c r="A445" s="32"/>
      <c r="B445" s="32"/>
    </row>
    <row r="446" spans="1:2" ht="14.4">
      <c r="A446" s="32"/>
      <c r="B446" s="32"/>
    </row>
    <row r="447" spans="1:2" ht="14.4">
      <c r="A447" s="32"/>
      <c r="B447" s="32"/>
    </row>
    <row r="448" spans="1:2" ht="14.4">
      <c r="A448" s="32"/>
      <c r="B448" s="32"/>
    </row>
    <row r="449" spans="1:2" ht="14.4">
      <c r="A449" s="32"/>
      <c r="B449" s="32"/>
    </row>
    <row r="450" spans="1:2" ht="14.4">
      <c r="A450" s="32"/>
      <c r="B450" s="32"/>
    </row>
    <row r="451" spans="1:2" ht="14.4">
      <c r="A451" s="32"/>
      <c r="B451" s="32"/>
    </row>
    <row r="452" spans="1:2" ht="14.4">
      <c r="A452" s="32"/>
      <c r="B452" s="32"/>
    </row>
    <row r="453" spans="1:2" ht="14.4">
      <c r="A453" s="32"/>
      <c r="B453" s="32"/>
    </row>
    <row r="454" spans="1:2" ht="14.4">
      <c r="A454" s="32"/>
      <c r="B454" s="32"/>
    </row>
    <row r="455" spans="1:2" ht="14.4">
      <c r="A455" s="32"/>
      <c r="B455" s="32"/>
    </row>
    <row r="456" spans="1:2" ht="14.4">
      <c r="A456" s="32"/>
      <c r="B456" s="32"/>
    </row>
    <row r="457" spans="1:2" ht="14.4">
      <c r="A457" s="32"/>
      <c r="B457" s="32"/>
    </row>
    <row r="458" spans="1:2" ht="14.4">
      <c r="A458" s="32"/>
      <c r="B458" s="32"/>
    </row>
    <row r="459" spans="1:2" ht="14.4">
      <c r="A459" s="32"/>
      <c r="B459" s="32"/>
    </row>
    <row r="460" spans="1:2" ht="14.4">
      <c r="A460" s="32"/>
      <c r="B460" s="32"/>
    </row>
    <row r="461" spans="1:2" ht="14.4">
      <c r="A461" s="32"/>
      <c r="B461" s="32"/>
    </row>
    <row r="462" spans="1:2" ht="14.4">
      <c r="A462" s="32"/>
      <c r="B462" s="32"/>
    </row>
    <row r="463" spans="1:2" ht="14.4">
      <c r="A463" s="32"/>
      <c r="B463" s="32"/>
    </row>
    <row r="464" spans="1:2" ht="14.4">
      <c r="A464" s="32"/>
      <c r="B464" s="32"/>
    </row>
    <row r="465" spans="1:2" ht="14.4">
      <c r="A465" s="32"/>
      <c r="B465" s="32"/>
    </row>
    <row r="466" spans="1:2" ht="14.4">
      <c r="A466" s="32"/>
      <c r="B466" s="32"/>
    </row>
    <row r="467" spans="1:2" ht="14.4">
      <c r="A467" s="32"/>
      <c r="B467" s="32"/>
    </row>
    <row r="468" spans="1:2" ht="14.4">
      <c r="A468" s="32"/>
      <c r="B468" s="32"/>
    </row>
    <row r="469" spans="1:2" ht="14.4">
      <c r="A469" s="32"/>
      <c r="B469" s="32"/>
    </row>
    <row r="470" spans="1:2" ht="14.4">
      <c r="A470" s="32"/>
      <c r="B470" s="32"/>
    </row>
    <row r="471" spans="1:2" ht="14.4">
      <c r="A471" s="32"/>
      <c r="B471" s="32"/>
    </row>
    <row r="472" spans="1:2" ht="14.4">
      <c r="A472" s="32"/>
      <c r="B472" s="32"/>
    </row>
    <row r="473" spans="1:2" ht="14.4">
      <c r="A473" s="32"/>
      <c r="B473" s="32"/>
    </row>
    <row r="474" spans="1:2" ht="14.4">
      <c r="A474" s="32"/>
      <c r="B474" s="32"/>
    </row>
    <row r="475" spans="1:2" ht="14.4">
      <c r="A475" s="32"/>
      <c r="B475" s="32"/>
    </row>
    <row r="476" spans="1:2" ht="14.4">
      <c r="A476" s="32"/>
      <c r="B476" s="32"/>
    </row>
    <row r="477" spans="1:2" ht="14.4">
      <c r="A477" s="32"/>
      <c r="B477" s="32"/>
    </row>
    <row r="478" spans="1:2" ht="14.4">
      <c r="A478" s="32"/>
      <c r="B478" s="32"/>
    </row>
    <row r="479" spans="1:2" ht="14.4">
      <c r="A479" s="32"/>
      <c r="B479" s="32"/>
    </row>
    <row r="480" spans="1:2" ht="14.4">
      <c r="A480" s="32"/>
      <c r="B480" s="32"/>
    </row>
    <row r="481" spans="1:2" ht="14.4">
      <c r="A481" s="32"/>
      <c r="B481" s="32"/>
    </row>
    <row r="482" spans="1:2" ht="14.4">
      <c r="A482" s="32"/>
      <c r="B482" s="32"/>
    </row>
    <row r="483" spans="1:2" ht="14.4">
      <c r="A483" s="32"/>
      <c r="B483" s="32"/>
    </row>
    <row r="484" spans="1:2" ht="14.4">
      <c r="A484" s="32"/>
      <c r="B484" s="32"/>
    </row>
    <row r="485" spans="1:2" ht="14.4">
      <c r="A485" s="32"/>
      <c r="B485" s="32"/>
    </row>
    <row r="486" spans="1:2" ht="14.4">
      <c r="A486" s="32"/>
      <c r="B486" s="32"/>
    </row>
    <row r="487" spans="1:2" ht="14.4">
      <c r="A487" s="32"/>
      <c r="B487" s="32"/>
    </row>
    <row r="488" spans="1:2" ht="14.4">
      <c r="A488" s="32"/>
      <c r="B488" s="32"/>
    </row>
    <row r="489" spans="1:2" ht="14.4">
      <c r="A489" s="32"/>
      <c r="B489" s="32"/>
    </row>
    <row r="490" spans="1:2" ht="14.4">
      <c r="A490" s="32"/>
      <c r="B490" s="32"/>
    </row>
    <row r="491" spans="1:2" ht="14.4">
      <c r="A491" s="32"/>
      <c r="B491" s="32"/>
    </row>
    <row r="492" spans="1:2" ht="14.4">
      <c r="A492" s="32"/>
      <c r="B492" s="32"/>
    </row>
    <row r="493" spans="1:2" ht="14.4">
      <c r="A493" s="32"/>
      <c r="B493" s="32"/>
    </row>
    <row r="494" spans="1:2" ht="14.4">
      <c r="A494" s="32"/>
      <c r="B494" s="32"/>
    </row>
    <row r="495" spans="1:2" ht="14.4">
      <c r="A495" s="32"/>
      <c r="B495" s="32"/>
    </row>
    <row r="496" spans="1:2" ht="14.4">
      <c r="A496" s="32"/>
      <c r="B496" s="32"/>
    </row>
    <row r="497" spans="1:2" ht="14.4">
      <c r="A497" s="32"/>
      <c r="B497" s="32"/>
    </row>
    <row r="498" spans="1:2" ht="14.4">
      <c r="A498" s="32"/>
      <c r="B498" s="32"/>
    </row>
    <row r="499" spans="1:2" ht="14.4">
      <c r="A499" s="32"/>
      <c r="B499" s="32"/>
    </row>
    <row r="500" spans="1:2" ht="14.4">
      <c r="A500" s="32"/>
      <c r="B500" s="32"/>
    </row>
    <row r="501" spans="1:2" ht="14.4">
      <c r="A501" s="32"/>
      <c r="B501" s="32"/>
    </row>
    <row r="502" spans="1:2" ht="14.4">
      <c r="A502" s="32"/>
      <c r="B502" s="32"/>
    </row>
    <row r="503" spans="1:2" ht="14.4">
      <c r="A503" s="32"/>
      <c r="B503" s="32"/>
    </row>
    <row r="504" spans="1:2" ht="14.4">
      <c r="A504" s="32"/>
      <c r="B504" s="32"/>
    </row>
    <row r="505" spans="1:2" ht="14.4">
      <c r="A505" s="32"/>
      <c r="B505" s="32"/>
    </row>
    <row r="506" spans="1:2" ht="14.4">
      <c r="A506" s="32"/>
      <c r="B506" s="32"/>
    </row>
    <row r="507" spans="1:2" ht="14.4">
      <c r="A507" s="32"/>
      <c r="B507" s="32"/>
    </row>
    <row r="508" spans="1:2" ht="14.4">
      <c r="A508" s="32"/>
      <c r="B508" s="32"/>
    </row>
    <row r="509" spans="1:2" ht="14.4">
      <c r="A509" s="32"/>
      <c r="B509" s="32"/>
    </row>
    <row r="510" spans="1:2" ht="14.4">
      <c r="A510" s="32"/>
      <c r="B510" s="32"/>
    </row>
    <row r="511" spans="1:2" ht="14.4">
      <c r="A511" s="32"/>
      <c r="B511" s="32"/>
    </row>
    <row r="512" spans="1:2" ht="14.4">
      <c r="A512" s="32"/>
      <c r="B512" s="32"/>
    </row>
    <row r="513" spans="1:2" ht="14.4">
      <c r="A513" s="32"/>
      <c r="B513" s="32"/>
    </row>
    <row r="514" spans="1:2" ht="14.4">
      <c r="A514" s="32"/>
      <c r="B514" s="32"/>
    </row>
    <row r="515" spans="1:2" ht="14.4">
      <c r="A515" s="32"/>
      <c r="B515" s="32"/>
    </row>
    <row r="516" spans="1:2" ht="14.4">
      <c r="A516" s="32"/>
      <c r="B516" s="32"/>
    </row>
    <row r="517" spans="1:2" ht="14.4">
      <c r="A517" s="32"/>
      <c r="B517" s="32"/>
    </row>
    <row r="518" spans="1:2" ht="14.4">
      <c r="A518" s="32"/>
      <c r="B518" s="32"/>
    </row>
    <row r="519" spans="1:2" ht="14.4">
      <c r="A519" s="32"/>
      <c r="B519" s="32"/>
    </row>
    <row r="520" spans="1:2" ht="14.4">
      <c r="A520" s="32"/>
      <c r="B520" s="32"/>
    </row>
    <row r="521" spans="1:2" ht="14.4">
      <c r="A521" s="32"/>
      <c r="B521" s="32"/>
    </row>
    <row r="522" spans="1:2" ht="14.4">
      <c r="A522" s="32"/>
      <c r="B522" s="32"/>
    </row>
    <row r="523" spans="1:2" ht="14.4">
      <c r="A523" s="32"/>
      <c r="B523" s="32"/>
    </row>
    <row r="524" spans="1:2" ht="14.4">
      <c r="A524" s="32"/>
      <c r="B524" s="32"/>
    </row>
    <row r="525" spans="1:2" ht="14.4">
      <c r="A525" s="32"/>
      <c r="B525" s="32"/>
    </row>
    <row r="526" spans="1:2" ht="14.4">
      <c r="A526" s="32"/>
      <c r="B526" s="32"/>
    </row>
    <row r="527" spans="1:2" ht="14.4">
      <c r="A527" s="32"/>
      <c r="B527" s="32"/>
    </row>
    <row r="528" spans="1:2" ht="14.4">
      <c r="A528" s="32"/>
      <c r="B528" s="32"/>
    </row>
    <row r="529" spans="1:2" ht="14.4">
      <c r="A529" s="32"/>
      <c r="B529" s="32"/>
    </row>
    <row r="530" spans="1:2" ht="14.4">
      <c r="A530" s="32"/>
      <c r="B530" s="32"/>
    </row>
    <row r="531" spans="1:2" ht="14.4">
      <c r="A531" s="32"/>
      <c r="B531" s="32"/>
    </row>
    <row r="532" spans="1:2" ht="14.4">
      <c r="A532" s="32"/>
      <c r="B532" s="32"/>
    </row>
    <row r="533" spans="1:2" ht="14.4">
      <c r="A533" s="32"/>
      <c r="B533" s="32"/>
    </row>
    <row r="534" spans="1:2" ht="14.4">
      <c r="A534" s="32"/>
      <c r="B534" s="32"/>
    </row>
    <row r="535" spans="1:2" ht="14.4">
      <c r="A535" s="32"/>
      <c r="B535" s="32"/>
    </row>
    <row r="536" spans="1:2" ht="14.4">
      <c r="A536" s="32"/>
      <c r="B536" s="32"/>
    </row>
    <row r="537" spans="1:2" ht="14.4">
      <c r="A537" s="32"/>
      <c r="B537" s="32"/>
    </row>
    <row r="538" spans="1:2" ht="14.4">
      <c r="A538" s="32"/>
      <c r="B538" s="32"/>
    </row>
    <row r="539" spans="1:2" ht="14.4">
      <c r="A539" s="32"/>
      <c r="B539" s="32"/>
    </row>
    <row r="540" spans="1:2" ht="14.4">
      <c r="A540" s="32"/>
      <c r="B540" s="32"/>
    </row>
    <row r="541" spans="1:2" ht="14.4">
      <c r="A541" s="32"/>
      <c r="B541" s="32"/>
    </row>
    <row r="542" spans="1:2" ht="14.4">
      <c r="A542" s="32"/>
      <c r="B542" s="32"/>
    </row>
    <row r="543" spans="1:2" ht="14.4">
      <c r="A543" s="32"/>
      <c r="B543" s="32"/>
    </row>
    <row r="544" spans="1:2" ht="14.4">
      <c r="A544" s="32"/>
      <c r="B544" s="32"/>
    </row>
    <row r="545" spans="1:2" ht="14.4">
      <c r="A545" s="32"/>
      <c r="B545" s="32"/>
    </row>
    <row r="546" spans="1:2" ht="14.4">
      <c r="A546" s="32"/>
      <c r="B546" s="32"/>
    </row>
    <row r="547" spans="1:2" ht="14.4">
      <c r="A547" s="32"/>
      <c r="B547" s="32"/>
    </row>
    <row r="548" spans="1:2" ht="14.4">
      <c r="A548" s="32"/>
      <c r="B548" s="32"/>
    </row>
    <row r="549" spans="1:2" ht="14.4">
      <c r="A549" s="32"/>
      <c r="B549" s="32"/>
    </row>
    <row r="550" spans="1:2" ht="14.4">
      <c r="A550" s="32"/>
      <c r="B550" s="32"/>
    </row>
    <row r="551" spans="1:2" ht="14.4">
      <c r="A551" s="32"/>
      <c r="B551" s="32"/>
    </row>
    <row r="552" spans="1:2" ht="14.4">
      <c r="A552" s="32"/>
      <c r="B552" s="32"/>
    </row>
    <row r="553" spans="1:2" ht="14.4">
      <c r="A553" s="32"/>
      <c r="B553" s="32"/>
    </row>
    <row r="554" spans="1:2" ht="14.4">
      <c r="A554" s="32"/>
      <c r="B554" s="32"/>
    </row>
    <row r="555" spans="1:2" ht="14.4">
      <c r="A555" s="32"/>
      <c r="B555" s="32"/>
    </row>
    <row r="556" spans="1:2" ht="14.4">
      <c r="A556" s="32"/>
      <c r="B556" s="32"/>
    </row>
    <row r="557" spans="1:2" ht="14.4">
      <c r="A557" s="32"/>
      <c r="B557" s="32"/>
    </row>
    <row r="558" spans="1:2" ht="14.4">
      <c r="A558" s="32"/>
      <c r="B558" s="32"/>
    </row>
    <row r="559" spans="1:2" ht="14.4">
      <c r="A559" s="32"/>
      <c r="B559" s="32"/>
    </row>
    <row r="560" spans="1:2" ht="14.4">
      <c r="A560" s="32"/>
      <c r="B560" s="32"/>
    </row>
    <row r="561" spans="1:2" ht="14.4">
      <c r="A561" s="32"/>
      <c r="B561" s="32"/>
    </row>
    <row r="562" spans="1:2" ht="14.4">
      <c r="A562" s="32"/>
      <c r="B562" s="32"/>
    </row>
    <row r="563" spans="1:2" ht="14.4">
      <c r="A563" s="32"/>
      <c r="B563" s="32"/>
    </row>
    <row r="564" spans="1:2" ht="14.4">
      <c r="A564" s="32"/>
      <c r="B564" s="32"/>
    </row>
    <row r="565" spans="1:2" ht="14.4">
      <c r="A565" s="32"/>
      <c r="B565" s="32"/>
    </row>
    <row r="566" spans="1:2" ht="14.4">
      <c r="A566" s="32"/>
      <c r="B566" s="32"/>
    </row>
    <row r="567" spans="1:2" ht="14.4">
      <c r="A567" s="32"/>
      <c r="B567" s="32"/>
    </row>
    <row r="568" spans="1:2" ht="14.4">
      <c r="A568" s="32"/>
      <c r="B568" s="32"/>
    </row>
    <row r="569" spans="1:2" ht="14.4">
      <c r="A569" s="32"/>
      <c r="B569" s="32"/>
    </row>
    <row r="570" spans="1:2" ht="14.4">
      <c r="A570" s="32"/>
      <c r="B570" s="32"/>
    </row>
    <row r="571" spans="1:2" ht="14.4">
      <c r="A571" s="32"/>
      <c r="B571" s="32"/>
    </row>
    <row r="572" spans="1:2" ht="14.4">
      <c r="A572" s="32"/>
      <c r="B572" s="32"/>
    </row>
    <row r="573" spans="1:2" ht="14.4">
      <c r="A573" s="32"/>
      <c r="B573" s="32"/>
    </row>
    <row r="574" spans="1:2" ht="14.4">
      <c r="A574" s="32"/>
      <c r="B574" s="32"/>
    </row>
    <row r="575" spans="1:2" ht="14.4">
      <c r="A575" s="32"/>
      <c r="B575" s="32"/>
    </row>
    <row r="576" spans="1:2" ht="14.4">
      <c r="A576" s="32"/>
      <c r="B576" s="32"/>
    </row>
    <row r="577" spans="1:2" ht="14.4">
      <c r="A577" s="32"/>
      <c r="B577" s="32"/>
    </row>
    <row r="578" spans="1:2" ht="14.4">
      <c r="A578" s="32"/>
      <c r="B578" s="32"/>
    </row>
    <row r="579" spans="1:2" ht="14.4">
      <c r="A579" s="32"/>
      <c r="B579" s="32"/>
    </row>
    <row r="580" spans="1:2" ht="14.4">
      <c r="A580" s="32"/>
      <c r="B580" s="32"/>
    </row>
    <row r="581" spans="1:2" ht="14.4">
      <c r="A581" s="32"/>
      <c r="B581" s="32"/>
    </row>
    <row r="582" spans="1:2" ht="14.4">
      <c r="A582" s="32"/>
      <c r="B582" s="32"/>
    </row>
    <row r="583" spans="1:2" ht="14.4">
      <c r="A583" s="32"/>
      <c r="B583" s="32"/>
    </row>
    <row r="584" spans="1:2" ht="14.4">
      <c r="A584" s="32"/>
      <c r="B584" s="32"/>
    </row>
    <row r="585" spans="1:2" ht="14.4">
      <c r="A585" s="32"/>
      <c r="B585" s="32"/>
    </row>
    <row r="586" spans="1:2" ht="14.4">
      <c r="A586" s="32"/>
      <c r="B586" s="32"/>
    </row>
    <row r="587" spans="1:2" ht="14.4">
      <c r="A587" s="32"/>
      <c r="B587" s="32"/>
    </row>
    <row r="588" spans="1:2" ht="14.4">
      <c r="A588" s="32"/>
      <c r="B588" s="32"/>
    </row>
    <row r="589" spans="1:2" ht="14.4">
      <c r="A589" s="32"/>
      <c r="B589" s="32"/>
    </row>
    <row r="590" spans="1:2" ht="14.4">
      <c r="A590" s="32"/>
      <c r="B590" s="32"/>
    </row>
    <row r="591" spans="1:2" ht="14.4">
      <c r="A591" s="32"/>
      <c r="B591" s="32"/>
    </row>
    <row r="592" spans="1:2" ht="14.4">
      <c r="A592" s="32"/>
      <c r="B592" s="32"/>
    </row>
    <row r="593" spans="1:2" ht="14.4">
      <c r="A593" s="32"/>
      <c r="B593" s="32"/>
    </row>
    <row r="594" spans="1:2" ht="14.4">
      <c r="A594" s="32"/>
      <c r="B594" s="32"/>
    </row>
    <row r="595" spans="1:2" ht="14.4">
      <c r="A595" s="32"/>
      <c r="B595" s="32"/>
    </row>
    <row r="596" spans="1:2" ht="14.4">
      <c r="A596" s="32"/>
      <c r="B596" s="32"/>
    </row>
    <row r="597" spans="1:2" ht="14.4">
      <c r="A597" s="32"/>
      <c r="B597" s="32"/>
    </row>
    <row r="598" spans="1:2" ht="14.4">
      <c r="A598" s="32"/>
      <c r="B598" s="32"/>
    </row>
    <row r="599" spans="1:2" ht="14.4">
      <c r="A599" s="32"/>
      <c r="B599" s="32"/>
    </row>
    <row r="600" spans="1:2" ht="14.4">
      <c r="A600" s="32"/>
      <c r="B600" s="32"/>
    </row>
    <row r="601" spans="1:2" ht="14.4">
      <c r="A601" s="32"/>
      <c r="B601" s="32"/>
    </row>
    <row r="602" spans="1:2" ht="14.4">
      <c r="A602" s="32"/>
      <c r="B602" s="32"/>
    </row>
    <row r="603" spans="1:2" ht="14.4">
      <c r="A603" s="32"/>
      <c r="B603" s="32"/>
    </row>
    <row r="604" spans="1:2" ht="14.4">
      <c r="A604" s="32"/>
      <c r="B604" s="32"/>
    </row>
    <row r="605" spans="1:2" ht="14.4">
      <c r="A605" s="32"/>
      <c r="B605" s="32"/>
    </row>
    <row r="606" spans="1:2" ht="14.4">
      <c r="A606" s="32"/>
      <c r="B606" s="32"/>
    </row>
    <row r="607" spans="1:2" ht="14.4">
      <c r="A607" s="32"/>
      <c r="B607" s="32"/>
    </row>
    <row r="608" spans="1:2" ht="14.4">
      <c r="A608" s="32"/>
      <c r="B608" s="32"/>
    </row>
    <row r="609" spans="1:2" ht="14.4">
      <c r="A609" s="32"/>
      <c r="B609" s="32"/>
    </row>
    <row r="610" spans="1:2" ht="14.4">
      <c r="A610" s="32"/>
      <c r="B610" s="32"/>
    </row>
    <row r="611" spans="1:2" ht="14.4">
      <c r="A611" s="32"/>
      <c r="B611" s="32"/>
    </row>
    <row r="612" spans="1:2" ht="14.4">
      <c r="A612" s="32"/>
      <c r="B612" s="32"/>
    </row>
    <row r="613" spans="1:2" ht="14.4">
      <c r="A613" s="32"/>
      <c r="B613" s="32"/>
    </row>
    <row r="614" spans="1:2" ht="14.4">
      <c r="A614" s="32"/>
      <c r="B614" s="32"/>
    </row>
    <row r="615" spans="1:2" ht="14.4">
      <c r="A615" s="32"/>
      <c r="B615" s="32"/>
    </row>
    <row r="616" spans="1:2" ht="14.4">
      <c r="A616" s="32"/>
      <c r="B616" s="32"/>
    </row>
    <row r="617" spans="1:2" ht="14.4">
      <c r="A617" s="32"/>
      <c r="B617" s="32"/>
    </row>
    <row r="618" spans="1:2" ht="14.4">
      <c r="A618" s="32"/>
      <c r="B618" s="32"/>
    </row>
    <row r="619" spans="1:2" ht="14.4">
      <c r="A619" s="32"/>
      <c r="B619" s="32"/>
    </row>
    <row r="620" spans="1:2" ht="14.4">
      <c r="A620" s="32"/>
      <c r="B620" s="32"/>
    </row>
    <row r="621" spans="1:2" ht="14.4">
      <c r="A621" s="32"/>
      <c r="B621" s="32"/>
    </row>
    <row r="622" spans="1:2" ht="14.4">
      <c r="A622" s="32"/>
      <c r="B622" s="32"/>
    </row>
    <row r="623" spans="1:2" ht="14.4">
      <c r="A623" s="32"/>
      <c r="B623" s="32"/>
    </row>
    <row r="624" spans="1:2" ht="14.4">
      <c r="A624" s="32"/>
      <c r="B624" s="32"/>
    </row>
    <row r="625" spans="1:2" ht="14.4">
      <c r="A625" s="32"/>
      <c r="B625" s="32"/>
    </row>
    <row r="626" spans="1:2" ht="14.4">
      <c r="A626" s="32"/>
      <c r="B626" s="32"/>
    </row>
    <row r="627" spans="1:2" ht="14.4">
      <c r="A627" s="32"/>
      <c r="B627" s="32"/>
    </row>
    <row r="628" spans="1:2" ht="14.4">
      <c r="A628" s="32"/>
      <c r="B628" s="32"/>
    </row>
    <row r="629" spans="1:2" ht="14.4">
      <c r="A629" s="32"/>
      <c r="B629" s="32"/>
    </row>
    <row r="630" spans="1:2" ht="14.4">
      <c r="A630" s="32"/>
      <c r="B630" s="32"/>
    </row>
    <row r="631" spans="1:2" ht="14.4">
      <c r="A631" s="32"/>
      <c r="B631" s="32"/>
    </row>
    <row r="632" spans="1:2" ht="14.4">
      <c r="A632" s="32"/>
      <c r="B632" s="32"/>
    </row>
    <row r="633" spans="1:2" ht="14.4">
      <c r="A633" s="32"/>
      <c r="B633" s="32"/>
    </row>
    <row r="634" spans="1:2" ht="14.4">
      <c r="A634" s="32"/>
      <c r="B634" s="32"/>
    </row>
    <row r="635" spans="1:2" ht="14.4">
      <c r="A635" s="32"/>
      <c r="B635" s="32"/>
    </row>
    <row r="636" spans="1:2" ht="14.4">
      <c r="A636" s="32"/>
      <c r="B636" s="32"/>
    </row>
    <row r="637" spans="1:2" ht="14.4">
      <c r="A637" s="32"/>
      <c r="B637" s="32"/>
    </row>
    <row r="638" spans="1:2" ht="14.4">
      <c r="A638" s="32"/>
      <c r="B638" s="32"/>
    </row>
    <row r="639" spans="1:2" ht="14.4">
      <c r="A639" s="32"/>
      <c r="B639" s="32"/>
    </row>
    <row r="640" spans="1:2" ht="14.4">
      <c r="A640" s="32"/>
      <c r="B640" s="32"/>
    </row>
    <row r="641" spans="1:2" ht="14.4">
      <c r="A641" s="32"/>
      <c r="B641" s="32"/>
    </row>
    <row r="642" spans="1:2" ht="14.4">
      <c r="A642" s="32"/>
      <c r="B642" s="32"/>
    </row>
    <row r="643" spans="1:2" ht="14.4">
      <c r="A643" s="32"/>
      <c r="B643" s="32"/>
    </row>
    <row r="644" spans="1:2" ht="14.4">
      <c r="A644" s="32"/>
      <c r="B644" s="32"/>
    </row>
    <row r="645" spans="1:2" ht="14.4">
      <c r="A645" s="32"/>
      <c r="B645" s="32"/>
    </row>
    <row r="646" spans="1:2" ht="14.4">
      <c r="A646" s="32"/>
      <c r="B646" s="32"/>
    </row>
    <row r="647" spans="1:2" ht="14.4">
      <c r="A647" s="32"/>
      <c r="B647" s="32"/>
    </row>
    <row r="648" spans="1:2" ht="14.4">
      <c r="A648" s="32"/>
      <c r="B648" s="32"/>
    </row>
    <row r="649" spans="1:2" ht="14.4">
      <c r="A649" s="32"/>
      <c r="B649" s="32"/>
    </row>
    <row r="650" spans="1:2" ht="14.4">
      <c r="A650" s="32"/>
      <c r="B650" s="32"/>
    </row>
    <row r="651" spans="1:2" ht="14.4">
      <c r="A651" s="32"/>
      <c r="B651" s="32"/>
    </row>
    <row r="652" spans="1:2" ht="14.4">
      <c r="A652" s="32"/>
      <c r="B652" s="32"/>
    </row>
    <row r="653" spans="1:2" ht="14.4">
      <c r="A653" s="32"/>
      <c r="B653" s="32"/>
    </row>
    <row r="654" spans="1:2" ht="14.4">
      <c r="A654" s="32"/>
      <c r="B654" s="32"/>
    </row>
    <row r="655" spans="1:2" ht="14.4">
      <c r="A655" s="32"/>
      <c r="B655" s="32"/>
    </row>
    <row r="656" spans="1:2" ht="14.4">
      <c r="A656" s="32"/>
      <c r="B656" s="32"/>
    </row>
    <row r="657" spans="1:2" ht="14.4">
      <c r="A657" s="32"/>
      <c r="B657" s="32"/>
    </row>
    <row r="658" spans="1:2" ht="14.4">
      <c r="A658" s="32"/>
      <c r="B658" s="32"/>
    </row>
    <row r="659" spans="1:2" ht="14.4">
      <c r="A659" s="32"/>
      <c r="B659" s="32"/>
    </row>
    <row r="660" spans="1:2" ht="14.4">
      <c r="A660" s="32"/>
      <c r="B660" s="32"/>
    </row>
    <row r="661" spans="1:2" ht="14.4">
      <c r="A661" s="32"/>
      <c r="B661" s="32"/>
    </row>
    <row r="662" spans="1:2" ht="14.4">
      <c r="A662" s="32"/>
      <c r="B662" s="32"/>
    </row>
    <row r="663" spans="1:2" ht="14.4">
      <c r="A663" s="32"/>
      <c r="B663" s="32"/>
    </row>
    <row r="664" spans="1:2" ht="14.4">
      <c r="A664" s="32"/>
      <c r="B664" s="32"/>
    </row>
    <row r="665" spans="1:2" ht="14.4">
      <c r="A665" s="32"/>
      <c r="B665" s="32"/>
    </row>
    <row r="666" spans="1:2" ht="14.4">
      <c r="A666" s="32"/>
      <c r="B666" s="32"/>
    </row>
    <row r="667" spans="1:2" ht="14.4">
      <c r="A667" s="32"/>
      <c r="B667" s="32"/>
    </row>
    <row r="668" spans="1:2" ht="14.4">
      <c r="A668" s="32"/>
      <c r="B668" s="32"/>
    </row>
    <row r="669" spans="1:2" ht="14.4">
      <c r="A669" s="32"/>
      <c r="B669" s="32"/>
    </row>
    <row r="670" spans="1:2" ht="14.4">
      <c r="A670" s="32"/>
      <c r="B670" s="32"/>
    </row>
    <row r="671" spans="1:2" ht="14.4">
      <c r="A671" s="32"/>
      <c r="B671" s="32"/>
    </row>
    <row r="672" spans="1:2" ht="14.4">
      <c r="A672" s="32"/>
      <c r="B672" s="32"/>
    </row>
    <row r="673" spans="1:2" ht="14.4">
      <c r="A673" s="32"/>
      <c r="B673" s="32"/>
    </row>
    <row r="674" spans="1:2" ht="14.4">
      <c r="A674" s="32"/>
      <c r="B674" s="32"/>
    </row>
    <row r="675" spans="1:2" ht="14.4">
      <c r="A675" s="32"/>
      <c r="B675" s="32"/>
    </row>
    <row r="676" spans="1:2" ht="14.4">
      <c r="A676" s="32"/>
      <c r="B676" s="32"/>
    </row>
    <row r="677" spans="1:2" ht="14.4">
      <c r="A677" s="32"/>
      <c r="B677" s="32"/>
    </row>
    <row r="678" spans="1:2" ht="14.4">
      <c r="A678" s="32"/>
      <c r="B678" s="32"/>
    </row>
    <row r="679" spans="1:2" ht="14.4">
      <c r="A679" s="32"/>
      <c r="B679" s="32"/>
    </row>
    <row r="680" spans="1:2" ht="14.4">
      <c r="A680" s="32"/>
      <c r="B680" s="32"/>
    </row>
    <row r="681" spans="1:2" ht="14.4">
      <c r="A681" s="32"/>
      <c r="B681" s="32"/>
    </row>
    <row r="682" spans="1:2" ht="14.4">
      <c r="A682" s="32"/>
      <c r="B682" s="32"/>
    </row>
    <row r="683" spans="1:2" ht="14.4">
      <c r="A683" s="32"/>
      <c r="B683" s="32"/>
    </row>
    <row r="684" spans="1:2" ht="14.4">
      <c r="A684" s="32"/>
      <c r="B684" s="32"/>
    </row>
    <row r="685" spans="1:2" ht="14.4">
      <c r="A685" s="32"/>
      <c r="B685" s="32"/>
    </row>
    <row r="686" spans="1:2" ht="14.4">
      <c r="A686" s="32"/>
      <c r="B686" s="32"/>
    </row>
    <row r="687" spans="1:2" ht="14.4">
      <c r="A687" s="32"/>
      <c r="B687" s="32"/>
    </row>
    <row r="688" spans="1:2" ht="14.4">
      <c r="A688" s="32"/>
      <c r="B688" s="32"/>
    </row>
    <row r="689" spans="1:2" ht="14.4">
      <c r="A689" s="32"/>
      <c r="B689" s="32"/>
    </row>
    <row r="690" spans="1:2" ht="14.4">
      <c r="A690" s="32"/>
      <c r="B690" s="32"/>
    </row>
    <row r="691" spans="1:2" ht="14.4">
      <c r="A691" s="32"/>
      <c r="B691" s="32"/>
    </row>
    <row r="692" spans="1:2" ht="14.4">
      <c r="A692" s="32"/>
      <c r="B692" s="32"/>
    </row>
    <row r="693" spans="1:2" ht="14.4">
      <c r="A693" s="32"/>
      <c r="B693" s="32"/>
    </row>
    <row r="694" spans="1:2" ht="14.4">
      <c r="A694" s="32"/>
      <c r="B694" s="32"/>
    </row>
    <row r="695" spans="1:2" ht="14.4">
      <c r="A695" s="32"/>
      <c r="B695" s="32"/>
    </row>
    <row r="696" spans="1:2" ht="14.4">
      <c r="A696" s="32"/>
      <c r="B696" s="32"/>
    </row>
    <row r="697" spans="1:2" ht="14.4">
      <c r="A697" s="32"/>
      <c r="B697" s="32"/>
    </row>
    <row r="698" spans="1:2" ht="14.4">
      <c r="A698" s="32"/>
      <c r="B698" s="32"/>
    </row>
    <row r="699" spans="1:2" ht="14.4">
      <c r="A699" s="32"/>
      <c r="B699" s="32"/>
    </row>
    <row r="700" spans="1:2" ht="14.4">
      <c r="A700" s="32"/>
      <c r="B700" s="32"/>
    </row>
    <row r="701" spans="1:2" ht="14.4">
      <c r="A701" s="32"/>
      <c r="B701" s="32"/>
    </row>
    <row r="702" spans="1:2" ht="14.4">
      <c r="A702" s="32"/>
      <c r="B702" s="32"/>
    </row>
    <row r="703" spans="1:2" ht="14.4">
      <c r="A703" s="32"/>
      <c r="B703" s="32"/>
    </row>
    <row r="704" spans="1:2" ht="14.4">
      <c r="A704" s="32"/>
      <c r="B704" s="32"/>
    </row>
    <row r="705" spans="1:2" ht="14.4">
      <c r="A705" s="32"/>
      <c r="B705" s="32"/>
    </row>
    <row r="706" spans="1:2" ht="14.4">
      <c r="A706" s="32"/>
      <c r="B706" s="32"/>
    </row>
    <row r="707" spans="1:2" ht="14.4">
      <c r="A707" s="32"/>
      <c r="B707" s="32"/>
    </row>
    <row r="708" spans="1:2" ht="14.4">
      <c r="A708" s="32"/>
      <c r="B708" s="32"/>
    </row>
    <row r="709" spans="1:2" ht="14.4">
      <c r="A709" s="32"/>
      <c r="B709" s="32"/>
    </row>
    <row r="710" spans="1:2" ht="14.4">
      <c r="A710" s="32"/>
      <c r="B710" s="32"/>
    </row>
    <row r="711" spans="1:2" ht="14.4">
      <c r="A711" s="32"/>
      <c r="B711" s="32"/>
    </row>
    <row r="712" spans="1:2" ht="14.4">
      <c r="A712" s="32"/>
      <c r="B712" s="32"/>
    </row>
    <row r="713" spans="1:2" ht="14.4">
      <c r="A713" s="32"/>
      <c r="B713" s="32"/>
    </row>
    <row r="714" spans="1:2" ht="14.4">
      <c r="A714" s="32"/>
      <c r="B714" s="32"/>
    </row>
    <row r="715" spans="1:2" ht="14.4">
      <c r="A715" s="32"/>
      <c r="B715" s="32"/>
    </row>
    <row r="716" spans="1:2" ht="14.4">
      <c r="A716" s="32"/>
      <c r="B716" s="32"/>
    </row>
    <row r="717" spans="1:2" ht="14.4">
      <c r="A717" s="32"/>
      <c r="B717" s="32"/>
    </row>
    <row r="718" spans="1:2" ht="14.4">
      <c r="A718" s="32"/>
      <c r="B718" s="32"/>
    </row>
    <row r="719" spans="1:2" ht="14.4">
      <c r="A719" s="32"/>
      <c r="B719" s="32"/>
    </row>
    <row r="720" spans="1:2" ht="14.4">
      <c r="A720" s="32"/>
      <c r="B720" s="32"/>
    </row>
    <row r="721" spans="1:2" ht="14.4">
      <c r="A721" s="32"/>
      <c r="B721" s="32"/>
    </row>
    <row r="722" spans="1:2" ht="14.4">
      <c r="A722" s="32"/>
      <c r="B722" s="32"/>
    </row>
    <row r="723" spans="1:2" ht="14.4">
      <c r="A723" s="32"/>
      <c r="B723" s="32"/>
    </row>
    <row r="724" spans="1:2" ht="14.4">
      <c r="A724" s="32"/>
      <c r="B724" s="32"/>
    </row>
    <row r="725" spans="1:2" ht="14.4">
      <c r="A725" s="32"/>
      <c r="B725" s="32"/>
    </row>
    <row r="726" spans="1:2" ht="14.4">
      <c r="A726" s="32"/>
      <c r="B726" s="32"/>
    </row>
    <row r="727" spans="1:2" ht="14.4">
      <c r="A727" s="32"/>
      <c r="B727" s="32"/>
    </row>
    <row r="728" spans="1:2" ht="14.4">
      <c r="A728" s="32"/>
      <c r="B728" s="32"/>
    </row>
    <row r="729" spans="1:2" ht="14.4">
      <c r="A729" s="32"/>
      <c r="B729" s="32"/>
    </row>
    <row r="730" spans="1:2" ht="14.4">
      <c r="A730" s="32"/>
      <c r="B730" s="32"/>
    </row>
    <row r="731" spans="1:2" ht="14.4">
      <c r="A731" s="32"/>
      <c r="B731" s="32"/>
    </row>
    <row r="732" spans="1:2" ht="14.4">
      <c r="A732" s="32"/>
      <c r="B732" s="32"/>
    </row>
    <row r="733" spans="1:2" ht="14.4">
      <c r="A733" s="32"/>
      <c r="B733" s="32"/>
    </row>
    <row r="734" spans="1:2" ht="14.4">
      <c r="A734" s="32"/>
      <c r="B734" s="32"/>
    </row>
    <row r="735" spans="1:2" ht="14.4">
      <c r="A735" s="32"/>
      <c r="B735" s="32"/>
    </row>
    <row r="736" spans="1:2" ht="14.4">
      <c r="A736" s="32"/>
      <c r="B736" s="32"/>
    </row>
    <row r="737" spans="1:2" ht="14.4">
      <c r="A737" s="32"/>
      <c r="B737" s="32"/>
    </row>
    <row r="738" spans="1:2" ht="14.4">
      <c r="A738" s="32"/>
      <c r="B738" s="32"/>
    </row>
    <row r="739" spans="1:2" ht="14.4">
      <c r="A739" s="32"/>
      <c r="B739" s="32"/>
    </row>
    <row r="740" spans="1:2" ht="14.4">
      <c r="A740" s="32"/>
      <c r="B740" s="32"/>
    </row>
    <row r="741" spans="1:2" ht="14.4">
      <c r="A741" s="32"/>
      <c r="B741" s="32"/>
    </row>
    <row r="742" spans="1:2" ht="14.4">
      <c r="A742" s="32"/>
      <c r="B742" s="32"/>
    </row>
    <row r="743" spans="1:2" ht="14.4">
      <c r="A743" s="32"/>
      <c r="B743" s="32"/>
    </row>
    <row r="744" spans="1:2" ht="14.4">
      <c r="A744" s="32"/>
      <c r="B744" s="32"/>
    </row>
    <row r="745" spans="1:2" ht="14.4">
      <c r="A745" s="32"/>
      <c r="B745" s="32"/>
    </row>
    <row r="746" spans="1:2" ht="14.4">
      <c r="A746" s="32"/>
      <c r="B746" s="32"/>
    </row>
    <row r="747" spans="1:2" ht="14.4">
      <c r="A747" s="32"/>
      <c r="B747" s="32"/>
    </row>
    <row r="748" spans="1:2" ht="14.4">
      <c r="A748" s="32"/>
      <c r="B748" s="32"/>
    </row>
    <row r="749" spans="1:2" ht="14.4">
      <c r="A749" s="32"/>
      <c r="B749" s="32"/>
    </row>
    <row r="750" spans="1:2" ht="14.4">
      <c r="A750" s="32"/>
      <c r="B750" s="32"/>
    </row>
    <row r="751" spans="1:2" ht="14.4">
      <c r="A751" s="32"/>
      <c r="B751" s="32"/>
    </row>
    <row r="752" spans="1:2" ht="14.4">
      <c r="A752" s="32"/>
      <c r="B752" s="32"/>
    </row>
    <row r="753" spans="1:2" ht="14.4">
      <c r="A753" s="32"/>
      <c r="B753" s="32"/>
    </row>
    <row r="754" spans="1:2" ht="14.4">
      <c r="A754" s="32"/>
      <c r="B754" s="32"/>
    </row>
    <row r="755" spans="1:2" ht="14.4">
      <c r="A755" s="32"/>
      <c r="B755" s="32"/>
    </row>
    <row r="756" spans="1:2" ht="14.4">
      <c r="A756" s="32"/>
      <c r="B756" s="32"/>
    </row>
    <row r="757" spans="1:2" ht="14.4">
      <c r="A757" s="32"/>
      <c r="B757" s="32"/>
    </row>
    <row r="758" spans="1:2" ht="14.4">
      <c r="A758" s="32"/>
      <c r="B758" s="32"/>
    </row>
    <row r="759" spans="1:2" ht="14.4">
      <c r="A759" s="32"/>
      <c r="B759" s="32"/>
    </row>
    <row r="760" spans="1:2" ht="14.4">
      <c r="A760" s="32"/>
      <c r="B760" s="32"/>
    </row>
    <row r="761" spans="1:2" ht="14.4">
      <c r="A761" s="32"/>
      <c r="B761" s="32"/>
    </row>
    <row r="762" spans="1:2" ht="14.4">
      <c r="A762" s="32"/>
      <c r="B762" s="32"/>
    </row>
    <row r="763" spans="1:2" ht="14.4">
      <c r="A763" s="32"/>
      <c r="B763" s="32"/>
    </row>
    <row r="764" spans="1:2" ht="14.4">
      <c r="A764" s="32"/>
      <c r="B764" s="32"/>
    </row>
    <row r="765" spans="1:2" ht="14.4">
      <c r="A765" s="32"/>
      <c r="B765" s="32"/>
    </row>
    <row r="766" spans="1:2" ht="14.4">
      <c r="A766" s="32"/>
      <c r="B766" s="32"/>
    </row>
    <row r="767" spans="1:2" ht="14.4">
      <c r="A767" s="32"/>
      <c r="B767" s="32"/>
    </row>
    <row r="768" spans="1:2" ht="14.4">
      <c r="A768" s="32"/>
      <c r="B768" s="32"/>
    </row>
    <row r="769" spans="1:2" ht="14.4">
      <c r="A769" s="32"/>
      <c r="B769" s="32"/>
    </row>
    <row r="770" spans="1:2" ht="14.4">
      <c r="A770" s="32"/>
      <c r="B770" s="32"/>
    </row>
    <row r="771" spans="1:2" ht="14.4">
      <c r="A771" s="32"/>
      <c r="B771" s="32"/>
    </row>
    <row r="772" spans="1:2" ht="14.4">
      <c r="A772" s="32"/>
      <c r="B772" s="32"/>
    </row>
    <row r="773" spans="1:2" ht="14.4">
      <c r="A773" s="32"/>
      <c r="B773" s="32"/>
    </row>
    <row r="774" spans="1:2" ht="14.4">
      <c r="A774" s="32"/>
      <c r="B774" s="32"/>
    </row>
    <row r="775" spans="1:2" ht="14.4">
      <c r="A775" s="32"/>
      <c r="B775" s="32"/>
    </row>
    <row r="776" spans="1:2" ht="14.4">
      <c r="A776" s="32"/>
      <c r="B776" s="32"/>
    </row>
    <row r="777" spans="1:2" ht="14.4">
      <c r="A777" s="32"/>
      <c r="B777" s="32"/>
    </row>
    <row r="778" spans="1:2" ht="14.4">
      <c r="A778" s="32"/>
      <c r="B778" s="32"/>
    </row>
    <row r="779" spans="1:2" ht="14.4">
      <c r="A779" s="32"/>
      <c r="B779" s="32"/>
    </row>
    <row r="780" spans="1:2" ht="14.4">
      <c r="A780" s="32"/>
      <c r="B780" s="32"/>
    </row>
    <row r="781" spans="1:2" ht="14.4">
      <c r="A781" s="32"/>
      <c r="B781" s="32"/>
    </row>
    <row r="782" spans="1:2" ht="14.4">
      <c r="A782" s="32"/>
      <c r="B782" s="32"/>
    </row>
    <row r="783" spans="1:2" ht="14.4">
      <c r="A783" s="32"/>
      <c r="B783" s="32"/>
    </row>
    <row r="784" spans="1:2" ht="14.4">
      <c r="A784" s="32"/>
      <c r="B784" s="32"/>
    </row>
    <row r="785" spans="1:2" ht="14.4">
      <c r="A785" s="32"/>
      <c r="B785" s="32"/>
    </row>
    <row r="786" spans="1:2" ht="14.4">
      <c r="A786" s="32"/>
      <c r="B786" s="32"/>
    </row>
    <row r="787" spans="1:2" ht="14.4">
      <c r="A787" s="32"/>
      <c r="B787" s="32"/>
    </row>
    <row r="788" spans="1:2" ht="14.4">
      <c r="A788" s="32"/>
      <c r="B788" s="32"/>
    </row>
    <row r="789" spans="1:2" ht="14.4">
      <c r="A789" s="32"/>
      <c r="B789" s="32"/>
    </row>
    <row r="790" spans="1:2" ht="14.4">
      <c r="A790" s="32"/>
      <c r="B790" s="32"/>
    </row>
    <row r="791" spans="1:2" ht="14.4">
      <c r="A791" s="32"/>
      <c r="B791" s="32"/>
    </row>
    <row r="792" spans="1:2" ht="14.4">
      <c r="A792" s="32"/>
      <c r="B792" s="32"/>
    </row>
    <row r="793" spans="1:2" ht="14.4">
      <c r="A793" s="32"/>
      <c r="B793" s="32"/>
    </row>
    <row r="794" spans="1:2" ht="14.4">
      <c r="A794" s="32"/>
      <c r="B794" s="32"/>
    </row>
    <row r="795" spans="1:2" ht="14.4">
      <c r="A795" s="32"/>
      <c r="B795" s="32"/>
    </row>
    <row r="796" spans="1:2" ht="14.4">
      <c r="A796" s="32"/>
      <c r="B796" s="32"/>
    </row>
    <row r="797" spans="1:2" ht="14.4">
      <c r="A797" s="32"/>
      <c r="B797" s="32"/>
    </row>
    <row r="798" spans="1:2" ht="14.4">
      <c r="A798" s="32"/>
      <c r="B798" s="32"/>
    </row>
    <row r="799" spans="1:2" ht="14.4">
      <c r="A799" s="32"/>
      <c r="B799" s="32"/>
    </row>
    <row r="800" spans="1:2" ht="14.4">
      <c r="A800" s="32"/>
      <c r="B800" s="32"/>
    </row>
    <row r="801" spans="1:2" ht="14.4">
      <c r="A801" s="32"/>
      <c r="B801" s="32"/>
    </row>
    <row r="802" spans="1:2" ht="14.4">
      <c r="A802" s="32"/>
      <c r="B802" s="32"/>
    </row>
    <row r="803" spans="1:2" ht="14.4">
      <c r="A803" s="32"/>
      <c r="B803" s="32"/>
    </row>
    <row r="804" spans="1:2" ht="14.4">
      <c r="A804" s="32"/>
      <c r="B804" s="32"/>
    </row>
    <row r="805" spans="1:2" ht="14.4">
      <c r="A805" s="32"/>
      <c r="B805" s="32"/>
    </row>
    <row r="806" spans="1:2" ht="14.4">
      <c r="A806" s="32"/>
      <c r="B806" s="32"/>
    </row>
    <row r="807" spans="1:2" ht="14.4">
      <c r="A807" s="32"/>
      <c r="B807" s="32"/>
    </row>
    <row r="808" spans="1:2" ht="14.4">
      <c r="A808" s="32"/>
      <c r="B808" s="32"/>
    </row>
    <row r="809" spans="1:2" ht="14.4">
      <c r="A809" s="32"/>
      <c r="B809" s="32"/>
    </row>
    <row r="810" spans="1:2" ht="14.4">
      <c r="A810" s="32"/>
      <c r="B810" s="32"/>
    </row>
    <row r="811" spans="1:2" ht="14.4">
      <c r="A811" s="32"/>
      <c r="B811" s="32"/>
    </row>
    <row r="812" spans="1:2" ht="14.4">
      <c r="A812" s="32"/>
      <c r="B812" s="32"/>
    </row>
    <row r="813" spans="1:2" ht="14.4">
      <c r="A813" s="32"/>
      <c r="B813" s="32"/>
    </row>
    <row r="814" spans="1:2" ht="14.4">
      <c r="A814" s="32"/>
      <c r="B814" s="32"/>
    </row>
    <row r="815" spans="1:2" ht="14.4">
      <c r="A815" s="32"/>
      <c r="B815" s="32"/>
    </row>
    <row r="816" spans="1:2" ht="14.4">
      <c r="A816" s="32"/>
      <c r="B816" s="32"/>
    </row>
    <row r="817" spans="1:2" ht="14.4">
      <c r="A817" s="32"/>
      <c r="B817" s="32"/>
    </row>
    <row r="818" spans="1:2" ht="14.4">
      <c r="A818" s="32"/>
      <c r="B818" s="32"/>
    </row>
    <row r="819" spans="1:2" ht="14.4">
      <c r="A819" s="32"/>
      <c r="B819" s="32"/>
    </row>
    <row r="820" spans="1:2" ht="14.4">
      <c r="A820" s="32"/>
      <c r="B820" s="32"/>
    </row>
    <row r="821" spans="1:2" ht="14.4">
      <c r="A821" s="32"/>
      <c r="B821" s="32"/>
    </row>
    <row r="822" spans="1:2" ht="14.4">
      <c r="A822" s="32"/>
      <c r="B822" s="32"/>
    </row>
    <row r="823" spans="1:2" ht="14.4">
      <c r="A823" s="32"/>
      <c r="B823" s="32"/>
    </row>
    <row r="824" spans="1:2" ht="14.4">
      <c r="A824" s="32"/>
      <c r="B824" s="32"/>
    </row>
    <row r="825" spans="1:2" ht="14.4">
      <c r="A825" s="32"/>
      <c r="B825" s="32"/>
    </row>
    <row r="826" spans="1:2" ht="14.4">
      <c r="A826" s="32"/>
      <c r="B826" s="32"/>
    </row>
    <row r="827" spans="1:2" ht="14.4">
      <c r="A827" s="32"/>
      <c r="B827" s="32"/>
    </row>
    <row r="828" spans="1:2" ht="14.4">
      <c r="A828" s="32"/>
      <c r="B828" s="32"/>
    </row>
    <row r="829" spans="1:2" ht="14.4">
      <c r="A829" s="32"/>
      <c r="B829" s="32"/>
    </row>
    <row r="830" spans="1:2" ht="14.4">
      <c r="A830" s="32"/>
      <c r="B830" s="32"/>
    </row>
    <row r="831" spans="1:2" ht="14.4">
      <c r="A831" s="32"/>
      <c r="B831" s="32"/>
    </row>
    <row r="832" spans="1:2" ht="14.4">
      <c r="A832" s="32"/>
      <c r="B832" s="32"/>
    </row>
    <row r="833" spans="1:2" ht="14.4">
      <c r="A833" s="32"/>
      <c r="B833" s="32"/>
    </row>
    <row r="834" spans="1:2" ht="14.4">
      <c r="A834" s="32"/>
      <c r="B834" s="32"/>
    </row>
    <row r="835" spans="1:2" ht="14.4">
      <c r="A835" s="32"/>
      <c r="B835" s="32"/>
    </row>
    <row r="836" spans="1:2" ht="14.4">
      <c r="A836" s="32"/>
      <c r="B836" s="32"/>
    </row>
    <row r="837" spans="1:2" ht="14.4">
      <c r="A837" s="32"/>
      <c r="B837" s="32"/>
    </row>
    <row r="838" spans="1:2" ht="14.4">
      <c r="A838" s="32"/>
      <c r="B838" s="32"/>
    </row>
    <row r="839" spans="1:2" ht="14.4">
      <c r="A839" s="32"/>
      <c r="B839" s="32"/>
    </row>
    <row r="840" spans="1:2" ht="14.4">
      <c r="A840" s="32"/>
      <c r="B840" s="32"/>
    </row>
    <row r="841" spans="1:2" ht="14.4">
      <c r="A841" s="32"/>
      <c r="B841" s="32"/>
    </row>
    <row r="842" spans="1:2" ht="14.4">
      <c r="A842" s="32"/>
      <c r="B842" s="32"/>
    </row>
    <row r="843" spans="1:2" ht="14.4">
      <c r="A843" s="32"/>
      <c r="B843" s="32"/>
    </row>
    <row r="844" spans="1:2" ht="14.4">
      <c r="A844" s="32"/>
      <c r="B844" s="32"/>
    </row>
    <row r="845" spans="1:2" ht="14.4">
      <c r="A845" s="32"/>
      <c r="B845" s="32"/>
    </row>
    <row r="846" spans="1:2" ht="14.4">
      <c r="A846" s="32"/>
      <c r="B846" s="32"/>
    </row>
    <row r="847" spans="1:2" ht="14.4">
      <c r="A847" s="32"/>
      <c r="B847" s="32"/>
    </row>
    <row r="848" spans="1:2" ht="14.4">
      <c r="A848" s="32"/>
      <c r="B848" s="32"/>
    </row>
    <row r="849" spans="1:2" ht="14.4">
      <c r="A849" s="32"/>
      <c r="B849" s="32"/>
    </row>
    <row r="850" spans="1:2" ht="14.4">
      <c r="A850" s="32"/>
      <c r="B850" s="32"/>
    </row>
    <row r="851" spans="1:2" ht="14.4">
      <c r="A851" s="32"/>
      <c r="B851" s="32"/>
    </row>
    <row r="852" spans="1:2" ht="14.4">
      <c r="A852" s="32"/>
      <c r="B852" s="32"/>
    </row>
    <row r="853" spans="1:2" ht="14.4">
      <c r="A853" s="32"/>
      <c r="B853" s="32"/>
    </row>
    <row r="854" spans="1:2" ht="14.4">
      <c r="A854" s="32"/>
      <c r="B854" s="32"/>
    </row>
    <row r="855" spans="1:2" ht="14.4">
      <c r="A855" s="32"/>
      <c r="B855" s="32"/>
    </row>
    <row r="856" spans="1:2" ht="14.4">
      <c r="A856" s="32"/>
      <c r="B856" s="32"/>
    </row>
    <row r="857" spans="1:2" ht="14.4">
      <c r="A857" s="32"/>
      <c r="B857" s="32"/>
    </row>
    <row r="858" spans="1:2" ht="14.4">
      <c r="A858" s="32"/>
      <c r="B858" s="32"/>
    </row>
    <row r="859" spans="1:2" ht="14.4">
      <c r="A859" s="32"/>
      <c r="B859" s="32"/>
    </row>
    <row r="860" spans="1:2" ht="14.4">
      <c r="A860" s="32"/>
      <c r="B860" s="32"/>
    </row>
    <row r="861" spans="1:2" ht="14.4">
      <c r="A861" s="32"/>
      <c r="B861" s="32"/>
    </row>
    <row r="862" spans="1:2" ht="14.4">
      <c r="A862" s="32"/>
      <c r="B862" s="32"/>
    </row>
    <row r="863" spans="1:2" ht="14.4">
      <c r="A863" s="32"/>
      <c r="B863" s="32"/>
    </row>
    <row r="864" spans="1:2" ht="14.4">
      <c r="A864" s="32"/>
      <c r="B864" s="32"/>
    </row>
    <row r="865" spans="1:2" ht="14.4">
      <c r="A865" s="32"/>
      <c r="B865" s="32"/>
    </row>
    <row r="866" spans="1:2" ht="14.4">
      <c r="A866" s="32"/>
      <c r="B866" s="32"/>
    </row>
    <row r="867" spans="1:2" ht="14.4">
      <c r="A867" s="32"/>
      <c r="B867" s="32"/>
    </row>
    <row r="868" spans="1:2" ht="14.4">
      <c r="A868" s="32"/>
      <c r="B868" s="32"/>
    </row>
    <row r="869" spans="1:2" ht="14.4">
      <c r="A869" s="32"/>
      <c r="B869" s="32"/>
    </row>
    <row r="870" spans="1:2" ht="14.4">
      <c r="A870" s="32"/>
      <c r="B870" s="32"/>
    </row>
    <row r="871" spans="1:2" ht="14.4">
      <c r="A871" s="32"/>
      <c r="B871" s="32"/>
    </row>
    <row r="872" spans="1:2" ht="14.4">
      <c r="A872" s="32"/>
      <c r="B872" s="32"/>
    </row>
    <row r="873" spans="1:2" ht="14.4">
      <c r="A873" s="32"/>
      <c r="B873" s="32"/>
    </row>
    <row r="874" spans="1:2" ht="14.4">
      <c r="A874" s="32"/>
      <c r="B874" s="32"/>
    </row>
    <row r="875" spans="1:2" ht="14.4">
      <c r="A875" s="32"/>
      <c r="B875" s="32"/>
    </row>
    <row r="876" spans="1:2" ht="14.4">
      <c r="A876" s="32"/>
      <c r="B876" s="32"/>
    </row>
    <row r="877" spans="1:2" ht="14.4">
      <c r="A877" s="32"/>
      <c r="B877" s="32"/>
    </row>
    <row r="878" spans="1:2" ht="14.4">
      <c r="A878" s="32"/>
      <c r="B878" s="32"/>
    </row>
    <row r="879" spans="1:2" ht="14.4">
      <c r="A879" s="32"/>
      <c r="B879" s="32"/>
    </row>
    <row r="880" spans="1:2" ht="14.4">
      <c r="A880" s="32"/>
      <c r="B880" s="32"/>
    </row>
    <row r="881" spans="1:2" ht="14.4">
      <c r="A881" s="32"/>
      <c r="B881" s="32"/>
    </row>
    <row r="882" spans="1:2" ht="14.4">
      <c r="A882" s="32"/>
      <c r="B882" s="32"/>
    </row>
    <row r="883" spans="1:2" ht="14.4">
      <c r="A883" s="32"/>
      <c r="B883" s="32"/>
    </row>
    <row r="884" spans="1:2" ht="14.4">
      <c r="A884" s="32"/>
      <c r="B884" s="32"/>
    </row>
    <row r="885" spans="1:2" ht="14.4">
      <c r="A885" s="32"/>
      <c r="B885" s="32"/>
    </row>
    <row r="886" spans="1:2" ht="14.4">
      <c r="A886" s="32"/>
      <c r="B886" s="32"/>
    </row>
    <row r="887" spans="1:2" ht="14.4">
      <c r="A887" s="32"/>
      <c r="B887" s="32"/>
    </row>
    <row r="888" spans="1:2" ht="14.4">
      <c r="A888" s="32"/>
      <c r="B888" s="32"/>
    </row>
    <row r="889" spans="1:2" ht="14.4">
      <c r="A889" s="32"/>
      <c r="B889" s="32"/>
    </row>
    <row r="890" spans="1:2" ht="14.4">
      <c r="A890" s="32"/>
      <c r="B890" s="32"/>
    </row>
    <row r="891" spans="1:2" ht="14.4">
      <c r="A891" s="32"/>
      <c r="B891" s="32"/>
    </row>
    <row r="892" spans="1:2" ht="14.4">
      <c r="A892" s="32"/>
      <c r="B892" s="32"/>
    </row>
    <row r="893" spans="1:2" ht="14.4">
      <c r="A893" s="32"/>
      <c r="B893" s="32"/>
    </row>
    <row r="894" spans="1:2" ht="14.4">
      <c r="A894" s="32"/>
      <c r="B894" s="32"/>
    </row>
    <row r="895" spans="1:2" ht="14.4">
      <c r="A895" s="32"/>
      <c r="B895" s="32"/>
    </row>
    <row r="896" spans="1:2" ht="14.4">
      <c r="A896" s="32"/>
      <c r="B896" s="32"/>
    </row>
    <row r="897" spans="1:2" ht="14.4">
      <c r="A897" s="32"/>
      <c r="B897" s="32"/>
    </row>
    <row r="898" spans="1:2" ht="14.4">
      <c r="A898" s="32"/>
      <c r="B898" s="32"/>
    </row>
    <row r="899" spans="1:2" ht="14.4">
      <c r="A899" s="32"/>
      <c r="B899" s="32"/>
    </row>
    <row r="900" spans="1:2" ht="14.4">
      <c r="A900" s="32"/>
      <c r="B900" s="32"/>
    </row>
    <row r="901" spans="1:2" ht="14.4">
      <c r="A901" s="32"/>
      <c r="B901" s="32"/>
    </row>
    <row r="902" spans="1:2" ht="14.4">
      <c r="A902" s="32"/>
      <c r="B902" s="32"/>
    </row>
    <row r="903" spans="1:2" ht="14.4">
      <c r="A903" s="32"/>
      <c r="B903" s="32"/>
    </row>
    <row r="904" spans="1:2" ht="14.4">
      <c r="A904" s="32"/>
      <c r="B904" s="32"/>
    </row>
    <row r="905" spans="1:2" ht="14.4">
      <c r="A905" s="32"/>
      <c r="B905" s="32"/>
    </row>
    <row r="906" spans="1:2" ht="14.4">
      <c r="A906" s="32"/>
      <c r="B906" s="32"/>
    </row>
    <row r="907" spans="1:2" ht="14.4">
      <c r="A907" s="32"/>
      <c r="B907" s="32"/>
    </row>
    <row r="908" spans="1:2" ht="14.4">
      <c r="A908" s="32"/>
      <c r="B908" s="32"/>
    </row>
    <row r="909" spans="1:2" ht="14.4">
      <c r="A909" s="32"/>
      <c r="B909" s="32"/>
    </row>
    <row r="910" spans="1:2" ht="14.4">
      <c r="A910" s="32"/>
      <c r="B910" s="32"/>
    </row>
    <row r="911" spans="1:2" ht="14.4">
      <c r="A911" s="32"/>
      <c r="B911" s="32"/>
    </row>
    <row r="912" spans="1:2" ht="14.4">
      <c r="A912" s="32"/>
      <c r="B912" s="32"/>
    </row>
    <row r="913" spans="1:2" ht="14.4">
      <c r="A913" s="32"/>
      <c r="B913" s="32"/>
    </row>
    <row r="914" spans="1:2" ht="14.4">
      <c r="A914" s="32"/>
      <c r="B914" s="32"/>
    </row>
    <row r="915" spans="1:2" ht="14.4">
      <c r="A915" s="32"/>
      <c r="B915" s="32"/>
    </row>
    <row r="916" spans="1:2" ht="14.4">
      <c r="A916" s="32"/>
      <c r="B916" s="32"/>
    </row>
    <row r="917" spans="1:2" ht="14.4">
      <c r="A917" s="32"/>
      <c r="B917" s="32"/>
    </row>
    <row r="918" spans="1:2" ht="14.4">
      <c r="A918" s="32"/>
      <c r="B918" s="32"/>
    </row>
    <row r="919" spans="1:2" ht="14.4">
      <c r="A919" s="32"/>
      <c r="B919" s="32"/>
    </row>
    <row r="920" spans="1:2" ht="14.4">
      <c r="A920" s="32"/>
      <c r="B920" s="32"/>
    </row>
    <row r="921" spans="1:2" ht="14.4">
      <c r="A921" s="32"/>
      <c r="B921" s="32"/>
    </row>
    <row r="922" spans="1:2" ht="14.4">
      <c r="A922" s="32"/>
      <c r="B922" s="32"/>
    </row>
    <row r="923" spans="1:2" ht="14.4">
      <c r="A923" s="32"/>
      <c r="B923" s="32"/>
    </row>
    <row r="924" spans="1:2" ht="14.4">
      <c r="A924" s="32"/>
      <c r="B924" s="32"/>
    </row>
    <row r="925" spans="1:2" ht="14.4">
      <c r="A925" s="32"/>
      <c r="B925" s="32"/>
    </row>
    <row r="926" spans="1:2" ht="14.4">
      <c r="A926" s="32"/>
      <c r="B926" s="32"/>
    </row>
    <row r="927" spans="1:2" ht="14.4">
      <c r="A927" s="32"/>
      <c r="B927" s="32"/>
    </row>
    <row r="928" spans="1:2" ht="14.4">
      <c r="A928" s="32"/>
      <c r="B928" s="32"/>
    </row>
    <row r="929" spans="1:2" ht="14.4">
      <c r="A929" s="32"/>
      <c r="B929" s="32"/>
    </row>
    <row r="930" spans="1:2" ht="14.4">
      <c r="A930" s="32"/>
      <c r="B930" s="32"/>
    </row>
    <row r="931" spans="1:2" ht="14.4">
      <c r="A931" s="32"/>
      <c r="B931" s="32"/>
    </row>
    <row r="932" spans="1:2" ht="14.4">
      <c r="A932" s="32"/>
      <c r="B932" s="32"/>
    </row>
    <row r="933" spans="1:2" ht="14.4">
      <c r="A933" s="32"/>
      <c r="B933" s="32"/>
    </row>
    <row r="934" spans="1:2" ht="14.4">
      <c r="A934" s="32"/>
      <c r="B934" s="32"/>
    </row>
    <row r="935" spans="1:2" ht="14.4">
      <c r="A935" s="32"/>
      <c r="B935" s="32"/>
    </row>
    <row r="936" spans="1:2" ht="14.4">
      <c r="A936" s="32"/>
      <c r="B936" s="32"/>
    </row>
    <row r="937" spans="1:2" ht="14.4">
      <c r="A937" s="32"/>
      <c r="B937" s="32"/>
    </row>
    <row r="938" spans="1:2" ht="14.4">
      <c r="A938" s="32"/>
      <c r="B938" s="32"/>
    </row>
    <row r="939" spans="1:2" ht="14.4">
      <c r="A939" s="32"/>
      <c r="B939" s="32"/>
    </row>
    <row r="940" spans="1:2" ht="14.4">
      <c r="A940" s="32"/>
      <c r="B940" s="32"/>
    </row>
    <row r="941" spans="1:2" ht="14.4">
      <c r="A941" s="32"/>
      <c r="B941" s="32"/>
    </row>
    <row r="942" spans="1:2" ht="14.4">
      <c r="A942" s="32"/>
      <c r="B942" s="32"/>
    </row>
    <row r="943" spans="1:2" ht="14.4">
      <c r="A943" s="32"/>
      <c r="B943" s="32"/>
    </row>
    <row r="944" spans="1:2" ht="14.4">
      <c r="A944" s="32"/>
      <c r="B944" s="32"/>
    </row>
    <row r="945" spans="1:2" ht="14.4">
      <c r="A945" s="32"/>
      <c r="B945" s="32"/>
    </row>
    <row r="946" spans="1:2" ht="14.4">
      <c r="A946" s="32"/>
      <c r="B946" s="32"/>
    </row>
    <row r="947" spans="1:2" ht="14.4">
      <c r="A947" s="32"/>
      <c r="B947" s="32"/>
    </row>
    <row r="948" spans="1:2" ht="14.4">
      <c r="A948" s="32"/>
      <c r="B948" s="32"/>
    </row>
    <row r="949" spans="1:2" ht="14.4">
      <c r="A949" s="32"/>
      <c r="B949" s="32"/>
    </row>
    <row r="950" spans="1:2" ht="14.4">
      <c r="A950" s="32"/>
      <c r="B950" s="32"/>
    </row>
    <row r="951" spans="1:2" ht="14.4">
      <c r="A951" s="32"/>
      <c r="B951" s="32"/>
    </row>
    <row r="952" spans="1:2" ht="14.4">
      <c r="A952" s="32"/>
      <c r="B952" s="32"/>
    </row>
    <row r="953" spans="1:2" ht="14.4">
      <c r="A953" s="32"/>
      <c r="B953" s="32"/>
    </row>
    <row r="954" spans="1:2" ht="14.4">
      <c r="A954" s="32"/>
      <c r="B954" s="32"/>
    </row>
    <row r="955" spans="1:2" ht="14.4">
      <c r="A955" s="32"/>
      <c r="B955" s="32"/>
    </row>
    <row r="956" spans="1:2" ht="14.4">
      <c r="A956" s="32"/>
      <c r="B956" s="32"/>
    </row>
    <row r="957" spans="1:2" ht="14.4">
      <c r="A957" s="32"/>
      <c r="B957" s="32"/>
    </row>
    <row r="958" spans="1:2" ht="14.4">
      <c r="A958" s="32"/>
      <c r="B958" s="32"/>
    </row>
    <row r="959" spans="1:2" ht="14.4">
      <c r="A959" s="32"/>
      <c r="B959" s="32"/>
    </row>
    <row r="960" spans="1:2" ht="14.4">
      <c r="A960" s="32"/>
      <c r="B960" s="32"/>
    </row>
    <row r="961" spans="1:2" ht="14.4">
      <c r="A961" s="32"/>
      <c r="B961" s="32"/>
    </row>
    <row r="962" spans="1:2" ht="14.4">
      <c r="A962" s="32"/>
      <c r="B962" s="32"/>
    </row>
    <row r="963" spans="1:2" ht="14.4">
      <c r="A963" s="32"/>
      <c r="B963" s="32"/>
    </row>
    <row r="964" spans="1:2" ht="14.4">
      <c r="A964" s="32"/>
      <c r="B964" s="32"/>
    </row>
    <row r="965" spans="1:2" ht="14.4">
      <c r="A965" s="32"/>
      <c r="B965" s="32"/>
    </row>
    <row r="966" spans="1:2" ht="14.4">
      <c r="A966" s="32"/>
      <c r="B966" s="32"/>
    </row>
    <row r="967" spans="1:2" ht="14.4">
      <c r="A967" s="32"/>
      <c r="B967" s="32"/>
    </row>
    <row r="968" spans="1:2" ht="14.4">
      <c r="A968" s="32"/>
      <c r="B968" s="32"/>
    </row>
    <row r="969" spans="1:2" ht="14.4">
      <c r="A969" s="32"/>
      <c r="B969" s="32"/>
    </row>
    <row r="970" spans="1:2" ht="14.4">
      <c r="A970" s="32"/>
      <c r="B970" s="32"/>
    </row>
    <row r="971" spans="1:2" ht="14.4">
      <c r="A971" s="32"/>
      <c r="B971" s="32"/>
    </row>
    <row r="972" spans="1:2" ht="14.4">
      <c r="A972" s="32"/>
      <c r="B972" s="32"/>
    </row>
    <row r="973" spans="1:2" ht="14.4">
      <c r="A973" s="32"/>
      <c r="B973" s="32"/>
    </row>
    <row r="974" spans="1:2" ht="14.4">
      <c r="A974" s="32"/>
      <c r="B974" s="32"/>
    </row>
    <row r="975" spans="1:2" ht="14.4">
      <c r="A975" s="32"/>
      <c r="B975" s="32"/>
    </row>
    <row r="976" spans="1:2" ht="14.4">
      <c r="A976" s="32"/>
      <c r="B976" s="32"/>
    </row>
    <row r="977" spans="1:2" ht="14.4">
      <c r="A977" s="32"/>
      <c r="B977" s="32"/>
    </row>
    <row r="978" spans="1:2" ht="14.4">
      <c r="A978" s="32"/>
      <c r="B978" s="32"/>
    </row>
    <row r="979" spans="1:2" ht="14.4">
      <c r="A979" s="32"/>
      <c r="B979" s="32"/>
    </row>
    <row r="980" spans="1:2" ht="14.4">
      <c r="A980" s="32"/>
      <c r="B980" s="32"/>
    </row>
    <row r="981" spans="1:2" ht="14.4">
      <c r="A981" s="32"/>
      <c r="B981" s="32"/>
    </row>
    <row r="982" spans="1:2" ht="14.4">
      <c r="A982" s="32"/>
      <c r="B982" s="32"/>
    </row>
    <row r="983" spans="1:2" ht="14.4">
      <c r="A983" s="32"/>
      <c r="B983" s="32"/>
    </row>
    <row r="984" spans="1:2" ht="14.4">
      <c r="A984" s="32"/>
      <c r="B984" s="32"/>
    </row>
    <row r="985" spans="1:2" ht="14.4">
      <c r="A985" s="32"/>
      <c r="B985" s="32"/>
    </row>
    <row r="986" spans="1:2" ht="14.4">
      <c r="A986" s="32"/>
      <c r="B986" s="32"/>
    </row>
    <row r="987" spans="1:2" ht="14.4">
      <c r="A987" s="32"/>
      <c r="B987" s="32"/>
    </row>
    <row r="988" spans="1:2" ht="14.4">
      <c r="A988" s="32"/>
      <c r="B988" s="32"/>
    </row>
    <row r="989" spans="1:2" ht="14.4">
      <c r="A989" s="32"/>
      <c r="B989" s="32"/>
    </row>
    <row r="990" spans="1:2" ht="14.4">
      <c r="A990" s="32"/>
      <c r="B990" s="32"/>
    </row>
    <row r="991" spans="1:2" ht="14.4">
      <c r="A991" s="32"/>
      <c r="B991" s="32"/>
    </row>
    <row r="992" spans="1:2" ht="14.4">
      <c r="A992" s="32"/>
      <c r="B992" s="32"/>
    </row>
    <row r="993" spans="1:2" ht="14.4">
      <c r="A993" s="32"/>
      <c r="B993" s="32"/>
    </row>
    <row r="994" spans="1:2" ht="14.4">
      <c r="A994" s="32"/>
      <c r="B994" s="32"/>
    </row>
    <row r="995" spans="1:2" ht="14.4">
      <c r="A995" s="32"/>
      <c r="B995" s="32"/>
    </row>
    <row r="996" spans="1:2" ht="14.4">
      <c r="A996" s="32"/>
      <c r="B996" s="32"/>
    </row>
    <row r="997" spans="1:2" ht="14.4">
      <c r="A997" s="32"/>
      <c r="B997" s="32"/>
    </row>
    <row r="998" spans="1:2" ht="14.4">
      <c r="A998" s="32"/>
      <c r="B998" s="32"/>
    </row>
    <row r="999" spans="1:2" ht="14.4">
      <c r="A999" s="32"/>
      <c r="B999" s="32"/>
    </row>
    <row r="1000" spans="1:2" ht="14.4">
      <c r="A1000" s="32"/>
      <c r="B1000" s="32"/>
    </row>
    <row r="1001" spans="1:2" ht="14.4">
      <c r="A1001" s="32"/>
      <c r="B1001" s="32"/>
    </row>
    <row r="1002" spans="1:2" ht="14.4">
      <c r="A1002" s="32"/>
      <c r="B1002" s="32"/>
    </row>
    <row r="1003" spans="1:2" ht="14.4">
      <c r="A1003" s="32"/>
      <c r="B1003" s="32"/>
    </row>
    <row r="1004" spans="1:2" ht="14.4">
      <c r="A1004" s="32"/>
      <c r="B1004" s="32"/>
    </row>
    <row r="1005" spans="1:2" ht="14.4">
      <c r="A1005" s="32"/>
      <c r="B1005" s="32"/>
    </row>
    <row r="1006" spans="1:2" ht="14.4">
      <c r="A1006" s="32"/>
      <c r="B1006" s="32"/>
    </row>
    <row r="1007" spans="1:2" ht="14.4">
      <c r="A1007" s="32"/>
      <c r="B1007" s="32"/>
    </row>
    <row r="1008" spans="1:2" ht="14.4">
      <c r="A1008" s="32"/>
      <c r="B1008" s="32"/>
    </row>
    <row r="1009" spans="1:2" ht="14.4">
      <c r="A1009" s="32"/>
      <c r="B1009" s="32"/>
    </row>
    <row r="1010" spans="1:2" ht="14.4">
      <c r="A1010" s="32"/>
      <c r="B1010" s="32"/>
    </row>
    <row r="1011" spans="1:2" ht="14.4">
      <c r="A1011" s="32"/>
      <c r="B1011" s="32"/>
    </row>
    <row r="1012" spans="1:2" ht="14.4">
      <c r="A1012" s="32"/>
      <c r="B1012" s="32"/>
    </row>
    <row r="1013" spans="1:2" ht="14.4">
      <c r="A1013" s="32"/>
      <c r="B1013" s="32"/>
    </row>
    <row r="1014" spans="1:2" ht="14.4">
      <c r="A1014" s="32"/>
      <c r="B1014" s="32"/>
    </row>
    <row r="1015" spans="1:2" ht="14.4">
      <c r="A1015" s="32"/>
      <c r="B1015" s="32"/>
    </row>
    <row r="1016" spans="1:2" ht="14.4">
      <c r="A1016" s="32"/>
      <c r="B1016" s="32"/>
    </row>
    <row r="1017" spans="1:2" ht="14.4">
      <c r="A1017" s="32"/>
      <c r="B1017" s="32"/>
    </row>
    <row r="1018" spans="1:2" ht="14.4">
      <c r="A1018" s="32"/>
      <c r="B1018" s="32"/>
    </row>
    <row r="1019" spans="1:2" ht="14.4">
      <c r="A1019" s="32"/>
      <c r="B1019" s="32"/>
    </row>
    <row r="1020" spans="1:2" ht="14.4">
      <c r="A1020" s="32"/>
      <c r="B1020" s="32"/>
    </row>
    <row r="1021" spans="1:2" ht="14.4">
      <c r="A1021" s="32"/>
      <c r="B1021" s="32"/>
    </row>
    <row r="1022" spans="1:2" ht="14.4">
      <c r="A1022" s="32"/>
      <c r="B1022" s="32"/>
    </row>
    <row r="1023" spans="1:2" ht="14.4">
      <c r="A1023" s="32"/>
      <c r="B1023" s="32"/>
    </row>
    <row r="1024" spans="1:2" ht="14.4">
      <c r="A1024" s="32"/>
      <c r="B1024" s="32"/>
    </row>
    <row r="1025" spans="1:2" ht="14.4">
      <c r="A1025" s="32"/>
      <c r="B1025" s="32"/>
    </row>
    <row r="1026" spans="1:2" ht="14.4">
      <c r="A1026" s="32"/>
      <c r="B1026" s="32"/>
    </row>
    <row r="1027" spans="1:2" ht="14.4">
      <c r="A1027" s="32"/>
      <c r="B1027" s="32"/>
    </row>
    <row r="1028" spans="1:2" ht="14.4">
      <c r="A1028" s="32"/>
      <c r="B1028" s="32"/>
    </row>
    <row r="1029" spans="1:2" ht="14.4">
      <c r="A1029" s="32"/>
      <c r="B1029" s="32"/>
    </row>
    <row r="1030" spans="1:2" ht="14.4">
      <c r="A1030" s="32"/>
      <c r="B1030" s="32"/>
    </row>
    <row r="1031" spans="1:2" ht="14.4">
      <c r="A1031" s="32"/>
      <c r="B1031" s="32"/>
    </row>
    <row r="1032" spans="1:2" ht="14.4">
      <c r="A1032" s="32"/>
      <c r="B1032" s="32"/>
    </row>
    <row r="1033" spans="1:2" ht="14.4">
      <c r="A1033" s="32"/>
      <c r="B1033" s="32"/>
    </row>
    <row r="1034" spans="1:2" ht="14.4">
      <c r="A1034" s="32"/>
      <c r="B1034" s="32"/>
    </row>
    <row r="1035" spans="1:2" ht="14.4">
      <c r="A1035" s="32"/>
      <c r="B1035" s="32"/>
    </row>
    <row r="1036" spans="1:2" ht="14.4">
      <c r="A1036" s="32"/>
      <c r="B1036" s="32"/>
    </row>
    <row r="1037" spans="1:2" ht="14.4">
      <c r="A1037" s="32"/>
      <c r="B1037" s="32"/>
    </row>
    <row r="1038" spans="1:2" ht="14.4">
      <c r="A1038" s="32"/>
      <c r="B1038" s="32"/>
    </row>
    <row r="1039" spans="1:2" ht="14.4">
      <c r="A1039" s="32"/>
      <c r="B1039" s="32"/>
    </row>
    <row r="1040" spans="1:2" ht="14.4">
      <c r="A1040" s="32"/>
      <c r="B1040" s="32"/>
    </row>
    <row r="1041" spans="1:2" ht="14.4">
      <c r="A1041" s="32"/>
      <c r="B1041" s="32"/>
    </row>
    <row r="1042" spans="1:2" ht="14.4">
      <c r="A1042" s="32"/>
      <c r="B1042" s="32"/>
    </row>
    <row r="1043" spans="1:2" ht="14.4">
      <c r="A1043" s="32"/>
      <c r="B1043" s="32"/>
    </row>
    <row r="1044" spans="1:2" ht="14.4">
      <c r="A1044" s="32"/>
      <c r="B1044" s="32"/>
    </row>
    <row r="1045" spans="1:2" ht="14.4">
      <c r="A1045" s="32"/>
      <c r="B1045" s="32"/>
    </row>
    <row r="1046" spans="1:2" ht="14.4">
      <c r="A1046" s="32"/>
      <c r="B1046" s="32"/>
    </row>
    <row r="1047" spans="1:2" ht="14.4">
      <c r="A1047" s="32"/>
      <c r="B1047" s="32"/>
    </row>
    <row r="1048" spans="1:2" ht="14.4">
      <c r="A1048" s="32"/>
      <c r="B1048" s="32"/>
    </row>
    <row r="1049" spans="1:2" ht="14.4">
      <c r="A1049" s="32"/>
      <c r="B1049" s="32"/>
    </row>
    <row r="1050" spans="1:2" ht="14.4">
      <c r="A1050" s="32"/>
      <c r="B1050" s="32"/>
    </row>
    <row r="1051" spans="1:2" ht="14.4">
      <c r="A1051" s="32"/>
      <c r="B1051" s="32"/>
    </row>
    <row r="1052" spans="1:2" ht="14.4">
      <c r="A1052" s="32"/>
      <c r="B1052" s="32"/>
    </row>
    <row r="1053" spans="1:2" ht="14.4">
      <c r="A1053" s="32"/>
      <c r="B1053" s="32"/>
    </row>
    <row r="1054" spans="1:2" ht="14.4">
      <c r="A1054" s="32"/>
      <c r="B1054" s="32"/>
    </row>
    <row r="1055" spans="1:2" ht="14.4">
      <c r="A1055" s="32"/>
      <c r="B1055" s="32"/>
    </row>
    <row r="1056" spans="1:2" ht="14.4">
      <c r="A1056" s="32"/>
      <c r="B1056" s="32"/>
    </row>
    <row r="1057" spans="1:2" ht="14.4">
      <c r="A1057" s="32"/>
      <c r="B1057" s="32"/>
    </row>
    <row r="1058" spans="1:2" ht="14.4">
      <c r="A1058" s="32"/>
      <c r="B1058" s="32"/>
    </row>
    <row r="1059" spans="1:2" ht="14.4">
      <c r="A1059" s="32"/>
      <c r="B1059" s="32"/>
    </row>
    <row r="1060" spans="1:2" ht="14.4">
      <c r="A1060" s="32"/>
      <c r="B1060" s="32"/>
    </row>
    <row r="1061" spans="1:2" ht="14.4">
      <c r="A1061" s="32"/>
      <c r="B1061" s="32"/>
    </row>
    <row r="1062" spans="1:2" ht="14.4">
      <c r="A1062" s="32"/>
      <c r="B1062" s="32"/>
    </row>
    <row r="1063" spans="1:2" ht="14.4">
      <c r="A1063" s="32"/>
      <c r="B1063" s="32"/>
    </row>
    <row r="1064" spans="1:2" ht="14.4">
      <c r="A1064" s="32"/>
      <c r="B1064" s="32"/>
    </row>
    <row r="1065" spans="1:2" ht="14.4">
      <c r="A1065" s="32"/>
      <c r="B1065" s="32"/>
    </row>
    <row r="1066" spans="1:2" ht="14.4">
      <c r="A1066" s="32"/>
      <c r="B1066" s="32"/>
    </row>
    <row r="1067" spans="1:2" ht="14.4">
      <c r="A1067" s="32"/>
      <c r="B1067" s="32"/>
    </row>
    <row r="1068" spans="1:2" ht="14.4">
      <c r="A1068" s="32"/>
      <c r="B1068" s="32"/>
    </row>
    <row r="1069" spans="1:2" ht="14.4">
      <c r="A1069" s="32"/>
      <c r="B1069" s="32"/>
    </row>
    <row r="1070" spans="1:2" ht="14.4">
      <c r="A1070" s="32"/>
      <c r="B1070" s="32"/>
    </row>
    <row r="1071" spans="1:2" ht="14.4">
      <c r="A1071" s="32"/>
      <c r="B1071" s="32"/>
    </row>
    <row r="1072" spans="1:2" ht="14.4">
      <c r="A1072" s="32"/>
      <c r="B1072" s="32"/>
    </row>
    <row r="1073" spans="1:2" ht="14.4">
      <c r="A1073" s="32"/>
      <c r="B1073" s="32"/>
    </row>
    <row r="1074" spans="1:2" ht="14.4">
      <c r="A1074" s="32"/>
      <c r="B1074" s="32"/>
    </row>
    <row r="1075" spans="1:2" ht="14.4">
      <c r="A1075" s="32"/>
      <c r="B1075" s="32"/>
    </row>
    <row r="1076" spans="1:2" ht="14.4">
      <c r="A1076" s="32"/>
      <c r="B1076" s="32"/>
    </row>
    <row r="1077" spans="1:2" ht="14.4">
      <c r="A1077" s="32"/>
      <c r="B1077" s="32"/>
    </row>
    <row r="1078" spans="1:2" ht="14.4">
      <c r="A1078" s="32"/>
      <c r="B1078" s="32"/>
    </row>
    <row r="1079" spans="1:2" ht="14.4">
      <c r="A1079" s="32"/>
      <c r="B1079" s="32"/>
    </row>
    <row r="1080" spans="1:2" ht="14.4">
      <c r="A1080" s="32"/>
      <c r="B1080" s="32"/>
    </row>
    <row r="1081" spans="1:2" ht="14.4">
      <c r="A1081" s="32"/>
      <c r="B1081" s="32"/>
    </row>
    <row r="1082" spans="1:2" ht="14.4">
      <c r="A1082" s="32"/>
      <c r="B1082" s="32"/>
    </row>
    <row r="1083" spans="1:2" ht="14.4">
      <c r="A1083" s="32"/>
      <c r="B1083" s="32"/>
    </row>
    <row r="1084" spans="1:2" ht="14.4">
      <c r="A1084" s="32"/>
      <c r="B1084" s="32"/>
    </row>
    <row r="1085" spans="1:2" ht="14.4">
      <c r="A1085" s="32"/>
      <c r="B1085" s="32"/>
    </row>
    <row r="1086" spans="1:2" ht="14.4">
      <c r="A1086" s="32"/>
      <c r="B1086" s="32"/>
    </row>
    <row r="1087" spans="1:2" ht="14.4">
      <c r="A1087" s="32"/>
      <c r="B1087" s="32"/>
    </row>
    <row r="1088" spans="1:2" ht="14.4">
      <c r="A1088" s="32"/>
      <c r="B1088" s="32"/>
    </row>
    <row r="1089" spans="1:2" ht="14.4">
      <c r="A1089" s="32"/>
      <c r="B1089" s="32"/>
    </row>
    <row r="1090" spans="1:2" ht="14.4">
      <c r="A1090" s="32"/>
      <c r="B1090" s="32"/>
    </row>
    <row r="1091" spans="1:2" ht="14.4">
      <c r="A1091" s="32"/>
      <c r="B1091" s="32"/>
    </row>
    <row r="1092" spans="1:2" ht="14.4">
      <c r="A1092" s="32"/>
      <c r="B1092" s="32"/>
    </row>
    <row r="1093" spans="1:2" ht="14.4">
      <c r="A1093" s="32"/>
      <c r="B1093" s="32"/>
    </row>
    <row r="1094" spans="1:2" ht="14.4">
      <c r="A1094" s="32"/>
      <c r="B1094" s="32"/>
    </row>
    <row r="1095" spans="1:2" ht="14.4">
      <c r="A1095" s="32"/>
      <c r="B1095" s="32"/>
    </row>
    <row r="1096" spans="1:2" ht="14.4">
      <c r="A1096" s="32"/>
      <c r="B1096" s="32"/>
    </row>
    <row r="1097" spans="1:2" ht="14.4">
      <c r="A1097" s="32"/>
      <c r="B1097" s="32"/>
    </row>
    <row r="1098" spans="1:2" ht="14.4">
      <c r="A1098" s="32"/>
      <c r="B1098" s="32"/>
    </row>
    <row r="1099" spans="1:2" ht="14.4">
      <c r="A1099" s="32"/>
      <c r="B1099" s="32"/>
    </row>
    <row r="1100" spans="1:2" ht="14.4">
      <c r="A1100" s="32"/>
      <c r="B1100" s="32"/>
    </row>
    <row r="1101" spans="1:2" ht="14.4">
      <c r="A1101" s="32"/>
      <c r="B1101" s="32"/>
    </row>
    <row r="1102" spans="1:2" ht="14.4">
      <c r="A1102" s="32"/>
      <c r="B1102" s="32"/>
    </row>
    <row r="1103" spans="1:2" ht="14.4">
      <c r="A1103" s="32"/>
      <c r="B1103" s="32"/>
    </row>
    <row r="1104" spans="1:2" ht="14.4">
      <c r="A1104" s="32"/>
      <c r="B1104" s="32"/>
    </row>
    <row r="1105" spans="1:2" ht="14.4">
      <c r="A1105" s="32"/>
      <c r="B1105" s="32"/>
    </row>
    <row r="1106" spans="1:2" ht="14.4">
      <c r="A1106" s="32"/>
      <c r="B1106" s="32"/>
    </row>
    <row r="1107" spans="1:2" ht="14.4">
      <c r="A1107" s="32"/>
      <c r="B1107" s="32"/>
    </row>
    <row r="1108" spans="1:2" ht="14.4">
      <c r="A1108" s="32"/>
      <c r="B1108" s="32"/>
    </row>
    <row r="1109" spans="1:2" ht="14.4">
      <c r="A1109" s="32"/>
      <c r="B1109" s="32"/>
    </row>
    <row r="1110" spans="1:2" ht="14.4">
      <c r="A1110" s="32"/>
      <c r="B1110" s="32"/>
    </row>
    <row r="1111" spans="1:2" ht="14.4">
      <c r="A1111" s="32"/>
      <c r="B1111" s="32"/>
    </row>
    <row r="1112" spans="1:2" ht="14.4">
      <c r="A1112" s="32"/>
      <c r="B1112" s="32"/>
    </row>
    <row r="1113" spans="1:2" ht="14.4">
      <c r="A1113" s="32"/>
      <c r="B1113" s="32"/>
    </row>
    <row r="1114" spans="1:2" ht="14.4">
      <c r="A1114" s="32"/>
      <c r="B1114" s="32"/>
    </row>
    <row r="1115" spans="1:2" ht="14.4">
      <c r="A1115" s="32"/>
      <c r="B1115" s="32"/>
    </row>
    <row r="1116" spans="1:2" ht="14.4">
      <c r="A1116" s="32"/>
      <c r="B1116" s="32"/>
    </row>
    <row r="1117" spans="1:2" ht="14.4">
      <c r="A1117" s="32"/>
      <c r="B1117" s="32"/>
    </row>
    <row r="1118" spans="1:2" ht="14.4">
      <c r="A1118" s="32"/>
      <c r="B1118" s="32"/>
    </row>
    <row r="1119" spans="1:2" ht="14.4">
      <c r="A1119" s="32"/>
      <c r="B1119" s="32"/>
    </row>
    <row r="1120" spans="1:2" ht="14.4">
      <c r="A1120" s="32"/>
      <c r="B1120" s="32"/>
    </row>
    <row r="1121" spans="1:2" ht="14.4">
      <c r="A1121" s="32"/>
      <c r="B1121" s="32"/>
    </row>
    <row r="1122" spans="1:2" ht="14.4">
      <c r="A1122" s="32"/>
      <c r="B1122" s="32"/>
    </row>
    <row r="1123" spans="1:2" ht="14.4">
      <c r="A1123" s="32"/>
      <c r="B1123" s="32"/>
    </row>
    <row r="1124" spans="1:2" ht="14.4">
      <c r="A1124" s="32"/>
      <c r="B1124" s="32"/>
    </row>
    <row r="1125" spans="1:2" ht="14.4">
      <c r="A1125" s="32"/>
      <c r="B1125" s="32"/>
    </row>
    <row r="1126" spans="1:2" ht="14.4">
      <c r="A1126" s="32"/>
      <c r="B1126" s="32"/>
    </row>
    <row r="1127" spans="1:2" ht="14.4">
      <c r="A1127" s="32"/>
      <c r="B1127" s="32"/>
    </row>
    <row r="1128" spans="1:2" ht="14.4">
      <c r="A1128" s="32"/>
      <c r="B1128" s="32"/>
    </row>
    <row r="1129" spans="1:2" ht="14.4">
      <c r="A1129" s="32"/>
      <c r="B1129" s="32"/>
    </row>
    <row r="1130" spans="1:2" ht="14.4">
      <c r="A1130" s="32"/>
      <c r="B1130" s="32"/>
    </row>
    <row r="1131" spans="1:2" ht="14.4">
      <c r="A1131" s="32"/>
      <c r="B1131" s="32"/>
    </row>
    <row r="1132" spans="1:2" ht="14.4">
      <c r="A1132" s="32"/>
      <c r="B1132" s="32"/>
    </row>
    <row r="1133" spans="1:2" ht="14.4">
      <c r="A1133" s="32"/>
      <c r="B1133" s="32"/>
    </row>
    <row r="1134" spans="1:2" ht="14.4">
      <c r="A1134" s="32"/>
      <c r="B1134" s="32"/>
    </row>
    <row r="1135" spans="1:2" ht="14.4">
      <c r="A1135" s="32"/>
      <c r="B1135" s="32"/>
    </row>
    <row r="1136" spans="1:2" ht="14.4">
      <c r="A1136" s="32"/>
      <c r="B1136" s="32"/>
    </row>
    <row r="1137" spans="1:2" ht="14.4">
      <c r="A1137" s="32"/>
      <c r="B1137" s="32"/>
    </row>
    <row r="1138" spans="1:2" ht="14.4">
      <c r="A1138" s="32"/>
      <c r="B1138" s="32"/>
    </row>
    <row r="1139" spans="1:2" ht="14.4">
      <c r="A1139" s="32"/>
      <c r="B1139" s="32"/>
    </row>
    <row r="1140" spans="1:2" ht="14.4">
      <c r="A1140" s="32"/>
      <c r="B1140" s="32"/>
    </row>
    <row r="1141" spans="1:2" ht="14.4">
      <c r="A1141" s="32"/>
      <c r="B1141" s="32"/>
    </row>
    <row r="1142" spans="1:2" ht="14.4">
      <c r="A1142" s="32"/>
      <c r="B1142" s="32"/>
    </row>
    <row r="1143" spans="1:2" ht="14.4">
      <c r="A1143" s="32"/>
      <c r="B1143" s="32"/>
    </row>
    <row r="1144" spans="1:2" ht="14.4">
      <c r="A1144" s="32"/>
      <c r="B1144" s="32"/>
    </row>
    <row r="1145" spans="1:2" ht="14.4">
      <c r="A1145" s="32"/>
      <c r="B1145" s="32"/>
    </row>
    <row r="1146" spans="1:2" ht="14.4">
      <c r="A1146" s="32"/>
      <c r="B1146" s="32"/>
    </row>
    <row r="1147" spans="1:2" ht="14.4">
      <c r="A1147" s="32"/>
      <c r="B1147" s="32"/>
    </row>
    <row r="1148" spans="1:2" ht="14.4">
      <c r="A1148" s="32"/>
      <c r="B1148" s="32"/>
    </row>
    <row r="1149" spans="1:2" ht="14.4">
      <c r="A1149" s="32"/>
      <c r="B1149" s="32"/>
    </row>
    <row r="1150" spans="1:2" ht="14.4">
      <c r="A1150" s="32"/>
      <c r="B1150" s="32"/>
    </row>
    <row r="1151" spans="1:2" ht="14.4">
      <c r="A1151" s="32"/>
      <c r="B1151" s="32"/>
    </row>
    <row r="1152" spans="1:2" ht="14.4">
      <c r="A1152" s="32"/>
      <c r="B1152" s="32"/>
    </row>
    <row r="1153" spans="1:2" ht="14.4">
      <c r="A1153" s="32"/>
      <c r="B1153" s="32"/>
    </row>
    <row r="1154" spans="1:2" ht="14.4">
      <c r="A1154" s="32"/>
      <c r="B1154" s="32"/>
    </row>
    <row r="1155" spans="1:2" ht="14.4">
      <c r="A1155" s="32"/>
      <c r="B1155" s="32"/>
    </row>
    <row r="1156" spans="1:2" ht="14.4">
      <c r="A1156" s="32"/>
      <c r="B1156" s="32"/>
    </row>
    <row r="1157" spans="1:2" ht="14.4">
      <c r="A1157" s="32"/>
      <c r="B1157" s="32"/>
    </row>
    <row r="1158" spans="1:2" ht="14.4">
      <c r="A1158" s="32"/>
      <c r="B1158" s="32"/>
    </row>
    <row r="1159" spans="1:2" ht="14.4">
      <c r="A1159" s="32"/>
      <c r="B1159" s="32"/>
    </row>
    <row r="1160" spans="1:2" ht="14.4">
      <c r="A1160" s="32"/>
      <c r="B1160" s="32"/>
    </row>
    <row r="1161" spans="1:2" ht="14.4">
      <c r="A1161" s="32"/>
      <c r="B1161" s="32"/>
    </row>
    <row r="1162" spans="1:2" ht="14.4">
      <c r="A1162" s="32"/>
      <c r="B1162" s="32"/>
    </row>
    <row r="1163" spans="1:2" ht="14.4">
      <c r="A1163" s="32"/>
      <c r="B1163" s="32"/>
    </row>
    <row r="1164" spans="1:2" ht="14.4">
      <c r="A1164" s="32"/>
      <c r="B1164" s="32"/>
    </row>
    <row r="1165" spans="1:2" ht="14.4">
      <c r="A1165" s="32"/>
      <c r="B1165" s="32"/>
    </row>
    <row r="1166" spans="1:2" ht="14.4">
      <c r="A1166" s="32"/>
      <c r="B1166" s="32"/>
    </row>
    <row r="1167" spans="1:2" ht="14.4">
      <c r="A1167" s="32"/>
      <c r="B1167" s="32"/>
    </row>
    <row r="1168" spans="1:2" ht="14.4">
      <c r="A1168" s="32"/>
      <c r="B1168" s="32"/>
    </row>
    <row r="1169" spans="1:2" ht="14.4">
      <c r="A1169" s="32"/>
      <c r="B1169" s="32"/>
    </row>
    <row r="1170" spans="1:2" ht="14.4">
      <c r="A1170" s="32"/>
      <c r="B1170" s="32"/>
    </row>
    <row r="1171" spans="1:2" ht="14.4">
      <c r="A1171" s="32"/>
      <c r="B1171" s="32"/>
    </row>
    <row r="1172" spans="1:2" ht="14.4">
      <c r="A1172" s="32"/>
      <c r="B1172" s="32"/>
    </row>
    <row r="1173" spans="1:2" ht="14.4">
      <c r="A1173" s="32"/>
      <c r="B1173" s="32"/>
    </row>
    <row r="1174" spans="1:2" ht="14.4">
      <c r="A1174" s="32"/>
      <c r="B1174" s="32"/>
    </row>
    <row r="1175" spans="1:2" ht="14.4">
      <c r="A1175" s="32"/>
      <c r="B1175" s="32"/>
    </row>
    <row r="1176" spans="1:2" ht="14.4">
      <c r="A1176" s="32"/>
      <c r="B1176" s="32"/>
    </row>
    <row r="1177" spans="1:2" ht="14.4">
      <c r="A1177" s="32"/>
      <c r="B1177" s="32"/>
    </row>
    <row r="1178" spans="1:2" ht="14.4">
      <c r="A1178" s="32"/>
      <c r="B1178" s="32"/>
    </row>
    <row r="1179" spans="1:2" ht="14.4">
      <c r="A1179" s="32"/>
      <c r="B1179" s="32"/>
    </row>
    <row r="1180" spans="1:2" ht="14.4">
      <c r="A1180" s="32"/>
      <c r="B1180" s="32"/>
    </row>
    <row r="1181" spans="1:2" ht="14.4">
      <c r="A1181" s="32"/>
      <c r="B1181" s="32"/>
    </row>
    <row r="1182" spans="1:2" ht="14.4">
      <c r="A1182" s="32"/>
      <c r="B1182" s="32"/>
    </row>
    <row r="1183" spans="1:2" ht="14.4">
      <c r="A1183" s="32"/>
      <c r="B1183" s="32"/>
    </row>
    <row r="1184" spans="1:2" ht="14.4">
      <c r="A1184" s="32"/>
      <c r="B1184" s="32"/>
    </row>
    <row r="1185" spans="1:2" ht="14.4">
      <c r="A1185" s="32"/>
      <c r="B1185" s="32"/>
    </row>
    <row r="1186" spans="1:2" ht="14.4">
      <c r="A1186" s="32"/>
      <c r="B1186" s="32"/>
    </row>
    <row r="1187" spans="1:2" ht="14.4">
      <c r="A1187" s="32"/>
      <c r="B1187" s="32"/>
    </row>
    <row r="1188" spans="1:2" ht="14.4">
      <c r="A1188" s="32"/>
      <c r="B1188" s="32"/>
    </row>
    <row r="1189" spans="1:2" ht="14.4">
      <c r="A1189" s="32"/>
      <c r="B1189" s="32"/>
    </row>
    <row r="1190" spans="1:2" ht="14.4">
      <c r="A1190" s="32"/>
      <c r="B1190" s="32"/>
    </row>
    <row r="1191" spans="1:2" ht="14.4">
      <c r="A1191" s="32"/>
      <c r="B1191" s="32"/>
    </row>
    <row r="1192" spans="1:2" ht="14.4">
      <c r="A1192" s="32"/>
      <c r="B1192" s="32"/>
    </row>
    <row r="1193" spans="1:2" ht="14.4">
      <c r="A1193" s="32"/>
      <c r="B1193" s="32"/>
    </row>
    <row r="1194" spans="1:2" ht="14.4">
      <c r="A1194" s="32"/>
      <c r="B1194" s="32"/>
    </row>
    <row r="1195" spans="1:2" ht="14.4">
      <c r="A1195" s="32"/>
      <c r="B1195" s="32"/>
    </row>
    <row r="1196" spans="1:2" ht="14.4">
      <c r="A1196" s="32"/>
      <c r="B1196" s="32"/>
    </row>
    <row r="1197" spans="1:2" ht="14.4">
      <c r="A1197" s="32"/>
      <c r="B1197" s="32"/>
    </row>
    <row r="1198" spans="1:2" ht="14.4">
      <c r="A1198" s="32"/>
      <c r="B1198" s="32"/>
    </row>
    <row r="1199" spans="1:2" ht="14.4">
      <c r="A1199" s="32"/>
      <c r="B1199" s="32"/>
    </row>
    <row r="1200" spans="1:2" ht="14.4">
      <c r="A1200" s="32"/>
      <c r="B1200" s="32"/>
    </row>
    <row r="1201" spans="1:2" ht="14.4">
      <c r="A1201" s="32"/>
      <c r="B1201" s="32"/>
    </row>
    <row r="1202" spans="1:2" ht="14.4">
      <c r="A1202" s="32"/>
      <c r="B1202" s="32"/>
    </row>
    <row r="1203" spans="1:2" ht="14.4">
      <c r="A1203" s="32"/>
      <c r="B1203" s="32"/>
    </row>
    <row r="1204" spans="1:2" ht="14.4">
      <c r="A1204" s="32"/>
      <c r="B1204" s="32"/>
    </row>
    <row r="1205" spans="1:2" ht="14.4">
      <c r="A1205" s="32"/>
      <c r="B1205" s="32"/>
    </row>
    <row r="1206" spans="1:2" ht="14.4">
      <c r="A1206" s="32"/>
      <c r="B1206" s="32"/>
    </row>
    <row r="1207" spans="1:2" ht="14.4">
      <c r="A1207" s="32"/>
      <c r="B1207" s="32"/>
    </row>
    <row r="1208" spans="1:2" ht="14.4">
      <c r="A1208" s="32"/>
      <c r="B1208" s="32"/>
    </row>
    <row r="1209" spans="1:2" ht="14.4">
      <c r="A1209" s="32"/>
      <c r="B1209" s="32"/>
    </row>
    <row r="1210" spans="1:2" ht="14.4">
      <c r="A1210" s="32"/>
      <c r="B1210" s="32"/>
    </row>
    <row r="1211" spans="1:2" ht="14.4">
      <c r="A1211" s="32"/>
      <c r="B1211" s="32"/>
    </row>
    <row r="1212" spans="1:2" ht="14.4">
      <c r="A1212" s="32"/>
      <c r="B1212" s="32"/>
    </row>
    <row r="1213" spans="1:2" ht="14.4">
      <c r="A1213" s="32"/>
      <c r="B1213" s="32"/>
    </row>
    <row r="1214" spans="1:2" ht="14.4">
      <c r="A1214" s="32"/>
      <c r="B1214" s="32"/>
    </row>
    <row r="1215" spans="1:2" ht="14.4">
      <c r="A1215" s="32"/>
      <c r="B1215" s="32"/>
    </row>
    <row r="1216" spans="1:2" ht="14.4">
      <c r="A1216" s="32"/>
      <c r="B1216" s="32"/>
    </row>
    <row r="1217" spans="1:2" ht="14.4">
      <c r="A1217" s="32"/>
      <c r="B1217" s="32"/>
    </row>
    <row r="1218" spans="1:2" ht="14.4">
      <c r="A1218" s="32"/>
      <c r="B1218" s="32"/>
    </row>
    <row r="1219" spans="1:2" ht="14.4">
      <c r="A1219" s="32"/>
      <c r="B1219" s="32"/>
    </row>
    <row r="1220" spans="1:2" ht="14.4">
      <c r="A1220" s="32"/>
      <c r="B1220" s="32"/>
    </row>
    <row r="1221" spans="1:2" ht="14.4">
      <c r="A1221" s="32"/>
      <c r="B1221" s="32"/>
    </row>
    <row r="1222" spans="1:2" ht="14.4">
      <c r="A1222" s="32"/>
      <c r="B1222" s="32"/>
    </row>
    <row r="1223" spans="1:2" ht="14.4">
      <c r="A1223" s="32"/>
      <c r="B1223" s="32"/>
    </row>
    <row r="1224" spans="1:2" ht="14.4">
      <c r="A1224" s="32"/>
      <c r="B1224" s="32"/>
    </row>
    <row r="1225" spans="1:2" ht="14.4">
      <c r="A1225" s="32"/>
      <c r="B1225" s="32"/>
    </row>
    <row r="1226" spans="1:2" ht="14.4">
      <c r="A1226" s="32"/>
      <c r="B1226" s="32"/>
    </row>
    <row r="1227" spans="1:2" ht="14.4">
      <c r="A1227" s="32"/>
      <c r="B1227" s="32"/>
    </row>
    <row r="1228" spans="1:2" ht="14.4">
      <c r="A1228" s="32"/>
      <c r="B1228" s="32"/>
    </row>
    <row r="1229" spans="1:2" ht="14.4">
      <c r="A1229" s="32"/>
      <c r="B1229" s="32"/>
    </row>
    <row r="1230" spans="1:2" ht="14.4">
      <c r="A1230" s="32"/>
      <c r="B1230" s="32"/>
    </row>
    <row r="1231" spans="1:2" ht="14.4">
      <c r="A1231" s="32"/>
      <c r="B1231" s="32"/>
    </row>
    <row r="1232" spans="1:2" ht="14.4">
      <c r="A1232" s="32"/>
      <c r="B1232" s="32"/>
    </row>
    <row r="1233" spans="1:2" ht="14.4">
      <c r="A1233" s="32"/>
      <c r="B1233" s="32"/>
    </row>
    <row r="1234" spans="1:2" ht="14.4">
      <c r="A1234" s="32"/>
      <c r="B1234" s="32"/>
    </row>
    <row r="1235" spans="1:2" ht="14.4">
      <c r="A1235" s="32"/>
      <c r="B1235" s="32"/>
    </row>
    <row r="1236" spans="1:2" ht="14.4">
      <c r="A1236" s="32"/>
      <c r="B1236" s="32"/>
    </row>
    <row r="1237" spans="1:2" ht="14.4">
      <c r="A1237" s="32"/>
      <c r="B1237" s="32"/>
    </row>
    <row r="1238" spans="1:2" ht="14.4">
      <c r="A1238" s="32"/>
      <c r="B1238" s="32"/>
    </row>
    <row r="1239" spans="1:2" ht="14.4">
      <c r="A1239" s="32"/>
      <c r="B1239" s="32"/>
    </row>
    <row r="1240" spans="1:2" ht="14.4">
      <c r="A1240" s="32"/>
      <c r="B1240" s="32"/>
    </row>
    <row r="1241" spans="1:2" ht="14.4">
      <c r="A1241" s="32"/>
      <c r="B1241" s="32"/>
    </row>
    <row r="1242" spans="1:2" ht="14.4">
      <c r="A1242" s="32"/>
      <c r="B1242" s="32"/>
    </row>
    <row r="1243" spans="1:2" ht="14.4">
      <c r="A1243" s="32"/>
      <c r="B1243" s="32"/>
    </row>
    <row r="1244" spans="1:2" ht="14.4">
      <c r="A1244" s="32"/>
      <c r="B1244" s="32"/>
    </row>
    <row r="1245" spans="1:2" ht="14.4">
      <c r="A1245" s="32"/>
      <c r="B1245" s="32"/>
    </row>
    <row r="1246" spans="1:2" ht="14.4">
      <c r="A1246" s="32"/>
      <c r="B1246" s="32"/>
    </row>
    <row r="1247" spans="1:2" ht="14.4">
      <c r="A1247" s="32"/>
      <c r="B1247" s="32"/>
    </row>
    <row r="1248" spans="1:2" ht="14.4">
      <c r="A1248" s="32"/>
      <c r="B1248" s="32"/>
    </row>
    <row r="1249" spans="1:2" ht="14.4">
      <c r="A1249" s="32"/>
      <c r="B1249" s="32"/>
    </row>
    <row r="1250" spans="1:2" ht="14.4">
      <c r="A1250" s="32"/>
      <c r="B1250" s="32"/>
    </row>
    <row r="1251" spans="1:2" ht="14.4">
      <c r="A1251" s="32"/>
      <c r="B1251" s="32"/>
    </row>
    <row r="1252" spans="1:2" ht="14.4">
      <c r="A1252" s="32"/>
      <c r="B1252" s="32"/>
    </row>
    <row r="1253" spans="1:2" ht="14.4">
      <c r="A1253" s="32"/>
      <c r="B1253" s="32"/>
    </row>
    <row r="1254" spans="1:2" ht="14.4">
      <c r="A1254" s="32"/>
      <c r="B1254" s="32"/>
    </row>
    <row r="1255" spans="1:2" ht="14.4">
      <c r="A1255" s="32"/>
      <c r="B1255" s="32"/>
    </row>
    <row r="1256" spans="1:2" ht="14.4">
      <c r="A1256" s="32"/>
      <c r="B1256" s="32"/>
    </row>
    <row r="1257" spans="1:2" ht="14.4">
      <c r="A1257" s="32"/>
      <c r="B1257" s="32"/>
    </row>
    <row r="1258" spans="1:2" ht="14.4">
      <c r="A1258" s="32"/>
      <c r="B1258" s="32"/>
    </row>
    <row r="1259" spans="1:2" ht="14.4">
      <c r="A1259" s="32"/>
      <c r="B1259" s="32"/>
    </row>
    <row r="1260" spans="1:2" ht="14.4">
      <c r="A1260" s="32"/>
      <c r="B1260" s="32"/>
    </row>
    <row r="1261" spans="1:2" ht="14.4">
      <c r="A1261" s="32"/>
      <c r="B1261" s="32"/>
    </row>
    <row r="1262" spans="1:2" ht="14.4">
      <c r="A1262" s="32"/>
      <c r="B1262" s="32"/>
    </row>
    <row r="1263" spans="1:2" ht="14.4">
      <c r="A1263" s="32"/>
      <c r="B1263" s="32"/>
    </row>
    <row r="1264" spans="1:2" ht="14.4">
      <c r="A1264" s="32"/>
      <c r="B1264" s="32"/>
    </row>
    <row r="1265" spans="1:2" ht="14.4">
      <c r="A1265" s="32"/>
      <c r="B1265" s="32"/>
    </row>
    <row r="1266" spans="1:2" ht="14.4">
      <c r="A1266" s="32"/>
      <c r="B1266" s="32"/>
    </row>
    <row r="1267" spans="1:2" ht="14.4">
      <c r="A1267" s="32"/>
      <c r="B1267" s="32"/>
    </row>
    <row r="1268" spans="1:2" ht="14.4">
      <c r="A1268" s="32"/>
      <c r="B1268" s="32"/>
    </row>
    <row r="1269" spans="1:2" ht="14.4">
      <c r="A1269" s="32"/>
      <c r="B1269" s="32"/>
    </row>
    <row r="1270" spans="1:2" ht="14.4">
      <c r="A1270" s="32"/>
      <c r="B1270" s="32"/>
    </row>
    <row r="1271" spans="1:2" ht="14.4">
      <c r="A1271" s="32"/>
      <c r="B1271" s="32"/>
    </row>
    <row r="1272" spans="1:2" ht="14.4">
      <c r="A1272" s="32"/>
      <c r="B1272" s="32"/>
    </row>
    <row r="1273" spans="1:2" ht="14.4">
      <c r="A1273" s="32"/>
      <c r="B1273" s="32"/>
    </row>
    <row r="1274" spans="1:2" ht="14.4">
      <c r="A1274" s="32"/>
      <c r="B1274" s="32"/>
    </row>
    <row r="1275" spans="1:2" ht="14.4">
      <c r="A1275" s="32"/>
      <c r="B1275" s="32"/>
    </row>
    <row r="1276" spans="1:2" ht="14.4">
      <c r="A1276" s="32"/>
      <c r="B1276" s="32"/>
    </row>
    <row r="1277" spans="1:2" ht="14.4">
      <c r="A1277" s="32"/>
      <c r="B1277" s="32"/>
    </row>
    <row r="1278" spans="1:2" ht="14.4">
      <c r="A1278" s="32"/>
      <c r="B1278" s="32"/>
    </row>
    <row r="1279" spans="1:2" ht="14.4">
      <c r="A1279" s="32"/>
      <c r="B1279" s="32"/>
    </row>
    <row r="1280" spans="1:2" ht="14.4">
      <c r="A1280" s="32"/>
      <c r="B1280" s="32"/>
    </row>
    <row r="1281" spans="1:2" ht="14.4">
      <c r="A1281" s="32"/>
      <c r="B1281" s="32"/>
    </row>
    <row r="1282" spans="1:2" ht="14.4">
      <c r="A1282" s="32"/>
      <c r="B1282" s="32"/>
    </row>
    <row r="1283" spans="1:2" ht="14.4">
      <c r="A1283" s="32"/>
      <c r="B1283" s="32"/>
    </row>
    <row r="1284" spans="1:2" ht="14.4">
      <c r="A1284" s="32"/>
      <c r="B1284" s="32"/>
    </row>
    <row r="1285" spans="1:2" ht="14.4">
      <c r="A1285" s="32"/>
      <c r="B1285" s="32"/>
    </row>
    <row r="1286" spans="1:2" ht="14.4">
      <c r="A1286" s="32"/>
      <c r="B1286" s="32"/>
    </row>
    <row r="1287" spans="1:2" ht="14.4">
      <c r="A1287" s="32"/>
      <c r="B1287" s="32"/>
    </row>
    <row r="1288" spans="1:2" ht="14.4">
      <c r="A1288" s="32"/>
      <c r="B1288" s="32"/>
    </row>
    <row r="1289" spans="1:2" ht="14.4">
      <c r="A1289" s="32"/>
      <c r="B1289" s="32"/>
    </row>
    <row r="1290" spans="1:2" ht="14.4">
      <c r="A1290" s="32"/>
      <c r="B1290" s="32"/>
    </row>
    <row r="1291" spans="1:2" ht="14.4">
      <c r="A1291" s="32"/>
      <c r="B1291" s="32"/>
    </row>
    <row r="1292" spans="1:2" ht="14.4">
      <c r="A1292" s="32"/>
      <c r="B1292" s="32"/>
    </row>
    <row r="1293" spans="1:2" ht="14.4">
      <c r="A1293" s="32"/>
      <c r="B1293" s="32"/>
    </row>
    <row r="1294" spans="1:2" ht="14.4">
      <c r="A1294" s="32"/>
      <c r="B1294" s="32"/>
    </row>
    <row r="1295" spans="1:2" ht="14.4">
      <c r="A1295" s="32"/>
      <c r="B1295" s="32"/>
    </row>
    <row r="1296" spans="1:2" ht="14.4">
      <c r="A1296" s="32"/>
      <c r="B1296" s="32"/>
    </row>
    <row r="1297" spans="1:2" ht="14.4">
      <c r="A1297" s="32"/>
      <c r="B1297" s="32"/>
    </row>
    <row r="1298" spans="1:2" ht="14.4">
      <c r="A1298" s="32"/>
      <c r="B1298" s="32"/>
    </row>
    <row r="1299" spans="1:2" ht="14.4">
      <c r="A1299" s="32"/>
      <c r="B1299" s="32"/>
    </row>
    <row r="1300" spans="1:2" ht="14.4">
      <c r="A1300" s="32"/>
      <c r="B1300" s="32"/>
    </row>
    <row r="1301" spans="1:2" ht="14.4">
      <c r="A1301" s="32"/>
      <c r="B1301" s="32"/>
    </row>
    <row r="1302" spans="1:2" ht="14.4">
      <c r="A1302" s="32"/>
      <c r="B1302" s="32"/>
    </row>
    <row r="1303" spans="1:2" ht="14.4">
      <c r="A1303" s="32"/>
      <c r="B1303" s="32"/>
    </row>
    <row r="1304" spans="1:2" ht="14.4">
      <c r="A1304" s="32"/>
      <c r="B1304" s="32"/>
    </row>
    <row r="1305" spans="1:2" ht="14.4">
      <c r="A1305" s="32"/>
      <c r="B1305" s="32"/>
    </row>
    <row r="1306" spans="1:2" ht="14.4">
      <c r="A1306" s="32"/>
      <c r="B1306" s="32"/>
    </row>
    <row r="1307" spans="1:2" ht="14.4">
      <c r="A1307" s="32"/>
      <c r="B1307" s="32"/>
    </row>
    <row r="1308" spans="1:2" ht="14.4">
      <c r="A1308" s="32"/>
      <c r="B1308" s="32"/>
    </row>
    <row r="1309" spans="1:2" ht="14.4">
      <c r="A1309" s="32"/>
      <c r="B1309" s="32"/>
    </row>
    <row r="1310" spans="1:2" ht="14.4">
      <c r="A1310" s="32"/>
      <c r="B1310" s="32"/>
    </row>
    <row r="1311" spans="1:2" ht="14.4">
      <c r="A1311" s="32"/>
      <c r="B1311" s="32"/>
    </row>
    <row r="1312" spans="1:2" ht="14.4">
      <c r="A1312" s="32"/>
      <c r="B1312" s="32"/>
    </row>
    <row r="1313" spans="1:2" ht="14.4">
      <c r="A1313" s="32"/>
      <c r="B1313" s="32"/>
    </row>
    <row r="1314" spans="1:2" ht="14.4">
      <c r="A1314" s="32"/>
      <c r="B1314" s="32"/>
    </row>
    <row r="1315" spans="1:2" ht="14.4">
      <c r="A1315" s="32"/>
      <c r="B1315" s="32"/>
    </row>
    <row r="1316" spans="1:2" ht="14.4">
      <c r="A1316" s="32"/>
      <c r="B1316" s="32"/>
    </row>
    <row r="1317" spans="1:2" ht="14.4">
      <c r="A1317" s="32"/>
      <c r="B1317" s="32"/>
    </row>
    <row r="1318" spans="1:2" ht="14.4">
      <c r="A1318" s="32"/>
      <c r="B1318" s="32"/>
    </row>
    <row r="1319" spans="1:2" ht="14.4">
      <c r="A1319" s="32"/>
      <c r="B1319" s="32"/>
    </row>
    <row r="1320" spans="1:2" ht="14.4">
      <c r="A1320" s="32"/>
      <c r="B1320" s="32"/>
    </row>
    <row r="1321" spans="1:2" ht="14.4">
      <c r="A1321" s="32"/>
      <c r="B1321" s="32"/>
    </row>
    <row r="1322" spans="1:2" ht="14.4">
      <c r="A1322" s="32"/>
      <c r="B1322" s="32"/>
    </row>
    <row r="1323" spans="1:2" ht="14.4">
      <c r="A1323" s="32"/>
      <c r="B1323" s="32"/>
    </row>
    <row r="1324" spans="1:2" ht="14.4">
      <c r="A1324" s="32"/>
      <c r="B1324" s="32"/>
    </row>
    <row r="1325" spans="1:2" ht="14.4">
      <c r="A1325" s="32"/>
      <c r="B1325" s="32"/>
    </row>
    <row r="1326" spans="1:2" ht="14.4">
      <c r="A1326" s="32"/>
      <c r="B1326" s="32"/>
    </row>
    <row r="1327" spans="1:2" ht="14.4">
      <c r="A1327" s="32"/>
      <c r="B1327" s="32"/>
    </row>
    <row r="1328" spans="1:2" ht="14.4">
      <c r="A1328" s="32"/>
      <c r="B1328" s="32"/>
    </row>
    <row r="1329" spans="1:2" ht="14.4">
      <c r="A1329" s="32"/>
      <c r="B1329" s="32"/>
    </row>
    <row r="1330" spans="1:2" ht="14.4">
      <c r="A1330" s="32"/>
      <c r="B1330" s="32"/>
    </row>
    <row r="1331" spans="1:2" ht="14.4">
      <c r="A1331" s="32"/>
      <c r="B1331" s="32"/>
    </row>
    <row r="1332" spans="1:2" ht="14.4">
      <c r="A1332" s="32"/>
      <c r="B1332" s="32"/>
    </row>
    <row r="1333" spans="1:2" ht="14.4">
      <c r="A1333" s="32"/>
      <c r="B1333" s="32"/>
    </row>
    <row r="1334" spans="1:2" ht="14.4">
      <c r="A1334" s="32"/>
      <c r="B1334" s="32"/>
    </row>
    <row r="1335" spans="1:2" ht="14.4">
      <c r="A1335" s="32"/>
      <c r="B1335" s="32"/>
    </row>
    <row r="1336" spans="1:2" ht="14.4">
      <c r="A1336" s="32"/>
      <c r="B1336" s="32"/>
    </row>
    <row r="1337" spans="1:2" ht="14.4">
      <c r="A1337" s="32"/>
      <c r="B1337" s="32"/>
    </row>
    <row r="1338" spans="1:2" ht="14.4">
      <c r="A1338" s="32"/>
      <c r="B1338" s="32"/>
    </row>
    <row r="1339" spans="1:2" ht="14.4">
      <c r="A1339" s="32"/>
      <c r="B1339" s="32"/>
    </row>
    <row r="1340" spans="1:2" ht="14.4">
      <c r="A1340" s="32"/>
      <c r="B1340" s="32"/>
    </row>
    <row r="1341" spans="1:2" ht="14.4">
      <c r="A1341" s="32"/>
      <c r="B1341" s="32"/>
    </row>
    <row r="1342" spans="1:2" ht="14.4">
      <c r="A1342" s="32"/>
      <c r="B1342" s="32"/>
    </row>
    <row r="1343" spans="1:2" ht="14.4">
      <c r="A1343" s="32"/>
      <c r="B1343" s="32"/>
    </row>
    <row r="1344" spans="1:2" ht="14.4">
      <c r="A1344" s="32"/>
      <c r="B1344" s="32"/>
    </row>
    <row r="1345" spans="1:2" ht="14.4">
      <c r="A1345" s="32"/>
      <c r="B1345" s="32"/>
    </row>
    <row r="1346" spans="1:2" ht="14.4">
      <c r="A1346" s="32"/>
      <c r="B1346" s="32"/>
    </row>
    <row r="1347" spans="1:2" ht="14.4">
      <c r="A1347" s="32"/>
      <c r="B1347" s="32"/>
    </row>
    <row r="1348" spans="1:2" ht="14.4">
      <c r="A1348" s="32"/>
      <c r="B1348" s="32"/>
    </row>
    <row r="1349" spans="1:2" ht="14.4">
      <c r="A1349" s="32"/>
      <c r="B1349" s="32"/>
    </row>
    <row r="1350" spans="1:2" ht="14.4">
      <c r="A1350" s="32"/>
      <c r="B1350" s="32"/>
    </row>
    <row r="1351" spans="1:2" ht="14.4">
      <c r="A1351" s="32"/>
      <c r="B1351" s="32"/>
    </row>
    <row r="1352" spans="1:2" ht="14.4">
      <c r="A1352" s="32"/>
      <c r="B1352" s="32"/>
    </row>
    <row r="1353" spans="1:2" ht="14.4">
      <c r="A1353" s="32"/>
      <c r="B1353" s="32"/>
    </row>
    <row r="1354" spans="1:2" ht="14.4">
      <c r="A1354" s="32"/>
      <c r="B1354" s="32"/>
    </row>
    <row r="1355" spans="1:2" ht="14.4">
      <c r="A1355" s="32"/>
      <c r="B1355" s="32"/>
    </row>
    <row r="1356" spans="1:2" ht="14.4">
      <c r="A1356" s="32"/>
      <c r="B1356" s="32"/>
    </row>
    <row r="1357" spans="1:2" ht="14.4">
      <c r="A1357" s="32"/>
      <c r="B1357" s="32"/>
    </row>
    <row r="1358" spans="1:2" ht="14.4">
      <c r="A1358" s="32"/>
      <c r="B1358" s="32"/>
    </row>
    <row r="1359" spans="1:2" ht="14.4">
      <c r="A1359" s="32"/>
      <c r="B1359" s="32"/>
    </row>
    <row r="1360" spans="1:2" ht="14.4">
      <c r="A1360" s="32"/>
      <c r="B1360" s="32"/>
    </row>
    <row r="1361" spans="1:2" ht="14.4">
      <c r="A1361" s="32"/>
      <c r="B1361" s="32"/>
    </row>
    <row r="1362" spans="1:2" ht="14.4">
      <c r="A1362" s="32"/>
      <c r="B1362" s="32"/>
    </row>
    <row r="1363" spans="1:2" ht="14.4">
      <c r="A1363" s="32"/>
      <c r="B1363" s="32"/>
    </row>
    <row r="1364" spans="1:2" ht="14.4">
      <c r="A1364" s="32"/>
      <c r="B1364" s="32"/>
    </row>
    <row r="1365" spans="1:2" ht="14.4">
      <c r="A1365" s="32"/>
      <c r="B1365" s="32"/>
    </row>
    <row r="1366" spans="1:2" ht="14.4">
      <c r="A1366" s="32"/>
      <c r="B1366" s="32"/>
    </row>
    <row r="1367" spans="1:2" ht="14.4">
      <c r="A1367" s="32"/>
      <c r="B1367" s="32"/>
    </row>
    <row r="1368" spans="1:2" ht="14.4">
      <c r="A1368" s="32"/>
      <c r="B1368" s="32"/>
    </row>
    <row r="1369" spans="1:2" ht="14.4">
      <c r="A1369" s="32"/>
      <c r="B1369" s="32"/>
    </row>
    <row r="1370" spans="1:2" ht="14.4">
      <c r="A1370" s="32"/>
      <c r="B1370" s="32"/>
    </row>
    <row r="1371" spans="1:2" ht="14.4">
      <c r="A1371" s="32"/>
      <c r="B1371" s="32"/>
    </row>
    <row r="1372" spans="1:2" ht="14.4">
      <c r="A1372" s="32"/>
      <c r="B1372" s="32"/>
    </row>
    <row r="1373" spans="1:2" ht="14.4">
      <c r="A1373" s="32"/>
      <c r="B1373" s="32"/>
    </row>
    <row r="1374" spans="1:2" ht="14.4">
      <c r="A1374" s="32"/>
      <c r="B1374" s="32"/>
    </row>
    <row r="1375" spans="1:2" ht="14.4">
      <c r="A1375" s="32"/>
      <c r="B1375" s="32"/>
    </row>
    <row r="1376" spans="1:2" ht="14.4">
      <c r="A1376" s="32"/>
      <c r="B1376" s="32"/>
    </row>
    <row r="1377" spans="1:2" ht="14.4">
      <c r="A1377" s="32"/>
      <c r="B1377" s="32"/>
    </row>
    <row r="1378" spans="1:2" ht="14.4">
      <c r="A1378" s="32"/>
      <c r="B1378" s="32"/>
    </row>
    <row r="1379" spans="1:2" ht="14.4">
      <c r="A1379" s="32"/>
      <c r="B1379" s="32"/>
    </row>
    <row r="1380" spans="1:2" ht="14.4">
      <c r="A1380" s="32"/>
      <c r="B1380" s="32"/>
    </row>
    <row r="1381" spans="1:2" ht="14.4">
      <c r="A1381" s="32"/>
      <c r="B1381" s="32"/>
    </row>
    <row r="1382" spans="1:2" ht="14.4">
      <c r="A1382" s="32"/>
      <c r="B1382" s="32"/>
    </row>
    <row r="1383" spans="1:2" ht="14.4">
      <c r="A1383" s="32"/>
      <c r="B1383" s="32"/>
    </row>
    <row r="1384" spans="1:2" ht="14.4">
      <c r="A1384" s="32"/>
      <c r="B1384" s="32"/>
    </row>
    <row r="1385" spans="1:2" ht="14.4">
      <c r="A1385" s="32"/>
      <c r="B1385" s="32"/>
    </row>
    <row r="1386" spans="1:2" ht="14.4">
      <c r="A1386" s="32"/>
      <c r="B1386" s="32"/>
    </row>
    <row r="1387" spans="1:2" ht="14.4">
      <c r="A1387" s="32"/>
      <c r="B1387" s="32"/>
    </row>
    <row r="1388" spans="1:2" ht="14.4">
      <c r="A1388" s="32"/>
      <c r="B1388" s="32"/>
    </row>
    <row r="1389" spans="1:2" ht="14.4">
      <c r="A1389" s="32"/>
      <c r="B1389" s="32"/>
    </row>
    <row r="1390" spans="1:2" ht="14.4">
      <c r="A1390" s="32"/>
      <c r="B1390" s="32"/>
    </row>
    <row r="1391" spans="1:2" ht="14.4">
      <c r="A1391" s="32"/>
      <c r="B1391" s="32"/>
    </row>
    <row r="1392" spans="1:2" ht="14.4">
      <c r="A1392" s="32"/>
      <c r="B1392" s="32"/>
    </row>
    <row r="1393" spans="1:2" ht="14.4">
      <c r="A1393" s="32"/>
      <c r="B1393" s="32"/>
    </row>
    <row r="1394" spans="1:2" ht="14.4">
      <c r="A1394" s="32"/>
      <c r="B1394" s="32"/>
    </row>
    <row r="1395" spans="1:2" ht="14.4">
      <c r="A1395" s="32"/>
      <c r="B1395" s="32"/>
    </row>
    <row r="1396" spans="1:2" ht="14.4">
      <c r="A1396" s="32"/>
      <c r="B1396" s="32"/>
    </row>
    <row r="1397" spans="1:2" ht="14.4">
      <c r="A1397" s="32"/>
      <c r="B1397" s="32"/>
    </row>
    <row r="1398" spans="1:2" ht="14.4">
      <c r="A1398" s="32"/>
      <c r="B1398" s="32"/>
    </row>
    <row r="1399" spans="1:2" ht="14.4">
      <c r="A1399" s="32"/>
      <c r="B1399" s="32"/>
    </row>
    <row r="1400" spans="1:2" ht="14.4">
      <c r="A1400" s="32"/>
      <c r="B1400" s="32"/>
    </row>
    <row r="1401" spans="1:2" ht="14.4">
      <c r="A1401" s="32"/>
      <c r="B1401" s="32"/>
    </row>
    <row r="1402" spans="1:2" ht="14.4">
      <c r="A1402" s="32"/>
      <c r="B1402" s="32"/>
    </row>
    <row r="1403" spans="1:2" ht="14.4">
      <c r="A1403" s="32"/>
      <c r="B1403" s="32"/>
    </row>
    <row r="1404" spans="1:2" ht="14.4">
      <c r="A1404" s="32"/>
      <c r="B1404" s="32"/>
    </row>
    <row r="1405" spans="1:2" ht="14.4">
      <c r="A1405" s="32"/>
      <c r="B1405" s="32"/>
    </row>
    <row r="1406" spans="1:2" ht="14.4">
      <c r="A1406" s="32"/>
      <c r="B1406" s="32"/>
    </row>
    <row r="1407" spans="1:2" ht="14.4">
      <c r="A1407" s="32"/>
      <c r="B1407" s="32"/>
    </row>
    <row r="1408" spans="1:2" ht="14.4">
      <c r="A1408" s="32"/>
      <c r="B1408" s="32"/>
    </row>
    <row r="1409" spans="1:2" ht="14.4">
      <c r="A1409" s="32"/>
      <c r="B1409" s="32"/>
    </row>
    <row r="1410" spans="1:2" ht="14.4">
      <c r="A1410" s="32"/>
      <c r="B1410" s="32"/>
    </row>
    <row r="1411" spans="1:2" ht="14.4">
      <c r="A1411" s="32"/>
      <c r="B1411" s="32"/>
    </row>
    <row r="1412" spans="1:2" ht="14.4">
      <c r="A1412" s="32"/>
      <c r="B1412" s="32"/>
    </row>
    <row r="1413" spans="1:2" ht="14.4">
      <c r="A1413" s="32"/>
      <c r="B1413" s="32"/>
    </row>
    <row r="1414" spans="1:2" ht="14.4">
      <c r="A1414" s="32"/>
      <c r="B1414" s="32"/>
    </row>
    <row r="1415" spans="1:2" ht="14.4">
      <c r="A1415" s="32"/>
      <c r="B1415" s="32"/>
    </row>
    <row r="1416" spans="1:2" ht="14.4">
      <c r="A1416" s="32"/>
      <c r="B1416" s="32"/>
    </row>
    <row r="1417" spans="1:2" ht="14.4">
      <c r="A1417" s="32"/>
      <c r="B1417" s="32"/>
    </row>
    <row r="1418" spans="1:2" ht="14.4">
      <c r="A1418" s="32"/>
      <c r="B1418" s="32"/>
    </row>
    <row r="1419" spans="1:2" ht="14.4">
      <c r="A1419" s="32"/>
      <c r="B1419" s="32"/>
    </row>
    <row r="1420" spans="1:2" ht="14.4">
      <c r="A1420" s="32"/>
      <c r="B1420" s="32"/>
    </row>
    <row r="1421" spans="1:2" ht="14.4">
      <c r="A1421" s="32"/>
      <c r="B1421" s="32"/>
    </row>
    <row r="1422" spans="1:2" ht="14.4">
      <c r="A1422" s="32"/>
      <c r="B1422" s="32"/>
    </row>
    <row r="1423" spans="1:2" ht="14.4">
      <c r="A1423" s="32"/>
      <c r="B1423" s="32"/>
    </row>
    <row r="1424" spans="1:2" ht="14.4">
      <c r="A1424" s="32"/>
      <c r="B1424" s="32"/>
    </row>
    <row r="1425" spans="1:2" ht="14.4">
      <c r="A1425" s="32"/>
      <c r="B1425" s="32"/>
    </row>
    <row r="1426" spans="1:2" ht="14.4">
      <c r="A1426" s="32"/>
      <c r="B1426" s="32"/>
    </row>
    <row r="1427" spans="1:2" ht="14.4">
      <c r="A1427" s="32"/>
      <c r="B1427" s="32"/>
    </row>
    <row r="1428" spans="1:2" ht="14.4">
      <c r="A1428" s="32"/>
      <c r="B1428" s="32"/>
    </row>
    <row r="1429" spans="1:2" ht="14.4">
      <c r="A1429" s="32"/>
      <c r="B1429" s="32"/>
    </row>
    <row r="1430" spans="1:2" ht="14.4">
      <c r="A1430" s="32"/>
      <c r="B1430" s="32"/>
    </row>
    <row r="1431" spans="1:2" ht="14.4">
      <c r="A1431" s="32"/>
      <c r="B1431" s="32"/>
    </row>
    <row r="1432" spans="1:2" ht="14.4">
      <c r="A1432" s="32"/>
      <c r="B1432" s="32"/>
    </row>
    <row r="1433" spans="1:2" ht="14.4">
      <c r="A1433" s="32"/>
      <c r="B1433" s="32"/>
    </row>
    <row r="1434" spans="1:2" ht="14.4">
      <c r="A1434" s="32"/>
      <c r="B1434" s="32"/>
    </row>
    <row r="1435" spans="1:2" ht="14.4">
      <c r="A1435" s="32"/>
      <c r="B1435" s="32"/>
    </row>
    <row r="1436" spans="1:2" ht="14.4">
      <c r="A1436" s="32"/>
      <c r="B1436" s="32"/>
    </row>
    <row r="1437" spans="1:2" ht="14.4">
      <c r="A1437" s="32"/>
      <c r="B1437" s="32"/>
    </row>
    <row r="1438" spans="1:2" ht="14.4">
      <c r="A1438" s="32"/>
      <c r="B1438" s="32"/>
    </row>
    <row r="1439" spans="1:2" ht="14.4">
      <c r="A1439" s="32"/>
      <c r="B1439" s="32"/>
    </row>
    <row r="1440" spans="1:2" ht="14.4">
      <c r="A1440" s="32"/>
      <c r="B1440" s="32"/>
    </row>
    <row r="1441" spans="1:2" ht="14.4">
      <c r="A1441" s="32"/>
      <c r="B1441" s="32"/>
    </row>
    <row r="1442" spans="1:2" ht="14.4">
      <c r="A1442" s="32"/>
      <c r="B1442" s="32"/>
    </row>
    <row r="1443" spans="1:2" ht="14.4">
      <c r="A1443" s="32"/>
      <c r="B1443" s="32"/>
    </row>
    <row r="1444" spans="1:2" ht="14.4">
      <c r="A1444" s="32"/>
      <c r="B1444" s="32"/>
    </row>
    <row r="1445" spans="1:2" ht="14.4">
      <c r="A1445" s="32"/>
      <c r="B1445" s="32"/>
    </row>
    <row r="1446" spans="1:2" ht="14.4">
      <c r="A1446" s="32"/>
      <c r="B1446" s="32"/>
    </row>
    <row r="1447" spans="1:2" ht="14.4">
      <c r="A1447" s="32"/>
      <c r="B1447" s="32"/>
    </row>
    <row r="1448" spans="1:2" ht="14.4">
      <c r="A1448" s="32"/>
      <c r="B1448" s="32"/>
    </row>
    <row r="1449" spans="1:2" ht="14.4">
      <c r="A1449" s="32"/>
      <c r="B1449" s="32"/>
    </row>
    <row r="1450" spans="1:2" ht="14.4">
      <c r="A1450" s="32"/>
      <c r="B1450" s="32"/>
    </row>
    <row r="1451" spans="1:2" ht="14.4">
      <c r="A1451" s="32"/>
      <c r="B1451" s="32"/>
    </row>
    <row r="1452" spans="1:2" ht="14.4">
      <c r="A1452" s="32"/>
      <c r="B1452" s="32"/>
    </row>
    <row r="1453" spans="1:2" ht="14.4">
      <c r="A1453" s="32"/>
      <c r="B1453" s="32"/>
    </row>
    <row r="1454" spans="1:2" ht="14.4">
      <c r="A1454" s="32"/>
      <c r="B1454" s="32"/>
    </row>
    <row r="1455" spans="1:2" ht="14.4">
      <c r="A1455" s="32"/>
      <c r="B1455" s="32"/>
    </row>
    <row r="1456" spans="1:2" ht="14.4">
      <c r="A1456" s="32"/>
      <c r="B1456" s="32"/>
    </row>
    <row r="1457" spans="1:2" ht="14.4">
      <c r="A1457" s="32"/>
      <c r="B1457" s="32"/>
    </row>
    <row r="1458" spans="1:2" ht="14.4">
      <c r="A1458" s="32"/>
      <c r="B1458" s="32"/>
    </row>
    <row r="1459" spans="1:2" ht="14.4">
      <c r="A1459" s="32"/>
      <c r="B1459" s="32"/>
    </row>
    <row r="1460" spans="1:2" ht="14.4">
      <c r="A1460" s="32"/>
      <c r="B1460" s="32"/>
    </row>
    <row r="1461" spans="1:2" ht="14.4">
      <c r="A1461" s="32"/>
      <c r="B1461" s="32"/>
    </row>
    <row r="1462" spans="1:2" ht="14.4">
      <c r="A1462" s="32"/>
      <c r="B1462" s="32"/>
    </row>
    <row r="1463" spans="1:2" ht="14.4">
      <c r="A1463" s="32"/>
      <c r="B1463" s="32"/>
    </row>
    <row r="1464" spans="1:2" ht="14.4">
      <c r="A1464" s="32"/>
      <c r="B1464" s="32"/>
    </row>
    <row r="1465" spans="1:2" ht="14.4">
      <c r="A1465" s="32"/>
      <c r="B1465" s="32"/>
    </row>
    <row r="1466" spans="1:2" ht="14.4">
      <c r="A1466" s="32"/>
      <c r="B1466" s="32"/>
    </row>
    <row r="1467" spans="1:2" ht="14.4">
      <c r="A1467" s="32"/>
      <c r="B1467" s="32"/>
    </row>
    <row r="1468" spans="1:2" ht="14.4">
      <c r="A1468" s="32"/>
      <c r="B1468" s="32"/>
    </row>
    <row r="1469" spans="1:2" ht="14.4">
      <c r="A1469" s="32"/>
      <c r="B1469" s="32"/>
    </row>
    <row r="1470" spans="1:2" ht="14.4">
      <c r="A1470" s="32"/>
      <c r="B1470" s="32"/>
    </row>
    <row r="1471" spans="1:2" ht="14.4">
      <c r="A1471" s="32"/>
      <c r="B1471" s="32"/>
    </row>
    <row r="1472" spans="1:2" ht="14.4">
      <c r="A1472" s="32"/>
      <c r="B1472" s="32"/>
    </row>
    <row r="1473" spans="1:2" ht="14.4">
      <c r="A1473" s="32"/>
      <c r="B1473" s="32"/>
    </row>
    <row r="1474" spans="1:2" ht="14.4">
      <c r="A1474" s="32"/>
      <c r="B1474" s="32"/>
    </row>
    <row r="1475" spans="1:2" ht="14.4">
      <c r="A1475" s="32"/>
      <c r="B1475" s="32"/>
    </row>
    <row r="1476" spans="1:2" ht="14.4">
      <c r="A1476" s="32"/>
      <c r="B1476" s="32"/>
    </row>
    <row r="1477" spans="1:2" ht="14.4">
      <c r="A1477" s="32"/>
      <c r="B1477" s="32"/>
    </row>
    <row r="1478" spans="1:2" ht="14.4">
      <c r="A1478" s="32"/>
      <c r="B1478" s="32"/>
    </row>
    <row r="1479" spans="1:2" ht="14.4">
      <c r="A1479" s="32"/>
      <c r="B1479" s="32"/>
    </row>
    <row r="1480" spans="1:2" ht="14.4">
      <c r="A1480" s="32"/>
      <c r="B1480" s="32"/>
    </row>
    <row r="1481" spans="1:2" ht="14.4">
      <c r="A1481" s="32"/>
      <c r="B1481" s="32"/>
    </row>
    <row r="1482" spans="1:2" ht="14.4">
      <c r="A1482" s="32"/>
      <c r="B1482" s="32"/>
    </row>
    <row r="1483" spans="1:2" ht="14.4">
      <c r="A1483" s="32"/>
      <c r="B1483" s="32"/>
    </row>
    <row r="1484" spans="1:2" ht="14.4">
      <c r="A1484" s="32"/>
      <c r="B1484" s="32"/>
    </row>
    <row r="1485" spans="1:2" ht="14.4">
      <c r="A1485" s="32"/>
      <c r="B1485" s="32"/>
    </row>
    <row r="1486" spans="1:2" ht="14.4">
      <c r="A1486" s="32"/>
      <c r="B1486" s="32"/>
    </row>
    <row r="1487" spans="1:2" ht="14.4">
      <c r="A1487" s="32"/>
      <c r="B1487" s="32"/>
    </row>
    <row r="1488" spans="1:2" ht="14.4">
      <c r="A1488" s="32"/>
      <c r="B1488" s="32"/>
    </row>
    <row r="1489" spans="1:2" ht="14.4">
      <c r="A1489" s="32"/>
      <c r="B1489" s="32"/>
    </row>
    <row r="1490" spans="1:2" ht="14.4">
      <c r="A1490" s="32"/>
      <c r="B1490" s="32"/>
    </row>
    <row r="1491" spans="1:2" ht="14.4">
      <c r="A1491" s="32"/>
      <c r="B1491" s="32"/>
    </row>
    <row r="1492" spans="1:2" ht="14.4">
      <c r="A1492" s="32"/>
      <c r="B1492" s="32"/>
    </row>
    <row r="1493" spans="1:2" ht="14.4">
      <c r="A1493" s="32"/>
      <c r="B1493" s="32"/>
    </row>
    <row r="1494" spans="1:2" ht="14.4">
      <c r="A1494" s="32"/>
      <c r="B1494" s="32"/>
    </row>
    <row r="1495" spans="1:2" ht="14.4">
      <c r="A1495" s="32"/>
      <c r="B1495" s="32"/>
    </row>
    <row r="1496" spans="1:2" ht="14.4">
      <c r="A1496" s="32"/>
      <c r="B1496" s="32"/>
    </row>
    <row r="1497" spans="1:2" ht="14.4">
      <c r="A1497" s="32"/>
      <c r="B1497" s="32"/>
    </row>
    <row r="1498" spans="1:2" ht="14.4">
      <c r="A1498" s="32"/>
      <c r="B1498" s="32"/>
    </row>
    <row r="1499" spans="1:2" ht="14.4">
      <c r="A1499" s="32"/>
      <c r="B1499" s="32"/>
    </row>
    <row r="1500" spans="1:2" ht="14.4">
      <c r="A1500" s="32"/>
      <c r="B1500" s="32"/>
    </row>
    <row r="1501" spans="1:2" ht="14.4">
      <c r="A1501" s="32"/>
      <c r="B1501" s="32"/>
    </row>
    <row r="1502" spans="1:2" ht="14.4">
      <c r="A1502" s="32"/>
      <c r="B1502" s="32"/>
    </row>
    <row r="1503" spans="1:2" ht="14.4">
      <c r="A1503" s="32"/>
      <c r="B1503" s="32"/>
    </row>
    <row r="1504" spans="1:2" ht="14.4">
      <c r="A1504" s="32"/>
      <c r="B1504" s="32"/>
    </row>
    <row r="1505" spans="1:2" ht="14.4">
      <c r="A1505" s="32"/>
      <c r="B1505" s="32"/>
    </row>
    <row r="1506" spans="1:2" ht="14.4">
      <c r="A1506" s="32"/>
      <c r="B1506" s="32"/>
    </row>
    <row r="1507" spans="1:2" ht="14.4">
      <c r="A1507" s="32"/>
      <c r="B1507" s="32"/>
    </row>
    <row r="1508" spans="1:2" ht="14.4">
      <c r="A1508" s="32"/>
      <c r="B1508" s="32"/>
    </row>
    <row r="1509" spans="1:2" ht="14.4">
      <c r="A1509" s="32"/>
      <c r="B1509" s="32"/>
    </row>
    <row r="1510" spans="1:2" ht="14.4">
      <c r="A1510" s="32"/>
      <c r="B1510" s="32"/>
    </row>
    <row r="1511" spans="1:2" ht="14.4">
      <c r="A1511" s="32"/>
      <c r="B1511" s="32"/>
    </row>
    <row r="1512" spans="1:2" ht="14.4">
      <c r="A1512" s="32"/>
      <c r="B1512" s="32"/>
    </row>
    <row r="1513" spans="1:2" ht="14.4">
      <c r="A1513" s="32"/>
      <c r="B1513" s="32"/>
    </row>
    <row r="1514" spans="1:2" ht="14.4">
      <c r="A1514" s="32"/>
      <c r="B1514" s="32"/>
    </row>
    <row r="1515" spans="1:2" ht="14.4">
      <c r="A1515" s="32"/>
      <c r="B1515" s="32"/>
    </row>
    <row r="1516" spans="1:2" ht="14.4">
      <c r="A1516" s="32"/>
      <c r="B1516" s="32"/>
    </row>
    <row r="1517" spans="1:2" ht="14.4">
      <c r="A1517" s="32"/>
      <c r="B1517" s="32"/>
    </row>
    <row r="1518" spans="1:2" ht="14.4">
      <c r="A1518" s="32"/>
      <c r="B1518" s="32"/>
    </row>
    <row r="1519" spans="1:2" ht="14.4">
      <c r="A1519" s="32"/>
      <c r="B1519" s="32"/>
    </row>
    <row r="1520" spans="1:2" ht="14.4">
      <c r="A1520" s="32"/>
      <c r="B1520" s="32"/>
    </row>
    <row r="1521" spans="1:2" ht="14.4">
      <c r="A1521" s="32"/>
      <c r="B1521" s="32"/>
    </row>
    <row r="1522" spans="1:2" ht="14.4">
      <c r="A1522" s="32"/>
      <c r="B1522" s="32"/>
    </row>
    <row r="1523" spans="1:2" ht="14.4">
      <c r="A1523" s="32"/>
      <c r="B1523" s="32"/>
    </row>
    <row r="1524" spans="1:2" ht="14.4">
      <c r="A1524" s="32"/>
      <c r="B1524" s="32"/>
    </row>
    <row r="1525" spans="1:2" ht="14.4">
      <c r="A1525" s="32"/>
      <c r="B1525" s="32"/>
    </row>
    <row r="1526" spans="1:2" ht="14.4">
      <c r="A1526" s="32"/>
      <c r="B1526" s="32"/>
    </row>
    <row r="1527" spans="1:2" ht="14.4">
      <c r="A1527" s="32"/>
      <c r="B1527" s="32"/>
    </row>
    <row r="1528" spans="1:2" ht="14.4">
      <c r="A1528" s="32"/>
      <c r="B1528" s="32"/>
    </row>
    <row r="1529" spans="1:2" ht="14.4">
      <c r="A1529" s="32"/>
      <c r="B1529" s="32"/>
    </row>
    <row r="1530" spans="1:2" ht="14.4">
      <c r="A1530" s="32"/>
      <c r="B1530" s="32"/>
    </row>
    <row r="1531" spans="1:2" ht="14.4">
      <c r="A1531" s="32"/>
      <c r="B1531" s="32"/>
    </row>
    <row r="1532" spans="1:2" ht="14.4">
      <c r="A1532" s="32"/>
      <c r="B1532" s="32"/>
    </row>
    <row r="1533" spans="1:2" ht="14.4">
      <c r="A1533" s="32"/>
      <c r="B1533" s="32"/>
    </row>
    <row r="1534" spans="1:2" ht="14.4">
      <c r="A1534" s="32"/>
      <c r="B1534" s="32"/>
    </row>
    <row r="1535" spans="1:2" ht="14.4">
      <c r="A1535" s="32"/>
      <c r="B1535" s="32"/>
    </row>
    <row r="1536" spans="1:2" ht="14.4">
      <c r="A1536" s="32"/>
      <c r="B1536" s="32"/>
    </row>
    <row r="1537" spans="1:2" ht="14.4">
      <c r="A1537" s="32"/>
      <c r="B1537" s="32"/>
    </row>
    <row r="1538" spans="1:2" ht="14.4">
      <c r="A1538" s="32"/>
      <c r="B1538" s="32"/>
    </row>
    <row r="1539" spans="1:2" ht="14.4">
      <c r="A1539" s="32"/>
      <c r="B1539" s="32"/>
    </row>
    <row r="1540" spans="1:2" ht="14.4">
      <c r="A1540" s="32"/>
      <c r="B1540" s="32"/>
    </row>
    <row r="1541" spans="1:2" ht="14.4">
      <c r="A1541" s="32"/>
      <c r="B1541" s="32"/>
    </row>
    <row r="1542" spans="1:2" ht="14.4">
      <c r="A1542" s="32"/>
      <c r="B1542" s="32"/>
    </row>
    <row r="1543" spans="1:2" ht="14.4">
      <c r="A1543" s="32"/>
      <c r="B1543" s="32"/>
    </row>
    <row r="1544" spans="1:2" ht="14.4">
      <c r="A1544" s="32"/>
      <c r="B1544" s="32"/>
    </row>
    <row r="1545" spans="1:2" ht="14.4">
      <c r="A1545" s="32"/>
      <c r="B1545" s="32"/>
    </row>
    <row r="1546" spans="1:2" ht="14.4">
      <c r="A1546" s="32"/>
      <c r="B1546" s="32"/>
    </row>
    <row r="1547" spans="1:2" ht="14.4">
      <c r="A1547" s="32"/>
      <c r="B1547" s="32"/>
    </row>
    <row r="1548" spans="1:2" ht="14.4">
      <c r="A1548" s="32"/>
      <c r="B1548" s="32"/>
    </row>
    <row r="1549" spans="1:2" ht="14.4">
      <c r="A1549" s="32"/>
      <c r="B1549" s="32"/>
    </row>
    <row r="1550" spans="1:2" ht="14.4">
      <c r="A1550" s="32"/>
      <c r="B1550" s="32"/>
    </row>
    <row r="1551" spans="1:2" ht="14.4">
      <c r="A1551" s="32"/>
      <c r="B1551" s="32"/>
    </row>
    <row r="1552" spans="1:2" ht="14.4">
      <c r="A1552" s="32"/>
      <c r="B1552" s="32"/>
    </row>
    <row r="1553" spans="1:2" ht="14.4">
      <c r="A1553" s="32"/>
      <c r="B1553" s="32"/>
    </row>
    <row r="1554" spans="1:2" ht="14.4">
      <c r="A1554" s="32"/>
      <c r="B1554" s="32"/>
    </row>
    <row r="1555" spans="1:2" ht="14.4">
      <c r="A1555" s="32"/>
      <c r="B1555" s="32"/>
    </row>
    <row r="1556" spans="1:2" ht="14.4">
      <c r="A1556" s="32"/>
      <c r="B1556" s="32"/>
    </row>
    <row r="1557" spans="1:2" ht="14.4">
      <c r="A1557" s="32"/>
      <c r="B1557" s="32"/>
    </row>
    <row r="1558" spans="1:2" ht="14.4">
      <c r="A1558" s="32"/>
      <c r="B1558" s="32"/>
    </row>
    <row r="1559" spans="1:2" ht="14.4">
      <c r="A1559" s="32"/>
      <c r="B1559" s="32"/>
    </row>
    <row r="1560" spans="1:2" ht="14.4">
      <c r="A1560" s="32"/>
      <c r="B1560" s="32"/>
    </row>
    <row r="1561" spans="1:2" ht="14.4">
      <c r="A1561" s="32"/>
      <c r="B1561" s="32"/>
    </row>
    <row r="1562" spans="1:2" ht="14.4">
      <c r="A1562" s="32"/>
      <c r="B1562" s="32"/>
    </row>
    <row r="1563" spans="1:2" ht="14.4">
      <c r="A1563" s="32"/>
      <c r="B1563" s="32"/>
    </row>
    <row r="1564" spans="1:2" ht="14.4">
      <c r="A1564" s="32"/>
      <c r="B1564" s="32"/>
    </row>
    <row r="1565" spans="1:2" ht="14.4">
      <c r="A1565" s="32"/>
      <c r="B1565" s="32"/>
    </row>
    <row r="1566" spans="1:2" ht="14.4">
      <c r="A1566" s="32"/>
      <c r="B1566" s="32"/>
    </row>
    <row r="1567" spans="1:2" ht="14.4">
      <c r="A1567" s="32"/>
      <c r="B1567" s="32"/>
    </row>
    <row r="1568" spans="1:2" ht="14.4">
      <c r="A1568" s="32"/>
      <c r="B1568" s="32"/>
    </row>
    <row r="1569" spans="1:2" ht="14.4">
      <c r="A1569" s="32"/>
      <c r="B1569" s="32"/>
    </row>
    <row r="1570" spans="1:2" ht="14.4">
      <c r="A1570" s="32"/>
      <c r="B1570" s="32"/>
    </row>
    <row r="1571" spans="1:2" ht="14.4">
      <c r="A1571" s="32"/>
      <c r="B1571" s="32"/>
    </row>
    <row r="1572" spans="1:2" ht="14.4">
      <c r="A1572" s="32"/>
      <c r="B1572" s="32"/>
    </row>
    <row r="1573" spans="1:2" ht="14.4">
      <c r="A1573" s="32"/>
      <c r="B1573" s="32"/>
    </row>
    <row r="1574" spans="1:2" ht="14.4">
      <c r="A1574" s="32"/>
      <c r="B1574" s="32"/>
    </row>
    <row r="1575" spans="1:2" ht="14.4">
      <c r="A1575" s="32"/>
      <c r="B1575" s="32"/>
    </row>
    <row r="1576" spans="1:2" ht="14.4">
      <c r="A1576" s="32"/>
      <c r="B1576" s="32"/>
    </row>
    <row r="1577" spans="1:2" ht="14.4">
      <c r="A1577" s="32"/>
      <c r="B1577" s="32"/>
    </row>
    <row r="1578" spans="1:2" ht="14.4">
      <c r="A1578" s="32"/>
      <c r="B1578" s="32"/>
    </row>
    <row r="1579" spans="1:2" ht="14.4">
      <c r="A1579" s="32"/>
      <c r="B1579" s="32"/>
    </row>
    <row r="1580" spans="1:2" ht="14.4">
      <c r="A1580" s="32"/>
      <c r="B1580" s="32"/>
    </row>
    <row r="1581" spans="1:2" ht="14.4">
      <c r="A1581" s="32"/>
      <c r="B1581" s="32"/>
    </row>
    <row r="1582" spans="1:2" ht="14.4">
      <c r="A1582" s="32"/>
      <c r="B1582" s="32"/>
    </row>
    <row r="1583" spans="1:2" ht="14.4">
      <c r="A1583" s="32"/>
      <c r="B1583" s="32"/>
    </row>
    <row r="1584" spans="1:2" ht="14.4">
      <c r="A1584" s="32"/>
      <c r="B1584" s="32"/>
    </row>
    <row r="1585" spans="1:2" ht="14.4">
      <c r="A1585" s="32"/>
      <c r="B1585" s="32"/>
    </row>
    <row r="1586" spans="1:2" ht="14.4">
      <c r="A1586" s="32"/>
      <c r="B1586" s="32"/>
    </row>
    <row r="1587" spans="1:2" ht="14.4">
      <c r="A1587" s="32"/>
      <c r="B1587" s="32"/>
    </row>
    <row r="1588" spans="1:2" ht="14.4">
      <c r="A1588" s="32"/>
      <c r="B1588" s="32"/>
    </row>
    <row r="1589" spans="1:2" ht="14.4">
      <c r="A1589" s="32"/>
      <c r="B1589" s="32"/>
    </row>
    <row r="1590" spans="1:2" ht="14.4">
      <c r="A1590" s="32"/>
      <c r="B1590" s="32"/>
    </row>
    <row r="1591" spans="1:2" ht="14.4">
      <c r="A1591" s="32"/>
      <c r="B1591" s="32"/>
    </row>
    <row r="1592" spans="1:2" ht="14.4">
      <c r="A1592" s="32"/>
      <c r="B1592" s="32"/>
    </row>
    <row r="1593" spans="1:2" ht="14.4">
      <c r="A1593" s="32"/>
      <c r="B1593" s="32"/>
    </row>
    <row r="1594" spans="1:2" ht="14.4">
      <c r="A1594" s="32"/>
      <c r="B1594" s="32"/>
    </row>
    <row r="1595" spans="1:2" ht="14.4">
      <c r="A1595" s="32"/>
      <c r="B1595" s="32"/>
    </row>
    <row r="1596" spans="1:2" ht="14.4">
      <c r="A1596" s="32"/>
      <c r="B1596" s="32"/>
    </row>
    <row r="1597" spans="1:2" ht="14.4">
      <c r="A1597" s="32"/>
      <c r="B1597" s="32"/>
    </row>
    <row r="1598" spans="1:2" ht="14.4">
      <c r="A1598" s="32"/>
      <c r="B1598" s="32"/>
    </row>
    <row r="1599" spans="1:2" ht="14.4">
      <c r="A1599" s="32"/>
      <c r="B1599" s="32"/>
    </row>
    <row r="1600" spans="1:2" ht="14.4">
      <c r="A1600" s="32"/>
      <c r="B1600" s="32"/>
    </row>
    <row r="1601" spans="1:2" ht="14.4">
      <c r="A1601" s="32"/>
      <c r="B1601" s="32"/>
    </row>
    <row r="1602" spans="1:2" ht="14.4">
      <c r="A1602" s="32"/>
      <c r="B1602" s="32"/>
    </row>
    <row r="1603" spans="1:2" ht="14.4">
      <c r="A1603" s="32"/>
      <c r="B1603" s="32"/>
    </row>
    <row r="1604" spans="1:2" ht="14.4">
      <c r="A1604" s="32"/>
      <c r="B1604" s="32"/>
    </row>
    <row r="1605" spans="1:2" ht="14.4">
      <c r="A1605" s="32"/>
      <c r="B1605" s="32"/>
    </row>
    <row r="1606" spans="1:2" ht="14.4">
      <c r="A1606" s="32"/>
      <c r="B1606" s="32"/>
    </row>
    <row r="1607" spans="1:2" ht="14.4">
      <c r="A1607" s="32"/>
      <c r="B1607" s="32"/>
    </row>
    <row r="1608" spans="1:2" ht="14.4">
      <c r="A1608" s="32"/>
      <c r="B1608" s="32"/>
    </row>
    <row r="1609" spans="1:2" ht="14.4">
      <c r="A1609" s="32"/>
      <c r="B1609" s="32"/>
    </row>
    <row r="1610" spans="1:2" ht="14.4">
      <c r="A1610" s="32"/>
      <c r="B1610" s="32"/>
    </row>
    <row r="1611" spans="1:2" ht="14.4">
      <c r="A1611" s="32"/>
      <c r="B1611" s="32"/>
    </row>
    <row r="1612" spans="1:2" ht="14.4">
      <c r="A1612" s="32"/>
      <c r="B1612" s="32"/>
    </row>
    <row r="1613" spans="1:2" ht="14.4">
      <c r="A1613" s="32"/>
      <c r="B1613" s="32"/>
    </row>
    <row r="1614" spans="1:2" ht="14.4">
      <c r="A1614" s="32"/>
      <c r="B1614" s="32"/>
    </row>
    <row r="1615" spans="1:2" ht="14.4">
      <c r="A1615" s="32"/>
      <c r="B1615" s="32"/>
    </row>
    <row r="1616" spans="1:2" ht="14.4">
      <c r="A1616" s="32"/>
      <c r="B1616" s="32"/>
    </row>
    <row r="1617" spans="1:2" ht="14.4">
      <c r="A1617" s="32"/>
      <c r="B1617" s="32"/>
    </row>
    <row r="1618" spans="1:2" ht="14.4">
      <c r="A1618" s="32"/>
      <c r="B1618" s="32"/>
    </row>
    <row r="1619" spans="1:2" ht="14.4">
      <c r="A1619" s="32"/>
      <c r="B1619" s="32"/>
    </row>
    <row r="1620" spans="1:2" ht="14.4">
      <c r="A1620" s="32"/>
      <c r="B1620" s="32"/>
    </row>
    <row r="1621" spans="1:2" ht="14.4">
      <c r="A1621" s="32"/>
      <c r="B1621" s="32"/>
    </row>
    <row r="1622" spans="1:2" ht="14.4">
      <c r="A1622" s="32"/>
      <c r="B1622" s="32"/>
    </row>
    <row r="1623" spans="1:2" ht="14.4">
      <c r="A1623" s="32"/>
      <c r="B1623" s="32"/>
    </row>
    <row r="1624" spans="1:2" ht="14.4">
      <c r="A1624" s="32"/>
      <c r="B1624" s="32"/>
    </row>
    <row r="1625" spans="1:2" ht="14.4">
      <c r="A1625" s="32"/>
      <c r="B1625" s="32"/>
    </row>
    <row r="1626" spans="1:2" ht="14.4">
      <c r="A1626" s="32"/>
      <c r="B1626" s="32"/>
    </row>
    <row r="1627" spans="1:2" ht="14.4">
      <c r="A1627" s="32"/>
      <c r="B1627" s="32"/>
    </row>
    <row r="1628" spans="1:2" ht="14.4">
      <c r="A1628" s="32"/>
      <c r="B1628" s="32"/>
    </row>
    <row r="1629" spans="1:2" ht="14.4">
      <c r="A1629" s="32"/>
      <c r="B1629" s="32"/>
    </row>
    <row r="1630" spans="1:2" ht="14.4">
      <c r="A1630" s="32"/>
      <c r="B1630" s="32"/>
    </row>
    <row r="1631" spans="1:2" ht="14.4">
      <c r="A1631" s="32"/>
      <c r="B1631" s="32"/>
    </row>
    <row r="1632" spans="1:2" ht="14.4">
      <c r="A1632" s="32"/>
      <c r="B1632" s="32"/>
    </row>
    <row r="1633" spans="1:2" ht="14.4">
      <c r="A1633" s="32"/>
      <c r="B1633" s="32"/>
    </row>
    <row r="1634" spans="1:2" ht="14.4">
      <c r="A1634" s="32"/>
      <c r="B1634" s="32"/>
    </row>
    <row r="1635" spans="1:2" ht="14.4">
      <c r="A1635" s="32"/>
      <c r="B1635" s="32"/>
    </row>
    <row r="1636" spans="1:2" ht="14.4">
      <c r="A1636" s="32"/>
      <c r="B1636" s="32"/>
    </row>
    <row r="1637" spans="1:2" ht="14.4">
      <c r="A1637" s="32"/>
      <c r="B1637" s="32"/>
    </row>
    <row r="1638" spans="1:2" ht="14.4">
      <c r="A1638" s="32"/>
      <c r="B1638" s="32"/>
    </row>
    <row r="1639" spans="1:2" ht="14.4">
      <c r="A1639" s="32"/>
      <c r="B1639" s="32"/>
    </row>
    <row r="1640" spans="1:2" ht="14.4">
      <c r="A1640" s="32"/>
      <c r="B1640" s="32"/>
    </row>
    <row r="1641" spans="1:2" ht="14.4">
      <c r="A1641" s="32"/>
      <c r="B1641" s="32"/>
    </row>
    <row r="1642" spans="1:2" ht="14.4">
      <c r="A1642" s="32"/>
      <c r="B1642" s="32"/>
    </row>
    <row r="1643" spans="1:2" ht="14.4">
      <c r="A1643" s="32"/>
      <c r="B1643" s="32"/>
    </row>
    <row r="1644" spans="1:2" ht="14.4">
      <c r="A1644" s="32"/>
      <c r="B1644" s="32"/>
    </row>
    <row r="1645" spans="1:2" ht="14.4">
      <c r="A1645" s="32"/>
      <c r="B1645" s="32"/>
    </row>
    <row r="1646" spans="1:2" ht="14.4">
      <c r="A1646" s="32"/>
      <c r="B1646" s="32"/>
    </row>
    <row r="1647" spans="1:2" ht="14.4">
      <c r="A1647" s="32"/>
      <c r="B1647" s="32"/>
    </row>
    <row r="1648" spans="1:2" ht="14.4">
      <c r="A1648" s="32"/>
      <c r="B1648" s="32"/>
    </row>
    <row r="1649" spans="1:2" ht="14.4">
      <c r="A1649" s="32"/>
      <c r="B1649" s="32"/>
    </row>
    <row r="1650" spans="1:2" ht="14.4">
      <c r="A1650" s="32"/>
      <c r="B1650" s="32"/>
    </row>
    <row r="1651" spans="1:2" ht="14.4">
      <c r="A1651" s="32"/>
      <c r="B1651" s="32"/>
    </row>
    <row r="1652" spans="1:2" ht="14.4">
      <c r="A1652" s="32"/>
      <c r="B1652" s="32"/>
    </row>
    <row r="1653" spans="1:2" ht="14.4">
      <c r="A1653" s="32"/>
      <c r="B1653" s="32"/>
    </row>
    <row r="1654" spans="1:2" ht="14.4">
      <c r="A1654" s="32"/>
      <c r="B1654" s="32"/>
    </row>
    <row r="1655" spans="1:2" ht="14.4">
      <c r="A1655" s="32"/>
      <c r="B1655" s="32"/>
    </row>
    <row r="1656" spans="1:2" ht="14.4">
      <c r="A1656" s="32"/>
      <c r="B1656" s="32"/>
    </row>
    <row r="1657" spans="1:2" ht="14.4">
      <c r="A1657" s="32"/>
      <c r="B1657" s="32"/>
    </row>
    <row r="1658" spans="1:2" ht="14.4">
      <c r="A1658" s="32"/>
      <c r="B1658" s="32"/>
    </row>
    <row r="1659" spans="1:2" ht="14.4">
      <c r="A1659" s="32"/>
      <c r="B1659" s="32"/>
    </row>
    <row r="1660" spans="1:2" ht="14.4">
      <c r="A1660" s="32"/>
      <c r="B1660" s="32"/>
    </row>
    <row r="1661" spans="1:2" ht="14.4">
      <c r="A1661" s="32"/>
      <c r="B1661" s="32"/>
    </row>
    <row r="1662" spans="1:2" ht="14.4">
      <c r="A1662" s="32"/>
      <c r="B1662" s="32"/>
    </row>
    <row r="1663" spans="1:2" ht="14.4">
      <c r="A1663" s="32"/>
      <c r="B1663" s="32"/>
    </row>
    <row r="1664" spans="1:2" ht="14.4">
      <c r="A1664" s="32"/>
      <c r="B1664" s="32"/>
    </row>
    <row r="1665" spans="1:2" ht="14.4">
      <c r="A1665" s="32"/>
      <c r="B1665" s="32"/>
    </row>
    <row r="1666" spans="1:2" ht="14.4">
      <c r="A1666" s="32"/>
      <c r="B1666" s="32"/>
    </row>
    <row r="1667" spans="1:2" ht="14.4">
      <c r="A1667" s="32"/>
      <c r="B1667" s="32"/>
    </row>
    <row r="1668" spans="1:2" ht="14.4">
      <c r="A1668" s="32"/>
      <c r="B1668" s="32"/>
    </row>
    <row r="1669" spans="1:2" ht="14.4">
      <c r="A1669" s="32"/>
      <c r="B1669" s="32"/>
    </row>
    <row r="1670" spans="1:2" ht="14.4">
      <c r="A1670" s="32"/>
      <c r="B1670" s="32"/>
    </row>
    <row r="1671" spans="1:2" ht="14.4">
      <c r="A1671" s="32"/>
      <c r="B1671" s="32"/>
    </row>
    <row r="1672" spans="1:2" ht="14.4">
      <c r="A1672" s="32"/>
      <c r="B1672" s="32"/>
    </row>
    <row r="1673" spans="1:2" ht="14.4">
      <c r="A1673" s="32"/>
      <c r="B1673" s="32"/>
    </row>
    <row r="1674" spans="1:2" ht="14.4">
      <c r="A1674" s="32"/>
      <c r="B1674" s="32"/>
    </row>
    <row r="1675" spans="1:2" ht="14.4">
      <c r="A1675" s="32"/>
      <c r="B1675" s="32"/>
    </row>
    <row r="1676" spans="1:2" ht="14.4">
      <c r="A1676" s="32"/>
      <c r="B1676" s="32"/>
    </row>
    <row r="1677" spans="1:2" ht="14.4">
      <c r="A1677" s="32"/>
      <c r="B1677" s="32"/>
    </row>
    <row r="1678" spans="1:2" ht="14.4">
      <c r="A1678" s="32"/>
      <c r="B1678" s="32"/>
    </row>
    <row r="1679" spans="1:2" ht="14.4">
      <c r="A1679" s="32"/>
      <c r="B1679" s="32"/>
    </row>
    <row r="1680" spans="1:2" ht="14.4">
      <c r="A1680" s="32"/>
      <c r="B1680" s="32"/>
    </row>
    <row r="1681" spans="1:2" ht="14.4">
      <c r="A1681" s="32"/>
      <c r="B1681" s="32"/>
    </row>
    <row r="1682" spans="1:2" ht="14.4">
      <c r="A1682" s="32"/>
      <c r="B1682" s="32"/>
    </row>
    <row r="1683" spans="1:2" ht="14.4">
      <c r="A1683" s="32"/>
      <c r="B1683" s="32"/>
    </row>
    <row r="1684" spans="1:2" ht="14.4">
      <c r="A1684" s="32"/>
      <c r="B1684" s="32"/>
    </row>
    <row r="1685" spans="1:2" ht="14.4">
      <c r="A1685" s="32"/>
      <c r="B1685" s="32"/>
    </row>
    <row r="1686" spans="1:2" ht="14.4">
      <c r="A1686" s="32"/>
      <c r="B1686" s="32"/>
    </row>
    <row r="1687" spans="1:2" ht="14.4">
      <c r="A1687" s="32"/>
      <c r="B1687" s="32"/>
    </row>
    <row r="1688" spans="1:2" ht="14.4">
      <c r="A1688" s="32"/>
      <c r="B1688" s="32"/>
    </row>
    <row r="1689" spans="1:2" ht="14.4">
      <c r="A1689" s="32"/>
      <c r="B1689" s="32"/>
    </row>
    <row r="1690" spans="1:2" ht="14.4">
      <c r="A1690" s="32"/>
      <c r="B1690" s="32"/>
    </row>
    <row r="1691" spans="1:2" ht="14.4">
      <c r="A1691" s="32"/>
      <c r="B1691" s="32"/>
    </row>
    <row r="1692" spans="1:2" ht="14.4">
      <c r="A1692" s="32"/>
      <c r="B1692" s="32"/>
    </row>
    <row r="1693" spans="1:2" ht="14.4">
      <c r="A1693" s="32"/>
      <c r="B1693" s="32"/>
    </row>
    <row r="1694" spans="1:2" ht="14.4">
      <c r="A1694" s="32"/>
      <c r="B1694" s="32"/>
    </row>
    <row r="1695" spans="1:2" ht="14.4">
      <c r="A1695" s="32"/>
      <c r="B1695" s="32"/>
    </row>
    <row r="1696" spans="1:2" ht="14.4">
      <c r="A1696" s="32"/>
      <c r="B1696" s="32"/>
    </row>
    <row r="1697" spans="1:2" ht="14.4">
      <c r="A1697" s="32"/>
      <c r="B1697" s="32"/>
    </row>
    <row r="1698" spans="1:2" ht="14.4">
      <c r="A1698" s="32"/>
      <c r="B1698" s="32"/>
    </row>
    <row r="1699" spans="1:2" ht="14.4">
      <c r="A1699" s="32"/>
      <c r="B1699" s="32"/>
    </row>
    <row r="1700" spans="1:2" ht="14.4">
      <c r="A1700" s="32"/>
      <c r="B1700" s="32"/>
    </row>
    <row r="1701" spans="1:2" ht="14.4">
      <c r="A1701" s="32"/>
      <c r="B1701" s="32"/>
    </row>
    <row r="1702" spans="1:2" ht="14.4">
      <c r="A1702" s="32"/>
      <c r="B1702" s="32"/>
    </row>
    <row r="1703" spans="1:2" ht="14.4">
      <c r="A1703" s="32"/>
      <c r="B1703" s="32"/>
    </row>
    <row r="1704" spans="1:2" ht="14.4">
      <c r="A1704" s="32"/>
      <c r="B1704" s="32"/>
    </row>
    <row r="1705" spans="1:2" ht="14.4">
      <c r="A1705" s="32"/>
      <c r="B1705" s="32"/>
    </row>
    <row r="1706" spans="1:2" ht="14.4">
      <c r="A1706" s="32"/>
      <c r="B1706" s="32"/>
    </row>
    <row r="1707" spans="1:2" ht="14.4">
      <c r="A1707" s="32"/>
      <c r="B1707" s="32"/>
    </row>
    <row r="1708" spans="1:2" ht="14.4">
      <c r="A1708" s="32"/>
      <c r="B1708" s="32"/>
    </row>
    <row r="1709" spans="1:2" ht="14.4">
      <c r="A1709" s="32"/>
      <c r="B1709" s="32"/>
    </row>
    <row r="1710" spans="1:2" ht="14.4">
      <c r="A1710" s="32"/>
      <c r="B1710" s="32"/>
    </row>
    <row r="1711" spans="1:2" ht="14.4">
      <c r="A1711" s="32"/>
      <c r="B1711" s="32"/>
    </row>
    <row r="1712" spans="1:2" ht="14.4">
      <c r="A1712" s="32"/>
      <c r="B1712" s="32"/>
    </row>
    <row r="1713" spans="1:2" ht="14.4">
      <c r="A1713" s="32"/>
      <c r="B1713" s="32"/>
    </row>
    <row r="1714" spans="1:2" ht="14.4">
      <c r="A1714" s="32"/>
      <c r="B1714" s="32"/>
    </row>
    <row r="1715" spans="1:2" ht="14.4">
      <c r="A1715" s="32"/>
      <c r="B1715" s="32"/>
    </row>
    <row r="1716" spans="1:2" ht="14.4">
      <c r="A1716" s="32"/>
      <c r="B1716" s="32"/>
    </row>
    <row r="1717" spans="1:2" ht="14.4">
      <c r="A1717" s="32"/>
      <c r="B1717" s="32"/>
    </row>
    <row r="1718" spans="1:2" ht="14.4">
      <c r="A1718" s="32"/>
      <c r="B1718" s="32"/>
    </row>
    <row r="1719" spans="1:2" ht="14.4">
      <c r="A1719" s="32"/>
      <c r="B1719" s="32"/>
    </row>
    <row r="1720" spans="1:2" ht="14.4">
      <c r="A1720" s="32"/>
      <c r="B1720" s="32"/>
    </row>
    <row r="1721" spans="1:2" ht="14.4">
      <c r="A1721" s="32"/>
      <c r="B1721" s="32"/>
    </row>
    <row r="1722" spans="1:2" ht="14.4">
      <c r="A1722" s="32"/>
      <c r="B1722" s="32"/>
    </row>
    <row r="1723" spans="1:2" ht="14.4">
      <c r="A1723" s="32"/>
      <c r="B1723" s="32"/>
    </row>
    <row r="1724" spans="1:2" ht="14.4">
      <c r="A1724" s="32"/>
      <c r="B1724" s="32"/>
    </row>
    <row r="1725" spans="1:2" ht="14.4">
      <c r="A1725" s="32"/>
      <c r="B1725" s="32"/>
    </row>
    <row r="1726" spans="1:2" ht="14.4">
      <c r="A1726" s="32"/>
      <c r="B1726" s="32"/>
    </row>
    <row r="1727" spans="1:2" ht="14.4">
      <c r="A1727" s="32"/>
      <c r="B1727" s="32"/>
    </row>
    <row r="1728" spans="1:2" ht="14.4">
      <c r="A1728" s="32"/>
      <c r="B1728" s="32"/>
    </row>
    <row r="1729" spans="1:2" ht="14.4">
      <c r="A1729" s="32"/>
      <c r="B1729" s="32"/>
    </row>
    <row r="1730" spans="1:2" ht="14.4">
      <c r="A1730" s="32"/>
      <c r="B1730" s="32"/>
    </row>
    <row r="1731" spans="1:2" ht="14.4">
      <c r="A1731" s="32"/>
      <c r="B1731" s="32"/>
    </row>
    <row r="1732" spans="1:2" ht="14.4">
      <c r="A1732" s="32"/>
      <c r="B1732" s="32"/>
    </row>
    <row r="1733" spans="1:2" ht="14.4">
      <c r="A1733" s="32"/>
      <c r="B1733" s="32"/>
    </row>
    <row r="1734" spans="1:2" ht="14.4">
      <c r="A1734" s="32"/>
      <c r="B1734" s="32"/>
    </row>
    <row r="1735" spans="1:2" ht="14.4">
      <c r="A1735" s="32"/>
      <c r="B1735" s="32"/>
    </row>
    <row r="1736" spans="1:2" ht="14.4">
      <c r="A1736" s="32"/>
      <c r="B1736" s="32"/>
    </row>
    <row r="1737" spans="1:2" ht="14.4">
      <c r="A1737" s="32"/>
      <c r="B1737" s="32"/>
    </row>
    <row r="1738" spans="1:2" ht="14.4">
      <c r="A1738" s="32"/>
      <c r="B1738" s="32"/>
    </row>
    <row r="1739" spans="1:2" ht="14.4">
      <c r="A1739" s="32"/>
      <c r="B1739" s="32"/>
    </row>
    <row r="1740" spans="1:2" ht="14.4">
      <c r="A1740" s="32"/>
      <c r="B1740" s="32"/>
    </row>
    <row r="1741" spans="1:2" ht="14.4">
      <c r="A1741" s="32"/>
      <c r="B1741" s="32"/>
    </row>
    <row r="1742" spans="1:2" ht="14.4">
      <c r="A1742" s="32"/>
      <c r="B1742" s="32"/>
    </row>
    <row r="1743" spans="1:2" ht="14.4">
      <c r="A1743" s="32"/>
      <c r="B1743" s="32"/>
    </row>
    <row r="1744" spans="1:2" ht="14.4">
      <c r="A1744" s="32"/>
      <c r="B1744" s="32"/>
    </row>
    <row r="1745" spans="1:2" ht="14.4">
      <c r="A1745" s="32"/>
      <c r="B1745" s="32"/>
    </row>
    <row r="1746" spans="1:2" ht="14.4">
      <c r="A1746" s="32"/>
      <c r="B1746" s="32"/>
    </row>
    <row r="1747" spans="1:2" ht="14.4">
      <c r="A1747" s="32"/>
      <c r="B1747" s="32"/>
    </row>
    <row r="1748" spans="1:2" ht="14.4">
      <c r="A1748" s="32"/>
      <c r="B1748" s="32"/>
    </row>
    <row r="1749" spans="1:2" ht="14.4">
      <c r="A1749" s="32"/>
      <c r="B1749" s="32"/>
    </row>
    <row r="1750" spans="1:2" ht="14.4">
      <c r="A1750" s="32"/>
      <c r="B1750" s="32"/>
    </row>
    <row r="1751" spans="1:2" ht="14.4">
      <c r="A1751" s="32"/>
      <c r="B1751" s="32"/>
    </row>
    <row r="1752" spans="1:2" ht="14.4">
      <c r="A1752" s="32"/>
      <c r="B1752" s="32"/>
    </row>
    <row r="1753" spans="1:2" ht="14.4">
      <c r="A1753" s="32"/>
      <c r="B1753" s="32"/>
    </row>
    <row r="1754" spans="1:2" ht="14.4">
      <c r="A1754" s="32"/>
      <c r="B1754" s="32"/>
    </row>
    <row r="1755" spans="1:2" ht="14.4">
      <c r="A1755" s="32"/>
      <c r="B1755" s="32"/>
    </row>
    <row r="1756" spans="1:2" ht="14.4">
      <c r="A1756" s="32"/>
      <c r="B1756" s="32"/>
    </row>
    <row r="1757" spans="1:2" ht="14.4">
      <c r="A1757" s="32"/>
      <c r="B1757" s="32"/>
    </row>
    <row r="1758" spans="1:2" ht="14.4">
      <c r="A1758" s="32"/>
      <c r="B1758" s="32"/>
    </row>
    <row r="1759" spans="1:2" ht="14.4">
      <c r="A1759" s="32"/>
      <c r="B1759" s="32"/>
    </row>
    <row r="1760" spans="1:2" ht="14.4">
      <c r="A1760" s="32"/>
      <c r="B1760" s="32"/>
    </row>
    <row r="1761" spans="1:2" ht="14.4">
      <c r="A1761" s="32"/>
      <c r="B1761" s="32"/>
    </row>
    <row r="1762" spans="1:2" ht="14.4">
      <c r="A1762" s="32"/>
      <c r="B1762" s="32"/>
    </row>
    <row r="1763" spans="1:2" ht="14.4">
      <c r="A1763" s="32"/>
      <c r="B1763" s="32"/>
    </row>
    <row r="1764" spans="1:2" ht="14.4">
      <c r="A1764" s="32"/>
      <c r="B1764" s="32"/>
    </row>
    <row r="1765" spans="1:2" ht="14.4">
      <c r="A1765" s="32"/>
      <c r="B1765" s="32"/>
    </row>
    <row r="1766" spans="1:2" ht="14.4">
      <c r="A1766" s="32"/>
      <c r="B1766" s="32"/>
    </row>
    <row r="1767" spans="1:2" ht="14.4">
      <c r="A1767" s="32"/>
      <c r="B1767" s="32"/>
    </row>
    <row r="1768" spans="1:2" ht="14.4">
      <c r="A1768" s="32"/>
      <c r="B1768" s="32"/>
    </row>
    <row r="1769" spans="1:2" ht="14.4">
      <c r="A1769" s="32"/>
      <c r="B1769" s="32"/>
    </row>
    <row r="1770" spans="1:2" ht="14.4">
      <c r="A1770" s="32"/>
      <c r="B1770" s="32"/>
    </row>
    <row r="1771" spans="1:2" ht="14.4">
      <c r="A1771" s="32"/>
      <c r="B1771" s="32"/>
    </row>
    <row r="1772" spans="1:2" ht="14.4">
      <c r="A1772" s="32"/>
      <c r="B1772" s="32"/>
    </row>
    <row r="1773" spans="1:2" ht="14.4">
      <c r="A1773" s="32"/>
      <c r="B1773" s="32"/>
    </row>
    <row r="1774" spans="1:2" ht="14.4">
      <c r="A1774" s="32"/>
      <c r="B1774" s="32"/>
    </row>
    <row r="1775" spans="1:2" ht="14.4">
      <c r="A1775" s="32"/>
      <c r="B1775" s="32"/>
    </row>
    <row r="1776" spans="1:2" ht="14.4">
      <c r="A1776" s="32"/>
      <c r="B1776" s="32"/>
    </row>
    <row r="1777" spans="1:2" ht="14.4">
      <c r="A1777" s="32"/>
      <c r="B1777" s="32"/>
    </row>
    <row r="1778" spans="1:2" ht="14.4">
      <c r="A1778" s="32"/>
      <c r="B1778" s="32"/>
    </row>
    <row r="1779" spans="1:2" ht="14.4">
      <c r="A1779" s="32"/>
      <c r="B1779" s="32"/>
    </row>
    <row r="1780" spans="1:2" ht="14.4">
      <c r="A1780" s="32"/>
      <c r="B1780" s="32"/>
    </row>
    <row r="1781" spans="1:2" ht="14.4">
      <c r="A1781" s="32"/>
      <c r="B1781" s="32"/>
    </row>
    <row r="1782" spans="1:2" ht="14.4">
      <c r="A1782" s="32"/>
      <c r="B1782" s="32"/>
    </row>
    <row r="1783" spans="1:2" ht="14.4">
      <c r="A1783" s="32"/>
      <c r="B1783" s="32"/>
    </row>
    <row r="1784" spans="1:2" ht="14.4">
      <c r="A1784" s="32"/>
      <c r="B1784" s="32"/>
    </row>
    <row r="1785" spans="1:2" ht="14.4">
      <c r="A1785" s="32"/>
      <c r="B1785" s="32"/>
    </row>
    <row r="1786" spans="1:2" ht="14.4">
      <c r="A1786" s="32"/>
      <c r="B1786" s="32"/>
    </row>
    <row r="1787" spans="1:2" ht="14.4">
      <c r="A1787" s="32"/>
      <c r="B1787" s="32"/>
    </row>
    <row r="1788" spans="1:2" ht="14.4">
      <c r="A1788" s="32"/>
      <c r="B1788" s="32"/>
    </row>
    <row r="1789" spans="1:2" ht="14.4">
      <c r="A1789" s="32"/>
      <c r="B1789" s="32"/>
    </row>
    <row r="1790" spans="1:2" ht="14.4">
      <c r="A1790" s="32"/>
      <c r="B1790" s="32"/>
    </row>
    <row r="1791" spans="1:2" ht="14.4">
      <c r="A1791" s="32"/>
      <c r="B1791" s="32"/>
    </row>
    <row r="1792" spans="1:2" ht="14.4">
      <c r="A1792" s="32"/>
      <c r="B1792" s="32"/>
    </row>
    <row r="1793" spans="1:2" ht="14.4">
      <c r="A1793" s="32"/>
      <c r="B1793" s="32"/>
    </row>
    <row r="1794" spans="1:2" ht="14.4">
      <c r="A1794" s="32"/>
      <c r="B1794" s="32"/>
    </row>
    <row r="1795" spans="1:2" ht="14.4">
      <c r="A1795" s="32"/>
      <c r="B1795" s="32"/>
    </row>
    <row r="1796" spans="1:2" ht="14.4">
      <c r="A1796" s="32"/>
      <c r="B1796" s="32"/>
    </row>
    <row r="1797" spans="1:2" ht="14.4">
      <c r="A1797" s="32"/>
      <c r="B1797" s="32"/>
    </row>
    <row r="1798" spans="1:2" ht="14.4">
      <c r="A1798" s="32"/>
      <c r="B1798" s="32"/>
    </row>
    <row r="1799" spans="1:2" ht="14.4">
      <c r="A1799" s="32"/>
      <c r="B1799" s="32"/>
    </row>
    <row r="1800" spans="1:2" ht="14.4">
      <c r="A1800" s="32"/>
      <c r="B1800" s="32"/>
    </row>
    <row r="1801" spans="1:2" ht="14.4">
      <c r="A1801" s="32"/>
      <c r="B1801" s="32"/>
    </row>
    <row r="1802" spans="1:2" ht="14.4">
      <c r="A1802" s="32"/>
      <c r="B1802" s="32"/>
    </row>
    <row r="1803" spans="1:2" ht="14.4">
      <c r="A1803" s="32"/>
      <c r="B1803" s="32"/>
    </row>
    <row r="1804" spans="1:2" ht="14.4">
      <c r="A1804" s="32"/>
      <c r="B1804" s="32"/>
    </row>
    <row r="1805" spans="1:2" ht="14.4">
      <c r="A1805" s="32"/>
      <c r="B1805" s="32"/>
    </row>
    <row r="1806" spans="1:2" ht="14.4">
      <c r="A1806" s="32"/>
      <c r="B1806" s="32"/>
    </row>
    <row r="1807" spans="1:2" ht="14.4">
      <c r="A1807" s="32"/>
      <c r="B1807" s="32"/>
    </row>
    <row r="1808" spans="1:2" ht="14.4">
      <c r="A1808" s="32"/>
      <c r="B1808" s="32"/>
    </row>
    <row r="1809" spans="1:2" ht="14.4">
      <c r="A1809" s="32"/>
      <c r="B1809" s="32"/>
    </row>
    <row r="1810" spans="1:2" ht="14.4">
      <c r="A1810" s="32"/>
      <c r="B1810" s="32"/>
    </row>
    <row r="1811" spans="1:2" ht="14.4">
      <c r="A1811" s="32"/>
      <c r="B1811" s="32"/>
    </row>
    <row r="1812" spans="1:2" ht="14.4">
      <c r="A1812" s="32"/>
      <c r="B1812" s="32"/>
    </row>
    <row r="1813" spans="1:2" ht="14.4">
      <c r="A1813" s="32"/>
      <c r="B1813" s="32"/>
    </row>
    <row r="1814" spans="1:2" ht="14.4">
      <c r="A1814" s="32"/>
      <c r="B1814" s="32"/>
    </row>
    <row r="1815" spans="1:2" ht="14.4">
      <c r="A1815" s="32"/>
      <c r="B1815" s="32"/>
    </row>
    <row r="1816" spans="1:2" ht="14.4">
      <c r="A1816" s="32"/>
      <c r="B1816" s="32"/>
    </row>
    <row r="1817" spans="1:2" ht="14.4">
      <c r="A1817" s="32"/>
      <c r="B1817" s="32"/>
    </row>
    <row r="1818" spans="1:2" ht="14.4">
      <c r="A1818" s="32"/>
      <c r="B1818" s="32"/>
    </row>
    <row r="1819" spans="1:2" ht="14.4">
      <c r="A1819" s="32"/>
      <c r="B1819" s="32"/>
    </row>
    <row r="1820" spans="1:2" ht="14.4">
      <c r="A1820" s="32"/>
      <c r="B1820" s="32"/>
    </row>
    <row r="1821" spans="1:2" ht="14.4">
      <c r="A1821" s="32"/>
      <c r="B1821" s="32"/>
    </row>
    <row r="1822" spans="1:2" ht="14.4">
      <c r="A1822" s="32"/>
      <c r="B1822" s="32"/>
    </row>
    <row r="1823" spans="1:2" ht="14.4">
      <c r="A1823" s="32"/>
      <c r="B1823" s="32"/>
    </row>
    <row r="1824" spans="1:2" ht="14.4">
      <c r="A1824" s="32"/>
      <c r="B1824" s="32"/>
    </row>
    <row r="1825" spans="1:2" ht="14.4">
      <c r="A1825" s="32"/>
      <c r="B1825" s="32"/>
    </row>
    <row r="1826" spans="1:2" ht="14.4">
      <c r="A1826" s="32"/>
      <c r="B1826" s="32"/>
    </row>
    <row r="1827" spans="1:2" ht="14.4">
      <c r="A1827" s="32"/>
      <c r="B1827" s="32"/>
    </row>
    <row r="1828" spans="1:2" ht="14.4">
      <c r="A1828" s="32"/>
      <c r="B1828" s="32"/>
    </row>
    <row r="1829" spans="1:2" ht="14.4">
      <c r="A1829" s="32"/>
      <c r="B1829" s="32"/>
    </row>
    <row r="1830" spans="1:2" ht="14.4">
      <c r="A1830" s="32"/>
      <c r="B1830" s="32"/>
    </row>
    <row r="1831" spans="1:2" ht="14.4">
      <c r="A1831" s="32"/>
      <c r="B1831" s="32"/>
    </row>
    <row r="1832" spans="1:2" ht="14.4">
      <c r="A1832" s="32"/>
      <c r="B1832" s="32"/>
    </row>
    <row r="1833" spans="1:2" ht="14.4">
      <c r="A1833" s="32"/>
      <c r="B1833" s="32"/>
    </row>
    <row r="1834" spans="1:2" ht="14.4">
      <c r="A1834" s="32"/>
      <c r="B1834" s="32"/>
    </row>
    <row r="1835" spans="1:2" ht="14.4">
      <c r="A1835" s="32"/>
      <c r="B1835" s="32"/>
    </row>
    <row r="1836" spans="1:2" ht="14.4">
      <c r="A1836" s="32"/>
      <c r="B1836" s="32"/>
    </row>
    <row r="1837" spans="1:2" ht="14.4">
      <c r="A1837" s="32"/>
      <c r="B1837" s="32"/>
    </row>
    <row r="1838" spans="1:2" ht="14.4">
      <c r="A1838" s="32"/>
      <c r="B1838" s="32"/>
    </row>
    <row r="1839" spans="1:2" ht="14.4">
      <c r="A1839" s="32"/>
      <c r="B1839" s="32"/>
    </row>
    <row r="1840" spans="1:2" ht="14.4">
      <c r="A1840" s="32"/>
      <c r="B1840" s="32"/>
    </row>
    <row r="1841" spans="1:2" ht="14.4">
      <c r="A1841" s="32"/>
      <c r="B1841" s="32"/>
    </row>
    <row r="1842" spans="1:2" ht="14.4">
      <c r="A1842" s="32"/>
      <c r="B1842" s="32"/>
    </row>
    <row r="1843" spans="1:2" ht="14.4">
      <c r="A1843" s="32"/>
      <c r="B1843" s="32"/>
    </row>
    <row r="1844" spans="1:2" ht="14.4">
      <c r="A1844" s="32"/>
      <c r="B1844" s="32"/>
    </row>
    <row r="1845" spans="1:2" ht="14.4">
      <c r="A1845" s="32"/>
      <c r="B1845" s="32"/>
    </row>
    <row r="1846" spans="1:2" ht="14.4">
      <c r="A1846" s="32"/>
      <c r="B1846" s="32"/>
    </row>
    <row r="1847" spans="1:2" ht="14.4">
      <c r="A1847" s="32"/>
      <c r="B1847" s="32"/>
    </row>
    <row r="1848" spans="1:2" ht="14.4">
      <c r="A1848" s="32"/>
      <c r="B1848" s="32"/>
    </row>
    <row r="1849" spans="1:2" ht="14.4">
      <c r="A1849" s="32"/>
      <c r="B1849" s="32"/>
    </row>
    <row r="1850" spans="1:2" ht="14.4">
      <c r="A1850" s="32"/>
      <c r="B1850" s="32"/>
    </row>
    <row r="1851" spans="1:2" ht="14.4">
      <c r="A1851" s="32"/>
      <c r="B1851" s="32"/>
    </row>
    <row r="1852" spans="1:2" ht="14.4">
      <c r="A1852" s="32"/>
      <c r="B1852" s="32"/>
    </row>
    <row r="1853" spans="1:2" ht="14.4">
      <c r="A1853" s="32"/>
      <c r="B1853" s="32"/>
    </row>
    <row r="1854" spans="1:2" ht="14.4">
      <c r="A1854" s="32"/>
      <c r="B1854" s="32"/>
    </row>
    <row r="1855" spans="1:2" ht="14.4">
      <c r="A1855" s="32"/>
      <c r="B1855" s="32"/>
    </row>
    <row r="1856" spans="1:2" ht="14.4">
      <c r="A1856" s="32"/>
      <c r="B1856" s="32"/>
    </row>
    <row r="1857" spans="1:2" ht="14.4">
      <c r="A1857" s="32"/>
      <c r="B1857" s="32"/>
    </row>
    <row r="1858" spans="1:2" ht="14.4">
      <c r="A1858" s="32"/>
      <c r="B1858" s="32"/>
    </row>
    <row r="1859" spans="1:2" ht="14.4">
      <c r="A1859" s="32"/>
      <c r="B1859" s="32"/>
    </row>
    <row r="1860" spans="1:2" ht="14.4">
      <c r="A1860" s="32"/>
      <c r="B1860" s="32"/>
    </row>
    <row r="1861" spans="1:2" ht="14.4">
      <c r="A1861" s="32"/>
      <c r="B1861" s="32"/>
    </row>
    <row r="1862" spans="1:2" ht="14.4">
      <c r="A1862" s="32"/>
      <c r="B1862" s="32"/>
    </row>
    <row r="1863" spans="1:2" ht="14.4">
      <c r="A1863" s="32"/>
      <c r="B1863" s="32"/>
    </row>
    <row r="1864" spans="1:2" ht="14.4">
      <c r="A1864" s="32"/>
      <c r="B1864" s="32"/>
    </row>
    <row r="1865" spans="1:2" ht="14.4">
      <c r="A1865" s="32"/>
      <c r="B1865" s="32"/>
    </row>
    <row r="1866" spans="1:2" ht="14.4">
      <c r="A1866" s="32"/>
      <c r="B1866" s="32"/>
    </row>
    <row r="1867" spans="1:2" ht="14.4">
      <c r="A1867" s="32"/>
      <c r="B1867" s="32"/>
    </row>
    <row r="1868" spans="1:2" ht="14.4">
      <c r="A1868" s="32"/>
      <c r="B1868" s="32"/>
    </row>
    <row r="1869" spans="1:2" ht="14.4">
      <c r="A1869" s="32"/>
      <c r="B1869" s="32"/>
    </row>
    <row r="1870" spans="1:2" ht="14.4">
      <c r="A1870" s="32"/>
      <c r="B1870" s="32"/>
    </row>
    <row r="1871" spans="1:2" ht="14.4">
      <c r="A1871" s="32"/>
      <c r="B1871" s="32"/>
    </row>
    <row r="1872" spans="1:2" ht="14.4">
      <c r="A1872" s="32"/>
      <c r="B1872" s="32"/>
    </row>
    <row r="1873" spans="1:2" ht="14.4">
      <c r="A1873" s="32"/>
      <c r="B1873" s="32"/>
    </row>
    <row r="1874" spans="1:2" ht="14.4">
      <c r="A1874" s="32"/>
      <c r="B1874" s="32"/>
    </row>
    <row r="1875" spans="1:2" ht="14.4">
      <c r="A1875" s="32"/>
      <c r="B1875" s="32"/>
    </row>
    <row r="1876" spans="1:2" ht="14.4">
      <c r="A1876" s="32"/>
      <c r="B1876" s="32"/>
    </row>
    <row r="1877" spans="1:2" ht="14.4">
      <c r="A1877" s="32"/>
      <c r="B1877" s="32"/>
    </row>
    <row r="1878" spans="1:2" ht="14.4">
      <c r="A1878" s="32"/>
      <c r="B1878" s="32"/>
    </row>
    <row r="1879" spans="1:2" ht="14.4">
      <c r="A1879" s="32"/>
      <c r="B1879" s="32"/>
    </row>
    <row r="1880" spans="1:2" ht="14.4">
      <c r="A1880" s="32"/>
      <c r="B1880" s="32"/>
    </row>
    <row r="1881" spans="1:2" ht="14.4">
      <c r="A1881" s="32"/>
      <c r="B1881" s="32"/>
    </row>
    <row r="1882" spans="1:2" ht="14.4">
      <c r="A1882" s="32"/>
      <c r="B1882" s="32"/>
    </row>
    <row r="1883" spans="1:2" ht="14.4">
      <c r="A1883" s="32"/>
      <c r="B1883" s="32"/>
    </row>
    <row r="1884" spans="1:2" ht="14.4">
      <c r="A1884" s="32"/>
      <c r="B1884" s="32"/>
    </row>
    <row r="1885" spans="1:2" ht="14.4">
      <c r="A1885" s="32"/>
      <c r="B1885" s="32"/>
    </row>
    <row r="1886" spans="1:2" ht="14.4">
      <c r="A1886" s="32"/>
      <c r="B1886" s="32"/>
    </row>
    <row r="1887" spans="1:2" ht="14.4">
      <c r="A1887" s="32"/>
      <c r="B1887" s="32"/>
    </row>
    <row r="1888" spans="1:2" ht="14.4">
      <c r="A1888" s="32"/>
      <c r="B1888" s="32"/>
    </row>
    <row r="1889" spans="1:2" ht="14.4">
      <c r="A1889" s="32"/>
      <c r="B1889" s="32"/>
    </row>
    <row r="1890" spans="1:2" ht="14.4">
      <c r="A1890" s="32"/>
      <c r="B1890" s="32"/>
    </row>
    <row r="1891" spans="1:2" ht="14.4">
      <c r="A1891" s="32"/>
      <c r="B1891" s="32"/>
    </row>
    <row r="1892" spans="1:2" ht="14.4">
      <c r="A1892" s="32"/>
      <c r="B1892" s="32"/>
    </row>
    <row r="1893" spans="1:2" ht="14.4">
      <c r="A1893" s="32"/>
      <c r="B1893" s="32"/>
    </row>
    <row r="1894" spans="1:2" ht="14.4">
      <c r="A1894" s="32"/>
      <c r="B1894" s="32"/>
    </row>
    <row r="1895" spans="1:2" ht="14.4">
      <c r="A1895" s="32"/>
      <c r="B1895" s="32"/>
    </row>
    <row r="1896" spans="1:2" ht="14.4">
      <c r="A1896" s="32"/>
      <c r="B1896" s="32"/>
    </row>
    <row r="1897" spans="1:2" ht="14.4">
      <c r="A1897" s="32"/>
      <c r="B1897" s="32"/>
    </row>
    <row r="1898" spans="1:2" ht="14.4">
      <c r="A1898" s="32"/>
      <c r="B1898" s="32"/>
    </row>
    <row r="1899" spans="1:2" ht="14.4">
      <c r="A1899" s="32"/>
      <c r="B1899" s="32"/>
    </row>
    <row r="1900" spans="1:2" ht="14.4">
      <c r="A1900" s="32"/>
      <c r="B1900" s="32"/>
    </row>
    <row r="1901" spans="1:2" ht="14.4">
      <c r="A1901" s="32"/>
      <c r="B1901" s="32"/>
    </row>
    <row r="1902" spans="1:2" ht="14.4">
      <c r="A1902" s="32"/>
      <c r="B1902" s="32"/>
    </row>
    <row r="1903" spans="1:2" ht="14.4">
      <c r="A1903" s="32"/>
      <c r="B1903" s="32"/>
    </row>
    <row r="1904" spans="1:2" ht="14.4">
      <c r="A1904" s="32"/>
      <c r="B1904" s="32"/>
    </row>
    <row r="1905" spans="1:2" ht="14.4">
      <c r="A1905" s="32"/>
      <c r="B1905" s="32"/>
    </row>
    <row r="1906" spans="1:2" ht="14.4">
      <c r="A1906" s="32"/>
      <c r="B1906" s="32"/>
    </row>
    <row r="1907" spans="1:2" ht="14.4">
      <c r="A1907" s="32"/>
      <c r="B1907" s="32"/>
    </row>
    <row r="1908" spans="1:2" ht="14.4">
      <c r="A1908" s="32"/>
      <c r="B1908" s="32"/>
    </row>
    <row r="1909" spans="1:2" ht="14.4">
      <c r="A1909" s="32"/>
      <c r="B1909" s="32"/>
    </row>
    <row r="1910" spans="1:2" ht="14.4">
      <c r="A1910" s="32"/>
      <c r="B1910" s="32"/>
    </row>
    <row r="1911" spans="1:2" ht="14.4">
      <c r="A1911" s="32"/>
      <c r="B1911" s="32"/>
    </row>
    <row r="1912" spans="1:2" ht="14.4">
      <c r="A1912" s="32"/>
      <c r="B1912" s="32"/>
    </row>
    <row r="1913" spans="1:2" ht="14.4">
      <c r="A1913" s="32"/>
      <c r="B1913" s="32"/>
    </row>
    <row r="1914" spans="1:2" ht="14.4">
      <c r="A1914" s="32"/>
      <c r="B1914" s="32"/>
    </row>
    <row r="1915" spans="1:2" ht="14.4">
      <c r="A1915" s="32"/>
      <c r="B1915" s="32"/>
    </row>
    <row r="1916" spans="1:2" ht="14.4">
      <c r="A1916" s="32"/>
      <c r="B1916" s="32"/>
    </row>
    <row r="1917" spans="1:2" ht="14.4">
      <c r="A1917" s="32"/>
      <c r="B1917" s="32"/>
    </row>
    <row r="1918" spans="1:2" ht="14.4">
      <c r="A1918" s="32"/>
      <c r="B1918" s="32"/>
    </row>
    <row r="1919" spans="1:2" ht="14.4">
      <c r="A1919" s="32"/>
      <c r="B1919" s="32"/>
    </row>
    <row r="1920" spans="1:2" ht="14.4">
      <c r="A1920" s="32"/>
      <c r="B1920" s="32"/>
    </row>
    <row r="1921" spans="1:2" ht="14.4">
      <c r="A1921" s="32"/>
      <c r="B1921" s="32"/>
    </row>
    <row r="1922" spans="1:2" ht="14.4">
      <c r="A1922" s="32"/>
      <c r="B1922" s="32"/>
    </row>
    <row r="1923" spans="1:2" ht="14.4">
      <c r="A1923" s="32"/>
      <c r="B1923" s="32"/>
    </row>
    <row r="1924" spans="1:2" ht="14.4">
      <c r="A1924" s="32"/>
      <c r="B1924" s="32"/>
    </row>
    <row r="1925" spans="1:2" ht="14.4">
      <c r="A1925" s="32"/>
      <c r="B1925" s="32"/>
    </row>
    <row r="1926" spans="1:2" ht="14.4">
      <c r="A1926" s="32"/>
      <c r="B1926" s="32"/>
    </row>
    <row r="1927" spans="1:2" ht="14.4">
      <c r="A1927" s="32"/>
      <c r="B1927" s="32"/>
    </row>
    <row r="1928" spans="1:2" ht="14.4">
      <c r="A1928" s="32"/>
      <c r="B1928" s="32"/>
    </row>
    <row r="1929" spans="1:2" ht="14.4">
      <c r="A1929" s="32"/>
      <c r="B1929" s="32"/>
    </row>
    <row r="1930" spans="1:2" ht="14.4">
      <c r="A1930" s="32"/>
      <c r="B1930" s="32"/>
    </row>
    <row r="1931" spans="1:2" ht="14.4">
      <c r="A1931" s="32"/>
      <c r="B1931" s="32"/>
    </row>
    <row r="1932" spans="1:2" ht="14.4">
      <c r="A1932" s="32"/>
      <c r="B1932" s="32"/>
    </row>
    <row r="1933" spans="1:2" ht="14.4">
      <c r="A1933" s="32"/>
      <c r="B1933" s="32"/>
    </row>
    <row r="1934" spans="1:2" ht="14.4">
      <c r="A1934" s="32"/>
      <c r="B1934" s="32"/>
    </row>
    <row r="1935" spans="1:2" ht="14.4">
      <c r="A1935" s="32"/>
      <c r="B1935" s="32"/>
    </row>
    <row r="1936" spans="1:2" ht="14.4">
      <c r="A1936" s="32"/>
      <c r="B1936" s="32"/>
    </row>
    <row r="1937" spans="1:2" ht="14.4">
      <c r="A1937" s="32"/>
      <c r="B1937" s="32"/>
    </row>
    <row r="1938" spans="1:2" ht="14.4">
      <c r="A1938" s="32"/>
      <c r="B1938" s="32"/>
    </row>
    <row r="1939" spans="1:2" ht="14.4">
      <c r="A1939" s="32"/>
      <c r="B1939" s="32"/>
    </row>
    <row r="1940" spans="1:2" ht="14.4">
      <c r="A1940" s="32"/>
      <c r="B1940" s="32"/>
    </row>
    <row r="1941" spans="1:2" ht="14.4">
      <c r="A1941" s="32"/>
      <c r="B1941" s="32"/>
    </row>
    <row r="1942" spans="1:2" ht="14.4">
      <c r="A1942" s="32"/>
      <c r="B1942" s="32"/>
    </row>
    <row r="1943" spans="1:2" ht="14.4">
      <c r="A1943" s="32"/>
      <c r="B1943" s="32"/>
    </row>
    <row r="1944" spans="1:2" ht="14.4">
      <c r="A1944" s="32"/>
      <c r="B1944" s="32"/>
    </row>
    <row r="1945" spans="1:2" ht="14.4">
      <c r="A1945" s="32"/>
      <c r="B1945" s="32"/>
    </row>
    <row r="1946" spans="1:2" ht="14.4">
      <c r="A1946" s="32"/>
      <c r="B1946" s="32"/>
    </row>
    <row r="1947" spans="1:2" ht="14.4">
      <c r="A1947" s="32"/>
      <c r="B1947" s="32"/>
    </row>
    <row r="1948" spans="1:2" ht="14.4">
      <c r="A1948" s="32"/>
      <c r="B1948" s="32"/>
    </row>
    <row r="1949" spans="1:2" ht="14.4">
      <c r="A1949" s="32"/>
      <c r="B1949" s="32"/>
    </row>
    <row r="1950" spans="1:2" ht="14.4">
      <c r="A1950" s="32"/>
      <c r="B1950" s="32"/>
    </row>
    <row r="1951" spans="1:2" ht="14.4">
      <c r="A1951" s="32"/>
      <c r="B1951" s="32"/>
    </row>
    <row r="1952" spans="1:2" ht="14.4">
      <c r="A1952" s="32"/>
      <c r="B1952" s="32"/>
    </row>
    <row r="1953" spans="1:2" ht="14.4">
      <c r="A1953" s="32"/>
      <c r="B1953" s="32"/>
    </row>
    <row r="1954" spans="1:2" ht="14.4">
      <c r="A1954" s="32"/>
      <c r="B1954" s="32"/>
    </row>
    <row r="1955" spans="1:2" ht="14.4">
      <c r="A1955" s="32"/>
      <c r="B1955" s="32"/>
    </row>
    <row r="1956" spans="1:2" ht="14.4">
      <c r="A1956" s="32"/>
      <c r="B1956" s="32"/>
    </row>
    <row r="1957" spans="1:2" ht="14.4">
      <c r="A1957" s="32"/>
      <c r="B1957" s="32"/>
    </row>
    <row r="1958" spans="1:2" ht="14.4">
      <c r="A1958" s="32"/>
      <c r="B1958" s="32"/>
    </row>
    <row r="1959" spans="1:2" ht="14.4">
      <c r="A1959" s="32"/>
      <c r="B1959" s="32"/>
    </row>
    <row r="1960" spans="1:2" ht="14.4">
      <c r="A1960" s="32"/>
      <c r="B1960" s="32"/>
    </row>
    <row r="1961" spans="1:2" ht="14.4">
      <c r="A1961" s="32"/>
      <c r="B1961" s="32"/>
    </row>
    <row r="1962" spans="1:2" ht="14.4">
      <c r="A1962" s="32"/>
      <c r="B1962" s="32"/>
    </row>
    <row r="1963" spans="1:2" ht="14.4">
      <c r="A1963" s="32"/>
      <c r="B1963" s="32"/>
    </row>
    <row r="1964" spans="1:2" ht="14.4">
      <c r="A1964" s="32"/>
      <c r="B1964" s="32"/>
    </row>
    <row r="1965" spans="1:2" ht="14.4">
      <c r="A1965" s="32"/>
      <c r="B1965" s="32"/>
    </row>
    <row r="1966" spans="1:2" ht="14.4">
      <c r="A1966" s="32"/>
      <c r="B1966" s="32"/>
    </row>
    <row r="1967" spans="1:2" ht="14.4">
      <c r="A1967" s="32"/>
      <c r="B1967" s="32"/>
    </row>
    <row r="1968" spans="1:2" ht="14.4">
      <c r="A1968" s="32"/>
      <c r="B1968" s="32"/>
    </row>
    <row r="1969" spans="1:2" ht="14.4">
      <c r="A1969" s="32"/>
      <c r="B1969" s="32"/>
    </row>
    <row r="1970" spans="1:2" ht="14.4">
      <c r="A1970" s="32"/>
      <c r="B1970" s="32"/>
    </row>
    <row r="1971" spans="1:2" ht="14.4">
      <c r="A1971" s="32"/>
      <c r="B1971" s="32"/>
    </row>
    <row r="1972" spans="1:2" ht="14.4">
      <c r="A1972" s="32"/>
      <c r="B1972" s="32"/>
    </row>
    <row r="1973" spans="1:2" ht="14.4">
      <c r="A1973" s="32"/>
      <c r="B1973" s="32"/>
    </row>
    <row r="1974" spans="1:2" ht="14.4">
      <c r="A1974" s="32"/>
      <c r="B1974" s="32"/>
    </row>
    <row r="1975" spans="1:2" ht="14.4">
      <c r="A1975" s="32"/>
      <c r="B1975" s="32"/>
    </row>
    <row r="1976" spans="1:2" ht="14.4">
      <c r="A1976" s="32"/>
      <c r="B1976" s="32"/>
    </row>
    <row r="1977" spans="1:2" ht="14.4">
      <c r="A1977" s="32"/>
      <c r="B1977" s="32"/>
    </row>
    <row r="1978" spans="1:2" ht="14.4">
      <c r="A1978" s="32"/>
      <c r="B1978" s="32"/>
    </row>
    <row r="1979" spans="1:2" ht="14.4">
      <c r="A1979" s="32"/>
      <c r="B1979" s="32"/>
    </row>
    <row r="1980" spans="1:2" ht="14.4">
      <c r="A1980" s="32"/>
      <c r="B1980" s="32"/>
    </row>
    <row r="1981" spans="1:2" ht="14.4">
      <c r="A1981" s="32"/>
      <c r="B1981" s="32"/>
    </row>
    <row r="1982" spans="1:2" ht="14.4">
      <c r="A1982" s="32"/>
      <c r="B1982" s="32"/>
    </row>
    <row r="1983" spans="1:2" ht="14.4">
      <c r="A1983" s="32"/>
      <c r="B1983" s="32"/>
    </row>
    <row r="1984" spans="1:2" ht="14.4">
      <c r="A1984" s="32"/>
      <c r="B1984" s="32"/>
    </row>
    <row r="1985" spans="1:2" ht="14.4">
      <c r="A1985" s="32"/>
      <c r="B1985" s="32"/>
    </row>
    <row r="1986" spans="1:2" ht="14.4">
      <c r="A1986" s="32"/>
      <c r="B1986" s="32"/>
    </row>
    <row r="1987" spans="1:2" ht="14.4">
      <c r="A1987" s="32"/>
      <c r="B1987" s="32"/>
    </row>
    <row r="1988" spans="1:2" ht="14.4">
      <c r="A1988" s="32"/>
      <c r="B1988" s="32"/>
    </row>
    <row r="1989" spans="1:2" ht="14.4">
      <c r="A1989" s="32"/>
      <c r="B1989" s="32"/>
    </row>
    <row r="1990" spans="1:2" ht="14.4">
      <c r="A1990" s="32"/>
      <c r="B1990" s="32"/>
    </row>
    <row r="1991" spans="1:2" ht="14.4">
      <c r="A1991" s="32"/>
      <c r="B1991" s="32"/>
    </row>
    <row r="1992" spans="1:2" ht="14.4">
      <c r="A1992" s="32"/>
      <c r="B1992" s="32"/>
    </row>
    <row r="1993" spans="1:2" ht="14.4">
      <c r="A1993" s="32"/>
      <c r="B1993" s="32"/>
    </row>
    <row r="1994" spans="1:2" ht="14.4">
      <c r="A1994" s="32"/>
      <c r="B1994" s="32"/>
    </row>
    <row r="1995" spans="1:2" ht="14.4">
      <c r="A1995" s="32"/>
      <c r="B1995" s="32"/>
    </row>
    <row r="1996" spans="1:2" ht="14.4">
      <c r="A1996" s="32"/>
      <c r="B1996" s="32"/>
    </row>
    <row r="1997" spans="1:2" ht="14.4">
      <c r="A1997" s="32"/>
      <c r="B1997" s="32"/>
    </row>
    <row r="1998" spans="1:2" ht="14.4">
      <c r="A1998" s="32"/>
      <c r="B1998" s="32"/>
    </row>
    <row r="1999" spans="1:2" ht="14.4">
      <c r="A1999" s="32"/>
      <c r="B1999" s="32"/>
    </row>
    <row r="2000" spans="1:2" ht="14.4">
      <c r="A2000" s="32"/>
      <c r="B2000" s="32"/>
    </row>
    <row r="2001" spans="1:2" ht="14.4">
      <c r="A2001" s="32"/>
      <c r="B2001" s="32"/>
    </row>
    <row r="2002" spans="1:2" ht="14.4">
      <c r="A2002" s="32"/>
      <c r="B2002" s="32"/>
    </row>
    <row r="2003" spans="1:2" ht="14.4">
      <c r="A2003" s="32"/>
      <c r="B2003" s="32"/>
    </row>
    <row r="2004" spans="1:2" ht="14.4">
      <c r="A2004" s="32"/>
      <c r="B2004" s="32"/>
    </row>
    <row r="2005" spans="1:2" ht="14.4">
      <c r="A2005" s="32"/>
      <c r="B2005" s="32"/>
    </row>
    <row r="2006" spans="1:2" ht="14.4">
      <c r="A2006" s="32"/>
      <c r="B2006" s="32"/>
    </row>
    <row r="2007" spans="1:2" ht="14.4">
      <c r="A2007" s="32"/>
      <c r="B2007" s="32"/>
    </row>
    <row r="2008" spans="1:2" ht="14.4">
      <c r="A2008" s="32"/>
      <c r="B2008" s="32"/>
    </row>
    <row r="2009" spans="1:2" ht="14.4">
      <c r="A2009" s="32"/>
      <c r="B2009" s="32"/>
    </row>
    <row r="2010" spans="1:2" ht="14.4">
      <c r="A2010" s="32"/>
      <c r="B2010" s="32"/>
    </row>
    <row r="2011" spans="1:2" ht="14.4">
      <c r="A2011" s="32"/>
      <c r="B2011" s="32"/>
    </row>
    <row r="2012" spans="1:2" ht="14.4">
      <c r="A2012" s="32"/>
      <c r="B2012" s="32"/>
    </row>
    <row r="2013" spans="1:2" ht="14.4">
      <c r="A2013" s="32"/>
      <c r="B2013" s="32"/>
    </row>
    <row r="2014" spans="1:2" ht="14.4">
      <c r="A2014" s="32"/>
      <c r="B2014" s="32"/>
    </row>
    <row r="2015" spans="1:2" ht="14.4">
      <c r="A2015" s="32"/>
      <c r="B2015" s="32"/>
    </row>
    <row r="2016" spans="1:2" ht="14.4">
      <c r="A2016" s="32"/>
      <c r="B2016" s="32"/>
    </row>
    <row r="2017" spans="1:2" ht="14.4">
      <c r="A2017" s="32"/>
      <c r="B2017" s="32"/>
    </row>
    <row r="2018" spans="1:2" ht="14.4">
      <c r="A2018" s="32"/>
      <c r="B2018" s="32"/>
    </row>
    <row r="2019" spans="1:2" ht="14.4">
      <c r="A2019" s="32"/>
      <c r="B2019" s="32"/>
    </row>
    <row r="2020" spans="1:2" ht="14.4">
      <c r="A2020" s="32"/>
      <c r="B2020" s="32"/>
    </row>
    <row r="2021" spans="1:2" ht="14.4">
      <c r="A2021" s="32"/>
      <c r="B2021" s="32"/>
    </row>
    <row r="2022" spans="1:2" ht="14.4">
      <c r="A2022" s="32"/>
      <c r="B2022" s="32"/>
    </row>
    <row r="2023" spans="1:2" ht="14.4">
      <c r="A2023" s="32"/>
      <c r="B2023" s="32"/>
    </row>
    <row r="2024" spans="1:2" ht="14.4">
      <c r="A2024" s="32"/>
      <c r="B2024" s="32"/>
    </row>
    <row r="2025" spans="1:2" ht="14.4">
      <c r="A2025" s="32"/>
      <c r="B2025" s="32"/>
    </row>
    <row r="2026" spans="1:2" ht="14.4">
      <c r="A2026" s="32"/>
      <c r="B2026" s="32"/>
    </row>
    <row r="2027" spans="1:2" ht="14.4">
      <c r="A2027" s="32"/>
      <c r="B2027" s="32"/>
    </row>
    <row r="2028" spans="1:2" ht="14.4">
      <c r="A2028" s="32"/>
      <c r="B2028" s="32"/>
    </row>
    <row r="2029" spans="1:2" ht="14.4">
      <c r="A2029" s="32"/>
      <c r="B2029" s="32"/>
    </row>
    <row r="2030" spans="1:2" ht="14.4">
      <c r="A2030" s="32"/>
      <c r="B2030" s="32"/>
    </row>
    <row r="2031" spans="1:2" ht="14.4">
      <c r="A2031" s="32"/>
      <c r="B2031" s="32"/>
    </row>
    <row r="2032" spans="1:2" ht="14.4">
      <c r="A2032" s="32"/>
      <c r="B2032" s="32"/>
    </row>
    <row r="2033" spans="1:2" ht="14.4">
      <c r="A2033" s="32"/>
      <c r="B2033" s="32"/>
    </row>
    <row r="2034" spans="1:2" ht="14.4">
      <c r="A2034" s="32"/>
      <c r="B2034" s="32"/>
    </row>
    <row r="2035" spans="1:2" ht="14.4">
      <c r="A2035" s="32"/>
      <c r="B2035" s="32"/>
    </row>
    <row r="2036" spans="1:2" ht="14.4">
      <c r="A2036" s="32"/>
      <c r="B2036" s="32"/>
    </row>
    <row r="2037" spans="1:2" ht="14.4">
      <c r="A2037" s="32"/>
      <c r="B2037" s="32"/>
    </row>
    <row r="2038" spans="1:2" ht="14.4">
      <c r="A2038" s="32"/>
      <c r="B2038" s="32"/>
    </row>
    <row r="2039" spans="1:2" ht="14.4">
      <c r="A2039" s="32"/>
      <c r="B2039" s="32"/>
    </row>
    <row r="2040" spans="1:2" ht="14.4">
      <c r="A2040" s="32"/>
      <c r="B2040" s="32"/>
    </row>
    <row r="2041" spans="1:2" ht="14.4">
      <c r="A2041" s="32"/>
      <c r="B2041" s="32"/>
    </row>
    <row r="2042" spans="1:2" ht="14.4">
      <c r="A2042" s="32"/>
      <c r="B2042" s="32"/>
    </row>
    <row r="2043" spans="1:2" ht="14.4">
      <c r="A2043" s="32"/>
      <c r="B2043" s="32"/>
    </row>
    <row r="2044" spans="1:2" ht="14.4">
      <c r="A2044" s="32"/>
      <c r="B2044" s="32"/>
    </row>
    <row r="2045" spans="1:2" ht="14.4">
      <c r="A2045" s="32"/>
      <c r="B2045" s="32"/>
    </row>
    <row r="2046" spans="1:2" ht="14.4">
      <c r="A2046" s="32"/>
      <c r="B2046" s="32"/>
    </row>
    <row r="2047" spans="1:2" ht="14.4">
      <c r="A2047" s="32"/>
      <c r="B2047" s="32"/>
    </row>
    <row r="2048" spans="1:2" ht="14.4">
      <c r="A2048" s="32"/>
      <c r="B2048" s="32"/>
    </row>
    <row r="2049" spans="1:2" ht="14.4">
      <c r="A2049" s="32"/>
      <c r="B2049" s="32"/>
    </row>
    <row r="2050" spans="1:2" ht="14.4">
      <c r="A2050" s="32"/>
      <c r="B2050" s="32"/>
    </row>
    <row r="2051" spans="1:2" ht="14.4">
      <c r="A2051" s="32"/>
      <c r="B2051" s="32"/>
    </row>
    <row r="2052" spans="1:2" ht="14.4">
      <c r="A2052" s="32"/>
      <c r="B2052" s="32"/>
    </row>
    <row r="2053" spans="1:2" ht="14.4">
      <c r="A2053" s="32"/>
      <c r="B2053" s="32"/>
    </row>
    <row r="2054" spans="1:2" ht="14.4">
      <c r="A2054" s="32"/>
      <c r="B2054" s="32"/>
    </row>
    <row r="2055" spans="1:2" ht="14.4">
      <c r="A2055" s="32"/>
      <c r="B2055" s="32"/>
    </row>
    <row r="2056" spans="1:2" ht="14.4">
      <c r="A2056" s="32"/>
      <c r="B2056" s="32"/>
    </row>
    <row r="2057" spans="1:2" ht="14.4">
      <c r="A2057" s="32"/>
      <c r="B2057" s="32"/>
    </row>
    <row r="2058" spans="1:2" ht="14.4">
      <c r="A2058" s="32"/>
      <c r="B2058" s="32"/>
    </row>
    <row r="2059" spans="1:2" ht="14.4">
      <c r="A2059" s="32"/>
      <c r="B2059" s="32"/>
    </row>
    <row r="2060" spans="1:2" ht="14.4">
      <c r="A2060" s="32"/>
      <c r="B2060" s="32"/>
    </row>
    <row r="2061" spans="1:2" ht="14.4">
      <c r="A2061" s="32"/>
      <c r="B2061" s="32"/>
    </row>
    <row r="2062" spans="1:2" ht="14.4">
      <c r="A2062" s="32"/>
      <c r="B2062" s="32"/>
    </row>
    <row r="2063" spans="1:2" ht="14.4">
      <c r="A2063" s="32"/>
      <c r="B2063" s="32"/>
    </row>
    <row r="2064" spans="1:2" ht="14.4">
      <c r="A2064" s="32"/>
      <c r="B2064" s="32"/>
    </row>
    <row r="2065" spans="1:2" ht="14.4">
      <c r="A2065" s="32"/>
      <c r="B2065" s="32"/>
    </row>
    <row r="2066" spans="1:2" ht="14.4">
      <c r="A2066" s="32"/>
      <c r="B2066" s="32"/>
    </row>
    <row r="2067" spans="1:2" ht="14.4">
      <c r="A2067" s="32"/>
      <c r="B2067" s="32"/>
    </row>
    <row r="2068" spans="1:2" ht="14.4">
      <c r="A2068" s="32"/>
      <c r="B2068" s="32"/>
    </row>
    <row r="2069" spans="1:2" ht="14.4">
      <c r="A2069" s="32"/>
      <c r="B2069" s="32"/>
    </row>
    <row r="2070" spans="1:2" ht="14.4">
      <c r="A2070" s="32"/>
      <c r="B2070" s="32"/>
    </row>
    <row r="2071" spans="1:2" ht="14.4">
      <c r="A2071" s="32"/>
      <c r="B2071" s="32"/>
    </row>
    <row r="2072" spans="1:2" ht="14.4">
      <c r="A2072" s="32"/>
      <c r="B2072" s="32"/>
    </row>
    <row r="2073" spans="1:2" ht="14.4">
      <c r="A2073" s="32"/>
      <c r="B2073" s="32"/>
    </row>
    <row r="2074" spans="1:2" ht="14.4">
      <c r="A2074" s="32"/>
      <c r="B2074" s="32"/>
    </row>
    <row r="2075" spans="1:2" ht="14.4">
      <c r="A2075" s="32"/>
      <c r="B2075" s="32"/>
    </row>
    <row r="2076" spans="1:2" ht="14.4">
      <c r="A2076" s="32"/>
      <c r="B2076" s="32"/>
    </row>
    <row r="2077" spans="1:2" ht="14.4">
      <c r="A2077" s="32"/>
      <c r="B2077" s="32"/>
    </row>
    <row r="2078" spans="1:2" ht="14.4">
      <c r="A2078" s="32"/>
      <c r="B2078" s="32"/>
    </row>
    <row r="2079" spans="1:2" ht="14.4">
      <c r="A2079" s="32"/>
      <c r="B2079" s="32"/>
    </row>
    <row r="2080" spans="1:2" ht="14.4">
      <c r="A2080" s="32"/>
      <c r="B2080" s="32"/>
    </row>
    <row r="2081" spans="1:2" ht="14.4">
      <c r="A2081" s="32"/>
      <c r="B2081" s="32"/>
    </row>
    <row r="2082" spans="1:2" ht="14.4">
      <c r="A2082" s="32"/>
      <c r="B2082" s="32"/>
    </row>
    <row r="2083" spans="1:2" ht="14.4">
      <c r="A2083" s="32"/>
      <c r="B2083" s="32"/>
    </row>
    <row r="2084" spans="1:2" ht="14.4">
      <c r="A2084" s="32"/>
      <c r="B2084" s="32"/>
    </row>
    <row r="2085" spans="1:2" ht="14.4">
      <c r="A2085" s="32"/>
      <c r="B2085" s="32"/>
    </row>
    <row r="2086" spans="1:2" ht="14.4">
      <c r="A2086" s="32"/>
      <c r="B2086" s="32"/>
    </row>
    <row r="2087" spans="1:2" ht="14.4">
      <c r="A2087" s="32"/>
      <c r="B2087" s="32"/>
    </row>
    <row r="2088" spans="1:2" ht="14.4">
      <c r="A2088" s="32"/>
      <c r="B2088" s="32"/>
    </row>
    <row r="2089" spans="1:2" ht="14.4">
      <c r="A2089" s="32"/>
      <c r="B2089" s="32"/>
    </row>
    <row r="2090" spans="1:2" ht="14.4">
      <c r="A2090" s="32"/>
      <c r="B2090" s="32"/>
    </row>
    <row r="2091" spans="1:2" ht="14.4">
      <c r="A2091" s="32"/>
      <c r="B2091" s="32"/>
    </row>
    <row r="2092" spans="1:2" ht="14.4">
      <c r="A2092" s="32"/>
      <c r="B2092" s="32"/>
    </row>
    <row r="2093" spans="1:2" ht="14.4">
      <c r="A2093" s="32"/>
      <c r="B2093" s="32"/>
    </row>
    <row r="2094" spans="1:2" ht="14.4">
      <c r="A2094" s="32"/>
      <c r="B2094" s="32"/>
    </row>
    <row r="2095" spans="1:2" ht="14.4">
      <c r="A2095" s="32"/>
      <c r="B2095" s="32"/>
    </row>
    <row r="2096" spans="1:2" ht="14.4">
      <c r="A2096" s="32"/>
      <c r="B2096" s="32"/>
    </row>
    <row r="2097" spans="1:2" ht="14.4">
      <c r="A2097" s="32"/>
      <c r="B2097" s="32"/>
    </row>
    <row r="2098" spans="1:2" ht="14.4">
      <c r="A2098" s="32"/>
      <c r="B2098" s="32"/>
    </row>
    <row r="2099" spans="1:2" ht="14.4">
      <c r="A2099" s="32"/>
      <c r="B2099" s="32"/>
    </row>
    <row r="2100" spans="1:2" ht="14.4">
      <c r="A2100" s="32"/>
      <c r="B2100" s="32"/>
    </row>
    <row r="2101" spans="1:2" ht="14.4">
      <c r="A2101" s="32"/>
      <c r="B2101" s="32"/>
    </row>
    <row r="2102" spans="1:2" ht="14.4">
      <c r="A2102" s="32"/>
      <c r="B2102" s="32"/>
    </row>
    <row r="2103" spans="1:2" ht="14.4">
      <c r="A2103" s="32"/>
      <c r="B2103" s="32"/>
    </row>
    <row r="2104" spans="1:2" ht="14.4">
      <c r="A2104" s="32"/>
      <c r="B2104" s="32"/>
    </row>
    <row r="2105" spans="1:2" ht="14.4">
      <c r="A2105" s="32"/>
      <c r="B2105" s="32"/>
    </row>
    <row r="2106" spans="1:2" ht="14.4">
      <c r="A2106" s="32"/>
      <c r="B2106" s="32"/>
    </row>
    <row r="2107" spans="1:2" ht="14.4">
      <c r="A2107" s="32"/>
      <c r="B2107" s="32"/>
    </row>
    <row r="2108" spans="1:2" ht="14.4">
      <c r="A2108" s="32"/>
      <c r="B2108" s="32"/>
    </row>
    <row r="2109" spans="1:2" ht="14.4">
      <c r="A2109" s="32"/>
      <c r="B2109" s="32"/>
    </row>
    <row r="2110" spans="1:2" ht="14.4">
      <c r="A2110" s="32"/>
      <c r="B2110" s="32"/>
    </row>
    <row r="2111" spans="1:2" ht="14.4">
      <c r="A2111" s="32"/>
      <c r="B2111" s="32"/>
    </row>
    <row r="2112" spans="1:2" ht="14.4">
      <c r="A2112" s="32"/>
      <c r="B2112" s="32"/>
    </row>
    <row r="2113" spans="1:2" ht="14.4">
      <c r="A2113" s="32"/>
      <c r="B2113" s="32"/>
    </row>
    <row r="2114" spans="1:2" ht="14.4">
      <c r="A2114" s="32"/>
      <c r="B2114" s="32"/>
    </row>
    <row r="2115" spans="1:2" ht="14.4">
      <c r="A2115" s="32"/>
      <c r="B2115" s="32"/>
    </row>
    <row r="2116" spans="1:2" ht="14.4">
      <c r="A2116" s="32"/>
      <c r="B2116" s="32"/>
    </row>
    <row r="2117" spans="1:2" ht="14.4">
      <c r="A2117" s="32"/>
      <c r="B2117" s="32"/>
    </row>
    <row r="2118" spans="1:2" ht="14.4">
      <c r="A2118" s="32"/>
      <c r="B2118" s="32"/>
    </row>
    <row r="2119" spans="1:2" ht="14.4">
      <c r="A2119" s="32"/>
      <c r="B2119" s="32"/>
    </row>
    <row r="2120" spans="1:2" ht="14.4">
      <c r="A2120" s="32"/>
      <c r="B2120" s="32"/>
    </row>
    <row r="2121" spans="1:2" ht="14.4">
      <c r="A2121" s="32"/>
      <c r="B2121" s="32"/>
    </row>
    <row r="2122" spans="1:2" ht="14.4">
      <c r="A2122" s="32"/>
      <c r="B2122" s="32"/>
    </row>
    <row r="2123" spans="1:2" ht="14.4">
      <c r="A2123" s="32"/>
      <c r="B2123" s="32"/>
    </row>
    <row r="2124" spans="1:2" ht="14.4">
      <c r="A2124" s="32"/>
      <c r="B2124" s="32"/>
    </row>
    <row r="2125" spans="1:2" ht="14.4">
      <c r="A2125" s="32"/>
      <c r="B2125" s="32"/>
    </row>
    <row r="2126" spans="1:2" ht="14.4">
      <c r="A2126" s="32"/>
      <c r="B2126" s="32"/>
    </row>
    <row r="2127" spans="1:2" ht="14.4">
      <c r="A2127" s="32"/>
      <c r="B2127" s="32"/>
    </row>
    <row r="2128" spans="1:2" ht="14.4">
      <c r="A2128" s="32"/>
      <c r="B2128" s="32"/>
    </row>
    <row r="2129" spans="1:2" ht="14.4">
      <c r="A2129" s="32"/>
      <c r="B2129" s="32"/>
    </row>
    <row r="2130" spans="1:2" ht="14.4">
      <c r="A2130" s="32"/>
      <c r="B2130" s="32"/>
    </row>
    <row r="2131" spans="1:2" ht="14.4">
      <c r="A2131" s="32"/>
      <c r="B2131" s="32"/>
    </row>
    <row r="2132" spans="1:2" ht="14.4">
      <c r="A2132" s="32"/>
      <c r="B2132" s="32"/>
    </row>
    <row r="2133" spans="1:2" ht="14.4">
      <c r="A2133" s="32"/>
      <c r="B2133" s="32"/>
    </row>
    <row r="2134" spans="1:2" ht="14.4">
      <c r="A2134" s="32"/>
      <c r="B2134" s="32"/>
    </row>
    <row r="2135" spans="1:2" ht="14.4">
      <c r="A2135" s="32"/>
      <c r="B2135" s="32"/>
    </row>
    <row r="2136" spans="1:2" ht="14.4">
      <c r="A2136" s="32"/>
      <c r="B2136" s="32"/>
    </row>
    <row r="2137" spans="1:2" ht="14.4">
      <c r="A2137" s="32"/>
      <c r="B2137" s="32"/>
    </row>
    <row r="2138" spans="1:2" ht="14.4">
      <c r="A2138" s="32"/>
      <c r="B2138" s="32"/>
    </row>
    <row r="2139" spans="1:2" ht="14.4">
      <c r="A2139" s="32"/>
      <c r="B2139" s="32"/>
    </row>
    <row r="2140" spans="1:2" ht="14.4">
      <c r="A2140" s="32"/>
      <c r="B2140" s="32"/>
    </row>
    <row r="2141" spans="1:2" ht="14.4">
      <c r="A2141" s="32"/>
      <c r="B2141" s="32"/>
    </row>
    <row r="2142" spans="1:2" ht="14.4">
      <c r="A2142" s="32"/>
      <c r="B2142" s="32"/>
    </row>
    <row r="2143" spans="1:2" ht="14.4">
      <c r="A2143" s="32"/>
      <c r="B2143" s="32"/>
    </row>
    <row r="2144" spans="1:2" ht="14.4">
      <c r="A2144" s="32"/>
      <c r="B2144" s="32"/>
    </row>
    <row r="2145" spans="1:2" ht="14.4">
      <c r="A2145" s="32"/>
      <c r="B2145" s="32"/>
    </row>
    <row r="2146" spans="1:2" ht="14.4">
      <c r="A2146" s="32"/>
      <c r="B2146" s="32"/>
    </row>
    <row r="2147" spans="1:2" ht="14.4">
      <c r="A2147" s="32"/>
      <c r="B2147" s="32"/>
    </row>
    <row r="2148" spans="1:2" ht="14.4">
      <c r="A2148" s="32"/>
      <c r="B2148" s="32"/>
    </row>
    <row r="2149" spans="1:2" ht="14.4">
      <c r="A2149" s="32"/>
      <c r="B2149" s="32"/>
    </row>
    <row r="2150" spans="1:2" ht="14.4">
      <c r="A2150" s="32"/>
      <c r="B2150" s="32"/>
    </row>
    <row r="2151" spans="1:2" ht="14.4">
      <c r="A2151" s="32"/>
      <c r="B2151" s="32"/>
    </row>
    <row r="2152" spans="1:2" ht="14.4">
      <c r="A2152" s="32"/>
      <c r="B2152" s="32"/>
    </row>
    <row r="2153" spans="1:2" ht="14.4">
      <c r="A2153" s="32"/>
      <c r="B2153" s="32"/>
    </row>
    <row r="2154" spans="1:2" ht="14.4">
      <c r="A2154" s="32"/>
      <c r="B2154" s="32"/>
    </row>
    <row r="2155" spans="1:2" ht="14.4">
      <c r="A2155" s="32"/>
      <c r="B2155" s="32"/>
    </row>
    <row r="2156" spans="1:2" ht="14.4">
      <c r="A2156" s="32"/>
      <c r="B2156" s="32"/>
    </row>
    <row r="2157" spans="1:2" ht="14.4">
      <c r="A2157" s="32"/>
      <c r="B2157" s="32"/>
    </row>
    <row r="2158" spans="1:2" ht="14.4">
      <c r="A2158" s="32"/>
      <c r="B2158" s="32"/>
    </row>
    <row r="2159" spans="1:2" ht="14.4">
      <c r="A2159" s="32"/>
      <c r="B2159" s="32"/>
    </row>
    <row r="2160" spans="1:2" ht="14.4">
      <c r="A2160" s="32"/>
      <c r="B2160" s="32"/>
    </row>
    <row r="2161" spans="1:2" ht="14.4">
      <c r="A2161" s="32"/>
      <c r="B2161" s="32"/>
    </row>
    <row r="2162" spans="1:2" ht="14.4">
      <c r="A2162" s="32"/>
      <c r="B2162" s="32"/>
    </row>
    <row r="2163" spans="1:2" ht="14.4">
      <c r="A2163" s="32"/>
      <c r="B2163" s="32"/>
    </row>
    <row r="2164" spans="1:2" ht="14.4">
      <c r="A2164" s="32"/>
      <c r="B2164" s="32"/>
    </row>
    <row r="2165" spans="1:2" ht="14.4">
      <c r="A2165" s="32"/>
      <c r="B2165" s="32"/>
    </row>
    <row r="2166" spans="1:2" ht="14.4">
      <c r="A2166" s="32"/>
      <c r="B2166" s="32"/>
    </row>
    <row r="2167" spans="1:2" ht="14.4">
      <c r="A2167" s="32"/>
      <c r="B2167" s="32"/>
    </row>
    <row r="2168" spans="1:2" ht="14.4">
      <c r="A2168" s="32"/>
      <c r="B2168" s="32"/>
    </row>
    <row r="2169" spans="1:2" ht="14.4">
      <c r="A2169" s="32"/>
      <c r="B2169" s="32"/>
    </row>
    <row r="2170" spans="1:2" ht="14.4">
      <c r="A2170" s="32"/>
      <c r="B2170" s="32"/>
    </row>
    <row r="2171" spans="1:2" ht="14.4">
      <c r="A2171" s="32"/>
      <c r="B2171" s="32"/>
    </row>
    <row r="2172" spans="1:2" ht="14.4">
      <c r="A2172" s="32"/>
      <c r="B2172" s="32"/>
    </row>
    <row r="2173" spans="1:2" ht="14.4">
      <c r="A2173" s="32"/>
      <c r="B2173" s="32"/>
    </row>
    <row r="2174" spans="1:2" ht="14.4">
      <c r="A2174" s="32"/>
      <c r="B2174" s="32"/>
    </row>
    <row r="2175" spans="1:2" ht="14.4">
      <c r="A2175" s="32"/>
      <c r="B2175" s="32"/>
    </row>
    <row r="2176" spans="1:2" ht="14.4">
      <c r="A2176" s="32"/>
      <c r="B2176" s="32"/>
    </row>
    <row r="2177" spans="1:2" ht="14.4">
      <c r="A2177" s="32"/>
      <c r="B2177" s="32"/>
    </row>
    <row r="2178" spans="1:2" ht="14.4">
      <c r="A2178" s="32"/>
      <c r="B2178" s="32"/>
    </row>
    <row r="2179" spans="1:2" ht="14.4">
      <c r="A2179" s="32"/>
      <c r="B2179" s="32"/>
    </row>
    <row r="2180" spans="1:2" ht="14.4">
      <c r="A2180" s="32"/>
      <c r="B2180" s="32"/>
    </row>
    <row r="2181" spans="1:2" ht="14.4">
      <c r="A2181" s="32"/>
      <c r="B2181" s="32"/>
    </row>
    <row r="2182" spans="1:2" ht="14.4">
      <c r="A2182" s="32"/>
      <c r="B2182" s="32"/>
    </row>
    <row r="2183" spans="1:2" ht="14.4">
      <c r="A2183" s="32"/>
      <c r="B2183" s="32"/>
    </row>
    <row r="2184" spans="1:2" ht="14.4">
      <c r="A2184" s="32"/>
      <c r="B2184" s="32"/>
    </row>
    <row r="2185" spans="1:2" ht="14.4">
      <c r="A2185" s="32"/>
      <c r="B2185" s="32"/>
    </row>
    <row r="2186" spans="1:2" ht="14.4">
      <c r="A2186" s="32"/>
      <c r="B2186" s="32"/>
    </row>
    <row r="2187" spans="1:2" ht="14.4">
      <c r="A2187" s="32"/>
      <c r="B2187" s="32"/>
    </row>
    <row r="2188" spans="1:2" ht="14.4">
      <c r="A2188" s="32"/>
      <c r="B2188" s="32"/>
    </row>
    <row r="2189" spans="1:2" ht="14.4">
      <c r="A2189" s="32"/>
      <c r="B2189" s="32"/>
    </row>
    <row r="2190" spans="1:2" ht="14.4">
      <c r="A2190" s="32"/>
      <c r="B2190" s="32"/>
    </row>
    <row r="2191" spans="1:2" ht="14.4">
      <c r="A2191" s="32"/>
      <c r="B2191" s="32"/>
    </row>
    <row r="2192" spans="1:2" ht="14.4">
      <c r="A2192" s="32"/>
      <c r="B2192" s="32"/>
    </row>
    <row r="2193" spans="1:2" ht="14.4">
      <c r="A2193" s="32"/>
      <c r="B2193" s="32"/>
    </row>
    <row r="2194" spans="1:2" ht="14.4">
      <c r="A2194" s="32"/>
      <c r="B2194" s="32"/>
    </row>
    <row r="2195" spans="1:2" ht="14.4">
      <c r="A2195" s="32"/>
      <c r="B2195" s="32"/>
    </row>
    <row r="2196" spans="1:2" ht="14.4">
      <c r="A2196" s="32"/>
      <c r="B2196" s="32"/>
    </row>
    <row r="2197" spans="1:2" ht="14.4">
      <c r="A2197" s="32"/>
      <c r="B2197" s="32"/>
    </row>
    <row r="2198" spans="1:2" ht="14.4">
      <c r="A2198" s="32"/>
      <c r="B2198" s="32"/>
    </row>
    <row r="2199" spans="1:2" ht="14.4">
      <c r="A2199" s="32"/>
      <c r="B2199" s="32"/>
    </row>
    <row r="2200" spans="1:2" ht="14.4">
      <c r="A2200" s="32"/>
      <c r="B2200" s="32"/>
    </row>
    <row r="2201" spans="1:2" ht="14.4">
      <c r="A2201" s="32"/>
      <c r="B2201" s="32"/>
    </row>
    <row r="2202" spans="1:2" ht="14.4">
      <c r="A2202" s="32"/>
      <c r="B2202" s="32"/>
    </row>
    <row r="2203" spans="1:2" ht="14.4">
      <c r="A2203" s="32"/>
      <c r="B2203" s="32"/>
    </row>
    <row r="2204" spans="1:2" ht="14.4">
      <c r="A2204" s="32"/>
      <c r="B2204" s="32"/>
    </row>
    <row r="2205" spans="1:2" ht="14.4">
      <c r="A2205" s="32"/>
      <c r="B2205" s="32"/>
    </row>
    <row r="2206" spans="1:2" ht="14.4">
      <c r="A2206" s="32"/>
      <c r="B2206" s="32"/>
    </row>
    <row r="2207" spans="1:2" ht="14.4">
      <c r="A2207" s="32"/>
      <c r="B2207" s="32"/>
    </row>
    <row r="2208" spans="1:2" ht="14.4">
      <c r="A2208" s="32"/>
      <c r="B2208" s="32"/>
    </row>
    <row r="2209" spans="1:2" ht="14.4">
      <c r="A2209" s="32"/>
      <c r="B2209" s="32"/>
    </row>
    <row r="2210" spans="1:2" ht="14.4">
      <c r="A2210" s="32"/>
      <c r="B2210" s="32"/>
    </row>
    <row r="2211" spans="1:2" ht="14.4">
      <c r="A2211" s="32"/>
      <c r="B2211" s="32"/>
    </row>
    <row r="2212" spans="1:2" ht="14.4">
      <c r="A2212" s="32"/>
      <c r="B2212" s="32"/>
    </row>
    <row r="2213" spans="1:2" ht="14.4">
      <c r="A2213" s="32"/>
      <c r="B2213" s="32"/>
    </row>
    <row r="2214" spans="1:2" ht="14.4">
      <c r="A2214" s="32"/>
      <c r="B2214" s="32"/>
    </row>
    <row r="2215" spans="1:2" ht="14.4">
      <c r="A2215" s="32"/>
      <c r="B2215" s="32"/>
    </row>
    <row r="2216" spans="1:2" ht="14.4">
      <c r="A2216" s="32"/>
      <c r="B2216" s="32"/>
    </row>
    <row r="2217" spans="1:2" ht="14.4">
      <c r="A2217" s="32"/>
      <c r="B2217" s="32"/>
    </row>
    <row r="2218" spans="1:2" ht="14.4">
      <c r="A2218" s="32"/>
      <c r="B2218" s="32"/>
    </row>
    <row r="2219" spans="1:2" ht="14.4">
      <c r="A2219" s="32"/>
      <c r="B2219" s="32"/>
    </row>
    <row r="2220" spans="1:2" ht="14.4">
      <c r="A2220" s="32"/>
      <c r="B2220" s="32"/>
    </row>
    <row r="2221" spans="1:2" ht="14.4">
      <c r="A2221" s="32"/>
      <c r="B2221" s="32"/>
    </row>
    <row r="2222" spans="1:2" ht="14.4">
      <c r="A2222" s="32"/>
      <c r="B2222" s="32"/>
    </row>
    <row r="2223" spans="1:2" ht="14.4">
      <c r="A2223" s="32"/>
      <c r="B2223" s="32"/>
    </row>
    <row r="2224" spans="1:2" ht="14.4">
      <c r="A2224" s="32"/>
      <c r="B2224" s="32"/>
    </row>
    <row r="2225" spans="1:2" ht="14.4">
      <c r="A2225" s="32"/>
      <c r="B2225" s="32"/>
    </row>
    <row r="2226" spans="1:2" ht="14.4">
      <c r="A2226" s="32"/>
      <c r="B2226" s="32"/>
    </row>
    <row r="2227" spans="1:2" ht="14.4">
      <c r="A2227" s="32"/>
      <c r="B2227" s="32"/>
    </row>
    <row r="2228" spans="1:2" ht="14.4">
      <c r="A2228" s="32"/>
      <c r="B2228" s="32"/>
    </row>
    <row r="2229" spans="1:2" ht="14.4">
      <c r="A2229" s="32"/>
      <c r="B2229" s="32"/>
    </row>
    <row r="2230" spans="1:2" ht="14.4">
      <c r="A2230" s="32"/>
      <c r="B2230" s="32"/>
    </row>
    <row r="2231" spans="1:2" ht="14.4">
      <c r="A2231" s="32"/>
      <c r="B2231" s="32"/>
    </row>
    <row r="2232" spans="1:2" ht="14.4">
      <c r="A2232" s="32"/>
      <c r="B2232" s="32"/>
    </row>
    <row r="2233" spans="1:2" ht="14.4">
      <c r="A2233" s="32"/>
      <c r="B2233" s="32"/>
    </row>
    <row r="2234" spans="1:2" ht="14.4">
      <c r="A2234" s="32"/>
      <c r="B2234" s="32"/>
    </row>
    <row r="2235" spans="1:2" ht="14.4">
      <c r="A2235" s="32"/>
      <c r="B2235" s="32"/>
    </row>
    <row r="2236" spans="1:2" ht="14.4">
      <c r="A2236" s="32"/>
      <c r="B2236" s="32"/>
    </row>
    <row r="2237" spans="1:2" ht="14.4">
      <c r="A2237" s="32"/>
      <c r="B2237" s="32"/>
    </row>
    <row r="2238" spans="1:2" ht="14.4">
      <c r="A2238" s="32"/>
      <c r="B2238" s="32"/>
    </row>
    <row r="2239" spans="1:2" ht="14.4">
      <c r="A2239" s="32"/>
      <c r="B2239" s="32"/>
    </row>
    <row r="2240" spans="1:2" ht="14.4">
      <c r="A2240" s="32"/>
      <c r="B2240" s="32"/>
    </row>
    <row r="2241" spans="1:2" ht="14.4">
      <c r="A2241" s="32"/>
      <c r="B2241" s="32"/>
    </row>
    <row r="2242" spans="1:2" ht="14.4">
      <c r="A2242" s="32"/>
      <c r="B2242" s="32"/>
    </row>
    <row r="2243" spans="1:2" ht="14.4">
      <c r="A2243" s="32"/>
      <c r="B2243" s="32"/>
    </row>
    <row r="2244" spans="1:2" ht="14.4">
      <c r="A2244" s="32"/>
      <c r="B2244" s="32"/>
    </row>
    <row r="2245" spans="1:2" ht="14.4">
      <c r="A2245" s="32"/>
      <c r="B2245" s="32"/>
    </row>
    <row r="2246" spans="1:2" ht="14.4">
      <c r="A2246" s="32"/>
      <c r="B2246" s="32"/>
    </row>
    <row r="2247" spans="1:2" ht="14.4">
      <c r="A2247" s="32"/>
      <c r="B2247" s="32"/>
    </row>
    <row r="2248" spans="1:2" ht="14.4">
      <c r="A2248" s="32"/>
      <c r="B2248" s="32"/>
    </row>
    <row r="2249" spans="1:2" ht="14.4">
      <c r="A2249" s="32"/>
      <c r="B2249" s="32"/>
    </row>
    <row r="2250" spans="1:2" ht="14.4">
      <c r="A2250" s="32"/>
      <c r="B2250" s="32"/>
    </row>
    <row r="2251" spans="1:2" ht="14.4">
      <c r="A2251" s="32"/>
      <c r="B2251" s="32"/>
    </row>
    <row r="2252" spans="1:2" ht="14.4">
      <c r="A2252" s="32"/>
      <c r="B2252" s="32"/>
    </row>
    <row r="2253" spans="1:2" ht="14.4">
      <c r="A2253" s="32"/>
      <c r="B2253" s="32"/>
    </row>
    <row r="2254" spans="1:2" ht="14.4">
      <c r="A2254" s="32"/>
      <c r="B2254" s="32"/>
    </row>
    <row r="2255" spans="1:2" ht="14.4">
      <c r="A2255" s="32"/>
      <c r="B2255" s="32"/>
    </row>
    <row r="2256" spans="1:2" ht="14.4">
      <c r="A2256" s="32"/>
      <c r="B2256" s="32"/>
    </row>
    <row r="2257" spans="1:2" ht="14.4">
      <c r="A2257" s="32"/>
      <c r="B2257" s="32"/>
    </row>
    <row r="2258" spans="1:2" ht="14.4">
      <c r="A2258" s="32"/>
      <c r="B2258" s="32"/>
    </row>
    <row r="2259" spans="1:2" ht="14.4">
      <c r="A2259" s="32"/>
      <c r="B2259" s="32"/>
    </row>
    <row r="2260" spans="1:2" ht="14.4">
      <c r="A2260" s="32"/>
      <c r="B2260" s="32"/>
    </row>
    <row r="2261" spans="1:2" ht="14.4">
      <c r="A2261" s="32"/>
      <c r="B2261" s="32"/>
    </row>
    <row r="2262" spans="1:2" ht="14.4">
      <c r="A2262" s="32"/>
      <c r="B2262" s="32"/>
    </row>
    <row r="2263" spans="1:2" ht="14.4">
      <c r="A2263" s="32"/>
      <c r="B2263" s="32"/>
    </row>
    <row r="2264" spans="1:2" ht="14.4">
      <c r="A2264" s="32"/>
      <c r="B2264" s="32"/>
    </row>
    <row r="2265" spans="1:2" ht="14.4">
      <c r="A2265" s="32"/>
      <c r="B2265" s="32"/>
    </row>
    <row r="2266" spans="1:2" ht="14.4">
      <c r="A2266" s="32"/>
      <c r="B2266" s="32"/>
    </row>
    <row r="2267" spans="1:2" ht="14.4">
      <c r="A2267" s="32"/>
      <c r="B2267" s="32"/>
    </row>
    <row r="2268" spans="1:2" ht="14.4">
      <c r="A2268" s="32"/>
      <c r="B2268" s="32"/>
    </row>
    <row r="2269" spans="1:2" ht="14.4">
      <c r="A2269" s="32"/>
      <c r="B2269" s="32"/>
    </row>
    <row r="2270" spans="1:2" ht="14.4">
      <c r="A2270" s="32"/>
      <c r="B2270" s="32"/>
    </row>
    <row r="2271" spans="1:2" ht="14.4">
      <c r="A2271" s="32"/>
      <c r="B2271" s="32"/>
    </row>
    <row r="2272" spans="1:2" ht="14.4">
      <c r="A2272" s="32"/>
      <c r="B2272" s="32"/>
    </row>
    <row r="2273" spans="1:2" ht="14.4">
      <c r="A2273" s="32"/>
      <c r="B2273" s="32"/>
    </row>
    <row r="2274" spans="1:2" ht="14.4">
      <c r="A2274" s="32"/>
      <c r="B2274" s="32"/>
    </row>
    <row r="2275" spans="1:2" ht="14.4">
      <c r="A2275" s="32"/>
      <c r="B2275" s="32"/>
    </row>
    <row r="2276" spans="1:2" ht="14.4">
      <c r="A2276" s="32"/>
      <c r="B2276" s="32"/>
    </row>
    <row r="2277" spans="1:2" ht="14.4">
      <c r="A2277" s="32"/>
      <c r="B2277" s="32"/>
    </row>
    <row r="2278" spans="1:2" ht="14.4">
      <c r="A2278" s="32"/>
      <c r="B2278" s="32"/>
    </row>
    <row r="2279" spans="1:2" ht="14.4">
      <c r="A2279" s="32"/>
      <c r="B2279" s="32"/>
    </row>
    <row r="2280" spans="1:2" ht="14.4">
      <c r="A2280" s="32"/>
      <c r="B2280" s="32"/>
    </row>
    <row r="2281" spans="1:2" ht="14.4">
      <c r="A2281" s="32"/>
      <c r="B2281" s="32"/>
    </row>
    <row r="2282" spans="1:2" ht="14.4">
      <c r="A2282" s="32"/>
      <c r="B2282" s="32"/>
    </row>
    <row r="2283" spans="1:2" ht="14.4">
      <c r="A2283" s="32"/>
      <c r="B2283" s="32"/>
    </row>
    <row r="2284" spans="1:2" ht="14.4">
      <c r="A2284" s="32"/>
      <c r="B2284" s="32"/>
    </row>
    <row r="2285" spans="1:2" ht="14.4">
      <c r="A2285" s="32"/>
      <c r="B2285" s="32"/>
    </row>
    <row r="2286" spans="1:2" ht="14.4">
      <c r="A2286" s="32"/>
      <c r="B2286" s="32"/>
    </row>
    <row r="2287" spans="1:2" ht="14.4">
      <c r="A2287" s="32"/>
      <c r="B2287" s="32"/>
    </row>
    <row r="2288" spans="1:2" ht="14.4">
      <c r="A2288" s="32"/>
      <c r="B2288" s="32"/>
    </row>
    <row r="2289" spans="1:2" ht="14.4">
      <c r="A2289" s="32"/>
      <c r="B2289" s="32"/>
    </row>
    <row r="2290" spans="1:2" ht="14.4">
      <c r="A2290" s="32"/>
      <c r="B2290" s="32"/>
    </row>
    <row r="2291" spans="1:2" ht="14.4">
      <c r="A2291" s="32"/>
      <c r="B2291" s="32"/>
    </row>
    <row r="2292" spans="1:2" ht="14.4">
      <c r="A2292" s="32"/>
      <c r="B2292" s="32"/>
    </row>
    <row r="2293" spans="1:2" ht="14.4">
      <c r="A2293" s="32"/>
      <c r="B2293" s="32"/>
    </row>
    <row r="2294" spans="1:2" ht="14.4">
      <c r="A2294" s="32"/>
      <c r="B2294" s="32"/>
    </row>
    <row r="2295" spans="1:2" ht="14.4">
      <c r="A2295" s="32"/>
      <c r="B2295" s="32"/>
    </row>
    <row r="2296" spans="1:2" ht="14.4">
      <c r="A2296" s="32"/>
      <c r="B2296" s="32"/>
    </row>
    <row r="2297" spans="1:2" ht="14.4">
      <c r="A2297" s="32"/>
      <c r="B2297" s="32"/>
    </row>
    <row r="2298" spans="1:2" ht="14.4">
      <c r="A2298" s="32"/>
      <c r="B2298" s="32"/>
    </row>
    <row r="2299" spans="1:2" ht="14.4">
      <c r="A2299" s="32"/>
      <c r="B2299" s="32"/>
    </row>
    <row r="2300" spans="1:2" ht="14.4">
      <c r="A2300" s="32"/>
      <c r="B2300" s="32"/>
    </row>
    <row r="2301" spans="1:2" ht="14.4">
      <c r="A2301" s="32"/>
      <c r="B2301" s="32"/>
    </row>
    <row r="2302" spans="1:2" ht="14.4">
      <c r="A2302" s="32"/>
      <c r="B2302" s="32"/>
    </row>
    <row r="2303" spans="1:2" ht="14.4">
      <c r="A2303" s="32"/>
      <c r="B2303" s="32"/>
    </row>
    <row r="2304" spans="1:2" ht="14.4">
      <c r="A2304" s="32"/>
      <c r="B2304" s="32"/>
    </row>
    <row r="2305" spans="1:2" ht="14.4">
      <c r="A2305" s="32"/>
      <c r="B2305" s="32"/>
    </row>
    <row r="2306" spans="1:2" ht="14.4">
      <c r="A2306" s="32"/>
      <c r="B2306" s="32"/>
    </row>
    <row r="2307" spans="1:2" ht="14.4">
      <c r="A2307" s="32"/>
      <c r="B2307" s="32"/>
    </row>
    <row r="2308" spans="1:2" ht="14.4">
      <c r="A2308" s="32"/>
      <c r="B2308" s="32"/>
    </row>
    <row r="2309" spans="1:2" ht="14.4">
      <c r="A2309" s="32"/>
      <c r="B2309" s="32"/>
    </row>
    <row r="2310" spans="1:2" ht="14.4">
      <c r="A2310" s="32"/>
      <c r="B2310" s="32"/>
    </row>
    <row r="2311" spans="1:2" ht="14.4">
      <c r="A2311" s="32"/>
      <c r="B2311" s="32"/>
    </row>
    <row r="2312" spans="1:2" ht="14.4">
      <c r="A2312" s="32"/>
      <c r="B2312" s="32"/>
    </row>
    <row r="2313" spans="1:2" ht="14.4">
      <c r="A2313" s="32"/>
      <c r="B2313" s="32"/>
    </row>
    <row r="2314" spans="1:2" ht="14.4">
      <c r="A2314" s="32"/>
      <c r="B2314" s="32"/>
    </row>
    <row r="2315" spans="1:2" ht="14.4">
      <c r="A2315" s="32"/>
      <c r="B2315" s="32"/>
    </row>
    <row r="2316" spans="1:2" ht="14.4">
      <c r="A2316" s="32"/>
      <c r="B2316" s="32"/>
    </row>
    <row r="2317" spans="1:2" ht="14.4">
      <c r="A2317" s="32"/>
      <c r="B2317" s="32"/>
    </row>
    <row r="2318" spans="1:2" ht="14.4">
      <c r="A2318" s="32"/>
      <c r="B2318" s="32"/>
    </row>
    <row r="2319" spans="1:2" ht="14.4">
      <c r="A2319" s="32"/>
      <c r="B2319" s="32"/>
    </row>
    <row r="2320" spans="1:2" ht="14.4">
      <c r="A2320" s="32"/>
      <c r="B2320" s="32"/>
    </row>
    <row r="2321" spans="1:2" ht="14.4">
      <c r="A2321" s="32"/>
      <c r="B2321" s="32"/>
    </row>
    <row r="2322" spans="1:2" ht="14.4">
      <c r="A2322" s="32"/>
      <c r="B2322" s="32"/>
    </row>
    <row r="2323" spans="1:2" ht="14.4">
      <c r="A2323" s="32"/>
      <c r="B2323" s="32"/>
    </row>
    <row r="2324" spans="1:2" ht="14.4">
      <c r="A2324" s="32"/>
      <c r="B2324" s="32"/>
    </row>
    <row r="2325" spans="1:2" ht="14.4">
      <c r="A2325" s="32"/>
      <c r="B2325" s="32"/>
    </row>
    <row r="2326" spans="1:2" ht="14.4">
      <c r="A2326" s="32"/>
      <c r="B2326" s="32"/>
    </row>
    <row r="2327" spans="1:2" ht="14.4">
      <c r="A2327" s="32"/>
      <c r="B2327" s="32"/>
    </row>
    <row r="2328" spans="1:2" ht="14.4">
      <c r="A2328" s="32"/>
      <c r="B2328" s="32"/>
    </row>
    <row r="2329" spans="1:2" ht="14.4">
      <c r="A2329" s="32"/>
      <c r="B2329" s="32"/>
    </row>
    <row r="2330" spans="1:2" ht="14.4">
      <c r="A2330" s="32"/>
      <c r="B2330" s="32"/>
    </row>
    <row r="2331" spans="1:2" ht="14.4">
      <c r="A2331" s="32"/>
      <c r="B2331" s="32"/>
    </row>
    <row r="2332" spans="1:2" ht="14.4">
      <c r="A2332" s="32"/>
      <c r="B2332" s="32"/>
    </row>
    <row r="2333" spans="1:2" ht="14.4">
      <c r="A2333" s="32"/>
      <c r="B2333" s="32"/>
    </row>
    <row r="2334" spans="1:2" ht="14.4">
      <c r="A2334" s="32"/>
      <c r="B2334" s="32"/>
    </row>
    <row r="2335" spans="1:2" ht="14.4">
      <c r="A2335" s="32"/>
      <c r="B2335" s="32"/>
    </row>
    <row r="2336" spans="1:2" ht="14.4">
      <c r="A2336" s="32"/>
      <c r="B2336" s="32"/>
    </row>
    <row r="2337" spans="1:2" ht="14.4">
      <c r="A2337" s="32"/>
      <c r="B2337" s="32"/>
    </row>
    <row r="2338" spans="1:2" ht="14.4">
      <c r="A2338" s="32"/>
      <c r="B2338" s="32"/>
    </row>
    <row r="2339" spans="1:2" ht="14.4">
      <c r="A2339" s="32"/>
      <c r="B2339" s="32"/>
    </row>
    <row r="2340" spans="1:2" ht="14.4">
      <c r="A2340" s="32"/>
      <c r="B2340" s="32"/>
    </row>
    <row r="2341" spans="1:2" ht="14.4">
      <c r="A2341" s="32"/>
      <c r="B2341" s="32"/>
    </row>
    <row r="2342" spans="1:2" ht="14.4">
      <c r="A2342" s="32"/>
      <c r="B2342" s="32"/>
    </row>
    <row r="2343" spans="1:2" ht="14.4">
      <c r="A2343" s="32"/>
      <c r="B2343" s="32"/>
    </row>
    <row r="2344" spans="1:2" ht="14.4">
      <c r="A2344" s="32"/>
      <c r="B2344" s="32"/>
    </row>
    <row r="2345" spans="1:2" ht="14.4">
      <c r="A2345" s="32"/>
      <c r="B2345" s="32"/>
    </row>
    <row r="2346" spans="1:2" ht="14.4">
      <c r="A2346" s="32"/>
      <c r="B2346" s="32"/>
    </row>
    <row r="2347" spans="1:2" ht="14.4">
      <c r="A2347" s="32"/>
      <c r="B2347" s="32"/>
    </row>
    <row r="2348" spans="1:2" ht="14.4">
      <c r="A2348" s="32"/>
      <c r="B2348" s="32"/>
    </row>
    <row r="2349" spans="1:2" ht="14.4">
      <c r="A2349" s="32"/>
      <c r="B2349" s="32"/>
    </row>
    <row r="2350" spans="1:2" ht="14.4">
      <c r="A2350" s="32"/>
      <c r="B2350" s="32"/>
    </row>
    <row r="2351" spans="1:2" ht="14.4">
      <c r="A2351" s="32"/>
      <c r="B2351" s="32"/>
    </row>
    <row r="2352" spans="1:2" ht="14.4">
      <c r="A2352" s="32"/>
      <c r="B2352" s="32"/>
    </row>
    <row r="2353" spans="1:2" ht="14.4">
      <c r="A2353" s="32"/>
      <c r="B2353" s="32"/>
    </row>
    <row r="2354" spans="1:2" ht="14.4">
      <c r="A2354" s="32"/>
      <c r="B2354" s="32"/>
    </row>
    <row r="2355" spans="1:2" ht="14.4">
      <c r="A2355" s="32"/>
      <c r="B2355" s="32"/>
    </row>
    <row r="2356" spans="1:2" ht="14.4">
      <c r="A2356" s="32"/>
      <c r="B2356" s="32"/>
    </row>
    <row r="2357" spans="1:2" ht="14.4">
      <c r="A2357" s="32"/>
      <c r="B2357" s="32"/>
    </row>
    <row r="2358" spans="1:2" ht="14.4">
      <c r="A2358" s="32"/>
      <c r="B2358" s="32"/>
    </row>
    <row r="2359" spans="1:2" ht="14.4">
      <c r="A2359" s="32"/>
      <c r="B2359" s="32"/>
    </row>
    <row r="2360" spans="1:2" ht="14.4">
      <c r="A2360" s="32"/>
      <c r="B2360" s="32"/>
    </row>
    <row r="2361" spans="1:2" ht="14.4">
      <c r="A2361" s="32"/>
      <c r="B2361" s="32"/>
    </row>
    <row r="2362" spans="1:2" ht="14.4">
      <c r="A2362" s="32"/>
      <c r="B2362" s="32"/>
    </row>
    <row r="2363" spans="1:2" ht="14.4">
      <c r="A2363" s="32"/>
      <c r="B2363" s="32"/>
    </row>
    <row r="2364" spans="1:2" ht="14.4">
      <c r="A2364" s="32"/>
      <c r="B2364" s="32"/>
    </row>
    <row r="2365" spans="1:2" ht="14.4">
      <c r="A2365" s="32"/>
      <c r="B2365" s="32"/>
    </row>
    <row r="2366" spans="1:2" ht="14.4">
      <c r="A2366" s="32"/>
      <c r="B2366" s="32"/>
    </row>
    <row r="2367" spans="1:2" ht="14.4">
      <c r="A2367" s="32"/>
      <c r="B2367" s="32"/>
    </row>
    <row r="2368" spans="1:2" ht="14.4">
      <c r="A2368" s="32"/>
      <c r="B2368" s="32"/>
    </row>
    <row r="2369" spans="1:2" ht="14.4">
      <c r="A2369" s="32"/>
      <c r="B2369" s="32"/>
    </row>
    <row r="2370" spans="1:2" ht="14.4">
      <c r="A2370" s="32"/>
      <c r="B2370" s="32"/>
    </row>
    <row r="2371" spans="1:2" ht="14.4">
      <c r="A2371" s="32"/>
      <c r="B2371" s="32"/>
    </row>
    <row r="2372" spans="1:2" ht="14.4">
      <c r="A2372" s="32"/>
      <c r="B2372" s="32"/>
    </row>
    <row r="2373" spans="1:2" ht="14.4">
      <c r="A2373" s="32"/>
      <c r="B2373" s="32"/>
    </row>
    <row r="2374" spans="1:2" ht="14.4">
      <c r="A2374" s="32"/>
      <c r="B2374" s="32"/>
    </row>
    <row r="2375" spans="1:2" ht="14.4">
      <c r="A2375" s="32"/>
      <c r="B2375" s="32"/>
    </row>
    <row r="2376" spans="1:2" ht="14.4">
      <c r="A2376" s="32"/>
      <c r="B2376" s="32"/>
    </row>
    <row r="2377" spans="1:2" ht="14.4">
      <c r="A2377" s="32"/>
      <c r="B2377" s="32"/>
    </row>
    <row r="2378" spans="1:2" ht="14.4">
      <c r="A2378" s="32"/>
      <c r="B2378" s="32"/>
    </row>
    <row r="2379" spans="1:2" ht="14.4">
      <c r="A2379" s="32"/>
      <c r="B2379" s="32"/>
    </row>
    <row r="2380" spans="1:2" ht="14.4">
      <c r="A2380" s="32"/>
      <c r="B2380" s="32"/>
    </row>
    <row r="2381" spans="1:2" ht="14.4">
      <c r="A2381" s="32"/>
      <c r="B2381" s="32"/>
    </row>
    <row r="2382" spans="1:2" ht="14.4">
      <c r="A2382" s="32"/>
      <c r="B2382" s="32"/>
    </row>
    <row r="2383" spans="1:2" ht="14.4">
      <c r="A2383" s="32"/>
      <c r="B2383" s="32"/>
    </row>
    <row r="2384" spans="1:2" ht="14.4">
      <c r="A2384" s="32"/>
      <c r="B2384" s="32"/>
    </row>
    <row r="2385" spans="1:2" ht="14.4">
      <c r="A2385" s="32"/>
      <c r="B2385" s="32"/>
    </row>
    <row r="2386" spans="1:2" ht="14.4">
      <c r="A2386" s="32"/>
      <c r="B2386" s="32"/>
    </row>
    <row r="2387" spans="1:2" ht="14.4">
      <c r="A2387" s="32"/>
      <c r="B2387" s="32"/>
    </row>
    <row r="2388" spans="1:2" ht="14.4">
      <c r="A2388" s="32"/>
      <c r="B2388" s="32"/>
    </row>
    <row r="2389" spans="1:2" ht="14.4">
      <c r="A2389" s="32"/>
      <c r="B2389" s="32"/>
    </row>
    <row r="2390" spans="1:2" ht="14.4">
      <c r="A2390" s="32"/>
      <c r="B2390" s="32"/>
    </row>
    <row r="2391" spans="1:2" ht="14.4">
      <c r="A2391" s="32"/>
      <c r="B2391" s="32"/>
    </row>
    <row r="2392" spans="1:2" ht="14.4">
      <c r="A2392" s="32"/>
      <c r="B2392" s="32"/>
    </row>
    <row r="2393" spans="1:2" ht="14.4">
      <c r="A2393" s="32"/>
      <c r="B2393" s="32"/>
    </row>
    <row r="2394" spans="1:2" ht="14.4">
      <c r="A2394" s="32"/>
      <c r="B2394" s="32"/>
    </row>
    <row r="2395" spans="1:2" ht="14.4">
      <c r="A2395" s="32"/>
      <c r="B2395" s="32"/>
    </row>
    <row r="2396" spans="1:2" ht="14.4">
      <c r="A2396" s="32"/>
      <c r="B2396" s="32"/>
    </row>
    <row r="2397" spans="1:2" ht="14.4">
      <c r="A2397" s="32"/>
      <c r="B2397" s="32"/>
    </row>
    <row r="2398" spans="1:2" ht="14.4">
      <c r="A2398" s="32"/>
      <c r="B2398" s="32"/>
    </row>
    <row r="2399" spans="1:2" ht="14.4">
      <c r="A2399" s="32"/>
      <c r="B2399" s="32"/>
    </row>
    <row r="2400" spans="1:2" ht="14.4">
      <c r="A2400" s="32"/>
      <c r="B2400" s="32"/>
    </row>
    <row r="2401" spans="1:2" ht="14.4">
      <c r="A2401" s="32"/>
      <c r="B2401" s="32"/>
    </row>
    <row r="2402" spans="1:2" ht="14.4">
      <c r="A2402" s="32"/>
      <c r="B2402" s="32"/>
    </row>
    <row r="2403" spans="1:2" ht="14.4">
      <c r="A2403" s="32"/>
      <c r="B2403" s="32"/>
    </row>
    <row r="2404" spans="1:2" ht="14.4">
      <c r="A2404" s="32"/>
      <c r="B2404" s="32"/>
    </row>
    <row r="2405" spans="1:2" ht="14.4">
      <c r="A2405" s="32"/>
      <c r="B2405" s="32"/>
    </row>
    <row r="2406" spans="1:2" ht="14.4">
      <c r="A2406" s="32"/>
      <c r="B2406" s="32"/>
    </row>
    <row r="2407" spans="1:2" ht="14.4">
      <c r="A2407" s="32"/>
      <c r="B2407" s="32"/>
    </row>
    <row r="2408" spans="1:2" ht="14.4">
      <c r="A2408" s="32"/>
      <c r="B2408" s="32"/>
    </row>
    <row r="2409" spans="1:2" ht="14.4">
      <c r="A2409" s="32"/>
      <c r="B2409" s="32"/>
    </row>
    <row r="2410" spans="1:2" ht="14.4">
      <c r="A2410" s="32"/>
      <c r="B2410" s="32"/>
    </row>
    <row r="2411" spans="1:2" ht="14.4">
      <c r="A2411" s="32"/>
      <c r="B2411" s="32"/>
    </row>
    <row r="2412" spans="1:2" ht="14.4">
      <c r="A2412" s="32"/>
      <c r="B2412" s="32"/>
    </row>
    <row r="2413" spans="1:2" ht="14.4">
      <c r="A2413" s="32"/>
      <c r="B2413" s="32"/>
    </row>
    <row r="2414" spans="1:2" ht="14.4">
      <c r="A2414" s="32"/>
      <c r="B2414" s="32"/>
    </row>
    <row r="2415" spans="1:2" ht="14.4">
      <c r="A2415" s="32"/>
      <c r="B2415" s="32"/>
    </row>
    <row r="2416" spans="1:2" ht="14.4">
      <c r="A2416" s="32"/>
      <c r="B2416" s="32"/>
    </row>
    <row r="2417" spans="1:2" ht="14.4">
      <c r="A2417" s="32"/>
      <c r="B2417" s="32"/>
    </row>
    <row r="2418" spans="1:2" ht="14.4">
      <c r="A2418" s="32"/>
      <c r="B2418" s="32"/>
    </row>
    <row r="2419" spans="1:2" ht="14.4">
      <c r="A2419" s="32"/>
      <c r="B2419" s="32"/>
    </row>
    <row r="2420" spans="1:2" ht="14.4">
      <c r="A2420" s="32"/>
      <c r="B2420" s="32"/>
    </row>
    <row r="2421" spans="1:2" ht="14.4">
      <c r="A2421" s="32"/>
      <c r="B2421" s="32"/>
    </row>
    <row r="2422" spans="1:2" ht="14.4">
      <c r="A2422" s="32"/>
      <c r="B2422" s="32"/>
    </row>
    <row r="2423" spans="1:2" ht="14.4">
      <c r="A2423" s="32"/>
      <c r="B2423" s="32"/>
    </row>
    <row r="2424" spans="1:2" ht="14.4">
      <c r="A2424" s="32"/>
      <c r="B2424" s="32"/>
    </row>
    <row r="2425" spans="1:2" ht="14.4">
      <c r="A2425" s="32"/>
      <c r="B2425" s="32"/>
    </row>
    <row r="2426" spans="1:2" ht="14.4">
      <c r="A2426" s="32"/>
      <c r="B2426" s="32"/>
    </row>
    <row r="2427" spans="1:2" ht="14.4">
      <c r="A2427" s="32"/>
      <c r="B2427" s="32"/>
    </row>
    <row r="2428" spans="1:2" ht="14.4">
      <c r="A2428" s="32"/>
      <c r="B2428" s="32"/>
    </row>
    <row r="2429" spans="1:2" ht="14.4">
      <c r="A2429" s="32"/>
      <c r="B2429" s="32"/>
    </row>
    <row r="2430" spans="1:2" ht="14.4">
      <c r="A2430" s="32"/>
      <c r="B2430" s="32"/>
    </row>
    <row r="2431" spans="1:2" ht="14.4">
      <c r="A2431" s="32"/>
      <c r="B2431" s="32"/>
    </row>
    <row r="2432" spans="1:2" ht="14.4">
      <c r="A2432" s="32"/>
      <c r="B2432" s="32"/>
    </row>
    <row r="2433" spans="1:2" ht="14.4">
      <c r="A2433" s="32"/>
      <c r="B2433" s="32"/>
    </row>
    <row r="2434" spans="1:2" ht="14.4">
      <c r="A2434" s="32"/>
      <c r="B2434" s="32"/>
    </row>
    <row r="2435" spans="1:2" ht="14.4">
      <c r="A2435" s="32"/>
      <c r="B2435" s="32"/>
    </row>
    <row r="2436" spans="1:2" ht="14.4">
      <c r="A2436" s="32"/>
      <c r="B2436" s="32"/>
    </row>
    <row r="2437" spans="1:2" ht="14.4">
      <c r="A2437" s="32"/>
      <c r="B2437" s="32"/>
    </row>
    <row r="2438" spans="1:2" ht="14.4">
      <c r="A2438" s="32"/>
      <c r="B2438" s="32"/>
    </row>
    <row r="2439" spans="1:2" ht="14.4">
      <c r="A2439" s="32"/>
      <c r="B2439" s="32"/>
    </row>
    <row r="2440" spans="1:2" ht="14.4">
      <c r="A2440" s="32"/>
      <c r="B2440" s="32"/>
    </row>
    <row r="2441" spans="1:2" ht="14.4">
      <c r="A2441" s="32"/>
      <c r="B2441" s="32"/>
    </row>
    <row r="2442" spans="1:2" ht="14.4">
      <c r="A2442" s="32"/>
      <c r="B2442" s="32"/>
    </row>
    <row r="2443" spans="1:2" ht="14.4">
      <c r="A2443" s="32"/>
      <c r="B2443" s="32"/>
    </row>
    <row r="2444" spans="1:2" ht="14.4">
      <c r="A2444" s="32"/>
      <c r="B2444" s="32"/>
    </row>
    <row r="2445" spans="1:2" ht="14.4">
      <c r="A2445" s="32"/>
      <c r="B2445" s="32"/>
    </row>
    <row r="2446" spans="1:2" ht="14.4">
      <c r="A2446" s="32"/>
      <c r="B2446" s="32"/>
    </row>
    <row r="2447" spans="1:2" ht="14.4">
      <c r="A2447" s="32"/>
      <c r="B2447" s="32"/>
    </row>
    <row r="2448" spans="1:2" ht="14.4">
      <c r="A2448" s="32"/>
      <c r="B2448" s="3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014"/>
  <sheetViews>
    <sheetView workbookViewId="0"/>
  </sheetViews>
  <sheetFormatPr defaultColWidth="12.6640625" defaultRowHeight="15.75" customHeight="1"/>
  <cols>
    <col min="1" max="1" width="9.21875" customWidth="1"/>
    <col min="2" max="2" width="56.33203125" customWidth="1"/>
    <col min="3" max="3" width="13.44140625" customWidth="1"/>
    <col min="4" max="4" width="13.6640625" customWidth="1"/>
    <col min="5" max="5" width="11.6640625" customWidth="1"/>
    <col min="6" max="6" width="13.109375" customWidth="1"/>
    <col min="7" max="7" width="11.21875" customWidth="1"/>
    <col min="8" max="8" width="12.77734375" customWidth="1"/>
    <col min="9" max="9" width="9.109375" customWidth="1"/>
    <col min="10" max="10" width="14.6640625" customWidth="1"/>
    <col min="11" max="12" width="9.109375" customWidth="1"/>
  </cols>
  <sheetData>
    <row r="1" spans="1:12" ht="11.25" customHeight="1">
      <c r="B1" s="33" t="s">
        <v>10250</v>
      </c>
      <c r="C1" s="33"/>
      <c r="D1" s="33"/>
      <c r="E1" s="33"/>
      <c r="F1" s="33"/>
      <c r="G1" s="33"/>
      <c r="H1" s="33"/>
      <c r="I1" s="33"/>
      <c r="J1" s="33"/>
      <c r="K1" s="33"/>
      <c r="L1" s="34"/>
    </row>
    <row r="2" spans="1:12" ht="11.25" customHeight="1">
      <c r="A2" s="35" t="s">
        <v>5793</v>
      </c>
      <c r="B2" s="35" t="s">
        <v>5791</v>
      </c>
      <c r="C2" s="35" t="s">
        <v>10251</v>
      </c>
      <c r="D2" s="35" t="s">
        <v>10252</v>
      </c>
      <c r="E2" s="36" t="s">
        <v>10253</v>
      </c>
      <c r="F2" s="37" t="s">
        <v>5792</v>
      </c>
      <c r="G2" s="36" t="s">
        <v>10254</v>
      </c>
      <c r="H2" s="37" t="s">
        <v>10255</v>
      </c>
      <c r="I2" s="36" t="s">
        <v>10256</v>
      </c>
      <c r="J2" s="36" t="s">
        <v>5794</v>
      </c>
      <c r="K2" s="38" t="s">
        <v>5795</v>
      </c>
      <c r="L2" s="35" t="s">
        <v>5793</v>
      </c>
    </row>
    <row r="3" spans="1:12" ht="11.25" customHeight="1">
      <c r="A3" s="39">
        <v>1520</v>
      </c>
      <c r="B3" s="40" t="s">
        <v>10257</v>
      </c>
      <c r="C3" s="40" t="s">
        <v>10258</v>
      </c>
      <c r="D3" s="40" t="s">
        <v>4006</v>
      </c>
      <c r="E3" s="41">
        <v>485.13</v>
      </c>
      <c r="F3" s="40" t="s">
        <v>4006</v>
      </c>
      <c r="G3" s="41">
        <v>485.5437</v>
      </c>
      <c r="H3" s="40"/>
      <c r="I3" s="41"/>
      <c r="J3" s="41">
        <f t="shared" ref="J3:J257" si="0">AVERAGE(E3,G3,I3)</f>
        <v>485.33685000000003</v>
      </c>
      <c r="K3" s="42" t="s">
        <v>5796</v>
      </c>
      <c r="L3" s="39">
        <v>1520</v>
      </c>
    </row>
    <row r="4" spans="1:12" ht="11.25" customHeight="1">
      <c r="A4" s="39">
        <v>3360</v>
      </c>
      <c r="B4" s="40" t="s">
        <v>10259</v>
      </c>
      <c r="C4" s="40" t="s">
        <v>10260</v>
      </c>
      <c r="D4" s="40" t="s">
        <v>5664</v>
      </c>
      <c r="E4" s="41">
        <v>22.38</v>
      </c>
      <c r="F4" s="40" t="s">
        <v>5664</v>
      </c>
      <c r="G4" s="41">
        <v>22.398</v>
      </c>
      <c r="H4" s="40"/>
      <c r="I4" s="41"/>
      <c r="J4" s="41">
        <f t="shared" si="0"/>
        <v>22.388999999999999</v>
      </c>
      <c r="K4" s="42" t="s">
        <v>5796</v>
      </c>
      <c r="L4" s="39">
        <v>3360</v>
      </c>
    </row>
    <row r="5" spans="1:12" ht="11.25" customHeight="1">
      <c r="A5" s="39">
        <v>274</v>
      </c>
      <c r="B5" s="40" t="s">
        <v>831</v>
      </c>
      <c r="C5" s="40" t="s">
        <v>10261</v>
      </c>
      <c r="D5" s="40" t="s">
        <v>833</v>
      </c>
      <c r="E5" s="41">
        <v>19343.53</v>
      </c>
      <c r="F5" s="40" t="s">
        <v>833</v>
      </c>
      <c r="G5" s="41">
        <v>19344.3063</v>
      </c>
      <c r="H5" s="40"/>
      <c r="I5" s="41"/>
      <c r="J5" s="41">
        <f t="shared" si="0"/>
        <v>19343.918149999998</v>
      </c>
      <c r="K5" s="42" t="s">
        <v>5796</v>
      </c>
      <c r="L5" s="39">
        <v>274</v>
      </c>
    </row>
    <row r="6" spans="1:12" ht="11.25" customHeight="1">
      <c r="A6" s="39">
        <v>1401</v>
      </c>
      <c r="B6" s="40" t="s">
        <v>10262</v>
      </c>
      <c r="C6" s="40" t="s">
        <v>10263</v>
      </c>
      <c r="D6" s="40" t="s">
        <v>10264</v>
      </c>
      <c r="E6" s="41">
        <v>643.67999999999995</v>
      </c>
      <c r="F6" s="40" t="s">
        <v>3781</v>
      </c>
      <c r="G6" s="41">
        <v>643.35270000000003</v>
      </c>
      <c r="H6" s="40"/>
      <c r="I6" s="41"/>
      <c r="J6" s="41">
        <f t="shared" si="0"/>
        <v>643.51634999999999</v>
      </c>
      <c r="K6" s="42" t="s">
        <v>5796</v>
      </c>
      <c r="L6" s="39">
        <v>1401</v>
      </c>
    </row>
    <row r="7" spans="1:12" ht="11.25" customHeight="1">
      <c r="A7" s="43">
        <v>182</v>
      </c>
      <c r="B7" s="44" t="s">
        <v>10265</v>
      </c>
      <c r="C7" s="44" t="s">
        <v>10266</v>
      </c>
      <c r="D7" s="44" t="s">
        <v>557</v>
      </c>
      <c r="E7" s="45">
        <v>34126.449999999997</v>
      </c>
      <c r="F7" s="44" t="s">
        <v>557</v>
      </c>
      <c r="G7" s="45">
        <v>34145.676299999999</v>
      </c>
      <c r="H7" s="44"/>
      <c r="I7" s="45"/>
      <c r="J7" s="45">
        <f t="shared" si="0"/>
        <v>34136.063150000002</v>
      </c>
      <c r="K7" s="46" t="s">
        <v>5800</v>
      </c>
      <c r="L7" s="43">
        <v>182</v>
      </c>
    </row>
    <row r="8" spans="1:12" ht="11.25" customHeight="1">
      <c r="A8" s="39">
        <v>2918</v>
      </c>
      <c r="B8" s="40" t="s">
        <v>5801</v>
      </c>
      <c r="C8" s="40" t="s">
        <v>10267</v>
      </c>
      <c r="D8" s="40" t="s">
        <v>5514</v>
      </c>
      <c r="E8" s="41">
        <v>43.04</v>
      </c>
      <c r="F8" s="40" t="s">
        <v>5514</v>
      </c>
      <c r="G8" s="41">
        <v>43.140500000000003</v>
      </c>
      <c r="H8" s="40"/>
      <c r="I8" s="41"/>
      <c r="J8" s="41">
        <f t="shared" si="0"/>
        <v>43.090249999999997</v>
      </c>
      <c r="K8" s="42" t="s">
        <v>5796</v>
      </c>
      <c r="L8" s="39">
        <v>2918</v>
      </c>
    </row>
    <row r="9" spans="1:12" ht="11.25" customHeight="1">
      <c r="A9" s="39">
        <v>1077</v>
      </c>
      <c r="B9" s="40" t="s">
        <v>10268</v>
      </c>
      <c r="C9" s="40" t="s">
        <v>10269</v>
      </c>
      <c r="D9" s="40" t="s">
        <v>3058</v>
      </c>
      <c r="E9" s="41">
        <v>1393.42</v>
      </c>
      <c r="F9" s="40" t="s">
        <v>3058</v>
      </c>
      <c r="G9" s="41">
        <v>1389.6931</v>
      </c>
      <c r="H9" s="40"/>
      <c r="I9" s="41"/>
      <c r="J9" s="41">
        <f t="shared" si="0"/>
        <v>1391.55655</v>
      </c>
      <c r="K9" s="42" t="s">
        <v>5796</v>
      </c>
      <c r="L9" s="39">
        <v>1077</v>
      </c>
    </row>
    <row r="10" spans="1:12" ht="11.25" customHeight="1">
      <c r="A10" s="39">
        <v>1043</v>
      </c>
      <c r="B10" s="40" t="s">
        <v>10270</v>
      </c>
      <c r="C10" s="40" t="s">
        <v>10271</v>
      </c>
      <c r="D10" s="40" t="s">
        <v>2977</v>
      </c>
      <c r="E10" s="41">
        <v>1508.98</v>
      </c>
      <c r="F10" s="40" t="s">
        <v>2977</v>
      </c>
      <c r="G10" s="41">
        <v>1509.4010000000001</v>
      </c>
      <c r="H10" s="40"/>
      <c r="I10" s="41"/>
      <c r="J10" s="41">
        <f t="shared" si="0"/>
        <v>1509.1905000000002</v>
      </c>
      <c r="K10" s="42" t="s">
        <v>5796</v>
      </c>
      <c r="L10" s="39">
        <v>1043</v>
      </c>
    </row>
    <row r="11" spans="1:12" ht="11.25" customHeight="1">
      <c r="A11" s="39">
        <v>2092</v>
      </c>
      <c r="B11" s="40" t="s">
        <v>10272</v>
      </c>
      <c r="C11" s="40" t="s">
        <v>10273</v>
      </c>
      <c r="D11" s="40" t="s">
        <v>4867</v>
      </c>
      <c r="E11" s="41">
        <v>164.51</v>
      </c>
      <c r="F11" s="40" t="s">
        <v>4867</v>
      </c>
      <c r="G11" s="41">
        <v>164.13939999999999</v>
      </c>
      <c r="H11" s="40"/>
      <c r="I11" s="41"/>
      <c r="J11" s="41">
        <f t="shared" si="0"/>
        <v>164.32470000000001</v>
      </c>
      <c r="K11" s="42" t="s">
        <v>5796</v>
      </c>
      <c r="L11" s="39">
        <v>2092</v>
      </c>
    </row>
    <row r="12" spans="1:12" ht="11.25" customHeight="1">
      <c r="A12" s="39">
        <v>2498</v>
      </c>
      <c r="B12" s="40" t="s">
        <v>5806</v>
      </c>
      <c r="C12" s="40" t="s">
        <v>10274</v>
      </c>
      <c r="D12" s="40" t="s">
        <v>5295</v>
      </c>
      <c r="E12" s="41">
        <v>81.84</v>
      </c>
      <c r="F12" s="40" t="s">
        <v>5295</v>
      </c>
      <c r="G12" s="41">
        <v>81.831400000000002</v>
      </c>
      <c r="H12" s="40"/>
      <c r="I12" s="41"/>
      <c r="J12" s="41">
        <f t="shared" si="0"/>
        <v>81.835700000000003</v>
      </c>
      <c r="K12" s="42" t="s">
        <v>5796</v>
      </c>
      <c r="L12" s="39">
        <v>2498</v>
      </c>
    </row>
    <row r="13" spans="1:12" ht="11.25" customHeight="1">
      <c r="A13" s="39">
        <v>2588</v>
      </c>
      <c r="B13" s="40" t="s">
        <v>10275</v>
      </c>
      <c r="C13" s="40" t="s">
        <v>10276</v>
      </c>
      <c r="D13" s="40"/>
      <c r="E13" s="41"/>
      <c r="F13" s="40" t="s">
        <v>5373</v>
      </c>
      <c r="G13" s="41">
        <v>70.585099999999997</v>
      </c>
      <c r="H13" s="40"/>
      <c r="I13" s="41"/>
      <c r="J13" s="41">
        <f t="shared" si="0"/>
        <v>70.585099999999997</v>
      </c>
      <c r="K13" s="42" t="s">
        <v>5796</v>
      </c>
      <c r="L13" s="39">
        <v>2588</v>
      </c>
    </row>
    <row r="14" spans="1:12" ht="11.25" customHeight="1">
      <c r="A14" s="39">
        <v>2297</v>
      </c>
      <c r="B14" s="40" t="s">
        <v>10277</v>
      </c>
      <c r="C14" s="40" t="s">
        <v>10278</v>
      </c>
      <c r="D14" s="40" t="s">
        <v>10279</v>
      </c>
      <c r="E14" s="41">
        <v>112.45</v>
      </c>
      <c r="F14" s="40" t="s">
        <v>5131</v>
      </c>
      <c r="G14" s="41">
        <v>112.2453</v>
      </c>
      <c r="H14" s="40"/>
      <c r="I14" s="41"/>
      <c r="J14" s="41">
        <f t="shared" si="0"/>
        <v>112.34765</v>
      </c>
      <c r="K14" s="42" t="s">
        <v>5796</v>
      </c>
      <c r="L14" s="39">
        <v>2297</v>
      </c>
    </row>
    <row r="15" spans="1:12" ht="11.25" customHeight="1">
      <c r="A15" s="39">
        <v>1817</v>
      </c>
      <c r="B15" s="40" t="s">
        <v>10280</v>
      </c>
      <c r="C15" s="40" t="s">
        <v>10281</v>
      </c>
      <c r="D15" s="40"/>
      <c r="E15" s="41"/>
      <c r="F15" s="40" t="s">
        <v>4495</v>
      </c>
      <c r="G15" s="41">
        <v>262.93860000000001</v>
      </c>
      <c r="H15" s="40"/>
      <c r="I15" s="41"/>
      <c r="J15" s="41">
        <f t="shared" si="0"/>
        <v>262.93860000000001</v>
      </c>
      <c r="K15" s="42" t="s">
        <v>5796</v>
      </c>
      <c r="L15" s="39">
        <v>1817</v>
      </c>
    </row>
    <row r="16" spans="1:12" ht="11.25" customHeight="1">
      <c r="A16" s="39">
        <v>2115</v>
      </c>
      <c r="B16" s="40" t="s">
        <v>10282</v>
      </c>
      <c r="C16" s="40" t="s">
        <v>10283</v>
      </c>
      <c r="D16" s="40" t="s">
        <v>4906</v>
      </c>
      <c r="E16" s="41">
        <v>153.77000000000001</v>
      </c>
      <c r="F16" s="40" t="s">
        <v>4906</v>
      </c>
      <c r="G16" s="41">
        <v>155.01140000000001</v>
      </c>
      <c r="H16" s="40"/>
      <c r="I16" s="41"/>
      <c r="J16" s="41">
        <f t="shared" si="0"/>
        <v>154.39070000000001</v>
      </c>
      <c r="K16" s="42" t="s">
        <v>5796</v>
      </c>
      <c r="L16" s="39">
        <v>2115</v>
      </c>
    </row>
    <row r="17" spans="1:12" ht="11.25" customHeight="1">
      <c r="A17" s="39">
        <v>626</v>
      </c>
      <c r="B17" s="40" t="s">
        <v>10284</v>
      </c>
      <c r="C17" s="40" t="s">
        <v>10285</v>
      </c>
      <c r="D17" s="40" t="s">
        <v>1850</v>
      </c>
      <c r="E17" s="41">
        <v>4856.74</v>
      </c>
      <c r="F17" s="40" t="s">
        <v>1850</v>
      </c>
      <c r="G17" s="41">
        <v>4840.674</v>
      </c>
      <c r="H17" s="40"/>
      <c r="I17" s="41"/>
      <c r="J17" s="41">
        <f t="shared" si="0"/>
        <v>4848.7070000000003</v>
      </c>
      <c r="K17" s="42" t="s">
        <v>5796</v>
      </c>
      <c r="L17" s="39">
        <v>626</v>
      </c>
    </row>
    <row r="18" spans="1:12" ht="11.25" customHeight="1">
      <c r="A18" s="39">
        <v>286</v>
      </c>
      <c r="B18" s="40" t="s">
        <v>10286</v>
      </c>
      <c r="C18" s="40" t="s">
        <v>10287</v>
      </c>
      <c r="D18" s="40" t="s">
        <v>869</v>
      </c>
      <c r="E18" s="41">
        <v>18212.28</v>
      </c>
      <c r="F18" s="40" t="s">
        <v>869</v>
      </c>
      <c r="G18" s="41">
        <v>18215.1554</v>
      </c>
      <c r="H18" s="40"/>
      <c r="I18" s="41"/>
      <c r="J18" s="41">
        <f t="shared" si="0"/>
        <v>18213.717700000001</v>
      </c>
      <c r="K18" s="42" t="s">
        <v>5796</v>
      </c>
      <c r="L18" s="39">
        <v>286</v>
      </c>
    </row>
    <row r="19" spans="1:12" ht="11.25" customHeight="1">
      <c r="A19" s="39">
        <v>714</v>
      </c>
      <c r="B19" s="40" t="s">
        <v>10288</v>
      </c>
      <c r="C19" s="40" t="s">
        <v>10289</v>
      </c>
      <c r="D19" s="40" t="s">
        <v>2089</v>
      </c>
      <c r="E19" s="41">
        <v>3680.13</v>
      </c>
      <c r="F19" s="40" t="s">
        <v>2089</v>
      </c>
      <c r="G19" s="41">
        <v>3679.5839999999998</v>
      </c>
      <c r="H19" s="40"/>
      <c r="I19" s="41"/>
      <c r="J19" s="41">
        <f t="shared" si="0"/>
        <v>3679.857</v>
      </c>
      <c r="K19" s="42" t="s">
        <v>5796</v>
      </c>
      <c r="L19" s="39">
        <v>714</v>
      </c>
    </row>
    <row r="20" spans="1:12" ht="11.25" customHeight="1">
      <c r="A20" s="39">
        <v>1508</v>
      </c>
      <c r="B20" s="40" t="s">
        <v>10290</v>
      </c>
      <c r="C20" s="40" t="s">
        <v>10291</v>
      </c>
      <c r="D20" s="40" t="s">
        <v>3979</v>
      </c>
      <c r="E20" s="41">
        <v>527.11</v>
      </c>
      <c r="F20" s="40" t="s">
        <v>3979</v>
      </c>
      <c r="G20" s="41">
        <v>471.5609</v>
      </c>
      <c r="H20" s="40"/>
      <c r="I20" s="41"/>
      <c r="J20" s="41">
        <f t="shared" si="0"/>
        <v>499.33545000000004</v>
      </c>
      <c r="K20" s="42" t="s">
        <v>5796</v>
      </c>
      <c r="L20" s="39">
        <v>1508</v>
      </c>
    </row>
    <row r="21" spans="1:12" ht="11.25" customHeight="1">
      <c r="A21" s="39">
        <v>2732</v>
      </c>
      <c r="B21" s="40" t="s">
        <v>10292</v>
      </c>
      <c r="C21" s="40" t="s">
        <v>10293</v>
      </c>
      <c r="D21" s="40" t="s">
        <v>5439</v>
      </c>
      <c r="E21" s="41">
        <v>56.39</v>
      </c>
      <c r="F21" s="40" t="s">
        <v>5439</v>
      </c>
      <c r="G21" s="41">
        <v>56.272300000000001</v>
      </c>
      <c r="H21" s="40"/>
      <c r="I21" s="41"/>
      <c r="J21" s="41">
        <f t="shared" si="0"/>
        <v>56.331150000000001</v>
      </c>
      <c r="K21" s="42" t="s">
        <v>5796</v>
      </c>
      <c r="L21" s="39">
        <v>2732</v>
      </c>
    </row>
    <row r="22" spans="1:12" ht="11.25" customHeight="1">
      <c r="A22" s="39">
        <v>1975</v>
      </c>
      <c r="B22" s="40" t="s">
        <v>10294</v>
      </c>
      <c r="C22" s="40" t="s">
        <v>10295</v>
      </c>
      <c r="D22" s="40"/>
      <c r="E22" s="41"/>
      <c r="F22" s="40" t="s">
        <v>4687</v>
      </c>
      <c r="G22" s="41">
        <v>195.96129999999999</v>
      </c>
      <c r="H22" s="40"/>
      <c r="I22" s="41"/>
      <c r="J22" s="41">
        <f t="shared" si="0"/>
        <v>195.96129999999999</v>
      </c>
      <c r="K22" s="42" t="s">
        <v>5796</v>
      </c>
      <c r="L22" s="39">
        <v>1975</v>
      </c>
    </row>
    <row r="23" spans="1:12" ht="11.25" customHeight="1">
      <c r="A23" s="39">
        <v>351</v>
      </c>
      <c r="B23" s="40" t="s">
        <v>10296</v>
      </c>
      <c r="C23" s="40" t="s">
        <v>10297</v>
      </c>
      <c r="D23" s="40" t="s">
        <v>1061</v>
      </c>
      <c r="E23" s="41">
        <v>12439.99</v>
      </c>
      <c r="F23" s="40" t="s">
        <v>1061</v>
      </c>
      <c r="G23" s="41">
        <v>12437.977699999999</v>
      </c>
      <c r="H23" s="40"/>
      <c r="I23" s="41"/>
      <c r="J23" s="41">
        <f t="shared" si="0"/>
        <v>12438.983850000001</v>
      </c>
      <c r="K23" s="42" t="s">
        <v>5796</v>
      </c>
      <c r="L23" s="39">
        <v>351</v>
      </c>
    </row>
    <row r="24" spans="1:12" ht="11.25" customHeight="1">
      <c r="A24" s="39">
        <v>1789</v>
      </c>
      <c r="B24" s="40" t="s">
        <v>10298</v>
      </c>
      <c r="C24" s="40" t="s">
        <v>10299</v>
      </c>
      <c r="D24" s="40" t="s">
        <v>4465</v>
      </c>
      <c r="E24" s="41">
        <v>275</v>
      </c>
      <c r="F24" s="40" t="s">
        <v>4465</v>
      </c>
      <c r="G24" s="41">
        <v>274.80419999999998</v>
      </c>
      <c r="H24" s="40"/>
      <c r="I24" s="41"/>
      <c r="J24" s="41">
        <f t="shared" si="0"/>
        <v>274.90210000000002</v>
      </c>
      <c r="K24" s="42" t="s">
        <v>5796</v>
      </c>
      <c r="L24" s="39">
        <v>1789</v>
      </c>
    </row>
    <row r="25" spans="1:12" ht="11.25" customHeight="1">
      <c r="A25" s="47">
        <v>66</v>
      </c>
      <c r="B25" s="48" t="s">
        <v>10300</v>
      </c>
      <c r="C25" s="48" t="s">
        <v>10301</v>
      </c>
      <c r="D25" s="48" t="s">
        <v>209</v>
      </c>
      <c r="E25" s="49">
        <v>92471.08</v>
      </c>
      <c r="F25" s="48" t="s">
        <v>209</v>
      </c>
      <c r="G25" s="49">
        <v>92481.001699999993</v>
      </c>
      <c r="H25" s="48"/>
      <c r="I25" s="49"/>
      <c r="J25" s="49">
        <f t="shared" si="0"/>
        <v>92476.04084999999</v>
      </c>
      <c r="K25" s="50" t="s">
        <v>5815</v>
      </c>
      <c r="L25" s="47">
        <v>66</v>
      </c>
    </row>
    <row r="26" spans="1:12" ht="11.25" customHeight="1">
      <c r="A26" s="43">
        <v>144</v>
      </c>
      <c r="B26" s="44" t="s">
        <v>10302</v>
      </c>
      <c r="C26" s="44" t="s">
        <v>10303</v>
      </c>
      <c r="D26" s="44" t="s">
        <v>443</v>
      </c>
      <c r="E26" s="45">
        <v>46406.75</v>
      </c>
      <c r="F26" s="44" t="s">
        <v>443</v>
      </c>
      <c r="G26" s="45">
        <v>46188.742599999998</v>
      </c>
      <c r="H26" s="44"/>
      <c r="I26" s="45"/>
      <c r="J26" s="45">
        <f t="shared" si="0"/>
        <v>46297.746299999999</v>
      </c>
      <c r="K26" s="46" t="s">
        <v>5800</v>
      </c>
      <c r="L26" s="43">
        <v>144</v>
      </c>
    </row>
    <row r="27" spans="1:12" ht="11.25" customHeight="1">
      <c r="A27" s="39">
        <v>260</v>
      </c>
      <c r="B27" s="40" t="s">
        <v>10304</v>
      </c>
      <c r="C27" s="40" t="s">
        <v>10305</v>
      </c>
      <c r="D27" s="40" t="s">
        <v>791</v>
      </c>
      <c r="E27" s="41">
        <v>20869.79</v>
      </c>
      <c r="F27" s="40" t="s">
        <v>791</v>
      </c>
      <c r="G27" s="41">
        <v>20869.243699999999</v>
      </c>
      <c r="H27" s="40"/>
      <c r="I27" s="41"/>
      <c r="J27" s="41">
        <f t="shared" si="0"/>
        <v>20869.51685</v>
      </c>
      <c r="K27" s="42" t="s">
        <v>5796</v>
      </c>
      <c r="L27" s="39">
        <v>260</v>
      </c>
    </row>
    <row r="28" spans="1:12" ht="11.25" customHeight="1">
      <c r="A28" s="39">
        <v>2946</v>
      </c>
      <c r="B28" s="40" t="s">
        <v>10306</v>
      </c>
      <c r="C28" s="40" t="s">
        <v>10307</v>
      </c>
      <c r="D28" s="40"/>
      <c r="E28" s="41"/>
      <c r="F28" s="40" t="s">
        <v>5529</v>
      </c>
      <c r="G28" s="41">
        <v>41.395200000000003</v>
      </c>
      <c r="H28" s="40"/>
      <c r="I28" s="41"/>
      <c r="J28" s="41">
        <f t="shared" si="0"/>
        <v>41.395200000000003</v>
      </c>
      <c r="K28" s="42" t="s">
        <v>5796</v>
      </c>
      <c r="L28" s="39">
        <v>2946</v>
      </c>
    </row>
    <row r="29" spans="1:12" ht="11.25" customHeight="1">
      <c r="A29" s="39">
        <v>356</v>
      </c>
      <c r="B29" s="40" t="s">
        <v>10308</v>
      </c>
      <c r="C29" s="40" t="s">
        <v>10309</v>
      </c>
      <c r="D29" s="40" t="s">
        <v>1076</v>
      </c>
      <c r="E29" s="41">
        <v>12258.5</v>
      </c>
      <c r="F29" s="40" t="s">
        <v>1076</v>
      </c>
      <c r="G29" s="41">
        <v>12260.3523</v>
      </c>
      <c r="H29" s="40"/>
      <c r="I29" s="41"/>
      <c r="J29" s="41">
        <f t="shared" si="0"/>
        <v>12259.426149999999</v>
      </c>
      <c r="K29" s="42" t="s">
        <v>5796</v>
      </c>
      <c r="L29" s="39">
        <v>356</v>
      </c>
    </row>
    <row r="30" spans="1:12" ht="11.25" customHeight="1">
      <c r="A30" s="43">
        <v>170</v>
      </c>
      <c r="B30" s="44" t="s">
        <v>10310</v>
      </c>
      <c r="C30" s="44" t="s">
        <v>10311</v>
      </c>
      <c r="D30" s="44" t="s">
        <v>521</v>
      </c>
      <c r="E30" s="45">
        <v>36880.71</v>
      </c>
      <c r="F30" s="44" t="s">
        <v>521</v>
      </c>
      <c r="G30" s="45">
        <v>36885.340799999998</v>
      </c>
      <c r="H30" s="44"/>
      <c r="I30" s="45"/>
      <c r="J30" s="45">
        <f t="shared" si="0"/>
        <v>36883.025399999999</v>
      </c>
      <c r="K30" s="46" t="s">
        <v>5800</v>
      </c>
      <c r="L30" s="43">
        <v>170</v>
      </c>
    </row>
    <row r="31" spans="1:12" ht="11.25" customHeight="1">
      <c r="A31" s="39">
        <v>896</v>
      </c>
      <c r="B31" s="40" t="s">
        <v>5819</v>
      </c>
      <c r="C31" s="40" t="s">
        <v>10312</v>
      </c>
      <c r="D31" s="40" t="s">
        <v>2599</v>
      </c>
      <c r="E31" s="41">
        <v>2170.4899999999998</v>
      </c>
      <c r="F31" s="40" t="s">
        <v>2599</v>
      </c>
      <c r="G31" s="41">
        <v>2170.7129</v>
      </c>
      <c r="H31" s="40"/>
      <c r="I31" s="41"/>
      <c r="J31" s="41">
        <f t="shared" si="0"/>
        <v>2170.6014500000001</v>
      </c>
      <c r="K31" s="42" t="s">
        <v>5796</v>
      </c>
      <c r="L31" s="39">
        <v>896</v>
      </c>
    </row>
    <row r="32" spans="1:12" ht="11.25" customHeight="1">
      <c r="A32" s="39">
        <v>2179</v>
      </c>
      <c r="B32" s="40" t="s">
        <v>10313</v>
      </c>
      <c r="C32" s="40" t="s">
        <v>10314</v>
      </c>
      <c r="D32" s="40"/>
      <c r="E32" s="41"/>
      <c r="F32" s="40" t="s">
        <v>4990</v>
      </c>
      <c r="G32" s="41">
        <v>137.69560000000001</v>
      </c>
      <c r="H32" s="40"/>
      <c r="I32" s="41"/>
      <c r="J32" s="41">
        <f t="shared" si="0"/>
        <v>137.69560000000001</v>
      </c>
      <c r="K32" s="42" t="s">
        <v>5796</v>
      </c>
      <c r="L32" s="39">
        <v>2179</v>
      </c>
    </row>
    <row r="33" spans="1:12" ht="11.25" customHeight="1">
      <c r="A33" s="39">
        <v>448</v>
      </c>
      <c r="B33" s="40" t="s">
        <v>10315</v>
      </c>
      <c r="C33" s="40" t="s">
        <v>10316</v>
      </c>
      <c r="D33" s="40" t="s">
        <v>1337</v>
      </c>
      <c r="E33" s="41">
        <v>8868.24</v>
      </c>
      <c r="F33" s="40" t="s">
        <v>1337</v>
      </c>
      <c r="G33" s="41">
        <v>8868.9418999999998</v>
      </c>
      <c r="H33" s="40"/>
      <c r="I33" s="41"/>
      <c r="J33" s="41">
        <f t="shared" si="0"/>
        <v>8868.5909499999998</v>
      </c>
      <c r="K33" s="42" t="s">
        <v>5796</v>
      </c>
      <c r="L33" s="39">
        <v>448</v>
      </c>
    </row>
    <row r="34" spans="1:12" ht="11.25" customHeight="1">
      <c r="A34" s="39">
        <v>3023</v>
      </c>
      <c r="B34" s="40" t="s">
        <v>10317</v>
      </c>
      <c r="C34" s="40" t="s">
        <v>10318</v>
      </c>
      <c r="D34" s="40"/>
      <c r="E34" s="41"/>
      <c r="F34" s="40" t="s">
        <v>5556</v>
      </c>
      <c r="G34" s="41">
        <v>36.882899999999999</v>
      </c>
      <c r="H34" s="40"/>
      <c r="I34" s="41"/>
      <c r="J34" s="41">
        <f t="shared" si="0"/>
        <v>36.882899999999999</v>
      </c>
      <c r="K34" s="42" t="s">
        <v>5796</v>
      </c>
      <c r="L34" s="39">
        <v>3023</v>
      </c>
    </row>
    <row r="35" spans="1:12" ht="11.25" customHeight="1">
      <c r="A35" s="39">
        <v>513</v>
      </c>
      <c r="B35" s="40" t="s">
        <v>10319</v>
      </c>
      <c r="C35" s="40" t="s">
        <v>10320</v>
      </c>
      <c r="D35" s="40" t="s">
        <v>1526</v>
      </c>
      <c r="E35" s="41">
        <v>7144.9</v>
      </c>
      <c r="F35" s="40" t="s">
        <v>1526</v>
      </c>
      <c r="G35" s="41">
        <v>7140.9252999999999</v>
      </c>
      <c r="H35" s="40"/>
      <c r="I35" s="41"/>
      <c r="J35" s="41">
        <f t="shared" si="0"/>
        <v>7142.9126500000002</v>
      </c>
      <c r="K35" s="42" t="s">
        <v>5796</v>
      </c>
      <c r="L35" s="39">
        <v>513</v>
      </c>
    </row>
    <row r="36" spans="1:12" ht="11.25" customHeight="1">
      <c r="A36" s="39">
        <v>1254</v>
      </c>
      <c r="B36" s="40" t="s">
        <v>10321</v>
      </c>
      <c r="C36" s="40" t="s">
        <v>10322</v>
      </c>
      <c r="D36" s="40" t="s">
        <v>3469</v>
      </c>
      <c r="E36" s="41">
        <v>909.92</v>
      </c>
      <c r="F36" s="40" t="s">
        <v>3469</v>
      </c>
      <c r="G36" s="41">
        <v>910.94320000000005</v>
      </c>
      <c r="H36" s="40"/>
      <c r="I36" s="41"/>
      <c r="J36" s="41">
        <f t="shared" si="0"/>
        <v>910.4316</v>
      </c>
      <c r="K36" s="42" t="s">
        <v>5796</v>
      </c>
      <c r="L36" s="39">
        <v>1254</v>
      </c>
    </row>
    <row r="37" spans="1:12" ht="11.25" customHeight="1">
      <c r="A37" s="39">
        <v>966</v>
      </c>
      <c r="B37" s="40" t="s">
        <v>10323</v>
      </c>
      <c r="C37" s="40" t="s">
        <v>10324</v>
      </c>
      <c r="D37" s="40" t="s">
        <v>2776</v>
      </c>
      <c r="E37" s="41">
        <v>1878.9</v>
      </c>
      <c r="F37" s="40" t="s">
        <v>2776</v>
      </c>
      <c r="G37" s="41">
        <v>1878.3182999999999</v>
      </c>
      <c r="H37" s="40"/>
      <c r="I37" s="41"/>
      <c r="J37" s="41">
        <f t="shared" si="0"/>
        <v>1878.60915</v>
      </c>
      <c r="K37" s="42" t="s">
        <v>5796</v>
      </c>
      <c r="L37" s="39">
        <v>966</v>
      </c>
    </row>
    <row r="38" spans="1:12" ht="11.25" customHeight="1">
      <c r="A38" s="47">
        <v>63</v>
      </c>
      <c r="B38" s="48" t="s">
        <v>10325</v>
      </c>
      <c r="C38" s="48" t="s">
        <v>10326</v>
      </c>
      <c r="D38" s="48" t="s">
        <v>200</v>
      </c>
      <c r="E38" s="49">
        <v>93802.86</v>
      </c>
      <c r="F38" s="48" t="s">
        <v>200</v>
      </c>
      <c r="G38" s="49">
        <v>93804.073699999994</v>
      </c>
      <c r="H38" s="48"/>
      <c r="I38" s="49"/>
      <c r="J38" s="49">
        <f t="shared" si="0"/>
        <v>93803.466849999997</v>
      </c>
      <c r="K38" s="50" t="s">
        <v>5815</v>
      </c>
      <c r="L38" s="47">
        <v>63</v>
      </c>
    </row>
    <row r="39" spans="1:12" ht="11.25" customHeight="1">
      <c r="A39" s="47">
        <v>19</v>
      </c>
      <c r="B39" s="48" t="s">
        <v>10327</v>
      </c>
      <c r="C39" s="48" t="s">
        <v>10328</v>
      </c>
      <c r="D39" s="48" t="s">
        <v>63</v>
      </c>
      <c r="E39" s="49">
        <v>282695</v>
      </c>
      <c r="F39" s="48" t="s">
        <v>63</v>
      </c>
      <c r="G39" s="49">
        <v>282722.34659999999</v>
      </c>
      <c r="H39" s="48"/>
      <c r="I39" s="49"/>
      <c r="J39" s="49">
        <f t="shared" si="0"/>
        <v>282708.67330000002</v>
      </c>
      <c r="K39" s="50" t="s">
        <v>5815</v>
      </c>
      <c r="L39" s="47">
        <v>19</v>
      </c>
    </row>
    <row r="40" spans="1:12" ht="11.25" customHeight="1">
      <c r="A40" s="47">
        <v>34</v>
      </c>
      <c r="B40" s="48" t="s">
        <v>10329</v>
      </c>
      <c r="C40" s="48" t="s">
        <v>10330</v>
      </c>
      <c r="D40" s="48" t="s">
        <v>110</v>
      </c>
      <c r="E40" s="49">
        <v>166913.26999999999</v>
      </c>
      <c r="F40" s="48" t="s">
        <v>110</v>
      </c>
      <c r="G40" s="49">
        <v>166936.90340000001</v>
      </c>
      <c r="H40" s="48"/>
      <c r="I40" s="49"/>
      <c r="J40" s="49">
        <f t="shared" si="0"/>
        <v>166925.08669999999</v>
      </c>
      <c r="K40" s="50" t="s">
        <v>5815</v>
      </c>
      <c r="L40" s="47">
        <v>34</v>
      </c>
    </row>
    <row r="41" spans="1:12" ht="11.25" customHeight="1">
      <c r="A41" s="47">
        <v>32</v>
      </c>
      <c r="B41" s="48" t="s">
        <v>10331</v>
      </c>
      <c r="C41" s="48" t="s">
        <v>10332</v>
      </c>
      <c r="D41" s="48" t="s">
        <v>104</v>
      </c>
      <c r="E41" s="49">
        <v>179504.41</v>
      </c>
      <c r="F41" s="48" t="s">
        <v>104</v>
      </c>
      <c r="G41" s="49">
        <v>179516.86629999999</v>
      </c>
      <c r="H41" s="48"/>
      <c r="I41" s="49"/>
      <c r="J41" s="49">
        <f t="shared" si="0"/>
        <v>179510.63815000001</v>
      </c>
      <c r="K41" s="50" t="s">
        <v>5815</v>
      </c>
      <c r="L41" s="47">
        <v>32</v>
      </c>
    </row>
    <row r="42" spans="1:12" ht="11.25" customHeight="1">
      <c r="A42" s="47">
        <v>41</v>
      </c>
      <c r="B42" s="48" t="s">
        <v>10333</v>
      </c>
      <c r="C42" s="48" t="s">
        <v>10334</v>
      </c>
      <c r="D42" s="48" t="s">
        <v>134</v>
      </c>
      <c r="E42" s="49">
        <v>139435.96</v>
      </c>
      <c r="F42" s="48" t="s">
        <v>134</v>
      </c>
      <c r="G42" s="49">
        <v>139478.8873</v>
      </c>
      <c r="H42" s="48"/>
      <c r="I42" s="49"/>
      <c r="J42" s="49">
        <f t="shared" si="0"/>
        <v>139457.42365000001</v>
      </c>
      <c r="K42" s="50" t="s">
        <v>5815</v>
      </c>
      <c r="L42" s="47">
        <v>41</v>
      </c>
    </row>
    <row r="43" spans="1:12" ht="11.25" customHeight="1">
      <c r="A43" s="39">
        <v>868</v>
      </c>
      <c r="B43" s="40" t="s">
        <v>10335</v>
      </c>
      <c r="C43" s="40" t="s">
        <v>10336</v>
      </c>
      <c r="D43" s="40" t="s">
        <v>2518</v>
      </c>
      <c r="E43" s="41">
        <v>2391.58</v>
      </c>
      <c r="F43" s="40" t="s">
        <v>2518</v>
      </c>
      <c r="G43" s="41">
        <v>2391.4434000000001</v>
      </c>
      <c r="H43" s="40"/>
      <c r="I43" s="41"/>
      <c r="J43" s="41">
        <f t="shared" si="0"/>
        <v>2391.5117</v>
      </c>
      <c r="K43" s="42" t="s">
        <v>5796</v>
      </c>
      <c r="L43" s="39">
        <v>868</v>
      </c>
    </row>
    <row r="44" spans="1:12" ht="11.25" customHeight="1">
      <c r="A44" s="39">
        <v>2889</v>
      </c>
      <c r="B44" s="40" t="s">
        <v>10337</v>
      </c>
      <c r="C44" s="40" t="s">
        <v>10338</v>
      </c>
      <c r="D44" s="40" t="s">
        <v>5499</v>
      </c>
      <c r="E44" s="41">
        <v>44.69</v>
      </c>
      <c r="F44" s="40" t="s">
        <v>5499</v>
      </c>
      <c r="G44" s="41">
        <v>45.503</v>
      </c>
      <c r="H44" s="40"/>
      <c r="I44" s="41"/>
      <c r="J44" s="41">
        <f t="shared" si="0"/>
        <v>45.096499999999999</v>
      </c>
      <c r="K44" s="42" t="s">
        <v>5796</v>
      </c>
      <c r="L44" s="39">
        <v>2889</v>
      </c>
    </row>
    <row r="45" spans="1:12" ht="11.25" customHeight="1">
      <c r="A45" s="39">
        <v>998</v>
      </c>
      <c r="B45" s="40" t="s">
        <v>10339</v>
      </c>
      <c r="C45" s="40" t="s">
        <v>10340</v>
      </c>
      <c r="D45" s="40" t="s">
        <v>2857</v>
      </c>
      <c r="E45" s="41">
        <v>1718.18</v>
      </c>
      <c r="F45" s="40" t="s">
        <v>2857</v>
      </c>
      <c r="G45" s="41">
        <v>1718.7529999999999</v>
      </c>
      <c r="H45" s="40"/>
      <c r="I45" s="41"/>
      <c r="J45" s="41">
        <f t="shared" si="0"/>
        <v>1718.4665</v>
      </c>
      <c r="K45" s="42" t="s">
        <v>5796</v>
      </c>
      <c r="L45" s="39">
        <v>998</v>
      </c>
    </row>
    <row r="46" spans="1:12" ht="11.25" customHeight="1">
      <c r="A46" s="39">
        <v>2929</v>
      </c>
      <c r="B46" s="40" t="s">
        <v>10341</v>
      </c>
      <c r="C46" s="40" t="s">
        <v>10342</v>
      </c>
      <c r="D46" s="40" t="s">
        <v>5523</v>
      </c>
      <c r="E46" s="41">
        <v>42.87</v>
      </c>
      <c r="F46" s="40" t="s">
        <v>5523</v>
      </c>
      <c r="G46" s="41">
        <v>42.186399999999999</v>
      </c>
      <c r="H46" s="40"/>
      <c r="I46" s="41"/>
      <c r="J46" s="41">
        <f t="shared" si="0"/>
        <v>42.528199999999998</v>
      </c>
      <c r="K46" s="42" t="s">
        <v>5796</v>
      </c>
      <c r="L46" s="39">
        <v>2929</v>
      </c>
    </row>
    <row r="47" spans="1:12" ht="11.25" customHeight="1">
      <c r="A47" s="39">
        <v>1361</v>
      </c>
      <c r="B47" s="40" t="s">
        <v>10343</v>
      </c>
      <c r="C47" s="40" t="s">
        <v>10344</v>
      </c>
      <c r="D47" s="40" t="s">
        <v>3685</v>
      </c>
      <c r="E47" s="41">
        <v>705.73</v>
      </c>
      <c r="F47" s="40" t="s">
        <v>3685</v>
      </c>
      <c r="G47" s="41">
        <v>704.93939999999998</v>
      </c>
      <c r="H47" s="40"/>
      <c r="I47" s="41"/>
      <c r="J47" s="41">
        <f t="shared" si="0"/>
        <v>705.3347</v>
      </c>
      <c r="K47" s="42" t="s">
        <v>5796</v>
      </c>
      <c r="L47" s="39">
        <v>1361</v>
      </c>
    </row>
    <row r="48" spans="1:12" ht="11.25" customHeight="1">
      <c r="A48" s="39">
        <v>1557</v>
      </c>
      <c r="B48" s="40" t="s">
        <v>10345</v>
      </c>
      <c r="C48" s="40" t="s">
        <v>10346</v>
      </c>
      <c r="D48" s="40" t="s">
        <v>4075</v>
      </c>
      <c r="E48" s="41">
        <v>449.02</v>
      </c>
      <c r="F48" s="40" t="s">
        <v>4075</v>
      </c>
      <c r="G48" s="41">
        <v>448.84300000000002</v>
      </c>
      <c r="H48" s="40"/>
      <c r="I48" s="41"/>
      <c r="J48" s="41">
        <f t="shared" si="0"/>
        <v>448.93150000000003</v>
      </c>
      <c r="K48" s="42" t="s">
        <v>5796</v>
      </c>
      <c r="L48" s="39">
        <v>1557</v>
      </c>
    </row>
    <row r="49" spans="1:12" ht="11.25" customHeight="1">
      <c r="A49" s="39">
        <v>716</v>
      </c>
      <c r="B49" s="40" t="s">
        <v>10347</v>
      </c>
      <c r="C49" s="40" t="s">
        <v>10348</v>
      </c>
      <c r="D49" s="40" t="s">
        <v>2095</v>
      </c>
      <c r="E49" s="41">
        <v>3637.49</v>
      </c>
      <c r="F49" s="40" t="s">
        <v>2095</v>
      </c>
      <c r="G49" s="41">
        <v>3639.3640999999998</v>
      </c>
      <c r="H49" s="40"/>
      <c r="I49" s="41"/>
      <c r="J49" s="41">
        <f t="shared" si="0"/>
        <v>3638.4270499999998</v>
      </c>
      <c r="K49" s="42" t="s">
        <v>5796</v>
      </c>
      <c r="L49" s="39">
        <v>716</v>
      </c>
    </row>
    <row r="50" spans="1:12" ht="11.25" customHeight="1">
      <c r="A50" s="39">
        <v>362</v>
      </c>
      <c r="B50" s="40" t="s">
        <v>10349</v>
      </c>
      <c r="C50" s="40" t="s">
        <v>10350</v>
      </c>
      <c r="D50" s="40" t="s">
        <v>10351</v>
      </c>
      <c r="E50" s="41">
        <v>12107.22</v>
      </c>
      <c r="F50" s="40" t="s">
        <v>1094</v>
      </c>
      <c r="G50" s="41">
        <v>12106.9807</v>
      </c>
      <c r="H50" s="40"/>
      <c r="I50" s="41"/>
      <c r="J50" s="41">
        <f t="shared" si="0"/>
        <v>12107.100350000001</v>
      </c>
      <c r="K50" s="42" t="s">
        <v>5796</v>
      </c>
      <c r="L50" s="39">
        <v>362</v>
      </c>
    </row>
    <row r="51" spans="1:12" ht="11.25" customHeight="1">
      <c r="A51" s="39">
        <v>940</v>
      </c>
      <c r="B51" s="40" t="s">
        <v>10352</v>
      </c>
      <c r="C51" s="40" t="s">
        <v>10353</v>
      </c>
      <c r="D51" s="40" t="s">
        <v>2713</v>
      </c>
      <c r="E51" s="41">
        <v>2006.07</v>
      </c>
      <c r="F51" s="40" t="s">
        <v>2713</v>
      </c>
      <c r="G51" s="41">
        <v>2006.0586000000001</v>
      </c>
      <c r="H51" s="40"/>
      <c r="I51" s="41"/>
      <c r="J51" s="41">
        <f t="shared" si="0"/>
        <v>2006.0643</v>
      </c>
      <c r="K51" s="42" t="s">
        <v>5796</v>
      </c>
      <c r="L51" s="39">
        <v>940</v>
      </c>
    </row>
    <row r="52" spans="1:12" ht="11.25" customHeight="1">
      <c r="A52" s="39">
        <v>345</v>
      </c>
      <c r="B52" s="40" t="s">
        <v>10354</v>
      </c>
      <c r="C52" s="40" t="s">
        <v>10355</v>
      </c>
      <c r="D52" s="40" t="s">
        <v>1046</v>
      </c>
      <c r="E52" s="41">
        <v>12690.35</v>
      </c>
      <c r="F52" s="40" t="s">
        <v>1046</v>
      </c>
      <c r="G52" s="41">
        <v>12690.911599999999</v>
      </c>
      <c r="H52" s="40"/>
      <c r="I52" s="41"/>
      <c r="J52" s="41">
        <f t="shared" si="0"/>
        <v>12690.630799999999</v>
      </c>
      <c r="K52" s="42" t="s">
        <v>5796</v>
      </c>
      <c r="L52" s="39">
        <v>345</v>
      </c>
    </row>
    <row r="53" spans="1:12" ht="11.25" customHeight="1">
      <c r="A53" s="39">
        <v>319</v>
      </c>
      <c r="B53" s="40" t="s">
        <v>10356</v>
      </c>
      <c r="C53" s="40" t="s">
        <v>10357</v>
      </c>
      <c r="D53" s="40" t="s">
        <v>968</v>
      </c>
      <c r="E53" s="41">
        <v>14741.03</v>
      </c>
      <c r="F53" s="40" t="s">
        <v>968</v>
      </c>
      <c r="G53" s="41">
        <v>14618.031199999999</v>
      </c>
      <c r="H53" s="40"/>
      <c r="I53" s="41"/>
      <c r="J53" s="41">
        <f t="shared" si="0"/>
        <v>14679.5306</v>
      </c>
      <c r="K53" s="42" t="s">
        <v>5796</v>
      </c>
      <c r="L53" s="39">
        <v>319</v>
      </c>
    </row>
    <row r="54" spans="1:12" ht="11.25" customHeight="1">
      <c r="A54" s="39">
        <v>1101</v>
      </c>
      <c r="B54" s="40" t="s">
        <v>10358</v>
      </c>
      <c r="C54" s="40" t="s">
        <v>10359</v>
      </c>
      <c r="D54" s="40" t="s">
        <v>3115</v>
      </c>
      <c r="E54" s="41">
        <v>1320.08</v>
      </c>
      <c r="F54" s="40" t="s">
        <v>3115</v>
      </c>
      <c r="G54" s="41">
        <v>1320.0942</v>
      </c>
      <c r="H54" s="40"/>
      <c r="I54" s="41"/>
      <c r="J54" s="41">
        <f t="shared" si="0"/>
        <v>1320.0871</v>
      </c>
      <c r="K54" s="42" t="s">
        <v>5796</v>
      </c>
      <c r="L54" s="39">
        <v>1101</v>
      </c>
    </row>
    <row r="55" spans="1:12" ht="11.25" customHeight="1">
      <c r="A55" s="39">
        <v>607</v>
      </c>
      <c r="B55" s="40" t="s">
        <v>5832</v>
      </c>
      <c r="C55" s="40" t="s">
        <v>10360</v>
      </c>
      <c r="D55" s="40" t="s">
        <v>1793</v>
      </c>
      <c r="E55" s="41">
        <v>5246.02</v>
      </c>
      <c r="F55" s="40" t="s">
        <v>1793</v>
      </c>
      <c r="G55" s="41">
        <v>5245.2957999999999</v>
      </c>
      <c r="H55" s="40"/>
      <c r="I55" s="41"/>
      <c r="J55" s="41">
        <f t="shared" si="0"/>
        <v>5245.6579000000002</v>
      </c>
      <c r="K55" s="42" t="s">
        <v>5796</v>
      </c>
      <c r="L55" s="39">
        <v>607</v>
      </c>
    </row>
    <row r="56" spans="1:12" ht="11.25" customHeight="1">
      <c r="A56" s="39">
        <v>2351</v>
      </c>
      <c r="B56" s="40" t="s">
        <v>10361</v>
      </c>
      <c r="C56" s="40" t="s">
        <v>10362</v>
      </c>
      <c r="D56" s="40" t="s">
        <v>5173</v>
      </c>
      <c r="E56" s="41">
        <v>104.18</v>
      </c>
      <c r="F56" s="40" t="s">
        <v>5173</v>
      </c>
      <c r="G56" s="41">
        <v>104.0851</v>
      </c>
      <c r="H56" s="40"/>
      <c r="I56" s="41"/>
      <c r="J56" s="41">
        <f t="shared" si="0"/>
        <v>104.13255000000001</v>
      </c>
      <c r="K56" s="42" t="s">
        <v>5796</v>
      </c>
      <c r="L56" s="39">
        <v>2351</v>
      </c>
    </row>
    <row r="57" spans="1:12" ht="11.25" customHeight="1">
      <c r="A57" s="39">
        <v>2541</v>
      </c>
      <c r="B57" s="40" t="s">
        <v>10363</v>
      </c>
      <c r="C57" s="40" t="s">
        <v>10364</v>
      </c>
      <c r="D57" s="40"/>
      <c r="E57" s="41"/>
      <c r="F57" s="40" t="s">
        <v>5334</v>
      </c>
      <c r="G57" s="41">
        <v>75.069800000000001</v>
      </c>
      <c r="H57" s="40"/>
      <c r="I57" s="41"/>
      <c r="J57" s="41">
        <f t="shared" si="0"/>
        <v>75.069800000000001</v>
      </c>
      <c r="K57" s="42" t="s">
        <v>5796</v>
      </c>
      <c r="L57" s="39">
        <v>2541</v>
      </c>
    </row>
    <row r="58" spans="1:12" ht="11.25" customHeight="1">
      <c r="A58" s="39">
        <v>1284</v>
      </c>
      <c r="B58" s="40" t="s">
        <v>5835</v>
      </c>
      <c r="C58" s="40" t="s">
        <v>10365</v>
      </c>
      <c r="D58" s="40" t="s">
        <v>10366</v>
      </c>
      <c r="E58" s="41">
        <v>832.76</v>
      </c>
      <c r="F58" s="40" t="s">
        <v>3532</v>
      </c>
      <c r="G58" s="41">
        <v>832.78589999999997</v>
      </c>
      <c r="H58" s="40"/>
      <c r="I58" s="41"/>
      <c r="J58" s="41">
        <f t="shared" si="0"/>
        <v>832.77295000000004</v>
      </c>
      <c r="K58" s="42" t="s">
        <v>5796</v>
      </c>
      <c r="L58" s="39">
        <v>1284</v>
      </c>
    </row>
    <row r="59" spans="1:12" ht="11.25" customHeight="1">
      <c r="A59" s="39">
        <v>1034</v>
      </c>
      <c r="B59" s="40" t="s">
        <v>10367</v>
      </c>
      <c r="C59" s="40" t="s">
        <v>10368</v>
      </c>
      <c r="D59" s="40" t="s">
        <v>2956</v>
      </c>
      <c r="E59" s="41">
        <v>1545.02</v>
      </c>
      <c r="F59" s="40" t="s">
        <v>2956</v>
      </c>
      <c r="G59" s="41">
        <v>1545.0351000000001</v>
      </c>
      <c r="H59" s="40"/>
      <c r="I59" s="41"/>
      <c r="J59" s="41">
        <f t="shared" si="0"/>
        <v>1545.02755</v>
      </c>
      <c r="K59" s="42" t="s">
        <v>5796</v>
      </c>
      <c r="L59" s="39">
        <v>1034</v>
      </c>
    </row>
    <row r="60" spans="1:12" ht="11.25" customHeight="1">
      <c r="A60" s="39">
        <v>2154</v>
      </c>
      <c r="B60" s="40" t="s">
        <v>10369</v>
      </c>
      <c r="C60" s="40" t="s">
        <v>10370</v>
      </c>
      <c r="D60" s="40"/>
      <c r="E60" s="41"/>
      <c r="F60" s="40" t="s">
        <v>4960</v>
      </c>
      <c r="G60" s="41">
        <v>145.06479999999999</v>
      </c>
      <c r="H60" s="40"/>
      <c r="I60" s="41"/>
      <c r="J60" s="41">
        <f t="shared" si="0"/>
        <v>145.06479999999999</v>
      </c>
      <c r="K60" s="42" t="s">
        <v>5796</v>
      </c>
      <c r="L60" s="39">
        <v>2154</v>
      </c>
    </row>
    <row r="61" spans="1:12" ht="11.25" customHeight="1">
      <c r="A61" s="39">
        <v>1879</v>
      </c>
      <c r="B61" s="40" t="s">
        <v>10371</v>
      </c>
      <c r="C61" s="40" t="s">
        <v>10372</v>
      </c>
      <c r="D61" s="40" t="s">
        <v>4573</v>
      </c>
      <c r="E61" s="41">
        <v>233.51</v>
      </c>
      <c r="F61" s="40" t="s">
        <v>4573</v>
      </c>
      <c r="G61" s="41">
        <v>233.12899999999999</v>
      </c>
      <c r="H61" s="40"/>
      <c r="I61" s="41"/>
      <c r="J61" s="41">
        <f t="shared" si="0"/>
        <v>233.31950000000001</v>
      </c>
      <c r="K61" s="42" t="s">
        <v>5796</v>
      </c>
      <c r="L61" s="39">
        <v>1879</v>
      </c>
    </row>
    <row r="62" spans="1:12" ht="11.25" customHeight="1">
      <c r="A62" s="39">
        <v>618</v>
      </c>
      <c r="B62" s="40" t="s">
        <v>10373</v>
      </c>
      <c r="C62" s="40" t="s">
        <v>10374</v>
      </c>
      <c r="D62" s="40" t="s">
        <v>1826</v>
      </c>
      <c r="E62" s="41">
        <v>4904.01</v>
      </c>
      <c r="F62" s="40" t="s">
        <v>1826</v>
      </c>
      <c r="G62" s="41">
        <v>4901.9336000000003</v>
      </c>
      <c r="H62" s="40"/>
      <c r="I62" s="41"/>
      <c r="J62" s="41">
        <f t="shared" si="0"/>
        <v>4902.9718000000003</v>
      </c>
      <c r="K62" s="42" t="s">
        <v>5796</v>
      </c>
      <c r="L62" s="39">
        <v>618</v>
      </c>
    </row>
    <row r="63" spans="1:12" ht="11.25" customHeight="1">
      <c r="A63" s="43">
        <v>187</v>
      </c>
      <c r="B63" s="44" t="s">
        <v>10375</v>
      </c>
      <c r="C63" s="44" t="s">
        <v>10376</v>
      </c>
      <c r="D63" s="44" t="s">
        <v>572</v>
      </c>
      <c r="E63" s="45">
        <v>33361.53</v>
      </c>
      <c r="F63" s="44" t="s">
        <v>572</v>
      </c>
      <c r="G63" s="45">
        <v>33368.063399999999</v>
      </c>
      <c r="H63" s="44"/>
      <c r="I63" s="45"/>
      <c r="J63" s="45">
        <f t="shared" si="0"/>
        <v>33364.796699999999</v>
      </c>
      <c r="K63" s="46" t="s">
        <v>5800</v>
      </c>
      <c r="L63" s="43">
        <v>187</v>
      </c>
    </row>
    <row r="64" spans="1:12" ht="11.25" customHeight="1">
      <c r="A64" s="39">
        <v>1783</v>
      </c>
      <c r="B64" s="40" t="s">
        <v>5839</v>
      </c>
      <c r="C64" s="40" t="s">
        <v>10377</v>
      </c>
      <c r="D64" s="40" t="s">
        <v>4453</v>
      </c>
      <c r="E64" s="41">
        <v>278.45999999999998</v>
      </c>
      <c r="F64" s="40" t="s">
        <v>4453</v>
      </c>
      <c r="G64" s="41">
        <v>278.20479999999998</v>
      </c>
      <c r="H64" s="40"/>
      <c r="I64" s="41"/>
      <c r="J64" s="41">
        <f t="shared" si="0"/>
        <v>278.33240000000001</v>
      </c>
      <c r="K64" s="42" t="s">
        <v>5796</v>
      </c>
      <c r="L64" s="39">
        <v>1783</v>
      </c>
    </row>
    <row r="65" spans="1:12" ht="11.25" customHeight="1">
      <c r="A65" s="39">
        <v>2063</v>
      </c>
      <c r="B65" s="40" t="s">
        <v>10378</v>
      </c>
      <c r="C65" s="40" t="s">
        <v>10379</v>
      </c>
      <c r="D65" s="40"/>
      <c r="E65" s="41"/>
      <c r="F65" s="40" t="s">
        <v>4828</v>
      </c>
      <c r="G65" s="41">
        <v>170.82259999999999</v>
      </c>
      <c r="H65" s="40"/>
      <c r="I65" s="41"/>
      <c r="J65" s="41">
        <f t="shared" si="0"/>
        <v>170.82259999999999</v>
      </c>
      <c r="K65" s="42" t="s">
        <v>5796</v>
      </c>
      <c r="L65" s="39">
        <v>2063</v>
      </c>
    </row>
    <row r="66" spans="1:12" ht="11.25" customHeight="1">
      <c r="A66" s="43">
        <v>247</v>
      </c>
      <c r="B66" s="44" t="s">
        <v>10380</v>
      </c>
      <c r="C66" s="44" t="s">
        <v>10381</v>
      </c>
      <c r="D66" s="44" t="s">
        <v>749</v>
      </c>
      <c r="E66" s="45">
        <v>22064.99</v>
      </c>
      <c r="F66" s="44" t="s">
        <v>749</v>
      </c>
      <c r="G66" s="45">
        <v>22458.696800000002</v>
      </c>
      <c r="H66" s="44"/>
      <c r="I66" s="45"/>
      <c r="J66" s="45">
        <f t="shared" si="0"/>
        <v>22261.843400000002</v>
      </c>
      <c r="K66" s="46" t="s">
        <v>5800</v>
      </c>
      <c r="L66" s="43">
        <v>247</v>
      </c>
    </row>
    <row r="67" spans="1:12" ht="11.25" customHeight="1">
      <c r="A67" s="39">
        <v>1076</v>
      </c>
      <c r="B67" s="40" t="s">
        <v>10382</v>
      </c>
      <c r="C67" s="40" t="s">
        <v>10383</v>
      </c>
      <c r="D67" s="40" t="s">
        <v>3055</v>
      </c>
      <c r="E67" s="41">
        <v>1392.35</v>
      </c>
      <c r="F67" s="40" t="s">
        <v>3055</v>
      </c>
      <c r="G67" s="41">
        <v>1392.4122</v>
      </c>
      <c r="H67" s="40"/>
      <c r="I67" s="41"/>
      <c r="J67" s="41">
        <f t="shared" si="0"/>
        <v>1392.3811000000001</v>
      </c>
      <c r="K67" s="42" t="s">
        <v>5796</v>
      </c>
      <c r="L67" s="39">
        <v>1076</v>
      </c>
    </row>
    <row r="68" spans="1:12" ht="11.25" customHeight="1">
      <c r="A68" s="39">
        <v>2947</v>
      </c>
      <c r="B68" s="40" t="s">
        <v>10384</v>
      </c>
      <c r="C68" s="40" t="s">
        <v>10385</v>
      </c>
      <c r="D68" s="40"/>
      <c r="E68" s="41"/>
      <c r="F68" s="40" t="s">
        <v>5532</v>
      </c>
      <c r="G68" s="41">
        <v>41.344499999999996</v>
      </c>
      <c r="H68" s="40"/>
      <c r="I68" s="41"/>
      <c r="J68" s="41">
        <f t="shared" si="0"/>
        <v>41.344499999999996</v>
      </c>
      <c r="K68" s="42" t="s">
        <v>5796</v>
      </c>
      <c r="L68" s="39">
        <v>2947</v>
      </c>
    </row>
    <row r="69" spans="1:12" ht="11.25" customHeight="1">
      <c r="A69" s="39">
        <v>2822</v>
      </c>
      <c r="B69" s="40" t="s">
        <v>10386</v>
      </c>
      <c r="C69" s="40" t="s">
        <v>10387</v>
      </c>
      <c r="D69" s="40"/>
      <c r="E69" s="41"/>
      <c r="F69" s="40" t="s">
        <v>5475</v>
      </c>
      <c r="G69" s="41">
        <v>49.686</v>
      </c>
      <c r="H69" s="40"/>
      <c r="I69" s="41"/>
      <c r="J69" s="41">
        <f t="shared" si="0"/>
        <v>49.686</v>
      </c>
      <c r="K69" s="42" t="s">
        <v>5796</v>
      </c>
      <c r="L69" s="39">
        <v>2822</v>
      </c>
    </row>
    <row r="70" spans="1:12" ht="11.25" customHeight="1">
      <c r="A70" s="39">
        <v>2488</v>
      </c>
      <c r="B70" s="40" t="s">
        <v>10388</v>
      </c>
      <c r="C70" s="40" t="s">
        <v>10389</v>
      </c>
      <c r="D70" s="40"/>
      <c r="E70" s="41"/>
      <c r="F70" s="40" t="s">
        <v>5286</v>
      </c>
      <c r="G70" s="41">
        <v>83.472499999999997</v>
      </c>
      <c r="H70" s="40"/>
      <c r="I70" s="41"/>
      <c r="J70" s="41">
        <f t="shared" si="0"/>
        <v>83.472499999999997</v>
      </c>
      <c r="K70" s="42" t="s">
        <v>5796</v>
      </c>
      <c r="L70" s="39">
        <v>2488</v>
      </c>
    </row>
    <row r="71" spans="1:12" ht="11.25" customHeight="1">
      <c r="A71" s="39">
        <v>2213</v>
      </c>
      <c r="B71" s="40" t="s">
        <v>10390</v>
      </c>
      <c r="C71" s="40" t="s">
        <v>10391</v>
      </c>
      <c r="D71" s="40" t="s">
        <v>5041</v>
      </c>
      <c r="E71" s="41">
        <v>130.51</v>
      </c>
      <c r="F71" s="40" t="s">
        <v>5041</v>
      </c>
      <c r="G71" s="41">
        <v>128.5146</v>
      </c>
      <c r="H71" s="40"/>
      <c r="I71" s="41"/>
      <c r="J71" s="41">
        <f t="shared" si="0"/>
        <v>129.51229999999998</v>
      </c>
      <c r="K71" s="42" t="s">
        <v>5796</v>
      </c>
      <c r="L71" s="39">
        <v>2213</v>
      </c>
    </row>
    <row r="72" spans="1:12" ht="11.25" customHeight="1">
      <c r="A72" s="39">
        <v>2051</v>
      </c>
      <c r="B72" s="40" t="s">
        <v>10392</v>
      </c>
      <c r="C72" s="40" t="s">
        <v>10393</v>
      </c>
      <c r="D72" s="40" t="s">
        <v>4801</v>
      </c>
      <c r="E72" s="41">
        <v>173.7</v>
      </c>
      <c r="F72" s="40" t="s">
        <v>4801</v>
      </c>
      <c r="G72" s="41">
        <v>172.82470000000001</v>
      </c>
      <c r="H72" s="40"/>
      <c r="I72" s="41"/>
      <c r="J72" s="41">
        <f t="shared" si="0"/>
        <v>173.26235</v>
      </c>
      <c r="K72" s="42" t="s">
        <v>5796</v>
      </c>
      <c r="L72" s="39">
        <v>2051</v>
      </c>
    </row>
    <row r="73" spans="1:12" ht="11.25" customHeight="1">
      <c r="A73" s="39">
        <v>1926</v>
      </c>
      <c r="B73" s="40" t="s">
        <v>10394</v>
      </c>
      <c r="C73" s="40" t="s">
        <v>10395</v>
      </c>
      <c r="D73" s="40" t="s">
        <v>10396</v>
      </c>
      <c r="E73" s="41">
        <v>210</v>
      </c>
      <c r="F73" s="40" t="s">
        <v>4636</v>
      </c>
      <c r="G73" s="41">
        <v>209.96190000000001</v>
      </c>
      <c r="H73" s="40"/>
      <c r="I73" s="41"/>
      <c r="J73" s="41">
        <f t="shared" si="0"/>
        <v>209.98095000000001</v>
      </c>
      <c r="K73" s="42" t="s">
        <v>5796</v>
      </c>
      <c r="L73" s="39">
        <v>1926</v>
      </c>
    </row>
    <row r="74" spans="1:12" ht="11.25" customHeight="1">
      <c r="A74" s="39">
        <v>2057</v>
      </c>
      <c r="B74" s="40" t="s">
        <v>10397</v>
      </c>
      <c r="C74" s="40" t="s">
        <v>10398</v>
      </c>
      <c r="D74" s="40" t="s">
        <v>4816</v>
      </c>
      <c r="E74" s="41">
        <v>171.86</v>
      </c>
      <c r="F74" s="40" t="s">
        <v>4816</v>
      </c>
      <c r="G74" s="41">
        <v>171.7251</v>
      </c>
      <c r="H74" s="40"/>
      <c r="I74" s="41"/>
      <c r="J74" s="41">
        <f t="shared" si="0"/>
        <v>171.79255000000001</v>
      </c>
      <c r="K74" s="42" t="s">
        <v>5796</v>
      </c>
      <c r="L74" s="39">
        <v>2057</v>
      </c>
    </row>
    <row r="75" spans="1:12" ht="11.25" customHeight="1">
      <c r="A75" s="39">
        <v>367</v>
      </c>
      <c r="B75" s="40" t="s">
        <v>10399</v>
      </c>
      <c r="C75" s="40" t="s">
        <v>10400</v>
      </c>
      <c r="D75" s="40" t="s">
        <v>1109</v>
      </c>
      <c r="E75" s="41">
        <v>11800.45</v>
      </c>
      <c r="F75" s="40" t="s">
        <v>1109</v>
      </c>
      <c r="G75" s="41">
        <v>11806.2107</v>
      </c>
      <c r="H75" s="40"/>
      <c r="I75" s="41"/>
      <c r="J75" s="41">
        <f t="shared" si="0"/>
        <v>11803.33035</v>
      </c>
      <c r="K75" s="42" t="s">
        <v>5796</v>
      </c>
      <c r="L75" s="39">
        <v>367</v>
      </c>
    </row>
    <row r="76" spans="1:12" ht="11.25" customHeight="1">
      <c r="A76" s="39">
        <v>1799</v>
      </c>
      <c r="B76" s="40" t="s">
        <v>10401</v>
      </c>
      <c r="C76" s="40" t="s">
        <v>10402</v>
      </c>
      <c r="D76" s="40" t="s">
        <v>4480</v>
      </c>
      <c r="E76" s="41">
        <v>272.25</v>
      </c>
      <c r="F76" s="40" t="s">
        <v>4480</v>
      </c>
      <c r="G76" s="41">
        <v>272.05939999999998</v>
      </c>
      <c r="H76" s="40"/>
      <c r="I76" s="41"/>
      <c r="J76" s="41">
        <f t="shared" si="0"/>
        <v>272.15469999999999</v>
      </c>
      <c r="K76" s="42" t="s">
        <v>5796</v>
      </c>
      <c r="L76" s="39">
        <v>1799</v>
      </c>
    </row>
    <row r="77" spans="1:12" ht="11.25" customHeight="1">
      <c r="A77" s="39">
        <v>1533</v>
      </c>
      <c r="B77" s="40" t="s">
        <v>10403</v>
      </c>
      <c r="C77" s="40" t="s">
        <v>10404</v>
      </c>
      <c r="D77" s="40" t="s">
        <v>10405</v>
      </c>
      <c r="E77" s="41">
        <v>471.44</v>
      </c>
      <c r="F77" s="40" t="s">
        <v>4024</v>
      </c>
      <c r="G77" s="41">
        <v>471.42349999999999</v>
      </c>
      <c r="H77" s="40"/>
      <c r="I77" s="41"/>
      <c r="J77" s="41">
        <f t="shared" si="0"/>
        <v>471.43174999999997</v>
      </c>
      <c r="K77" s="42" t="s">
        <v>5796</v>
      </c>
      <c r="L77" s="39">
        <v>1533</v>
      </c>
    </row>
    <row r="78" spans="1:12" ht="11.25" customHeight="1">
      <c r="A78" s="39">
        <v>917</v>
      </c>
      <c r="B78" s="40" t="s">
        <v>10406</v>
      </c>
      <c r="C78" s="40" t="s">
        <v>10407</v>
      </c>
      <c r="D78" s="40" t="s">
        <v>2653</v>
      </c>
      <c r="E78" s="41">
        <v>2093.83</v>
      </c>
      <c r="F78" s="40" t="s">
        <v>2653</v>
      </c>
      <c r="G78" s="41">
        <v>2094.1696999999999</v>
      </c>
      <c r="H78" s="40"/>
      <c r="I78" s="41"/>
      <c r="J78" s="41">
        <f t="shared" si="0"/>
        <v>2093.9998500000002</v>
      </c>
      <c r="K78" s="42" t="s">
        <v>5796</v>
      </c>
      <c r="L78" s="39">
        <v>917</v>
      </c>
    </row>
    <row r="79" spans="1:12" ht="11.25" customHeight="1">
      <c r="A79" s="39">
        <v>1088</v>
      </c>
      <c r="B79" s="40" t="s">
        <v>10408</v>
      </c>
      <c r="C79" s="40" t="s">
        <v>10409</v>
      </c>
      <c r="D79" s="40" t="s">
        <v>3085</v>
      </c>
      <c r="E79" s="41">
        <v>1362.01</v>
      </c>
      <c r="F79" s="40" t="s">
        <v>3085</v>
      </c>
      <c r="G79" s="41">
        <v>1362.5127</v>
      </c>
      <c r="H79" s="40"/>
      <c r="I79" s="41"/>
      <c r="J79" s="41">
        <f t="shared" si="0"/>
        <v>1362.26135</v>
      </c>
      <c r="K79" s="42" t="s">
        <v>5796</v>
      </c>
      <c r="L79" s="39">
        <v>1088</v>
      </c>
    </row>
    <row r="80" spans="1:12" ht="11.25" customHeight="1">
      <c r="A80" s="39">
        <v>2256</v>
      </c>
      <c r="B80" s="40" t="s">
        <v>10410</v>
      </c>
      <c r="C80" s="40" t="s">
        <v>10411</v>
      </c>
      <c r="D80" s="40" t="s">
        <v>5077</v>
      </c>
      <c r="E80" s="41">
        <v>120.92</v>
      </c>
      <c r="F80" s="40" t="s">
        <v>5077</v>
      </c>
      <c r="G80" s="41">
        <v>120.8458</v>
      </c>
      <c r="H80" s="40"/>
      <c r="I80" s="41"/>
      <c r="J80" s="41">
        <f t="shared" si="0"/>
        <v>120.88290000000001</v>
      </c>
      <c r="K80" s="42" t="s">
        <v>5796</v>
      </c>
      <c r="L80" s="39">
        <v>2256</v>
      </c>
    </row>
    <row r="81" spans="1:12" ht="11.25" customHeight="1">
      <c r="A81" s="43">
        <v>140</v>
      </c>
      <c r="B81" s="44" t="s">
        <v>10412</v>
      </c>
      <c r="C81" s="44" t="s">
        <v>10413</v>
      </c>
      <c r="D81" s="44" t="s">
        <v>431</v>
      </c>
      <c r="E81" s="45">
        <v>47630.35</v>
      </c>
      <c r="F81" s="44" t="s">
        <v>431</v>
      </c>
      <c r="G81" s="45">
        <v>47646.3632</v>
      </c>
      <c r="H81" s="44"/>
      <c r="I81" s="45"/>
      <c r="J81" s="45">
        <f t="shared" si="0"/>
        <v>47638.356599999999</v>
      </c>
      <c r="K81" s="46" t="s">
        <v>5800</v>
      </c>
      <c r="L81" s="43">
        <v>140</v>
      </c>
    </row>
    <row r="82" spans="1:12" ht="11.25" customHeight="1">
      <c r="A82" s="39">
        <v>365</v>
      </c>
      <c r="B82" s="40" t="s">
        <v>10414</v>
      </c>
      <c r="C82" s="40" t="s">
        <v>10415</v>
      </c>
      <c r="D82" s="40" t="s">
        <v>1103</v>
      </c>
      <c r="E82" s="41">
        <v>11937.27</v>
      </c>
      <c r="F82" s="40" t="s">
        <v>1103</v>
      </c>
      <c r="G82" s="41">
        <v>11935.129499999999</v>
      </c>
      <c r="H82" s="40"/>
      <c r="I82" s="41"/>
      <c r="J82" s="41">
        <f t="shared" si="0"/>
        <v>11936.19975</v>
      </c>
      <c r="K82" s="42" t="s">
        <v>5796</v>
      </c>
      <c r="L82" s="39">
        <v>365</v>
      </c>
    </row>
    <row r="83" spans="1:12" ht="11.25" customHeight="1">
      <c r="A83" s="39">
        <v>529</v>
      </c>
      <c r="B83" s="40" t="s">
        <v>10416</v>
      </c>
      <c r="C83" s="40" t="s">
        <v>10417</v>
      </c>
      <c r="D83" s="40" t="s">
        <v>1568</v>
      </c>
      <c r="E83" s="41">
        <v>6832.99</v>
      </c>
      <c r="F83" s="40" t="s">
        <v>1568</v>
      </c>
      <c r="G83" s="41">
        <v>6833.5057999999999</v>
      </c>
      <c r="H83" s="40"/>
      <c r="I83" s="41"/>
      <c r="J83" s="41">
        <f t="shared" si="0"/>
        <v>6833.2479000000003</v>
      </c>
      <c r="K83" s="42" t="s">
        <v>5796</v>
      </c>
      <c r="L83" s="39">
        <v>529</v>
      </c>
    </row>
    <row r="84" spans="1:12" ht="11.25" customHeight="1">
      <c r="A84" s="39">
        <v>1243</v>
      </c>
      <c r="B84" s="40" t="s">
        <v>10418</v>
      </c>
      <c r="C84" s="40" t="s">
        <v>10419</v>
      </c>
      <c r="D84" s="40" t="s">
        <v>3442</v>
      </c>
      <c r="E84" s="41">
        <v>931.45</v>
      </c>
      <c r="F84" s="40" t="s">
        <v>3442</v>
      </c>
      <c r="G84" s="41">
        <v>931.41200000000003</v>
      </c>
      <c r="H84" s="40"/>
      <c r="I84" s="41"/>
      <c r="J84" s="41">
        <f t="shared" si="0"/>
        <v>931.43100000000004</v>
      </c>
      <c r="K84" s="42" t="s">
        <v>5796</v>
      </c>
      <c r="L84" s="39">
        <v>1243</v>
      </c>
    </row>
    <row r="85" spans="1:12" ht="11.25" customHeight="1">
      <c r="A85" s="39">
        <v>1882</v>
      </c>
      <c r="B85" s="40" t="s">
        <v>10420</v>
      </c>
      <c r="C85" s="40" t="s">
        <v>10421</v>
      </c>
      <c r="D85" s="40" t="s">
        <v>4579</v>
      </c>
      <c r="E85" s="41">
        <v>231.51</v>
      </c>
      <c r="F85" s="40" t="s">
        <v>4579</v>
      </c>
      <c r="G85" s="41">
        <v>230.10429999999999</v>
      </c>
      <c r="H85" s="40"/>
      <c r="I85" s="41"/>
      <c r="J85" s="41">
        <f t="shared" si="0"/>
        <v>230.80714999999998</v>
      </c>
      <c r="K85" s="42" t="s">
        <v>5796</v>
      </c>
      <c r="L85" s="39">
        <v>1882</v>
      </c>
    </row>
    <row r="86" spans="1:12" ht="11.25" customHeight="1">
      <c r="A86" s="39">
        <v>436</v>
      </c>
      <c r="B86" s="40" t="s">
        <v>10422</v>
      </c>
      <c r="C86" s="40" t="s">
        <v>10423</v>
      </c>
      <c r="D86" s="40" t="s">
        <v>10424</v>
      </c>
      <c r="E86" s="41">
        <v>9212.7199999999993</v>
      </c>
      <c r="F86" s="40" t="s">
        <v>1304</v>
      </c>
      <c r="G86" s="41">
        <v>9212.7232999999997</v>
      </c>
      <c r="H86" s="40"/>
      <c r="I86" s="41"/>
      <c r="J86" s="41">
        <f t="shared" si="0"/>
        <v>9212.7216499999995</v>
      </c>
      <c r="K86" s="42" t="s">
        <v>5796</v>
      </c>
      <c r="L86" s="39">
        <v>436</v>
      </c>
    </row>
    <row r="87" spans="1:12" ht="11.25" customHeight="1">
      <c r="A87" s="39">
        <v>2069</v>
      </c>
      <c r="B87" s="40" t="s">
        <v>10425</v>
      </c>
      <c r="C87" s="40" t="s">
        <v>10426</v>
      </c>
      <c r="D87" s="40" t="s">
        <v>4840</v>
      </c>
      <c r="E87" s="41">
        <v>170.12</v>
      </c>
      <c r="F87" s="40" t="s">
        <v>4840</v>
      </c>
      <c r="G87" s="41">
        <v>170.15309999999999</v>
      </c>
      <c r="H87" s="40"/>
      <c r="I87" s="41"/>
      <c r="J87" s="41">
        <f t="shared" si="0"/>
        <v>170.13655</v>
      </c>
      <c r="K87" s="42" t="s">
        <v>5796</v>
      </c>
      <c r="L87" s="39">
        <v>2069</v>
      </c>
    </row>
    <row r="88" spans="1:12" ht="11.25" customHeight="1">
      <c r="A88" s="39">
        <v>2014</v>
      </c>
      <c r="B88" s="40" t="s">
        <v>10427</v>
      </c>
      <c r="C88" s="40" t="s">
        <v>10428</v>
      </c>
      <c r="D88" s="40" t="s">
        <v>4768</v>
      </c>
      <c r="E88" s="41">
        <v>183.59</v>
      </c>
      <c r="F88" s="40" t="s">
        <v>4768</v>
      </c>
      <c r="G88" s="41">
        <v>183.57069999999999</v>
      </c>
      <c r="H88" s="40"/>
      <c r="I88" s="41"/>
      <c r="J88" s="41">
        <f t="shared" si="0"/>
        <v>183.58035000000001</v>
      </c>
      <c r="K88" s="42" t="s">
        <v>5796</v>
      </c>
      <c r="L88" s="39">
        <v>2014</v>
      </c>
    </row>
    <row r="89" spans="1:12" ht="11.25" customHeight="1">
      <c r="A89" s="39">
        <v>4029</v>
      </c>
      <c r="B89" s="40" t="s">
        <v>10429</v>
      </c>
      <c r="C89" s="40" t="s">
        <v>10430</v>
      </c>
      <c r="D89" s="40" t="s">
        <v>5760</v>
      </c>
      <c r="E89" s="41">
        <v>8.16</v>
      </c>
      <c r="F89" s="40" t="s">
        <v>5760</v>
      </c>
      <c r="G89" s="41">
        <v>8.0940999999999992</v>
      </c>
      <c r="H89" s="40"/>
      <c r="I89" s="41"/>
      <c r="J89" s="41">
        <f t="shared" si="0"/>
        <v>8.1270500000000006</v>
      </c>
      <c r="K89" s="42" t="s">
        <v>5796</v>
      </c>
      <c r="L89" s="39">
        <v>4029</v>
      </c>
    </row>
    <row r="90" spans="1:12" ht="11.25" customHeight="1">
      <c r="A90" s="39">
        <v>424</v>
      </c>
      <c r="B90" s="40" t="s">
        <v>10431</v>
      </c>
      <c r="C90" s="40" t="s">
        <v>10432</v>
      </c>
      <c r="D90" s="40" t="s">
        <v>1271</v>
      </c>
      <c r="E90" s="41">
        <v>9614.89</v>
      </c>
      <c r="F90" s="40" t="s">
        <v>1271</v>
      </c>
      <c r="G90" s="41">
        <v>9616.2859000000008</v>
      </c>
      <c r="H90" s="40"/>
      <c r="I90" s="41"/>
      <c r="J90" s="41">
        <f t="shared" si="0"/>
        <v>9615.587950000001</v>
      </c>
      <c r="K90" s="42" t="s">
        <v>5796</v>
      </c>
      <c r="L90" s="39">
        <v>424</v>
      </c>
    </row>
    <row r="91" spans="1:12" ht="11.25" customHeight="1">
      <c r="A91" s="39">
        <v>2696</v>
      </c>
      <c r="B91" s="40" t="s">
        <v>10433</v>
      </c>
      <c r="C91" s="40" t="s">
        <v>10434</v>
      </c>
      <c r="D91" s="40" t="s">
        <v>5430</v>
      </c>
      <c r="E91" s="41">
        <v>59.56</v>
      </c>
      <c r="F91" s="40" t="s">
        <v>5430</v>
      </c>
      <c r="G91" s="41">
        <v>59.345799999999997</v>
      </c>
      <c r="H91" s="40"/>
      <c r="I91" s="41"/>
      <c r="J91" s="41">
        <f t="shared" si="0"/>
        <v>59.4529</v>
      </c>
      <c r="K91" s="42" t="s">
        <v>5796</v>
      </c>
      <c r="L91" s="39">
        <v>2696</v>
      </c>
    </row>
    <row r="92" spans="1:12" ht="11.25" customHeight="1">
      <c r="A92" s="39">
        <v>1252</v>
      </c>
      <c r="B92" s="40" t="s">
        <v>10435</v>
      </c>
      <c r="C92" s="40" t="s">
        <v>10436</v>
      </c>
      <c r="D92" s="40" t="s">
        <v>3463</v>
      </c>
      <c r="E92" s="41">
        <v>912.63</v>
      </c>
      <c r="F92" s="40" t="s">
        <v>3463</v>
      </c>
      <c r="G92" s="41">
        <v>912.97519999999997</v>
      </c>
      <c r="H92" s="40"/>
      <c r="I92" s="41"/>
      <c r="J92" s="41">
        <f t="shared" si="0"/>
        <v>912.80259999999998</v>
      </c>
      <c r="K92" s="42" t="s">
        <v>5796</v>
      </c>
      <c r="L92" s="39">
        <v>1252</v>
      </c>
    </row>
    <row r="93" spans="1:12" ht="11.25" customHeight="1">
      <c r="A93" s="47">
        <v>69</v>
      </c>
      <c r="B93" s="48" t="s">
        <v>10437</v>
      </c>
      <c r="C93" s="48" t="s">
        <v>10438</v>
      </c>
      <c r="D93" s="48" t="s">
        <v>221</v>
      </c>
      <c r="E93" s="49">
        <v>88446.24</v>
      </c>
      <c r="F93" s="48" t="s">
        <v>221</v>
      </c>
      <c r="G93" s="49">
        <v>88461.856100000005</v>
      </c>
      <c r="H93" s="48"/>
      <c r="I93" s="49"/>
      <c r="J93" s="49">
        <f t="shared" si="0"/>
        <v>88454.048050000012</v>
      </c>
      <c r="K93" s="50" t="s">
        <v>5815</v>
      </c>
      <c r="L93" s="47">
        <v>69</v>
      </c>
    </row>
    <row r="94" spans="1:12" ht="11.25" customHeight="1">
      <c r="A94" s="39">
        <v>2211</v>
      </c>
      <c r="B94" s="40" t="s">
        <v>10439</v>
      </c>
      <c r="C94" s="40" t="s">
        <v>10440</v>
      </c>
      <c r="D94" s="40" t="s">
        <v>5038</v>
      </c>
      <c r="E94" s="41">
        <v>129.69999999999999</v>
      </c>
      <c r="F94" s="40" t="s">
        <v>5038</v>
      </c>
      <c r="G94" s="41">
        <v>129.8099</v>
      </c>
      <c r="H94" s="40"/>
      <c r="I94" s="41"/>
      <c r="J94" s="41">
        <f t="shared" si="0"/>
        <v>129.75495000000001</v>
      </c>
      <c r="K94" s="42" t="s">
        <v>5796</v>
      </c>
      <c r="L94" s="39">
        <v>2211</v>
      </c>
    </row>
    <row r="95" spans="1:12" ht="11.25" customHeight="1">
      <c r="A95" s="39">
        <v>659</v>
      </c>
      <c r="B95" s="40" t="s">
        <v>10441</v>
      </c>
      <c r="C95" s="40" t="s">
        <v>10442</v>
      </c>
      <c r="D95" s="40" t="s">
        <v>1931</v>
      </c>
      <c r="E95" s="41">
        <v>4382.67</v>
      </c>
      <c r="F95" s="40" t="s">
        <v>1931</v>
      </c>
      <c r="G95" s="41">
        <v>4362.3289999999997</v>
      </c>
      <c r="H95" s="40"/>
      <c r="I95" s="41"/>
      <c r="J95" s="41">
        <f t="shared" si="0"/>
        <v>4372.4994999999999</v>
      </c>
      <c r="K95" s="42" t="s">
        <v>5796</v>
      </c>
      <c r="L95" s="39">
        <v>659</v>
      </c>
    </row>
    <row r="96" spans="1:12" ht="11.25" customHeight="1">
      <c r="A96" s="39">
        <v>2186</v>
      </c>
      <c r="B96" s="40" t="s">
        <v>5863</v>
      </c>
      <c r="C96" s="40" t="s">
        <v>10443</v>
      </c>
      <c r="D96" s="40" t="s">
        <v>5005</v>
      </c>
      <c r="E96" s="41">
        <v>136.16999999999999</v>
      </c>
      <c r="F96" s="40" t="s">
        <v>5005</v>
      </c>
      <c r="G96" s="41">
        <v>136.04560000000001</v>
      </c>
      <c r="H96" s="40"/>
      <c r="I96" s="41"/>
      <c r="J96" s="41">
        <f t="shared" si="0"/>
        <v>136.1078</v>
      </c>
      <c r="K96" s="42" t="s">
        <v>5796</v>
      </c>
      <c r="L96" s="39">
        <v>2186</v>
      </c>
    </row>
    <row r="97" spans="1:12" ht="11.25" customHeight="1">
      <c r="A97" s="39">
        <v>1303</v>
      </c>
      <c r="B97" s="40" t="s">
        <v>10444</v>
      </c>
      <c r="C97" s="40" t="s">
        <v>10445</v>
      </c>
      <c r="D97" s="40" t="s">
        <v>3580</v>
      </c>
      <c r="E97" s="41">
        <v>709.25</v>
      </c>
      <c r="F97" s="40" t="s">
        <v>3580</v>
      </c>
      <c r="G97" s="41">
        <v>890.19929999999999</v>
      </c>
      <c r="H97" s="40"/>
      <c r="I97" s="41"/>
      <c r="J97" s="41">
        <f t="shared" si="0"/>
        <v>799.72465</v>
      </c>
      <c r="K97" s="42" t="s">
        <v>5796</v>
      </c>
      <c r="L97" s="39">
        <v>1303</v>
      </c>
    </row>
    <row r="98" spans="1:12" ht="11.25" customHeight="1">
      <c r="A98" s="39">
        <v>975</v>
      </c>
      <c r="B98" s="40" t="s">
        <v>10446</v>
      </c>
      <c r="C98" s="40" t="s">
        <v>10447</v>
      </c>
      <c r="D98" s="40" t="s">
        <v>2797</v>
      </c>
      <c r="E98" s="41">
        <v>1827.8</v>
      </c>
      <c r="F98" s="40" t="s">
        <v>2797</v>
      </c>
      <c r="G98" s="41">
        <v>1818.2202</v>
      </c>
      <c r="H98" s="40"/>
      <c r="I98" s="41"/>
      <c r="J98" s="41">
        <f t="shared" si="0"/>
        <v>1823.0101</v>
      </c>
      <c r="K98" s="42" t="s">
        <v>5796</v>
      </c>
      <c r="L98" s="39">
        <v>975</v>
      </c>
    </row>
    <row r="99" spans="1:12" ht="11.25" customHeight="1">
      <c r="A99" s="39">
        <v>503</v>
      </c>
      <c r="B99" s="40" t="s">
        <v>10448</v>
      </c>
      <c r="C99" s="40" t="s">
        <v>10449</v>
      </c>
      <c r="D99" s="40" t="s">
        <v>1496</v>
      </c>
      <c r="E99" s="41">
        <v>7257.87</v>
      </c>
      <c r="F99" s="40" t="s">
        <v>1496</v>
      </c>
      <c r="G99" s="41">
        <v>7257.6977999999999</v>
      </c>
      <c r="H99" s="40"/>
      <c r="I99" s="41"/>
      <c r="J99" s="41">
        <f t="shared" si="0"/>
        <v>7257.7839000000004</v>
      </c>
      <c r="K99" s="42" t="s">
        <v>5796</v>
      </c>
      <c r="L99" s="39">
        <v>503</v>
      </c>
    </row>
    <row r="100" spans="1:12" ht="11.25" customHeight="1">
      <c r="A100" s="39">
        <v>496</v>
      </c>
      <c r="B100" s="40" t="s">
        <v>10450</v>
      </c>
      <c r="C100" s="40" t="s">
        <v>10451</v>
      </c>
      <c r="D100" s="40" t="s">
        <v>1475</v>
      </c>
      <c r="E100" s="41">
        <v>7444.39</v>
      </c>
      <c r="F100" s="40" t="s">
        <v>1475</v>
      </c>
      <c r="G100" s="41">
        <v>7444.2313999999997</v>
      </c>
      <c r="H100" s="40"/>
      <c r="I100" s="41"/>
      <c r="J100" s="41">
        <f t="shared" si="0"/>
        <v>7444.3107</v>
      </c>
      <c r="K100" s="42" t="s">
        <v>5796</v>
      </c>
      <c r="L100" s="39">
        <v>496</v>
      </c>
    </row>
    <row r="101" spans="1:12" ht="11.25" customHeight="1">
      <c r="A101" s="39">
        <v>922</v>
      </c>
      <c r="B101" s="40" t="s">
        <v>2663</v>
      </c>
      <c r="C101" s="40" t="s">
        <v>10452</v>
      </c>
      <c r="D101" s="40" t="s">
        <v>2665</v>
      </c>
      <c r="E101" s="41">
        <v>2084.08</v>
      </c>
      <c r="F101" s="40" t="s">
        <v>2665</v>
      </c>
      <c r="G101" s="41">
        <v>2084.0686999999998</v>
      </c>
      <c r="H101" s="40"/>
      <c r="I101" s="41"/>
      <c r="J101" s="41">
        <f t="shared" si="0"/>
        <v>2084.0743499999999</v>
      </c>
      <c r="K101" s="42" t="s">
        <v>5796</v>
      </c>
      <c r="L101" s="39">
        <v>922</v>
      </c>
    </row>
    <row r="102" spans="1:12" ht="11.25" customHeight="1">
      <c r="A102" s="39">
        <v>1040</v>
      </c>
      <c r="B102" s="40" t="s">
        <v>10453</v>
      </c>
      <c r="C102" s="40" t="s">
        <v>10454</v>
      </c>
      <c r="D102" s="40" t="s">
        <v>2971</v>
      </c>
      <c r="E102" s="41">
        <v>1518.94</v>
      </c>
      <c r="F102" s="40" t="s">
        <v>2971</v>
      </c>
      <c r="G102" s="41">
        <v>1519.2260000000001</v>
      </c>
      <c r="H102" s="40"/>
      <c r="I102" s="41"/>
      <c r="J102" s="41">
        <f t="shared" si="0"/>
        <v>1519.0830000000001</v>
      </c>
      <c r="K102" s="42" t="s">
        <v>5796</v>
      </c>
      <c r="L102" s="39">
        <v>1040</v>
      </c>
    </row>
    <row r="103" spans="1:12" ht="11.25" customHeight="1">
      <c r="A103" s="39">
        <v>281</v>
      </c>
      <c r="B103" s="40" t="s">
        <v>5865</v>
      </c>
      <c r="C103" s="40" t="s">
        <v>10455</v>
      </c>
      <c r="D103" s="40" t="s">
        <v>854</v>
      </c>
      <c r="E103" s="41">
        <v>18688.8</v>
      </c>
      <c r="F103" s="40" t="s">
        <v>854</v>
      </c>
      <c r="G103" s="41">
        <v>18682.041399999998</v>
      </c>
      <c r="H103" s="40"/>
      <c r="I103" s="41"/>
      <c r="J103" s="41">
        <f t="shared" si="0"/>
        <v>18685.420699999999</v>
      </c>
      <c r="K103" s="42" t="s">
        <v>5796</v>
      </c>
      <c r="L103" s="39">
        <v>281</v>
      </c>
    </row>
    <row r="104" spans="1:12" ht="11.25" customHeight="1">
      <c r="A104" s="39">
        <v>2285</v>
      </c>
      <c r="B104" s="40" t="s">
        <v>10456</v>
      </c>
      <c r="C104" s="40" t="s">
        <v>10457</v>
      </c>
      <c r="D104" s="40" t="s">
        <v>5113</v>
      </c>
      <c r="E104" s="41">
        <v>114.73</v>
      </c>
      <c r="F104" s="40" t="s">
        <v>5113</v>
      </c>
      <c r="G104" s="41">
        <v>114.74160000000001</v>
      </c>
      <c r="H104" s="40"/>
      <c r="I104" s="41"/>
      <c r="J104" s="41">
        <f t="shared" si="0"/>
        <v>114.73580000000001</v>
      </c>
      <c r="K104" s="42" t="s">
        <v>5796</v>
      </c>
      <c r="L104" s="39">
        <v>2285</v>
      </c>
    </row>
    <row r="105" spans="1:12" ht="11.25" customHeight="1">
      <c r="A105" s="39">
        <v>2749</v>
      </c>
      <c r="B105" s="40" t="s">
        <v>10458</v>
      </c>
      <c r="C105" s="40" t="s">
        <v>10459</v>
      </c>
      <c r="D105" s="40" t="s">
        <v>5448</v>
      </c>
      <c r="E105" s="41">
        <v>55.64</v>
      </c>
      <c r="F105" s="40" t="s">
        <v>5448</v>
      </c>
      <c r="G105" s="41">
        <v>54.8795</v>
      </c>
      <c r="H105" s="40"/>
      <c r="I105" s="41"/>
      <c r="J105" s="41">
        <f t="shared" si="0"/>
        <v>55.259749999999997</v>
      </c>
      <c r="K105" s="42" t="s">
        <v>5796</v>
      </c>
      <c r="L105" s="39">
        <v>2749</v>
      </c>
    </row>
    <row r="106" spans="1:12" ht="11.25" customHeight="1">
      <c r="A106" s="39">
        <v>1764</v>
      </c>
      <c r="B106" s="40" t="s">
        <v>10460</v>
      </c>
      <c r="C106" s="40" t="s">
        <v>10461</v>
      </c>
      <c r="D106" s="40" t="s">
        <v>4426</v>
      </c>
      <c r="E106" s="41">
        <v>291.52</v>
      </c>
      <c r="F106" s="40" t="s">
        <v>4426</v>
      </c>
      <c r="G106" s="41">
        <v>291.66120000000001</v>
      </c>
      <c r="H106" s="40"/>
      <c r="I106" s="41"/>
      <c r="J106" s="41">
        <f t="shared" si="0"/>
        <v>291.59059999999999</v>
      </c>
      <c r="K106" s="42" t="s">
        <v>5796</v>
      </c>
      <c r="L106" s="39">
        <v>1764</v>
      </c>
    </row>
    <row r="107" spans="1:12" ht="11.25" customHeight="1">
      <c r="A107" s="39">
        <v>2061</v>
      </c>
      <c r="B107" s="40" t="s">
        <v>10462</v>
      </c>
      <c r="C107" s="40" t="s">
        <v>10463</v>
      </c>
      <c r="D107" s="40" t="s">
        <v>5867</v>
      </c>
      <c r="E107" s="41">
        <v>170.74</v>
      </c>
      <c r="F107" s="40" t="s">
        <v>5867</v>
      </c>
      <c r="G107" s="41">
        <v>171.17779999999999</v>
      </c>
      <c r="H107" s="40"/>
      <c r="I107" s="41"/>
      <c r="J107" s="41">
        <f t="shared" si="0"/>
        <v>170.9589</v>
      </c>
      <c r="K107" s="42" t="s">
        <v>5796</v>
      </c>
      <c r="L107" s="39">
        <v>2061</v>
      </c>
    </row>
    <row r="108" spans="1:12" ht="11.25" customHeight="1">
      <c r="A108" s="39">
        <v>3684</v>
      </c>
      <c r="B108" s="40" t="s">
        <v>10464</v>
      </c>
      <c r="C108" s="40" t="s">
        <v>10465</v>
      </c>
      <c r="D108" s="40"/>
      <c r="E108" s="41"/>
      <c r="F108" s="40" t="s">
        <v>5718</v>
      </c>
      <c r="G108" s="41">
        <v>13.488300000000001</v>
      </c>
      <c r="H108" s="40"/>
      <c r="I108" s="41"/>
      <c r="J108" s="41">
        <f t="shared" si="0"/>
        <v>13.488300000000001</v>
      </c>
      <c r="K108" s="42" t="s">
        <v>5796</v>
      </c>
      <c r="L108" s="39">
        <v>3684</v>
      </c>
    </row>
    <row r="109" spans="1:12" ht="11.25" customHeight="1">
      <c r="A109" s="39">
        <v>885</v>
      </c>
      <c r="B109" s="40" t="s">
        <v>10466</v>
      </c>
      <c r="C109" s="40" t="s">
        <v>10467</v>
      </c>
      <c r="D109" s="40" t="s">
        <v>2569</v>
      </c>
      <c r="E109" s="41">
        <v>2236.86</v>
      </c>
      <c r="F109" s="40" t="s">
        <v>2569</v>
      </c>
      <c r="G109" s="41">
        <v>2237.5337</v>
      </c>
      <c r="H109" s="40"/>
      <c r="I109" s="41"/>
      <c r="J109" s="41">
        <f t="shared" si="0"/>
        <v>2237.1968500000003</v>
      </c>
      <c r="K109" s="42" t="s">
        <v>5796</v>
      </c>
      <c r="L109" s="39">
        <v>885</v>
      </c>
    </row>
    <row r="110" spans="1:12" ht="11.25" customHeight="1">
      <c r="A110" s="39">
        <v>397</v>
      </c>
      <c r="B110" s="40" t="s">
        <v>10468</v>
      </c>
      <c r="C110" s="40" t="s">
        <v>10469</v>
      </c>
      <c r="D110" s="40" t="s">
        <v>1199</v>
      </c>
      <c r="E110" s="41">
        <v>10281.6</v>
      </c>
      <c r="F110" s="40" t="s">
        <v>1199</v>
      </c>
      <c r="G110" s="41">
        <v>10284.4092</v>
      </c>
      <c r="H110" s="40"/>
      <c r="I110" s="41"/>
      <c r="J110" s="41">
        <f t="shared" si="0"/>
        <v>10283.0046</v>
      </c>
      <c r="K110" s="42" t="s">
        <v>5796</v>
      </c>
      <c r="L110" s="39">
        <v>397</v>
      </c>
    </row>
    <row r="111" spans="1:12" ht="11.25" customHeight="1">
      <c r="A111" s="39">
        <v>280</v>
      </c>
      <c r="B111" s="40" t="s">
        <v>10470</v>
      </c>
      <c r="C111" s="40" t="s">
        <v>10471</v>
      </c>
      <c r="D111" s="40" t="s">
        <v>851</v>
      </c>
      <c r="E111" s="41">
        <v>18850.759999999998</v>
      </c>
      <c r="F111" s="40" t="s">
        <v>851</v>
      </c>
      <c r="G111" s="41">
        <v>18705.6299</v>
      </c>
      <c r="H111" s="40"/>
      <c r="I111" s="41"/>
      <c r="J111" s="41">
        <f t="shared" si="0"/>
        <v>18778.194949999997</v>
      </c>
      <c r="K111" s="42" t="s">
        <v>5796</v>
      </c>
      <c r="L111" s="39">
        <v>280</v>
      </c>
    </row>
    <row r="112" spans="1:12" ht="11.25" customHeight="1">
      <c r="A112" s="39">
        <v>1442</v>
      </c>
      <c r="B112" s="40" t="s">
        <v>10472</v>
      </c>
      <c r="C112" s="40" t="s">
        <v>10473</v>
      </c>
      <c r="D112" s="40" t="s">
        <v>3850</v>
      </c>
      <c r="E112" s="41">
        <v>579.96</v>
      </c>
      <c r="F112" s="40" t="s">
        <v>3850</v>
      </c>
      <c r="G112" s="41">
        <v>580.00229999999999</v>
      </c>
      <c r="H112" s="40"/>
      <c r="I112" s="41"/>
      <c r="J112" s="41">
        <f t="shared" si="0"/>
        <v>579.98115000000007</v>
      </c>
      <c r="K112" s="42" t="s">
        <v>5796</v>
      </c>
      <c r="L112" s="39">
        <v>1442</v>
      </c>
    </row>
    <row r="113" spans="1:12" ht="11.25" customHeight="1">
      <c r="A113" s="39">
        <v>825</v>
      </c>
      <c r="B113" s="40" t="s">
        <v>10474</v>
      </c>
      <c r="C113" s="40" t="s">
        <v>10475</v>
      </c>
      <c r="D113" s="40" t="s">
        <v>2398</v>
      </c>
      <c r="E113" s="41">
        <v>2679.9</v>
      </c>
      <c r="F113" s="40" t="s">
        <v>2398</v>
      </c>
      <c r="G113" s="41">
        <v>2679.6464999999998</v>
      </c>
      <c r="H113" s="40"/>
      <c r="I113" s="41"/>
      <c r="J113" s="41">
        <f t="shared" si="0"/>
        <v>2679.7732500000002</v>
      </c>
      <c r="K113" s="42" t="s">
        <v>5796</v>
      </c>
      <c r="L113" s="39">
        <v>825</v>
      </c>
    </row>
    <row r="114" spans="1:12" ht="11.25" customHeight="1">
      <c r="A114" s="39">
        <v>1369</v>
      </c>
      <c r="B114" s="40" t="s">
        <v>10476</v>
      </c>
      <c r="C114" s="40" t="s">
        <v>10477</v>
      </c>
      <c r="D114" s="40" t="s">
        <v>10478</v>
      </c>
      <c r="E114" s="41">
        <v>687.21</v>
      </c>
      <c r="F114" s="40" t="s">
        <v>3700</v>
      </c>
      <c r="G114" s="41">
        <v>687.31849999999997</v>
      </c>
      <c r="H114" s="40"/>
      <c r="I114" s="41"/>
      <c r="J114" s="41">
        <f t="shared" si="0"/>
        <v>687.26424999999995</v>
      </c>
      <c r="K114" s="42" t="s">
        <v>5796</v>
      </c>
      <c r="L114" s="39">
        <v>1369</v>
      </c>
    </row>
    <row r="115" spans="1:12" ht="11.25" customHeight="1">
      <c r="A115" s="43">
        <v>152</v>
      </c>
      <c r="B115" s="44" t="s">
        <v>10479</v>
      </c>
      <c r="C115" s="44" t="s">
        <v>10480</v>
      </c>
      <c r="D115" s="44" t="s">
        <v>467</v>
      </c>
      <c r="E115" s="45">
        <v>43946.6</v>
      </c>
      <c r="F115" s="44" t="s">
        <v>467</v>
      </c>
      <c r="G115" s="45">
        <v>43951.925199999998</v>
      </c>
      <c r="H115" s="44"/>
      <c r="I115" s="45"/>
      <c r="J115" s="45">
        <f t="shared" si="0"/>
        <v>43949.262600000002</v>
      </c>
      <c r="K115" s="46" t="s">
        <v>5800</v>
      </c>
      <c r="L115" s="43">
        <v>152</v>
      </c>
    </row>
    <row r="116" spans="1:12" ht="11.25" customHeight="1">
      <c r="A116" s="39">
        <v>317</v>
      </c>
      <c r="B116" s="40" t="s">
        <v>5872</v>
      </c>
      <c r="C116" s="40" t="s">
        <v>10481</v>
      </c>
      <c r="D116" s="40" t="s">
        <v>962</v>
      </c>
      <c r="E116" s="41">
        <v>14719.12</v>
      </c>
      <c r="F116" s="40" t="s">
        <v>962</v>
      </c>
      <c r="G116" s="41">
        <v>14722.950500000001</v>
      </c>
      <c r="H116" s="40"/>
      <c r="I116" s="41"/>
      <c r="J116" s="41">
        <f t="shared" si="0"/>
        <v>14721.035250000001</v>
      </c>
      <c r="K116" s="42" t="s">
        <v>5796</v>
      </c>
      <c r="L116" s="39">
        <v>317</v>
      </c>
    </row>
    <row r="117" spans="1:12" ht="11.25" customHeight="1">
      <c r="A117" s="39">
        <v>963</v>
      </c>
      <c r="B117" s="40" t="s">
        <v>10482</v>
      </c>
      <c r="C117" s="40" t="s">
        <v>10483</v>
      </c>
      <c r="D117" s="40" t="s">
        <v>2767</v>
      </c>
      <c r="E117" s="41">
        <v>1939.86</v>
      </c>
      <c r="F117" s="40" t="s">
        <v>2767</v>
      </c>
      <c r="G117" s="41">
        <v>1840.1576</v>
      </c>
      <c r="H117" s="40"/>
      <c r="I117" s="41"/>
      <c r="J117" s="41">
        <f t="shared" si="0"/>
        <v>1890.0088000000001</v>
      </c>
      <c r="K117" s="42" t="s">
        <v>5796</v>
      </c>
      <c r="L117" s="39">
        <v>963</v>
      </c>
    </row>
    <row r="118" spans="1:12" ht="11.25" customHeight="1">
      <c r="A118" s="47">
        <v>87</v>
      </c>
      <c r="B118" s="48" t="s">
        <v>10484</v>
      </c>
      <c r="C118" s="48" t="s">
        <v>10485</v>
      </c>
      <c r="D118" s="48" t="s">
        <v>275</v>
      </c>
      <c r="E118" s="49">
        <v>74138.899999999994</v>
      </c>
      <c r="F118" s="48" t="s">
        <v>275</v>
      </c>
      <c r="G118" s="49">
        <v>74157.539799999999</v>
      </c>
      <c r="H118" s="48"/>
      <c r="I118" s="49"/>
      <c r="J118" s="49">
        <f t="shared" si="0"/>
        <v>74148.219899999996</v>
      </c>
      <c r="K118" s="50" t="s">
        <v>5815</v>
      </c>
      <c r="L118" s="47">
        <v>87</v>
      </c>
    </row>
    <row r="119" spans="1:12" ht="11.25" customHeight="1">
      <c r="A119" s="39">
        <v>820</v>
      </c>
      <c r="B119" s="40" t="s">
        <v>5874</v>
      </c>
      <c r="C119" s="40" t="s">
        <v>10486</v>
      </c>
      <c r="D119" s="40" t="s">
        <v>10487</v>
      </c>
      <c r="E119" s="41">
        <v>2733.87</v>
      </c>
      <c r="F119" s="40" t="s">
        <v>2383</v>
      </c>
      <c r="G119" s="41">
        <v>2734.7042000000001</v>
      </c>
      <c r="H119" s="40"/>
      <c r="I119" s="41"/>
      <c r="J119" s="41">
        <f t="shared" si="0"/>
        <v>2734.2871</v>
      </c>
      <c r="K119" s="42" t="s">
        <v>5796</v>
      </c>
      <c r="L119" s="39">
        <v>820</v>
      </c>
    </row>
    <row r="120" spans="1:12" ht="11.25" customHeight="1">
      <c r="A120" s="43">
        <v>223</v>
      </c>
      <c r="B120" s="44" t="s">
        <v>10488</v>
      </c>
      <c r="C120" s="44" t="s">
        <v>10489</v>
      </c>
      <c r="D120" s="44" t="s">
        <v>680</v>
      </c>
      <c r="E120" s="45">
        <v>25860.7</v>
      </c>
      <c r="F120" s="44" t="s">
        <v>680</v>
      </c>
      <c r="G120" s="45">
        <v>25861.950700000001</v>
      </c>
      <c r="H120" s="44"/>
      <c r="I120" s="45"/>
      <c r="J120" s="45">
        <f t="shared" si="0"/>
        <v>25861.325349999999</v>
      </c>
      <c r="K120" s="46" t="s">
        <v>5800</v>
      </c>
      <c r="L120" s="43">
        <v>223</v>
      </c>
    </row>
    <row r="121" spans="1:12" ht="11.25" customHeight="1">
      <c r="A121" s="39">
        <v>1611</v>
      </c>
      <c r="B121" s="40" t="s">
        <v>10490</v>
      </c>
      <c r="C121" s="40" t="s">
        <v>10491</v>
      </c>
      <c r="D121" s="40"/>
      <c r="E121" s="41"/>
      <c r="F121" s="40" t="s">
        <v>4171</v>
      </c>
      <c r="G121" s="41">
        <v>404.58260000000001</v>
      </c>
      <c r="H121" s="40"/>
      <c r="I121" s="41"/>
      <c r="J121" s="41">
        <f t="shared" si="0"/>
        <v>404.58260000000001</v>
      </c>
      <c r="K121" s="42" t="s">
        <v>5796</v>
      </c>
      <c r="L121" s="39">
        <v>1611</v>
      </c>
    </row>
    <row r="122" spans="1:12" ht="11.25" customHeight="1">
      <c r="A122" s="39">
        <v>1003</v>
      </c>
      <c r="B122" s="40" t="s">
        <v>10492</v>
      </c>
      <c r="C122" s="40" t="s">
        <v>10493</v>
      </c>
      <c r="D122" s="40" t="s">
        <v>2872</v>
      </c>
      <c r="E122" s="41">
        <v>1705.56</v>
      </c>
      <c r="F122" s="40" t="s">
        <v>2872</v>
      </c>
      <c r="G122" s="41">
        <v>1705.8441</v>
      </c>
      <c r="H122" s="40"/>
      <c r="I122" s="41"/>
      <c r="J122" s="41">
        <f t="shared" si="0"/>
        <v>1705.7020499999999</v>
      </c>
      <c r="K122" s="42" t="s">
        <v>5796</v>
      </c>
      <c r="L122" s="39">
        <v>1003</v>
      </c>
    </row>
    <row r="123" spans="1:12" ht="11.25" customHeight="1">
      <c r="A123" s="39">
        <v>327</v>
      </c>
      <c r="B123" s="40" t="s">
        <v>10494</v>
      </c>
      <c r="C123" s="40" t="s">
        <v>10495</v>
      </c>
      <c r="D123" s="40" t="s">
        <v>992</v>
      </c>
      <c r="E123" s="41">
        <v>14211.98</v>
      </c>
      <c r="F123" s="40" t="s">
        <v>992</v>
      </c>
      <c r="G123" s="41">
        <v>14204.860500000001</v>
      </c>
      <c r="H123" s="40"/>
      <c r="I123" s="41"/>
      <c r="J123" s="41">
        <f t="shared" si="0"/>
        <v>14208.420249999999</v>
      </c>
      <c r="K123" s="42" t="s">
        <v>5796</v>
      </c>
      <c r="L123" s="39">
        <v>327</v>
      </c>
    </row>
    <row r="124" spans="1:12" ht="11.25" customHeight="1">
      <c r="A124" s="39">
        <v>2125</v>
      </c>
      <c r="B124" s="40" t="s">
        <v>10496</v>
      </c>
      <c r="C124" s="40" t="s">
        <v>10497</v>
      </c>
      <c r="D124" s="40" t="s">
        <v>4921</v>
      </c>
      <c r="E124" s="41">
        <v>152.5</v>
      </c>
      <c r="F124" s="40" t="s">
        <v>4921</v>
      </c>
      <c r="G124" s="41">
        <v>152.54640000000001</v>
      </c>
      <c r="H124" s="40"/>
      <c r="I124" s="41"/>
      <c r="J124" s="41">
        <f t="shared" si="0"/>
        <v>152.5232</v>
      </c>
      <c r="K124" s="42" t="s">
        <v>5796</v>
      </c>
      <c r="L124" s="39">
        <v>2125</v>
      </c>
    </row>
    <row r="125" spans="1:12" ht="11.25" customHeight="1">
      <c r="A125" s="39">
        <v>2457</v>
      </c>
      <c r="B125" s="40" t="s">
        <v>10498</v>
      </c>
      <c r="C125" s="40" t="s">
        <v>10499</v>
      </c>
      <c r="D125" s="40" t="s">
        <v>5265</v>
      </c>
      <c r="E125" s="41">
        <v>88.69</v>
      </c>
      <c r="F125" s="40" t="s">
        <v>5265</v>
      </c>
      <c r="G125" s="41">
        <v>88.566299999999998</v>
      </c>
      <c r="H125" s="40"/>
      <c r="I125" s="41"/>
      <c r="J125" s="41">
        <f t="shared" si="0"/>
        <v>88.628150000000005</v>
      </c>
      <c r="K125" s="42" t="s">
        <v>5796</v>
      </c>
      <c r="L125" s="39">
        <v>2457</v>
      </c>
    </row>
    <row r="126" spans="1:12" ht="11.25" customHeight="1">
      <c r="A126" s="39">
        <v>377</v>
      </c>
      <c r="B126" s="40" t="s">
        <v>10500</v>
      </c>
      <c r="C126" s="40" t="s">
        <v>10501</v>
      </c>
      <c r="D126" s="40" t="s">
        <v>1139</v>
      </c>
      <c r="E126" s="41">
        <v>11331.82</v>
      </c>
      <c r="F126" s="40" t="s">
        <v>1139</v>
      </c>
      <c r="G126" s="41">
        <v>11332.7413</v>
      </c>
      <c r="H126" s="40"/>
      <c r="I126" s="41"/>
      <c r="J126" s="41">
        <f t="shared" si="0"/>
        <v>11332.280650000001</v>
      </c>
      <c r="K126" s="42" t="s">
        <v>5796</v>
      </c>
      <c r="L126" s="39">
        <v>377</v>
      </c>
    </row>
    <row r="127" spans="1:12" ht="11.25" customHeight="1">
      <c r="A127" s="39">
        <v>3795</v>
      </c>
      <c r="B127" s="40" t="s">
        <v>10502</v>
      </c>
      <c r="C127" s="40" t="s">
        <v>10503</v>
      </c>
      <c r="D127" s="40" t="s">
        <v>5733</v>
      </c>
      <c r="E127" s="41">
        <v>11.26</v>
      </c>
      <c r="F127" s="40" t="s">
        <v>5733</v>
      </c>
      <c r="G127" s="41">
        <v>11.519500000000001</v>
      </c>
      <c r="H127" s="40"/>
      <c r="I127" s="41"/>
      <c r="J127" s="41">
        <f t="shared" si="0"/>
        <v>11.389749999999999</v>
      </c>
      <c r="K127" s="42" t="s">
        <v>5796</v>
      </c>
      <c r="L127" s="39">
        <v>3795</v>
      </c>
    </row>
    <row r="128" spans="1:12" ht="11.25" customHeight="1">
      <c r="A128" s="39">
        <v>1872</v>
      </c>
      <c r="B128" s="40" t="s">
        <v>10504</v>
      </c>
      <c r="C128" s="40" t="s">
        <v>10505</v>
      </c>
      <c r="D128" s="40" t="s">
        <v>4558</v>
      </c>
      <c r="E128" s="41">
        <v>236.49</v>
      </c>
      <c r="F128" s="40" t="s">
        <v>4558</v>
      </c>
      <c r="G128" s="41">
        <v>236.53530000000001</v>
      </c>
      <c r="H128" s="40"/>
      <c r="I128" s="41"/>
      <c r="J128" s="41">
        <f t="shared" si="0"/>
        <v>236.51265000000001</v>
      </c>
      <c r="K128" s="42" t="s">
        <v>5796</v>
      </c>
      <c r="L128" s="39">
        <v>1872</v>
      </c>
    </row>
    <row r="129" spans="1:12" ht="11.25" customHeight="1">
      <c r="A129" s="39">
        <v>1392</v>
      </c>
      <c r="B129" s="40" t="s">
        <v>10506</v>
      </c>
      <c r="C129" s="40" t="s">
        <v>10507</v>
      </c>
      <c r="D129" s="40" t="s">
        <v>10508</v>
      </c>
      <c r="E129" s="41">
        <v>649.39</v>
      </c>
      <c r="F129" s="40" t="s">
        <v>3760</v>
      </c>
      <c r="G129" s="41">
        <v>649.67650000000003</v>
      </c>
      <c r="H129" s="40"/>
      <c r="I129" s="41"/>
      <c r="J129" s="41">
        <f t="shared" si="0"/>
        <v>649.53324999999995</v>
      </c>
      <c r="K129" s="42" t="s">
        <v>5796</v>
      </c>
      <c r="L129" s="39">
        <v>1392</v>
      </c>
    </row>
    <row r="130" spans="1:12" ht="11.25" customHeight="1">
      <c r="A130" s="39">
        <v>1287</v>
      </c>
      <c r="B130" s="40" t="s">
        <v>10509</v>
      </c>
      <c r="C130" s="40" t="s">
        <v>10510</v>
      </c>
      <c r="D130" s="40" t="s">
        <v>10511</v>
      </c>
      <c r="E130" s="41">
        <v>826.3</v>
      </c>
      <c r="F130" s="40" t="s">
        <v>3538</v>
      </c>
      <c r="G130" s="41">
        <v>826.22040000000004</v>
      </c>
      <c r="H130" s="40"/>
      <c r="I130" s="41"/>
      <c r="J130" s="41">
        <f t="shared" si="0"/>
        <v>826.26019999999994</v>
      </c>
      <c r="K130" s="42" t="s">
        <v>5796</v>
      </c>
      <c r="L130" s="39">
        <v>1287</v>
      </c>
    </row>
    <row r="131" spans="1:12" ht="11.25" customHeight="1">
      <c r="A131" s="39">
        <v>952</v>
      </c>
      <c r="B131" s="40" t="s">
        <v>10512</v>
      </c>
      <c r="C131" s="40" t="s">
        <v>10513</v>
      </c>
      <c r="D131" s="40" t="s">
        <v>2737</v>
      </c>
      <c r="E131" s="41">
        <v>1951.75</v>
      </c>
      <c r="F131" s="40" t="s">
        <v>2737</v>
      </c>
      <c r="G131" s="41">
        <v>1931.7499</v>
      </c>
      <c r="H131" s="40"/>
      <c r="I131" s="41"/>
      <c r="J131" s="41">
        <f t="shared" si="0"/>
        <v>1941.7499499999999</v>
      </c>
      <c r="K131" s="42" t="s">
        <v>5796</v>
      </c>
      <c r="L131" s="39">
        <v>952</v>
      </c>
    </row>
    <row r="132" spans="1:12" ht="11.25" customHeight="1">
      <c r="A132" s="39">
        <v>2531</v>
      </c>
      <c r="B132" s="40" t="s">
        <v>10514</v>
      </c>
      <c r="C132" s="40" t="s">
        <v>10515</v>
      </c>
      <c r="D132" s="40" t="s">
        <v>5322</v>
      </c>
      <c r="E132" s="41">
        <v>76.95</v>
      </c>
      <c r="F132" s="40" t="s">
        <v>5322</v>
      </c>
      <c r="G132" s="41">
        <v>76.902199999999993</v>
      </c>
      <c r="H132" s="40"/>
      <c r="I132" s="41"/>
      <c r="J132" s="41">
        <f t="shared" si="0"/>
        <v>76.926099999999991</v>
      </c>
      <c r="K132" s="42" t="s">
        <v>5796</v>
      </c>
      <c r="L132" s="39">
        <v>2531</v>
      </c>
    </row>
    <row r="133" spans="1:12" ht="11.25" customHeight="1">
      <c r="A133" s="39">
        <v>1450</v>
      </c>
      <c r="B133" s="40" t="s">
        <v>10516</v>
      </c>
      <c r="C133" s="40" t="s">
        <v>10517</v>
      </c>
      <c r="D133" s="40" t="s">
        <v>3862</v>
      </c>
      <c r="E133" s="41">
        <v>575.64</v>
      </c>
      <c r="F133" s="40" t="s">
        <v>3862</v>
      </c>
      <c r="G133" s="41">
        <v>574.80790000000002</v>
      </c>
      <c r="H133" s="40"/>
      <c r="I133" s="41"/>
      <c r="J133" s="41">
        <f t="shared" si="0"/>
        <v>575.22395000000006</v>
      </c>
      <c r="K133" s="42" t="s">
        <v>5796</v>
      </c>
      <c r="L133" s="39">
        <v>1450</v>
      </c>
    </row>
    <row r="134" spans="1:12" ht="11.25" customHeight="1">
      <c r="A134" s="39">
        <v>2234</v>
      </c>
      <c r="B134" s="40" t="s">
        <v>10518</v>
      </c>
      <c r="C134" s="40" t="s">
        <v>10519</v>
      </c>
      <c r="D134" s="40" t="s">
        <v>5056</v>
      </c>
      <c r="E134" s="41">
        <v>124.88</v>
      </c>
      <c r="F134" s="40" t="s">
        <v>5056</v>
      </c>
      <c r="G134" s="41">
        <v>123.5256</v>
      </c>
      <c r="H134" s="40"/>
      <c r="I134" s="41"/>
      <c r="J134" s="41">
        <f t="shared" si="0"/>
        <v>124.2028</v>
      </c>
      <c r="K134" s="42" t="s">
        <v>5796</v>
      </c>
      <c r="L134" s="39">
        <v>2234</v>
      </c>
    </row>
    <row r="135" spans="1:12" ht="11.25" customHeight="1">
      <c r="A135" s="39">
        <v>2870</v>
      </c>
      <c r="B135" s="40" t="s">
        <v>10520</v>
      </c>
      <c r="C135" s="40" t="s">
        <v>10521</v>
      </c>
      <c r="D135" s="40" t="s">
        <v>5884</v>
      </c>
      <c r="E135" s="41">
        <v>46.31</v>
      </c>
      <c r="F135" s="40" t="s">
        <v>5884</v>
      </c>
      <c r="G135" s="41">
        <v>45.940800000000003</v>
      </c>
      <c r="H135" s="40"/>
      <c r="I135" s="41"/>
      <c r="J135" s="41">
        <f t="shared" si="0"/>
        <v>46.125399999999999</v>
      </c>
      <c r="K135" s="42" t="s">
        <v>5796</v>
      </c>
      <c r="L135" s="39">
        <v>2870</v>
      </c>
    </row>
    <row r="136" spans="1:12" ht="11.25" customHeight="1">
      <c r="A136" s="39">
        <v>944</v>
      </c>
      <c r="B136" s="40" t="s">
        <v>10522</v>
      </c>
      <c r="C136" s="40" t="s">
        <v>10523</v>
      </c>
      <c r="D136" s="40" t="s">
        <v>2725</v>
      </c>
      <c r="E136" s="41">
        <v>1977.14</v>
      </c>
      <c r="F136" s="40" t="s">
        <v>2725</v>
      </c>
      <c r="G136" s="41">
        <v>1978.6219000000001</v>
      </c>
      <c r="H136" s="40"/>
      <c r="I136" s="41"/>
      <c r="J136" s="41">
        <f t="shared" si="0"/>
        <v>1977.8809500000002</v>
      </c>
      <c r="K136" s="42" t="s">
        <v>5796</v>
      </c>
      <c r="L136" s="39">
        <v>944</v>
      </c>
    </row>
    <row r="137" spans="1:12" ht="11.25" customHeight="1">
      <c r="A137" s="39">
        <v>2209</v>
      </c>
      <c r="B137" s="40" t="s">
        <v>10524</v>
      </c>
      <c r="C137" s="40" t="s">
        <v>10525</v>
      </c>
      <c r="D137" s="40"/>
      <c r="E137" s="41"/>
      <c r="F137" s="40" t="s">
        <v>5035</v>
      </c>
      <c r="G137" s="41">
        <v>130.15260000000001</v>
      </c>
      <c r="H137" s="40"/>
      <c r="I137" s="41"/>
      <c r="J137" s="41">
        <f t="shared" si="0"/>
        <v>130.15260000000001</v>
      </c>
      <c r="K137" s="42" t="s">
        <v>5796</v>
      </c>
      <c r="L137" s="39">
        <v>2209</v>
      </c>
    </row>
    <row r="138" spans="1:12" ht="11.25" customHeight="1">
      <c r="A138" s="39">
        <v>2185</v>
      </c>
      <c r="B138" s="40" t="s">
        <v>10526</v>
      </c>
      <c r="C138" s="40" t="s">
        <v>10527</v>
      </c>
      <c r="D138" s="40"/>
      <c r="E138" s="41"/>
      <c r="F138" s="40" t="s">
        <v>5002</v>
      </c>
      <c r="G138" s="41">
        <v>136.3347</v>
      </c>
      <c r="H138" s="40"/>
      <c r="I138" s="41"/>
      <c r="J138" s="41">
        <f t="shared" si="0"/>
        <v>136.3347</v>
      </c>
      <c r="K138" s="42" t="s">
        <v>5796</v>
      </c>
      <c r="L138" s="39">
        <v>2185</v>
      </c>
    </row>
    <row r="139" spans="1:12" ht="11.25" customHeight="1">
      <c r="A139" s="39">
        <v>629</v>
      </c>
      <c r="B139" s="40" t="s">
        <v>10528</v>
      </c>
      <c r="C139" s="40" t="s">
        <v>10529</v>
      </c>
      <c r="D139" s="40" t="s">
        <v>1859</v>
      </c>
      <c r="E139" s="41">
        <v>4756.42</v>
      </c>
      <c r="F139" s="40" t="s">
        <v>1859</v>
      </c>
      <c r="G139" s="41">
        <v>4757.1665999999996</v>
      </c>
      <c r="H139" s="40"/>
      <c r="I139" s="41"/>
      <c r="J139" s="41">
        <f t="shared" si="0"/>
        <v>4756.7932999999994</v>
      </c>
      <c r="K139" s="42" t="s">
        <v>5796</v>
      </c>
      <c r="L139" s="39">
        <v>629</v>
      </c>
    </row>
    <row r="140" spans="1:12" ht="11.25" customHeight="1">
      <c r="A140" s="39">
        <v>631</v>
      </c>
      <c r="B140" s="40" t="s">
        <v>10530</v>
      </c>
      <c r="C140" s="40" t="s">
        <v>10531</v>
      </c>
      <c r="D140" s="40" t="s">
        <v>1865</v>
      </c>
      <c r="E140" s="41">
        <v>4790.6918992000001</v>
      </c>
      <c r="F140" s="40" t="s">
        <v>1865</v>
      </c>
      <c r="G140" s="41">
        <v>4690.4345999999996</v>
      </c>
      <c r="H140" s="40"/>
      <c r="I140" s="41"/>
      <c r="J140" s="41">
        <f t="shared" si="0"/>
        <v>4740.5632495999998</v>
      </c>
      <c r="K140" s="42" t="s">
        <v>5796</v>
      </c>
      <c r="L140" s="39">
        <v>631</v>
      </c>
    </row>
    <row r="141" spans="1:12" ht="11.25" customHeight="1">
      <c r="A141" s="39">
        <v>1016</v>
      </c>
      <c r="B141" s="40" t="s">
        <v>10532</v>
      </c>
      <c r="C141" s="40" t="s">
        <v>10533</v>
      </c>
      <c r="D141" s="40" t="s">
        <v>2911</v>
      </c>
      <c r="E141" s="41">
        <v>1639.45</v>
      </c>
      <c r="F141" s="40" t="s">
        <v>2911</v>
      </c>
      <c r="G141" s="41">
        <v>1639.857</v>
      </c>
      <c r="H141" s="40"/>
      <c r="I141" s="41"/>
      <c r="J141" s="41">
        <f t="shared" si="0"/>
        <v>1639.6534999999999</v>
      </c>
      <c r="K141" s="42" t="s">
        <v>5796</v>
      </c>
      <c r="L141" s="39">
        <v>1016</v>
      </c>
    </row>
    <row r="142" spans="1:12" ht="11.25" customHeight="1">
      <c r="A142" s="39">
        <v>335</v>
      </c>
      <c r="B142" s="40" t="s">
        <v>10534</v>
      </c>
      <c r="C142" s="40" t="s">
        <v>10535</v>
      </c>
      <c r="D142" s="40" t="s">
        <v>1016</v>
      </c>
      <c r="E142" s="41">
        <v>13689.09</v>
      </c>
      <c r="F142" s="40" t="s">
        <v>1016</v>
      </c>
      <c r="G142" s="41">
        <v>13690.4328</v>
      </c>
      <c r="H142" s="40"/>
      <c r="I142" s="41"/>
      <c r="J142" s="41">
        <f t="shared" si="0"/>
        <v>13689.761399999999</v>
      </c>
      <c r="K142" s="42" t="s">
        <v>5796</v>
      </c>
      <c r="L142" s="39">
        <v>335</v>
      </c>
    </row>
    <row r="143" spans="1:12" ht="11.25" customHeight="1">
      <c r="A143" s="39">
        <v>1743</v>
      </c>
      <c r="B143" s="40" t="s">
        <v>10536</v>
      </c>
      <c r="C143" s="40" t="s">
        <v>10537</v>
      </c>
      <c r="D143" s="40" t="s">
        <v>4402</v>
      </c>
      <c r="E143" s="41">
        <v>301.60000000000002</v>
      </c>
      <c r="F143" s="40" t="s">
        <v>4402</v>
      </c>
      <c r="G143" s="41">
        <v>301.68450000000001</v>
      </c>
      <c r="H143" s="40"/>
      <c r="I143" s="41"/>
      <c r="J143" s="41">
        <f t="shared" si="0"/>
        <v>301.64224999999999</v>
      </c>
      <c r="K143" s="42" t="s">
        <v>5796</v>
      </c>
      <c r="L143" s="39">
        <v>1743</v>
      </c>
    </row>
    <row r="144" spans="1:12" ht="11.25" customHeight="1">
      <c r="A144" s="39">
        <v>1397</v>
      </c>
      <c r="B144" s="40" t="s">
        <v>10538</v>
      </c>
      <c r="C144" s="40" t="s">
        <v>10539</v>
      </c>
      <c r="D144" s="40" t="s">
        <v>3772</v>
      </c>
      <c r="E144" s="41">
        <v>646.33000000000004</v>
      </c>
      <c r="F144" s="40" t="s">
        <v>3772</v>
      </c>
      <c r="G144" s="41">
        <v>646.51059999999995</v>
      </c>
      <c r="H144" s="40"/>
      <c r="I144" s="41"/>
      <c r="J144" s="41">
        <f t="shared" si="0"/>
        <v>646.4203</v>
      </c>
      <c r="K144" s="42" t="s">
        <v>5796</v>
      </c>
      <c r="L144" s="39">
        <v>1397</v>
      </c>
    </row>
    <row r="145" spans="1:12" ht="11.25" customHeight="1">
      <c r="A145" s="39">
        <v>1292</v>
      </c>
      <c r="B145" s="40" t="s">
        <v>10540</v>
      </c>
      <c r="C145" s="40" t="s">
        <v>10541</v>
      </c>
      <c r="D145" s="40" t="s">
        <v>3553</v>
      </c>
      <c r="E145" s="41">
        <v>821.66</v>
      </c>
      <c r="F145" s="40" t="s">
        <v>3553</v>
      </c>
      <c r="G145" s="41">
        <v>821.85050000000001</v>
      </c>
      <c r="H145" s="40"/>
      <c r="I145" s="41"/>
      <c r="J145" s="41">
        <f t="shared" si="0"/>
        <v>821.75524999999993</v>
      </c>
      <c r="K145" s="42" t="s">
        <v>5796</v>
      </c>
      <c r="L145" s="39">
        <v>1292</v>
      </c>
    </row>
    <row r="146" spans="1:12" ht="11.25" customHeight="1">
      <c r="A146" s="39">
        <v>838</v>
      </c>
      <c r="B146" s="40" t="s">
        <v>10542</v>
      </c>
      <c r="C146" s="40" t="s">
        <v>10543</v>
      </c>
      <c r="D146" s="40" t="s">
        <v>2434</v>
      </c>
      <c r="E146" s="41">
        <v>2578.94</v>
      </c>
      <c r="F146" s="40" t="s">
        <v>2434</v>
      </c>
      <c r="G146" s="41">
        <v>2580.1367</v>
      </c>
      <c r="H146" s="40"/>
      <c r="I146" s="41"/>
      <c r="J146" s="41">
        <f t="shared" si="0"/>
        <v>2579.5383499999998</v>
      </c>
      <c r="K146" s="42" t="s">
        <v>5796</v>
      </c>
      <c r="L146" s="39">
        <v>838</v>
      </c>
    </row>
    <row r="147" spans="1:12" ht="11.25" customHeight="1">
      <c r="A147" s="39">
        <v>880</v>
      </c>
      <c r="B147" s="40" t="s">
        <v>10544</v>
      </c>
      <c r="C147" s="40" t="s">
        <v>10545</v>
      </c>
      <c r="D147" s="40" t="s">
        <v>2554</v>
      </c>
      <c r="E147" s="41">
        <v>2274.11</v>
      </c>
      <c r="F147" s="40" t="s">
        <v>2554</v>
      </c>
      <c r="G147" s="41">
        <v>2251.7361999999998</v>
      </c>
      <c r="H147" s="40"/>
      <c r="I147" s="41"/>
      <c r="J147" s="41">
        <f t="shared" si="0"/>
        <v>2262.9231</v>
      </c>
      <c r="K147" s="42" t="s">
        <v>5796</v>
      </c>
      <c r="L147" s="39">
        <v>880</v>
      </c>
    </row>
    <row r="148" spans="1:12" ht="11.25" customHeight="1">
      <c r="A148" s="39">
        <v>1779</v>
      </c>
      <c r="B148" s="40" t="s">
        <v>10546</v>
      </c>
      <c r="C148" s="40" t="s">
        <v>10547</v>
      </c>
      <c r="D148" s="40" t="s">
        <v>4450</v>
      </c>
      <c r="E148" s="41">
        <v>283.76</v>
      </c>
      <c r="F148" s="40" t="s">
        <v>4450</v>
      </c>
      <c r="G148" s="41">
        <v>283.5333</v>
      </c>
      <c r="H148" s="40"/>
      <c r="I148" s="41"/>
      <c r="J148" s="41">
        <f t="shared" si="0"/>
        <v>283.64665000000002</v>
      </c>
      <c r="K148" s="42" t="s">
        <v>5796</v>
      </c>
      <c r="L148" s="39">
        <v>1779</v>
      </c>
    </row>
    <row r="149" spans="1:12" ht="11.25" customHeight="1">
      <c r="A149" s="39">
        <v>752</v>
      </c>
      <c r="B149" s="40" t="s">
        <v>10548</v>
      </c>
      <c r="C149" s="40" t="s">
        <v>10549</v>
      </c>
      <c r="D149" s="40" t="s">
        <v>2203</v>
      </c>
      <c r="E149" s="41">
        <v>3319.78</v>
      </c>
      <c r="F149" s="40" t="s">
        <v>2203</v>
      </c>
      <c r="G149" s="41">
        <v>3319.8011000000001</v>
      </c>
      <c r="H149" s="40"/>
      <c r="I149" s="41"/>
      <c r="J149" s="41">
        <f t="shared" si="0"/>
        <v>3319.7905500000002</v>
      </c>
      <c r="K149" s="42" t="s">
        <v>5796</v>
      </c>
      <c r="L149" s="39">
        <v>752</v>
      </c>
    </row>
    <row r="150" spans="1:12" ht="11.25" customHeight="1">
      <c r="A150" s="39">
        <v>2799</v>
      </c>
      <c r="B150" s="40" t="s">
        <v>10550</v>
      </c>
      <c r="C150" s="40" t="s">
        <v>10551</v>
      </c>
      <c r="D150" s="40" t="s">
        <v>5466</v>
      </c>
      <c r="E150" s="41">
        <v>51.7</v>
      </c>
      <c r="F150" s="40" t="s">
        <v>5466</v>
      </c>
      <c r="G150" s="41">
        <v>51.524000000000001</v>
      </c>
      <c r="H150" s="40"/>
      <c r="I150" s="41"/>
      <c r="J150" s="41">
        <f t="shared" si="0"/>
        <v>51.612000000000002</v>
      </c>
      <c r="K150" s="42" t="s">
        <v>5796</v>
      </c>
      <c r="L150" s="39">
        <v>2799</v>
      </c>
    </row>
    <row r="151" spans="1:12" ht="11.25" customHeight="1">
      <c r="A151" s="43">
        <v>123</v>
      </c>
      <c r="B151" s="44" t="s">
        <v>10552</v>
      </c>
      <c r="C151" s="44" t="s">
        <v>10553</v>
      </c>
      <c r="D151" s="44" t="s">
        <v>383</v>
      </c>
      <c r="E151" s="45">
        <v>51976.08</v>
      </c>
      <c r="F151" s="44" t="s">
        <v>383</v>
      </c>
      <c r="G151" s="45">
        <v>51979.871299999999</v>
      </c>
      <c r="H151" s="44"/>
      <c r="I151" s="45"/>
      <c r="J151" s="45">
        <f t="shared" si="0"/>
        <v>51977.97565</v>
      </c>
      <c r="K151" s="46" t="s">
        <v>5800</v>
      </c>
      <c r="L151" s="43">
        <v>123</v>
      </c>
    </row>
    <row r="152" spans="1:12" ht="11.25" customHeight="1">
      <c r="A152" s="39">
        <v>1377</v>
      </c>
      <c r="B152" s="40" t="s">
        <v>5895</v>
      </c>
      <c r="C152" s="40" t="s">
        <v>10554</v>
      </c>
      <c r="D152" s="40" t="s">
        <v>3721</v>
      </c>
      <c r="E152" s="41">
        <v>678.57</v>
      </c>
      <c r="F152" s="40" t="s">
        <v>3721</v>
      </c>
      <c r="G152" s="41">
        <v>675.47140000000002</v>
      </c>
      <c r="H152" s="40"/>
      <c r="I152" s="41"/>
      <c r="J152" s="41">
        <f t="shared" si="0"/>
        <v>677.02070000000003</v>
      </c>
      <c r="K152" s="42" t="s">
        <v>5796</v>
      </c>
      <c r="L152" s="39">
        <v>1377</v>
      </c>
    </row>
    <row r="153" spans="1:12" ht="11.25" customHeight="1">
      <c r="A153" s="39">
        <v>1686</v>
      </c>
      <c r="B153" s="40" t="s">
        <v>10555</v>
      </c>
      <c r="C153" s="40" t="s">
        <v>10556</v>
      </c>
      <c r="D153" s="40" t="s">
        <v>4312</v>
      </c>
      <c r="E153" s="41">
        <v>336.33</v>
      </c>
      <c r="F153" s="40" t="s">
        <v>4312</v>
      </c>
      <c r="G153" s="41">
        <v>336.16829999999999</v>
      </c>
      <c r="H153" s="40"/>
      <c r="I153" s="41"/>
      <c r="J153" s="41">
        <f t="shared" si="0"/>
        <v>336.24914999999999</v>
      </c>
      <c r="K153" s="42" t="s">
        <v>5796</v>
      </c>
      <c r="L153" s="39">
        <v>1686</v>
      </c>
    </row>
    <row r="154" spans="1:12" ht="11.25" customHeight="1">
      <c r="A154" s="47">
        <v>16</v>
      </c>
      <c r="B154" s="48" t="s">
        <v>10557</v>
      </c>
      <c r="C154" s="48" t="s">
        <v>10558</v>
      </c>
      <c r="D154" s="48" t="s">
        <v>54</v>
      </c>
      <c r="E154" s="49">
        <v>310167.71000000002</v>
      </c>
      <c r="F154" s="48" t="s">
        <v>54</v>
      </c>
      <c r="G154" s="49">
        <v>310204.10119999998</v>
      </c>
      <c r="H154" s="48"/>
      <c r="I154" s="49"/>
      <c r="J154" s="49">
        <f t="shared" si="0"/>
        <v>310185.9056</v>
      </c>
      <c r="K154" s="50" t="s">
        <v>5815</v>
      </c>
      <c r="L154" s="47">
        <v>16</v>
      </c>
    </row>
    <row r="155" spans="1:12" ht="11.25" customHeight="1">
      <c r="A155" s="39">
        <v>1288</v>
      </c>
      <c r="B155" s="40" t="s">
        <v>5897</v>
      </c>
      <c r="C155" s="40" t="s">
        <v>10559</v>
      </c>
      <c r="D155" s="40" t="s">
        <v>3541</v>
      </c>
      <c r="E155" s="41">
        <v>822.93</v>
      </c>
      <c r="F155" s="40" t="s">
        <v>3541</v>
      </c>
      <c r="G155" s="41">
        <v>823.10350000000005</v>
      </c>
      <c r="H155" s="40"/>
      <c r="I155" s="41"/>
      <c r="J155" s="41">
        <f t="shared" si="0"/>
        <v>823.01675</v>
      </c>
      <c r="K155" s="42" t="s">
        <v>5796</v>
      </c>
      <c r="L155" s="39">
        <v>1288</v>
      </c>
    </row>
    <row r="156" spans="1:12" ht="11.25" customHeight="1">
      <c r="A156" s="39">
        <v>584</v>
      </c>
      <c r="B156" s="40" t="s">
        <v>10560</v>
      </c>
      <c r="C156" s="40" t="s">
        <v>10561</v>
      </c>
      <c r="D156" s="40" t="s">
        <v>1727</v>
      </c>
      <c r="E156" s="41">
        <v>5723.02</v>
      </c>
      <c r="F156" s="40" t="s">
        <v>1727</v>
      </c>
      <c r="G156" s="41">
        <v>5723.5266000000001</v>
      </c>
      <c r="H156" s="40"/>
      <c r="I156" s="41"/>
      <c r="J156" s="41">
        <f t="shared" si="0"/>
        <v>5723.2733000000007</v>
      </c>
      <c r="K156" s="42" t="s">
        <v>5796</v>
      </c>
      <c r="L156" s="39">
        <v>584</v>
      </c>
    </row>
    <row r="157" spans="1:12" ht="11.25" customHeight="1">
      <c r="A157" s="39">
        <v>1588</v>
      </c>
      <c r="B157" s="40" t="s">
        <v>10562</v>
      </c>
      <c r="C157" s="40" t="s">
        <v>10563</v>
      </c>
      <c r="D157" s="40" t="s">
        <v>4126</v>
      </c>
      <c r="E157" s="41">
        <v>425.18</v>
      </c>
      <c r="F157" s="40" t="s">
        <v>4126</v>
      </c>
      <c r="G157" s="41">
        <v>419.19830000000002</v>
      </c>
      <c r="H157" s="40"/>
      <c r="I157" s="41"/>
      <c r="J157" s="41">
        <f t="shared" si="0"/>
        <v>422.18915000000004</v>
      </c>
      <c r="K157" s="42" t="s">
        <v>5796</v>
      </c>
      <c r="L157" s="39">
        <v>1588</v>
      </c>
    </row>
    <row r="158" spans="1:12" ht="11.25" customHeight="1">
      <c r="A158" s="39">
        <v>1994</v>
      </c>
      <c r="B158" s="40" t="s">
        <v>10564</v>
      </c>
      <c r="C158" s="40" t="s">
        <v>10565</v>
      </c>
      <c r="D158" s="40"/>
      <c r="E158" s="41"/>
      <c r="F158" s="40" t="s">
        <v>4729</v>
      </c>
      <c r="G158" s="41">
        <v>190.33369999999999</v>
      </c>
      <c r="H158" s="40"/>
      <c r="I158" s="41"/>
      <c r="J158" s="41">
        <f t="shared" si="0"/>
        <v>190.33369999999999</v>
      </c>
      <c r="K158" s="42" t="s">
        <v>5796</v>
      </c>
      <c r="L158" s="39">
        <v>1994</v>
      </c>
    </row>
    <row r="159" spans="1:12" ht="11.25" customHeight="1">
      <c r="A159" s="39">
        <v>850</v>
      </c>
      <c r="B159" s="40" t="s">
        <v>5900</v>
      </c>
      <c r="C159" s="40" t="s">
        <v>10566</v>
      </c>
      <c r="D159" s="40" t="s">
        <v>2467</v>
      </c>
      <c r="E159" s="41">
        <v>2513.2600000000002</v>
      </c>
      <c r="F159" s="40" t="s">
        <v>2467</v>
      </c>
      <c r="G159" s="41">
        <v>2513.2069999999999</v>
      </c>
      <c r="H159" s="40"/>
      <c r="I159" s="41"/>
      <c r="J159" s="41">
        <f t="shared" si="0"/>
        <v>2513.2335000000003</v>
      </c>
      <c r="K159" s="42" t="s">
        <v>5796</v>
      </c>
      <c r="L159" s="39">
        <v>850</v>
      </c>
    </row>
    <row r="160" spans="1:12" ht="11.25" customHeight="1">
      <c r="A160" s="39">
        <v>297</v>
      </c>
      <c r="B160" s="40" t="s">
        <v>10567</v>
      </c>
      <c r="C160" s="40" t="s">
        <v>10568</v>
      </c>
      <c r="D160" s="40" t="s">
        <v>902</v>
      </c>
      <c r="E160" s="41">
        <v>16892.95</v>
      </c>
      <c r="F160" s="40" t="s">
        <v>902</v>
      </c>
      <c r="G160" s="41">
        <v>16897.499599999999</v>
      </c>
      <c r="H160" s="40"/>
      <c r="I160" s="41"/>
      <c r="J160" s="41">
        <f t="shared" si="0"/>
        <v>16895.2248</v>
      </c>
      <c r="K160" s="42" t="s">
        <v>5796</v>
      </c>
      <c r="L160" s="39">
        <v>297</v>
      </c>
    </row>
    <row r="161" spans="1:12" ht="11.25" customHeight="1">
      <c r="A161" s="43">
        <v>125</v>
      </c>
      <c r="B161" s="44" t="s">
        <v>5901</v>
      </c>
      <c r="C161" s="44" t="s">
        <v>10569</v>
      </c>
      <c r="D161" s="44" t="s">
        <v>389</v>
      </c>
      <c r="E161" s="45">
        <v>51379.09</v>
      </c>
      <c r="F161" s="44" t="s">
        <v>389</v>
      </c>
      <c r="G161" s="45">
        <v>51381.959600000002</v>
      </c>
      <c r="H161" s="44"/>
      <c r="I161" s="45"/>
      <c r="J161" s="45">
        <f t="shared" si="0"/>
        <v>51380.524799999999</v>
      </c>
      <c r="K161" s="46" t="s">
        <v>5800</v>
      </c>
      <c r="L161" s="43">
        <v>125</v>
      </c>
    </row>
    <row r="162" spans="1:12" ht="11.25" customHeight="1">
      <c r="A162" s="39">
        <v>664</v>
      </c>
      <c r="B162" s="40" t="s">
        <v>10570</v>
      </c>
      <c r="C162" s="40" t="s">
        <v>10571</v>
      </c>
      <c r="D162" s="40" t="s">
        <v>1949</v>
      </c>
      <c r="E162" s="41">
        <v>4309.2</v>
      </c>
      <c r="F162" s="40" t="s">
        <v>1949</v>
      </c>
      <c r="G162" s="41">
        <v>4310.1741000000002</v>
      </c>
      <c r="H162" s="40"/>
      <c r="I162" s="41"/>
      <c r="J162" s="41">
        <f t="shared" si="0"/>
        <v>4309.6870500000005</v>
      </c>
      <c r="K162" s="42" t="s">
        <v>5796</v>
      </c>
      <c r="L162" s="39">
        <v>664</v>
      </c>
    </row>
    <row r="163" spans="1:12" ht="11.25" customHeight="1">
      <c r="A163" s="39">
        <v>383</v>
      </c>
      <c r="B163" s="40" t="s">
        <v>10572</v>
      </c>
      <c r="C163" s="40" t="s">
        <v>10573</v>
      </c>
      <c r="D163" s="40" t="s">
        <v>1154</v>
      </c>
      <c r="E163" s="41">
        <v>11020.71</v>
      </c>
      <c r="F163" s="40" t="s">
        <v>1154</v>
      </c>
      <c r="G163" s="41">
        <v>11027.1371</v>
      </c>
      <c r="H163" s="40"/>
      <c r="I163" s="41"/>
      <c r="J163" s="41">
        <f t="shared" si="0"/>
        <v>11023.92355</v>
      </c>
      <c r="K163" s="42" t="s">
        <v>5796</v>
      </c>
      <c r="L163" s="39">
        <v>383</v>
      </c>
    </row>
    <row r="164" spans="1:12" ht="11.25" customHeight="1">
      <c r="A164" s="39">
        <v>2176</v>
      </c>
      <c r="B164" s="40" t="s">
        <v>10574</v>
      </c>
      <c r="C164" s="40" t="s">
        <v>10575</v>
      </c>
      <c r="D164" s="40" t="s">
        <v>4984</v>
      </c>
      <c r="E164" s="41">
        <v>138.13999999999999</v>
      </c>
      <c r="F164" s="40" t="s">
        <v>4984</v>
      </c>
      <c r="G164" s="41">
        <v>137.95689999999999</v>
      </c>
      <c r="H164" s="40"/>
      <c r="I164" s="41"/>
      <c r="J164" s="41">
        <f t="shared" si="0"/>
        <v>138.04845</v>
      </c>
      <c r="K164" s="42" t="s">
        <v>5796</v>
      </c>
      <c r="L164" s="39">
        <v>2176</v>
      </c>
    </row>
    <row r="165" spans="1:12" ht="11.25" customHeight="1">
      <c r="A165" s="39">
        <v>2180</v>
      </c>
      <c r="B165" s="40" t="s">
        <v>10576</v>
      </c>
      <c r="C165" s="40" t="s">
        <v>10577</v>
      </c>
      <c r="D165" s="40" t="s">
        <v>4993</v>
      </c>
      <c r="E165" s="41">
        <v>137.41</v>
      </c>
      <c r="F165" s="40" t="s">
        <v>4993</v>
      </c>
      <c r="G165" s="41">
        <v>137.59710000000001</v>
      </c>
      <c r="H165" s="40"/>
      <c r="I165" s="41"/>
      <c r="J165" s="41">
        <f t="shared" si="0"/>
        <v>137.50355000000002</v>
      </c>
      <c r="K165" s="42" t="s">
        <v>5796</v>
      </c>
      <c r="L165" s="39">
        <v>2180</v>
      </c>
    </row>
    <row r="166" spans="1:12" ht="11.25" customHeight="1">
      <c r="A166" s="39">
        <v>1958</v>
      </c>
      <c r="B166" s="40" t="s">
        <v>10578</v>
      </c>
      <c r="C166" s="40" t="s">
        <v>10579</v>
      </c>
      <c r="D166" s="40" t="s">
        <v>4678</v>
      </c>
      <c r="E166" s="41">
        <v>200.2</v>
      </c>
      <c r="F166" s="40" t="s">
        <v>4678</v>
      </c>
      <c r="G166" s="41">
        <v>199.8604</v>
      </c>
      <c r="H166" s="40"/>
      <c r="I166" s="41"/>
      <c r="J166" s="41">
        <f t="shared" si="0"/>
        <v>200.03019999999998</v>
      </c>
      <c r="K166" s="42" t="s">
        <v>5796</v>
      </c>
      <c r="L166" s="39">
        <v>1958</v>
      </c>
    </row>
    <row r="167" spans="1:12" ht="11.25" customHeight="1">
      <c r="A167" s="39">
        <v>930</v>
      </c>
      <c r="B167" s="40" t="s">
        <v>10580</v>
      </c>
      <c r="C167" s="40" t="s">
        <v>10581</v>
      </c>
      <c r="D167" s="40" t="s">
        <v>2686</v>
      </c>
      <c r="E167" s="41">
        <v>2037.29</v>
      </c>
      <c r="F167" s="40" t="s">
        <v>2686</v>
      </c>
      <c r="G167" s="41">
        <v>2037.7529</v>
      </c>
      <c r="H167" s="40"/>
      <c r="I167" s="41"/>
      <c r="J167" s="41">
        <f t="shared" si="0"/>
        <v>2037.52145</v>
      </c>
      <c r="K167" s="42" t="s">
        <v>5796</v>
      </c>
      <c r="L167" s="39">
        <v>930</v>
      </c>
    </row>
    <row r="168" spans="1:12" ht="11.25" customHeight="1">
      <c r="A168" s="47">
        <v>84</v>
      </c>
      <c r="B168" s="48" t="s">
        <v>5905</v>
      </c>
      <c r="C168" s="48" t="s">
        <v>10582</v>
      </c>
      <c r="D168" s="48" t="s">
        <v>266</v>
      </c>
      <c r="E168" s="49">
        <v>74739.990000000005</v>
      </c>
      <c r="F168" s="48" t="s">
        <v>266</v>
      </c>
      <c r="G168" s="49">
        <v>74732.982099999994</v>
      </c>
      <c r="H168" s="48"/>
      <c r="I168" s="49"/>
      <c r="J168" s="49">
        <f t="shared" si="0"/>
        <v>74736.486050000007</v>
      </c>
      <c r="K168" s="50" t="s">
        <v>5815</v>
      </c>
      <c r="L168" s="47">
        <v>84</v>
      </c>
    </row>
    <row r="169" spans="1:12" ht="11.25" customHeight="1">
      <c r="A169" s="39">
        <v>1203</v>
      </c>
      <c r="B169" s="40" t="s">
        <v>10583</v>
      </c>
      <c r="C169" s="40" t="s">
        <v>10584</v>
      </c>
      <c r="D169" s="40" t="s">
        <v>3358</v>
      </c>
      <c r="E169" s="41">
        <v>1046.81</v>
      </c>
      <c r="F169" s="40" t="s">
        <v>3358</v>
      </c>
      <c r="G169" s="41">
        <v>1044.4235000000001</v>
      </c>
      <c r="H169" s="40"/>
      <c r="I169" s="41"/>
      <c r="J169" s="41">
        <f t="shared" si="0"/>
        <v>1045.6167500000001</v>
      </c>
      <c r="K169" s="42" t="s">
        <v>5796</v>
      </c>
      <c r="L169" s="39">
        <v>1203</v>
      </c>
    </row>
    <row r="170" spans="1:12" ht="11.25" customHeight="1">
      <c r="A170" s="39">
        <v>2183</v>
      </c>
      <c r="B170" s="40" t="s">
        <v>10585</v>
      </c>
      <c r="C170" s="40" t="s">
        <v>10586</v>
      </c>
      <c r="D170" s="40" t="s">
        <v>10587</v>
      </c>
      <c r="E170" s="41">
        <v>137.21</v>
      </c>
      <c r="F170" s="40" t="s">
        <v>10587</v>
      </c>
      <c r="G170" s="41">
        <v>136.71629999999999</v>
      </c>
      <c r="H170" s="40"/>
      <c r="I170" s="41"/>
      <c r="J170" s="41">
        <f t="shared" si="0"/>
        <v>136.96314999999998</v>
      </c>
      <c r="K170" s="42" t="s">
        <v>5796</v>
      </c>
      <c r="L170" s="39">
        <v>2183</v>
      </c>
    </row>
    <row r="171" spans="1:12" ht="11.25" customHeight="1">
      <c r="A171" s="39">
        <v>265</v>
      </c>
      <c r="B171" s="40" t="s">
        <v>10588</v>
      </c>
      <c r="C171" s="40" t="s">
        <v>10589</v>
      </c>
      <c r="D171" s="40" t="s">
        <v>806</v>
      </c>
      <c r="E171" s="41">
        <v>20249.29</v>
      </c>
      <c r="F171" s="40" t="s">
        <v>806</v>
      </c>
      <c r="G171" s="41">
        <v>20202.267599999999</v>
      </c>
      <c r="H171" s="40"/>
      <c r="I171" s="41"/>
      <c r="J171" s="41">
        <f t="shared" si="0"/>
        <v>20225.7788</v>
      </c>
      <c r="K171" s="42" t="s">
        <v>5796</v>
      </c>
      <c r="L171" s="39">
        <v>265</v>
      </c>
    </row>
    <row r="172" spans="1:12" ht="11.25" customHeight="1">
      <c r="A172" s="39">
        <v>1083</v>
      </c>
      <c r="B172" s="40" t="s">
        <v>10590</v>
      </c>
      <c r="C172" s="40" t="s">
        <v>10591</v>
      </c>
      <c r="D172" s="40" t="s">
        <v>3076</v>
      </c>
      <c r="E172" s="41">
        <v>1387.96</v>
      </c>
      <c r="F172" s="40" t="s">
        <v>3076</v>
      </c>
      <c r="G172" s="41">
        <v>1368.0832</v>
      </c>
      <c r="H172" s="40"/>
      <c r="I172" s="41"/>
      <c r="J172" s="41">
        <f t="shared" si="0"/>
        <v>1378.0216</v>
      </c>
      <c r="K172" s="42" t="s">
        <v>5796</v>
      </c>
      <c r="L172" s="39">
        <v>1083</v>
      </c>
    </row>
    <row r="173" spans="1:12" ht="11.25" customHeight="1">
      <c r="A173" s="43">
        <v>132</v>
      </c>
      <c r="B173" s="44" t="s">
        <v>10592</v>
      </c>
      <c r="C173" s="44" t="s">
        <v>10593</v>
      </c>
      <c r="D173" s="44" t="s">
        <v>407</v>
      </c>
      <c r="E173" s="45">
        <v>48732.639999999999</v>
      </c>
      <c r="F173" s="44" t="s">
        <v>407</v>
      </c>
      <c r="G173" s="45">
        <v>48709.8943</v>
      </c>
      <c r="H173" s="44"/>
      <c r="I173" s="45"/>
      <c r="J173" s="45">
        <f t="shared" si="0"/>
        <v>48721.26715</v>
      </c>
      <c r="K173" s="46" t="s">
        <v>5800</v>
      </c>
      <c r="L173" s="43">
        <v>132</v>
      </c>
    </row>
    <row r="174" spans="1:12" ht="11.25" customHeight="1">
      <c r="A174" s="39">
        <v>746</v>
      </c>
      <c r="B174" s="40" t="s">
        <v>10594</v>
      </c>
      <c r="C174" s="40" t="s">
        <v>10595</v>
      </c>
      <c r="D174" s="40" t="s">
        <v>2185</v>
      </c>
      <c r="E174" s="41">
        <v>3398.88</v>
      </c>
      <c r="F174" s="40" t="s">
        <v>2185</v>
      </c>
      <c r="G174" s="41">
        <v>3387.3872999999999</v>
      </c>
      <c r="H174" s="40"/>
      <c r="I174" s="41"/>
      <c r="J174" s="41">
        <f t="shared" si="0"/>
        <v>3393.1336499999998</v>
      </c>
      <c r="K174" s="42" t="s">
        <v>5796</v>
      </c>
      <c r="L174" s="39">
        <v>746</v>
      </c>
    </row>
    <row r="175" spans="1:12" ht="11.25" customHeight="1">
      <c r="A175" s="43">
        <v>122</v>
      </c>
      <c r="B175" s="44" t="s">
        <v>10596</v>
      </c>
      <c r="C175" s="44" t="s">
        <v>10597</v>
      </c>
      <c r="D175" s="44" t="s">
        <v>380</v>
      </c>
      <c r="E175" s="45">
        <v>52445.52</v>
      </c>
      <c r="F175" s="44" t="s">
        <v>380</v>
      </c>
      <c r="G175" s="45">
        <v>52454.0985</v>
      </c>
      <c r="H175" s="44"/>
      <c r="I175" s="45"/>
      <c r="J175" s="45">
        <f t="shared" si="0"/>
        <v>52449.809249999998</v>
      </c>
      <c r="K175" s="46" t="s">
        <v>5800</v>
      </c>
      <c r="L175" s="43">
        <v>122</v>
      </c>
    </row>
    <row r="176" spans="1:12" ht="11.25" customHeight="1">
      <c r="A176" s="39">
        <v>1495</v>
      </c>
      <c r="B176" s="40" t="s">
        <v>10598</v>
      </c>
      <c r="C176" s="40" t="s">
        <v>10599</v>
      </c>
      <c r="D176" s="40" t="s">
        <v>3952</v>
      </c>
      <c r="E176" s="41">
        <v>666.34589965462089</v>
      </c>
      <c r="F176" s="40" t="s">
        <v>3952</v>
      </c>
      <c r="G176" s="41">
        <v>371.85809999999998</v>
      </c>
      <c r="H176" s="40"/>
      <c r="I176" s="41"/>
      <c r="J176" s="41">
        <f t="shared" si="0"/>
        <v>519.10199982731046</v>
      </c>
      <c r="K176" s="42" t="s">
        <v>5796</v>
      </c>
      <c r="L176" s="39">
        <v>1495</v>
      </c>
    </row>
    <row r="177" spans="1:12" ht="11.25" customHeight="1">
      <c r="A177" s="39">
        <v>2395</v>
      </c>
      <c r="B177" s="40" t="s">
        <v>10600</v>
      </c>
      <c r="C177" s="40" t="s">
        <v>10601</v>
      </c>
      <c r="D177" s="40" t="s">
        <v>5206</v>
      </c>
      <c r="E177" s="41">
        <v>97.75</v>
      </c>
      <c r="F177" s="40" t="s">
        <v>5206</v>
      </c>
      <c r="G177" s="41">
        <v>97.337500000000006</v>
      </c>
      <c r="H177" s="40"/>
      <c r="I177" s="41"/>
      <c r="J177" s="41">
        <f t="shared" si="0"/>
        <v>97.543750000000003</v>
      </c>
      <c r="K177" s="42" t="s">
        <v>5796</v>
      </c>
      <c r="L177" s="39">
        <v>2395</v>
      </c>
    </row>
    <row r="178" spans="1:12" ht="11.25" customHeight="1">
      <c r="A178" s="39">
        <v>747</v>
      </c>
      <c r="B178" s="40" t="s">
        <v>10602</v>
      </c>
      <c r="C178" s="40" t="s">
        <v>10603</v>
      </c>
      <c r="D178" s="40" t="s">
        <v>2188</v>
      </c>
      <c r="E178" s="41">
        <v>3365.67</v>
      </c>
      <c r="F178" s="40" t="s">
        <v>2188</v>
      </c>
      <c r="G178" s="41">
        <v>3366.0077999999999</v>
      </c>
      <c r="H178" s="40"/>
      <c r="I178" s="41"/>
      <c r="J178" s="41">
        <f t="shared" si="0"/>
        <v>3365.8388999999997</v>
      </c>
      <c r="K178" s="42" t="s">
        <v>5796</v>
      </c>
      <c r="L178" s="39">
        <v>747</v>
      </c>
    </row>
    <row r="179" spans="1:12" ht="11.25" customHeight="1">
      <c r="A179" s="39">
        <v>1631</v>
      </c>
      <c r="B179" s="40" t="s">
        <v>5911</v>
      </c>
      <c r="C179" s="40" t="s">
        <v>10604</v>
      </c>
      <c r="D179" s="40" t="s">
        <v>4213</v>
      </c>
      <c r="E179" s="41">
        <v>384.25</v>
      </c>
      <c r="F179" s="40" t="s">
        <v>4213</v>
      </c>
      <c r="G179" s="41">
        <v>383.90190000000001</v>
      </c>
      <c r="H179" s="40"/>
      <c r="I179" s="41"/>
      <c r="J179" s="41">
        <f t="shared" si="0"/>
        <v>384.07595000000003</v>
      </c>
      <c r="K179" s="42" t="s">
        <v>5796</v>
      </c>
      <c r="L179" s="39">
        <v>1631</v>
      </c>
    </row>
    <row r="180" spans="1:12" ht="11.25" customHeight="1">
      <c r="A180" s="39">
        <v>1112</v>
      </c>
      <c r="B180" s="40" t="s">
        <v>5912</v>
      </c>
      <c r="C180" s="40" t="s">
        <v>10605</v>
      </c>
      <c r="D180" s="40" t="s">
        <v>3142</v>
      </c>
      <c r="E180" s="41">
        <v>1300.1600000000001</v>
      </c>
      <c r="F180" s="40" t="s">
        <v>3142</v>
      </c>
      <c r="G180" s="41">
        <v>1300.2592999999999</v>
      </c>
      <c r="H180" s="40"/>
      <c r="I180" s="41"/>
      <c r="J180" s="41">
        <f t="shared" si="0"/>
        <v>1300.20965</v>
      </c>
      <c r="K180" s="42" t="s">
        <v>5796</v>
      </c>
      <c r="L180" s="39">
        <v>1112</v>
      </c>
    </row>
    <row r="181" spans="1:12" ht="11.25" customHeight="1">
      <c r="A181" s="39">
        <v>723</v>
      </c>
      <c r="B181" s="40" t="s">
        <v>10606</v>
      </c>
      <c r="C181" s="40" t="s">
        <v>10607</v>
      </c>
      <c r="D181" s="40" t="s">
        <v>2116</v>
      </c>
      <c r="E181" s="41">
        <v>3558.85</v>
      </c>
      <c r="F181" s="40" t="s">
        <v>2116</v>
      </c>
      <c r="G181" s="41">
        <v>3555.9775</v>
      </c>
      <c r="H181" s="40"/>
      <c r="I181" s="41"/>
      <c r="J181" s="41">
        <f t="shared" si="0"/>
        <v>3557.4137499999997</v>
      </c>
      <c r="K181" s="42" t="s">
        <v>5796</v>
      </c>
      <c r="L181" s="39">
        <v>723</v>
      </c>
    </row>
    <row r="182" spans="1:12" ht="11.25" customHeight="1">
      <c r="A182" s="39">
        <v>591</v>
      </c>
      <c r="B182" s="40" t="s">
        <v>10608</v>
      </c>
      <c r="C182" s="40" t="s">
        <v>10609</v>
      </c>
      <c r="D182" s="40" t="s">
        <v>10610</v>
      </c>
      <c r="E182" s="41">
        <v>5617.23</v>
      </c>
      <c r="F182" s="40" t="s">
        <v>1745</v>
      </c>
      <c r="G182" s="41">
        <v>5617.1765999999998</v>
      </c>
      <c r="H182" s="40"/>
      <c r="I182" s="41"/>
      <c r="J182" s="41">
        <f t="shared" si="0"/>
        <v>5617.2032999999992</v>
      </c>
      <c r="K182" s="42" t="s">
        <v>5796</v>
      </c>
      <c r="L182" s="39">
        <v>591</v>
      </c>
    </row>
    <row r="183" spans="1:12" ht="11.25" customHeight="1">
      <c r="A183" s="39">
        <v>1687</v>
      </c>
      <c r="B183" s="40" t="s">
        <v>10611</v>
      </c>
      <c r="C183" s="40" t="s">
        <v>10612</v>
      </c>
      <c r="D183" s="40" t="s">
        <v>4315</v>
      </c>
      <c r="E183" s="41">
        <v>336.22</v>
      </c>
      <c r="F183" s="40" t="s">
        <v>4315</v>
      </c>
      <c r="G183" s="41">
        <v>336.02870000000001</v>
      </c>
      <c r="H183" s="40"/>
      <c r="I183" s="41"/>
      <c r="J183" s="41">
        <f t="shared" si="0"/>
        <v>336.12435000000005</v>
      </c>
      <c r="K183" s="42" t="s">
        <v>5796</v>
      </c>
      <c r="L183" s="39">
        <v>1687</v>
      </c>
    </row>
    <row r="184" spans="1:12" ht="11.25" customHeight="1">
      <c r="A184" s="39">
        <v>2013</v>
      </c>
      <c r="B184" s="40" t="s">
        <v>10613</v>
      </c>
      <c r="C184" s="40" t="s">
        <v>10614</v>
      </c>
      <c r="D184" s="40" t="s">
        <v>4765</v>
      </c>
      <c r="E184" s="41">
        <v>183.66</v>
      </c>
      <c r="F184" s="40" t="s">
        <v>4765</v>
      </c>
      <c r="G184" s="41">
        <v>183.52709999999999</v>
      </c>
      <c r="H184" s="40"/>
      <c r="I184" s="41"/>
      <c r="J184" s="41">
        <f t="shared" si="0"/>
        <v>183.59354999999999</v>
      </c>
      <c r="K184" s="42" t="s">
        <v>5796</v>
      </c>
      <c r="L184" s="39">
        <v>2013</v>
      </c>
    </row>
    <row r="185" spans="1:12" ht="11.25" customHeight="1">
      <c r="A185" s="39">
        <v>2292</v>
      </c>
      <c r="B185" s="40" t="s">
        <v>5117</v>
      </c>
      <c r="C185" s="40" t="s">
        <v>10615</v>
      </c>
      <c r="D185" s="40" t="s">
        <v>5119</v>
      </c>
      <c r="E185" s="41">
        <v>112.77</v>
      </c>
      <c r="F185" s="40" t="s">
        <v>5119</v>
      </c>
      <c r="G185" s="41">
        <v>112.7011</v>
      </c>
      <c r="H185" s="40"/>
      <c r="I185" s="41"/>
      <c r="J185" s="41">
        <f t="shared" si="0"/>
        <v>112.73554999999999</v>
      </c>
      <c r="K185" s="42" t="s">
        <v>5796</v>
      </c>
      <c r="L185" s="39">
        <v>2292</v>
      </c>
    </row>
    <row r="186" spans="1:12" ht="11.25" customHeight="1">
      <c r="A186" s="39">
        <v>1106</v>
      </c>
      <c r="B186" s="40" t="s">
        <v>10616</v>
      </c>
      <c r="C186" s="40" t="s">
        <v>10617</v>
      </c>
      <c r="D186" s="40" t="s">
        <v>3127</v>
      </c>
      <c r="E186" s="41">
        <v>1309.43</v>
      </c>
      <c r="F186" s="40" t="s">
        <v>3127</v>
      </c>
      <c r="G186" s="41">
        <v>1309.1388999999999</v>
      </c>
      <c r="H186" s="40"/>
      <c r="I186" s="41"/>
      <c r="J186" s="41">
        <f t="shared" si="0"/>
        <v>1309.2844500000001</v>
      </c>
      <c r="K186" s="42" t="s">
        <v>5796</v>
      </c>
      <c r="L186" s="39">
        <v>1106</v>
      </c>
    </row>
    <row r="187" spans="1:12" ht="11.25" customHeight="1">
      <c r="A187" s="39">
        <v>1182</v>
      </c>
      <c r="B187" s="40" t="s">
        <v>10618</v>
      </c>
      <c r="C187" s="40" t="s">
        <v>10619</v>
      </c>
      <c r="D187" s="40" t="s">
        <v>3304</v>
      </c>
      <c r="E187" s="41">
        <v>1082.07</v>
      </c>
      <c r="F187" s="40" t="s">
        <v>3304</v>
      </c>
      <c r="G187" s="41">
        <v>1081.5833</v>
      </c>
      <c r="H187" s="40"/>
      <c r="I187" s="41"/>
      <c r="J187" s="41">
        <f t="shared" si="0"/>
        <v>1081.82665</v>
      </c>
      <c r="K187" s="42" t="s">
        <v>5796</v>
      </c>
      <c r="L187" s="39">
        <v>1182</v>
      </c>
    </row>
    <row r="188" spans="1:12" ht="11.25" customHeight="1">
      <c r="A188" s="43">
        <v>143</v>
      </c>
      <c r="B188" s="44" t="s">
        <v>10620</v>
      </c>
      <c r="C188" s="44" t="s">
        <v>10621</v>
      </c>
      <c r="D188" s="44" t="s">
        <v>440</v>
      </c>
      <c r="E188" s="45">
        <v>46632.52</v>
      </c>
      <c r="F188" s="44" t="s">
        <v>440</v>
      </c>
      <c r="G188" s="45">
        <v>46631.210599999999</v>
      </c>
      <c r="H188" s="44"/>
      <c r="I188" s="45"/>
      <c r="J188" s="45">
        <f t="shared" si="0"/>
        <v>46631.865299999998</v>
      </c>
      <c r="K188" s="46" t="s">
        <v>5800</v>
      </c>
      <c r="L188" s="43">
        <v>143</v>
      </c>
    </row>
    <row r="189" spans="1:12" ht="11.25" customHeight="1">
      <c r="A189" s="47">
        <v>15</v>
      </c>
      <c r="B189" s="48" t="s">
        <v>10622</v>
      </c>
      <c r="C189" s="48" t="s">
        <v>10623</v>
      </c>
      <c r="D189" s="48" t="s">
        <v>51</v>
      </c>
      <c r="E189" s="49">
        <v>310591.59000000003</v>
      </c>
      <c r="F189" s="48" t="s">
        <v>51</v>
      </c>
      <c r="G189" s="49">
        <v>310502.49410000001</v>
      </c>
      <c r="H189" s="48"/>
      <c r="I189" s="49"/>
      <c r="J189" s="49">
        <f t="shared" si="0"/>
        <v>310547.04205000005</v>
      </c>
      <c r="K189" s="50" t="s">
        <v>5815</v>
      </c>
      <c r="L189" s="47">
        <v>15</v>
      </c>
    </row>
    <row r="190" spans="1:12" ht="11.25" customHeight="1">
      <c r="A190" s="39">
        <v>927</v>
      </c>
      <c r="B190" s="40" t="s">
        <v>5917</v>
      </c>
      <c r="C190" s="40" t="s">
        <v>10624</v>
      </c>
      <c r="D190" s="40" t="s">
        <v>2680</v>
      </c>
      <c r="E190" s="41">
        <v>2063.5100000000002</v>
      </c>
      <c r="F190" s="40" t="s">
        <v>2680</v>
      </c>
      <c r="G190" s="41">
        <v>2062.3236999999999</v>
      </c>
      <c r="H190" s="40"/>
      <c r="I190" s="41"/>
      <c r="J190" s="41">
        <f t="shared" si="0"/>
        <v>2062.9168500000001</v>
      </c>
      <c r="K190" s="42" t="s">
        <v>5796</v>
      </c>
      <c r="L190" s="39">
        <v>927</v>
      </c>
    </row>
    <row r="191" spans="1:12" ht="11.25" customHeight="1">
      <c r="A191" s="39">
        <v>1471</v>
      </c>
      <c r="B191" s="40" t="s">
        <v>10625</v>
      </c>
      <c r="C191" s="40" t="s">
        <v>10626</v>
      </c>
      <c r="D191" s="40" t="s">
        <v>3895</v>
      </c>
      <c r="E191" s="41">
        <v>551.84</v>
      </c>
      <c r="F191" s="40" t="s">
        <v>3895</v>
      </c>
      <c r="G191" s="41">
        <v>552.3777</v>
      </c>
      <c r="H191" s="40"/>
      <c r="I191" s="41"/>
      <c r="J191" s="41">
        <f t="shared" si="0"/>
        <v>552.10885000000007</v>
      </c>
      <c r="K191" s="42" t="s">
        <v>5796</v>
      </c>
      <c r="L191" s="39">
        <v>1471</v>
      </c>
    </row>
    <row r="192" spans="1:12" ht="11.25" customHeight="1">
      <c r="A192" s="39">
        <v>1672</v>
      </c>
      <c r="B192" s="40" t="s">
        <v>10627</v>
      </c>
      <c r="C192" s="40" t="s">
        <v>10628</v>
      </c>
      <c r="D192" s="40" t="s">
        <v>4285</v>
      </c>
      <c r="E192" s="41">
        <v>350.92</v>
      </c>
      <c r="F192" s="40" t="s">
        <v>4285</v>
      </c>
      <c r="G192" s="41">
        <v>350.00900000000001</v>
      </c>
      <c r="H192" s="40"/>
      <c r="I192" s="41"/>
      <c r="J192" s="41">
        <f t="shared" si="0"/>
        <v>350.46450000000004</v>
      </c>
      <c r="K192" s="42" t="s">
        <v>5796</v>
      </c>
      <c r="L192" s="39">
        <v>1672</v>
      </c>
    </row>
    <row r="193" spans="1:12" ht="11.25" customHeight="1">
      <c r="A193" s="39">
        <v>682</v>
      </c>
      <c r="B193" s="40" t="s">
        <v>10629</v>
      </c>
      <c r="C193" s="40" t="s">
        <v>10630</v>
      </c>
      <c r="D193" s="40" t="s">
        <v>10631</v>
      </c>
      <c r="E193" s="41">
        <v>4047.76</v>
      </c>
      <c r="F193" s="40" t="s">
        <v>10631</v>
      </c>
      <c r="G193" s="41">
        <v>4047.91</v>
      </c>
      <c r="H193" s="40"/>
      <c r="I193" s="41"/>
      <c r="J193" s="41">
        <f t="shared" si="0"/>
        <v>4047.835</v>
      </c>
      <c r="K193" s="42" t="s">
        <v>5796</v>
      </c>
      <c r="L193" s="39">
        <v>682</v>
      </c>
    </row>
    <row r="194" spans="1:12" ht="11.25" customHeight="1">
      <c r="A194" s="39">
        <v>1895</v>
      </c>
      <c r="B194" s="40" t="s">
        <v>10632</v>
      </c>
      <c r="C194" s="40" t="s">
        <v>10633</v>
      </c>
      <c r="D194" s="40" t="s">
        <v>10634</v>
      </c>
      <c r="E194" s="41">
        <v>224.97</v>
      </c>
      <c r="F194" s="40" t="s">
        <v>4600</v>
      </c>
      <c r="G194" s="41">
        <v>219.94759999999999</v>
      </c>
      <c r="H194" s="40"/>
      <c r="I194" s="41"/>
      <c r="J194" s="41">
        <f t="shared" si="0"/>
        <v>222.4588</v>
      </c>
      <c r="K194" s="42" t="s">
        <v>5796</v>
      </c>
      <c r="L194" s="39">
        <v>1895</v>
      </c>
    </row>
    <row r="195" spans="1:12" ht="11.25" customHeight="1">
      <c r="A195" s="39">
        <v>2274</v>
      </c>
      <c r="B195" s="40" t="s">
        <v>10635</v>
      </c>
      <c r="C195" s="40" t="s">
        <v>10636</v>
      </c>
      <c r="D195" s="40" t="s">
        <v>5098</v>
      </c>
      <c r="E195" s="41">
        <v>116.21</v>
      </c>
      <c r="F195" s="40" t="s">
        <v>5098</v>
      </c>
      <c r="G195" s="41">
        <v>115.9695</v>
      </c>
      <c r="H195" s="40"/>
      <c r="I195" s="41"/>
      <c r="J195" s="41">
        <f t="shared" si="0"/>
        <v>116.08975</v>
      </c>
      <c r="K195" s="42" t="s">
        <v>5796</v>
      </c>
      <c r="L195" s="39">
        <v>2274</v>
      </c>
    </row>
    <row r="196" spans="1:12" ht="11.25" customHeight="1">
      <c r="A196" s="39">
        <v>1654</v>
      </c>
      <c r="B196" s="40" t="s">
        <v>5919</v>
      </c>
      <c r="C196" s="40" t="s">
        <v>10637</v>
      </c>
      <c r="D196" s="40" t="s">
        <v>4249</v>
      </c>
      <c r="E196" s="41">
        <v>363.35</v>
      </c>
      <c r="F196" s="40" t="s">
        <v>4249</v>
      </c>
      <c r="G196" s="41">
        <v>362.88709999999998</v>
      </c>
      <c r="H196" s="40"/>
      <c r="I196" s="41"/>
      <c r="J196" s="41">
        <f t="shared" si="0"/>
        <v>363.11855000000003</v>
      </c>
      <c r="K196" s="42" t="s">
        <v>5796</v>
      </c>
      <c r="L196" s="39">
        <v>1654</v>
      </c>
    </row>
    <row r="197" spans="1:12" ht="11.25" customHeight="1">
      <c r="A197" s="47">
        <v>37</v>
      </c>
      <c r="B197" s="48" t="s">
        <v>10638</v>
      </c>
      <c r="C197" s="48" t="s">
        <v>10639</v>
      </c>
      <c r="D197" s="48" t="s">
        <v>119</v>
      </c>
      <c r="E197" s="49">
        <v>148409.26</v>
      </c>
      <c r="F197" s="48" t="s">
        <v>119</v>
      </c>
      <c r="G197" s="49">
        <v>148440.5025</v>
      </c>
      <c r="H197" s="48"/>
      <c r="I197" s="49"/>
      <c r="J197" s="49">
        <f t="shared" si="0"/>
        <v>148424.88125000001</v>
      </c>
      <c r="K197" s="50" t="s">
        <v>5815</v>
      </c>
      <c r="L197" s="47">
        <v>37</v>
      </c>
    </row>
    <row r="198" spans="1:12" ht="11.25" customHeight="1">
      <c r="A198" s="39">
        <v>757</v>
      </c>
      <c r="B198" s="40" t="s">
        <v>5920</v>
      </c>
      <c r="C198" s="40" t="s">
        <v>10640</v>
      </c>
      <c r="D198" s="40" t="s">
        <v>2218</v>
      </c>
      <c r="E198" s="41">
        <v>3332.84</v>
      </c>
      <c r="F198" s="40" t="s">
        <v>2218</v>
      </c>
      <c r="G198" s="41">
        <v>3223.4056</v>
      </c>
      <c r="H198" s="40"/>
      <c r="I198" s="41"/>
      <c r="J198" s="41">
        <f t="shared" si="0"/>
        <v>3278.1228000000001</v>
      </c>
      <c r="K198" s="42" t="s">
        <v>5796</v>
      </c>
      <c r="L198" s="39">
        <v>757</v>
      </c>
    </row>
    <row r="199" spans="1:12" ht="11.25" customHeight="1">
      <c r="A199" s="39">
        <v>352</v>
      </c>
      <c r="B199" s="40" t="s">
        <v>10641</v>
      </c>
      <c r="C199" s="40" t="s">
        <v>10642</v>
      </c>
      <c r="D199" s="40" t="s">
        <v>1064</v>
      </c>
      <c r="E199" s="41">
        <v>12749.14</v>
      </c>
      <c r="F199" s="40" t="s">
        <v>1064</v>
      </c>
      <c r="G199" s="41">
        <v>11945.832200000001</v>
      </c>
      <c r="H199" s="40"/>
      <c r="I199" s="41"/>
      <c r="J199" s="41">
        <f t="shared" si="0"/>
        <v>12347.4861</v>
      </c>
      <c r="K199" s="42" t="s">
        <v>5796</v>
      </c>
      <c r="L199" s="39">
        <v>352</v>
      </c>
    </row>
    <row r="200" spans="1:12" ht="11.25" customHeight="1">
      <c r="A200" s="47">
        <v>21</v>
      </c>
      <c r="B200" s="48" t="s">
        <v>10643</v>
      </c>
      <c r="C200" s="48" t="s">
        <v>10644</v>
      </c>
      <c r="D200" s="48" t="s">
        <v>69</v>
      </c>
      <c r="E200" s="49">
        <v>253718.8</v>
      </c>
      <c r="F200" s="48" t="s">
        <v>69</v>
      </c>
      <c r="G200" s="49">
        <v>253620.09779999999</v>
      </c>
      <c r="H200" s="48"/>
      <c r="I200" s="49"/>
      <c r="J200" s="49">
        <f t="shared" si="0"/>
        <v>253669.44889999999</v>
      </c>
      <c r="K200" s="50" t="s">
        <v>5815</v>
      </c>
      <c r="L200" s="47">
        <v>21</v>
      </c>
    </row>
    <row r="201" spans="1:12" ht="11.25" customHeight="1">
      <c r="A201" s="39">
        <v>1195</v>
      </c>
      <c r="B201" s="40" t="s">
        <v>10645</v>
      </c>
      <c r="C201" s="40" t="s">
        <v>10646</v>
      </c>
      <c r="D201" s="40" t="s">
        <v>3337</v>
      </c>
      <c r="E201" s="41">
        <v>1057.96</v>
      </c>
      <c r="F201" s="40" t="s">
        <v>3337</v>
      </c>
      <c r="G201" s="41">
        <v>1057.7720999999999</v>
      </c>
      <c r="H201" s="40"/>
      <c r="I201" s="41"/>
      <c r="J201" s="41">
        <f t="shared" si="0"/>
        <v>1057.8660500000001</v>
      </c>
      <c r="K201" s="42" t="s">
        <v>5796</v>
      </c>
      <c r="L201" s="39">
        <v>1195</v>
      </c>
    </row>
    <row r="202" spans="1:12" ht="11.25" customHeight="1">
      <c r="A202" s="39">
        <v>762</v>
      </c>
      <c r="B202" s="40" t="s">
        <v>10647</v>
      </c>
      <c r="C202" s="40" t="s">
        <v>10648</v>
      </c>
      <c r="D202" s="40" t="s">
        <v>2233</v>
      </c>
      <c r="E202" s="41">
        <v>3212.93</v>
      </c>
      <c r="F202" s="40" t="s">
        <v>2233</v>
      </c>
      <c r="G202" s="41">
        <v>3213.2298000000001</v>
      </c>
      <c r="H202" s="40"/>
      <c r="I202" s="41"/>
      <c r="J202" s="41">
        <f t="shared" si="0"/>
        <v>3213.0798999999997</v>
      </c>
      <c r="K202" s="42" t="s">
        <v>5796</v>
      </c>
      <c r="L202" s="39">
        <v>762</v>
      </c>
    </row>
    <row r="203" spans="1:12" ht="11.25" customHeight="1">
      <c r="A203" s="47">
        <v>77</v>
      </c>
      <c r="B203" s="48" t="s">
        <v>10649</v>
      </c>
      <c r="C203" s="48" t="s">
        <v>10650</v>
      </c>
      <c r="D203" s="48" t="s">
        <v>245</v>
      </c>
      <c r="E203" s="49">
        <v>81154.78</v>
      </c>
      <c r="F203" s="48" t="s">
        <v>245</v>
      </c>
      <c r="G203" s="49">
        <v>81169.955900000001</v>
      </c>
      <c r="H203" s="48"/>
      <c r="I203" s="49"/>
      <c r="J203" s="49">
        <f t="shared" si="0"/>
        <v>81162.36795</v>
      </c>
      <c r="K203" s="50" t="s">
        <v>5815</v>
      </c>
      <c r="L203" s="47">
        <v>77</v>
      </c>
    </row>
    <row r="204" spans="1:12" ht="11.25" customHeight="1">
      <c r="A204" s="39">
        <v>971</v>
      </c>
      <c r="B204" s="40" t="s">
        <v>10651</v>
      </c>
      <c r="C204" s="40" t="s">
        <v>10652</v>
      </c>
      <c r="D204" s="40" t="s">
        <v>10653</v>
      </c>
      <c r="E204" s="41">
        <v>1887.1</v>
      </c>
      <c r="F204" s="40" t="s">
        <v>10653</v>
      </c>
      <c r="G204" s="41">
        <v>1840.768</v>
      </c>
      <c r="H204" s="40"/>
      <c r="I204" s="41"/>
      <c r="J204" s="41">
        <f t="shared" si="0"/>
        <v>1863.934</v>
      </c>
      <c r="K204" s="42" t="s">
        <v>5796</v>
      </c>
      <c r="L204" s="39">
        <v>971</v>
      </c>
    </row>
    <row r="205" spans="1:12" ht="11.25" customHeight="1">
      <c r="A205" s="47">
        <v>10</v>
      </c>
      <c r="B205" s="48" t="s">
        <v>10654</v>
      </c>
      <c r="C205" s="48" t="s">
        <v>10655</v>
      </c>
      <c r="D205" s="48" t="s">
        <v>36</v>
      </c>
      <c r="E205" s="49">
        <v>453184.93</v>
      </c>
      <c r="F205" s="48" t="s">
        <v>36</v>
      </c>
      <c r="G205" s="49">
        <v>451010.57130000001</v>
      </c>
      <c r="H205" s="48"/>
      <c r="I205" s="49"/>
      <c r="J205" s="49">
        <f t="shared" si="0"/>
        <v>452097.75065</v>
      </c>
      <c r="K205" s="50" t="s">
        <v>5815</v>
      </c>
      <c r="L205" s="47">
        <v>10</v>
      </c>
    </row>
    <row r="206" spans="1:12" ht="11.25" customHeight="1">
      <c r="A206" s="39">
        <v>1394</v>
      </c>
      <c r="B206" s="40" t="s">
        <v>10656</v>
      </c>
      <c r="C206" s="40" t="s">
        <v>10657</v>
      </c>
      <c r="D206" s="40" t="s">
        <v>3766</v>
      </c>
      <c r="E206" s="41">
        <v>648.86</v>
      </c>
      <c r="F206" s="40" t="s">
        <v>3766</v>
      </c>
      <c r="G206" s="41">
        <v>648.87819999999999</v>
      </c>
      <c r="H206" s="40"/>
      <c r="I206" s="41"/>
      <c r="J206" s="41">
        <f t="shared" si="0"/>
        <v>648.8691</v>
      </c>
      <c r="K206" s="42" t="s">
        <v>5796</v>
      </c>
      <c r="L206" s="39">
        <v>1394</v>
      </c>
    </row>
    <row r="207" spans="1:12" ht="11.25" customHeight="1">
      <c r="A207" s="39">
        <v>516</v>
      </c>
      <c r="B207" s="40" t="s">
        <v>10658</v>
      </c>
      <c r="C207" s="40" t="s">
        <v>10659</v>
      </c>
      <c r="D207" s="40" t="s">
        <v>1535</v>
      </c>
      <c r="E207" s="41">
        <v>7094.53</v>
      </c>
      <c r="F207" s="40" t="s">
        <v>1535</v>
      </c>
      <c r="G207" s="41">
        <v>7095.9758000000002</v>
      </c>
      <c r="H207" s="40"/>
      <c r="I207" s="41"/>
      <c r="J207" s="41">
        <f t="shared" si="0"/>
        <v>7095.2528999999995</v>
      </c>
      <c r="K207" s="42" t="s">
        <v>5796</v>
      </c>
      <c r="L207" s="39">
        <v>516</v>
      </c>
    </row>
    <row r="208" spans="1:12" ht="11.25" customHeight="1">
      <c r="A208" s="39">
        <v>1541</v>
      </c>
      <c r="B208" s="40" t="s">
        <v>5924</v>
      </c>
      <c r="C208" s="40" t="s">
        <v>10660</v>
      </c>
      <c r="D208" s="40"/>
      <c r="E208" s="41"/>
      <c r="F208" s="40" t="s">
        <v>4042</v>
      </c>
      <c r="G208" s="41">
        <v>464.89249999999998</v>
      </c>
      <c r="H208" s="40"/>
      <c r="I208" s="41"/>
      <c r="J208" s="41">
        <f t="shared" si="0"/>
        <v>464.89249999999998</v>
      </c>
      <c r="K208" s="42" t="s">
        <v>5796</v>
      </c>
      <c r="L208" s="39">
        <v>1541</v>
      </c>
    </row>
    <row r="209" spans="1:12" ht="11.25" customHeight="1">
      <c r="A209" s="39">
        <v>3122</v>
      </c>
      <c r="B209" s="40" t="s">
        <v>10661</v>
      </c>
      <c r="C209" s="40" t="s">
        <v>10662</v>
      </c>
      <c r="D209" s="40" t="s">
        <v>5589</v>
      </c>
      <c r="E209" s="41">
        <v>31.79</v>
      </c>
      <c r="F209" s="40" t="s">
        <v>5589</v>
      </c>
      <c r="G209" s="41">
        <v>31.7514</v>
      </c>
      <c r="H209" s="40"/>
      <c r="I209" s="41"/>
      <c r="J209" s="41">
        <f t="shared" si="0"/>
        <v>31.770699999999998</v>
      </c>
      <c r="K209" s="42" t="s">
        <v>5796</v>
      </c>
      <c r="L209" s="39">
        <v>3122</v>
      </c>
    </row>
    <row r="210" spans="1:12" ht="11.25" customHeight="1">
      <c r="A210" s="43">
        <v>136</v>
      </c>
      <c r="B210" s="44" t="s">
        <v>10663</v>
      </c>
      <c r="C210" s="44" t="s">
        <v>10664</v>
      </c>
      <c r="D210" s="44" t="s">
        <v>419</v>
      </c>
      <c r="E210" s="45">
        <v>48191.87</v>
      </c>
      <c r="F210" s="44" t="s">
        <v>419</v>
      </c>
      <c r="G210" s="45">
        <v>48204.927499999998</v>
      </c>
      <c r="H210" s="44"/>
      <c r="I210" s="45"/>
      <c r="J210" s="45">
        <f t="shared" si="0"/>
        <v>48198.39875</v>
      </c>
      <c r="K210" s="46" t="s">
        <v>5800</v>
      </c>
      <c r="L210" s="43">
        <v>136</v>
      </c>
    </row>
    <row r="211" spans="1:12" ht="11.25" customHeight="1">
      <c r="A211" s="39">
        <v>828</v>
      </c>
      <c r="B211" s="40" t="s">
        <v>10665</v>
      </c>
      <c r="C211" s="40" t="s">
        <v>10666</v>
      </c>
      <c r="D211" s="40" t="s">
        <v>2407</v>
      </c>
      <c r="E211" s="41">
        <v>2652.97</v>
      </c>
      <c r="F211" s="40" t="s">
        <v>2407</v>
      </c>
      <c r="G211" s="41">
        <v>2653.5246000000002</v>
      </c>
      <c r="H211" s="40"/>
      <c r="I211" s="41"/>
      <c r="J211" s="41">
        <f t="shared" si="0"/>
        <v>2653.2473</v>
      </c>
      <c r="K211" s="42" t="s">
        <v>5796</v>
      </c>
      <c r="L211" s="39">
        <v>828</v>
      </c>
    </row>
    <row r="212" spans="1:12" ht="11.25" customHeight="1">
      <c r="A212" s="39">
        <v>2127</v>
      </c>
      <c r="B212" s="40" t="s">
        <v>10667</v>
      </c>
      <c r="C212" s="40" t="s">
        <v>10668</v>
      </c>
      <c r="D212" s="40" t="s">
        <v>4924</v>
      </c>
      <c r="E212" s="41">
        <v>152.13999999999999</v>
      </c>
      <c r="F212" s="40" t="s">
        <v>4924</v>
      </c>
      <c r="G212" s="41">
        <v>151.86320000000001</v>
      </c>
      <c r="H212" s="40"/>
      <c r="I212" s="41"/>
      <c r="J212" s="41">
        <f t="shared" si="0"/>
        <v>152.0016</v>
      </c>
      <c r="K212" s="42" t="s">
        <v>5796</v>
      </c>
      <c r="L212" s="39">
        <v>2127</v>
      </c>
    </row>
    <row r="213" spans="1:12" ht="11.25" customHeight="1">
      <c r="A213" s="39">
        <v>460</v>
      </c>
      <c r="B213" s="40" t="s">
        <v>10669</v>
      </c>
      <c r="C213" s="40" t="s">
        <v>10670</v>
      </c>
      <c r="D213" s="40" t="s">
        <v>1373</v>
      </c>
      <c r="E213" s="41">
        <v>8407.89</v>
      </c>
      <c r="F213" s="40" t="s">
        <v>1373</v>
      </c>
      <c r="G213" s="41">
        <v>8314.5337999999992</v>
      </c>
      <c r="H213" s="40"/>
      <c r="I213" s="41"/>
      <c r="J213" s="41">
        <f t="shared" si="0"/>
        <v>8361.2118999999984</v>
      </c>
      <c r="K213" s="42" t="s">
        <v>5796</v>
      </c>
      <c r="L213" s="39">
        <v>460</v>
      </c>
    </row>
    <row r="214" spans="1:12" ht="11.25" customHeight="1">
      <c r="A214" s="39">
        <v>2695</v>
      </c>
      <c r="B214" s="40" t="s">
        <v>10671</v>
      </c>
      <c r="C214" s="40" t="s">
        <v>10672</v>
      </c>
      <c r="D214" s="40" t="s">
        <v>5427</v>
      </c>
      <c r="E214" s="41">
        <v>59.54</v>
      </c>
      <c r="F214" s="40" t="s">
        <v>5427</v>
      </c>
      <c r="G214" s="41">
        <v>59.502600000000001</v>
      </c>
      <c r="H214" s="40"/>
      <c r="I214" s="41"/>
      <c r="J214" s="41">
        <f t="shared" si="0"/>
        <v>59.521299999999997</v>
      </c>
      <c r="K214" s="42" t="s">
        <v>5796</v>
      </c>
      <c r="L214" s="39">
        <v>2695</v>
      </c>
    </row>
    <row r="215" spans="1:12" ht="11.25" customHeight="1">
      <c r="A215" s="39">
        <v>750</v>
      </c>
      <c r="B215" s="40" t="s">
        <v>10673</v>
      </c>
      <c r="C215" s="40" t="s">
        <v>10674</v>
      </c>
      <c r="D215" s="40" t="s">
        <v>2197</v>
      </c>
      <c r="E215" s="41">
        <v>3327.97</v>
      </c>
      <c r="F215" s="40" t="s">
        <v>2197</v>
      </c>
      <c r="G215" s="41">
        <v>3327.5798</v>
      </c>
      <c r="H215" s="40"/>
      <c r="I215" s="41"/>
      <c r="J215" s="41">
        <f t="shared" si="0"/>
        <v>3327.7748999999999</v>
      </c>
      <c r="K215" s="42" t="s">
        <v>5796</v>
      </c>
      <c r="L215" s="39">
        <v>750</v>
      </c>
    </row>
    <row r="216" spans="1:12" ht="11.25" customHeight="1">
      <c r="A216" s="39">
        <v>743</v>
      </c>
      <c r="B216" s="40" t="s">
        <v>10675</v>
      </c>
      <c r="C216" s="40" t="s">
        <v>10676</v>
      </c>
      <c r="D216" s="40" t="s">
        <v>2176</v>
      </c>
      <c r="E216" s="41">
        <v>3403.34</v>
      </c>
      <c r="F216" s="40" t="s">
        <v>2176</v>
      </c>
      <c r="G216" s="41">
        <v>3402.8977</v>
      </c>
      <c r="H216" s="40"/>
      <c r="I216" s="41"/>
      <c r="J216" s="41">
        <f t="shared" si="0"/>
        <v>3403.1188499999998</v>
      </c>
      <c r="K216" s="42" t="s">
        <v>5796</v>
      </c>
      <c r="L216" s="39">
        <v>743</v>
      </c>
    </row>
    <row r="217" spans="1:12" ht="11.25" customHeight="1">
      <c r="A217" s="43">
        <v>169</v>
      </c>
      <c r="B217" s="44" t="s">
        <v>10677</v>
      </c>
      <c r="C217" s="44" t="s">
        <v>10678</v>
      </c>
      <c r="D217" s="44" t="s">
        <v>518</v>
      </c>
      <c r="E217" s="45">
        <v>37236.160000000003</v>
      </c>
      <c r="F217" s="44" t="s">
        <v>518</v>
      </c>
      <c r="G217" s="45">
        <v>37241.087800000001</v>
      </c>
      <c r="H217" s="44"/>
      <c r="I217" s="45"/>
      <c r="J217" s="45">
        <f t="shared" si="0"/>
        <v>37238.623900000006</v>
      </c>
      <c r="K217" s="46" t="s">
        <v>5800</v>
      </c>
      <c r="L217" s="43">
        <v>169</v>
      </c>
    </row>
    <row r="218" spans="1:12" ht="11.25" customHeight="1">
      <c r="A218" s="39">
        <v>2618</v>
      </c>
      <c r="B218" s="40" t="s">
        <v>10679</v>
      </c>
      <c r="C218" s="40" t="s">
        <v>10680</v>
      </c>
      <c r="D218" s="40" t="s">
        <v>5391</v>
      </c>
      <c r="E218" s="41">
        <v>66.569999999999993</v>
      </c>
      <c r="F218" s="40" t="s">
        <v>5391</v>
      </c>
      <c r="G218" s="41">
        <v>66.5184</v>
      </c>
      <c r="H218" s="40"/>
      <c r="I218" s="41"/>
      <c r="J218" s="41">
        <f t="shared" si="0"/>
        <v>66.544199999999989</v>
      </c>
      <c r="K218" s="42" t="s">
        <v>5796</v>
      </c>
      <c r="L218" s="39">
        <v>2618</v>
      </c>
    </row>
    <row r="219" spans="1:12" ht="11.25" customHeight="1">
      <c r="A219" s="39">
        <v>2530</v>
      </c>
      <c r="B219" s="40" t="s">
        <v>10681</v>
      </c>
      <c r="C219" s="40" t="s">
        <v>10682</v>
      </c>
      <c r="D219" s="40"/>
      <c r="E219" s="41"/>
      <c r="F219" s="40" t="s">
        <v>5319</v>
      </c>
      <c r="G219" s="41">
        <v>77.0488</v>
      </c>
      <c r="H219" s="40"/>
      <c r="I219" s="41"/>
      <c r="J219" s="41">
        <f t="shared" si="0"/>
        <v>77.0488</v>
      </c>
      <c r="K219" s="42" t="s">
        <v>5796</v>
      </c>
      <c r="L219" s="39">
        <v>2530</v>
      </c>
    </row>
    <row r="220" spans="1:12" ht="11.25" customHeight="1">
      <c r="A220" s="47">
        <v>54</v>
      </c>
      <c r="B220" s="48" t="s">
        <v>10683</v>
      </c>
      <c r="C220" s="48" t="s">
        <v>10684</v>
      </c>
      <c r="D220" s="48" t="s">
        <v>173</v>
      </c>
      <c r="E220" s="49">
        <v>104971.56</v>
      </c>
      <c r="F220" s="48" t="s">
        <v>173</v>
      </c>
      <c r="G220" s="49">
        <v>104974.2733</v>
      </c>
      <c r="H220" s="48"/>
      <c r="I220" s="49"/>
      <c r="J220" s="49">
        <f t="shared" si="0"/>
        <v>104972.91665</v>
      </c>
      <c r="K220" s="50" t="s">
        <v>5815</v>
      </c>
      <c r="L220" s="47">
        <v>54</v>
      </c>
    </row>
    <row r="221" spans="1:12" ht="11.25" customHeight="1">
      <c r="A221" s="43">
        <v>163</v>
      </c>
      <c r="B221" s="44" t="s">
        <v>10685</v>
      </c>
      <c r="C221" s="44" t="s">
        <v>10686</v>
      </c>
      <c r="D221" s="44" t="s">
        <v>500</v>
      </c>
      <c r="E221" s="45">
        <v>40595.51</v>
      </c>
      <c r="F221" s="44" t="s">
        <v>500</v>
      </c>
      <c r="G221" s="45">
        <v>40157.276299999998</v>
      </c>
      <c r="H221" s="44"/>
      <c r="I221" s="45"/>
      <c r="J221" s="45">
        <f t="shared" si="0"/>
        <v>40376.393150000004</v>
      </c>
      <c r="K221" s="46" t="s">
        <v>5800</v>
      </c>
      <c r="L221" s="43">
        <v>163</v>
      </c>
    </row>
    <row r="222" spans="1:12" ht="11.25" customHeight="1">
      <c r="A222" s="39">
        <v>1494</v>
      </c>
      <c r="B222" s="40" t="s">
        <v>10687</v>
      </c>
      <c r="C222" s="40" t="s">
        <v>10688</v>
      </c>
      <c r="D222" s="40" t="s">
        <v>3949</v>
      </c>
      <c r="E222" s="41">
        <v>519.29</v>
      </c>
      <c r="F222" s="40" t="s">
        <v>3949</v>
      </c>
      <c r="G222" s="41">
        <v>519.11580000000004</v>
      </c>
      <c r="H222" s="40"/>
      <c r="I222" s="41"/>
      <c r="J222" s="41">
        <f t="shared" si="0"/>
        <v>519.2029</v>
      </c>
      <c r="K222" s="42" t="s">
        <v>5796</v>
      </c>
      <c r="L222" s="39">
        <v>1494</v>
      </c>
    </row>
    <row r="223" spans="1:12" ht="11.25" customHeight="1">
      <c r="A223" s="39">
        <v>830</v>
      </c>
      <c r="B223" s="40" t="s">
        <v>5937</v>
      </c>
      <c r="C223" s="40" t="s">
        <v>10689</v>
      </c>
      <c r="D223" s="40" t="s">
        <v>2413</v>
      </c>
      <c r="E223" s="41">
        <v>2647.31</v>
      </c>
      <c r="F223" s="40" t="s">
        <v>2413</v>
      </c>
      <c r="G223" s="41">
        <v>2646.3247999999999</v>
      </c>
      <c r="H223" s="40"/>
      <c r="I223" s="41"/>
      <c r="J223" s="41">
        <f t="shared" si="0"/>
        <v>2646.8173999999999</v>
      </c>
      <c r="K223" s="42" t="s">
        <v>5796</v>
      </c>
      <c r="L223" s="39">
        <v>830</v>
      </c>
    </row>
    <row r="224" spans="1:12" ht="11.25" customHeight="1">
      <c r="A224" s="39">
        <v>371</v>
      </c>
      <c r="B224" s="40" t="s">
        <v>10690</v>
      </c>
      <c r="C224" s="40" t="s">
        <v>10691</v>
      </c>
      <c r="D224" s="40" t="s">
        <v>1121</v>
      </c>
      <c r="E224" s="41">
        <v>11726.2</v>
      </c>
      <c r="F224" s="40" t="s">
        <v>1121</v>
      </c>
      <c r="G224" s="41">
        <v>11730.453799999999</v>
      </c>
      <c r="H224" s="40"/>
      <c r="I224" s="41"/>
      <c r="J224" s="41">
        <f t="shared" si="0"/>
        <v>11728.3269</v>
      </c>
      <c r="K224" s="42" t="s">
        <v>5796</v>
      </c>
      <c r="L224" s="39">
        <v>371</v>
      </c>
    </row>
    <row r="225" spans="1:12" ht="11.25" customHeight="1">
      <c r="A225" s="39">
        <v>1735</v>
      </c>
      <c r="B225" s="40" t="s">
        <v>10692</v>
      </c>
      <c r="C225" s="40" t="s">
        <v>10693</v>
      </c>
      <c r="D225" s="40" t="s">
        <v>4387</v>
      </c>
      <c r="E225" s="41">
        <v>309</v>
      </c>
      <c r="F225" s="40" t="s">
        <v>4387</v>
      </c>
      <c r="G225" s="41">
        <v>308.75970000000001</v>
      </c>
      <c r="H225" s="40"/>
      <c r="I225" s="41"/>
      <c r="J225" s="41">
        <f t="shared" si="0"/>
        <v>308.87985000000003</v>
      </c>
      <c r="K225" s="42" t="s">
        <v>5796</v>
      </c>
      <c r="L225" s="39">
        <v>1735</v>
      </c>
    </row>
    <row r="226" spans="1:12" ht="11.25" customHeight="1">
      <c r="A226" s="39">
        <v>256</v>
      </c>
      <c r="B226" s="40" t="s">
        <v>10694</v>
      </c>
      <c r="C226" s="40" t="s">
        <v>10695</v>
      </c>
      <c r="D226" s="40" t="s">
        <v>776</v>
      </c>
      <c r="E226" s="41">
        <v>21211.97</v>
      </c>
      <c r="F226" s="40" t="s">
        <v>776</v>
      </c>
      <c r="G226" s="41">
        <v>21214.102699999999</v>
      </c>
      <c r="H226" s="40"/>
      <c r="I226" s="41"/>
      <c r="J226" s="41">
        <f t="shared" si="0"/>
        <v>21213.036350000002</v>
      </c>
      <c r="K226" s="42" t="s">
        <v>5796</v>
      </c>
      <c r="L226" s="39">
        <v>256</v>
      </c>
    </row>
    <row r="227" spans="1:12" ht="11.25" customHeight="1">
      <c r="A227" s="39">
        <v>904</v>
      </c>
      <c r="B227" s="40" t="s">
        <v>10696</v>
      </c>
      <c r="C227" s="40" t="s">
        <v>10697</v>
      </c>
      <c r="D227" s="40" t="s">
        <v>2620</v>
      </c>
      <c r="E227" s="41">
        <v>2145.33</v>
      </c>
      <c r="F227" s="40" t="s">
        <v>2620</v>
      </c>
      <c r="G227" s="41">
        <v>2145.2258000000002</v>
      </c>
      <c r="H227" s="40"/>
      <c r="I227" s="41"/>
      <c r="J227" s="41">
        <f t="shared" si="0"/>
        <v>2145.2779</v>
      </c>
      <c r="K227" s="42" t="s">
        <v>5796</v>
      </c>
      <c r="L227" s="39">
        <v>904</v>
      </c>
    </row>
    <row r="228" spans="1:12" ht="11.25" customHeight="1">
      <c r="A228" s="39">
        <v>713</v>
      </c>
      <c r="B228" s="40" t="s">
        <v>5941</v>
      </c>
      <c r="C228" s="40" t="s">
        <v>10698</v>
      </c>
      <c r="D228" s="40" t="s">
        <v>2086</v>
      </c>
      <c r="E228" s="41">
        <v>3681.5</v>
      </c>
      <c r="F228" s="40" t="s">
        <v>2086</v>
      </c>
      <c r="G228" s="41">
        <v>3678.79</v>
      </c>
      <c r="H228" s="40"/>
      <c r="I228" s="41"/>
      <c r="J228" s="41">
        <f t="shared" si="0"/>
        <v>3680.145</v>
      </c>
      <c r="K228" s="42" t="s">
        <v>5796</v>
      </c>
      <c r="L228" s="39">
        <v>713</v>
      </c>
    </row>
    <row r="229" spans="1:12" ht="11.25" customHeight="1">
      <c r="A229" s="39">
        <v>455</v>
      </c>
      <c r="B229" s="40" t="s">
        <v>10699</v>
      </c>
      <c r="C229" s="40" t="s">
        <v>10700</v>
      </c>
      <c r="D229" s="40" t="s">
        <v>1358</v>
      </c>
      <c r="E229" s="41">
        <v>8611.07</v>
      </c>
      <c r="F229" s="40" t="s">
        <v>1358</v>
      </c>
      <c r="G229" s="41">
        <v>8612.2803999999996</v>
      </c>
      <c r="H229" s="40"/>
      <c r="I229" s="41"/>
      <c r="J229" s="41">
        <f t="shared" si="0"/>
        <v>8611.6751999999997</v>
      </c>
      <c r="K229" s="42" t="s">
        <v>5796</v>
      </c>
      <c r="L229" s="39">
        <v>455</v>
      </c>
    </row>
    <row r="230" spans="1:12" ht="11.25" customHeight="1">
      <c r="A230" s="39">
        <v>1500</v>
      </c>
      <c r="B230" s="40" t="s">
        <v>10701</v>
      </c>
      <c r="C230" s="40" t="s">
        <v>10702</v>
      </c>
      <c r="D230" s="40" t="s">
        <v>3967</v>
      </c>
      <c r="E230" s="41">
        <v>509.42</v>
      </c>
      <c r="F230" s="40" t="s">
        <v>3967</v>
      </c>
      <c r="G230" s="41">
        <v>509.08150000000001</v>
      </c>
      <c r="H230" s="40"/>
      <c r="I230" s="41"/>
      <c r="J230" s="41">
        <f t="shared" si="0"/>
        <v>509.25075000000004</v>
      </c>
      <c r="K230" s="42" t="s">
        <v>5796</v>
      </c>
      <c r="L230" s="39">
        <v>1500</v>
      </c>
    </row>
    <row r="231" spans="1:12" ht="11.25" customHeight="1">
      <c r="A231" s="39">
        <v>676</v>
      </c>
      <c r="B231" s="40" t="s">
        <v>5943</v>
      </c>
      <c r="C231" s="40" t="s">
        <v>10703</v>
      </c>
      <c r="D231" s="40" t="s">
        <v>1985</v>
      </c>
      <c r="E231" s="41">
        <v>4070.02</v>
      </c>
      <c r="F231" s="40" t="s">
        <v>1985</v>
      </c>
      <c r="G231" s="41">
        <v>4070.9133000000002</v>
      </c>
      <c r="H231" s="40"/>
      <c r="I231" s="41"/>
      <c r="J231" s="41">
        <f t="shared" si="0"/>
        <v>4070.4666500000003</v>
      </c>
      <c r="K231" s="42" t="s">
        <v>5796</v>
      </c>
      <c r="L231" s="39">
        <v>676</v>
      </c>
    </row>
    <row r="232" spans="1:12" ht="11.25" customHeight="1">
      <c r="A232" s="39">
        <v>1114</v>
      </c>
      <c r="B232" s="40" t="s">
        <v>5944</v>
      </c>
      <c r="C232" s="40" t="s">
        <v>10704</v>
      </c>
      <c r="D232" s="40" t="s">
        <v>10705</v>
      </c>
      <c r="E232" s="41">
        <v>1309.27</v>
      </c>
      <c r="F232" s="40" t="s">
        <v>3148</v>
      </c>
      <c r="G232" s="41">
        <v>1282.1022</v>
      </c>
      <c r="H232" s="40"/>
      <c r="I232" s="41"/>
      <c r="J232" s="41">
        <f t="shared" si="0"/>
        <v>1295.6860999999999</v>
      </c>
      <c r="K232" s="42" t="s">
        <v>5796</v>
      </c>
      <c r="L232" s="39">
        <v>1114</v>
      </c>
    </row>
    <row r="233" spans="1:12" ht="11.25" customHeight="1">
      <c r="A233" s="39">
        <v>1481</v>
      </c>
      <c r="B233" s="40" t="s">
        <v>10706</v>
      </c>
      <c r="C233" s="40" t="s">
        <v>10707</v>
      </c>
      <c r="D233" s="40" t="s">
        <v>3922</v>
      </c>
      <c r="E233" s="41">
        <v>540.27</v>
      </c>
      <c r="F233" s="40" t="s">
        <v>3922</v>
      </c>
      <c r="G233" s="41">
        <v>527.42439999999999</v>
      </c>
      <c r="H233" s="40"/>
      <c r="I233" s="41"/>
      <c r="J233" s="41">
        <f t="shared" si="0"/>
        <v>533.84719999999993</v>
      </c>
      <c r="K233" s="42" t="s">
        <v>5796</v>
      </c>
      <c r="L233" s="39">
        <v>1481</v>
      </c>
    </row>
    <row r="234" spans="1:12" ht="11.25" customHeight="1">
      <c r="A234" s="39">
        <v>257</v>
      </c>
      <c r="B234" s="40" t="s">
        <v>10708</v>
      </c>
      <c r="C234" s="40" t="s">
        <v>10709</v>
      </c>
      <c r="D234" s="40" t="s">
        <v>782</v>
      </c>
      <c r="E234" s="41">
        <v>21145.7</v>
      </c>
      <c r="F234" s="40" t="s">
        <v>782</v>
      </c>
      <c r="G234" s="41">
        <v>21145.963400000001</v>
      </c>
      <c r="H234" s="40"/>
      <c r="I234" s="41"/>
      <c r="J234" s="41">
        <f t="shared" si="0"/>
        <v>21145.831700000002</v>
      </c>
      <c r="K234" s="42" t="s">
        <v>5796</v>
      </c>
      <c r="L234" s="39">
        <v>257</v>
      </c>
    </row>
    <row r="235" spans="1:12" ht="11.25" customHeight="1">
      <c r="A235" s="39">
        <v>2139</v>
      </c>
      <c r="B235" s="40" t="s">
        <v>5945</v>
      </c>
      <c r="C235" s="40" t="s">
        <v>10710</v>
      </c>
      <c r="D235" s="40" t="s">
        <v>4936</v>
      </c>
      <c r="E235" s="41">
        <v>148.25</v>
      </c>
      <c r="F235" s="40" t="s">
        <v>4936</v>
      </c>
      <c r="G235" s="41">
        <v>147.85669999999999</v>
      </c>
      <c r="H235" s="40"/>
      <c r="I235" s="41"/>
      <c r="J235" s="41">
        <f t="shared" si="0"/>
        <v>148.05334999999999</v>
      </c>
      <c r="K235" s="42" t="s">
        <v>5796</v>
      </c>
      <c r="L235" s="39">
        <v>2139</v>
      </c>
    </row>
    <row r="236" spans="1:12" ht="11.25" customHeight="1">
      <c r="A236" s="39">
        <v>556</v>
      </c>
      <c r="B236" s="40" t="s">
        <v>10711</v>
      </c>
      <c r="C236" s="40" t="s">
        <v>10712</v>
      </c>
      <c r="D236" s="40" t="s">
        <v>1649</v>
      </c>
      <c r="E236" s="41">
        <v>6202.01</v>
      </c>
      <c r="F236" s="40" t="s">
        <v>1649</v>
      </c>
      <c r="G236" s="41">
        <v>6201.7547999999997</v>
      </c>
      <c r="H236" s="40"/>
      <c r="I236" s="41"/>
      <c r="J236" s="41">
        <f t="shared" si="0"/>
        <v>6201.8824000000004</v>
      </c>
      <c r="K236" s="42" t="s">
        <v>5796</v>
      </c>
      <c r="L236" s="39">
        <v>556</v>
      </c>
    </row>
    <row r="237" spans="1:12" ht="11.25" customHeight="1">
      <c r="A237" s="39">
        <v>1662</v>
      </c>
      <c r="B237" s="40" t="s">
        <v>10713</v>
      </c>
      <c r="C237" s="40" t="s">
        <v>10714</v>
      </c>
      <c r="D237" s="40" t="s">
        <v>4264</v>
      </c>
      <c r="E237" s="41">
        <v>356.65</v>
      </c>
      <c r="F237" s="40" t="s">
        <v>4264</v>
      </c>
      <c r="G237" s="41">
        <v>356.65379999999999</v>
      </c>
      <c r="H237" s="40"/>
      <c r="I237" s="41"/>
      <c r="J237" s="41">
        <f t="shared" si="0"/>
        <v>356.65189999999996</v>
      </c>
      <c r="K237" s="42" t="s">
        <v>5796</v>
      </c>
      <c r="L237" s="39">
        <v>1662</v>
      </c>
    </row>
    <row r="238" spans="1:12" ht="11.25" customHeight="1">
      <c r="A238" s="47">
        <v>56</v>
      </c>
      <c r="B238" s="48" t="s">
        <v>10715</v>
      </c>
      <c r="C238" s="48" t="s">
        <v>10716</v>
      </c>
      <c r="D238" s="48" t="s">
        <v>179</v>
      </c>
      <c r="E238" s="49">
        <v>101867.37</v>
      </c>
      <c r="F238" s="48" t="s">
        <v>179</v>
      </c>
      <c r="G238" s="49">
        <v>101884.1689</v>
      </c>
      <c r="H238" s="48"/>
      <c r="I238" s="49"/>
      <c r="J238" s="49">
        <f t="shared" si="0"/>
        <v>101875.76944999999</v>
      </c>
      <c r="K238" s="50" t="s">
        <v>5815</v>
      </c>
      <c r="L238" s="47">
        <v>56</v>
      </c>
    </row>
    <row r="239" spans="1:12" ht="11.25" customHeight="1">
      <c r="A239" s="39">
        <v>439</v>
      </c>
      <c r="B239" s="40" t="s">
        <v>10717</v>
      </c>
      <c r="C239" s="40" t="s">
        <v>10718</v>
      </c>
      <c r="D239" s="40" t="s">
        <v>1313</v>
      </c>
      <c r="E239" s="41">
        <v>9173.44</v>
      </c>
      <c r="F239" s="40" t="s">
        <v>1313</v>
      </c>
      <c r="G239" s="41">
        <v>9175.0373</v>
      </c>
      <c r="H239" s="40"/>
      <c r="I239" s="41"/>
      <c r="J239" s="41">
        <f t="shared" si="0"/>
        <v>9174.2386499999993</v>
      </c>
      <c r="K239" s="42" t="s">
        <v>5796</v>
      </c>
      <c r="L239" s="39">
        <v>439</v>
      </c>
    </row>
    <row r="240" spans="1:12" ht="11.25" customHeight="1">
      <c r="A240" s="39">
        <v>877</v>
      </c>
      <c r="B240" s="40" t="s">
        <v>10719</v>
      </c>
      <c r="C240" s="40" t="s">
        <v>10720</v>
      </c>
      <c r="D240" s="40" t="s">
        <v>2545</v>
      </c>
      <c r="E240" s="41">
        <v>2281.5</v>
      </c>
      <c r="F240" s="40" t="s">
        <v>2545</v>
      </c>
      <c r="G240" s="41">
        <v>2281.6541000000002</v>
      </c>
      <c r="H240" s="40"/>
      <c r="I240" s="41"/>
      <c r="J240" s="41">
        <f t="shared" si="0"/>
        <v>2281.5770499999999</v>
      </c>
      <c r="K240" s="42" t="s">
        <v>5796</v>
      </c>
      <c r="L240" s="39">
        <v>877</v>
      </c>
    </row>
    <row r="241" spans="1:12" ht="11.25" customHeight="1">
      <c r="A241" s="47">
        <v>97</v>
      </c>
      <c r="B241" s="48" t="s">
        <v>10721</v>
      </c>
      <c r="C241" s="48" t="s">
        <v>10722</v>
      </c>
      <c r="D241" s="48" t="s">
        <v>305</v>
      </c>
      <c r="E241" s="49">
        <v>67501.850000000006</v>
      </c>
      <c r="F241" s="48" t="s">
        <v>305</v>
      </c>
      <c r="G241" s="49">
        <v>67514.066399999996</v>
      </c>
      <c r="H241" s="48"/>
      <c r="I241" s="49"/>
      <c r="J241" s="49">
        <f t="shared" si="0"/>
        <v>67507.958199999994</v>
      </c>
      <c r="K241" s="50" t="s">
        <v>5815</v>
      </c>
      <c r="L241" s="47">
        <v>97</v>
      </c>
    </row>
    <row r="242" spans="1:12" ht="11.25" customHeight="1">
      <c r="A242" s="39">
        <v>981</v>
      </c>
      <c r="B242" s="40" t="s">
        <v>10723</v>
      </c>
      <c r="C242" s="40" t="s">
        <v>10724</v>
      </c>
      <c r="D242" s="40" t="s">
        <v>2815</v>
      </c>
      <c r="E242" s="41">
        <v>1802.8</v>
      </c>
      <c r="F242" s="40" t="s">
        <v>2815</v>
      </c>
      <c r="G242" s="41">
        <v>1802.8425</v>
      </c>
      <c r="H242" s="40"/>
      <c r="I242" s="41"/>
      <c r="J242" s="41">
        <f t="shared" si="0"/>
        <v>1802.82125</v>
      </c>
      <c r="K242" s="42" t="s">
        <v>5796</v>
      </c>
      <c r="L242" s="39">
        <v>981</v>
      </c>
    </row>
    <row r="243" spans="1:12" ht="11.25" customHeight="1">
      <c r="A243" s="39">
        <v>895</v>
      </c>
      <c r="B243" s="40" t="s">
        <v>10725</v>
      </c>
      <c r="C243" s="40" t="s">
        <v>10726</v>
      </c>
      <c r="D243" s="40" t="s">
        <v>2596</v>
      </c>
      <c r="E243" s="41">
        <v>2172.08</v>
      </c>
      <c r="F243" s="40" t="s">
        <v>2596</v>
      </c>
      <c r="G243" s="41">
        <v>2172.643</v>
      </c>
      <c r="H243" s="40"/>
      <c r="I243" s="41"/>
      <c r="J243" s="41">
        <f t="shared" si="0"/>
        <v>2172.3615</v>
      </c>
      <c r="K243" s="42" t="s">
        <v>5796</v>
      </c>
      <c r="L243" s="39">
        <v>895</v>
      </c>
    </row>
    <row r="244" spans="1:12" ht="11.25" customHeight="1">
      <c r="A244" s="39">
        <v>4475</v>
      </c>
      <c r="B244" s="40" t="s">
        <v>10727</v>
      </c>
      <c r="C244" s="40" t="s">
        <v>10728</v>
      </c>
      <c r="D244" s="40" t="s">
        <v>5952</v>
      </c>
      <c r="E244" s="41">
        <v>4.01</v>
      </c>
      <c r="F244" s="40" t="s">
        <v>5952</v>
      </c>
      <c r="G244" s="41">
        <v>3.6612</v>
      </c>
      <c r="H244" s="40"/>
      <c r="I244" s="41"/>
      <c r="J244" s="41">
        <f t="shared" si="0"/>
        <v>3.8355999999999999</v>
      </c>
      <c r="K244" s="42" t="s">
        <v>5796</v>
      </c>
      <c r="L244" s="39">
        <v>4475</v>
      </c>
    </row>
    <row r="245" spans="1:12" ht="11.25" customHeight="1">
      <c r="A245" s="39">
        <v>1486</v>
      </c>
      <c r="B245" s="40" t="s">
        <v>5953</v>
      </c>
      <c r="C245" s="40" t="s">
        <v>10729</v>
      </c>
      <c r="D245" s="40" t="s">
        <v>3931</v>
      </c>
      <c r="E245" s="41">
        <v>529.61</v>
      </c>
      <c r="F245" s="40" t="s">
        <v>3931</v>
      </c>
      <c r="G245" s="41">
        <v>529.54070000000002</v>
      </c>
      <c r="H245" s="40"/>
      <c r="I245" s="41"/>
      <c r="J245" s="41">
        <f t="shared" si="0"/>
        <v>529.57535000000007</v>
      </c>
      <c r="K245" s="42" t="s">
        <v>5796</v>
      </c>
      <c r="L245" s="39">
        <v>1486</v>
      </c>
    </row>
    <row r="246" spans="1:12" ht="11.25" customHeight="1">
      <c r="A246" s="39">
        <v>1056</v>
      </c>
      <c r="B246" s="40" t="s">
        <v>10730</v>
      </c>
      <c r="C246" s="40" t="s">
        <v>10731</v>
      </c>
      <c r="D246" s="40" t="s">
        <v>3010</v>
      </c>
      <c r="E246" s="41">
        <v>1465.1</v>
      </c>
      <c r="F246" s="40" t="s">
        <v>3010</v>
      </c>
      <c r="G246" s="41">
        <v>1466.1007</v>
      </c>
      <c r="H246" s="40"/>
      <c r="I246" s="41"/>
      <c r="J246" s="41">
        <f t="shared" si="0"/>
        <v>1465.6003499999999</v>
      </c>
      <c r="K246" s="42" t="s">
        <v>5796</v>
      </c>
      <c r="L246" s="39">
        <v>1056</v>
      </c>
    </row>
    <row r="247" spans="1:12" ht="11.25" customHeight="1">
      <c r="A247" s="39">
        <v>1370</v>
      </c>
      <c r="B247" s="40" t="s">
        <v>10732</v>
      </c>
      <c r="C247" s="40" t="s">
        <v>10733</v>
      </c>
      <c r="D247" s="40" t="s">
        <v>10734</v>
      </c>
      <c r="E247" s="41">
        <v>686.05</v>
      </c>
      <c r="F247" s="40" t="s">
        <v>3703</v>
      </c>
      <c r="G247" s="41">
        <v>685.76089999999999</v>
      </c>
      <c r="H247" s="40"/>
      <c r="I247" s="41"/>
      <c r="J247" s="41">
        <f t="shared" si="0"/>
        <v>685.90544999999997</v>
      </c>
      <c r="K247" s="42" t="s">
        <v>5796</v>
      </c>
      <c r="L247" s="39">
        <v>1370</v>
      </c>
    </row>
    <row r="248" spans="1:12" ht="11.25" customHeight="1">
      <c r="A248" s="39">
        <v>1896</v>
      </c>
      <c r="B248" s="40" t="s">
        <v>10735</v>
      </c>
      <c r="C248" s="40" t="s">
        <v>10736</v>
      </c>
      <c r="D248" s="40" t="s">
        <v>10737</v>
      </c>
      <c r="E248" s="41">
        <v>222.19</v>
      </c>
      <c r="F248" s="40" t="s">
        <v>4603</v>
      </c>
      <c r="G248" s="41">
        <v>221.6815</v>
      </c>
      <c r="H248" s="40"/>
      <c r="I248" s="41"/>
      <c r="J248" s="41">
        <f t="shared" si="0"/>
        <v>221.93574999999998</v>
      </c>
      <c r="K248" s="42" t="s">
        <v>5796</v>
      </c>
      <c r="L248" s="39">
        <v>1896</v>
      </c>
    </row>
    <row r="249" spans="1:12" ht="11.25" customHeight="1">
      <c r="A249" s="39">
        <v>2433</v>
      </c>
      <c r="B249" s="40" t="s">
        <v>10738</v>
      </c>
      <c r="C249" s="40" t="s">
        <v>10739</v>
      </c>
      <c r="D249" s="40" t="s">
        <v>10740</v>
      </c>
      <c r="E249" s="41">
        <v>92.45</v>
      </c>
      <c r="F249" s="40" t="s">
        <v>5241</v>
      </c>
      <c r="G249" s="41">
        <v>92.567400000000006</v>
      </c>
      <c r="H249" s="40"/>
      <c r="I249" s="41"/>
      <c r="J249" s="41">
        <f t="shared" si="0"/>
        <v>92.508700000000005</v>
      </c>
      <c r="K249" s="42" t="s">
        <v>5796</v>
      </c>
      <c r="L249" s="39">
        <v>2433</v>
      </c>
    </row>
    <row r="250" spans="1:12" ht="11.25" customHeight="1">
      <c r="A250" s="43">
        <v>134</v>
      </c>
      <c r="B250" s="44" t="s">
        <v>10741</v>
      </c>
      <c r="C250" s="44" t="s">
        <v>10742</v>
      </c>
      <c r="D250" s="44" t="s">
        <v>413</v>
      </c>
      <c r="E250" s="45">
        <v>48589.73</v>
      </c>
      <c r="F250" s="44" t="s">
        <v>413</v>
      </c>
      <c r="G250" s="45">
        <v>48605.500699999997</v>
      </c>
      <c r="H250" s="44"/>
      <c r="I250" s="45"/>
      <c r="J250" s="45">
        <f t="shared" si="0"/>
        <v>48597.61535</v>
      </c>
      <c r="K250" s="46" t="s">
        <v>5800</v>
      </c>
      <c r="L250" s="43">
        <v>134</v>
      </c>
    </row>
    <row r="251" spans="1:12" ht="11.25" customHeight="1">
      <c r="A251" s="39">
        <v>2005</v>
      </c>
      <c r="B251" s="40" t="s">
        <v>10743</v>
      </c>
      <c r="C251" s="40" t="s">
        <v>10744</v>
      </c>
      <c r="D251" s="40" t="s">
        <v>4750</v>
      </c>
      <c r="E251" s="41">
        <v>186.31</v>
      </c>
      <c r="F251" s="40" t="s">
        <v>4750</v>
      </c>
      <c r="G251" s="41">
        <v>186.33179999999999</v>
      </c>
      <c r="H251" s="40"/>
      <c r="I251" s="41"/>
      <c r="J251" s="41">
        <f t="shared" si="0"/>
        <v>186.32089999999999</v>
      </c>
      <c r="K251" s="42" t="s">
        <v>5796</v>
      </c>
      <c r="L251" s="39">
        <v>2005</v>
      </c>
    </row>
    <row r="252" spans="1:12" ht="11.25" customHeight="1">
      <c r="A252" s="39">
        <v>704</v>
      </c>
      <c r="B252" s="40" t="s">
        <v>10745</v>
      </c>
      <c r="C252" s="40" t="s">
        <v>10746</v>
      </c>
      <c r="D252" s="40" t="s">
        <v>2066</v>
      </c>
      <c r="E252" s="41">
        <v>3878.16</v>
      </c>
      <c r="F252" s="40" t="s">
        <v>2066</v>
      </c>
      <c r="G252" s="41">
        <v>3790.8948999999998</v>
      </c>
      <c r="H252" s="40"/>
      <c r="I252" s="41"/>
      <c r="J252" s="41">
        <f t="shared" si="0"/>
        <v>3834.5274499999996</v>
      </c>
      <c r="K252" s="42" t="s">
        <v>5796</v>
      </c>
      <c r="L252" s="39">
        <v>704</v>
      </c>
    </row>
    <row r="253" spans="1:12" ht="11.25" customHeight="1">
      <c r="A253" s="39">
        <v>997</v>
      </c>
      <c r="B253" s="40" t="s">
        <v>10747</v>
      </c>
      <c r="C253" s="40" t="s">
        <v>10748</v>
      </c>
      <c r="D253" s="40" t="s">
        <v>2854</v>
      </c>
      <c r="E253" s="41">
        <v>1719.9</v>
      </c>
      <c r="F253" s="40" t="s">
        <v>2854</v>
      </c>
      <c r="G253" s="41">
        <v>1719.6142</v>
      </c>
      <c r="H253" s="40"/>
      <c r="I253" s="41"/>
      <c r="J253" s="41">
        <f t="shared" si="0"/>
        <v>1719.7571</v>
      </c>
      <c r="K253" s="42" t="s">
        <v>5796</v>
      </c>
      <c r="L253" s="39">
        <v>997</v>
      </c>
    </row>
    <row r="254" spans="1:12" ht="11.25" customHeight="1">
      <c r="A254" s="47">
        <v>8</v>
      </c>
      <c r="B254" s="48" t="s">
        <v>10749</v>
      </c>
      <c r="C254" s="48" t="s">
        <v>10750</v>
      </c>
      <c r="D254" s="48" t="s">
        <v>30</v>
      </c>
      <c r="E254" s="49">
        <v>538739.12000102142</v>
      </c>
      <c r="F254" s="48" t="s">
        <v>30</v>
      </c>
      <c r="G254" s="49">
        <v>537675.96779999998</v>
      </c>
      <c r="H254" s="48"/>
      <c r="I254" s="49"/>
      <c r="J254" s="49">
        <f t="shared" si="0"/>
        <v>538207.54390051076</v>
      </c>
      <c r="K254" s="50" t="s">
        <v>5815</v>
      </c>
      <c r="L254" s="47">
        <v>8</v>
      </c>
    </row>
    <row r="255" spans="1:12" ht="11.25" customHeight="1">
      <c r="A255" s="43">
        <v>148</v>
      </c>
      <c r="B255" s="44" t="s">
        <v>10751</v>
      </c>
      <c r="C255" s="44" t="s">
        <v>10752</v>
      </c>
      <c r="D255" s="44" t="s">
        <v>455</v>
      </c>
      <c r="E255" s="45">
        <v>44810.67</v>
      </c>
      <c r="F255" s="44" t="s">
        <v>455</v>
      </c>
      <c r="G255" s="45">
        <v>44814.436199999996</v>
      </c>
      <c r="H255" s="44"/>
      <c r="I255" s="45"/>
      <c r="J255" s="45">
        <f t="shared" si="0"/>
        <v>44812.553099999997</v>
      </c>
      <c r="K255" s="46" t="s">
        <v>5800</v>
      </c>
      <c r="L255" s="43">
        <v>148</v>
      </c>
    </row>
    <row r="256" spans="1:12" ht="11.25" customHeight="1">
      <c r="A256" s="39">
        <v>1166</v>
      </c>
      <c r="B256" s="40" t="s">
        <v>10753</v>
      </c>
      <c r="C256" s="40" t="s">
        <v>10754</v>
      </c>
      <c r="D256" s="40" t="s">
        <v>3268</v>
      </c>
      <c r="E256" s="41">
        <v>1118.8499999999999</v>
      </c>
      <c r="F256" s="40" t="s">
        <v>3268</v>
      </c>
      <c r="G256" s="41">
        <v>1118.5255</v>
      </c>
      <c r="H256" s="40"/>
      <c r="I256" s="41"/>
      <c r="J256" s="41">
        <f t="shared" si="0"/>
        <v>1118.6877500000001</v>
      </c>
      <c r="K256" s="42" t="s">
        <v>5796</v>
      </c>
      <c r="L256" s="39">
        <v>1166</v>
      </c>
    </row>
    <row r="257" spans="1:12" ht="11.25" customHeight="1">
      <c r="A257" s="39">
        <v>354</v>
      </c>
      <c r="B257" s="40" t="s">
        <v>10755</v>
      </c>
      <c r="C257" s="40" t="s">
        <v>10756</v>
      </c>
      <c r="D257" s="40" t="s">
        <v>1070</v>
      </c>
      <c r="E257" s="41">
        <v>12336.17</v>
      </c>
      <c r="F257" s="40" t="s">
        <v>1070</v>
      </c>
      <c r="G257" s="41">
        <v>12333.504800000001</v>
      </c>
      <c r="H257" s="40"/>
      <c r="I257" s="41"/>
      <c r="J257" s="41">
        <f t="shared" si="0"/>
        <v>12334.8374</v>
      </c>
      <c r="K257" s="42" t="s">
        <v>5796</v>
      </c>
      <c r="L257" s="39">
        <v>354</v>
      </c>
    </row>
    <row r="258" spans="1:12" ht="11.25" customHeight="1">
      <c r="A258" s="39">
        <v>1765</v>
      </c>
      <c r="B258" s="40" t="s">
        <v>10757</v>
      </c>
      <c r="C258" s="40" t="s">
        <v>10758</v>
      </c>
      <c r="D258" s="40" t="s">
        <v>4429</v>
      </c>
      <c r="E258" s="41">
        <v>291.51</v>
      </c>
      <c r="F258" s="40" t="s">
        <v>4429</v>
      </c>
      <c r="G258" s="41">
        <v>291.12490000000003</v>
      </c>
      <c r="H258" s="40"/>
      <c r="I258" s="41"/>
      <c r="J258" s="41">
        <f t="shared" ref="J258:J512" si="1">AVERAGE(E258,G258,I258)</f>
        <v>291.31745000000001</v>
      </c>
      <c r="K258" s="42" t="s">
        <v>5796</v>
      </c>
      <c r="L258" s="39">
        <v>1765</v>
      </c>
    </row>
    <row r="259" spans="1:12" ht="11.25" customHeight="1">
      <c r="A259" s="39">
        <v>2826</v>
      </c>
      <c r="B259" s="40" t="s">
        <v>10759</v>
      </c>
      <c r="C259" s="40" t="s">
        <v>10760</v>
      </c>
      <c r="D259" s="40" t="s">
        <v>5481</v>
      </c>
      <c r="E259" s="41">
        <v>49.54</v>
      </c>
      <c r="F259" s="40" t="s">
        <v>5481</v>
      </c>
      <c r="G259" s="41">
        <v>49.318300000000001</v>
      </c>
      <c r="H259" s="40"/>
      <c r="I259" s="41"/>
      <c r="J259" s="41">
        <f t="shared" si="1"/>
        <v>49.42915</v>
      </c>
      <c r="K259" s="42" t="s">
        <v>5796</v>
      </c>
      <c r="L259" s="39">
        <v>2826</v>
      </c>
    </row>
    <row r="260" spans="1:12" ht="11.25" customHeight="1">
      <c r="A260" s="43">
        <v>204</v>
      </c>
      <c r="B260" s="44" t="s">
        <v>10761</v>
      </c>
      <c r="C260" s="44" t="s">
        <v>10762</v>
      </c>
      <c r="D260" s="44" t="s">
        <v>623</v>
      </c>
      <c r="E260" s="45">
        <v>30154.959999999999</v>
      </c>
      <c r="F260" s="44" t="s">
        <v>623</v>
      </c>
      <c r="G260" s="45">
        <v>30159.846600000001</v>
      </c>
      <c r="H260" s="44"/>
      <c r="I260" s="45"/>
      <c r="J260" s="45">
        <f t="shared" si="1"/>
        <v>30157.403299999998</v>
      </c>
      <c r="K260" s="46" t="s">
        <v>5800</v>
      </c>
      <c r="L260" s="43">
        <v>204</v>
      </c>
    </row>
    <row r="261" spans="1:12" ht="11.25" customHeight="1">
      <c r="A261" s="39">
        <v>2511</v>
      </c>
      <c r="B261" s="40" t="s">
        <v>10763</v>
      </c>
      <c r="C261" s="40" t="s">
        <v>10764</v>
      </c>
      <c r="D261" s="40" t="s">
        <v>5298</v>
      </c>
      <c r="E261" s="41">
        <v>79.69</v>
      </c>
      <c r="F261" s="40" t="s">
        <v>5298</v>
      </c>
      <c r="G261" s="41">
        <v>79.659599999999998</v>
      </c>
      <c r="H261" s="40"/>
      <c r="I261" s="41"/>
      <c r="J261" s="41">
        <f t="shared" si="1"/>
        <v>79.674800000000005</v>
      </c>
      <c r="K261" s="42" t="s">
        <v>5796</v>
      </c>
      <c r="L261" s="39">
        <v>2511</v>
      </c>
    </row>
    <row r="262" spans="1:12" ht="11.25" customHeight="1">
      <c r="A262" s="39">
        <v>1289</v>
      </c>
      <c r="B262" s="40" t="s">
        <v>10765</v>
      </c>
      <c r="C262" s="40" t="s">
        <v>10766</v>
      </c>
      <c r="D262" s="40" t="s">
        <v>3544</v>
      </c>
      <c r="E262" s="41">
        <v>822.57</v>
      </c>
      <c r="F262" s="40" t="s">
        <v>3544</v>
      </c>
      <c r="G262" s="41">
        <v>822.56129999999996</v>
      </c>
      <c r="H262" s="40"/>
      <c r="I262" s="41"/>
      <c r="J262" s="41">
        <f t="shared" si="1"/>
        <v>822.56565000000001</v>
      </c>
      <c r="K262" s="42" t="s">
        <v>5796</v>
      </c>
      <c r="L262" s="39">
        <v>1289</v>
      </c>
    </row>
    <row r="263" spans="1:12" ht="11.25" customHeight="1">
      <c r="A263" s="39">
        <v>420</v>
      </c>
      <c r="B263" s="40" t="s">
        <v>10767</v>
      </c>
      <c r="C263" s="40" t="s">
        <v>10768</v>
      </c>
      <c r="D263" s="40" t="s">
        <v>1262</v>
      </c>
      <c r="E263" s="41">
        <v>9701.75</v>
      </c>
      <c r="F263" s="40" t="s">
        <v>1262</v>
      </c>
      <c r="G263" s="41">
        <v>9706.6761000000006</v>
      </c>
      <c r="H263" s="40"/>
      <c r="I263" s="41"/>
      <c r="J263" s="41">
        <f t="shared" si="1"/>
        <v>9704.2130500000003</v>
      </c>
      <c r="K263" s="42" t="s">
        <v>5796</v>
      </c>
      <c r="L263" s="39">
        <v>420</v>
      </c>
    </row>
    <row r="264" spans="1:12" ht="11.25" customHeight="1">
      <c r="A264" s="39">
        <v>1527</v>
      </c>
      <c r="B264" s="40" t="s">
        <v>10769</v>
      </c>
      <c r="C264" s="40" t="s">
        <v>10770</v>
      </c>
      <c r="D264" s="40" t="s">
        <v>4018</v>
      </c>
      <c r="E264" s="41">
        <v>474.04</v>
      </c>
      <c r="F264" s="40" t="s">
        <v>4018</v>
      </c>
      <c r="G264" s="41">
        <v>474.11900000000003</v>
      </c>
      <c r="H264" s="40"/>
      <c r="I264" s="41"/>
      <c r="J264" s="41">
        <f t="shared" si="1"/>
        <v>474.07950000000005</v>
      </c>
      <c r="K264" s="42" t="s">
        <v>5796</v>
      </c>
      <c r="L264" s="39">
        <v>1527</v>
      </c>
    </row>
    <row r="265" spans="1:12" ht="11.25" customHeight="1">
      <c r="A265" s="39">
        <v>4207</v>
      </c>
      <c r="B265" s="40" t="s">
        <v>5967</v>
      </c>
      <c r="C265" s="40" t="s">
        <v>10771</v>
      </c>
      <c r="D265" s="40" t="s">
        <v>5775</v>
      </c>
      <c r="E265" s="41">
        <v>6.13</v>
      </c>
      <c r="F265" s="40" t="s">
        <v>5775</v>
      </c>
      <c r="G265" s="41">
        <v>6.1041999999999996</v>
      </c>
      <c r="H265" s="40"/>
      <c r="I265" s="41"/>
      <c r="J265" s="41">
        <f t="shared" si="1"/>
        <v>6.1170999999999998</v>
      </c>
      <c r="K265" s="42" t="s">
        <v>5796</v>
      </c>
      <c r="L265" s="39">
        <v>4207</v>
      </c>
    </row>
    <row r="266" spans="1:12" ht="11.25" customHeight="1">
      <c r="A266" s="39">
        <v>1366</v>
      </c>
      <c r="B266" s="40" t="s">
        <v>10772</v>
      </c>
      <c r="C266" s="40" t="s">
        <v>10773</v>
      </c>
      <c r="D266" s="40" t="s">
        <v>3697</v>
      </c>
      <c r="E266" s="41">
        <v>692.3</v>
      </c>
      <c r="F266" s="40" t="s">
        <v>3697</v>
      </c>
      <c r="G266" s="41">
        <v>692.32640000000004</v>
      </c>
      <c r="H266" s="40"/>
      <c r="I266" s="41"/>
      <c r="J266" s="41">
        <f t="shared" si="1"/>
        <v>692.31320000000005</v>
      </c>
      <c r="K266" s="42" t="s">
        <v>5796</v>
      </c>
      <c r="L266" s="39">
        <v>1366</v>
      </c>
    </row>
    <row r="267" spans="1:12" ht="11.25" customHeight="1">
      <c r="A267" s="39">
        <v>2296</v>
      </c>
      <c r="B267" s="40" t="s">
        <v>10774</v>
      </c>
      <c r="C267" s="40" t="s">
        <v>10775</v>
      </c>
      <c r="D267" s="40" t="s">
        <v>5128</v>
      </c>
      <c r="E267" s="41">
        <v>112.39</v>
      </c>
      <c r="F267" s="40" t="s">
        <v>5128</v>
      </c>
      <c r="G267" s="41">
        <v>112.3451</v>
      </c>
      <c r="H267" s="40"/>
      <c r="I267" s="41"/>
      <c r="J267" s="41">
        <f t="shared" si="1"/>
        <v>112.36754999999999</v>
      </c>
      <c r="K267" s="42" t="s">
        <v>5796</v>
      </c>
      <c r="L267" s="39">
        <v>2296</v>
      </c>
    </row>
    <row r="268" spans="1:12" ht="11.25" customHeight="1">
      <c r="A268" s="39">
        <v>1187</v>
      </c>
      <c r="B268" s="40" t="s">
        <v>10776</v>
      </c>
      <c r="C268" s="40" t="s">
        <v>10777</v>
      </c>
      <c r="D268" s="40" t="s">
        <v>3316</v>
      </c>
      <c r="E268" s="41">
        <v>1074.94</v>
      </c>
      <c r="F268" s="40" t="s">
        <v>3316</v>
      </c>
      <c r="G268" s="41">
        <v>1074.4947</v>
      </c>
      <c r="H268" s="40"/>
      <c r="I268" s="41"/>
      <c r="J268" s="41">
        <f t="shared" si="1"/>
        <v>1074.7173499999999</v>
      </c>
      <c r="K268" s="42" t="s">
        <v>5796</v>
      </c>
      <c r="L268" s="39">
        <v>1187</v>
      </c>
    </row>
    <row r="269" spans="1:12" ht="11.25" customHeight="1">
      <c r="A269" s="39">
        <v>1118</v>
      </c>
      <c r="B269" s="40" t="s">
        <v>10778</v>
      </c>
      <c r="C269" s="40" t="s">
        <v>10779</v>
      </c>
      <c r="D269" s="40" t="s">
        <v>3157</v>
      </c>
      <c r="E269" s="41">
        <v>1282.08</v>
      </c>
      <c r="F269" s="40" t="s">
        <v>3157</v>
      </c>
      <c r="G269" s="41">
        <v>1282.19</v>
      </c>
      <c r="H269" s="40"/>
      <c r="I269" s="41"/>
      <c r="J269" s="41">
        <f t="shared" si="1"/>
        <v>1282.135</v>
      </c>
      <c r="K269" s="42" t="s">
        <v>5796</v>
      </c>
      <c r="L269" s="39">
        <v>1118</v>
      </c>
    </row>
    <row r="270" spans="1:12" ht="11.25" customHeight="1">
      <c r="A270" s="39">
        <v>388</v>
      </c>
      <c r="B270" s="40" t="s">
        <v>10780</v>
      </c>
      <c r="C270" s="40" t="s">
        <v>10781</v>
      </c>
      <c r="D270" s="40" t="s">
        <v>1169</v>
      </c>
      <c r="E270" s="41">
        <v>10753.93</v>
      </c>
      <c r="F270" s="40" t="s">
        <v>1169</v>
      </c>
      <c r="G270" s="41">
        <v>10753.2261</v>
      </c>
      <c r="H270" s="40" t="s">
        <v>1169</v>
      </c>
      <c r="I270" s="41">
        <v>10748.180956676606</v>
      </c>
      <c r="J270" s="41">
        <f t="shared" si="1"/>
        <v>10751.779018892203</v>
      </c>
      <c r="K270" s="42" t="s">
        <v>5796</v>
      </c>
      <c r="L270" s="39">
        <v>388</v>
      </c>
    </row>
    <row r="271" spans="1:12" ht="11.25" customHeight="1">
      <c r="A271" s="39">
        <v>4161</v>
      </c>
      <c r="B271" s="40" t="s">
        <v>10782</v>
      </c>
      <c r="C271" s="40" t="s">
        <v>10783</v>
      </c>
      <c r="D271" s="40" t="s">
        <v>5772</v>
      </c>
      <c r="E271" s="41">
        <v>4.96</v>
      </c>
      <c r="F271" s="40" t="s">
        <v>5772</v>
      </c>
      <c r="G271" s="41">
        <v>8.3648000000000007</v>
      </c>
      <c r="H271" s="40"/>
      <c r="I271" s="41"/>
      <c r="J271" s="41">
        <f t="shared" si="1"/>
        <v>6.6623999999999999</v>
      </c>
      <c r="K271" s="42" t="s">
        <v>5796</v>
      </c>
      <c r="L271" s="39">
        <v>4161</v>
      </c>
    </row>
    <row r="272" spans="1:12" ht="11.25" customHeight="1">
      <c r="A272" s="39">
        <v>4113</v>
      </c>
      <c r="B272" s="40" t="s">
        <v>10784</v>
      </c>
      <c r="C272" s="40" t="s">
        <v>10785</v>
      </c>
      <c r="D272" s="40" t="s">
        <v>5972</v>
      </c>
      <c r="E272" s="41">
        <v>6.14</v>
      </c>
      <c r="F272" s="40" t="s">
        <v>5972</v>
      </c>
      <c r="G272" s="41">
        <v>8.1656999999999993</v>
      </c>
      <c r="H272" s="40"/>
      <c r="I272" s="41"/>
      <c r="J272" s="41">
        <f t="shared" si="1"/>
        <v>7.152849999999999</v>
      </c>
      <c r="K272" s="42" t="s">
        <v>5796</v>
      </c>
      <c r="L272" s="39">
        <v>4113</v>
      </c>
    </row>
    <row r="273" spans="1:12" ht="11.25" customHeight="1">
      <c r="A273" s="39">
        <v>302</v>
      </c>
      <c r="B273" s="40" t="s">
        <v>10786</v>
      </c>
      <c r="C273" s="40" t="s">
        <v>10787</v>
      </c>
      <c r="D273" s="40" t="s">
        <v>917</v>
      </c>
      <c r="E273" s="41">
        <v>16177.59</v>
      </c>
      <c r="F273" s="40" t="s">
        <v>917</v>
      </c>
      <c r="G273" s="41">
        <v>16186.325000000001</v>
      </c>
      <c r="H273" s="40"/>
      <c r="I273" s="41"/>
      <c r="J273" s="41">
        <f t="shared" si="1"/>
        <v>16181.9575</v>
      </c>
      <c r="K273" s="42" t="s">
        <v>5796</v>
      </c>
      <c r="L273" s="39">
        <v>302</v>
      </c>
    </row>
    <row r="274" spans="1:12" ht="11.25" customHeight="1">
      <c r="A274" s="39">
        <v>548</v>
      </c>
      <c r="B274" s="40" t="s">
        <v>10788</v>
      </c>
      <c r="C274" s="40" t="s">
        <v>10789</v>
      </c>
      <c r="D274" s="40" t="s">
        <v>1625</v>
      </c>
      <c r="E274" s="41">
        <v>6420.74</v>
      </c>
      <c r="F274" s="40" t="s">
        <v>1625</v>
      </c>
      <c r="G274" s="41">
        <v>6430.4691000000003</v>
      </c>
      <c r="H274" s="40"/>
      <c r="I274" s="41"/>
      <c r="J274" s="41">
        <f t="shared" si="1"/>
        <v>6425.60455</v>
      </c>
      <c r="K274" s="42" t="s">
        <v>5796</v>
      </c>
      <c r="L274" s="39">
        <v>548</v>
      </c>
    </row>
    <row r="275" spans="1:12" ht="11.25" customHeight="1">
      <c r="A275" s="39">
        <v>294</v>
      </c>
      <c r="B275" s="40" t="s">
        <v>10790</v>
      </c>
      <c r="C275" s="40" t="s">
        <v>10791</v>
      </c>
      <c r="D275" s="40" t="s">
        <v>893</v>
      </c>
      <c r="E275" s="41">
        <v>17242.14</v>
      </c>
      <c r="F275" s="40" t="s">
        <v>893</v>
      </c>
      <c r="G275" s="41">
        <v>17062.231899999999</v>
      </c>
      <c r="H275" s="40"/>
      <c r="I275" s="41"/>
      <c r="J275" s="41">
        <f t="shared" si="1"/>
        <v>17152.185949999999</v>
      </c>
      <c r="K275" s="42" t="s">
        <v>5796</v>
      </c>
      <c r="L275" s="39">
        <v>294</v>
      </c>
    </row>
    <row r="276" spans="1:12" ht="11.25" customHeight="1">
      <c r="A276" s="39">
        <v>1232</v>
      </c>
      <c r="B276" s="40" t="s">
        <v>10792</v>
      </c>
      <c r="C276" s="40" t="s">
        <v>10793</v>
      </c>
      <c r="D276" s="40" t="s">
        <v>3427</v>
      </c>
      <c r="E276" s="41">
        <v>972</v>
      </c>
      <c r="F276" s="40" t="s">
        <v>3427</v>
      </c>
      <c r="G276" s="41">
        <v>971.83090000000004</v>
      </c>
      <c r="H276" s="40"/>
      <c r="I276" s="41"/>
      <c r="J276" s="41">
        <f t="shared" si="1"/>
        <v>971.91544999999996</v>
      </c>
      <c r="K276" s="42" t="s">
        <v>5796</v>
      </c>
      <c r="L276" s="39">
        <v>1232</v>
      </c>
    </row>
    <row r="277" spans="1:12" ht="11.25" customHeight="1">
      <c r="A277" s="39">
        <v>2598</v>
      </c>
      <c r="B277" s="40" t="s">
        <v>10794</v>
      </c>
      <c r="C277" s="40" t="s">
        <v>10795</v>
      </c>
      <c r="D277" s="40"/>
      <c r="E277" s="41"/>
      <c r="F277" s="40" t="s">
        <v>5382</v>
      </c>
      <c r="G277" s="41">
        <v>69.250699999999995</v>
      </c>
      <c r="H277" s="40"/>
      <c r="I277" s="41"/>
      <c r="J277" s="41">
        <f t="shared" si="1"/>
        <v>69.250699999999995</v>
      </c>
      <c r="K277" s="42" t="s">
        <v>5796</v>
      </c>
      <c r="L277" s="39">
        <v>2598</v>
      </c>
    </row>
    <row r="278" spans="1:12" ht="11.25" customHeight="1">
      <c r="A278" s="39">
        <v>795</v>
      </c>
      <c r="B278" s="40" t="s">
        <v>10796</v>
      </c>
      <c r="C278" s="40" t="s">
        <v>10797</v>
      </c>
      <c r="D278" s="40" t="s">
        <v>2314</v>
      </c>
      <c r="E278" s="41">
        <v>2915.05</v>
      </c>
      <c r="F278" s="40" t="s">
        <v>2314</v>
      </c>
      <c r="G278" s="41">
        <v>2915.3649999999998</v>
      </c>
      <c r="H278" s="40"/>
      <c r="I278" s="41"/>
      <c r="J278" s="41">
        <f t="shared" si="1"/>
        <v>2915.2075</v>
      </c>
      <c r="K278" s="42" t="s">
        <v>5796</v>
      </c>
      <c r="L278" s="39">
        <v>795</v>
      </c>
    </row>
    <row r="279" spans="1:12" ht="11.25" customHeight="1">
      <c r="A279" s="39">
        <v>665</v>
      </c>
      <c r="B279" s="40" t="s">
        <v>10798</v>
      </c>
      <c r="C279" s="40" t="s">
        <v>10799</v>
      </c>
      <c r="D279" s="40" t="s">
        <v>1952</v>
      </c>
      <c r="E279" s="41">
        <v>4656.37</v>
      </c>
      <c r="F279" s="40" t="s">
        <v>1952</v>
      </c>
      <c r="G279" s="41">
        <v>3955.9115999999999</v>
      </c>
      <c r="H279" s="40"/>
      <c r="I279" s="41"/>
      <c r="J279" s="41">
        <f t="shared" si="1"/>
        <v>4306.1408000000001</v>
      </c>
      <c r="K279" s="42" t="s">
        <v>5796</v>
      </c>
      <c r="L279" s="39">
        <v>665</v>
      </c>
    </row>
    <row r="280" spans="1:12" ht="11.25" customHeight="1">
      <c r="A280" s="39">
        <v>581</v>
      </c>
      <c r="B280" s="40" t="s">
        <v>1716</v>
      </c>
      <c r="C280" s="40" t="s">
        <v>10800</v>
      </c>
      <c r="D280" s="40" t="s">
        <v>1718</v>
      </c>
      <c r="E280" s="41">
        <v>5784.2</v>
      </c>
      <c r="F280" s="40" t="s">
        <v>1718</v>
      </c>
      <c r="G280" s="41">
        <v>5784.6782000000003</v>
      </c>
      <c r="H280" s="40"/>
      <c r="I280" s="41"/>
      <c r="J280" s="41">
        <f t="shared" si="1"/>
        <v>5784.4390999999996</v>
      </c>
      <c r="K280" s="42" t="s">
        <v>5796</v>
      </c>
      <c r="L280" s="39">
        <v>581</v>
      </c>
    </row>
    <row r="281" spans="1:12" ht="11.25" customHeight="1">
      <c r="A281" s="43">
        <v>108</v>
      </c>
      <c r="B281" s="44" t="s">
        <v>10801</v>
      </c>
      <c r="C281" s="44" t="s">
        <v>10802</v>
      </c>
      <c r="D281" s="44" t="s">
        <v>338</v>
      </c>
      <c r="E281" s="45">
        <v>58205.120000000003</v>
      </c>
      <c r="F281" s="44" t="s">
        <v>338</v>
      </c>
      <c r="G281" s="45">
        <v>58212.135999999999</v>
      </c>
      <c r="H281" s="44"/>
      <c r="I281" s="45"/>
      <c r="J281" s="45">
        <f t="shared" si="1"/>
        <v>58208.627999999997</v>
      </c>
      <c r="K281" s="46" t="s">
        <v>5800</v>
      </c>
      <c r="L281" s="43">
        <v>108</v>
      </c>
    </row>
    <row r="282" spans="1:12" ht="11.25" customHeight="1">
      <c r="A282" s="47">
        <v>74</v>
      </c>
      <c r="B282" s="48" t="s">
        <v>10803</v>
      </c>
      <c r="C282" s="48" t="s">
        <v>10804</v>
      </c>
      <c r="D282" s="48" t="s">
        <v>236</v>
      </c>
      <c r="E282" s="49">
        <v>82510.759999999995</v>
      </c>
      <c r="F282" s="48" t="s">
        <v>236</v>
      </c>
      <c r="G282" s="49">
        <v>82523.360199999996</v>
      </c>
      <c r="H282" s="48"/>
      <c r="I282" s="49"/>
      <c r="J282" s="49">
        <f t="shared" si="1"/>
        <v>82517.060100000002</v>
      </c>
      <c r="K282" s="50" t="s">
        <v>5815</v>
      </c>
      <c r="L282" s="47">
        <v>74</v>
      </c>
    </row>
    <row r="283" spans="1:12" ht="11.25" customHeight="1">
      <c r="A283" s="39">
        <v>1637</v>
      </c>
      <c r="B283" s="40" t="s">
        <v>10805</v>
      </c>
      <c r="C283" s="40" t="s">
        <v>10806</v>
      </c>
      <c r="D283" s="40" t="s">
        <v>4225</v>
      </c>
      <c r="E283" s="41">
        <v>375.88</v>
      </c>
      <c r="F283" s="40" t="s">
        <v>4225</v>
      </c>
      <c r="G283" s="41">
        <v>375.44260000000003</v>
      </c>
      <c r="H283" s="40"/>
      <c r="I283" s="41"/>
      <c r="J283" s="41">
        <f t="shared" si="1"/>
        <v>375.66129999999998</v>
      </c>
      <c r="K283" s="42" t="s">
        <v>5796</v>
      </c>
      <c r="L283" s="39">
        <v>1637</v>
      </c>
    </row>
    <row r="284" spans="1:12" ht="11.25" customHeight="1">
      <c r="A284" s="39">
        <v>311</v>
      </c>
      <c r="B284" s="40" t="s">
        <v>10807</v>
      </c>
      <c r="C284" s="40" t="s">
        <v>10808</v>
      </c>
      <c r="D284" s="40" t="s">
        <v>944</v>
      </c>
      <c r="E284" s="41">
        <v>15129.43</v>
      </c>
      <c r="F284" s="40" t="s">
        <v>944</v>
      </c>
      <c r="G284" s="41">
        <v>15131.7302</v>
      </c>
      <c r="H284" s="40"/>
      <c r="I284" s="41"/>
      <c r="J284" s="41">
        <f t="shared" si="1"/>
        <v>15130.580099999999</v>
      </c>
      <c r="K284" s="42" t="s">
        <v>5796</v>
      </c>
      <c r="L284" s="39">
        <v>311</v>
      </c>
    </row>
    <row r="285" spans="1:12" ht="11.25" customHeight="1">
      <c r="A285" s="47">
        <v>51</v>
      </c>
      <c r="B285" s="48" t="s">
        <v>10809</v>
      </c>
      <c r="C285" s="48" t="s">
        <v>10810</v>
      </c>
      <c r="D285" s="48" t="s">
        <v>164</v>
      </c>
      <c r="E285" s="49">
        <v>113973.42</v>
      </c>
      <c r="F285" s="48" t="s">
        <v>164</v>
      </c>
      <c r="G285" s="49">
        <v>113992.3585</v>
      </c>
      <c r="H285" s="48"/>
      <c r="I285" s="49"/>
      <c r="J285" s="49">
        <f t="shared" si="1"/>
        <v>113982.88925000001</v>
      </c>
      <c r="K285" s="50" t="s">
        <v>5815</v>
      </c>
      <c r="L285" s="47">
        <v>51</v>
      </c>
    </row>
    <row r="286" spans="1:12" ht="11.25" customHeight="1">
      <c r="A286" s="39">
        <v>1707</v>
      </c>
      <c r="B286" s="40" t="s">
        <v>10811</v>
      </c>
      <c r="C286" s="40" t="s">
        <v>10812</v>
      </c>
      <c r="D286" s="40" t="s">
        <v>4348</v>
      </c>
      <c r="E286" s="41">
        <v>327.61</v>
      </c>
      <c r="F286" s="40" t="s">
        <v>4348</v>
      </c>
      <c r="G286" s="41">
        <v>327.41520000000003</v>
      </c>
      <c r="H286" s="40"/>
      <c r="I286" s="41"/>
      <c r="J286" s="41">
        <f t="shared" si="1"/>
        <v>327.51260000000002</v>
      </c>
      <c r="K286" s="42" t="s">
        <v>5796</v>
      </c>
      <c r="L286" s="39">
        <v>1707</v>
      </c>
    </row>
    <row r="287" spans="1:12" ht="11.25" customHeight="1">
      <c r="A287" s="39">
        <v>1787</v>
      </c>
      <c r="B287" s="40" t="s">
        <v>5982</v>
      </c>
      <c r="C287" s="40" t="s">
        <v>10813</v>
      </c>
      <c r="D287" s="40" t="s">
        <v>4462</v>
      </c>
      <c r="E287" s="41">
        <v>275.68</v>
      </c>
      <c r="F287" s="40" t="s">
        <v>4462</v>
      </c>
      <c r="G287" s="41">
        <v>276.61529999999999</v>
      </c>
      <c r="H287" s="40"/>
      <c r="I287" s="41"/>
      <c r="J287" s="41">
        <f t="shared" si="1"/>
        <v>276.14765</v>
      </c>
      <c r="K287" s="42" t="s">
        <v>5796</v>
      </c>
      <c r="L287" s="39">
        <v>1787</v>
      </c>
    </row>
    <row r="288" spans="1:12" ht="11.25" customHeight="1">
      <c r="A288" s="39">
        <v>268</v>
      </c>
      <c r="B288" s="40" t="s">
        <v>10814</v>
      </c>
      <c r="C288" s="40" t="s">
        <v>10815</v>
      </c>
      <c r="D288" s="40"/>
      <c r="E288" s="41"/>
      <c r="F288" s="40" t="s">
        <v>815</v>
      </c>
      <c r="G288" s="41">
        <v>20017.627899999999</v>
      </c>
      <c r="H288" s="40"/>
      <c r="I288" s="41"/>
      <c r="J288" s="41">
        <f t="shared" si="1"/>
        <v>20017.627899999999</v>
      </c>
      <c r="K288" s="42" t="s">
        <v>5796</v>
      </c>
      <c r="L288" s="39">
        <v>268</v>
      </c>
    </row>
    <row r="289" spans="1:12" ht="11.25" customHeight="1">
      <c r="A289" s="39">
        <v>827</v>
      </c>
      <c r="B289" s="40" t="s">
        <v>10816</v>
      </c>
      <c r="C289" s="40" t="s">
        <v>10817</v>
      </c>
      <c r="D289" s="40"/>
      <c r="E289" s="41"/>
      <c r="F289" s="40" t="s">
        <v>2404</v>
      </c>
      <c r="G289" s="41">
        <v>2661.1163000000001</v>
      </c>
      <c r="H289" s="40"/>
      <c r="I289" s="41"/>
      <c r="J289" s="41">
        <f t="shared" si="1"/>
        <v>2661.1163000000001</v>
      </c>
      <c r="K289" s="42" t="s">
        <v>5796</v>
      </c>
      <c r="L289" s="39">
        <v>827</v>
      </c>
    </row>
    <row r="290" spans="1:12" ht="11.25" customHeight="1">
      <c r="A290" s="39">
        <v>2009</v>
      </c>
      <c r="B290" s="40" t="s">
        <v>10818</v>
      </c>
      <c r="C290" s="40" t="s">
        <v>10819</v>
      </c>
      <c r="D290" s="40" t="s">
        <v>4756</v>
      </c>
      <c r="E290" s="41">
        <v>184.84</v>
      </c>
      <c r="F290" s="40" t="s">
        <v>4756</v>
      </c>
      <c r="G290" s="41">
        <v>185.21090000000001</v>
      </c>
      <c r="H290" s="40"/>
      <c r="I290" s="41"/>
      <c r="J290" s="41">
        <f t="shared" si="1"/>
        <v>185.02545000000001</v>
      </c>
      <c r="K290" s="42" t="s">
        <v>5796</v>
      </c>
      <c r="L290" s="39">
        <v>2009</v>
      </c>
    </row>
    <row r="291" spans="1:12" ht="11.25" customHeight="1">
      <c r="A291" s="39">
        <v>322</v>
      </c>
      <c r="B291" s="40" t="s">
        <v>975</v>
      </c>
      <c r="C291" s="40" t="s">
        <v>10820</v>
      </c>
      <c r="D291" s="40" t="s">
        <v>977</v>
      </c>
      <c r="E291" s="41">
        <v>14474.46</v>
      </c>
      <c r="F291" s="40" t="s">
        <v>977</v>
      </c>
      <c r="G291" s="41">
        <v>14471.138199999999</v>
      </c>
      <c r="H291" s="40"/>
      <c r="I291" s="41"/>
      <c r="J291" s="41">
        <f t="shared" si="1"/>
        <v>14472.7991</v>
      </c>
      <c r="K291" s="42" t="s">
        <v>5796</v>
      </c>
      <c r="L291" s="39">
        <v>322</v>
      </c>
    </row>
    <row r="292" spans="1:12" ht="11.25" customHeight="1">
      <c r="A292" s="39">
        <v>1998</v>
      </c>
      <c r="B292" s="40" t="s">
        <v>5986</v>
      </c>
      <c r="C292" s="40" t="s">
        <v>10821</v>
      </c>
      <c r="D292" s="40" t="s">
        <v>4741</v>
      </c>
      <c r="E292" s="41">
        <v>189.47</v>
      </c>
      <c r="F292" s="40" t="s">
        <v>4741</v>
      </c>
      <c r="G292" s="41">
        <v>188.23609999999999</v>
      </c>
      <c r="H292" s="40"/>
      <c r="I292" s="41"/>
      <c r="J292" s="41">
        <f t="shared" si="1"/>
        <v>188.85305</v>
      </c>
      <c r="K292" s="42" t="s">
        <v>5796</v>
      </c>
      <c r="L292" s="39">
        <v>1998</v>
      </c>
    </row>
    <row r="293" spans="1:12" ht="11.25" customHeight="1">
      <c r="A293" s="39">
        <v>2847</v>
      </c>
      <c r="B293" s="40" t="s">
        <v>10822</v>
      </c>
      <c r="C293" s="40" t="s">
        <v>10823</v>
      </c>
      <c r="D293" s="40" t="s">
        <v>5484</v>
      </c>
      <c r="E293" s="41">
        <v>47.91</v>
      </c>
      <c r="F293" s="40" t="s">
        <v>5484</v>
      </c>
      <c r="G293" s="41">
        <v>47.892800000000001</v>
      </c>
      <c r="H293" s="40"/>
      <c r="I293" s="41"/>
      <c r="J293" s="41">
        <f t="shared" si="1"/>
        <v>47.901399999999995</v>
      </c>
      <c r="K293" s="42" t="s">
        <v>5796</v>
      </c>
      <c r="L293" s="39">
        <v>2847</v>
      </c>
    </row>
    <row r="294" spans="1:12" ht="11.25" customHeight="1">
      <c r="A294" s="39">
        <v>926</v>
      </c>
      <c r="B294" s="40" t="s">
        <v>10824</v>
      </c>
      <c r="C294" s="40" t="s">
        <v>10825</v>
      </c>
      <c r="D294" s="40" t="s">
        <v>2677</v>
      </c>
      <c r="E294" s="41">
        <v>2063.65</v>
      </c>
      <c r="F294" s="40" t="s">
        <v>2677</v>
      </c>
      <c r="G294" s="41">
        <v>2064.404</v>
      </c>
      <c r="H294" s="40"/>
      <c r="I294" s="41"/>
      <c r="J294" s="41">
        <f t="shared" si="1"/>
        <v>2064.027</v>
      </c>
      <c r="K294" s="42" t="s">
        <v>5796</v>
      </c>
      <c r="L294" s="39">
        <v>926</v>
      </c>
    </row>
    <row r="295" spans="1:12" ht="11.25" customHeight="1">
      <c r="A295" s="39">
        <v>2450</v>
      </c>
      <c r="B295" s="40" t="s">
        <v>5987</v>
      </c>
      <c r="C295" s="40" t="s">
        <v>10826</v>
      </c>
      <c r="D295" s="40" t="s">
        <v>5256</v>
      </c>
      <c r="E295" s="41">
        <v>90.24</v>
      </c>
      <c r="F295" s="40" t="s">
        <v>5256</v>
      </c>
      <c r="G295" s="41">
        <v>90.198300000000003</v>
      </c>
      <c r="H295" s="40"/>
      <c r="I295" s="41"/>
      <c r="J295" s="41">
        <f t="shared" si="1"/>
        <v>90.219149999999999</v>
      </c>
      <c r="K295" s="42" t="s">
        <v>5796</v>
      </c>
      <c r="L295" s="39">
        <v>2450</v>
      </c>
    </row>
    <row r="296" spans="1:12" ht="11.25" customHeight="1">
      <c r="A296" s="39">
        <v>2017</v>
      </c>
      <c r="B296" s="40" t="s">
        <v>10827</v>
      </c>
      <c r="C296" s="40" t="s">
        <v>10828</v>
      </c>
      <c r="D296" s="40" t="s">
        <v>10829</v>
      </c>
      <c r="E296" s="41">
        <v>183.28</v>
      </c>
      <c r="F296" s="40" t="s">
        <v>4771</v>
      </c>
      <c r="G296" s="41">
        <v>183.1968</v>
      </c>
      <c r="H296" s="40"/>
      <c r="I296" s="41"/>
      <c r="J296" s="41">
        <f t="shared" si="1"/>
        <v>183.23840000000001</v>
      </c>
      <c r="K296" s="42" t="s">
        <v>5796</v>
      </c>
      <c r="L296" s="39">
        <v>2017</v>
      </c>
    </row>
    <row r="297" spans="1:12" ht="11.25" customHeight="1">
      <c r="A297" s="39">
        <v>3343</v>
      </c>
      <c r="B297" s="40" t="s">
        <v>10830</v>
      </c>
      <c r="C297" s="40" t="s">
        <v>10831</v>
      </c>
      <c r="D297" s="40" t="s">
        <v>5655</v>
      </c>
      <c r="E297" s="41">
        <v>22.92</v>
      </c>
      <c r="F297" s="40" t="s">
        <v>5655</v>
      </c>
      <c r="G297" s="41">
        <v>22.8491</v>
      </c>
      <c r="H297" s="40"/>
      <c r="I297" s="41"/>
      <c r="J297" s="41">
        <f t="shared" si="1"/>
        <v>22.884550000000001</v>
      </c>
      <c r="K297" s="42" t="s">
        <v>5796</v>
      </c>
      <c r="L297" s="39">
        <v>3343</v>
      </c>
    </row>
    <row r="298" spans="1:12" ht="11.25" customHeight="1">
      <c r="A298" s="39">
        <v>847</v>
      </c>
      <c r="B298" s="40" t="s">
        <v>10832</v>
      </c>
      <c r="C298" s="40" t="s">
        <v>10833</v>
      </c>
      <c r="D298" s="40" t="s">
        <v>2461</v>
      </c>
      <c r="E298" s="41">
        <v>2528.62</v>
      </c>
      <c r="F298" s="40" t="s">
        <v>2461</v>
      </c>
      <c r="G298" s="41">
        <v>2528.1902</v>
      </c>
      <c r="H298" s="40"/>
      <c r="I298" s="41"/>
      <c r="J298" s="41">
        <f t="shared" si="1"/>
        <v>2528.4050999999999</v>
      </c>
      <c r="K298" s="42" t="s">
        <v>5796</v>
      </c>
      <c r="L298" s="39">
        <v>847</v>
      </c>
    </row>
    <row r="299" spans="1:12" ht="11.25" customHeight="1">
      <c r="A299" s="39">
        <v>450</v>
      </c>
      <c r="B299" s="40" t="s">
        <v>10834</v>
      </c>
      <c r="C299" s="40" t="s">
        <v>10835</v>
      </c>
      <c r="D299" s="40" t="s">
        <v>1343</v>
      </c>
      <c r="E299" s="41">
        <v>8837.91</v>
      </c>
      <c r="F299" s="40" t="s">
        <v>1343</v>
      </c>
      <c r="G299" s="41">
        <v>8835.5120000000006</v>
      </c>
      <c r="H299" s="40"/>
      <c r="I299" s="41"/>
      <c r="J299" s="41">
        <f t="shared" si="1"/>
        <v>8836.7109999999993</v>
      </c>
      <c r="K299" s="42" t="s">
        <v>5796</v>
      </c>
      <c r="L299" s="39">
        <v>450</v>
      </c>
    </row>
    <row r="300" spans="1:12" ht="11.25" customHeight="1">
      <c r="A300" s="39">
        <v>358</v>
      </c>
      <c r="B300" s="40" t="s">
        <v>10836</v>
      </c>
      <c r="C300" s="40" t="s">
        <v>10837</v>
      </c>
      <c r="D300" s="40" t="s">
        <v>1082</v>
      </c>
      <c r="E300" s="41">
        <v>12258.82</v>
      </c>
      <c r="F300" s="40" t="s">
        <v>1082</v>
      </c>
      <c r="G300" s="41">
        <v>12246.7623</v>
      </c>
      <c r="H300" s="40"/>
      <c r="I300" s="41"/>
      <c r="J300" s="41">
        <f t="shared" si="1"/>
        <v>12252.791150000001</v>
      </c>
      <c r="K300" s="42" t="s">
        <v>5796</v>
      </c>
      <c r="L300" s="39">
        <v>358</v>
      </c>
    </row>
    <row r="301" spans="1:12" ht="11.25" customHeight="1">
      <c r="A301" s="47">
        <v>99</v>
      </c>
      <c r="B301" s="48" t="s">
        <v>10838</v>
      </c>
      <c r="C301" s="48" t="s">
        <v>10839</v>
      </c>
      <c r="D301" s="48" t="s">
        <v>311</v>
      </c>
      <c r="E301" s="49">
        <v>67057.929999999993</v>
      </c>
      <c r="F301" s="48" t="s">
        <v>311</v>
      </c>
      <c r="G301" s="49">
        <v>67069.200100000002</v>
      </c>
      <c r="H301" s="48"/>
      <c r="I301" s="49"/>
      <c r="J301" s="49">
        <f t="shared" si="1"/>
        <v>67063.565050000005</v>
      </c>
      <c r="K301" s="50" t="s">
        <v>5815</v>
      </c>
      <c r="L301" s="47">
        <v>99</v>
      </c>
    </row>
    <row r="302" spans="1:12" ht="11.25" customHeight="1">
      <c r="A302" s="39">
        <v>399</v>
      </c>
      <c r="B302" s="40" t="s">
        <v>10840</v>
      </c>
      <c r="C302" s="40" t="s">
        <v>10841</v>
      </c>
      <c r="D302" s="40" t="s">
        <v>1205</v>
      </c>
      <c r="E302" s="41">
        <v>10207.16</v>
      </c>
      <c r="F302" s="40" t="s">
        <v>1205</v>
      </c>
      <c r="G302" s="41">
        <v>10208.3791</v>
      </c>
      <c r="H302" s="40"/>
      <c r="I302" s="41"/>
      <c r="J302" s="41">
        <f t="shared" si="1"/>
        <v>10207.769550000001</v>
      </c>
      <c r="K302" s="42" t="s">
        <v>5796</v>
      </c>
      <c r="L302" s="39">
        <v>399</v>
      </c>
    </row>
    <row r="303" spans="1:12" ht="11.25" customHeight="1">
      <c r="A303" s="39">
        <v>986</v>
      </c>
      <c r="B303" s="40" t="s">
        <v>5991</v>
      </c>
      <c r="C303" s="40" t="s">
        <v>10842</v>
      </c>
      <c r="D303" s="40" t="s">
        <v>2827</v>
      </c>
      <c r="E303" s="41">
        <v>1769.33</v>
      </c>
      <c r="F303" s="40" t="s">
        <v>2827</v>
      </c>
      <c r="G303" s="41">
        <v>1769.2971</v>
      </c>
      <c r="H303" s="40"/>
      <c r="I303" s="41"/>
      <c r="J303" s="41">
        <f t="shared" si="1"/>
        <v>1769.3135499999999</v>
      </c>
      <c r="K303" s="42" t="s">
        <v>5796</v>
      </c>
      <c r="L303" s="39">
        <v>986</v>
      </c>
    </row>
    <row r="304" spans="1:12" ht="11.25" customHeight="1">
      <c r="A304" s="39">
        <v>1017</v>
      </c>
      <c r="B304" s="40" t="s">
        <v>10843</v>
      </c>
      <c r="C304" s="40" t="s">
        <v>10844</v>
      </c>
      <c r="D304" s="40" t="s">
        <v>2914</v>
      </c>
      <c r="E304" s="41">
        <v>1641</v>
      </c>
      <c r="F304" s="40" t="s">
        <v>2914</v>
      </c>
      <c r="G304" s="41">
        <v>1629.3721</v>
      </c>
      <c r="H304" s="40"/>
      <c r="I304" s="41"/>
      <c r="J304" s="41">
        <f t="shared" si="1"/>
        <v>1635.18605</v>
      </c>
      <c r="K304" s="42" t="s">
        <v>5796</v>
      </c>
      <c r="L304" s="39">
        <v>1017</v>
      </c>
    </row>
    <row r="305" spans="1:12" ht="11.25" customHeight="1">
      <c r="A305" s="39">
        <v>468</v>
      </c>
      <c r="B305" s="40" t="s">
        <v>10845</v>
      </c>
      <c r="C305" s="40" t="s">
        <v>10846</v>
      </c>
      <c r="D305" s="40" t="s">
        <v>10847</v>
      </c>
      <c r="E305" s="41">
        <v>8107.47</v>
      </c>
      <c r="F305" s="40" t="s">
        <v>1394</v>
      </c>
      <c r="G305" s="41">
        <v>8111.0515999999998</v>
      </c>
      <c r="H305" s="40"/>
      <c r="I305" s="41"/>
      <c r="J305" s="41">
        <f t="shared" si="1"/>
        <v>8109.2608</v>
      </c>
      <c r="K305" s="42" t="s">
        <v>5796</v>
      </c>
      <c r="L305" s="39">
        <v>468</v>
      </c>
    </row>
    <row r="306" spans="1:12" ht="11.25" customHeight="1">
      <c r="A306" s="39">
        <v>2104</v>
      </c>
      <c r="B306" s="40" t="s">
        <v>10848</v>
      </c>
      <c r="C306" s="40" t="s">
        <v>10849</v>
      </c>
      <c r="D306" s="40" t="s">
        <v>10850</v>
      </c>
      <c r="E306" s="41">
        <v>159.4</v>
      </c>
      <c r="F306" s="40" t="s">
        <v>4885</v>
      </c>
      <c r="G306" s="41">
        <v>159.3391</v>
      </c>
      <c r="H306" s="40"/>
      <c r="I306" s="41"/>
      <c r="J306" s="41">
        <f t="shared" si="1"/>
        <v>159.36955</v>
      </c>
      <c r="K306" s="42" t="s">
        <v>5796</v>
      </c>
      <c r="L306" s="39">
        <v>2104</v>
      </c>
    </row>
    <row r="307" spans="1:12" ht="11.25" customHeight="1">
      <c r="A307" s="39">
        <v>252</v>
      </c>
      <c r="B307" s="40" t="s">
        <v>10851</v>
      </c>
      <c r="C307" s="40" t="s">
        <v>10852</v>
      </c>
      <c r="D307" s="40" t="s">
        <v>764</v>
      </c>
      <c r="E307" s="41">
        <v>21929.87</v>
      </c>
      <c r="F307" s="40" t="s">
        <v>764</v>
      </c>
      <c r="G307" s="41">
        <v>21934.684399999998</v>
      </c>
      <c r="H307" s="40"/>
      <c r="I307" s="41"/>
      <c r="J307" s="41">
        <f t="shared" si="1"/>
        <v>21932.277199999997</v>
      </c>
      <c r="K307" s="42" t="s">
        <v>5796</v>
      </c>
      <c r="L307" s="39">
        <v>252</v>
      </c>
    </row>
    <row r="308" spans="1:12" ht="11.25" customHeight="1">
      <c r="A308" s="39">
        <v>1644</v>
      </c>
      <c r="B308" s="40" t="s">
        <v>10853</v>
      </c>
      <c r="C308" s="40" t="s">
        <v>10854</v>
      </c>
      <c r="D308" s="40" t="s">
        <v>4234</v>
      </c>
      <c r="E308" s="41">
        <v>371.91</v>
      </c>
      <c r="F308" s="40" t="s">
        <v>4234</v>
      </c>
      <c r="G308" s="41">
        <v>371.5446</v>
      </c>
      <c r="H308" s="40"/>
      <c r="I308" s="41"/>
      <c r="J308" s="41">
        <f t="shared" si="1"/>
        <v>371.72730000000001</v>
      </c>
      <c r="K308" s="42" t="s">
        <v>5796</v>
      </c>
      <c r="L308" s="39">
        <v>1644</v>
      </c>
    </row>
    <row r="309" spans="1:12" ht="11.25" customHeight="1">
      <c r="A309" s="39">
        <v>851</v>
      </c>
      <c r="B309" s="40" t="s">
        <v>10855</v>
      </c>
      <c r="C309" s="40" t="s">
        <v>10856</v>
      </c>
      <c r="D309" s="40" t="s">
        <v>2470</v>
      </c>
      <c r="E309" s="41">
        <v>2511.6999999999998</v>
      </c>
      <c r="F309" s="40" t="s">
        <v>2470</v>
      </c>
      <c r="G309" s="41">
        <v>2510.4933999999998</v>
      </c>
      <c r="H309" s="40"/>
      <c r="I309" s="41"/>
      <c r="J309" s="41">
        <f t="shared" si="1"/>
        <v>2511.0967000000001</v>
      </c>
      <c r="K309" s="42" t="s">
        <v>5796</v>
      </c>
      <c r="L309" s="39">
        <v>851</v>
      </c>
    </row>
    <row r="310" spans="1:12" ht="11.25" customHeight="1">
      <c r="A310" s="39">
        <v>794</v>
      </c>
      <c r="B310" s="40" t="s">
        <v>10857</v>
      </c>
      <c r="C310" s="40" t="s">
        <v>10858</v>
      </c>
      <c r="D310" s="40" t="s">
        <v>2311</v>
      </c>
      <c r="E310" s="41">
        <v>2931.39</v>
      </c>
      <c r="F310" s="40" t="s">
        <v>2311</v>
      </c>
      <c r="G310" s="41">
        <v>2931.5443</v>
      </c>
      <c r="H310" s="40"/>
      <c r="I310" s="41"/>
      <c r="J310" s="41">
        <f t="shared" si="1"/>
        <v>2931.4671499999999</v>
      </c>
      <c r="K310" s="42" t="s">
        <v>5796</v>
      </c>
      <c r="L310" s="39">
        <v>794</v>
      </c>
    </row>
    <row r="311" spans="1:12" ht="11.25" customHeight="1">
      <c r="A311" s="39">
        <v>955</v>
      </c>
      <c r="B311" s="40" t="s">
        <v>2744</v>
      </c>
      <c r="C311" s="40" t="s">
        <v>10859</v>
      </c>
      <c r="D311" s="40" t="s">
        <v>2746</v>
      </c>
      <c r="E311" s="41">
        <v>1936.64</v>
      </c>
      <c r="F311" s="40" t="s">
        <v>2746</v>
      </c>
      <c r="G311" s="41">
        <v>1935.2878000000001</v>
      </c>
      <c r="H311" s="40"/>
      <c r="I311" s="41"/>
      <c r="J311" s="41">
        <f t="shared" si="1"/>
        <v>1935.9639000000002</v>
      </c>
      <c r="K311" s="42" t="s">
        <v>5796</v>
      </c>
      <c r="L311" s="39">
        <v>955</v>
      </c>
    </row>
    <row r="312" spans="1:12" ht="11.25" customHeight="1">
      <c r="A312" s="39">
        <v>330</v>
      </c>
      <c r="B312" s="40" t="s">
        <v>10860</v>
      </c>
      <c r="C312" s="40" t="s">
        <v>10861</v>
      </c>
      <c r="D312" s="40" t="s">
        <v>1001</v>
      </c>
      <c r="E312" s="41">
        <v>14046.06</v>
      </c>
      <c r="F312" s="40" t="s">
        <v>1001</v>
      </c>
      <c r="G312" s="41">
        <v>14047.891</v>
      </c>
      <c r="H312" s="40"/>
      <c r="I312" s="41"/>
      <c r="J312" s="41">
        <f t="shared" si="1"/>
        <v>14046.9755</v>
      </c>
      <c r="K312" s="42" t="s">
        <v>5796</v>
      </c>
      <c r="L312" s="39">
        <v>330</v>
      </c>
    </row>
    <row r="313" spans="1:12" ht="11.25" customHeight="1">
      <c r="A313" s="39">
        <v>2114</v>
      </c>
      <c r="B313" s="40" t="s">
        <v>10862</v>
      </c>
      <c r="C313" s="40" t="s">
        <v>10863</v>
      </c>
      <c r="D313" s="40" t="s">
        <v>4903</v>
      </c>
      <c r="E313" s="41">
        <v>154.58000000000001</v>
      </c>
      <c r="F313" s="40" t="s">
        <v>4903</v>
      </c>
      <c r="G313" s="41">
        <v>154.36869999999999</v>
      </c>
      <c r="H313" s="40"/>
      <c r="I313" s="41"/>
      <c r="J313" s="41">
        <f t="shared" si="1"/>
        <v>154.47435000000002</v>
      </c>
      <c r="K313" s="42" t="s">
        <v>5796</v>
      </c>
      <c r="L313" s="39">
        <v>2114</v>
      </c>
    </row>
    <row r="314" spans="1:12" ht="11.25" customHeight="1">
      <c r="A314" s="39">
        <v>457</v>
      </c>
      <c r="B314" s="40" t="s">
        <v>10864</v>
      </c>
      <c r="C314" s="40" t="s">
        <v>10865</v>
      </c>
      <c r="D314" s="40" t="s">
        <v>1364</v>
      </c>
      <c r="E314" s="41">
        <v>8490.94</v>
      </c>
      <c r="F314" s="40" t="s">
        <v>1364</v>
      </c>
      <c r="G314" s="41">
        <v>8495.1522000000004</v>
      </c>
      <c r="H314" s="40"/>
      <c r="I314" s="41"/>
      <c r="J314" s="41">
        <f t="shared" si="1"/>
        <v>8493.0460999999996</v>
      </c>
      <c r="K314" s="42" t="s">
        <v>5796</v>
      </c>
      <c r="L314" s="39">
        <v>457</v>
      </c>
    </row>
    <row r="315" spans="1:12" ht="11.25" customHeight="1">
      <c r="A315" s="39">
        <v>313</v>
      </c>
      <c r="B315" s="40" t="s">
        <v>10866</v>
      </c>
      <c r="C315" s="40" t="s">
        <v>10867</v>
      </c>
      <c r="D315" s="40"/>
      <c r="E315" s="41"/>
      <c r="F315" s="40" t="s">
        <v>950</v>
      </c>
      <c r="G315" s="41">
        <v>14978.1451</v>
      </c>
      <c r="H315" s="40"/>
      <c r="I315" s="41"/>
      <c r="J315" s="41">
        <f t="shared" si="1"/>
        <v>14978.1451</v>
      </c>
      <c r="K315" s="42" t="s">
        <v>5796</v>
      </c>
      <c r="L315" s="39">
        <v>313</v>
      </c>
    </row>
    <row r="316" spans="1:12" ht="11.25" customHeight="1">
      <c r="A316" s="39">
        <v>440</v>
      </c>
      <c r="B316" s="40" t="s">
        <v>10868</v>
      </c>
      <c r="C316" s="40" t="s">
        <v>10869</v>
      </c>
      <c r="D316" s="40" t="s">
        <v>1316</v>
      </c>
      <c r="E316" s="41">
        <v>9102.75</v>
      </c>
      <c r="F316" s="40" t="s">
        <v>1316</v>
      </c>
      <c r="G316" s="41">
        <v>9102.9359999999997</v>
      </c>
      <c r="H316" s="40"/>
      <c r="I316" s="41"/>
      <c r="J316" s="41">
        <f t="shared" si="1"/>
        <v>9102.8430000000008</v>
      </c>
      <c r="K316" s="42" t="s">
        <v>5796</v>
      </c>
      <c r="L316" s="39">
        <v>440</v>
      </c>
    </row>
    <row r="317" spans="1:12" ht="11.25" customHeight="1">
      <c r="A317" s="39">
        <v>2443</v>
      </c>
      <c r="B317" s="40" t="s">
        <v>10870</v>
      </c>
      <c r="C317" s="40" t="s">
        <v>10871</v>
      </c>
      <c r="D317" s="40" t="s">
        <v>5250</v>
      </c>
      <c r="E317" s="41">
        <v>91.13</v>
      </c>
      <c r="F317" s="40" t="s">
        <v>5250</v>
      </c>
      <c r="G317" s="41">
        <v>91.126999999999995</v>
      </c>
      <c r="H317" s="40"/>
      <c r="I317" s="41"/>
      <c r="J317" s="41">
        <f t="shared" si="1"/>
        <v>91.128500000000003</v>
      </c>
      <c r="K317" s="42" t="s">
        <v>5796</v>
      </c>
      <c r="L317" s="39">
        <v>2443</v>
      </c>
    </row>
    <row r="318" spans="1:12" ht="11.25" customHeight="1">
      <c r="A318" s="39">
        <v>298</v>
      </c>
      <c r="B318" s="40" t="s">
        <v>10872</v>
      </c>
      <c r="C318" s="40" t="s">
        <v>10873</v>
      </c>
      <c r="D318" s="40" t="s">
        <v>905</v>
      </c>
      <c r="E318" s="41">
        <v>16765.080000000002</v>
      </c>
      <c r="F318" s="40" t="s">
        <v>905</v>
      </c>
      <c r="G318" s="41">
        <v>16768.7929</v>
      </c>
      <c r="H318" s="40"/>
      <c r="I318" s="41"/>
      <c r="J318" s="41">
        <f t="shared" si="1"/>
        <v>16766.936450000001</v>
      </c>
      <c r="K318" s="42" t="s">
        <v>5796</v>
      </c>
      <c r="L318" s="39">
        <v>298</v>
      </c>
    </row>
    <row r="319" spans="1:12" ht="11.25" customHeight="1">
      <c r="A319" s="39">
        <v>1241</v>
      </c>
      <c r="B319" s="40" t="s">
        <v>10874</v>
      </c>
      <c r="C319" s="40" t="s">
        <v>10875</v>
      </c>
      <c r="D319" s="40" t="s">
        <v>3436</v>
      </c>
      <c r="E319" s="41">
        <v>936.65</v>
      </c>
      <c r="F319" s="40" t="s">
        <v>3436</v>
      </c>
      <c r="G319" s="41">
        <v>936.94799999999998</v>
      </c>
      <c r="H319" s="40"/>
      <c r="I319" s="41"/>
      <c r="J319" s="41">
        <f t="shared" si="1"/>
        <v>936.79899999999998</v>
      </c>
      <c r="K319" s="42" t="s">
        <v>5796</v>
      </c>
      <c r="L319" s="39">
        <v>1241</v>
      </c>
    </row>
    <row r="320" spans="1:12" ht="11.25" customHeight="1">
      <c r="A320" s="39">
        <v>2259</v>
      </c>
      <c r="B320" s="40" t="s">
        <v>10876</v>
      </c>
      <c r="C320" s="40" t="s">
        <v>10877</v>
      </c>
      <c r="D320" s="40" t="s">
        <v>5086</v>
      </c>
      <c r="E320" s="41">
        <v>119.69</v>
      </c>
      <c r="F320" s="40" t="s">
        <v>5086</v>
      </c>
      <c r="G320" s="41">
        <v>119.529</v>
      </c>
      <c r="H320" s="40"/>
      <c r="I320" s="41"/>
      <c r="J320" s="41">
        <f t="shared" si="1"/>
        <v>119.6095</v>
      </c>
      <c r="K320" s="42" t="s">
        <v>5796</v>
      </c>
      <c r="L320" s="39">
        <v>2259</v>
      </c>
    </row>
    <row r="321" spans="1:12" ht="11.25" customHeight="1">
      <c r="A321" s="43">
        <v>171</v>
      </c>
      <c r="B321" s="44" t="s">
        <v>10878</v>
      </c>
      <c r="C321" s="44" t="s">
        <v>10879</v>
      </c>
      <c r="D321" s="44" t="s">
        <v>524</v>
      </c>
      <c r="E321" s="45">
        <v>35837.65</v>
      </c>
      <c r="F321" s="44" t="s">
        <v>524</v>
      </c>
      <c r="G321" s="45">
        <v>35836.178099999997</v>
      </c>
      <c r="H321" s="44"/>
      <c r="I321" s="45"/>
      <c r="J321" s="45">
        <f t="shared" si="1"/>
        <v>35836.914049999999</v>
      </c>
      <c r="K321" s="46" t="s">
        <v>5800</v>
      </c>
      <c r="L321" s="43">
        <v>171</v>
      </c>
    </row>
    <row r="322" spans="1:12" ht="11.25" customHeight="1">
      <c r="A322" s="39">
        <v>1197</v>
      </c>
      <c r="B322" s="40" t="s">
        <v>10880</v>
      </c>
      <c r="C322" s="40" t="s">
        <v>10881</v>
      </c>
      <c r="D322" s="40" t="s">
        <v>3343</v>
      </c>
      <c r="E322" s="41">
        <v>1053.3599999999999</v>
      </c>
      <c r="F322" s="40" t="s">
        <v>3343</v>
      </c>
      <c r="G322" s="41">
        <v>1053.1500000000001</v>
      </c>
      <c r="H322" s="40"/>
      <c r="I322" s="41"/>
      <c r="J322" s="41">
        <f t="shared" si="1"/>
        <v>1053.2550000000001</v>
      </c>
      <c r="K322" s="42" t="s">
        <v>5796</v>
      </c>
      <c r="L322" s="39">
        <v>1197</v>
      </c>
    </row>
    <row r="323" spans="1:12" ht="11.25" customHeight="1">
      <c r="A323" s="39">
        <v>970</v>
      </c>
      <c r="B323" s="40" t="s">
        <v>10882</v>
      </c>
      <c r="C323" s="40" t="s">
        <v>10883</v>
      </c>
      <c r="D323" s="40" t="s">
        <v>2785</v>
      </c>
      <c r="E323" s="41">
        <v>1864.91</v>
      </c>
      <c r="F323" s="40" t="s">
        <v>2785</v>
      </c>
      <c r="G323" s="41">
        <v>1864.7342000000001</v>
      </c>
      <c r="H323" s="40"/>
      <c r="I323" s="41"/>
      <c r="J323" s="41">
        <f t="shared" si="1"/>
        <v>1864.8221000000001</v>
      </c>
      <c r="K323" s="42" t="s">
        <v>5796</v>
      </c>
      <c r="L323" s="39">
        <v>970</v>
      </c>
    </row>
    <row r="324" spans="1:12" ht="11.25" customHeight="1">
      <c r="A324" s="39">
        <v>315</v>
      </c>
      <c r="B324" s="40" t="s">
        <v>10884</v>
      </c>
      <c r="C324" s="40" t="s">
        <v>10885</v>
      </c>
      <c r="D324" s="40" t="s">
        <v>956</v>
      </c>
      <c r="E324" s="41">
        <v>14809.65</v>
      </c>
      <c r="F324" s="40" t="s">
        <v>956</v>
      </c>
      <c r="G324" s="41">
        <v>14811.0638</v>
      </c>
      <c r="H324" s="40"/>
      <c r="I324" s="41"/>
      <c r="J324" s="41">
        <f t="shared" si="1"/>
        <v>14810.356899999999</v>
      </c>
      <c r="K324" s="42" t="s">
        <v>5796</v>
      </c>
      <c r="L324" s="39">
        <v>315</v>
      </c>
    </row>
    <row r="325" spans="1:12" ht="11.25" customHeight="1">
      <c r="A325" s="39">
        <v>355</v>
      </c>
      <c r="B325" s="40" t="s">
        <v>10886</v>
      </c>
      <c r="C325" s="40" t="s">
        <v>10887</v>
      </c>
      <c r="D325" s="40" t="s">
        <v>1073</v>
      </c>
      <c r="E325" s="41">
        <v>12267.82</v>
      </c>
      <c r="F325" s="40" t="s">
        <v>1073</v>
      </c>
      <c r="G325" s="41">
        <v>12270.6487</v>
      </c>
      <c r="H325" s="40"/>
      <c r="I325" s="41"/>
      <c r="J325" s="41">
        <f t="shared" si="1"/>
        <v>12269.234349999999</v>
      </c>
      <c r="K325" s="42" t="s">
        <v>5796</v>
      </c>
      <c r="L325" s="39">
        <v>355</v>
      </c>
    </row>
    <row r="326" spans="1:12" ht="11.25" customHeight="1">
      <c r="A326" s="39">
        <v>385</v>
      </c>
      <c r="B326" s="40" t="s">
        <v>10888</v>
      </c>
      <c r="C326" s="40" t="s">
        <v>10889</v>
      </c>
      <c r="D326" s="40" t="s">
        <v>1160</v>
      </c>
      <c r="E326" s="41">
        <v>10890.77</v>
      </c>
      <c r="F326" s="40" t="s">
        <v>1160</v>
      </c>
      <c r="G326" s="41">
        <v>10890.972599999999</v>
      </c>
      <c r="H326" s="40"/>
      <c r="I326" s="41"/>
      <c r="J326" s="41">
        <f t="shared" si="1"/>
        <v>10890.871299999999</v>
      </c>
      <c r="K326" s="42" t="s">
        <v>5796</v>
      </c>
      <c r="L326" s="39">
        <v>385</v>
      </c>
    </row>
    <row r="327" spans="1:12" ht="11.25" customHeight="1">
      <c r="A327" s="39">
        <v>2552</v>
      </c>
      <c r="B327" s="40" t="s">
        <v>10890</v>
      </c>
      <c r="C327" s="40" t="s">
        <v>10891</v>
      </c>
      <c r="D327" s="40" t="s">
        <v>5340</v>
      </c>
      <c r="E327" s="41">
        <v>77.22</v>
      </c>
      <c r="F327" s="40" t="s">
        <v>5340</v>
      </c>
      <c r="G327" s="41">
        <v>71.323599999999999</v>
      </c>
      <c r="H327" s="40"/>
      <c r="I327" s="41"/>
      <c r="J327" s="41">
        <f t="shared" si="1"/>
        <v>74.271799999999999</v>
      </c>
      <c r="K327" s="42" t="s">
        <v>5796</v>
      </c>
      <c r="L327" s="39">
        <v>2552</v>
      </c>
    </row>
    <row r="328" spans="1:12" ht="11.25" customHeight="1">
      <c r="A328" s="39">
        <v>363</v>
      </c>
      <c r="B328" s="40" t="s">
        <v>10892</v>
      </c>
      <c r="C328" s="40" t="s">
        <v>10893</v>
      </c>
      <c r="D328" s="40" t="s">
        <v>1097</v>
      </c>
      <c r="E328" s="41">
        <v>12007.71</v>
      </c>
      <c r="F328" s="40" t="s">
        <v>1097</v>
      </c>
      <c r="G328" s="41">
        <v>12010.7906</v>
      </c>
      <c r="H328" s="40"/>
      <c r="I328" s="41"/>
      <c r="J328" s="41">
        <f t="shared" si="1"/>
        <v>12009.2503</v>
      </c>
      <c r="K328" s="42" t="s">
        <v>5796</v>
      </c>
      <c r="L328" s="39">
        <v>363</v>
      </c>
    </row>
    <row r="329" spans="1:12" ht="11.25" customHeight="1">
      <c r="A329" s="39">
        <v>306</v>
      </c>
      <c r="B329" s="40" t="s">
        <v>10894</v>
      </c>
      <c r="C329" s="40" t="s">
        <v>10895</v>
      </c>
      <c r="D329" s="40" t="s">
        <v>929</v>
      </c>
      <c r="E329" s="41">
        <v>15963.37</v>
      </c>
      <c r="F329" s="40" t="s">
        <v>929</v>
      </c>
      <c r="G329" s="41">
        <v>15957.461499999999</v>
      </c>
      <c r="H329" s="40"/>
      <c r="I329" s="41"/>
      <c r="J329" s="41">
        <f t="shared" si="1"/>
        <v>15960.41575</v>
      </c>
      <c r="K329" s="42" t="s">
        <v>5796</v>
      </c>
      <c r="L329" s="39">
        <v>306</v>
      </c>
    </row>
    <row r="330" spans="1:12" ht="11.25" customHeight="1">
      <c r="A330" s="43">
        <v>103</v>
      </c>
      <c r="B330" s="44" t="s">
        <v>10896</v>
      </c>
      <c r="C330" s="44" t="s">
        <v>10897</v>
      </c>
      <c r="D330" s="44" t="s">
        <v>323</v>
      </c>
      <c r="E330" s="45">
        <v>63866.54</v>
      </c>
      <c r="F330" s="44" t="s">
        <v>323</v>
      </c>
      <c r="G330" s="45">
        <v>63876.3128</v>
      </c>
      <c r="H330" s="44"/>
      <c r="I330" s="45"/>
      <c r="J330" s="45">
        <f t="shared" si="1"/>
        <v>63871.426399999997</v>
      </c>
      <c r="K330" s="46" t="s">
        <v>5800</v>
      </c>
      <c r="L330" s="43">
        <v>103</v>
      </c>
    </row>
    <row r="331" spans="1:12" ht="11.25" customHeight="1">
      <c r="A331" s="39">
        <v>379</v>
      </c>
      <c r="B331" s="40" t="s">
        <v>10898</v>
      </c>
      <c r="C331" s="40" t="s">
        <v>10899</v>
      </c>
      <c r="D331" s="40" t="s">
        <v>1145</v>
      </c>
      <c r="E331" s="41">
        <v>11303.25</v>
      </c>
      <c r="F331" s="40" t="s">
        <v>1145</v>
      </c>
      <c r="G331" s="41">
        <v>11302.770399999999</v>
      </c>
      <c r="H331" s="40"/>
      <c r="I331" s="41"/>
      <c r="J331" s="41">
        <f t="shared" si="1"/>
        <v>11303.010200000001</v>
      </c>
      <c r="K331" s="42" t="s">
        <v>5796</v>
      </c>
      <c r="L331" s="39">
        <v>379</v>
      </c>
    </row>
    <row r="332" spans="1:12" ht="11.25" customHeight="1">
      <c r="A332" s="39">
        <v>359</v>
      </c>
      <c r="B332" s="40" t="s">
        <v>10900</v>
      </c>
      <c r="C332" s="40" t="s">
        <v>10901</v>
      </c>
      <c r="D332" s="40" t="s">
        <v>1085</v>
      </c>
      <c r="E332" s="41">
        <v>12185.65</v>
      </c>
      <c r="F332" s="40" t="s">
        <v>1085</v>
      </c>
      <c r="G332" s="41">
        <v>12187.9589</v>
      </c>
      <c r="H332" s="40"/>
      <c r="I332" s="41"/>
      <c r="J332" s="41">
        <f t="shared" si="1"/>
        <v>12186.80445</v>
      </c>
      <c r="K332" s="42" t="s">
        <v>5796</v>
      </c>
      <c r="L332" s="39">
        <v>359</v>
      </c>
    </row>
    <row r="333" spans="1:12" ht="11.25" customHeight="1">
      <c r="A333" s="39">
        <v>1452</v>
      </c>
      <c r="B333" s="40" t="s">
        <v>10902</v>
      </c>
      <c r="C333" s="40" t="s">
        <v>10903</v>
      </c>
      <c r="D333" s="40" t="s">
        <v>3868</v>
      </c>
      <c r="E333" s="41">
        <v>573.96</v>
      </c>
      <c r="F333" s="40" t="s">
        <v>3868</v>
      </c>
      <c r="G333" s="41">
        <v>574.13509999999997</v>
      </c>
      <c r="H333" s="40"/>
      <c r="I333" s="41"/>
      <c r="J333" s="41">
        <f t="shared" si="1"/>
        <v>574.04755</v>
      </c>
      <c r="K333" s="42" t="s">
        <v>5796</v>
      </c>
      <c r="L333" s="39">
        <v>1452</v>
      </c>
    </row>
    <row r="334" spans="1:12" ht="11.25" customHeight="1">
      <c r="A334" s="39">
        <v>1217</v>
      </c>
      <c r="B334" s="40" t="s">
        <v>10904</v>
      </c>
      <c r="C334" s="40" t="s">
        <v>10905</v>
      </c>
      <c r="D334" s="40" t="s">
        <v>3397</v>
      </c>
      <c r="E334" s="41">
        <v>1003.82</v>
      </c>
      <c r="F334" s="40" t="s">
        <v>3397</v>
      </c>
      <c r="G334" s="41">
        <v>1003.8644</v>
      </c>
      <c r="H334" s="40"/>
      <c r="I334" s="41"/>
      <c r="J334" s="41">
        <f t="shared" si="1"/>
        <v>1003.8422</v>
      </c>
      <c r="K334" s="42" t="s">
        <v>5796</v>
      </c>
      <c r="L334" s="39">
        <v>1217</v>
      </c>
    </row>
    <row r="335" spans="1:12" ht="11.25" customHeight="1">
      <c r="A335" s="39">
        <v>1499</v>
      </c>
      <c r="B335" s="40" t="s">
        <v>10906</v>
      </c>
      <c r="C335" s="40" t="s">
        <v>10907</v>
      </c>
      <c r="D335" s="40" t="s">
        <v>10908</v>
      </c>
      <c r="E335" s="41">
        <v>510.27</v>
      </c>
      <c r="F335" s="40" t="s">
        <v>3964</v>
      </c>
      <c r="G335" s="41">
        <v>510.1977</v>
      </c>
      <c r="H335" s="40"/>
      <c r="I335" s="41"/>
      <c r="J335" s="41">
        <f t="shared" si="1"/>
        <v>510.23384999999996</v>
      </c>
      <c r="K335" s="42" t="s">
        <v>5796</v>
      </c>
      <c r="L335" s="39">
        <v>1499</v>
      </c>
    </row>
    <row r="336" spans="1:12" ht="11.25" customHeight="1">
      <c r="A336" s="39">
        <v>497</v>
      </c>
      <c r="B336" s="40" t="s">
        <v>10909</v>
      </c>
      <c r="C336" s="40" t="s">
        <v>10910</v>
      </c>
      <c r="D336" s="40" t="s">
        <v>1478</v>
      </c>
      <c r="E336" s="41">
        <v>7402.53</v>
      </c>
      <c r="F336" s="40" t="s">
        <v>1478</v>
      </c>
      <c r="G336" s="41">
        <v>7403.009</v>
      </c>
      <c r="H336" s="40"/>
      <c r="I336" s="41"/>
      <c r="J336" s="41">
        <f t="shared" si="1"/>
        <v>7402.7695000000003</v>
      </c>
      <c r="K336" s="42" t="s">
        <v>5796</v>
      </c>
      <c r="L336" s="39">
        <v>497</v>
      </c>
    </row>
    <row r="337" spans="1:12" ht="11.25" customHeight="1">
      <c r="A337" s="39">
        <v>482</v>
      </c>
      <c r="B337" s="40" t="s">
        <v>10911</v>
      </c>
      <c r="C337" s="40" t="s">
        <v>10912</v>
      </c>
      <c r="D337" s="40" t="s">
        <v>1433</v>
      </c>
      <c r="E337" s="41">
        <v>7713.78</v>
      </c>
      <c r="F337" s="40" t="s">
        <v>1433</v>
      </c>
      <c r="G337" s="41">
        <v>7716.4687000000004</v>
      </c>
      <c r="H337" s="40"/>
      <c r="I337" s="41"/>
      <c r="J337" s="41">
        <f t="shared" si="1"/>
        <v>7715.12435</v>
      </c>
      <c r="K337" s="42" t="s">
        <v>5796</v>
      </c>
      <c r="L337" s="39">
        <v>482</v>
      </c>
    </row>
    <row r="338" spans="1:12" ht="11.25" customHeight="1">
      <c r="A338" s="39">
        <v>1333</v>
      </c>
      <c r="B338" s="40" t="s">
        <v>10913</v>
      </c>
      <c r="C338" s="40" t="s">
        <v>10914</v>
      </c>
      <c r="D338" s="40" t="s">
        <v>3640</v>
      </c>
      <c r="E338" s="41">
        <v>746.25</v>
      </c>
      <c r="F338" s="40" t="s">
        <v>3640</v>
      </c>
      <c r="G338" s="41">
        <v>746.17430000000002</v>
      </c>
      <c r="H338" s="40"/>
      <c r="I338" s="41"/>
      <c r="J338" s="41">
        <f t="shared" si="1"/>
        <v>746.21215000000007</v>
      </c>
      <c r="K338" s="42" t="s">
        <v>5796</v>
      </c>
      <c r="L338" s="39">
        <v>1333</v>
      </c>
    </row>
    <row r="339" spans="1:12" ht="11.25" customHeight="1">
      <c r="A339" s="39">
        <v>688</v>
      </c>
      <c r="B339" s="40" t="s">
        <v>10915</v>
      </c>
      <c r="C339" s="40" t="s">
        <v>10916</v>
      </c>
      <c r="D339" s="40" t="s">
        <v>2018</v>
      </c>
      <c r="E339" s="41">
        <v>3993.5</v>
      </c>
      <c r="F339" s="40" t="s">
        <v>2018</v>
      </c>
      <c r="G339" s="41">
        <v>3992.3813</v>
      </c>
      <c r="H339" s="40"/>
      <c r="I339" s="41"/>
      <c r="J339" s="41">
        <f t="shared" si="1"/>
        <v>3992.94065</v>
      </c>
      <c r="K339" s="42" t="s">
        <v>5796</v>
      </c>
      <c r="L339" s="39">
        <v>688</v>
      </c>
    </row>
    <row r="340" spans="1:12" ht="11.25" customHeight="1">
      <c r="A340" s="47">
        <v>62</v>
      </c>
      <c r="B340" s="48" t="s">
        <v>10917</v>
      </c>
      <c r="C340" s="48" t="s">
        <v>10918</v>
      </c>
      <c r="D340" s="48" t="s">
        <v>197</v>
      </c>
      <c r="E340" s="49">
        <v>95991.55</v>
      </c>
      <c r="F340" s="48" t="s">
        <v>197</v>
      </c>
      <c r="G340" s="49">
        <v>95051.230100000001</v>
      </c>
      <c r="H340" s="48"/>
      <c r="I340" s="49"/>
      <c r="J340" s="49">
        <f t="shared" si="1"/>
        <v>95521.390050000002</v>
      </c>
      <c r="K340" s="50" t="s">
        <v>5815</v>
      </c>
      <c r="L340" s="47">
        <v>62</v>
      </c>
    </row>
    <row r="341" spans="1:12" ht="11.25" customHeight="1">
      <c r="A341" s="39">
        <v>271</v>
      </c>
      <c r="B341" s="40" t="s">
        <v>6017</v>
      </c>
      <c r="C341" s="40" t="s">
        <v>10919</v>
      </c>
      <c r="D341" s="40" t="s">
        <v>824</v>
      </c>
      <c r="E341" s="41">
        <v>19427.25</v>
      </c>
      <c r="F341" s="40" t="s">
        <v>824</v>
      </c>
      <c r="G341" s="41">
        <v>19436.792099999999</v>
      </c>
      <c r="H341" s="40"/>
      <c r="I341" s="41"/>
      <c r="J341" s="41">
        <f t="shared" si="1"/>
        <v>19432.021049999999</v>
      </c>
      <c r="K341" s="42" t="s">
        <v>5796</v>
      </c>
      <c r="L341" s="39">
        <v>271</v>
      </c>
    </row>
    <row r="342" spans="1:12" ht="11.25" customHeight="1">
      <c r="A342" s="39">
        <v>282</v>
      </c>
      <c r="B342" s="40" t="s">
        <v>10920</v>
      </c>
      <c r="C342" s="40" t="s">
        <v>10921</v>
      </c>
      <c r="D342" s="40" t="s">
        <v>857</v>
      </c>
      <c r="E342" s="41">
        <v>18559.89</v>
      </c>
      <c r="F342" s="40" t="s">
        <v>857</v>
      </c>
      <c r="G342" s="41">
        <v>18562.858899999999</v>
      </c>
      <c r="H342" s="40"/>
      <c r="I342" s="41"/>
      <c r="J342" s="41">
        <f t="shared" si="1"/>
        <v>18561.374449999999</v>
      </c>
      <c r="K342" s="42" t="s">
        <v>5796</v>
      </c>
      <c r="L342" s="39">
        <v>282</v>
      </c>
    </row>
    <row r="343" spans="1:12" ht="11.25" customHeight="1">
      <c r="A343" s="39">
        <v>853</v>
      </c>
      <c r="B343" s="40" t="s">
        <v>10922</v>
      </c>
      <c r="C343" s="40" t="s">
        <v>10923</v>
      </c>
      <c r="D343" s="40" t="s">
        <v>10924</v>
      </c>
      <c r="E343" s="41">
        <v>2502.9699999999998</v>
      </c>
      <c r="F343" s="40" t="s">
        <v>2476</v>
      </c>
      <c r="G343" s="41">
        <v>2502.2231000000002</v>
      </c>
      <c r="H343" s="40"/>
      <c r="I343" s="41"/>
      <c r="J343" s="41">
        <f t="shared" si="1"/>
        <v>2502.5965500000002</v>
      </c>
      <c r="K343" s="42" t="s">
        <v>5796</v>
      </c>
      <c r="L343" s="39">
        <v>853</v>
      </c>
    </row>
    <row r="344" spans="1:12" ht="11.25" customHeight="1">
      <c r="A344" s="39">
        <v>1667</v>
      </c>
      <c r="B344" s="40" t="s">
        <v>10925</v>
      </c>
      <c r="C344" s="40" t="s">
        <v>10926</v>
      </c>
      <c r="D344" s="40" t="s">
        <v>4273</v>
      </c>
      <c r="E344" s="41">
        <v>353.53</v>
      </c>
      <c r="F344" s="40" t="s">
        <v>4273</v>
      </c>
      <c r="G344" s="41">
        <v>352.91629999999998</v>
      </c>
      <c r="H344" s="40"/>
      <c r="I344" s="41"/>
      <c r="J344" s="41">
        <f t="shared" si="1"/>
        <v>353.22314999999998</v>
      </c>
      <c r="K344" s="42" t="s">
        <v>5796</v>
      </c>
      <c r="L344" s="39">
        <v>1667</v>
      </c>
    </row>
    <row r="345" spans="1:12" ht="11.25" customHeight="1">
      <c r="A345" s="39">
        <v>2434</v>
      </c>
      <c r="B345" s="40" t="s">
        <v>10927</v>
      </c>
      <c r="C345" s="40" t="s">
        <v>10928</v>
      </c>
      <c r="D345" s="40" t="s">
        <v>5244</v>
      </c>
      <c r="E345" s="41">
        <v>92.16</v>
      </c>
      <c r="F345" s="40" t="s">
        <v>5244</v>
      </c>
      <c r="G345" s="41">
        <v>91.960899999999995</v>
      </c>
      <c r="H345" s="40"/>
      <c r="I345" s="41"/>
      <c r="J345" s="41">
        <f t="shared" si="1"/>
        <v>92.060450000000003</v>
      </c>
      <c r="K345" s="42" t="s">
        <v>5796</v>
      </c>
      <c r="L345" s="39">
        <v>2434</v>
      </c>
    </row>
    <row r="346" spans="1:12" ht="11.25" customHeight="1">
      <c r="A346" s="47">
        <v>61</v>
      </c>
      <c r="B346" s="48" t="s">
        <v>10929</v>
      </c>
      <c r="C346" s="48" t="s">
        <v>10930</v>
      </c>
      <c r="D346" s="48" t="s">
        <v>194</v>
      </c>
      <c r="E346" s="49">
        <v>95818.31</v>
      </c>
      <c r="F346" s="48" t="s">
        <v>194</v>
      </c>
      <c r="G346" s="49">
        <v>95828.758100000006</v>
      </c>
      <c r="H346" s="48"/>
      <c r="I346" s="49"/>
      <c r="J346" s="49">
        <f t="shared" si="1"/>
        <v>95823.534050000002</v>
      </c>
      <c r="K346" s="50" t="s">
        <v>5815</v>
      </c>
      <c r="L346" s="47">
        <v>61</v>
      </c>
    </row>
    <row r="347" spans="1:12" ht="11.25" customHeight="1">
      <c r="A347" s="39">
        <v>316</v>
      </c>
      <c r="B347" s="40" t="s">
        <v>10931</v>
      </c>
      <c r="C347" s="40" t="s">
        <v>10932</v>
      </c>
      <c r="D347" s="40" t="s">
        <v>959</v>
      </c>
      <c r="E347" s="41">
        <v>14776.29</v>
      </c>
      <c r="F347" s="40" t="s">
        <v>959</v>
      </c>
      <c r="G347" s="41">
        <v>14776.2309</v>
      </c>
      <c r="H347" s="40"/>
      <c r="I347" s="41"/>
      <c r="J347" s="41">
        <f t="shared" si="1"/>
        <v>14776.260450000002</v>
      </c>
      <c r="K347" s="42" t="s">
        <v>5796</v>
      </c>
      <c r="L347" s="39">
        <v>316</v>
      </c>
    </row>
    <row r="348" spans="1:12" ht="11.25" customHeight="1">
      <c r="A348" s="39">
        <v>1578</v>
      </c>
      <c r="B348" s="40" t="s">
        <v>10933</v>
      </c>
      <c r="C348" s="40" t="s">
        <v>10934</v>
      </c>
      <c r="D348" s="40" t="s">
        <v>4108</v>
      </c>
      <c r="E348" s="41">
        <v>429.03</v>
      </c>
      <c r="F348" s="40" t="s">
        <v>4108</v>
      </c>
      <c r="G348" s="41">
        <v>430.96039999999999</v>
      </c>
      <c r="H348" s="40"/>
      <c r="I348" s="41"/>
      <c r="J348" s="41">
        <f t="shared" si="1"/>
        <v>429.99519999999995</v>
      </c>
      <c r="K348" s="42" t="s">
        <v>5796</v>
      </c>
      <c r="L348" s="39">
        <v>1578</v>
      </c>
    </row>
    <row r="349" spans="1:12" ht="11.25" customHeight="1">
      <c r="A349" s="39">
        <v>1178</v>
      </c>
      <c r="B349" s="40" t="s">
        <v>10935</v>
      </c>
      <c r="C349" s="40" t="s">
        <v>10936</v>
      </c>
      <c r="D349" s="40" t="s">
        <v>10937</v>
      </c>
      <c r="E349" s="41">
        <v>1090.74</v>
      </c>
      <c r="F349" s="40" t="s">
        <v>3292</v>
      </c>
      <c r="G349" s="41">
        <v>1090.6955</v>
      </c>
      <c r="H349" s="40"/>
      <c r="I349" s="41"/>
      <c r="J349" s="41">
        <f t="shared" si="1"/>
        <v>1090.71775</v>
      </c>
      <c r="K349" s="42" t="s">
        <v>5796</v>
      </c>
      <c r="L349" s="39">
        <v>1178</v>
      </c>
    </row>
    <row r="350" spans="1:12" ht="11.25" customHeight="1">
      <c r="A350" s="39">
        <v>3843</v>
      </c>
      <c r="B350" s="40" t="s">
        <v>10938</v>
      </c>
      <c r="C350" s="40" t="s">
        <v>10939</v>
      </c>
      <c r="D350" s="40" t="s">
        <v>10940</v>
      </c>
      <c r="E350" s="41">
        <v>10.63</v>
      </c>
      <c r="F350" s="40" t="s">
        <v>6022</v>
      </c>
      <c r="G350" s="41">
        <v>10.5807</v>
      </c>
      <c r="H350" s="40"/>
      <c r="I350" s="41"/>
      <c r="J350" s="41">
        <f t="shared" si="1"/>
        <v>10.605350000000001</v>
      </c>
      <c r="K350" s="42" t="s">
        <v>5796</v>
      </c>
      <c r="L350" s="39">
        <v>3843</v>
      </c>
    </row>
    <row r="351" spans="1:12" ht="11.25" customHeight="1">
      <c r="A351" s="39">
        <v>580</v>
      </c>
      <c r="B351" s="40" t="s">
        <v>10941</v>
      </c>
      <c r="C351" s="40" t="s">
        <v>10942</v>
      </c>
      <c r="D351" s="40" t="s">
        <v>1715</v>
      </c>
      <c r="E351" s="41">
        <v>5829.25</v>
      </c>
      <c r="F351" s="40" t="s">
        <v>1715</v>
      </c>
      <c r="G351" s="41">
        <v>5816.2213000000002</v>
      </c>
      <c r="H351" s="40"/>
      <c r="I351" s="41"/>
      <c r="J351" s="41">
        <f t="shared" si="1"/>
        <v>5822.7356500000005</v>
      </c>
      <c r="K351" s="42" t="s">
        <v>5796</v>
      </c>
      <c r="L351" s="39">
        <v>580</v>
      </c>
    </row>
    <row r="352" spans="1:12" ht="11.25" customHeight="1">
      <c r="A352" s="47">
        <v>33</v>
      </c>
      <c r="B352" s="48" t="s">
        <v>10943</v>
      </c>
      <c r="C352" s="48" t="s">
        <v>10944</v>
      </c>
      <c r="D352" s="48" t="s">
        <v>107</v>
      </c>
      <c r="E352" s="49">
        <v>177189.12</v>
      </c>
      <c r="F352" s="48" t="s">
        <v>107</v>
      </c>
      <c r="G352" s="49">
        <v>177202.0466</v>
      </c>
      <c r="H352" s="48"/>
      <c r="I352" s="49"/>
      <c r="J352" s="49">
        <f t="shared" si="1"/>
        <v>177195.5833</v>
      </c>
      <c r="K352" s="50" t="s">
        <v>5815</v>
      </c>
      <c r="L352" s="47">
        <v>33</v>
      </c>
    </row>
    <row r="353" spans="1:12" ht="11.25" customHeight="1">
      <c r="A353" s="39">
        <v>1708</v>
      </c>
      <c r="B353" s="40" t="s">
        <v>10945</v>
      </c>
      <c r="C353" s="40" t="s">
        <v>10946</v>
      </c>
      <c r="D353" s="40" t="s">
        <v>4351</v>
      </c>
      <c r="E353" s="41">
        <v>348.04</v>
      </c>
      <c r="F353" s="40" t="s">
        <v>4351</v>
      </c>
      <c r="G353" s="41">
        <v>306.86939999999998</v>
      </c>
      <c r="H353" s="40"/>
      <c r="I353" s="41"/>
      <c r="J353" s="41">
        <f t="shared" si="1"/>
        <v>327.4547</v>
      </c>
      <c r="K353" s="42" t="s">
        <v>5796</v>
      </c>
      <c r="L353" s="39">
        <v>1708</v>
      </c>
    </row>
    <row r="354" spans="1:12" ht="11.25" customHeight="1">
      <c r="A354" s="39">
        <v>346</v>
      </c>
      <c r="B354" s="40" t="s">
        <v>10947</v>
      </c>
      <c r="C354" s="40" t="s">
        <v>10948</v>
      </c>
      <c r="D354" s="40" t="s">
        <v>1049</v>
      </c>
      <c r="E354" s="41">
        <v>12687.59</v>
      </c>
      <c r="F354" s="40" t="s">
        <v>1049</v>
      </c>
      <c r="G354" s="41">
        <v>12688.5504</v>
      </c>
      <c r="H354" s="40"/>
      <c r="I354" s="41"/>
      <c r="J354" s="41">
        <f t="shared" si="1"/>
        <v>12688.0702</v>
      </c>
      <c r="K354" s="42" t="s">
        <v>5796</v>
      </c>
      <c r="L354" s="39">
        <v>346</v>
      </c>
    </row>
    <row r="355" spans="1:12" ht="11.25" customHeight="1">
      <c r="A355" s="39">
        <v>1224</v>
      </c>
      <c r="B355" s="40" t="s">
        <v>10949</v>
      </c>
      <c r="C355" s="40" t="s">
        <v>10950</v>
      </c>
      <c r="D355" s="40" t="s">
        <v>3409</v>
      </c>
      <c r="E355" s="41">
        <v>986.04</v>
      </c>
      <c r="F355" s="40" t="s">
        <v>3409</v>
      </c>
      <c r="G355" s="41">
        <v>985.92370000000005</v>
      </c>
      <c r="H355" s="40"/>
      <c r="I355" s="41"/>
      <c r="J355" s="41">
        <f t="shared" si="1"/>
        <v>985.98185000000001</v>
      </c>
      <c r="K355" s="42" t="s">
        <v>5796</v>
      </c>
      <c r="L355" s="39">
        <v>1224</v>
      </c>
    </row>
    <row r="356" spans="1:12" ht="11.25" customHeight="1">
      <c r="A356" s="43">
        <v>193</v>
      </c>
      <c r="B356" s="44" t="s">
        <v>6023</v>
      </c>
      <c r="C356" s="44" t="s">
        <v>10951</v>
      </c>
      <c r="D356" s="44" t="s">
        <v>590</v>
      </c>
      <c r="E356" s="45">
        <v>32377.83</v>
      </c>
      <c r="F356" s="44" t="s">
        <v>590</v>
      </c>
      <c r="G356" s="45">
        <v>32302.163499999999</v>
      </c>
      <c r="H356" s="44"/>
      <c r="I356" s="45"/>
      <c r="J356" s="45">
        <f t="shared" si="1"/>
        <v>32339.996749999998</v>
      </c>
      <c r="K356" s="46" t="s">
        <v>5800</v>
      </c>
      <c r="L356" s="43">
        <v>193</v>
      </c>
    </row>
    <row r="357" spans="1:12" ht="11.25" customHeight="1">
      <c r="A357" s="43">
        <v>113</v>
      </c>
      <c r="B357" s="44" t="s">
        <v>10952</v>
      </c>
      <c r="C357" s="44" t="s">
        <v>10953</v>
      </c>
      <c r="D357" s="44" t="s">
        <v>353</v>
      </c>
      <c r="E357" s="45">
        <v>56054.76</v>
      </c>
      <c r="F357" s="44" t="s">
        <v>353</v>
      </c>
      <c r="G357" s="45">
        <v>56067.842400000001</v>
      </c>
      <c r="H357" s="44"/>
      <c r="I357" s="45"/>
      <c r="J357" s="45">
        <f t="shared" si="1"/>
        <v>56061.301200000002</v>
      </c>
      <c r="K357" s="46" t="s">
        <v>5800</v>
      </c>
      <c r="L357" s="43">
        <v>113</v>
      </c>
    </row>
    <row r="358" spans="1:12" ht="11.25" customHeight="1">
      <c r="A358" s="39">
        <v>2384</v>
      </c>
      <c r="B358" s="40" t="s">
        <v>10954</v>
      </c>
      <c r="C358" s="40" t="s">
        <v>10955</v>
      </c>
      <c r="D358" s="40" t="s">
        <v>10956</v>
      </c>
      <c r="E358" s="41">
        <v>99.87</v>
      </c>
      <c r="F358" s="40" t="s">
        <v>5200</v>
      </c>
      <c r="G358" s="41">
        <v>99.726100000000002</v>
      </c>
      <c r="H358" s="40"/>
      <c r="I358" s="41"/>
      <c r="J358" s="41">
        <f t="shared" si="1"/>
        <v>99.798050000000003</v>
      </c>
      <c r="K358" s="42" t="s">
        <v>5796</v>
      </c>
      <c r="L358" s="39">
        <v>2384</v>
      </c>
    </row>
    <row r="359" spans="1:12" ht="11.25" customHeight="1">
      <c r="A359" s="39">
        <v>1996</v>
      </c>
      <c r="B359" s="40" t="s">
        <v>10957</v>
      </c>
      <c r="C359" s="40" t="s">
        <v>10958</v>
      </c>
      <c r="D359" s="40" t="s">
        <v>4735</v>
      </c>
      <c r="E359" s="41">
        <v>190.15</v>
      </c>
      <c r="F359" s="40" t="s">
        <v>4735</v>
      </c>
      <c r="G359" s="41">
        <v>190.15889999999999</v>
      </c>
      <c r="H359" s="40"/>
      <c r="I359" s="41"/>
      <c r="J359" s="41">
        <f t="shared" si="1"/>
        <v>190.15445</v>
      </c>
      <c r="K359" s="42" t="s">
        <v>5796</v>
      </c>
      <c r="L359" s="39">
        <v>1996</v>
      </c>
    </row>
    <row r="360" spans="1:12" ht="11.25" customHeight="1">
      <c r="A360" s="43">
        <v>150</v>
      </c>
      <c r="B360" s="44" t="s">
        <v>10959</v>
      </c>
      <c r="C360" s="44" t="s">
        <v>10960</v>
      </c>
      <c r="D360" s="44" t="s">
        <v>461</v>
      </c>
      <c r="E360" s="45">
        <v>44179.05</v>
      </c>
      <c r="F360" s="44" t="s">
        <v>461</v>
      </c>
      <c r="G360" s="45">
        <v>44179.466399999998</v>
      </c>
      <c r="H360" s="44"/>
      <c r="I360" s="45"/>
      <c r="J360" s="45">
        <f t="shared" si="1"/>
        <v>44179.258199999997</v>
      </c>
      <c r="K360" s="46" t="s">
        <v>5800</v>
      </c>
      <c r="L360" s="43">
        <v>150</v>
      </c>
    </row>
    <row r="361" spans="1:12" ht="11.25" customHeight="1">
      <c r="A361" s="39">
        <v>357</v>
      </c>
      <c r="B361" s="40" t="s">
        <v>10961</v>
      </c>
      <c r="C361" s="40" t="s">
        <v>10962</v>
      </c>
      <c r="D361" s="40" t="s">
        <v>1079</v>
      </c>
      <c r="E361" s="41">
        <v>12258.44</v>
      </c>
      <c r="F361" s="40" t="s">
        <v>1079</v>
      </c>
      <c r="G361" s="41">
        <v>12258.99</v>
      </c>
      <c r="H361" s="40"/>
      <c r="I361" s="41"/>
      <c r="J361" s="41">
        <f t="shared" si="1"/>
        <v>12258.715</v>
      </c>
      <c r="K361" s="42" t="s">
        <v>5796</v>
      </c>
      <c r="L361" s="39">
        <v>357</v>
      </c>
    </row>
    <row r="362" spans="1:12" ht="11.25" customHeight="1">
      <c r="A362" s="39">
        <v>865</v>
      </c>
      <c r="B362" s="40" t="s">
        <v>10963</v>
      </c>
      <c r="C362" s="40" t="s">
        <v>10964</v>
      </c>
      <c r="D362" s="40" t="s">
        <v>2509</v>
      </c>
      <c r="E362" s="41">
        <v>2411.65</v>
      </c>
      <c r="F362" s="40" t="s">
        <v>2509</v>
      </c>
      <c r="G362" s="41">
        <v>2410.9353999999998</v>
      </c>
      <c r="H362" s="40"/>
      <c r="I362" s="41"/>
      <c r="J362" s="41">
        <f t="shared" si="1"/>
        <v>2411.2927</v>
      </c>
      <c r="K362" s="42" t="s">
        <v>5796</v>
      </c>
      <c r="L362" s="39">
        <v>865</v>
      </c>
    </row>
    <row r="363" spans="1:12" ht="11.25" customHeight="1">
      <c r="A363" s="39">
        <v>1451</v>
      </c>
      <c r="B363" s="40" t="s">
        <v>10965</v>
      </c>
      <c r="C363" s="40" t="s">
        <v>10966</v>
      </c>
      <c r="D363" s="40"/>
      <c r="E363" s="41"/>
      <c r="F363" s="40" t="s">
        <v>3865</v>
      </c>
      <c r="G363" s="41">
        <v>574.2192</v>
      </c>
      <c r="H363" s="40"/>
      <c r="I363" s="41"/>
      <c r="J363" s="41">
        <f t="shared" si="1"/>
        <v>574.2192</v>
      </c>
      <c r="K363" s="42" t="s">
        <v>5796</v>
      </c>
      <c r="L363" s="39">
        <v>1451</v>
      </c>
    </row>
    <row r="364" spans="1:12" ht="11.25" customHeight="1">
      <c r="A364" s="39">
        <v>1116</v>
      </c>
      <c r="B364" s="40" t="s">
        <v>10967</v>
      </c>
      <c r="C364" s="40" t="s">
        <v>10968</v>
      </c>
      <c r="D364" s="40" t="s">
        <v>3154</v>
      </c>
      <c r="E364" s="41">
        <v>1297.76</v>
      </c>
      <c r="F364" s="40" t="s">
        <v>3154</v>
      </c>
      <c r="G364" s="41">
        <v>1283.7977000000001</v>
      </c>
      <c r="H364" s="40"/>
      <c r="I364" s="41"/>
      <c r="J364" s="41">
        <f t="shared" si="1"/>
        <v>1290.7788500000001</v>
      </c>
      <c r="K364" s="42" t="s">
        <v>5796</v>
      </c>
      <c r="L364" s="39">
        <v>1116</v>
      </c>
    </row>
    <row r="365" spans="1:12" ht="11.25" customHeight="1">
      <c r="A365" s="39">
        <v>2058</v>
      </c>
      <c r="B365" s="40" t="s">
        <v>10969</v>
      </c>
      <c r="C365" s="40" t="s">
        <v>10970</v>
      </c>
      <c r="D365" s="40" t="s">
        <v>4819</v>
      </c>
      <c r="E365" s="41">
        <v>171.78</v>
      </c>
      <c r="F365" s="40" t="s">
        <v>4819</v>
      </c>
      <c r="G365" s="41">
        <v>171.66309999999999</v>
      </c>
      <c r="H365" s="40"/>
      <c r="I365" s="41"/>
      <c r="J365" s="41">
        <f t="shared" si="1"/>
        <v>171.72154999999998</v>
      </c>
      <c r="K365" s="42" t="s">
        <v>5796</v>
      </c>
      <c r="L365" s="39">
        <v>2058</v>
      </c>
    </row>
    <row r="366" spans="1:12" ht="11.25" customHeight="1">
      <c r="A366" s="39">
        <v>2195</v>
      </c>
      <c r="B366" s="40" t="s">
        <v>10971</v>
      </c>
      <c r="C366" s="40" t="s">
        <v>10972</v>
      </c>
      <c r="D366" s="40" t="s">
        <v>5011</v>
      </c>
      <c r="E366" s="41">
        <v>134.19999999999999</v>
      </c>
      <c r="F366" s="40" t="s">
        <v>5011</v>
      </c>
      <c r="G366" s="41">
        <v>134.17939999999999</v>
      </c>
      <c r="H366" s="40"/>
      <c r="I366" s="41"/>
      <c r="J366" s="41">
        <f t="shared" si="1"/>
        <v>134.18969999999999</v>
      </c>
      <c r="K366" s="42" t="s">
        <v>5796</v>
      </c>
      <c r="L366" s="39">
        <v>2195</v>
      </c>
    </row>
    <row r="367" spans="1:12" ht="11.25" customHeight="1">
      <c r="A367" s="43">
        <v>192</v>
      </c>
      <c r="B367" s="44" t="s">
        <v>10973</v>
      </c>
      <c r="C367" s="44" t="s">
        <v>10974</v>
      </c>
      <c r="D367" s="44" t="s">
        <v>587</v>
      </c>
      <c r="E367" s="45">
        <v>32452.95</v>
      </c>
      <c r="F367" s="44" t="s">
        <v>587</v>
      </c>
      <c r="G367" s="45">
        <v>32445.9584</v>
      </c>
      <c r="H367" s="44"/>
      <c r="I367" s="45"/>
      <c r="J367" s="45">
        <f t="shared" si="1"/>
        <v>32449.4542</v>
      </c>
      <c r="K367" s="46" t="s">
        <v>5800</v>
      </c>
      <c r="L367" s="43">
        <v>192</v>
      </c>
    </row>
    <row r="368" spans="1:12" ht="11.25" customHeight="1">
      <c r="A368" s="39">
        <v>1002</v>
      </c>
      <c r="B368" s="40" t="s">
        <v>2867</v>
      </c>
      <c r="C368" s="40" t="s">
        <v>10975</v>
      </c>
      <c r="D368" s="40" t="s">
        <v>2869</v>
      </c>
      <c r="E368" s="41">
        <v>1708.14</v>
      </c>
      <c r="F368" s="40" t="s">
        <v>2869</v>
      </c>
      <c r="G368" s="41">
        <v>1708.1353999999999</v>
      </c>
      <c r="H368" s="40"/>
      <c r="I368" s="41"/>
      <c r="J368" s="41">
        <f t="shared" si="1"/>
        <v>1708.1377</v>
      </c>
      <c r="K368" s="42" t="s">
        <v>5796</v>
      </c>
      <c r="L368" s="39">
        <v>1002</v>
      </c>
    </row>
    <row r="369" spans="1:12" ht="11.25" customHeight="1">
      <c r="A369" s="39">
        <v>3046</v>
      </c>
      <c r="B369" s="40" t="s">
        <v>10976</v>
      </c>
      <c r="C369" s="40" t="s">
        <v>10977</v>
      </c>
      <c r="D369" s="40" t="s">
        <v>5565</v>
      </c>
      <c r="E369" s="41">
        <v>35.31</v>
      </c>
      <c r="F369" s="40" t="s">
        <v>5565</v>
      </c>
      <c r="G369" s="41">
        <v>35.165999999999997</v>
      </c>
      <c r="H369" s="40"/>
      <c r="I369" s="41"/>
      <c r="J369" s="41">
        <f t="shared" si="1"/>
        <v>35.238</v>
      </c>
      <c r="K369" s="42" t="s">
        <v>5796</v>
      </c>
      <c r="L369" s="39">
        <v>3046</v>
      </c>
    </row>
    <row r="370" spans="1:12" ht="11.25" customHeight="1">
      <c r="A370" s="39">
        <v>401</v>
      </c>
      <c r="B370" s="40" t="s">
        <v>10978</v>
      </c>
      <c r="C370" s="40" t="s">
        <v>10979</v>
      </c>
      <c r="D370" s="40" t="s">
        <v>1211</v>
      </c>
      <c r="E370" s="41">
        <v>10107.59</v>
      </c>
      <c r="F370" s="40" t="s">
        <v>1211</v>
      </c>
      <c r="G370" s="41">
        <v>10107.018099999999</v>
      </c>
      <c r="H370" s="40"/>
      <c r="I370" s="41"/>
      <c r="J370" s="41">
        <f t="shared" si="1"/>
        <v>10107.304049999999</v>
      </c>
      <c r="K370" s="42" t="s">
        <v>5796</v>
      </c>
      <c r="L370" s="39">
        <v>401</v>
      </c>
    </row>
    <row r="371" spans="1:12" ht="11.25" customHeight="1">
      <c r="A371" s="39">
        <v>1300</v>
      </c>
      <c r="B371" s="40" t="s">
        <v>10980</v>
      </c>
      <c r="C371" s="40" t="s">
        <v>10981</v>
      </c>
      <c r="D371" s="40"/>
      <c r="E371" s="41"/>
      <c r="F371" s="40" t="s">
        <v>3574</v>
      </c>
      <c r="G371" s="41">
        <v>804.50170000000003</v>
      </c>
      <c r="H371" s="40"/>
      <c r="I371" s="41"/>
      <c r="J371" s="41">
        <f t="shared" si="1"/>
        <v>804.50170000000003</v>
      </c>
      <c r="K371" s="42" t="s">
        <v>5796</v>
      </c>
      <c r="L371" s="39">
        <v>1300</v>
      </c>
    </row>
    <row r="372" spans="1:12" ht="11.25" customHeight="1">
      <c r="A372" s="39">
        <v>4067</v>
      </c>
      <c r="B372" s="40" t="s">
        <v>10982</v>
      </c>
      <c r="C372" s="40" t="s">
        <v>10983</v>
      </c>
      <c r="D372" s="40" t="s">
        <v>5763</v>
      </c>
      <c r="E372" s="41">
        <v>7.69</v>
      </c>
      <c r="F372" s="40" t="s">
        <v>5763</v>
      </c>
      <c r="G372" s="41">
        <v>7.6626000000000003</v>
      </c>
      <c r="H372" s="40"/>
      <c r="I372" s="41"/>
      <c r="J372" s="41">
        <f t="shared" si="1"/>
        <v>7.6763000000000003</v>
      </c>
      <c r="K372" s="42" t="s">
        <v>5796</v>
      </c>
      <c r="L372" s="39">
        <v>4067</v>
      </c>
    </row>
    <row r="373" spans="1:12" ht="11.25" customHeight="1">
      <c r="A373" s="43">
        <v>239</v>
      </c>
      <c r="B373" s="44" t="s">
        <v>10984</v>
      </c>
      <c r="C373" s="44" t="s">
        <v>10985</v>
      </c>
      <c r="D373" s="44" t="s">
        <v>728</v>
      </c>
      <c r="E373" s="45">
        <v>23553.42</v>
      </c>
      <c r="F373" s="44" t="s">
        <v>728</v>
      </c>
      <c r="G373" s="45">
        <v>23543.541000000001</v>
      </c>
      <c r="H373" s="44"/>
      <c r="I373" s="45"/>
      <c r="J373" s="45">
        <f t="shared" si="1"/>
        <v>23548.480499999998</v>
      </c>
      <c r="K373" s="46" t="s">
        <v>5800</v>
      </c>
      <c r="L373" s="43">
        <v>239</v>
      </c>
    </row>
    <row r="374" spans="1:12" ht="11.25" customHeight="1">
      <c r="A374" s="39">
        <v>1349</v>
      </c>
      <c r="B374" s="40" t="s">
        <v>6036</v>
      </c>
      <c r="C374" s="40" t="s">
        <v>10986</v>
      </c>
      <c r="D374" s="40" t="s">
        <v>3664</v>
      </c>
      <c r="E374" s="41">
        <v>726.26</v>
      </c>
      <c r="F374" s="40" t="s">
        <v>3664</v>
      </c>
      <c r="G374" s="41">
        <v>726.78279999999995</v>
      </c>
      <c r="H374" s="40"/>
      <c r="I374" s="41"/>
      <c r="J374" s="41">
        <f t="shared" si="1"/>
        <v>726.52139999999997</v>
      </c>
      <c r="K374" s="42" t="s">
        <v>5796</v>
      </c>
      <c r="L374" s="39">
        <v>1349</v>
      </c>
    </row>
    <row r="375" spans="1:12" ht="11.25" customHeight="1">
      <c r="A375" s="43">
        <v>209</v>
      </c>
      <c r="B375" s="44" t="s">
        <v>10987</v>
      </c>
      <c r="C375" s="44" t="s">
        <v>10988</v>
      </c>
      <c r="D375" s="44" t="s">
        <v>638</v>
      </c>
      <c r="E375" s="45">
        <v>29337.62</v>
      </c>
      <c r="F375" s="44" t="s">
        <v>638</v>
      </c>
      <c r="G375" s="45">
        <v>29344.641599999999</v>
      </c>
      <c r="H375" s="44"/>
      <c r="I375" s="45"/>
      <c r="J375" s="45">
        <f t="shared" si="1"/>
        <v>29341.130799999999</v>
      </c>
      <c r="K375" s="46" t="s">
        <v>5800</v>
      </c>
      <c r="L375" s="43">
        <v>209</v>
      </c>
    </row>
    <row r="376" spans="1:12" ht="11.25" customHeight="1">
      <c r="A376" s="39">
        <v>278</v>
      </c>
      <c r="B376" s="40" t="s">
        <v>10989</v>
      </c>
      <c r="C376" s="40" t="s">
        <v>10990</v>
      </c>
      <c r="D376" s="40" t="s">
        <v>845</v>
      </c>
      <c r="E376" s="41">
        <v>18865.38</v>
      </c>
      <c r="F376" s="40" t="s">
        <v>845</v>
      </c>
      <c r="G376" s="41">
        <v>18865.6083</v>
      </c>
      <c r="H376" s="40"/>
      <c r="I376" s="41"/>
      <c r="J376" s="41">
        <f t="shared" si="1"/>
        <v>18865.494149999999</v>
      </c>
      <c r="K376" s="42" t="s">
        <v>5796</v>
      </c>
      <c r="L376" s="39">
        <v>278</v>
      </c>
    </row>
    <row r="377" spans="1:12" ht="11.25" customHeight="1">
      <c r="A377" s="39">
        <v>2610</v>
      </c>
      <c r="B377" s="40" t="s">
        <v>10991</v>
      </c>
      <c r="C377" s="40" t="s">
        <v>10992</v>
      </c>
      <c r="D377" s="40"/>
      <c r="E377" s="41"/>
      <c r="F377" s="40" t="s">
        <v>5385</v>
      </c>
      <c r="G377" s="41">
        <v>67.518900000000002</v>
      </c>
      <c r="H377" s="40"/>
      <c r="I377" s="41"/>
      <c r="J377" s="41">
        <f t="shared" si="1"/>
        <v>67.518900000000002</v>
      </c>
      <c r="K377" s="42" t="s">
        <v>5796</v>
      </c>
      <c r="L377" s="39">
        <v>2610</v>
      </c>
    </row>
    <row r="378" spans="1:12" ht="11.25" customHeight="1">
      <c r="A378" s="39">
        <v>577</v>
      </c>
      <c r="B378" s="40" t="s">
        <v>10993</v>
      </c>
      <c r="C378" s="40" t="s">
        <v>10994</v>
      </c>
      <c r="D378" s="40" t="s">
        <v>1712</v>
      </c>
      <c r="E378" s="41">
        <v>5881.28</v>
      </c>
      <c r="F378" s="40" t="s">
        <v>1712</v>
      </c>
      <c r="G378" s="41">
        <v>5885.8005000000003</v>
      </c>
      <c r="H378" s="40"/>
      <c r="I378" s="41"/>
      <c r="J378" s="41">
        <f t="shared" si="1"/>
        <v>5883.54025</v>
      </c>
      <c r="K378" s="42" t="s">
        <v>5796</v>
      </c>
      <c r="L378" s="39">
        <v>577</v>
      </c>
    </row>
    <row r="379" spans="1:12" ht="11.25" customHeight="1">
      <c r="A379" s="39">
        <v>1311</v>
      </c>
      <c r="B379" s="40" t="s">
        <v>10995</v>
      </c>
      <c r="C379" s="40" t="s">
        <v>10996</v>
      </c>
      <c r="D379" s="40" t="s">
        <v>3601</v>
      </c>
      <c r="E379" s="41">
        <v>791.8</v>
      </c>
      <c r="F379" s="40" t="s">
        <v>3601</v>
      </c>
      <c r="G379" s="41">
        <v>790.471</v>
      </c>
      <c r="H379" s="40"/>
      <c r="I379" s="41"/>
      <c r="J379" s="41">
        <f t="shared" si="1"/>
        <v>791.13549999999998</v>
      </c>
      <c r="K379" s="42" t="s">
        <v>5796</v>
      </c>
      <c r="L379" s="39">
        <v>1311</v>
      </c>
    </row>
    <row r="380" spans="1:12" ht="11.25" customHeight="1">
      <c r="A380" s="39">
        <v>2222</v>
      </c>
      <c r="B380" s="40" t="s">
        <v>10997</v>
      </c>
      <c r="C380" s="40" t="s">
        <v>10998</v>
      </c>
      <c r="D380" s="40" t="s">
        <v>5047</v>
      </c>
      <c r="E380" s="41">
        <v>126.67</v>
      </c>
      <c r="F380" s="40" t="s">
        <v>5047</v>
      </c>
      <c r="G380" s="41">
        <v>126.6636</v>
      </c>
      <c r="H380" s="40"/>
      <c r="I380" s="41"/>
      <c r="J380" s="41">
        <f t="shared" si="1"/>
        <v>126.66679999999999</v>
      </c>
      <c r="K380" s="42" t="s">
        <v>5796</v>
      </c>
      <c r="L380" s="39">
        <v>2222</v>
      </c>
    </row>
    <row r="381" spans="1:12" ht="11.25" customHeight="1">
      <c r="A381" s="39">
        <v>402</v>
      </c>
      <c r="B381" s="40" t="s">
        <v>10999</v>
      </c>
      <c r="C381" s="40" t="s">
        <v>11000</v>
      </c>
      <c r="D381" s="40" t="s">
        <v>1214</v>
      </c>
      <c r="E381" s="41">
        <v>10097.969999999999</v>
      </c>
      <c r="F381" s="40" t="s">
        <v>1214</v>
      </c>
      <c r="G381" s="41">
        <v>10097.574699999999</v>
      </c>
      <c r="H381" s="40"/>
      <c r="I381" s="41"/>
      <c r="J381" s="41">
        <f t="shared" si="1"/>
        <v>10097.772349999999</v>
      </c>
      <c r="K381" s="42" t="s">
        <v>5796</v>
      </c>
      <c r="L381" s="39">
        <v>402</v>
      </c>
    </row>
    <row r="382" spans="1:12" ht="11.25" customHeight="1">
      <c r="A382" s="39">
        <v>2590</v>
      </c>
      <c r="B382" s="40" t="s">
        <v>11001</v>
      </c>
      <c r="C382" s="40" t="s">
        <v>11002</v>
      </c>
      <c r="D382" s="40" t="s">
        <v>5376</v>
      </c>
      <c r="E382" s="41">
        <v>70.33</v>
      </c>
      <c r="F382" s="40" t="s">
        <v>5376</v>
      </c>
      <c r="G382" s="41">
        <v>70.391000000000005</v>
      </c>
      <c r="H382" s="40"/>
      <c r="I382" s="41"/>
      <c r="J382" s="41">
        <f t="shared" si="1"/>
        <v>70.360500000000002</v>
      </c>
      <c r="K382" s="42" t="s">
        <v>5796</v>
      </c>
      <c r="L382" s="39">
        <v>2590</v>
      </c>
    </row>
    <row r="383" spans="1:12" ht="11.25" customHeight="1">
      <c r="A383" s="43">
        <v>127</v>
      </c>
      <c r="B383" s="44" t="s">
        <v>11003</v>
      </c>
      <c r="C383" s="44" t="s">
        <v>11004</v>
      </c>
      <c r="D383" s="44" t="s">
        <v>395</v>
      </c>
      <c r="E383" s="45">
        <v>50158.74</v>
      </c>
      <c r="F383" s="44" t="s">
        <v>395</v>
      </c>
      <c r="G383" s="45">
        <v>50171.7693</v>
      </c>
      <c r="H383" s="44"/>
      <c r="I383" s="45"/>
      <c r="J383" s="45">
        <f t="shared" si="1"/>
        <v>50165.254650000003</v>
      </c>
      <c r="K383" s="46" t="s">
        <v>5800</v>
      </c>
      <c r="L383" s="43">
        <v>127</v>
      </c>
    </row>
    <row r="384" spans="1:12" ht="11.25" customHeight="1">
      <c r="A384" s="39">
        <v>1358</v>
      </c>
      <c r="B384" s="40" t="s">
        <v>11005</v>
      </c>
      <c r="C384" s="40" t="s">
        <v>11006</v>
      </c>
      <c r="D384" s="40" t="s">
        <v>3679</v>
      </c>
      <c r="E384" s="41">
        <v>708.95</v>
      </c>
      <c r="F384" s="40" t="s">
        <v>3679</v>
      </c>
      <c r="G384" s="41">
        <v>708.70870000000002</v>
      </c>
      <c r="H384" s="40"/>
      <c r="I384" s="41"/>
      <c r="J384" s="41">
        <f t="shared" si="1"/>
        <v>708.82934999999998</v>
      </c>
      <c r="K384" s="42" t="s">
        <v>5796</v>
      </c>
      <c r="L384" s="39">
        <v>1358</v>
      </c>
    </row>
    <row r="385" spans="1:12" ht="11.25" customHeight="1">
      <c r="A385" s="39">
        <v>3169</v>
      </c>
      <c r="B385" s="40" t="s">
        <v>11007</v>
      </c>
      <c r="C385" s="40" t="s">
        <v>11008</v>
      </c>
      <c r="D385" s="40" t="s">
        <v>5604</v>
      </c>
      <c r="E385" s="41">
        <v>29.6</v>
      </c>
      <c r="F385" s="40" t="s">
        <v>5604</v>
      </c>
      <c r="G385" s="41">
        <v>29.5656</v>
      </c>
      <c r="H385" s="40"/>
      <c r="I385" s="41"/>
      <c r="J385" s="41">
        <f t="shared" si="1"/>
        <v>29.582799999999999</v>
      </c>
      <c r="K385" s="42" t="s">
        <v>5796</v>
      </c>
      <c r="L385" s="39">
        <v>3169</v>
      </c>
    </row>
    <row r="386" spans="1:12" ht="11.25" customHeight="1">
      <c r="A386" s="39">
        <v>1602</v>
      </c>
      <c r="B386" s="40" t="s">
        <v>11009</v>
      </c>
      <c r="C386" s="40" t="s">
        <v>11010</v>
      </c>
      <c r="D386" s="40" t="s">
        <v>4150</v>
      </c>
      <c r="E386" s="41">
        <v>412.51</v>
      </c>
      <c r="F386" s="40" t="s">
        <v>4150</v>
      </c>
      <c r="G386" s="41">
        <v>412.76690000000002</v>
      </c>
      <c r="H386" s="40"/>
      <c r="I386" s="41"/>
      <c r="J386" s="41">
        <f t="shared" si="1"/>
        <v>412.63845000000003</v>
      </c>
      <c r="K386" s="42" t="s">
        <v>5796</v>
      </c>
      <c r="L386" s="39">
        <v>1602</v>
      </c>
    </row>
    <row r="387" spans="1:12" ht="11.25" customHeight="1">
      <c r="A387" s="39">
        <v>277</v>
      </c>
      <c r="B387" s="40" t="s">
        <v>11011</v>
      </c>
      <c r="C387" s="40" t="s">
        <v>11012</v>
      </c>
      <c r="D387" s="40" t="s">
        <v>842</v>
      </c>
      <c r="E387" s="41">
        <v>19020.59</v>
      </c>
      <c r="F387" s="40" t="s">
        <v>842</v>
      </c>
      <c r="G387" s="41">
        <v>19021.155999999999</v>
      </c>
      <c r="H387" s="40"/>
      <c r="I387" s="41"/>
      <c r="J387" s="41">
        <f t="shared" si="1"/>
        <v>19020.873</v>
      </c>
      <c r="K387" s="42" t="s">
        <v>5796</v>
      </c>
      <c r="L387" s="39">
        <v>277</v>
      </c>
    </row>
    <row r="388" spans="1:12" ht="11.25" customHeight="1">
      <c r="A388" s="39">
        <v>622</v>
      </c>
      <c r="B388" s="40" t="s">
        <v>11013</v>
      </c>
      <c r="C388" s="40" t="s">
        <v>11014</v>
      </c>
      <c r="D388" s="40" t="s">
        <v>1838</v>
      </c>
      <c r="E388" s="41">
        <v>4877.41</v>
      </c>
      <c r="F388" s="40" t="s">
        <v>1838</v>
      </c>
      <c r="G388" s="41">
        <v>4878.1197000000002</v>
      </c>
      <c r="H388" s="40"/>
      <c r="I388" s="41"/>
      <c r="J388" s="41">
        <f t="shared" si="1"/>
        <v>4877.7648499999996</v>
      </c>
      <c r="K388" s="42" t="s">
        <v>5796</v>
      </c>
      <c r="L388" s="39">
        <v>622</v>
      </c>
    </row>
    <row r="389" spans="1:12" ht="11.25" customHeight="1">
      <c r="A389" s="47">
        <v>58</v>
      </c>
      <c r="B389" s="48" t="s">
        <v>11015</v>
      </c>
      <c r="C389" s="48" t="s">
        <v>11016</v>
      </c>
      <c r="D389" s="48" t="s">
        <v>185</v>
      </c>
      <c r="E389" s="49">
        <v>97969.97</v>
      </c>
      <c r="F389" s="48" t="s">
        <v>185</v>
      </c>
      <c r="G389" s="49">
        <v>97976.726899999994</v>
      </c>
      <c r="H389" s="48"/>
      <c r="I389" s="49"/>
      <c r="J389" s="49">
        <f t="shared" si="1"/>
        <v>97973.34844999999</v>
      </c>
      <c r="K389" s="50" t="s">
        <v>5815</v>
      </c>
      <c r="L389" s="47">
        <v>58</v>
      </c>
    </row>
    <row r="390" spans="1:12" ht="11.25" customHeight="1">
      <c r="A390" s="43">
        <v>162</v>
      </c>
      <c r="B390" s="44" t="s">
        <v>6047</v>
      </c>
      <c r="C390" s="44" t="s">
        <v>11017</v>
      </c>
      <c r="D390" s="44" t="s">
        <v>497</v>
      </c>
      <c r="E390" s="45">
        <v>40583.769999999997</v>
      </c>
      <c r="F390" s="44" t="s">
        <v>497</v>
      </c>
      <c r="G390" s="45">
        <v>40585.739699999998</v>
      </c>
      <c r="H390" s="44"/>
      <c r="I390" s="45"/>
      <c r="J390" s="45">
        <f t="shared" si="1"/>
        <v>40584.754849999998</v>
      </c>
      <c r="K390" s="46" t="s">
        <v>5800</v>
      </c>
      <c r="L390" s="43">
        <v>162</v>
      </c>
    </row>
    <row r="391" spans="1:12" ht="11.25" customHeight="1">
      <c r="A391" s="39">
        <v>749</v>
      </c>
      <c r="B391" s="40" t="s">
        <v>11018</v>
      </c>
      <c r="C391" s="40" t="s">
        <v>11019</v>
      </c>
      <c r="D391" s="40" t="s">
        <v>2194</v>
      </c>
      <c r="E391" s="41">
        <v>3341.5</v>
      </c>
      <c r="F391" s="40" t="s">
        <v>2194</v>
      </c>
      <c r="G391" s="41">
        <v>3341.6183000000001</v>
      </c>
      <c r="H391" s="40"/>
      <c r="I391" s="41"/>
      <c r="J391" s="41">
        <f t="shared" si="1"/>
        <v>3341.55915</v>
      </c>
      <c r="K391" s="42" t="s">
        <v>5796</v>
      </c>
      <c r="L391" s="39">
        <v>749</v>
      </c>
    </row>
    <row r="392" spans="1:12" ht="11.25" customHeight="1">
      <c r="A392" s="39">
        <v>2288</v>
      </c>
      <c r="B392" s="40" t="s">
        <v>11020</v>
      </c>
      <c r="C392" s="40" t="s">
        <v>11021</v>
      </c>
      <c r="D392" s="40" t="s">
        <v>11022</v>
      </c>
      <c r="E392" s="41">
        <v>114</v>
      </c>
      <c r="F392" s="40" t="s">
        <v>5116</v>
      </c>
      <c r="G392" s="41">
        <v>113.8261</v>
      </c>
      <c r="H392" s="40"/>
      <c r="I392" s="41"/>
      <c r="J392" s="41">
        <f t="shared" si="1"/>
        <v>113.91305</v>
      </c>
      <c r="K392" s="42" t="s">
        <v>5796</v>
      </c>
      <c r="L392" s="39">
        <v>2288</v>
      </c>
    </row>
    <row r="393" spans="1:12" ht="11.25" customHeight="1">
      <c r="A393" s="39">
        <v>2028</v>
      </c>
      <c r="B393" s="40" t="s">
        <v>11023</v>
      </c>
      <c r="C393" s="40" t="s">
        <v>11024</v>
      </c>
      <c r="D393" s="40"/>
      <c r="E393" s="41"/>
      <c r="F393" s="40" t="s">
        <v>4783</v>
      </c>
      <c r="G393" s="41">
        <v>181.36760000000001</v>
      </c>
      <c r="H393" s="40"/>
      <c r="I393" s="41"/>
      <c r="J393" s="41">
        <f t="shared" si="1"/>
        <v>181.36760000000001</v>
      </c>
      <c r="K393" s="42" t="s">
        <v>5796</v>
      </c>
      <c r="L393" s="39">
        <v>2028</v>
      </c>
    </row>
    <row r="394" spans="1:12" ht="11.25" customHeight="1">
      <c r="A394" s="39">
        <v>722</v>
      </c>
      <c r="B394" s="40" t="s">
        <v>11025</v>
      </c>
      <c r="C394" s="40" t="s">
        <v>11026</v>
      </c>
      <c r="D394" s="40" t="s">
        <v>2113</v>
      </c>
      <c r="E394" s="41">
        <v>3577.43</v>
      </c>
      <c r="F394" s="40" t="s">
        <v>2113</v>
      </c>
      <c r="G394" s="41">
        <v>3576.2386000000001</v>
      </c>
      <c r="H394" s="40"/>
      <c r="I394" s="41"/>
      <c r="J394" s="41">
        <f t="shared" si="1"/>
        <v>3576.8343</v>
      </c>
      <c r="K394" s="42" t="s">
        <v>5796</v>
      </c>
      <c r="L394" s="39">
        <v>722</v>
      </c>
    </row>
    <row r="395" spans="1:12" ht="11.25" customHeight="1">
      <c r="A395" s="39">
        <v>375</v>
      </c>
      <c r="B395" s="40" t="s">
        <v>11027</v>
      </c>
      <c r="C395" s="40" t="s">
        <v>11028</v>
      </c>
      <c r="D395" s="40" t="s">
        <v>11029</v>
      </c>
      <c r="E395" s="41">
        <v>11422.67</v>
      </c>
      <c r="F395" s="40" t="s">
        <v>1133</v>
      </c>
      <c r="G395" s="41">
        <v>11423.9871</v>
      </c>
      <c r="H395" s="40"/>
      <c r="I395" s="41"/>
      <c r="J395" s="41">
        <f t="shared" si="1"/>
        <v>11423.32855</v>
      </c>
      <c r="K395" s="42" t="s">
        <v>5796</v>
      </c>
      <c r="L395" s="39">
        <v>375</v>
      </c>
    </row>
    <row r="396" spans="1:12" ht="11.25" customHeight="1">
      <c r="A396" s="39">
        <v>649</v>
      </c>
      <c r="B396" s="40" t="s">
        <v>11030</v>
      </c>
      <c r="C396" s="40" t="s">
        <v>11031</v>
      </c>
      <c r="D396" s="40" t="s">
        <v>1907</v>
      </c>
      <c r="E396" s="41">
        <v>4440.6099999999997</v>
      </c>
      <c r="F396" s="40" t="s">
        <v>1907</v>
      </c>
      <c r="G396" s="41">
        <v>4442.2028</v>
      </c>
      <c r="H396" s="40"/>
      <c r="I396" s="41"/>
      <c r="J396" s="41">
        <f t="shared" si="1"/>
        <v>4441.4063999999998</v>
      </c>
      <c r="K396" s="42" t="s">
        <v>5796</v>
      </c>
      <c r="L396" s="39">
        <v>649</v>
      </c>
    </row>
    <row r="397" spans="1:12" ht="11.25" customHeight="1">
      <c r="A397" s="39">
        <v>627</v>
      </c>
      <c r="B397" s="40" t="s">
        <v>11032</v>
      </c>
      <c r="C397" s="40" t="s">
        <v>11033</v>
      </c>
      <c r="D397" s="40" t="s">
        <v>1853</v>
      </c>
      <c r="E397" s="41">
        <v>4770.8</v>
      </c>
      <c r="F397" s="40" t="s">
        <v>1853</v>
      </c>
      <c r="G397" s="41">
        <v>4770.4757</v>
      </c>
      <c r="H397" s="40"/>
      <c r="I397" s="41"/>
      <c r="J397" s="41">
        <f t="shared" si="1"/>
        <v>4770.6378500000001</v>
      </c>
      <c r="K397" s="42" t="s">
        <v>5796</v>
      </c>
      <c r="L397" s="39">
        <v>627</v>
      </c>
    </row>
    <row r="398" spans="1:12" ht="11.25" customHeight="1">
      <c r="A398" s="39">
        <v>1180</v>
      </c>
      <c r="B398" s="40" t="s">
        <v>11034</v>
      </c>
      <c r="C398" s="40" t="s">
        <v>11035</v>
      </c>
      <c r="D398" s="40" t="s">
        <v>3298</v>
      </c>
      <c r="E398" s="41">
        <v>1084.3599999999999</v>
      </c>
      <c r="F398" s="40" t="s">
        <v>3298</v>
      </c>
      <c r="G398" s="41">
        <v>1084.3556000000001</v>
      </c>
      <c r="H398" s="40"/>
      <c r="I398" s="41"/>
      <c r="J398" s="41">
        <f t="shared" si="1"/>
        <v>1084.3578</v>
      </c>
      <c r="K398" s="42" t="s">
        <v>5796</v>
      </c>
      <c r="L398" s="39">
        <v>1180</v>
      </c>
    </row>
    <row r="399" spans="1:12" ht="11.25" customHeight="1">
      <c r="A399" s="39">
        <v>589</v>
      </c>
      <c r="B399" s="40" t="s">
        <v>6050</v>
      </c>
      <c r="C399" s="40" t="s">
        <v>11036</v>
      </c>
      <c r="D399" s="40" t="s">
        <v>1739</v>
      </c>
      <c r="E399" s="41">
        <v>5675</v>
      </c>
      <c r="F399" s="40" t="s">
        <v>1739</v>
      </c>
      <c r="G399" s="41">
        <v>5620.5748999999996</v>
      </c>
      <c r="H399" s="40"/>
      <c r="I399" s="41"/>
      <c r="J399" s="41">
        <f t="shared" si="1"/>
        <v>5647.7874499999998</v>
      </c>
      <c r="K399" s="42" t="s">
        <v>5796</v>
      </c>
      <c r="L399" s="39">
        <v>589</v>
      </c>
    </row>
    <row r="400" spans="1:12" ht="11.25" customHeight="1">
      <c r="A400" s="39">
        <v>2310</v>
      </c>
      <c r="B400" s="40" t="s">
        <v>11037</v>
      </c>
      <c r="C400" s="40" t="s">
        <v>11038</v>
      </c>
      <c r="D400" s="40" t="s">
        <v>5146</v>
      </c>
      <c r="E400" s="41">
        <v>109.74</v>
      </c>
      <c r="F400" s="40" t="s">
        <v>5146</v>
      </c>
      <c r="G400" s="41">
        <v>109.8661</v>
      </c>
      <c r="H400" s="40"/>
      <c r="I400" s="41"/>
      <c r="J400" s="41">
        <f t="shared" si="1"/>
        <v>109.80305</v>
      </c>
      <c r="K400" s="42" t="s">
        <v>5796</v>
      </c>
      <c r="L400" s="39">
        <v>2310</v>
      </c>
    </row>
    <row r="401" spans="1:12" ht="11.25" customHeight="1">
      <c r="A401" s="39">
        <v>862</v>
      </c>
      <c r="B401" s="40" t="s">
        <v>11039</v>
      </c>
      <c r="C401" s="40" t="s">
        <v>11040</v>
      </c>
      <c r="D401" s="40" t="s">
        <v>2500</v>
      </c>
      <c r="E401" s="41">
        <v>2454.7600000000002</v>
      </c>
      <c r="F401" s="40" t="s">
        <v>2500</v>
      </c>
      <c r="G401" s="41">
        <v>2456.0135</v>
      </c>
      <c r="H401" s="40"/>
      <c r="I401" s="41"/>
      <c r="J401" s="41">
        <f t="shared" si="1"/>
        <v>2455.3867500000001</v>
      </c>
      <c r="K401" s="42" t="s">
        <v>5796</v>
      </c>
      <c r="L401" s="39">
        <v>862</v>
      </c>
    </row>
    <row r="402" spans="1:12" ht="11.25" customHeight="1">
      <c r="A402" s="39">
        <v>708</v>
      </c>
      <c r="B402" s="40" t="s">
        <v>11041</v>
      </c>
      <c r="C402" s="40" t="s">
        <v>11042</v>
      </c>
      <c r="D402" s="40" t="s">
        <v>2077</v>
      </c>
      <c r="E402" s="41">
        <v>3750.67</v>
      </c>
      <c r="F402" s="40" t="s">
        <v>2077</v>
      </c>
      <c r="G402" s="41">
        <v>3749.5554999999999</v>
      </c>
      <c r="H402" s="40"/>
      <c r="I402" s="41"/>
      <c r="J402" s="41">
        <f t="shared" si="1"/>
        <v>3750.1127500000002</v>
      </c>
      <c r="K402" s="42" t="s">
        <v>5796</v>
      </c>
      <c r="L402" s="39">
        <v>708</v>
      </c>
    </row>
    <row r="403" spans="1:12" ht="11.25" customHeight="1">
      <c r="A403" s="39">
        <v>1951</v>
      </c>
      <c r="B403" s="40" t="s">
        <v>11043</v>
      </c>
      <c r="C403" s="40" t="s">
        <v>11044</v>
      </c>
      <c r="D403" s="40" t="s">
        <v>4669</v>
      </c>
      <c r="E403" s="41">
        <v>203.04</v>
      </c>
      <c r="F403" s="40" t="s">
        <v>4669</v>
      </c>
      <c r="G403" s="41">
        <v>203.10149999999999</v>
      </c>
      <c r="H403" s="40"/>
      <c r="I403" s="41"/>
      <c r="J403" s="41">
        <f t="shared" si="1"/>
        <v>203.07074999999998</v>
      </c>
      <c r="K403" s="42" t="s">
        <v>5796</v>
      </c>
      <c r="L403" s="39">
        <v>1951</v>
      </c>
    </row>
    <row r="404" spans="1:12" ht="11.25" customHeight="1">
      <c r="A404" s="39">
        <v>2162</v>
      </c>
      <c r="B404" s="40" t="s">
        <v>11045</v>
      </c>
      <c r="C404" s="40" t="s">
        <v>11046</v>
      </c>
      <c r="D404" s="40" t="s">
        <v>4972</v>
      </c>
      <c r="E404" s="41">
        <v>142.81</v>
      </c>
      <c r="F404" s="40" t="s">
        <v>4972</v>
      </c>
      <c r="G404" s="41">
        <v>142.76050000000001</v>
      </c>
      <c r="H404" s="40"/>
      <c r="I404" s="41"/>
      <c r="J404" s="41">
        <f t="shared" si="1"/>
        <v>142.78525000000002</v>
      </c>
      <c r="K404" s="42" t="s">
        <v>5796</v>
      </c>
      <c r="L404" s="39">
        <v>2162</v>
      </c>
    </row>
    <row r="405" spans="1:12" ht="11.25" customHeight="1">
      <c r="A405" s="39">
        <v>3978</v>
      </c>
      <c r="B405" s="40" t="s">
        <v>11047</v>
      </c>
      <c r="C405" s="40" t="s">
        <v>11048</v>
      </c>
      <c r="D405" s="40" t="s">
        <v>5751</v>
      </c>
      <c r="E405" s="41">
        <v>8.7899999999999991</v>
      </c>
      <c r="F405" s="40" t="s">
        <v>5751</v>
      </c>
      <c r="G405" s="41">
        <v>8.7154000000000007</v>
      </c>
      <c r="H405" s="40"/>
      <c r="I405" s="41"/>
      <c r="J405" s="41">
        <f t="shared" si="1"/>
        <v>8.7527000000000008</v>
      </c>
      <c r="K405" s="42" t="s">
        <v>5796</v>
      </c>
      <c r="L405" s="39">
        <v>3978</v>
      </c>
    </row>
    <row r="406" spans="1:12" ht="11.25" customHeight="1">
      <c r="A406" s="39">
        <v>1729</v>
      </c>
      <c r="B406" s="40" t="s">
        <v>6055</v>
      </c>
      <c r="C406" s="40" t="s">
        <v>11049</v>
      </c>
      <c r="D406" s="40" t="s">
        <v>4378</v>
      </c>
      <c r="E406" s="41">
        <v>314.17</v>
      </c>
      <c r="F406" s="40" t="s">
        <v>4378</v>
      </c>
      <c r="G406" s="41">
        <v>314.35180000000003</v>
      </c>
      <c r="H406" s="40"/>
      <c r="I406" s="41"/>
      <c r="J406" s="41">
        <f t="shared" si="1"/>
        <v>314.26089999999999</v>
      </c>
      <c r="K406" s="42" t="s">
        <v>5796</v>
      </c>
      <c r="L406" s="39">
        <v>1729</v>
      </c>
    </row>
    <row r="407" spans="1:12" ht="11.25" customHeight="1">
      <c r="A407" s="39">
        <v>314</v>
      </c>
      <c r="B407" s="40" t="s">
        <v>11050</v>
      </c>
      <c r="C407" s="40" t="s">
        <v>11051</v>
      </c>
      <c r="D407" s="40" t="s">
        <v>953</v>
      </c>
      <c r="E407" s="41">
        <v>14873.43</v>
      </c>
      <c r="F407" s="40" t="s">
        <v>953</v>
      </c>
      <c r="G407" s="41">
        <v>14882.0072</v>
      </c>
      <c r="H407" s="40"/>
      <c r="I407" s="41"/>
      <c r="J407" s="41">
        <f t="shared" si="1"/>
        <v>14877.7186</v>
      </c>
      <c r="K407" s="42" t="s">
        <v>5796</v>
      </c>
      <c r="L407" s="39">
        <v>314</v>
      </c>
    </row>
    <row r="408" spans="1:12" ht="11.25" customHeight="1">
      <c r="A408" s="39">
        <v>1158</v>
      </c>
      <c r="B408" s="40" t="s">
        <v>11052</v>
      </c>
      <c r="C408" s="40" t="s">
        <v>11053</v>
      </c>
      <c r="D408" s="40" t="s">
        <v>11054</v>
      </c>
      <c r="E408" s="41">
        <v>1151.53</v>
      </c>
      <c r="F408" s="40" t="s">
        <v>3247</v>
      </c>
      <c r="G408" s="41">
        <v>1151.3625999999999</v>
      </c>
      <c r="H408" s="40"/>
      <c r="I408" s="41"/>
      <c r="J408" s="41">
        <f t="shared" si="1"/>
        <v>1151.4463000000001</v>
      </c>
      <c r="K408" s="42" t="s">
        <v>5796</v>
      </c>
      <c r="L408" s="39">
        <v>1158</v>
      </c>
    </row>
    <row r="409" spans="1:12" ht="11.25" customHeight="1">
      <c r="A409" s="39">
        <v>1035</v>
      </c>
      <c r="B409" s="40" t="s">
        <v>11055</v>
      </c>
      <c r="C409" s="40" t="s">
        <v>11056</v>
      </c>
      <c r="D409" s="40" t="s">
        <v>2959</v>
      </c>
      <c r="E409" s="41">
        <v>1541.7</v>
      </c>
      <c r="F409" s="40" t="s">
        <v>2959</v>
      </c>
      <c r="G409" s="41">
        <v>1541.5184999999999</v>
      </c>
      <c r="H409" s="40"/>
      <c r="I409" s="41"/>
      <c r="J409" s="41">
        <f t="shared" si="1"/>
        <v>1541.60925</v>
      </c>
      <c r="K409" s="42" t="s">
        <v>5796</v>
      </c>
      <c r="L409" s="39">
        <v>1035</v>
      </c>
    </row>
    <row r="410" spans="1:12" ht="11.25" customHeight="1">
      <c r="A410" s="39">
        <v>792</v>
      </c>
      <c r="B410" s="40" t="s">
        <v>11057</v>
      </c>
      <c r="C410" s="40" t="s">
        <v>11058</v>
      </c>
      <c r="D410" s="40" t="s">
        <v>2305</v>
      </c>
      <c r="E410" s="41">
        <v>2957.65</v>
      </c>
      <c r="F410" s="40" t="s">
        <v>2305</v>
      </c>
      <c r="G410" s="41">
        <v>2957.8528000000001</v>
      </c>
      <c r="H410" s="40"/>
      <c r="I410" s="41"/>
      <c r="J410" s="41">
        <f t="shared" si="1"/>
        <v>2957.7514000000001</v>
      </c>
      <c r="K410" s="42" t="s">
        <v>5796</v>
      </c>
      <c r="L410" s="39">
        <v>792</v>
      </c>
    </row>
    <row r="411" spans="1:12" ht="11.25" customHeight="1">
      <c r="A411" s="39">
        <v>1345</v>
      </c>
      <c r="B411" s="40" t="s">
        <v>11059</v>
      </c>
      <c r="C411" s="40" t="s">
        <v>11060</v>
      </c>
      <c r="D411" s="40" t="s">
        <v>3658</v>
      </c>
      <c r="E411" s="41">
        <v>733.33</v>
      </c>
      <c r="F411" s="40" t="s">
        <v>3658</v>
      </c>
      <c r="G411" s="41">
        <v>733.51009999999997</v>
      </c>
      <c r="H411" s="40"/>
      <c r="I411" s="41"/>
      <c r="J411" s="41">
        <f t="shared" si="1"/>
        <v>733.42004999999995</v>
      </c>
      <c r="K411" s="42" t="s">
        <v>5796</v>
      </c>
      <c r="L411" s="39">
        <v>1345</v>
      </c>
    </row>
    <row r="412" spans="1:12" ht="11.25" customHeight="1">
      <c r="A412" s="39">
        <v>480</v>
      </c>
      <c r="B412" s="40" t="s">
        <v>11061</v>
      </c>
      <c r="C412" s="40" t="s">
        <v>11062</v>
      </c>
      <c r="D412" s="40" t="s">
        <v>1427</v>
      </c>
      <c r="E412" s="41">
        <v>7776.33</v>
      </c>
      <c r="F412" s="40" t="s">
        <v>1427</v>
      </c>
      <c r="G412" s="41">
        <v>7777.7262000000001</v>
      </c>
      <c r="H412" s="40"/>
      <c r="I412" s="41"/>
      <c r="J412" s="41">
        <f t="shared" si="1"/>
        <v>7777.0280999999995</v>
      </c>
      <c r="K412" s="42" t="s">
        <v>5796</v>
      </c>
      <c r="L412" s="39">
        <v>480</v>
      </c>
    </row>
    <row r="413" spans="1:12" ht="11.25" customHeight="1">
      <c r="A413" s="43">
        <v>210</v>
      </c>
      <c r="B413" s="44" t="s">
        <v>11063</v>
      </c>
      <c r="C413" s="44" t="s">
        <v>11064</v>
      </c>
      <c r="D413" s="44" t="s">
        <v>11065</v>
      </c>
      <c r="E413" s="45">
        <v>29015.42</v>
      </c>
      <c r="F413" s="44" t="s">
        <v>641</v>
      </c>
      <c r="G413" s="45">
        <v>29020.231800000001</v>
      </c>
      <c r="H413" s="44"/>
      <c r="I413" s="45"/>
      <c r="J413" s="45">
        <f t="shared" si="1"/>
        <v>29017.8259</v>
      </c>
      <c r="K413" s="46" t="s">
        <v>5800</v>
      </c>
      <c r="L413" s="43">
        <v>210</v>
      </c>
    </row>
    <row r="414" spans="1:12" ht="11.25" customHeight="1">
      <c r="A414" s="39">
        <v>1526</v>
      </c>
      <c r="B414" s="40" t="s">
        <v>4013</v>
      </c>
      <c r="C414" s="40" t="s">
        <v>11066</v>
      </c>
      <c r="D414" s="40" t="s">
        <v>4015</v>
      </c>
      <c r="E414" s="41">
        <v>477.47</v>
      </c>
      <c r="F414" s="40" t="s">
        <v>4015</v>
      </c>
      <c r="G414" s="41">
        <v>477.2439</v>
      </c>
      <c r="H414" s="40"/>
      <c r="I414" s="41"/>
      <c r="J414" s="41">
        <f t="shared" si="1"/>
        <v>477.35694999999998</v>
      </c>
      <c r="K414" s="42" t="s">
        <v>5796</v>
      </c>
      <c r="L414" s="39">
        <v>1526</v>
      </c>
    </row>
    <row r="415" spans="1:12" ht="11.25" customHeight="1">
      <c r="A415" s="39">
        <v>1025</v>
      </c>
      <c r="B415" s="40" t="s">
        <v>11067</v>
      </c>
      <c r="C415" s="40" t="s">
        <v>11068</v>
      </c>
      <c r="D415" s="40" t="s">
        <v>11069</v>
      </c>
      <c r="E415" s="41">
        <v>1607.29</v>
      </c>
      <c r="F415" s="40" t="s">
        <v>2932</v>
      </c>
      <c r="G415" s="41">
        <v>1607.0193999999999</v>
      </c>
      <c r="H415" s="40"/>
      <c r="I415" s="41"/>
      <c r="J415" s="41">
        <f t="shared" si="1"/>
        <v>1607.1547</v>
      </c>
      <c r="K415" s="42" t="s">
        <v>5796</v>
      </c>
      <c r="L415" s="39">
        <v>1025</v>
      </c>
    </row>
    <row r="416" spans="1:12" ht="11.25" customHeight="1">
      <c r="A416" s="43">
        <v>206</v>
      </c>
      <c r="B416" s="44" t="s">
        <v>11070</v>
      </c>
      <c r="C416" s="44" t="s">
        <v>11071</v>
      </c>
      <c r="D416" s="44" t="s">
        <v>629</v>
      </c>
      <c r="E416" s="45">
        <v>29948.9</v>
      </c>
      <c r="F416" s="44" t="s">
        <v>629</v>
      </c>
      <c r="G416" s="45">
        <v>29906.706300000002</v>
      </c>
      <c r="H416" s="44"/>
      <c r="I416" s="45"/>
      <c r="J416" s="45">
        <f t="shared" si="1"/>
        <v>29927.80315</v>
      </c>
      <c r="K416" s="46" t="s">
        <v>5800</v>
      </c>
      <c r="L416" s="43">
        <v>206</v>
      </c>
    </row>
    <row r="417" spans="1:12" ht="11.25" customHeight="1">
      <c r="A417" s="39">
        <v>1603</v>
      </c>
      <c r="B417" s="40" t="s">
        <v>4151</v>
      </c>
      <c r="C417" s="40" t="s">
        <v>11072</v>
      </c>
      <c r="D417" s="40" t="s">
        <v>4153</v>
      </c>
      <c r="E417" s="41">
        <v>412.22</v>
      </c>
      <c r="F417" s="40" t="s">
        <v>4153</v>
      </c>
      <c r="G417" s="41">
        <v>412.03210000000001</v>
      </c>
      <c r="H417" s="40"/>
      <c r="I417" s="41"/>
      <c r="J417" s="41">
        <f t="shared" si="1"/>
        <v>412.12605000000002</v>
      </c>
      <c r="K417" s="42" t="s">
        <v>5796</v>
      </c>
      <c r="L417" s="39">
        <v>1603</v>
      </c>
    </row>
    <row r="418" spans="1:12" ht="11.25" customHeight="1">
      <c r="A418" s="39">
        <v>657</v>
      </c>
      <c r="B418" s="40" t="s">
        <v>11073</v>
      </c>
      <c r="C418" s="40" t="s">
        <v>11074</v>
      </c>
      <c r="D418" s="40" t="s">
        <v>1925</v>
      </c>
      <c r="E418" s="41">
        <v>4378.78</v>
      </c>
      <c r="F418" s="40" t="s">
        <v>1925</v>
      </c>
      <c r="G418" s="41">
        <v>4377.7257</v>
      </c>
      <c r="H418" s="40"/>
      <c r="I418" s="41"/>
      <c r="J418" s="41">
        <f t="shared" si="1"/>
        <v>4378.2528499999999</v>
      </c>
      <c r="K418" s="42" t="s">
        <v>5796</v>
      </c>
      <c r="L418" s="39">
        <v>657</v>
      </c>
    </row>
    <row r="419" spans="1:12" ht="11.25" customHeight="1">
      <c r="A419" s="39">
        <v>2407</v>
      </c>
      <c r="B419" s="40" t="s">
        <v>11075</v>
      </c>
      <c r="C419" s="40" t="s">
        <v>11076</v>
      </c>
      <c r="D419" s="40" t="s">
        <v>5215</v>
      </c>
      <c r="E419" s="41">
        <v>95.67</v>
      </c>
      <c r="F419" s="40" t="s">
        <v>5215</v>
      </c>
      <c r="G419" s="41">
        <v>95.570400000000006</v>
      </c>
      <c r="H419" s="40"/>
      <c r="I419" s="41"/>
      <c r="J419" s="41">
        <f t="shared" si="1"/>
        <v>95.620200000000011</v>
      </c>
      <c r="K419" s="42" t="s">
        <v>5796</v>
      </c>
      <c r="L419" s="39">
        <v>2407</v>
      </c>
    </row>
    <row r="420" spans="1:12" ht="11.25" customHeight="1">
      <c r="A420" s="39">
        <v>879</v>
      </c>
      <c r="B420" s="40" t="s">
        <v>11077</v>
      </c>
      <c r="C420" s="40" t="s">
        <v>11078</v>
      </c>
      <c r="D420" s="40" t="s">
        <v>2551</v>
      </c>
      <c r="E420" s="41">
        <v>2268.88</v>
      </c>
      <c r="F420" s="40" t="s">
        <v>2551</v>
      </c>
      <c r="G420" s="41">
        <v>2268.6606000000002</v>
      </c>
      <c r="H420" s="40"/>
      <c r="I420" s="41"/>
      <c r="J420" s="41">
        <f t="shared" si="1"/>
        <v>2268.7703000000001</v>
      </c>
      <c r="K420" s="42" t="s">
        <v>5796</v>
      </c>
      <c r="L420" s="39">
        <v>879</v>
      </c>
    </row>
    <row r="421" spans="1:12" ht="11.25" customHeight="1">
      <c r="A421" s="39">
        <v>1256</v>
      </c>
      <c r="B421" s="40" t="s">
        <v>11079</v>
      </c>
      <c r="C421" s="40" t="s">
        <v>11080</v>
      </c>
      <c r="D421" s="40" t="s">
        <v>3475</v>
      </c>
      <c r="E421" s="41">
        <v>899.55</v>
      </c>
      <c r="F421" s="40" t="s">
        <v>3475</v>
      </c>
      <c r="G421" s="41">
        <v>899.50559999999996</v>
      </c>
      <c r="H421" s="40"/>
      <c r="I421" s="41"/>
      <c r="J421" s="41">
        <f t="shared" si="1"/>
        <v>899.52779999999996</v>
      </c>
      <c r="K421" s="42" t="s">
        <v>5796</v>
      </c>
      <c r="L421" s="39">
        <v>1256</v>
      </c>
    </row>
    <row r="422" spans="1:12" ht="11.25" customHeight="1">
      <c r="A422" s="39">
        <v>1748</v>
      </c>
      <c r="B422" s="40" t="s">
        <v>6062</v>
      </c>
      <c r="C422" s="40" t="s">
        <v>11081</v>
      </c>
      <c r="D422" s="40" t="s">
        <v>4414</v>
      </c>
      <c r="E422" s="41">
        <v>300.5</v>
      </c>
      <c r="F422" s="40" t="s">
        <v>4414</v>
      </c>
      <c r="G422" s="41">
        <v>300.17099999999999</v>
      </c>
      <c r="H422" s="40"/>
      <c r="I422" s="41"/>
      <c r="J422" s="41">
        <f t="shared" si="1"/>
        <v>300.33550000000002</v>
      </c>
      <c r="K422" s="42" t="s">
        <v>5796</v>
      </c>
      <c r="L422" s="39">
        <v>1748</v>
      </c>
    </row>
    <row r="423" spans="1:12" ht="11.25" customHeight="1">
      <c r="A423" s="43">
        <v>240</v>
      </c>
      <c r="B423" s="44" t="s">
        <v>11082</v>
      </c>
      <c r="C423" s="44" t="s">
        <v>11083</v>
      </c>
      <c r="D423" s="44" t="s">
        <v>731</v>
      </c>
      <c r="E423" s="45">
        <v>23545.14</v>
      </c>
      <c r="F423" s="44" t="s">
        <v>731</v>
      </c>
      <c r="G423" s="45">
        <v>23547.604299999999</v>
      </c>
      <c r="H423" s="44"/>
      <c r="I423" s="45"/>
      <c r="J423" s="45">
        <f t="shared" si="1"/>
        <v>23546.372149999999</v>
      </c>
      <c r="K423" s="46" t="s">
        <v>5800</v>
      </c>
      <c r="L423" s="43">
        <v>240</v>
      </c>
    </row>
    <row r="424" spans="1:12" ht="11.25" customHeight="1">
      <c r="A424" s="39">
        <v>2314</v>
      </c>
      <c r="B424" s="40" t="s">
        <v>11084</v>
      </c>
      <c r="C424" s="40" t="s">
        <v>11085</v>
      </c>
      <c r="D424" s="40" t="s">
        <v>5149</v>
      </c>
      <c r="E424" s="41">
        <v>109.36</v>
      </c>
      <c r="F424" s="40" t="s">
        <v>5149</v>
      </c>
      <c r="G424" s="41">
        <v>109.7366</v>
      </c>
      <c r="H424" s="40"/>
      <c r="I424" s="41"/>
      <c r="J424" s="41">
        <f t="shared" si="1"/>
        <v>109.5483</v>
      </c>
      <c r="K424" s="42" t="s">
        <v>5796</v>
      </c>
      <c r="L424" s="39">
        <v>2314</v>
      </c>
    </row>
    <row r="425" spans="1:12" ht="11.25" customHeight="1">
      <c r="A425" s="39">
        <v>979</v>
      </c>
      <c r="B425" s="40" t="s">
        <v>11086</v>
      </c>
      <c r="C425" s="40" t="s">
        <v>11087</v>
      </c>
      <c r="D425" s="40" t="s">
        <v>2809</v>
      </c>
      <c r="E425" s="41">
        <v>1807.18</v>
      </c>
      <c r="F425" s="40" t="s">
        <v>2809</v>
      </c>
      <c r="G425" s="41">
        <v>1807.3432</v>
      </c>
      <c r="H425" s="40"/>
      <c r="I425" s="41"/>
      <c r="J425" s="41">
        <f t="shared" si="1"/>
        <v>1807.2616</v>
      </c>
      <c r="K425" s="42" t="s">
        <v>5796</v>
      </c>
      <c r="L425" s="39">
        <v>979</v>
      </c>
    </row>
    <row r="426" spans="1:12" ht="11.25" customHeight="1">
      <c r="A426" s="39">
        <v>1381</v>
      </c>
      <c r="B426" s="40" t="s">
        <v>11088</v>
      </c>
      <c r="C426" s="40" t="s">
        <v>11089</v>
      </c>
      <c r="D426" s="40" t="s">
        <v>3733</v>
      </c>
      <c r="E426" s="41">
        <v>667.69</v>
      </c>
      <c r="F426" s="40" t="s">
        <v>3733</v>
      </c>
      <c r="G426" s="41">
        <v>667.6662</v>
      </c>
      <c r="H426" s="40"/>
      <c r="I426" s="41"/>
      <c r="J426" s="41">
        <f t="shared" si="1"/>
        <v>667.67810000000009</v>
      </c>
      <c r="K426" s="42" t="s">
        <v>5796</v>
      </c>
      <c r="L426" s="39">
        <v>1381</v>
      </c>
    </row>
    <row r="427" spans="1:12" ht="11.25" customHeight="1">
      <c r="A427" s="39">
        <v>859</v>
      </c>
      <c r="B427" s="40" t="s">
        <v>11090</v>
      </c>
      <c r="C427" s="40" t="s">
        <v>11091</v>
      </c>
      <c r="D427" s="40" t="s">
        <v>2491</v>
      </c>
      <c r="E427" s="41">
        <v>2501.54</v>
      </c>
      <c r="F427" s="40" t="s">
        <v>2491</v>
      </c>
      <c r="G427" s="41">
        <v>2429.9843999999998</v>
      </c>
      <c r="H427" s="40"/>
      <c r="I427" s="41"/>
      <c r="J427" s="41">
        <f t="shared" si="1"/>
        <v>2465.7622000000001</v>
      </c>
      <c r="K427" s="42" t="s">
        <v>5796</v>
      </c>
      <c r="L427" s="39">
        <v>859</v>
      </c>
    </row>
    <row r="428" spans="1:12" ht="11.25" customHeight="1">
      <c r="A428" s="39">
        <v>698</v>
      </c>
      <c r="B428" s="40" t="s">
        <v>11092</v>
      </c>
      <c r="C428" s="40" t="s">
        <v>11093</v>
      </c>
      <c r="D428" s="40" t="s">
        <v>2048</v>
      </c>
      <c r="E428" s="41">
        <v>3942.44</v>
      </c>
      <c r="F428" s="40" t="s">
        <v>2048</v>
      </c>
      <c r="G428" s="41">
        <v>3858.7784999999999</v>
      </c>
      <c r="H428" s="40"/>
      <c r="I428" s="41"/>
      <c r="J428" s="41">
        <f t="shared" si="1"/>
        <v>3900.60925</v>
      </c>
      <c r="K428" s="42" t="s">
        <v>5796</v>
      </c>
      <c r="L428" s="39">
        <v>698</v>
      </c>
    </row>
    <row r="429" spans="1:12" ht="11.25" customHeight="1">
      <c r="A429" s="39">
        <v>1325</v>
      </c>
      <c r="B429" s="40" t="s">
        <v>11094</v>
      </c>
      <c r="C429" s="40" t="s">
        <v>11095</v>
      </c>
      <c r="D429" s="40" t="s">
        <v>3628</v>
      </c>
      <c r="E429" s="41">
        <v>756.7</v>
      </c>
      <c r="F429" s="40" t="s">
        <v>3628</v>
      </c>
      <c r="G429" s="41">
        <v>756.79100000000005</v>
      </c>
      <c r="H429" s="40"/>
      <c r="I429" s="41"/>
      <c r="J429" s="41">
        <f t="shared" si="1"/>
        <v>756.74549999999999</v>
      </c>
      <c r="K429" s="42" t="s">
        <v>5796</v>
      </c>
      <c r="L429" s="39">
        <v>1325</v>
      </c>
    </row>
    <row r="430" spans="1:12" ht="11.25" customHeight="1">
      <c r="A430" s="39">
        <v>2475</v>
      </c>
      <c r="B430" s="40" t="s">
        <v>11096</v>
      </c>
      <c r="C430" s="40" t="s">
        <v>11097</v>
      </c>
      <c r="D430" s="40" t="s">
        <v>5280</v>
      </c>
      <c r="E430" s="41">
        <v>85.53</v>
      </c>
      <c r="F430" s="40" t="s">
        <v>5280</v>
      </c>
      <c r="G430" s="41">
        <v>85.351399999999998</v>
      </c>
      <c r="H430" s="40"/>
      <c r="I430" s="41"/>
      <c r="J430" s="41">
        <f t="shared" si="1"/>
        <v>85.440699999999993</v>
      </c>
      <c r="K430" s="42" t="s">
        <v>5796</v>
      </c>
      <c r="L430" s="39">
        <v>2475</v>
      </c>
    </row>
    <row r="431" spans="1:12" ht="11.25" customHeight="1">
      <c r="A431" s="39">
        <v>1483</v>
      </c>
      <c r="B431" s="40" t="s">
        <v>11098</v>
      </c>
      <c r="C431" s="40" t="s">
        <v>11099</v>
      </c>
      <c r="D431" s="40" t="s">
        <v>3925</v>
      </c>
      <c r="E431" s="41">
        <v>531.54</v>
      </c>
      <c r="F431" s="40" t="s">
        <v>3925</v>
      </c>
      <c r="G431" s="41">
        <v>531.47969999999998</v>
      </c>
      <c r="H431" s="40"/>
      <c r="I431" s="41"/>
      <c r="J431" s="41">
        <f t="shared" si="1"/>
        <v>531.50984999999991</v>
      </c>
      <c r="K431" s="42" t="s">
        <v>5796</v>
      </c>
      <c r="L431" s="39">
        <v>1483</v>
      </c>
    </row>
    <row r="432" spans="1:12" ht="11.25" customHeight="1">
      <c r="A432" s="39">
        <v>3182</v>
      </c>
      <c r="B432" s="40" t="s">
        <v>11100</v>
      </c>
      <c r="C432" s="40" t="s">
        <v>11101</v>
      </c>
      <c r="D432" s="40" t="s">
        <v>5610</v>
      </c>
      <c r="E432" s="41">
        <v>34.840000000000003</v>
      </c>
      <c r="F432" s="40" t="s">
        <v>5610</v>
      </c>
      <c r="G432" s="41">
        <v>22.9664</v>
      </c>
      <c r="H432" s="40"/>
      <c r="I432" s="41"/>
      <c r="J432" s="41">
        <f t="shared" si="1"/>
        <v>28.903200000000002</v>
      </c>
      <c r="K432" s="42" t="s">
        <v>5796</v>
      </c>
      <c r="L432" s="39">
        <v>3182</v>
      </c>
    </row>
    <row r="433" spans="1:12" ht="11.25" customHeight="1">
      <c r="A433" s="39">
        <v>1502</v>
      </c>
      <c r="B433" s="40" t="s">
        <v>11102</v>
      </c>
      <c r="C433" s="40" t="s">
        <v>11103</v>
      </c>
      <c r="D433" s="40" t="s">
        <v>3970</v>
      </c>
      <c r="E433" s="41">
        <v>514.28</v>
      </c>
      <c r="F433" s="40" t="s">
        <v>3970</v>
      </c>
      <c r="G433" s="41">
        <v>498.14109999999999</v>
      </c>
      <c r="H433" s="40"/>
      <c r="I433" s="41"/>
      <c r="J433" s="41">
        <f t="shared" si="1"/>
        <v>506.21055000000001</v>
      </c>
      <c r="K433" s="42" t="s">
        <v>5796</v>
      </c>
      <c r="L433" s="39">
        <v>1502</v>
      </c>
    </row>
    <row r="434" spans="1:12" ht="11.25" customHeight="1">
      <c r="A434" s="39">
        <v>908</v>
      </c>
      <c r="B434" s="40" t="s">
        <v>11104</v>
      </c>
      <c r="C434" s="40" t="s">
        <v>11105</v>
      </c>
      <c r="D434" s="40" t="s">
        <v>2632</v>
      </c>
      <c r="E434" s="41">
        <v>2129.33</v>
      </c>
      <c r="F434" s="40" t="s">
        <v>2632</v>
      </c>
      <c r="G434" s="41">
        <v>2130.2017000000001</v>
      </c>
      <c r="H434" s="40"/>
      <c r="I434" s="41"/>
      <c r="J434" s="41">
        <f t="shared" si="1"/>
        <v>2129.7658499999998</v>
      </c>
      <c r="K434" s="42" t="s">
        <v>5796</v>
      </c>
      <c r="L434" s="39">
        <v>908</v>
      </c>
    </row>
    <row r="435" spans="1:12" ht="11.25" customHeight="1">
      <c r="A435" s="39">
        <v>1596</v>
      </c>
      <c r="B435" s="40" t="s">
        <v>11106</v>
      </c>
      <c r="C435" s="40" t="s">
        <v>11107</v>
      </c>
      <c r="D435" s="40" t="s">
        <v>4138</v>
      </c>
      <c r="E435" s="41">
        <v>415.81</v>
      </c>
      <c r="F435" s="40" t="s">
        <v>4138</v>
      </c>
      <c r="G435" s="41">
        <v>415.88580000000002</v>
      </c>
      <c r="H435" s="40"/>
      <c r="I435" s="41"/>
      <c r="J435" s="41">
        <f t="shared" si="1"/>
        <v>415.84789999999998</v>
      </c>
      <c r="K435" s="42" t="s">
        <v>5796</v>
      </c>
      <c r="L435" s="39">
        <v>1596</v>
      </c>
    </row>
    <row r="436" spans="1:12" ht="11.25" customHeight="1">
      <c r="A436" s="39">
        <v>1364</v>
      </c>
      <c r="B436" s="40" t="s">
        <v>6069</v>
      </c>
      <c r="C436" s="40" t="s">
        <v>11108</v>
      </c>
      <c r="D436" s="40" t="s">
        <v>3694</v>
      </c>
      <c r="E436" s="41">
        <v>696.49</v>
      </c>
      <c r="F436" s="40" t="s">
        <v>3694</v>
      </c>
      <c r="G436" s="41">
        <v>696.16819999999996</v>
      </c>
      <c r="H436" s="40"/>
      <c r="I436" s="41"/>
      <c r="J436" s="41">
        <f t="shared" si="1"/>
        <v>696.32909999999993</v>
      </c>
      <c r="K436" s="42" t="s">
        <v>5796</v>
      </c>
      <c r="L436" s="39">
        <v>1364</v>
      </c>
    </row>
    <row r="437" spans="1:12" ht="11.25" customHeight="1">
      <c r="A437" s="39">
        <v>2430</v>
      </c>
      <c r="B437" s="40" t="s">
        <v>6070</v>
      </c>
      <c r="C437" s="40" t="s">
        <v>11109</v>
      </c>
      <c r="D437" s="40" t="s">
        <v>11110</v>
      </c>
      <c r="E437" s="41">
        <v>168.33</v>
      </c>
      <c r="F437" s="40" t="s">
        <v>5238</v>
      </c>
      <c r="G437" s="41">
        <v>16.8627</v>
      </c>
      <c r="H437" s="40"/>
      <c r="I437" s="41"/>
      <c r="J437" s="41">
        <f t="shared" si="1"/>
        <v>92.596350000000001</v>
      </c>
      <c r="K437" s="42" t="s">
        <v>5796</v>
      </c>
      <c r="L437" s="39">
        <v>2430</v>
      </c>
    </row>
    <row r="438" spans="1:12" ht="11.25" customHeight="1">
      <c r="A438" s="39">
        <v>2262</v>
      </c>
      <c r="B438" s="40" t="s">
        <v>11111</v>
      </c>
      <c r="C438" s="40" t="s">
        <v>11112</v>
      </c>
      <c r="D438" s="40"/>
      <c r="E438" s="41"/>
      <c r="F438" s="40" t="s">
        <v>5089</v>
      </c>
      <c r="G438" s="41">
        <v>119.1254</v>
      </c>
      <c r="H438" s="40"/>
      <c r="I438" s="41"/>
      <c r="J438" s="41">
        <f t="shared" si="1"/>
        <v>119.1254</v>
      </c>
      <c r="K438" s="42" t="s">
        <v>5796</v>
      </c>
      <c r="L438" s="39">
        <v>2262</v>
      </c>
    </row>
    <row r="439" spans="1:12" ht="11.25" customHeight="1">
      <c r="A439" s="39">
        <v>741</v>
      </c>
      <c r="B439" s="40" t="s">
        <v>11113</v>
      </c>
      <c r="C439" s="40" t="s">
        <v>11114</v>
      </c>
      <c r="D439" s="40" t="s">
        <v>2170</v>
      </c>
      <c r="E439" s="41">
        <v>3433.06</v>
      </c>
      <c r="F439" s="40" t="s">
        <v>2170</v>
      </c>
      <c r="G439" s="41">
        <v>3431.2696999999998</v>
      </c>
      <c r="H439" s="40"/>
      <c r="I439" s="41"/>
      <c r="J439" s="41">
        <f t="shared" si="1"/>
        <v>3432.1648500000001</v>
      </c>
      <c r="K439" s="42" t="s">
        <v>5796</v>
      </c>
      <c r="L439" s="39">
        <v>741</v>
      </c>
    </row>
    <row r="440" spans="1:12" ht="11.25" customHeight="1">
      <c r="A440" s="39">
        <v>787</v>
      </c>
      <c r="B440" s="40" t="s">
        <v>6072</v>
      </c>
      <c r="C440" s="40" t="s">
        <v>11115</v>
      </c>
      <c r="D440" s="40" t="s">
        <v>2290</v>
      </c>
      <c r="E440" s="41">
        <v>3010.41</v>
      </c>
      <c r="F440" s="40" t="s">
        <v>2290</v>
      </c>
      <c r="G440" s="41">
        <v>3010.846</v>
      </c>
      <c r="H440" s="40"/>
      <c r="I440" s="41"/>
      <c r="J440" s="41">
        <f t="shared" si="1"/>
        <v>3010.6279999999997</v>
      </c>
      <c r="K440" s="42" t="s">
        <v>5796</v>
      </c>
      <c r="L440" s="39">
        <v>787</v>
      </c>
    </row>
    <row r="441" spans="1:12" ht="11.25" customHeight="1">
      <c r="A441" s="47">
        <v>59</v>
      </c>
      <c r="B441" s="48" t="s">
        <v>11116</v>
      </c>
      <c r="C441" s="48" t="s">
        <v>11117</v>
      </c>
      <c r="D441" s="48" t="s">
        <v>188</v>
      </c>
      <c r="E441" s="49">
        <v>97395.21</v>
      </c>
      <c r="F441" s="48" t="s">
        <v>188</v>
      </c>
      <c r="G441" s="49">
        <v>97405.763500000001</v>
      </c>
      <c r="H441" s="48"/>
      <c r="I441" s="49"/>
      <c r="J441" s="49">
        <f t="shared" si="1"/>
        <v>97400.486750000011</v>
      </c>
      <c r="K441" s="50" t="s">
        <v>5815</v>
      </c>
      <c r="L441" s="47">
        <v>59</v>
      </c>
    </row>
    <row r="442" spans="1:12" ht="11.25" customHeight="1">
      <c r="A442" s="43">
        <v>201</v>
      </c>
      <c r="B442" s="44" t="s">
        <v>11118</v>
      </c>
      <c r="C442" s="44" t="s">
        <v>11119</v>
      </c>
      <c r="D442" s="44" t="s">
        <v>614</v>
      </c>
      <c r="E442" s="45">
        <v>30682.93</v>
      </c>
      <c r="F442" s="44" t="s">
        <v>614</v>
      </c>
      <c r="G442" s="45">
        <v>30660.186900000001</v>
      </c>
      <c r="H442" s="44"/>
      <c r="I442" s="45"/>
      <c r="J442" s="45">
        <f t="shared" si="1"/>
        <v>30671.55845</v>
      </c>
      <c r="K442" s="46" t="s">
        <v>5800</v>
      </c>
      <c r="L442" s="43">
        <v>201</v>
      </c>
    </row>
    <row r="443" spans="1:12" ht="11.25" customHeight="1">
      <c r="A443" s="39">
        <v>2086</v>
      </c>
      <c r="B443" s="40" t="s">
        <v>11120</v>
      </c>
      <c r="C443" s="40" t="s">
        <v>11121</v>
      </c>
      <c r="D443" s="40" t="s">
        <v>4858</v>
      </c>
      <c r="E443" s="41">
        <v>165.44</v>
      </c>
      <c r="F443" s="40" t="s">
        <v>4858</v>
      </c>
      <c r="G443" s="41">
        <v>165.34549999999999</v>
      </c>
      <c r="H443" s="40"/>
      <c r="I443" s="41"/>
      <c r="J443" s="41">
        <f t="shared" si="1"/>
        <v>165.39274999999998</v>
      </c>
      <c r="K443" s="42" t="s">
        <v>5796</v>
      </c>
      <c r="L443" s="39">
        <v>2086</v>
      </c>
    </row>
    <row r="444" spans="1:12" ht="11.25" customHeight="1">
      <c r="A444" s="47">
        <v>43</v>
      </c>
      <c r="B444" s="48" t="s">
        <v>6074</v>
      </c>
      <c r="C444" s="48" t="s">
        <v>11122</v>
      </c>
      <c r="D444" s="48" t="s">
        <v>140</v>
      </c>
      <c r="E444" s="49">
        <v>138165.41</v>
      </c>
      <c r="F444" s="48" t="s">
        <v>140</v>
      </c>
      <c r="G444" s="49">
        <v>138170.08910000001</v>
      </c>
      <c r="H444" s="48"/>
      <c r="I444" s="49"/>
      <c r="J444" s="49">
        <f t="shared" si="1"/>
        <v>138167.74955000001</v>
      </c>
      <c r="K444" s="50" t="s">
        <v>5815</v>
      </c>
      <c r="L444" s="47">
        <v>43</v>
      </c>
    </row>
    <row r="445" spans="1:12" ht="11.25" customHeight="1">
      <c r="A445" s="39">
        <v>1167</v>
      </c>
      <c r="B445" s="40" t="s">
        <v>11123</v>
      </c>
      <c r="C445" s="40" t="s">
        <v>11124</v>
      </c>
      <c r="D445" s="40" t="s">
        <v>3271</v>
      </c>
      <c r="E445" s="41">
        <v>1118.26</v>
      </c>
      <c r="F445" s="40" t="s">
        <v>3271</v>
      </c>
      <c r="G445" s="41">
        <v>1118.2266999999999</v>
      </c>
      <c r="H445" s="40"/>
      <c r="I445" s="41"/>
      <c r="J445" s="41">
        <f t="shared" si="1"/>
        <v>1118.24335</v>
      </c>
      <c r="K445" s="42" t="s">
        <v>5796</v>
      </c>
      <c r="L445" s="39">
        <v>1167</v>
      </c>
    </row>
    <row r="446" spans="1:12" ht="11.25" customHeight="1">
      <c r="A446" s="47">
        <v>23</v>
      </c>
      <c r="B446" s="48" t="s">
        <v>11125</v>
      </c>
      <c r="C446" s="48" t="s">
        <v>11126</v>
      </c>
      <c r="D446" s="48" t="s">
        <v>75</v>
      </c>
      <c r="E446" s="49">
        <v>245946.53</v>
      </c>
      <c r="F446" s="48" t="s">
        <v>75</v>
      </c>
      <c r="G446" s="49">
        <v>245958.5686</v>
      </c>
      <c r="H446" s="48"/>
      <c r="I446" s="49"/>
      <c r="J446" s="49">
        <f t="shared" si="1"/>
        <v>245952.54930000001</v>
      </c>
      <c r="K446" s="50" t="s">
        <v>5815</v>
      </c>
      <c r="L446" s="47">
        <v>23</v>
      </c>
    </row>
    <row r="447" spans="1:12" ht="11.25" customHeight="1">
      <c r="A447" s="39">
        <v>1316</v>
      </c>
      <c r="B447" s="40" t="s">
        <v>3614</v>
      </c>
      <c r="C447" s="40" t="s">
        <v>11127</v>
      </c>
      <c r="D447" s="40" t="s">
        <v>3616</v>
      </c>
      <c r="E447" s="41">
        <v>777.67</v>
      </c>
      <c r="F447" s="40" t="s">
        <v>3616</v>
      </c>
      <c r="G447" s="41">
        <v>777.6472</v>
      </c>
      <c r="H447" s="40"/>
      <c r="I447" s="41"/>
      <c r="J447" s="41">
        <f t="shared" si="1"/>
        <v>777.65859999999998</v>
      </c>
      <c r="K447" s="42" t="s">
        <v>5796</v>
      </c>
      <c r="L447" s="39">
        <v>1316</v>
      </c>
    </row>
    <row r="448" spans="1:12" ht="11.25" customHeight="1">
      <c r="A448" s="39">
        <v>2878</v>
      </c>
      <c r="B448" s="40" t="s">
        <v>11128</v>
      </c>
      <c r="C448" s="40" t="s">
        <v>11129</v>
      </c>
      <c r="D448" s="40" t="s">
        <v>5490</v>
      </c>
      <c r="E448" s="41">
        <v>45.55</v>
      </c>
      <c r="F448" s="40" t="s">
        <v>5490</v>
      </c>
      <c r="G448" s="41">
        <v>45.407800000000002</v>
      </c>
      <c r="H448" s="40"/>
      <c r="I448" s="41"/>
      <c r="J448" s="41">
        <f t="shared" si="1"/>
        <v>45.478899999999996</v>
      </c>
      <c r="K448" s="42" t="s">
        <v>5796</v>
      </c>
      <c r="L448" s="39">
        <v>2878</v>
      </c>
    </row>
    <row r="449" spans="1:12" ht="11.25" customHeight="1">
      <c r="A449" s="39">
        <v>660</v>
      </c>
      <c r="B449" s="40" t="s">
        <v>11130</v>
      </c>
      <c r="C449" s="40" t="s">
        <v>11131</v>
      </c>
      <c r="D449" s="40" t="s">
        <v>1934</v>
      </c>
      <c r="E449" s="41">
        <v>4368.84</v>
      </c>
      <c r="F449" s="40" t="s">
        <v>1934</v>
      </c>
      <c r="G449" s="41">
        <v>4369.1345000000001</v>
      </c>
      <c r="H449" s="40"/>
      <c r="I449" s="41"/>
      <c r="J449" s="41">
        <f t="shared" si="1"/>
        <v>4368.9872500000001</v>
      </c>
      <c r="K449" s="42" t="s">
        <v>5796</v>
      </c>
      <c r="L449" s="39">
        <v>660</v>
      </c>
    </row>
    <row r="450" spans="1:12" ht="11.25" customHeight="1">
      <c r="A450" s="39">
        <v>867</v>
      </c>
      <c r="B450" s="40" t="s">
        <v>11132</v>
      </c>
      <c r="C450" s="40" t="s">
        <v>11133</v>
      </c>
      <c r="D450" s="40" t="s">
        <v>2515</v>
      </c>
      <c r="E450" s="41">
        <v>2392.92</v>
      </c>
      <c r="F450" s="40" t="s">
        <v>2515</v>
      </c>
      <c r="G450" s="41">
        <v>2393.3791000000001</v>
      </c>
      <c r="H450" s="40"/>
      <c r="I450" s="41"/>
      <c r="J450" s="41">
        <f t="shared" si="1"/>
        <v>2393.1495500000001</v>
      </c>
      <c r="K450" s="42" t="s">
        <v>5796</v>
      </c>
      <c r="L450" s="39">
        <v>867</v>
      </c>
    </row>
    <row r="451" spans="1:12" ht="11.25" customHeight="1">
      <c r="A451" s="39">
        <v>2105</v>
      </c>
      <c r="B451" s="40" t="s">
        <v>11134</v>
      </c>
      <c r="C451" s="40" t="s">
        <v>11135</v>
      </c>
      <c r="D451" s="40" t="s">
        <v>11136</v>
      </c>
      <c r="E451" s="41">
        <v>153.9</v>
      </c>
      <c r="F451" s="40" t="s">
        <v>4888</v>
      </c>
      <c r="G451" s="41">
        <v>163.727</v>
      </c>
      <c r="H451" s="40"/>
      <c r="I451" s="41"/>
      <c r="J451" s="41">
        <f t="shared" si="1"/>
        <v>158.8135</v>
      </c>
      <c r="K451" s="42" t="s">
        <v>5796</v>
      </c>
      <c r="L451" s="39">
        <v>2105</v>
      </c>
    </row>
    <row r="452" spans="1:12" ht="11.25" customHeight="1">
      <c r="A452" s="39">
        <v>478</v>
      </c>
      <c r="B452" s="40" t="s">
        <v>11137</v>
      </c>
      <c r="C452" s="40" t="s">
        <v>11138</v>
      </c>
      <c r="D452" s="40" t="s">
        <v>11139</v>
      </c>
      <c r="E452" s="41">
        <v>7871.78</v>
      </c>
      <c r="F452" s="40" t="s">
        <v>11139</v>
      </c>
      <c r="G452" s="41">
        <v>7862.8984</v>
      </c>
      <c r="H452" s="40"/>
      <c r="I452" s="41"/>
      <c r="J452" s="41">
        <f t="shared" si="1"/>
        <v>7867.3392000000003</v>
      </c>
      <c r="K452" s="42" t="s">
        <v>5796</v>
      </c>
      <c r="L452" s="39">
        <v>478</v>
      </c>
    </row>
    <row r="453" spans="1:12" ht="11.25" customHeight="1">
      <c r="A453" s="39">
        <v>1492</v>
      </c>
      <c r="B453" s="40" t="s">
        <v>11140</v>
      </c>
      <c r="C453" s="40" t="s">
        <v>11141</v>
      </c>
      <c r="D453" s="40" t="s">
        <v>3946</v>
      </c>
      <c r="E453" s="41">
        <v>521.29999999999995</v>
      </c>
      <c r="F453" s="40" t="s">
        <v>3946</v>
      </c>
      <c r="G453" s="41">
        <v>521.26020000000005</v>
      </c>
      <c r="H453" s="40"/>
      <c r="I453" s="41"/>
      <c r="J453" s="41">
        <f t="shared" si="1"/>
        <v>521.28009999999995</v>
      </c>
      <c r="K453" s="42" t="s">
        <v>5796</v>
      </c>
      <c r="L453" s="39">
        <v>1492</v>
      </c>
    </row>
    <row r="454" spans="1:12" ht="11.25" customHeight="1">
      <c r="A454" s="39">
        <v>1171</v>
      </c>
      <c r="B454" s="40" t="s">
        <v>11142</v>
      </c>
      <c r="C454" s="40" t="s">
        <v>11143</v>
      </c>
      <c r="D454" s="40"/>
      <c r="E454" s="41"/>
      <c r="F454" s="40" t="s">
        <v>3277</v>
      </c>
      <c r="G454" s="41">
        <v>1109.0129999999999</v>
      </c>
      <c r="H454" s="40"/>
      <c r="I454" s="41"/>
      <c r="J454" s="41">
        <f t="shared" si="1"/>
        <v>1109.0129999999999</v>
      </c>
      <c r="K454" s="42" t="s">
        <v>5796</v>
      </c>
      <c r="L454" s="39">
        <v>1171</v>
      </c>
    </row>
    <row r="455" spans="1:12" ht="11.25" customHeight="1">
      <c r="A455" s="39">
        <v>1024</v>
      </c>
      <c r="B455" s="40" t="s">
        <v>11144</v>
      </c>
      <c r="C455" s="40" t="s">
        <v>11145</v>
      </c>
      <c r="D455" s="40"/>
      <c r="E455" s="41"/>
      <c r="F455" s="40" t="s">
        <v>2929</v>
      </c>
      <c r="G455" s="41">
        <v>1609.7371000000001</v>
      </c>
      <c r="H455" s="40"/>
      <c r="I455" s="41"/>
      <c r="J455" s="41">
        <f t="shared" si="1"/>
        <v>1609.7371000000001</v>
      </c>
      <c r="K455" s="42" t="s">
        <v>5796</v>
      </c>
      <c r="L455" s="39">
        <v>1024</v>
      </c>
    </row>
    <row r="456" spans="1:12" ht="11.25" customHeight="1">
      <c r="A456" s="39">
        <v>1260</v>
      </c>
      <c r="B456" s="40" t="s">
        <v>11146</v>
      </c>
      <c r="C456" s="40" t="s">
        <v>11147</v>
      </c>
      <c r="D456" s="40" t="s">
        <v>3481</v>
      </c>
      <c r="E456" s="41">
        <v>910.52</v>
      </c>
      <c r="F456" s="40" t="s">
        <v>3481</v>
      </c>
      <c r="G456" s="41">
        <v>871.18389999999999</v>
      </c>
      <c r="H456" s="40"/>
      <c r="I456" s="41"/>
      <c r="J456" s="41">
        <f t="shared" si="1"/>
        <v>890.85194999999999</v>
      </c>
      <c r="K456" s="42" t="s">
        <v>5796</v>
      </c>
      <c r="L456" s="39">
        <v>1260</v>
      </c>
    </row>
    <row r="457" spans="1:12" ht="11.25" customHeight="1">
      <c r="A457" s="39">
        <v>2011</v>
      </c>
      <c r="B457" s="40" t="s">
        <v>11148</v>
      </c>
      <c r="C457" s="40" t="s">
        <v>11149</v>
      </c>
      <c r="D457" s="40" t="s">
        <v>4762</v>
      </c>
      <c r="E457" s="41">
        <v>183.96</v>
      </c>
      <c r="F457" s="40" t="s">
        <v>4762</v>
      </c>
      <c r="G457" s="41">
        <v>183.4924</v>
      </c>
      <c r="H457" s="40"/>
      <c r="I457" s="41"/>
      <c r="J457" s="41">
        <f t="shared" si="1"/>
        <v>183.72620000000001</v>
      </c>
      <c r="K457" s="42" t="s">
        <v>5796</v>
      </c>
      <c r="L457" s="39">
        <v>2011</v>
      </c>
    </row>
    <row r="458" spans="1:12" ht="11.25" customHeight="1">
      <c r="A458" s="39">
        <v>791</v>
      </c>
      <c r="B458" s="40" t="s">
        <v>6080</v>
      </c>
      <c r="C458" s="40" t="s">
        <v>11150</v>
      </c>
      <c r="D458" s="40" t="s">
        <v>2302</v>
      </c>
      <c r="E458" s="41">
        <v>2989.64</v>
      </c>
      <c r="F458" s="40" t="s">
        <v>2302</v>
      </c>
      <c r="G458" s="41">
        <v>2989.2651999999998</v>
      </c>
      <c r="H458" s="40"/>
      <c r="I458" s="41"/>
      <c r="J458" s="41">
        <f t="shared" si="1"/>
        <v>2989.4525999999996</v>
      </c>
      <c r="K458" s="42" t="s">
        <v>5796</v>
      </c>
      <c r="L458" s="39">
        <v>791</v>
      </c>
    </row>
    <row r="459" spans="1:12" ht="11.25" customHeight="1">
      <c r="A459" s="39">
        <v>1104</v>
      </c>
      <c r="B459" s="40" t="s">
        <v>11151</v>
      </c>
      <c r="C459" s="40" t="s">
        <v>11152</v>
      </c>
      <c r="D459" s="40" t="s">
        <v>3121</v>
      </c>
      <c r="E459" s="41">
        <v>1313.46</v>
      </c>
      <c r="F459" s="40" t="s">
        <v>3121</v>
      </c>
      <c r="G459" s="41">
        <v>1313.4439</v>
      </c>
      <c r="H459" s="40"/>
      <c r="I459" s="41"/>
      <c r="J459" s="41">
        <f t="shared" si="1"/>
        <v>1313.4519500000001</v>
      </c>
      <c r="K459" s="42" t="s">
        <v>5796</v>
      </c>
      <c r="L459" s="39">
        <v>1104</v>
      </c>
    </row>
    <row r="460" spans="1:12" ht="11.25" customHeight="1">
      <c r="A460" s="47">
        <v>64</v>
      </c>
      <c r="B460" s="48" t="s">
        <v>11153</v>
      </c>
      <c r="C460" s="48" t="s">
        <v>11154</v>
      </c>
      <c r="D460" s="48" t="s">
        <v>203</v>
      </c>
      <c r="E460" s="49">
        <v>92645.759999999995</v>
      </c>
      <c r="F460" s="48" t="s">
        <v>203</v>
      </c>
      <c r="G460" s="49">
        <v>92624.895799999998</v>
      </c>
      <c r="H460" s="48"/>
      <c r="I460" s="49"/>
      <c r="J460" s="49">
        <f t="shared" si="1"/>
        <v>92635.327900000004</v>
      </c>
      <c r="K460" s="50" t="s">
        <v>5815</v>
      </c>
      <c r="L460" s="47">
        <v>64</v>
      </c>
    </row>
    <row r="461" spans="1:12" ht="11.25" customHeight="1">
      <c r="A461" s="39">
        <v>1298</v>
      </c>
      <c r="B461" s="40" t="s">
        <v>11155</v>
      </c>
      <c r="C461" s="40" t="s">
        <v>11156</v>
      </c>
      <c r="D461" s="40" t="s">
        <v>3568</v>
      </c>
      <c r="E461" s="41">
        <v>814.76</v>
      </c>
      <c r="F461" s="40" t="s">
        <v>3568</v>
      </c>
      <c r="G461" s="41">
        <v>815.13779999999997</v>
      </c>
      <c r="H461" s="40"/>
      <c r="I461" s="41"/>
      <c r="J461" s="41">
        <f t="shared" si="1"/>
        <v>814.94889999999998</v>
      </c>
      <c r="K461" s="42" t="s">
        <v>5796</v>
      </c>
      <c r="L461" s="39">
        <v>1298</v>
      </c>
    </row>
    <row r="462" spans="1:12" ht="11.25" customHeight="1">
      <c r="A462" s="39">
        <v>1887</v>
      </c>
      <c r="B462" s="40" t="s">
        <v>11157</v>
      </c>
      <c r="C462" s="40" t="s">
        <v>11158</v>
      </c>
      <c r="D462" s="40" t="s">
        <v>11159</v>
      </c>
      <c r="E462" s="41">
        <v>229.08</v>
      </c>
      <c r="F462" s="40" t="s">
        <v>4594</v>
      </c>
      <c r="G462" s="41">
        <v>228.95769999999999</v>
      </c>
      <c r="H462" s="40"/>
      <c r="I462" s="41"/>
      <c r="J462" s="41">
        <f t="shared" si="1"/>
        <v>229.01884999999999</v>
      </c>
      <c r="K462" s="42" t="s">
        <v>5796</v>
      </c>
      <c r="L462" s="39">
        <v>1887</v>
      </c>
    </row>
    <row r="463" spans="1:12" ht="11.25" customHeight="1">
      <c r="A463" s="39">
        <v>1979</v>
      </c>
      <c r="B463" s="40" t="s">
        <v>11160</v>
      </c>
      <c r="C463" s="40" t="s">
        <v>11161</v>
      </c>
      <c r="D463" s="40" t="s">
        <v>4696</v>
      </c>
      <c r="E463" s="41">
        <v>194.6</v>
      </c>
      <c r="F463" s="40" t="s">
        <v>4696</v>
      </c>
      <c r="G463" s="41">
        <v>193.446</v>
      </c>
      <c r="H463" s="40"/>
      <c r="I463" s="41"/>
      <c r="J463" s="41">
        <f t="shared" si="1"/>
        <v>194.023</v>
      </c>
      <c r="K463" s="42" t="s">
        <v>5796</v>
      </c>
      <c r="L463" s="39">
        <v>1979</v>
      </c>
    </row>
    <row r="464" spans="1:12" ht="11.25" customHeight="1">
      <c r="A464" s="39">
        <v>1213</v>
      </c>
      <c r="B464" s="40" t="s">
        <v>11162</v>
      </c>
      <c r="C464" s="40" t="s">
        <v>11163</v>
      </c>
      <c r="D464" s="40" t="s">
        <v>3385</v>
      </c>
      <c r="E464" s="41">
        <v>1008.04</v>
      </c>
      <c r="F464" s="40" t="s">
        <v>3385</v>
      </c>
      <c r="G464" s="41">
        <v>1008.1508</v>
      </c>
      <c r="H464" s="40"/>
      <c r="I464" s="41"/>
      <c r="J464" s="41">
        <f t="shared" si="1"/>
        <v>1008.0953999999999</v>
      </c>
      <c r="K464" s="42" t="s">
        <v>5796</v>
      </c>
      <c r="L464" s="39">
        <v>1213</v>
      </c>
    </row>
    <row r="465" spans="1:12" ht="11.25" customHeight="1">
      <c r="A465" s="39">
        <v>993</v>
      </c>
      <c r="B465" s="40" t="s">
        <v>11164</v>
      </c>
      <c r="C465" s="40" t="s">
        <v>11165</v>
      </c>
      <c r="D465" s="40" t="s">
        <v>2845</v>
      </c>
      <c r="E465" s="41">
        <v>1746.86</v>
      </c>
      <c r="F465" s="40" t="s">
        <v>2845</v>
      </c>
      <c r="G465" s="41">
        <v>1747.0732</v>
      </c>
      <c r="H465" s="40"/>
      <c r="I465" s="41"/>
      <c r="J465" s="41">
        <f t="shared" si="1"/>
        <v>1746.9666</v>
      </c>
      <c r="K465" s="42" t="s">
        <v>5796</v>
      </c>
      <c r="L465" s="39">
        <v>993</v>
      </c>
    </row>
    <row r="466" spans="1:12" ht="11.25" customHeight="1">
      <c r="A466" s="39">
        <v>1228</v>
      </c>
      <c r="B466" s="40" t="s">
        <v>11166</v>
      </c>
      <c r="C466" s="40" t="s">
        <v>11167</v>
      </c>
      <c r="D466" s="40" t="s">
        <v>11168</v>
      </c>
      <c r="E466" s="41">
        <v>978.62</v>
      </c>
      <c r="F466" s="40" t="s">
        <v>3421</v>
      </c>
      <c r="G466" s="41">
        <v>978.20719999999994</v>
      </c>
      <c r="H466" s="40"/>
      <c r="I466" s="41"/>
      <c r="J466" s="41">
        <f t="shared" si="1"/>
        <v>978.41359999999997</v>
      </c>
      <c r="K466" s="42" t="s">
        <v>5796</v>
      </c>
      <c r="L466" s="39">
        <v>1228</v>
      </c>
    </row>
    <row r="467" spans="1:12" ht="11.25" customHeight="1">
      <c r="A467" s="39">
        <v>806</v>
      </c>
      <c r="B467" s="40" t="s">
        <v>11169</v>
      </c>
      <c r="C467" s="40" t="s">
        <v>11170</v>
      </c>
      <c r="D467" s="40" t="s">
        <v>2344</v>
      </c>
      <c r="E467" s="41">
        <v>2809.81</v>
      </c>
      <c r="F467" s="40" t="s">
        <v>2344</v>
      </c>
      <c r="G467" s="41">
        <v>2810.1288</v>
      </c>
      <c r="H467" s="40"/>
      <c r="I467" s="41"/>
      <c r="J467" s="41">
        <f t="shared" si="1"/>
        <v>2809.9694</v>
      </c>
      <c r="K467" s="42" t="s">
        <v>5796</v>
      </c>
      <c r="L467" s="39">
        <v>806</v>
      </c>
    </row>
    <row r="468" spans="1:12" ht="11.25" customHeight="1">
      <c r="A468" s="39">
        <v>1643</v>
      </c>
      <c r="B468" s="40" t="s">
        <v>11171</v>
      </c>
      <c r="C468" s="40" t="s">
        <v>11172</v>
      </c>
      <c r="D468" s="40" t="s">
        <v>4231</v>
      </c>
      <c r="E468" s="41">
        <v>376.17429088</v>
      </c>
      <c r="F468" s="40" t="s">
        <v>4231</v>
      </c>
      <c r="G468" s="41">
        <v>367.34219999999999</v>
      </c>
      <c r="H468" s="40"/>
      <c r="I468" s="41"/>
      <c r="J468" s="41">
        <f t="shared" si="1"/>
        <v>371.75824544</v>
      </c>
      <c r="K468" s="42" t="s">
        <v>5796</v>
      </c>
      <c r="L468" s="39">
        <v>1643</v>
      </c>
    </row>
    <row r="469" spans="1:12" ht="11.25" customHeight="1">
      <c r="A469" s="39">
        <v>1416</v>
      </c>
      <c r="B469" s="40" t="s">
        <v>11173</v>
      </c>
      <c r="C469" s="40" t="s">
        <v>11174</v>
      </c>
      <c r="D469" s="40"/>
      <c r="E469" s="41"/>
      <c r="F469" s="40" t="s">
        <v>3805</v>
      </c>
      <c r="G469" s="41">
        <v>623.95500000000004</v>
      </c>
      <c r="H469" s="40"/>
      <c r="I469" s="41"/>
      <c r="J469" s="41">
        <f t="shared" si="1"/>
        <v>623.95500000000004</v>
      </c>
      <c r="K469" s="42" t="s">
        <v>5796</v>
      </c>
      <c r="L469" s="39">
        <v>1416</v>
      </c>
    </row>
    <row r="470" spans="1:12" ht="11.25" customHeight="1">
      <c r="A470" s="39">
        <v>519</v>
      </c>
      <c r="B470" s="40" t="s">
        <v>11175</v>
      </c>
      <c r="C470" s="40" t="s">
        <v>11176</v>
      </c>
      <c r="D470" s="40" t="s">
        <v>1544</v>
      </c>
      <c r="E470" s="41">
        <v>7071.2</v>
      </c>
      <c r="F470" s="40" t="s">
        <v>1544</v>
      </c>
      <c r="G470" s="41">
        <v>7064.2839999999997</v>
      </c>
      <c r="H470" s="40"/>
      <c r="I470" s="41"/>
      <c r="J470" s="41">
        <f t="shared" si="1"/>
        <v>7067.7420000000002</v>
      </c>
      <c r="K470" s="42" t="s">
        <v>5796</v>
      </c>
      <c r="L470" s="39">
        <v>519</v>
      </c>
    </row>
    <row r="471" spans="1:12" ht="11.25" customHeight="1">
      <c r="A471" s="39">
        <v>3528</v>
      </c>
      <c r="B471" s="40" t="s">
        <v>11177</v>
      </c>
      <c r="C471" s="40" t="s">
        <v>11178</v>
      </c>
      <c r="D471" s="40" t="s">
        <v>5706</v>
      </c>
      <c r="E471" s="41">
        <v>17.37</v>
      </c>
      <c r="F471" s="40" t="s">
        <v>5706</v>
      </c>
      <c r="G471" s="41">
        <v>16.946200000000001</v>
      </c>
      <c r="H471" s="40"/>
      <c r="I471" s="41"/>
      <c r="J471" s="41">
        <f t="shared" si="1"/>
        <v>17.158100000000001</v>
      </c>
      <c r="K471" s="42" t="s">
        <v>5796</v>
      </c>
      <c r="L471" s="39">
        <v>3528</v>
      </c>
    </row>
    <row r="472" spans="1:12" ht="11.25" customHeight="1">
      <c r="A472" s="39">
        <v>415</v>
      </c>
      <c r="B472" s="40" t="s">
        <v>11179</v>
      </c>
      <c r="C472" s="40" t="s">
        <v>11180</v>
      </c>
      <c r="D472" s="40" t="s">
        <v>1247</v>
      </c>
      <c r="E472" s="41">
        <v>9819.8799999999992</v>
      </c>
      <c r="F472" s="40" t="s">
        <v>1247</v>
      </c>
      <c r="G472" s="41">
        <v>9822.3258000000005</v>
      </c>
      <c r="H472" s="40"/>
      <c r="I472" s="41"/>
      <c r="J472" s="41">
        <f t="shared" si="1"/>
        <v>9821.1028999999999</v>
      </c>
      <c r="K472" s="42" t="s">
        <v>5796</v>
      </c>
      <c r="L472" s="39">
        <v>415</v>
      </c>
    </row>
    <row r="473" spans="1:12" ht="11.25" customHeight="1">
      <c r="A473" s="39">
        <v>588</v>
      </c>
      <c r="B473" s="40" t="s">
        <v>11181</v>
      </c>
      <c r="C473" s="40" t="s">
        <v>11182</v>
      </c>
      <c r="D473" s="40" t="s">
        <v>1736</v>
      </c>
      <c r="E473" s="41">
        <v>5649.67</v>
      </c>
      <c r="F473" s="40" t="s">
        <v>1736</v>
      </c>
      <c r="G473" s="41">
        <v>5648.8431</v>
      </c>
      <c r="H473" s="40"/>
      <c r="I473" s="41"/>
      <c r="J473" s="41">
        <f t="shared" si="1"/>
        <v>5649.2565500000001</v>
      </c>
      <c r="K473" s="42" t="s">
        <v>5796</v>
      </c>
      <c r="L473" s="39">
        <v>588</v>
      </c>
    </row>
    <row r="474" spans="1:12" ht="11.25" customHeight="1">
      <c r="A474" s="39">
        <v>3149</v>
      </c>
      <c r="B474" s="40" t="s">
        <v>11183</v>
      </c>
      <c r="C474" s="40" t="s">
        <v>11184</v>
      </c>
      <c r="D474" s="40" t="s">
        <v>5595</v>
      </c>
      <c r="E474" s="41">
        <v>31.02</v>
      </c>
      <c r="F474" s="40" t="s">
        <v>5595</v>
      </c>
      <c r="G474" s="41">
        <v>29.6785</v>
      </c>
      <c r="H474" s="40"/>
      <c r="I474" s="41"/>
      <c r="J474" s="41">
        <f t="shared" si="1"/>
        <v>30.349249999999998</v>
      </c>
      <c r="K474" s="42" t="s">
        <v>5796</v>
      </c>
      <c r="L474" s="39">
        <v>3149</v>
      </c>
    </row>
    <row r="475" spans="1:12" ht="11.25" customHeight="1">
      <c r="A475" s="47">
        <v>60</v>
      </c>
      <c r="B475" s="48" t="s">
        <v>11185</v>
      </c>
      <c r="C475" s="48" t="s">
        <v>11186</v>
      </c>
      <c r="D475" s="48" t="s">
        <v>191</v>
      </c>
      <c r="E475" s="49">
        <v>96865.94</v>
      </c>
      <c r="F475" s="48" t="s">
        <v>191</v>
      </c>
      <c r="G475" s="49">
        <v>96864.952499999999</v>
      </c>
      <c r="H475" s="48"/>
      <c r="I475" s="49"/>
      <c r="J475" s="49">
        <f t="shared" si="1"/>
        <v>96865.446250000008</v>
      </c>
      <c r="K475" s="50" t="s">
        <v>5815</v>
      </c>
      <c r="L475" s="47">
        <v>60</v>
      </c>
    </row>
    <row r="476" spans="1:12" ht="11.25" customHeight="1">
      <c r="A476" s="39">
        <v>446</v>
      </c>
      <c r="B476" s="40" t="s">
        <v>11187</v>
      </c>
      <c r="C476" s="40" t="s">
        <v>11188</v>
      </c>
      <c r="D476" s="40" t="s">
        <v>1331</v>
      </c>
      <c r="E476" s="41">
        <v>8909.84</v>
      </c>
      <c r="F476" s="40" t="s">
        <v>1331</v>
      </c>
      <c r="G476" s="41">
        <v>8908.57</v>
      </c>
      <c r="H476" s="40"/>
      <c r="I476" s="41"/>
      <c r="J476" s="41">
        <f t="shared" si="1"/>
        <v>8909.2049999999999</v>
      </c>
      <c r="K476" s="42" t="s">
        <v>5796</v>
      </c>
      <c r="L476" s="39">
        <v>446</v>
      </c>
    </row>
    <row r="477" spans="1:12" ht="11.25" customHeight="1">
      <c r="A477" s="39">
        <v>1658</v>
      </c>
      <c r="B477" s="40" t="s">
        <v>11189</v>
      </c>
      <c r="C477" s="40" t="s">
        <v>11190</v>
      </c>
      <c r="D477" s="40"/>
      <c r="E477" s="41"/>
      <c r="F477" s="40" t="s">
        <v>4258</v>
      </c>
      <c r="G477" s="41">
        <v>360.834</v>
      </c>
      <c r="H477" s="40"/>
      <c r="I477" s="41"/>
      <c r="J477" s="41">
        <f t="shared" si="1"/>
        <v>360.834</v>
      </c>
      <c r="K477" s="42" t="s">
        <v>5796</v>
      </c>
      <c r="L477" s="39">
        <v>1658</v>
      </c>
    </row>
    <row r="478" spans="1:12" ht="11.25" customHeight="1">
      <c r="A478" s="39">
        <v>1061</v>
      </c>
      <c r="B478" s="40" t="s">
        <v>11191</v>
      </c>
      <c r="C478" s="40" t="s">
        <v>11192</v>
      </c>
      <c r="D478" s="40" t="s">
        <v>3022</v>
      </c>
      <c r="E478" s="41">
        <v>1440.52</v>
      </c>
      <c r="F478" s="40" t="s">
        <v>3022</v>
      </c>
      <c r="G478" s="41">
        <v>1441.3141000000001</v>
      </c>
      <c r="H478" s="40"/>
      <c r="I478" s="41"/>
      <c r="J478" s="41">
        <f t="shared" si="1"/>
        <v>1440.91705</v>
      </c>
      <c r="K478" s="42" t="s">
        <v>5796</v>
      </c>
      <c r="L478" s="39">
        <v>1061</v>
      </c>
    </row>
    <row r="479" spans="1:12" ht="11.25" customHeight="1">
      <c r="A479" s="39">
        <v>323</v>
      </c>
      <c r="B479" s="40" t="s">
        <v>11193</v>
      </c>
      <c r="C479" s="40" t="s">
        <v>11194</v>
      </c>
      <c r="D479" s="40" t="s">
        <v>980</v>
      </c>
      <c r="E479" s="41">
        <v>14342.07</v>
      </c>
      <c r="F479" s="40" t="s">
        <v>980</v>
      </c>
      <c r="G479" s="41">
        <v>14346.1821</v>
      </c>
      <c r="H479" s="40"/>
      <c r="I479" s="41"/>
      <c r="J479" s="41">
        <f t="shared" si="1"/>
        <v>14344.126049999999</v>
      </c>
      <c r="K479" s="42" t="s">
        <v>5796</v>
      </c>
      <c r="L479" s="39">
        <v>323</v>
      </c>
    </row>
    <row r="480" spans="1:12" ht="11.25" customHeight="1">
      <c r="A480" s="39">
        <v>1388</v>
      </c>
      <c r="B480" s="40" t="s">
        <v>11195</v>
      </c>
      <c r="C480" s="40" t="s">
        <v>11196</v>
      </c>
      <c r="D480" s="40" t="s">
        <v>3751</v>
      </c>
      <c r="E480" s="41">
        <v>656.12</v>
      </c>
      <c r="F480" s="40" t="s">
        <v>3751</v>
      </c>
      <c r="G480" s="41">
        <v>655.75400000000002</v>
      </c>
      <c r="H480" s="40"/>
      <c r="I480" s="41"/>
      <c r="J480" s="41">
        <f t="shared" si="1"/>
        <v>655.93700000000001</v>
      </c>
      <c r="K480" s="42" t="s">
        <v>5796</v>
      </c>
      <c r="L480" s="39">
        <v>1388</v>
      </c>
    </row>
    <row r="481" spans="1:12" ht="11.25" customHeight="1">
      <c r="A481" s="39">
        <v>1080</v>
      </c>
      <c r="B481" s="40" t="s">
        <v>11197</v>
      </c>
      <c r="C481" s="40" t="s">
        <v>11198</v>
      </c>
      <c r="D481" s="40" t="s">
        <v>3067</v>
      </c>
      <c r="E481" s="41">
        <v>1380.19</v>
      </c>
      <c r="F481" s="40" t="s">
        <v>3067</v>
      </c>
      <c r="G481" s="41">
        <v>1380.3218999999999</v>
      </c>
      <c r="H481" s="40"/>
      <c r="I481" s="41"/>
      <c r="J481" s="41">
        <f t="shared" si="1"/>
        <v>1380.25595</v>
      </c>
      <c r="K481" s="42" t="s">
        <v>5796</v>
      </c>
      <c r="L481" s="39">
        <v>1080</v>
      </c>
    </row>
    <row r="482" spans="1:12" ht="11.25" customHeight="1">
      <c r="A482" s="39">
        <v>1354</v>
      </c>
      <c r="B482" s="40" t="s">
        <v>11199</v>
      </c>
      <c r="C482" s="40" t="s">
        <v>11200</v>
      </c>
      <c r="D482" s="40" t="s">
        <v>3673</v>
      </c>
      <c r="E482" s="41">
        <v>718.53</v>
      </c>
      <c r="F482" s="40" t="s">
        <v>3673</v>
      </c>
      <c r="G482" s="41">
        <v>717.73090000000002</v>
      </c>
      <c r="H482" s="40"/>
      <c r="I482" s="41"/>
      <c r="J482" s="41">
        <f t="shared" si="1"/>
        <v>718.13045</v>
      </c>
      <c r="K482" s="42" t="s">
        <v>5796</v>
      </c>
      <c r="L482" s="39">
        <v>1354</v>
      </c>
    </row>
    <row r="483" spans="1:12" ht="11.25" customHeight="1">
      <c r="A483" s="39">
        <v>433</v>
      </c>
      <c r="B483" s="40" t="s">
        <v>11201</v>
      </c>
      <c r="C483" s="40" t="s">
        <v>11202</v>
      </c>
      <c r="D483" s="40" t="s">
        <v>1295</v>
      </c>
      <c r="E483" s="41">
        <v>9261.89</v>
      </c>
      <c r="F483" s="40" t="s">
        <v>1295</v>
      </c>
      <c r="G483" s="41">
        <v>9262.0347000000002</v>
      </c>
      <c r="H483" s="40"/>
      <c r="I483" s="41"/>
      <c r="J483" s="41">
        <f t="shared" si="1"/>
        <v>9261.9623499999998</v>
      </c>
      <c r="K483" s="42" t="s">
        <v>5796</v>
      </c>
      <c r="L483" s="39">
        <v>433</v>
      </c>
    </row>
    <row r="484" spans="1:12" ht="11.25" customHeight="1">
      <c r="A484" s="39">
        <v>628</v>
      </c>
      <c r="B484" s="40" t="s">
        <v>11203</v>
      </c>
      <c r="C484" s="40" t="s">
        <v>11204</v>
      </c>
      <c r="D484" s="40" t="s">
        <v>1856</v>
      </c>
      <c r="E484" s="41">
        <v>4759.29</v>
      </c>
      <c r="F484" s="40" t="s">
        <v>1856</v>
      </c>
      <c r="G484" s="41">
        <v>4759.3594999999996</v>
      </c>
      <c r="H484" s="40"/>
      <c r="I484" s="41"/>
      <c r="J484" s="41">
        <f t="shared" si="1"/>
        <v>4759.3247499999998</v>
      </c>
      <c r="K484" s="42" t="s">
        <v>5796</v>
      </c>
      <c r="L484" s="39">
        <v>628</v>
      </c>
    </row>
    <row r="485" spans="1:12" ht="11.25" customHeight="1">
      <c r="A485" s="39">
        <v>2023</v>
      </c>
      <c r="B485" s="40" t="s">
        <v>11205</v>
      </c>
      <c r="C485" s="40" t="s">
        <v>11206</v>
      </c>
      <c r="D485" s="40" t="s">
        <v>4777</v>
      </c>
      <c r="E485" s="41">
        <v>183.04</v>
      </c>
      <c r="F485" s="40" t="s">
        <v>4777</v>
      </c>
      <c r="G485" s="41">
        <v>182.5675</v>
      </c>
      <c r="H485" s="40"/>
      <c r="I485" s="41"/>
      <c r="J485" s="41">
        <f t="shared" si="1"/>
        <v>182.80374999999998</v>
      </c>
      <c r="K485" s="42" t="s">
        <v>5796</v>
      </c>
      <c r="L485" s="39">
        <v>2023</v>
      </c>
    </row>
    <row r="486" spans="1:12" ht="11.25" customHeight="1">
      <c r="A486" s="39">
        <v>299</v>
      </c>
      <c r="B486" s="40" t="s">
        <v>11207</v>
      </c>
      <c r="C486" s="40" t="s">
        <v>11208</v>
      </c>
      <c r="D486" s="40" t="s">
        <v>908</v>
      </c>
      <c r="E486" s="41">
        <v>16317.66</v>
      </c>
      <c r="F486" s="40" t="s">
        <v>908</v>
      </c>
      <c r="G486" s="41">
        <v>16319.996499999999</v>
      </c>
      <c r="H486" s="40"/>
      <c r="I486" s="41"/>
      <c r="J486" s="41">
        <f t="shared" si="1"/>
        <v>16318.828249999999</v>
      </c>
      <c r="K486" s="42" t="s">
        <v>5796</v>
      </c>
      <c r="L486" s="39">
        <v>299</v>
      </c>
    </row>
    <row r="487" spans="1:12" ht="11.25" customHeight="1">
      <c r="A487" s="39">
        <v>1829</v>
      </c>
      <c r="B487" s="40" t="s">
        <v>11209</v>
      </c>
      <c r="C487" s="40" t="s">
        <v>11210</v>
      </c>
      <c r="D487" s="40"/>
      <c r="E487" s="41"/>
      <c r="F487" s="40" t="s">
        <v>4510</v>
      </c>
      <c r="G487" s="41">
        <v>258.05009999999999</v>
      </c>
      <c r="H487" s="40"/>
      <c r="I487" s="41"/>
      <c r="J487" s="41">
        <f t="shared" si="1"/>
        <v>258.05009999999999</v>
      </c>
      <c r="K487" s="42" t="s">
        <v>5796</v>
      </c>
      <c r="L487" s="39">
        <v>1829</v>
      </c>
    </row>
    <row r="488" spans="1:12" ht="11.25" customHeight="1">
      <c r="A488" s="39">
        <v>1304</v>
      </c>
      <c r="B488" s="40" t="s">
        <v>11211</v>
      </c>
      <c r="C488" s="40" t="s">
        <v>11212</v>
      </c>
      <c r="D488" s="40" t="s">
        <v>3583</v>
      </c>
      <c r="E488" s="41">
        <v>794.87</v>
      </c>
      <c r="F488" s="40" t="s">
        <v>3583</v>
      </c>
      <c r="G488" s="41">
        <v>795.0181</v>
      </c>
      <c r="H488" s="40"/>
      <c r="I488" s="41"/>
      <c r="J488" s="41">
        <f t="shared" si="1"/>
        <v>794.94405000000006</v>
      </c>
      <c r="K488" s="42" t="s">
        <v>5796</v>
      </c>
      <c r="L488" s="39">
        <v>1304</v>
      </c>
    </row>
    <row r="489" spans="1:12" ht="11.25" customHeight="1">
      <c r="A489" s="39">
        <v>251</v>
      </c>
      <c r="B489" s="40" t="s">
        <v>11213</v>
      </c>
      <c r="C489" s="40" t="s">
        <v>11214</v>
      </c>
      <c r="D489" s="40" t="s">
        <v>761</v>
      </c>
      <c r="E489" s="41">
        <v>22127.05</v>
      </c>
      <c r="F489" s="40" t="s">
        <v>761</v>
      </c>
      <c r="G489" s="41">
        <v>21824.857599999999</v>
      </c>
      <c r="H489" s="40"/>
      <c r="I489" s="41"/>
      <c r="J489" s="41">
        <f t="shared" si="1"/>
        <v>21975.953799999999</v>
      </c>
      <c r="K489" s="42" t="s">
        <v>5796</v>
      </c>
      <c r="L489" s="39">
        <v>251</v>
      </c>
    </row>
    <row r="490" spans="1:12" ht="11.25" customHeight="1">
      <c r="A490" s="39">
        <v>1314</v>
      </c>
      <c r="B490" s="40" t="s">
        <v>11215</v>
      </c>
      <c r="C490" s="40" t="s">
        <v>11216</v>
      </c>
      <c r="D490" s="40" t="s">
        <v>3610</v>
      </c>
      <c r="E490" s="41">
        <v>785.39</v>
      </c>
      <c r="F490" s="40" t="s">
        <v>3610</v>
      </c>
      <c r="G490" s="41">
        <v>785.33619999999996</v>
      </c>
      <c r="H490" s="40"/>
      <c r="I490" s="41"/>
      <c r="J490" s="41">
        <f t="shared" si="1"/>
        <v>785.36310000000003</v>
      </c>
      <c r="K490" s="42" t="s">
        <v>5796</v>
      </c>
      <c r="L490" s="39">
        <v>1314</v>
      </c>
    </row>
    <row r="491" spans="1:12" ht="11.25" customHeight="1">
      <c r="A491" s="39">
        <v>1701</v>
      </c>
      <c r="B491" s="40" t="s">
        <v>6106</v>
      </c>
      <c r="C491" s="40" t="s">
        <v>11217</v>
      </c>
      <c r="D491" s="40" t="s">
        <v>4339</v>
      </c>
      <c r="E491" s="41">
        <v>330.34</v>
      </c>
      <c r="F491" s="40" t="s">
        <v>4339</v>
      </c>
      <c r="G491" s="41">
        <v>330.14980000000003</v>
      </c>
      <c r="H491" s="40"/>
      <c r="I491" s="41"/>
      <c r="J491" s="41">
        <f t="shared" si="1"/>
        <v>330.24490000000003</v>
      </c>
      <c r="K491" s="42" t="s">
        <v>5796</v>
      </c>
      <c r="L491" s="39">
        <v>1701</v>
      </c>
    </row>
    <row r="492" spans="1:12" ht="11.25" customHeight="1">
      <c r="A492" s="39">
        <v>574</v>
      </c>
      <c r="B492" s="40" t="s">
        <v>11218</v>
      </c>
      <c r="C492" s="40" t="s">
        <v>11219</v>
      </c>
      <c r="D492" s="40" t="s">
        <v>1703</v>
      </c>
      <c r="E492" s="41">
        <v>5924.88</v>
      </c>
      <c r="F492" s="40" t="s">
        <v>1703</v>
      </c>
      <c r="G492" s="41">
        <v>5926.7754000000004</v>
      </c>
      <c r="H492" s="40"/>
      <c r="I492" s="41"/>
      <c r="J492" s="41">
        <f t="shared" si="1"/>
        <v>5925.8276999999998</v>
      </c>
      <c r="K492" s="42" t="s">
        <v>5796</v>
      </c>
      <c r="L492" s="39">
        <v>574</v>
      </c>
    </row>
    <row r="493" spans="1:12" ht="11.25" customHeight="1">
      <c r="A493" s="39">
        <v>1878</v>
      </c>
      <c r="B493" s="40" t="s">
        <v>11220</v>
      </c>
      <c r="C493" s="40" t="s">
        <v>11221</v>
      </c>
      <c r="D493" s="40" t="s">
        <v>4570</v>
      </c>
      <c r="E493" s="41">
        <v>233.95</v>
      </c>
      <c r="F493" s="40" t="s">
        <v>4570</v>
      </c>
      <c r="G493" s="41">
        <v>233.92420000000001</v>
      </c>
      <c r="H493" s="40"/>
      <c r="I493" s="41"/>
      <c r="J493" s="41">
        <f t="shared" si="1"/>
        <v>233.93709999999999</v>
      </c>
      <c r="K493" s="42" t="s">
        <v>5796</v>
      </c>
      <c r="L493" s="39">
        <v>1878</v>
      </c>
    </row>
    <row r="494" spans="1:12" ht="11.25" customHeight="1">
      <c r="A494" s="39">
        <v>2038</v>
      </c>
      <c r="B494" s="40" t="s">
        <v>11222</v>
      </c>
      <c r="C494" s="40" t="s">
        <v>11223</v>
      </c>
      <c r="D494" s="40" t="s">
        <v>4792</v>
      </c>
      <c r="E494" s="41">
        <v>177.13</v>
      </c>
      <c r="F494" s="40" t="s">
        <v>4792</v>
      </c>
      <c r="G494" s="41">
        <v>177.155</v>
      </c>
      <c r="H494" s="40"/>
      <c r="I494" s="41"/>
      <c r="J494" s="41">
        <f t="shared" si="1"/>
        <v>177.14249999999998</v>
      </c>
      <c r="K494" s="42" t="s">
        <v>5796</v>
      </c>
      <c r="L494" s="39">
        <v>2038</v>
      </c>
    </row>
    <row r="495" spans="1:12" ht="11.25" customHeight="1">
      <c r="A495" s="39">
        <v>932</v>
      </c>
      <c r="B495" s="40" t="s">
        <v>11224</v>
      </c>
      <c r="C495" s="40" t="s">
        <v>11225</v>
      </c>
      <c r="D495" s="40" t="s">
        <v>2692</v>
      </c>
      <c r="E495" s="41">
        <v>2032.92</v>
      </c>
      <c r="F495" s="40" t="s">
        <v>2692</v>
      </c>
      <c r="G495" s="41">
        <v>2033.0686000000001</v>
      </c>
      <c r="H495" s="40"/>
      <c r="I495" s="41"/>
      <c r="J495" s="41">
        <f t="shared" si="1"/>
        <v>2032.9943000000001</v>
      </c>
      <c r="K495" s="42" t="s">
        <v>5796</v>
      </c>
      <c r="L495" s="39">
        <v>932</v>
      </c>
    </row>
    <row r="496" spans="1:12" ht="11.25" customHeight="1">
      <c r="A496" s="39">
        <v>718</v>
      </c>
      <c r="B496" s="40" t="s">
        <v>11226</v>
      </c>
      <c r="C496" s="40" t="s">
        <v>11227</v>
      </c>
      <c r="D496" s="40" t="s">
        <v>2101</v>
      </c>
      <c r="E496" s="41">
        <v>3636.13</v>
      </c>
      <c r="F496" s="40" t="s">
        <v>2101</v>
      </c>
      <c r="G496" s="41">
        <v>3635.9814000000001</v>
      </c>
      <c r="H496" s="40"/>
      <c r="I496" s="41"/>
      <c r="J496" s="41">
        <f t="shared" si="1"/>
        <v>3636.0556999999999</v>
      </c>
      <c r="K496" s="42" t="s">
        <v>5796</v>
      </c>
      <c r="L496" s="39">
        <v>718</v>
      </c>
    </row>
    <row r="497" spans="1:12" ht="11.25" customHeight="1">
      <c r="A497" s="43">
        <v>241</v>
      </c>
      <c r="B497" s="44" t="s">
        <v>11228</v>
      </c>
      <c r="C497" s="44" t="s">
        <v>11229</v>
      </c>
      <c r="D497" s="44" t="s">
        <v>734</v>
      </c>
      <c r="E497" s="45">
        <v>23229.74</v>
      </c>
      <c r="F497" s="44" t="s">
        <v>734</v>
      </c>
      <c r="G497" s="45">
        <v>23238.807000000001</v>
      </c>
      <c r="H497" s="44"/>
      <c r="I497" s="45"/>
      <c r="J497" s="45">
        <f t="shared" si="1"/>
        <v>23234.273500000003</v>
      </c>
      <c r="K497" s="46" t="s">
        <v>5800</v>
      </c>
      <c r="L497" s="43">
        <v>241</v>
      </c>
    </row>
    <row r="498" spans="1:12" ht="11.25" customHeight="1">
      <c r="A498" s="39">
        <v>2428</v>
      </c>
      <c r="B498" s="40" t="s">
        <v>11230</v>
      </c>
      <c r="C498" s="40" t="s">
        <v>11231</v>
      </c>
      <c r="D498" s="40" t="s">
        <v>5235</v>
      </c>
      <c r="E498" s="41">
        <v>93.16</v>
      </c>
      <c r="F498" s="40" t="s">
        <v>5235</v>
      </c>
      <c r="G498" s="41">
        <v>93.080799999999996</v>
      </c>
      <c r="H498" s="40"/>
      <c r="I498" s="41"/>
      <c r="J498" s="41">
        <f t="shared" si="1"/>
        <v>93.120399999999989</v>
      </c>
      <c r="K498" s="42" t="s">
        <v>5796</v>
      </c>
      <c r="L498" s="39">
        <v>2428</v>
      </c>
    </row>
    <row r="499" spans="1:12" ht="11.25" customHeight="1">
      <c r="A499" s="39">
        <v>465</v>
      </c>
      <c r="B499" s="40" t="s">
        <v>11232</v>
      </c>
      <c r="C499" s="40" t="s">
        <v>11233</v>
      </c>
      <c r="D499" s="40" t="s">
        <v>1385</v>
      </c>
      <c r="E499" s="41">
        <v>8162.42</v>
      </c>
      <c r="F499" s="40" t="s">
        <v>1385</v>
      </c>
      <c r="G499" s="41">
        <v>8162.2604000000001</v>
      </c>
      <c r="H499" s="40"/>
      <c r="I499" s="41"/>
      <c r="J499" s="41">
        <f t="shared" si="1"/>
        <v>8162.3402000000006</v>
      </c>
      <c r="K499" s="42" t="s">
        <v>5796</v>
      </c>
      <c r="L499" s="39">
        <v>465</v>
      </c>
    </row>
    <row r="500" spans="1:12" ht="11.25" customHeight="1">
      <c r="A500" s="39">
        <v>1309</v>
      </c>
      <c r="B500" s="40" t="s">
        <v>11234</v>
      </c>
      <c r="C500" s="40" t="s">
        <v>11235</v>
      </c>
      <c r="D500" s="40" t="s">
        <v>3595</v>
      </c>
      <c r="E500" s="41">
        <v>791.54</v>
      </c>
      <c r="F500" s="40" t="s">
        <v>3595</v>
      </c>
      <c r="G500" s="41">
        <v>791.84209999999996</v>
      </c>
      <c r="H500" s="40"/>
      <c r="I500" s="41"/>
      <c r="J500" s="41">
        <f t="shared" si="1"/>
        <v>791.6910499999999</v>
      </c>
      <c r="K500" s="42" t="s">
        <v>5796</v>
      </c>
      <c r="L500" s="39">
        <v>1309</v>
      </c>
    </row>
    <row r="501" spans="1:12" ht="11.25" customHeight="1">
      <c r="A501" s="39">
        <v>692</v>
      </c>
      <c r="B501" s="40" t="s">
        <v>11236</v>
      </c>
      <c r="C501" s="40" t="s">
        <v>11237</v>
      </c>
      <c r="D501" s="40" t="s">
        <v>2030</v>
      </c>
      <c r="E501" s="41">
        <v>3959.02</v>
      </c>
      <c r="F501" s="40" t="s">
        <v>2030</v>
      </c>
      <c r="G501" s="41">
        <v>3959.5726</v>
      </c>
      <c r="H501" s="40"/>
      <c r="I501" s="41"/>
      <c r="J501" s="41">
        <f t="shared" si="1"/>
        <v>3959.2963</v>
      </c>
      <c r="K501" s="42" t="s">
        <v>5796</v>
      </c>
      <c r="L501" s="39">
        <v>692</v>
      </c>
    </row>
    <row r="502" spans="1:12" ht="11.25" customHeight="1">
      <c r="A502" s="39">
        <v>549</v>
      </c>
      <c r="B502" s="40" t="s">
        <v>6111</v>
      </c>
      <c r="C502" s="40" t="s">
        <v>11238</v>
      </c>
      <c r="D502" s="40" t="s">
        <v>1628</v>
      </c>
      <c r="E502" s="41">
        <v>6424.22</v>
      </c>
      <c r="F502" s="40" t="s">
        <v>1628</v>
      </c>
      <c r="G502" s="41">
        <v>6424.0075999999999</v>
      </c>
      <c r="H502" s="40"/>
      <c r="I502" s="41"/>
      <c r="J502" s="41">
        <f t="shared" si="1"/>
        <v>6424.1138000000001</v>
      </c>
      <c r="K502" s="42" t="s">
        <v>5796</v>
      </c>
      <c r="L502" s="39">
        <v>549</v>
      </c>
    </row>
    <row r="503" spans="1:12" ht="11.25" customHeight="1">
      <c r="A503" s="39">
        <v>1766</v>
      </c>
      <c r="B503" s="40" t="s">
        <v>6112</v>
      </c>
      <c r="C503" s="40" t="s">
        <v>11239</v>
      </c>
      <c r="D503" s="40" t="s">
        <v>4432</v>
      </c>
      <c r="E503" s="41">
        <v>289.87</v>
      </c>
      <c r="F503" s="40" t="s">
        <v>4432</v>
      </c>
      <c r="G503" s="41">
        <v>290.59969999999998</v>
      </c>
      <c r="H503" s="40"/>
      <c r="I503" s="41"/>
      <c r="J503" s="41">
        <f t="shared" si="1"/>
        <v>290.23484999999999</v>
      </c>
      <c r="K503" s="42" t="s">
        <v>5796</v>
      </c>
      <c r="L503" s="39">
        <v>1766</v>
      </c>
    </row>
    <row r="504" spans="1:12" ht="11.25" customHeight="1">
      <c r="A504" s="39">
        <v>394</v>
      </c>
      <c r="B504" s="40" t="s">
        <v>11240</v>
      </c>
      <c r="C504" s="40" t="s">
        <v>11241</v>
      </c>
      <c r="D504" s="40" t="s">
        <v>1190</v>
      </c>
      <c r="E504" s="41">
        <v>10464.6</v>
      </c>
      <c r="F504" s="40" t="s">
        <v>1190</v>
      </c>
      <c r="G504" s="41">
        <v>10435.055</v>
      </c>
      <c r="H504" s="40"/>
      <c r="I504" s="41"/>
      <c r="J504" s="41">
        <f t="shared" si="1"/>
        <v>10449.827499999999</v>
      </c>
      <c r="K504" s="42" t="s">
        <v>5796</v>
      </c>
      <c r="L504" s="39">
        <v>394</v>
      </c>
    </row>
    <row r="505" spans="1:12" ht="11.25" customHeight="1">
      <c r="A505" s="39">
        <v>376</v>
      </c>
      <c r="B505" s="40" t="s">
        <v>11242</v>
      </c>
      <c r="C505" s="40" t="s">
        <v>11243</v>
      </c>
      <c r="D505" s="40" t="s">
        <v>1136</v>
      </c>
      <c r="E505" s="41">
        <v>11417.73</v>
      </c>
      <c r="F505" s="40" t="s">
        <v>1136</v>
      </c>
      <c r="G505" s="41">
        <v>11423.883099999999</v>
      </c>
      <c r="H505" s="40"/>
      <c r="I505" s="41"/>
      <c r="J505" s="41">
        <f t="shared" si="1"/>
        <v>11420.806549999999</v>
      </c>
      <c r="K505" s="42" t="s">
        <v>5796</v>
      </c>
      <c r="L505" s="39">
        <v>376</v>
      </c>
    </row>
    <row r="506" spans="1:12" ht="11.25" customHeight="1">
      <c r="A506" s="39">
        <v>1995</v>
      </c>
      <c r="B506" s="40" t="s">
        <v>11244</v>
      </c>
      <c r="C506" s="40" t="s">
        <v>11245</v>
      </c>
      <c r="D506" s="40" t="s">
        <v>4732</v>
      </c>
      <c r="E506" s="41">
        <v>190.26</v>
      </c>
      <c r="F506" s="40" t="s">
        <v>4732</v>
      </c>
      <c r="G506" s="41">
        <v>190.23480000000001</v>
      </c>
      <c r="H506" s="40"/>
      <c r="I506" s="41"/>
      <c r="J506" s="41">
        <f t="shared" si="1"/>
        <v>190.2474</v>
      </c>
      <c r="K506" s="42" t="s">
        <v>5796</v>
      </c>
      <c r="L506" s="39">
        <v>1995</v>
      </c>
    </row>
    <row r="507" spans="1:12" ht="11.25" customHeight="1">
      <c r="A507" s="39">
        <v>464</v>
      </c>
      <c r="B507" s="40" t="s">
        <v>11246</v>
      </c>
      <c r="C507" s="40" t="s">
        <v>11247</v>
      </c>
      <c r="D507" s="40" t="s">
        <v>1382</v>
      </c>
      <c r="E507" s="41">
        <v>8191.04</v>
      </c>
      <c r="F507" s="40" t="s">
        <v>1382</v>
      </c>
      <c r="G507" s="41">
        <v>8190.6103999999996</v>
      </c>
      <c r="H507" s="40"/>
      <c r="I507" s="41"/>
      <c r="J507" s="41">
        <f t="shared" si="1"/>
        <v>8190.8251999999993</v>
      </c>
      <c r="K507" s="42" t="s">
        <v>5796</v>
      </c>
      <c r="L507" s="39">
        <v>464</v>
      </c>
    </row>
    <row r="508" spans="1:12" ht="11.25" customHeight="1">
      <c r="A508" s="39">
        <v>724</v>
      </c>
      <c r="B508" s="40" t="s">
        <v>11248</v>
      </c>
      <c r="C508" s="40" t="s">
        <v>11249</v>
      </c>
      <c r="D508" s="40" t="s">
        <v>2119</v>
      </c>
      <c r="E508" s="41">
        <v>3553.65</v>
      </c>
      <c r="F508" s="40" t="s">
        <v>2119</v>
      </c>
      <c r="G508" s="41">
        <v>3553.9493000000002</v>
      </c>
      <c r="H508" s="40"/>
      <c r="I508" s="41"/>
      <c r="J508" s="41">
        <f t="shared" si="1"/>
        <v>3553.7996499999999</v>
      </c>
      <c r="K508" s="42" t="s">
        <v>5796</v>
      </c>
      <c r="L508" s="39">
        <v>724</v>
      </c>
    </row>
    <row r="509" spans="1:12" ht="11.25" customHeight="1">
      <c r="A509" s="43">
        <v>180</v>
      </c>
      <c r="B509" s="44" t="s">
        <v>11250</v>
      </c>
      <c r="C509" s="44" t="s">
        <v>11251</v>
      </c>
      <c r="D509" s="44" t="s">
        <v>551</v>
      </c>
      <c r="E509" s="45">
        <v>33804.800000000003</v>
      </c>
      <c r="F509" s="44" t="s">
        <v>551</v>
      </c>
      <c r="G509" s="45">
        <v>34545.188699999999</v>
      </c>
      <c r="H509" s="44"/>
      <c r="I509" s="45"/>
      <c r="J509" s="45">
        <f t="shared" si="1"/>
        <v>34174.994350000001</v>
      </c>
      <c r="K509" s="46" t="s">
        <v>5800</v>
      </c>
      <c r="L509" s="43">
        <v>180</v>
      </c>
    </row>
    <row r="510" spans="1:12" ht="11.25" customHeight="1">
      <c r="A510" s="39">
        <v>1676</v>
      </c>
      <c r="B510" s="40" t="s">
        <v>11252</v>
      </c>
      <c r="C510" s="40" t="s">
        <v>11253</v>
      </c>
      <c r="D510" s="40" t="s">
        <v>4291</v>
      </c>
      <c r="E510" s="41">
        <v>344.84</v>
      </c>
      <c r="F510" s="40" t="s">
        <v>4291</v>
      </c>
      <c r="G510" s="41">
        <v>344.298</v>
      </c>
      <c r="H510" s="40"/>
      <c r="I510" s="41"/>
      <c r="J510" s="41">
        <f t="shared" si="1"/>
        <v>344.56899999999996</v>
      </c>
      <c r="K510" s="42" t="s">
        <v>5796</v>
      </c>
      <c r="L510" s="39">
        <v>1676</v>
      </c>
    </row>
    <row r="511" spans="1:12" ht="11.25" customHeight="1">
      <c r="A511" s="39">
        <v>1774</v>
      </c>
      <c r="B511" s="40" t="s">
        <v>11254</v>
      </c>
      <c r="C511" s="40" t="s">
        <v>11255</v>
      </c>
      <c r="D511" s="40" t="s">
        <v>4444</v>
      </c>
      <c r="E511" s="41">
        <v>285.26</v>
      </c>
      <c r="F511" s="40" t="s">
        <v>4444</v>
      </c>
      <c r="G511" s="41">
        <v>286.2353</v>
      </c>
      <c r="H511" s="40"/>
      <c r="I511" s="41"/>
      <c r="J511" s="41">
        <f t="shared" si="1"/>
        <v>285.74765000000002</v>
      </c>
      <c r="K511" s="42" t="s">
        <v>5796</v>
      </c>
      <c r="L511" s="39">
        <v>1774</v>
      </c>
    </row>
    <row r="512" spans="1:12" ht="11.25" customHeight="1">
      <c r="A512" s="39">
        <v>1306</v>
      </c>
      <c r="B512" s="40" t="s">
        <v>11256</v>
      </c>
      <c r="C512" s="40" t="s">
        <v>11257</v>
      </c>
      <c r="D512" s="40" t="s">
        <v>3589</v>
      </c>
      <c r="E512" s="41">
        <v>793.48</v>
      </c>
      <c r="F512" s="40" t="s">
        <v>3589</v>
      </c>
      <c r="G512" s="41">
        <v>793.14530000000002</v>
      </c>
      <c r="H512" s="40"/>
      <c r="I512" s="41"/>
      <c r="J512" s="41">
        <f t="shared" si="1"/>
        <v>793.31265000000008</v>
      </c>
      <c r="K512" s="42" t="s">
        <v>5796</v>
      </c>
      <c r="L512" s="39">
        <v>1306</v>
      </c>
    </row>
    <row r="513" spans="1:12" ht="11.25" customHeight="1">
      <c r="A513" s="39">
        <v>684</v>
      </c>
      <c r="B513" s="40" t="s">
        <v>6116</v>
      </c>
      <c r="C513" s="40" t="s">
        <v>11258</v>
      </c>
      <c r="D513" s="40" t="s">
        <v>2006</v>
      </c>
      <c r="E513" s="41">
        <v>4039.99</v>
      </c>
      <c r="F513" s="40" t="s">
        <v>2006</v>
      </c>
      <c r="G513" s="41">
        <v>3977.7139999999999</v>
      </c>
      <c r="H513" s="40"/>
      <c r="I513" s="41"/>
      <c r="J513" s="41">
        <f t="shared" ref="J513:J767" si="2">AVERAGE(E513,G513,I513)</f>
        <v>4008.8519999999999</v>
      </c>
      <c r="K513" s="42" t="s">
        <v>5796</v>
      </c>
      <c r="L513" s="39">
        <v>684</v>
      </c>
    </row>
    <row r="514" spans="1:12" ht="11.25" customHeight="1">
      <c r="A514" s="39">
        <v>3863</v>
      </c>
      <c r="B514" s="40" t="s">
        <v>11259</v>
      </c>
      <c r="C514" s="40" t="s">
        <v>11260</v>
      </c>
      <c r="D514" s="40" t="s">
        <v>5736</v>
      </c>
      <c r="E514" s="41">
        <v>10.19</v>
      </c>
      <c r="F514" s="40" t="s">
        <v>5736</v>
      </c>
      <c r="G514" s="41">
        <v>10.3164</v>
      </c>
      <c r="H514" s="40"/>
      <c r="I514" s="41"/>
      <c r="J514" s="41">
        <f t="shared" si="2"/>
        <v>10.2532</v>
      </c>
      <c r="K514" s="42" t="s">
        <v>5796</v>
      </c>
      <c r="L514" s="39">
        <v>3863</v>
      </c>
    </row>
    <row r="515" spans="1:12" ht="11.25" customHeight="1">
      <c r="A515" s="39">
        <v>831</v>
      </c>
      <c r="B515" s="40" t="s">
        <v>11261</v>
      </c>
      <c r="C515" s="40" t="s">
        <v>11262</v>
      </c>
      <c r="D515" s="40" t="s">
        <v>2416</v>
      </c>
      <c r="E515" s="41">
        <v>2646.26</v>
      </c>
      <c r="F515" s="40" t="s">
        <v>2416</v>
      </c>
      <c r="G515" s="41">
        <v>2646.3672999999999</v>
      </c>
      <c r="H515" s="40"/>
      <c r="I515" s="41"/>
      <c r="J515" s="41">
        <f t="shared" si="2"/>
        <v>2646.3136500000001</v>
      </c>
      <c r="K515" s="42" t="s">
        <v>5796</v>
      </c>
      <c r="L515" s="39">
        <v>831</v>
      </c>
    </row>
    <row r="516" spans="1:12" ht="11.25" customHeight="1">
      <c r="A516" s="39">
        <v>991</v>
      </c>
      <c r="B516" s="40" t="s">
        <v>11263</v>
      </c>
      <c r="C516" s="40" t="s">
        <v>11264</v>
      </c>
      <c r="D516" s="40" t="s">
        <v>2839</v>
      </c>
      <c r="E516" s="41">
        <v>1757.91</v>
      </c>
      <c r="F516" s="40" t="s">
        <v>2839</v>
      </c>
      <c r="G516" s="41">
        <v>1758.2068999999999</v>
      </c>
      <c r="H516" s="40"/>
      <c r="I516" s="41"/>
      <c r="J516" s="41">
        <f t="shared" si="2"/>
        <v>1758.05845</v>
      </c>
      <c r="K516" s="42" t="s">
        <v>5796</v>
      </c>
      <c r="L516" s="39">
        <v>991</v>
      </c>
    </row>
    <row r="517" spans="1:12" ht="11.25" customHeight="1">
      <c r="A517" s="39">
        <v>2776</v>
      </c>
      <c r="B517" s="40" t="s">
        <v>11265</v>
      </c>
      <c r="C517" s="40" t="s">
        <v>11266</v>
      </c>
      <c r="D517" s="40" t="s">
        <v>5457</v>
      </c>
      <c r="E517" s="41">
        <v>53.91</v>
      </c>
      <c r="F517" s="40" t="s">
        <v>5457</v>
      </c>
      <c r="G517" s="41">
        <v>52.1616</v>
      </c>
      <c r="H517" s="40"/>
      <c r="I517" s="41"/>
      <c r="J517" s="41">
        <f t="shared" si="2"/>
        <v>53.035799999999995</v>
      </c>
      <c r="K517" s="42" t="s">
        <v>5796</v>
      </c>
      <c r="L517" s="39">
        <v>2776</v>
      </c>
    </row>
    <row r="518" spans="1:12" ht="11.25" customHeight="1">
      <c r="A518" s="39">
        <v>1164</v>
      </c>
      <c r="B518" s="40" t="s">
        <v>11267</v>
      </c>
      <c r="C518" s="40" t="s">
        <v>11268</v>
      </c>
      <c r="D518" s="40" t="s">
        <v>3262</v>
      </c>
      <c r="E518" s="41">
        <v>1121.55</v>
      </c>
      <c r="F518" s="40" t="s">
        <v>3262</v>
      </c>
      <c r="G518" s="41">
        <v>1121.4973</v>
      </c>
      <c r="H518" s="40"/>
      <c r="I518" s="41"/>
      <c r="J518" s="41">
        <f t="shared" si="2"/>
        <v>1121.5236500000001</v>
      </c>
      <c r="K518" s="42" t="s">
        <v>5796</v>
      </c>
      <c r="L518" s="39">
        <v>1164</v>
      </c>
    </row>
    <row r="519" spans="1:12" ht="11.25" customHeight="1">
      <c r="A519" s="43">
        <v>245</v>
      </c>
      <c r="B519" s="44" t="s">
        <v>11269</v>
      </c>
      <c r="C519" s="44" t="s">
        <v>11270</v>
      </c>
      <c r="D519" s="44" t="s">
        <v>743</v>
      </c>
      <c r="E519" s="45">
        <v>22748.54</v>
      </c>
      <c r="F519" s="44" t="s">
        <v>743</v>
      </c>
      <c r="G519" s="45">
        <v>22750.695599999999</v>
      </c>
      <c r="H519" s="44"/>
      <c r="I519" s="45"/>
      <c r="J519" s="45">
        <f t="shared" si="2"/>
        <v>22749.6178</v>
      </c>
      <c r="K519" s="46" t="s">
        <v>5800</v>
      </c>
      <c r="L519" s="43">
        <v>245</v>
      </c>
    </row>
    <row r="520" spans="1:12" ht="11.25" customHeight="1">
      <c r="A520" s="39">
        <v>914</v>
      </c>
      <c r="B520" s="40" t="s">
        <v>6122</v>
      </c>
      <c r="C520" s="40" t="s">
        <v>11271</v>
      </c>
      <c r="D520" s="40" t="s">
        <v>2650</v>
      </c>
      <c r="E520" s="41">
        <v>2142.9299999999998</v>
      </c>
      <c r="F520" s="40" t="s">
        <v>2650</v>
      </c>
      <c r="G520" s="41">
        <v>2054.9229999999998</v>
      </c>
      <c r="H520" s="40"/>
      <c r="I520" s="41"/>
      <c r="J520" s="41">
        <f t="shared" si="2"/>
        <v>2098.9264999999996</v>
      </c>
      <c r="K520" s="42" t="s">
        <v>5796</v>
      </c>
      <c r="L520" s="39">
        <v>914</v>
      </c>
    </row>
    <row r="521" spans="1:12" ht="11.25" customHeight="1">
      <c r="A521" s="39">
        <v>1466</v>
      </c>
      <c r="B521" s="40" t="s">
        <v>11272</v>
      </c>
      <c r="C521" s="40" t="s">
        <v>11273</v>
      </c>
      <c r="D521" s="40" t="s">
        <v>3889</v>
      </c>
      <c r="E521" s="41">
        <v>557.08000000000004</v>
      </c>
      <c r="F521" s="40" t="s">
        <v>3889</v>
      </c>
      <c r="G521" s="41">
        <v>557.06240000000003</v>
      </c>
      <c r="H521" s="40"/>
      <c r="I521" s="41"/>
      <c r="J521" s="41">
        <f t="shared" si="2"/>
        <v>557.07120000000009</v>
      </c>
      <c r="K521" s="42" t="s">
        <v>5796</v>
      </c>
      <c r="L521" s="39">
        <v>1466</v>
      </c>
    </row>
    <row r="522" spans="1:12" ht="11.25" customHeight="1">
      <c r="A522" s="43">
        <v>165</v>
      </c>
      <c r="B522" s="44" t="s">
        <v>11274</v>
      </c>
      <c r="C522" s="44" t="s">
        <v>11275</v>
      </c>
      <c r="D522" s="44" t="s">
        <v>506</v>
      </c>
      <c r="E522" s="45">
        <v>38594.160000000003</v>
      </c>
      <c r="F522" s="44" t="s">
        <v>506</v>
      </c>
      <c r="G522" s="45">
        <v>38593.381600000001</v>
      </c>
      <c r="H522" s="44"/>
      <c r="I522" s="45"/>
      <c r="J522" s="45">
        <f t="shared" si="2"/>
        <v>38593.770799999998</v>
      </c>
      <c r="K522" s="46" t="s">
        <v>5800</v>
      </c>
      <c r="L522" s="43">
        <v>165</v>
      </c>
    </row>
    <row r="523" spans="1:12" ht="11.25" customHeight="1">
      <c r="A523" s="39">
        <v>1047</v>
      </c>
      <c r="B523" s="40" t="s">
        <v>11276</v>
      </c>
      <c r="C523" s="40" t="s">
        <v>11277</v>
      </c>
      <c r="D523" s="40" t="s">
        <v>2989</v>
      </c>
      <c r="E523" s="41">
        <v>1503.53</v>
      </c>
      <c r="F523" s="40" t="s">
        <v>2989</v>
      </c>
      <c r="G523" s="41">
        <v>1503.8653999999999</v>
      </c>
      <c r="H523" s="40"/>
      <c r="I523" s="41"/>
      <c r="J523" s="41">
        <f t="shared" si="2"/>
        <v>1503.6976999999999</v>
      </c>
      <c r="K523" s="42" t="s">
        <v>5796</v>
      </c>
      <c r="L523" s="39">
        <v>1047</v>
      </c>
    </row>
    <row r="524" spans="1:12" ht="11.25" customHeight="1">
      <c r="A524" s="39">
        <v>1218</v>
      </c>
      <c r="B524" s="40" t="s">
        <v>11278</v>
      </c>
      <c r="C524" s="40" t="s">
        <v>11279</v>
      </c>
      <c r="D524" s="40" t="s">
        <v>3400</v>
      </c>
      <c r="E524" s="41">
        <v>1003.83</v>
      </c>
      <c r="F524" s="40" t="s">
        <v>3400</v>
      </c>
      <c r="G524" s="41">
        <v>1003.7157</v>
      </c>
      <c r="H524" s="40"/>
      <c r="I524" s="41"/>
      <c r="J524" s="41">
        <f t="shared" si="2"/>
        <v>1003.7728500000001</v>
      </c>
      <c r="K524" s="42" t="s">
        <v>5796</v>
      </c>
      <c r="L524" s="39">
        <v>1218</v>
      </c>
    </row>
    <row r="525" spans="1:12" ht="11.25" customHeight="1">
      <c r="A525" s="39">
        <v>732</v>
      </c>
      <c r="B525" s="40" t="s">
        <v>11280</v>
      </c>
      <c r="C525" s="40" t="s">
        <v>11281</v>
      </c>
      <c r="D525" s="40" t="s">
        <v>2143</v>
      </c>
      <c r="E525" s="41">
        <v>3497.94</v>
      </c>
      <c r="F525" s="40" t="s">
        <v>2143</v>
      </c>
      <c r="G525" s="41">
        <v>3498.2433999999998</v>
      </c>
      <c r="H525" s="40"/>
      <c r="I525" s="41"/>
      <c r="J525" s="41">
        <f t="shared" si="2"/>
        <v>3498.0916999999999</v>
      </c>
      <c r="K525" s="42" t="s">
        <v>5796</v>
      </c>
      <c r="L525" s="39">
        <v>732</v>
      </c>
    </row>
    <row r="526" spans="1:12" ht="11.25" customHeight="1">
      <c r="A526" s="39">
        <v>2074</v>
      </c>
      <c r="B526" s="40" t="s">
        <v>11282</v>
      </c>
      <c r="C526" s="40" t="s">
        <v>11283</v>
      </c>
      <c r="D526" s="40" t="s">
        <v>4849</v>
      </c>
      <c r="E526" s="41">
        <v>172.13</v>
      </c>
      <c r="F526" s="40" t="s">
        <v>4849</v>
      </c>
      <c r="G526" s="41">
        <v>166.36590000000001</v>
      </c>
      <c r="H526" s="40"/>
      <c r="I526" s="41"/>
      <c r="J526" s="41">
        <f t="shared" si="2"/>
        <v>169.24795</v>
      </c>
      <c r="K526" s="42" t="s">
        <v>5796</v>
      </c>
      <c r="L526" s="39">
        <v>2074</v>
      </c>
    </row>
    <row r="527" spans="1:12" ht="11.25" customHeight="1">
      <c r="A527" s="39">
        <v>1524</v>
      </c>
      <c r="B527" s="40" t="s">
        <v>11284</v>
      </c>
      <c r="C527" s="40" t="s">
        <v>11285</v>
      </c>
      <c r="D527" s="40" t="s">
        <v>4009</v>
      </c>
      <c r="E527" s="41">
        <v>478.45</v>
      </c>
      <c r="F527" s="40" t="s">
        <v>4009</v>
      </c>
      <c r="G527" s="41">
        <v>477.9855</v>
      </c>
      <c r="H527" s="40"/>
      <c r="I527" s="41"/>
      <c r="J527" s="41">
        <f t="shared" si="2"/>
        <v>478.21775000000002</v>
      </c>
      <c r="K527" s="42" t="s">
        <v>5796</v>
      </c>
      <c r="L527" s="39">
        <v>1524</v>
      </c>
    </row>
    <row r="528" spans="1:12" ht="11.25" customHeight="1">
      <c r="A528" s="39">
        <v>554</v>
      </c>
      <c r="B528" s="40" t="s">
        <v>11286</v>
      </c>
      <c r="C528" s="40" t="s">
        <v>11287</v>
      </c>
      <c r="D528" s="40" t="s">
        <v>1643</v>
      </c>
      <c r="E528" s="41">
        <v>6227.3</v>
      </c>
      <c r="F528" s="40" t="s">
        <v>1643</v>
      </c>
      <c r="G528" s="41">
        <v>6227.8287</v>
      </c>
      <c r="H528" s="40"/>
      <c r="I528" s="41"/>
      <c r="J528" s="41">
        <f t="shared" si="2"/>
        <v>6227.5643500000006</v>
      </c>
      <c r="K528" s="42" t="s">
        <v>5796</v>
      </c>
      <c r="L528" s="39">
        <v>554</v>
      </c>
    </row>
    <row r="529" spans="1:12" ht="11.25" customHeight="1">
      <c r="A529" s="43">
        <v>186</v>
      </c>
      <c r="B529" s="44" t="s">
        <v>11288</v>
      </c>
      <c r="C529" s="44" t="s">
        <v>11289</v>
      </c>
      <c r="D529" s="44" t="s">
        <v>569</v>
      </c>
      <c r="E529" s="45">
        <v>33796.89</v>
      </c>
      <c r="F529" s="44" t="s">
        <v>569</v>
      </c>
      <c r="G529" s="45">
        <v>33302.453699999998</v>
      </c>
      <c r="H529" s="44"/>
      <c r="I529" s="45"/>
      <c r="J529" s="45">
        <f t="shared" si="2"/>
        <v>33549.671849999999</v>
      </c>
      <c r="K529" s="46" t="s">
        <v>5800</v>
      </c>
      <c r="L529" s="43">
        <v>186</v>
      </c>
    </row>
    <row r="530" spans="1:12" ht="11.25" customHeight="1">
      <c r="A530" s="39">
        <v>608</v>
      </c>
      <c r="B530" s="40" t="s">
        <v>11290</v>
      </c>
      <c r="C530" s="40" t="s">
        <v>11291</v>
      </c>
      <c r="D530" s="40" t="s">
        <v>1796</v>
      </c>
      <c r="E530" s="41">
        <v>5218.63</v>
      </c>
      <c r="F530" s="40" t="s">
        <v>1796</v>
      </c>
      <c r="G530" s="41">
        <v>5219.8627999999999</v>
      </c>
      <c r="H530" s="40"/>
      <c r="I530" s="41"/>
      <c r="J530" s="41">
        <f t="shared" si="2"/>
        <v>5219.2464</v>
      </c>
      <c r="K530" s="42" t="s">
        <v>5796</v>
      </c>
      <c r="L530" s="39">
        <v>608</v>
      </c>
    </row>
    <row r="531" spans="1:12" ht="11.25" customHeight="1">
      <c r="A531" s="39">
        <v>2660</v>
      </c>
      <c r="B531" s="40" t="s">
        <v>11292</v>
      </c>
      <c r="C531" s="40" t="s">
        <v>11293</v>
      </c>
      <c r="D531" s="40" t="s">
        <v>6128</v>
      </c>
      <c r="E531" s="41">
        <v>61.85</v>
      </c>
      <c r="F531" s="40" t="s">
        <v>6128</v>
      </c>
      <c r="G531" s="41">
        <v>62.1205</v>
      </c>
      <c r="H531" s="40"/>
      <c r="I531" s="41"/>
      <c r="J531" s="41">
        <f t="shared" si="2"/>
        <v>61.985250000000001</v>
      </c>
      <c r="K531" s="42" t="s">
        <v>5796</v>
      </c>
      <c r="L531" s="39">
        <v>2660</v>
      </c>
    </row>
    <row r="532" spans="1:12" ht="11.25" customHeight="1">
      <c r="A532" s="39">
        <v>2445</v>
      </c>
      <c r="B532" s="40" t="s">
        <v>6129</v>
      </c>
      <c r="C532" s="40" t="s">
        <v>11294</v>
      </c>
      <c r="D532" s="40" t="s">
        <v>5253</v>
      </c>
      <c r="E532" s="41">
        <v>91.1</v>
      </c>
      <c r="F532" s="40" t="s">
        <v>5253</v>
      </c>
      <c r="G532" s="41">
        <v>91.034000000000006</v>
      </c>
      <c r="H532" s="40"/>
      <c r="I532" s="41"/>
      <c r="J532" s="41">
        <f t="shared" si="2"/>
        <v>91.067000000000007</v>
      </c>
      <c r="K532" s="42" t="s">
        <v>5796</v>
      </c>
      <c r="L532" s="39">
        <v>2445</v>
      </c>
    </row>
    <row r="533" spans="1:12" ht="11.25" customHeight="1">
      <c r="A533" s="39">
        <v>857</v>
      </c>
      <c r="B533" s="40" t="s">
        <v>6130</v>
      </c>
      <c r="C533" s="40" t="s">
        <v>11295</v>
      </c>
      <c r="D533" s="40" t="s">
        <v>2485</v>
      </c>
      <c r="E533" s="41">
        <v>2486.0500000000002</v>
      </c>
      <c r="F533" s="40" t="s">
        <v>2485</v>
      </c>
      <c r="G533" s="41">
        <v>2485.8791999999999</v>
      </c>
      <c r="H533" s="40"/>
      <c r="I533" s="41"/>
      <c r="J533" s="41">
        <f t="shared" si="2"/>
        <v>2485.9646000000002</v>
      </c>
      <c r="K533" s="42" t="s">
        <v>5796</v>
      </c>
      <c r="L533" s="39">
        <v>857</v>
      </c>
    </row>
    <row r="534" spans="1:12" ht="11.25" customHeight="1">
      <c r="A534" s="39">
        <v>933</v>
      </c>
      <c r="B534" s="40" t="s">
        <v>11296</v>
      </c>
      <c r="C534" s="40" t="s">
        <v>11297</v>
      </c>
      <c r="D534" s="40" t="s">
        <v>2695</v>
      </c>
      <c r="E534" s="41">
        <v>2031.69</v>
      </c>
      <c r="F534" s="40" t="s">
        <v>2695</v>
      </c>
      <c r="G534" s="41">
        <v>2032.1243999999999</v>
      </c>
      <c r="H534" s="40"/>
      <c r="I534" s="41"/>
      <c r="J534" s="41">
        <f t="shared" si="2"/>
        <v>2031.9072000000001</v>
      </c>
      <c r="K534" s="42" t="s">
        <v>5796</v>
      </c>
      <c r="L534" s="39">
        <v>933</v>
      </c>
    </row>
    <row r="535" spans="1:12" ht="11.25" customHeight="1">
      <c r="A535" s="39">
        <v>309</v>
      </c>
      <c r="B535" s="40" t="s">
        <v>11298</v>
      </c>
      <c r="C535" s="40" t="s">
        <v>11299</v>
      </c>
      <c r="D535" s="40" t="s">
        <v>938</v>
      </c>
      <c r="E535" s="41">
        <v>15427.42</v>
      </c>
      <c r="F535" s="40" t="s">
        <v>938</v>
      </c>
      <c r="G535" s="41">
        <v>15429.261200000001</v>
      </c>
      <c r="H535" s="40"/>
      <c r="I535" s="41"/>
      <c r="J535" s="41">
        <f t="shared" si="2"/>
        <v>15428.3406</v>
      </c>
      <c r="K535" s="42" t="s">
        <v>5796</v>
      </c>
      <c r="L535" s="39">
        <v>309</v>
      </c>
    </row>
    <row r="536" spans="1:12" ht="11.25" customHeight="1">
      <c r="A536" s="39">
        <v>326</v>
      </c>
      <c r="B536" s="40" t="s">
        <v>11300</v>
      </c>
      <c r="C536" s="40" t="s">
        <v>11301</v>
      </c>
      <c r="D536" s="40" t="s">
        <v>989</v>
      </c>
      <c r="E536" s="41">
        <v>14226.26</v>
      </c>
      <c r="F536" s="40" t="s">
        <v>989</v>
      </c>
      <c r="G536" s="41">
        <v>14227.4936</v>
      </c>
      <c r="H536" s="40"/>
      <c r="I536" s="41"/>
      <c r="J536" s="41">
        <f t="shared" si="2"/>
        <v>14226.8768</v>
      </c>
      <c r="K536" s="42" t="s">
        <v>5796</v>
      </c>
      <c r="L536" s="39">
        <v>326</v>
      </c>
    </row>
    <row r="537" spans="1:12" ht="11.25" customHeight="1">
      <c r="A537" s="39">
        <v>845</v>
      </c>
      <c r="B537" s="40" t="s">
        <v>11302</v>
      </c>
      <c r="C537" s="40" t="s">
        <v>11303</v>
      </c>
      <c r="D537" s="40" t="s">
        <v>2455</v>
      </c>
      <c r="E537" s="41">
        <v>2542.58</v>
      </c>
      <c r="F537" s="40" t="s">
        <v>2455</v>
      </c>
      <c r="G537" s="41">
        <v>2542.1197999999999</v>
      </c>
      <c r="H537" s="40"/>
      <c r="I537" s="41"/>
      <c r="J537" s="41">
        <f t="shared" si="2"/>
        <v>2542.3499000000002</v>
      </c>
      <c r="K537" s="42" t="s">
        <v>5796</v>
      </c>
      <c r="L537" s="39">
        <v>845</v>
      </c>
    </row>
    <row r="538" spans="1:12" ht="11.25" customHeight="1">
      <c r="A538" s="39">
        <v>340</v>
      </c>
      <c r="B538" s="40" t="s">
        <v>11304</v>
      </c>
      <c r="C538" s="40" t="s">
        <v>11305</v>
      </c>
      <c r="D538" s="40" t="s">
        <v>11306</v>
      </c>
      <c r="E538" s="41">
        <v>12914.2</v>
      </c>
      <c r="F538" s="40" t="s">
        <v>1031</v>
      </c>
      <c r="G538" s="41">
        <v>12915.576999999999</v>
      </c>
      <c r="H538" s="40"/>
      <c r="I538" s="41"/>
      <c r="J538" s="41">
        <f t="shared" si="2"/>
        <v>12914.888500000001</v>
      </c>
      <c r="K538" s="42" t="s">
        <v>5796</v>
      </c>
      <c r="L538" s="39">
        <v>340</v>
      </c>
    </row>
    <row r="539" spans="1:12" ht="11.25" customHeight="1">
      <c r="A539" s="39">
        <v>255</v>
      </c>
      <c r="B539" s="40" t="s">
        <v>11307</v>
      </c>
      <c r="C539" s="40" t="s">
        <v>11308</v>
      </c>
      <c r="D539" s="40" t="s">
        <v>773</v>
      </c>
      <c r="E539" s="41">
        <v>21350.21</v>
      </c>
      <c r="F539" s="40" t="s">
        <v>773</v>
      </c>
      <c r="G539" s="41">
        <v>21340.222300000001</v>
      </c>
      <c r="H539" s="40"/>
      <c r="I539" s="41"/>
      <c r="J539" s="41">
        <f t="shared" si="2"/>
        <v>21345.21615</v>
      </c>
      <c r="K539" s="42" t="s">
        <v>5796</v>
      </c>
      <c r="L539" s="39">
        <v>255</v>
      </c>
    </row>
    <row r="540" spans="1:12" ht="11.25" customHeight="1">
      <c r="A540" s="39">
        <v>691</v>
      </c>
      <c r="B540" s="40" t="s">
        <v>11309</v>
      </c>
      <c r="C540" s="40" t="s">
        <v>11310</v>
      </c>
      <c r="D540" s="40" t="s">
        <v>2027</v>
      </c>
      <c r="E540" s="41">
        <v>3967.77</v>
      </c>
      <c r="F540" s="40" t="s">
        <v>2027</v>
      </c>
      <c r="G540" s="41">
        <v>3965.0531999999998</v>
      </c>
      <c r="H540" s="40"/>
      <c r="I540" s="41"/>
      <c r="J540" s="41">
        <f t="shared" si="2"/>
        <v>3966.4115999999999</v>
      </c>
      <c r="K540" s="42" t="s">
        <v>5796</v>
      </c>
      <c r="L540" s="39">
        <v>691</v>
      </c>
    </row>
    <row r="541" spans="1:12" ht="11.25" customHeight="1">
      <c r="A541" s="39">
        <v>2331</v>
      </c>
      <c r="B541" s="40" t="s">
        <v>6135</v>
      </c>
      <c r="C541" s="40" t="s">
        <v>11311</v>
      </c>
      <c r="D541" s="40" t="s">
        <v>5161</v>
      </c>
      <c r="E541" s="41">
        <v>107.74</v>
      </c>
      <c r="F541" s="40" t="s">
        <v>5161</v>
      </c>
      <c r="G541" s="41">
        <v>106.9003</v>
      </c>
      <c r="H541" s="40"/>
      <c r="I541" s="41"/>
      <c r="J541" s="41">
        <f t="shared" si="2"/>
        <v>107.32015</v>
      </c>
      <c r="K541" s="42" t="s">
        <v>5796</v>
      </c>
      <c r="L541" s="39">
        <v>2331</v>
      </c>
    </row>
    <row r="542" spans="1:12" ht="11.25" customHeight="1">
      <c r="A542" s="39">
        <v>2513</v>
      </c>
      <c r="B542" s="40" t="s">
        <v>11312</v>
      </c>
      <c r="C542" s="40" t="s">
        <v>11313</v>
      </c>
      <c r="D542" s="40" t="s">
        <v>5301</v>
      </c>
      <c r="E542" s="41">
        <v>79.459999999999994</v>
      </c>
      <c r="F542" s="40" t="s">
        <v>5301</v>
      </c>
      <c r="G542" s="41">
        <v>79.131500000000003</v>
      </c>
      <c r="H542" s="40"/>
      <c r="I542" s="41"/>
      <c r="J542" s="41">
        <f t="shared" si="2"/>
        <v>79.295749999999998</v>
      </c>
      <c r="K542" s="42" t="s">
        <v>5796</v>
      </c>
      <c r="L542" s="39">
        <v>2513</v>
      </c>
    </row>
    <row r="543" spans="1:12" ht="11.25" customHeight="1">
      <c r="A543" s="43">
        <v>194</v>
      </c>
      <c r="B543" s="44" t="s">
        <v>11314</v>
      </c>
      <c r="C543" s="44" t="s">
        <v>11315</v>
      </c>
      <c r="D543" s="44" t="s">
        <v>593</v>
      </c>
      <c r="E543" s="45">
        <v>32040.62</v>
      </c>
      <c r="F543" s="44" t="s">
        <v>593</v>
      </c>
      <c r="G543" s="45">
        <v>32040.7114</v>
      </c>
      <c r="H543" s="44"/>
      <c r="I543" s="45"/>
      <c r="J543" s="45">
        <f t="shared" si="2"/>
        <v>32040.665699999998</v>
      </c>
      <c r="K543" s="46" t="s">
        <v>5800</v>
      </c>
      <c r="L543" s="43">
        <v>194</v>
      </c>
    </row>
    <row r="544" spans="1:12" ht="11.25" customHeight="1">
      <c r="A544" s="39">
        <v>929</v>
      </c>
      <c r="B544" s="40" t="s">
        <v>11316</v>
      </c>
      <c r="C544" s="40" t="s">
        <v>11317</v>
      </c>
      <c r="D544" s="40" t="s">
        <v>2683</v>
      </c>
      <c r="E544" s="41">
        <v>2037.68</v>
      </c>
      <c r="F544" s="40" t="s">
        <v>2683</v>
      </c>
      <c r="G544" s="41">
        <v>2037.7129</v>
      </c>
      <c r="H544" s="40"/>
      <c r="I544" s="41"/>
      <c r="J544" s="41">
        <f t="shared" si="2"/>
        <v>2037.6964499999999</v>
      </c>
      <c r="K544" s="42" t="s">
        <v>5796</v>
      </c>
      <c r="L544" s="39">
        <v>929</v>
      </c>
    </row>
    <row r="545" spans="1:12" ht="11.25" customHeight="1">
      <c r="A545" s="39">
        <v>3103</v>
      </c>
      <c r="B545" s="40" t="s">
        <v>11318</v>
      </c>
      <c r="C545" s="40" t="s">
        <v>11319</v>
      </c>
      <c r="D545" s="40" t="s">
        <v>5583</v>
      </c>
      <c r="E545" s="41">
        <v>32.659999999999997</v>
      </c>
      <c r="F545" s="40" t="s">
        <v>5583</v>
      </c>
      <c r="G545" s="41">
        <v>32.624000000000002</v>
      </c>
      <c r="H545" s="40"/>
      <c r="I545" s="41"/>
      <c r="J545" s="41">
        <f t="shared" si="2"/>
        <v>32.641999999999996</v>
      </c>
      <c r="K545" s="42" t="s">
        <v>5796</v>
      </c>
      <c r="L545" s="39">
        <v>3103</v>
      </c>
    </row>
    <row r="546" spans="1:12" ht="11.25" customHeight="1">
      <c r="A546" s="39">
        <v>1189</v>
      </c>
      <c r="B546" s="40" t="s">
        <v>11320</v>
      </c>
      <c r="C546" s="40" t="s">
        <v>11321</v>
      </c>
      <c r="D546" s="40"/>
      <c r="E546" s="41"/>
      <c r="F546" s="40" t="s">
        <v>3322</v>
      </c>
      <c r="G546" s="41">
        <v>1073.3688999999999</v>
      </c>
      <c r="H546" s="40"/>
      <c r="I546" s="41"/>
      <c r="J546" s="41">
        <f t="shared" si="2"/>
        <v>1073.3688999999999</v>
      </c>
      <c r="K546" s="42" t="s">
        <v>5796</v>
      </c>
      <c r="L546" s="39">
        <v>1189</v>
      </c>
    </row>
    <row r="547" spans="1:12" ht="11.25" customHeight="1">
      <c r="A547" s="39">
        <v>1234</v>
      </c>
      <c r="B547" s="40" t="s">
        <v>11322</v>
      </c>
      <c r="C547" s="40" t="s">
        <v>11323</v>
      </c>
      <c r="D547" s="40" t="s">
        <v>3430</v>
      </c>
      <c r="E547" s="41">
        <v>964.35</v>
      </c>
      <c r="F547" s="40" t="s">
        <v>3430</v>
      </c>
      <c r="G547" s="41">
        <v>962.31089999999995</v>
      </c>
      <c r="H547" s="40"/>
      <c r="I547" s="41"/>
      <c r="J547" s="41">
        <f t="shared" si="2"/>
        <v>963.33044999999993</v>
      </c>
      <c r="K547" s="42" t="s">
        <v>5796</v>
      </c>
      <c r="L547" s="39">
        <v>1234</v>
      </c>
    </row>
    <row r="548" spans="1:12" ht="11.25" customHeight="1">
      <c r="A548" s="43">
        <v>220</v>
      </c>
      <c r="B548" s="44" t="s">
        <v>11324</v>
      </c>
      <c r="C548" s="44" t="s">
        <v>11325</v>
      </c>
      <c r="D548" s="44" t="s">
        <v>671</v>
      </c>
      <c r="E548" s="45">
        <v>26039.21</v>
      </c>
      <c r="F548" s="44" t="s">
        <v>671</v>
      </c>
      <c r="G548" s="45">
        <v>26045.5082</v>
      </c>
      <c r="H548" s="44"/>
      <c r="I548" s="45"/>
      <c r="J548" s="45">
        <f t="shared" si="2"/>
        <v>26042.359100000001</v>
      </c>
      <c r="K548" s="46" t="s">
        <v>5800</v>
      </c>
      <c r="L548" s="43">
        <v>220</v>
      </c>
    </row>
    <row r="549" spans="1:12" ht="11.25" customHeight="1">
      <c r="A549" s="39">
        <v>902</v>
      </c>
      <c r="B549" s="40" t="s">
        <v>11326</v>
      </c>
      <c r="C549" s="40" t="s">
        <v>11327</v>
      </c>
      <c r="D549" s="40" t="s">
        <v>2614</v>
      </c>
      <c r="E549" s="41">
        <v>2153.4299999999998</v>
      </c>
      <c r="F549" s="40" t="s">
        <v>2614</v>
      </c>
      <c r="G549" s="41">
        <v>2153.4286999999999</v>
      </c>
      <c r="H549" s="40"/>
      <c r="I549" s="41"/>
      <c r="J549" s="41">
        <f t="shared" si="2"/>
        <v>2153.4293499999999</v>
      </c>
      <c r="K549" s="42" t="s">
        <v>5796</v>
      </c>
      <c r="L549" s="39">
        <v>902</v>
      </c>
    </row>
    <row r="550" spans="1:12" ht="11.25" customHeight="1">
      <c r="A550" s="39">
        <v>2054</v>
      </c>
      <c r="B550" s="40" t="s">
        <v>11328</v>
      </c>
      <c r="C550" s="40" t="s">
        <v>11329</v>
      </c>
      <c r="D550" s="40" t="s">
        <v>4807</v>
      </c>
      <c r="E550" s="41">
        <v>173.14</v>
      </c>
      <c r="F550" s="40" t="s">
        <v>4807</v>
      </c>
      <c r="G550" s="41">
        <v>171.7379</v>
      </c>
      <c r="H550" s="40"/>
      <c r="I550" s="41"/>
      <c r="J550" s="41">
        <f t="shared" si="2"/>
        <v>172.43894999999998</v>
      </c>
      <c r="K550" s="42" t="s">
        <v>5796</v>
      </c>
      <c r="L550" s="39">
        <v>2054</v>
      </c>
    </row>
    <row r="551" spans="1:12" ht="11.25" customHeight="1">
      <c r="A551" s="39">
        <v>2861</v>
      </c>
      <c r="B551" s="40" t="s">
        <v>11330</v>
      </c>
      <c r="C551" s="40" t="s">
        <v>11331</v>
      </c>
      <c r="D551" s="40" t="s">
        <v>5487</v>
      </c>
      <c r="E551" s="41">
        <v>47.05</v>
      </c>
      <c r="F551" s="40" t="s">
        <v>5487</v>
      </c>
      <c r="G551" s="41">
        <v>46.458199999999998</v>
      </c>
      <c r="H551" s="40"/>
      <c r="I551" s="41"/>
      <c r="J551" s="41">
        <f t="shared" si="2"/>
        <v>46.754099999999994</v>
      </c>
      <c r="K551" s="42" t="s">
        <v>5796</v>
      </c>
      <c r="L551" s="39">
        <v>2861</v>
      </c>
    </row>
    <row r="552" spans="1:12" ht="11.25" customHeight="1">
      <c r="A552" s="39">
        <v>382</v>
      </c>
      <c r="B552" s="40" t="s">
        <v>11332</v>
      </c>
      <c r="C552" s="40" t="s">
        <v>11333</v>
      </c>
      <c r="D552" s="40" t="s">
        <v>1151</v>
      </c>
      <c r="E552" s="41">
        <v>11121.36</v>
      </c>
      <c r="F552" s="40" t="s">
        <v>1151</v>
      </c>
      <c r="G552" s="41">
        <v>11125.744199999999</v>
      </c>
      <c r="H552" s="40"/>
      <c r="I552" s="41"/>
      <c r="J552" s="41">
        <f t="shared" si="2"/>
        <v>11123.552100000001</v>
      </c>
      <c r="K552" s="42" t="s">
        <v>5796</v>
      </c>
      <c r="L552" s="39">
        <v>382</v>
      </c>
    </row>
    <row r="553" spans="1:12" ht="11.25" customHeight="1">
      <c r="A553" s="39">
        <v>570</v>
      </c>
      <c r="B553" s="40" t="s">
        <v>11334</v>
      </c>
      <c r="C553" s="40" t="s">
        <v>11335</v>
      </c>
      <c r="D553" s="40" t="s">
        <v>1691</v>
      </c>
      <c r="E553" s="41">
        <v>6035.22</v>
      </c>
      <c r="F553" s="40" t="s">
        <v>1691</v>
      </c>
      <c r="G553" s="41">
        <v>6034.8509000000004</v>
      </c>
      <c r="H553" s="40"/>
      <c r="I553" s="41"/>
      <c r="J553" s="41">
        <f t="shared" si="2"/>
        <v>6035.0354500000003</v>
      </c>
      <c r="K553" s="42" t="s">
        <v>5796</v>
      </c>
      <c r="L553" s="39">
        <v>570</v>
      </c>
    </row>
    <row r="554" spans="1:12" ht="11.25" customHeight="1">
      <c r="A554" s="39">
        <v>642</v>
      </c>
      <c r="B554" s="40" t="s">
        <v>11336</v>
      </c>
      <c r="C554" s="40" t="s">
        <v>11337</v>
      </c>
      <c r="D554" s="40" t="s">
        <v>1889</v>
      </c>
      <c r="E554" s="41">
        <v>4538.3100000000004</v>
      </c>
      <c r="F554" s="40" t="s">
        <v>1889</v>
      </c>
      <c r="G554" s="41">
        <v>4538.5751</v>
      </c>
      <c r="H554" s="40"/>
      <c r="I554" s="41"/>
      <c r="J554" s="41">
        <f t="shared" si="2"/>
        <v>4538.4425499999998</v>
      </c>
      <c r="K554" s="42" t="s">
        <v>5796</v>
      </c>
      <c r="L554" s="39">
        <v>642</v>
      </c>
    </row>
    <row r="555" spans="1:12" ht="11.25" customHeight="1">
      <c r="A555" s="39">
        <v>514</v>
      </c>
      <c r="B555" s="40" t="s">
        <v>11338</v>
      </c>
      <c r="C555" s="40" t="s">
        <v>11339</v>
      </c>
      <c r="D555" s="40" t="s">
        <v>1529</v>
      </c>
      <c r="E555" s="41">
        <v>7133.63</v>
      </c>
      <c r="F555" s="40" t="s">
        <v>1529</v>
      </c>
      <c r="G555" s="41">
        <v>7134.8903</v>
      </c>
      <c r="H555" s="40"/>
      <c r="I555" s="41"/>
      <c r="J555" s="41">
        <f t="shared" si="2"/>
        <v>7134.2601500000001</v>
      </c>
      <c r="K555" s="42" t="s">
        <v>5796</v>
      </c>
      <c r="L555" s="39">
        <v>514</v>
      </c>
    </row>
    <row r="556" spans="1:12" ht="11.25" customHeight="1">
      <c r="A556" s="47">
        <v>76</v>
      </c>
      <c r="B556" s="48" t="s">
        <v>11340</v>
      </c>
      <c r="C556" s="48" t="s">
        <v>11341</v>
      </c>
      <c r="D556" s="48" t="s">
        <v>242</v>
      </c>
      <c r="E556" s="49">
        <v>81444.804827892833</v>
      </c>
      <c r="F556" s="48" t="s">
        <v>242</v>
      </c>
      <c r="G556" s="49">
        <v>81457.000599999999</v>
      </c>
      <c r="H556" s="48"/>
      <c r="I556" s="49"/>
      <c r="J556" s="49">
        <f t="shared" si="2"/>
        <v>81450.902713946416</v>
      </c>
      <c r="K556" s="50" t="s">
        <v>5815</v>
      </c>
      <c r="L556" s="47">
        <v>76</v>
      </c>
    </row>
    <row r="557" spans="1:12" ht="11.25" customHeight="1">
      <c r="A557" s="39">
        <v>425</v>
      </c>
      <c r="B557" s="40" t="s">
        <v>11342</v>
      </c>
      <c r="C557" s="40" t="s">
        <v>11343</v>
      </c>
      <c r="D557" s="40" t="s">
        <v>1274</v>
      </c>
      <c r="E557" s="41">
        <v>9565.74</v>
      </c>
      <c r="F557" s="40" t="s">
        <v>1274</v>
      </c>
      <c r="G557" s="41">
        <v>9571.8695000000007</v>
      </c>
      <c r="H557" s="40"/>
      <c r="I557" s="41"/>
      <c r="J557" s="41">
        <f t="shared" si="2"/>
        <v>9568.8047499999993</v>
      </c>
      <c r="K557" s="42" t="s">
        <v>5796</v>
      </c>
      <c r="L557" s="39">
        <v>425</v>
      </c>
    </row>
    <row r="558" spans="1:12" ht="11.25" customHeight="1">
      <c r="A558" s="39">
        <v>882</v>
      </c>
      <c r="B558" s="40" t="s">
        <v>6148</v>
      </c>
      <c r="C558" s="40" t="s">
        <v>11344</v>
      </c>
      <c r="D558" s="40" t="s">
        <v>2560</v>
      </c>
      <c r="E558" s="41">
        <v>2248.83</v>
      </c>
      <c r="F558" s="40" t="s">
        <v>2560</v>
      </c>
      <c r="G558" s="41">
        <v>2249.9837000000002</v>
      </c>
      <c r="H558" s="40"/>
      <c r="I558" s="41"/>
      <c r="J558" s="41">
        <f t="shared" si="2"/>
        <v>2249.4068500000003</v>
      </c>
      <c r="K558" s="42" t="s">
        <v>5796</v>
      </c>
      <c r="L558" s="39">
        <v>882</v>
      </c>
    </row>
    <row r="559" spans="1:12" ht="11.25" customHeight="1">
      <c r="A559" s="39">
        <v>811</v>
      </c>
      <c r="B559" s="40" t="s">
        <v>11345</v>
      </c>
      <c r="C559" s="40" t="s">
        <v>11346</v>
      </c>
      <c r="D559" s="40" t="s">
        <v>2359</v>
      </c>
      <c r="E559" s="41">
        <v>2794.42</v>
      </c>
      <c r="F559" s="40" t="s">
        <v>2359</v>
      </c>
      <c r="G559" s="41">
        <v>2793.5542999999998</v>
      </c>
      <c r="H559" s="40"/>
      <c r="I559" s="41"/>
      <c r="J559" s="41">
        <f t="shared" si="2"/>
        <v>2793.9871499999999</v>
      </c>
      <c r="K559" s="42" t="s">
        <v>5796</v>
      </c>
      <c r="L559" s="39">
        <v>811</v>
      </c>
    </row>
    <row r="560" spans="1:12" ht="11.25" customHeight="1">
      <c r="A560" s="39">
        <v>1280</v>
      </c>
      <c r="B560" s="40" t="s">
        <v>11347</v>
      </c>
      <c r="C560" s="40" t="s">
        <v>11348</v>
      </c>
      <c r="D560" s="40" t="s">
        <v>3520</v>
      </c>
      <c r="E560" s="41">
        <v>824.51</v>
      </c>
      <c r="F560" s="40" t="s">
        <v>3520</v>
      </c>
      <c r="G560" s="41">
        <v>876.69839999999999</v>
      </c>
      <c r="H560" s="40"/>
      <c r="I560" s="41"/>
      <c r="J560" s="41">
        <f t="shared" si="2"/>
        <v>850.60419999999999</v>
      </c>
      <c r="K560" s="42" t="s">
        <v>5796</v>
      </c>
      <c r="L560" s="39">
        <v>1280</v>
      </c>
    </row>
    <row r="561" spans="1:12" ht="11.25" customHeight="1">
      <c r="A561" s="39">
        <v>900</v>
      </c>
      <c r="B561" s="40" t="s">
        <v>11349</v>
      </c>
      <c r="C561" s="40" t="s">
        <v>11350</v>
      </c>
      <c r="D561" s="40" t="s">
        <v>2611</v>
      </c>
      <c r="E561" s="41">
        <v>2159.1999999999998</v>
      </c>
      <c r="F561" s="40" t="s">
        <v>2611</v>
      </c>
      <c r="G561" s="41">
        <v>2159.643</v>
      </c>
      <c r="H561" s="40"/>
      <c r="I561" s="41"/>
      <c r="J561" s="41">
        <f t="shared" si="2"/>
        <v>2159.4214999999999</v>
      </c>
      <c r="K561" s="42" t="s">
        <v>5796</v>
      </c>
      <c r="L561" s="39">
        <v>900</v>
      </c>
    </row>
    <row r="562" spans="1:12" ht="11.25" customHeight="1">
      <c r="A562" s="39">
        <v>1205</v>
      </c>
      <c r="B562" s="40" t="s">
        <v>11351</v>
      </c>
      <c r="C562" s="40" t="s">
        <v>11352</v>
      </c>
      <c r="D562" s="40" t="s">
        <v>3367</v>
      </c>
      <c r="E562" s="41">
        <v>1044.29</v>
      </c>
      <c r="F562" s="40" t="s">
        <v>3367</v>
      </c>
      <c r="G562" s="41">
        <v>1044.5895</v>
      </c>
      <c r="H562" s="40"/>
      <c r="I562" s="41"/>
      <c r="J562" s="41">
        <f t="shared" si="2"/>
        <v>1044.43975</v>
      </c>
      <c r="K562" s="42" t="s">
        <v>5796</v>
      </c>
      <c r="L562" s="39">
        <v>1205</v>
      </c>
    </row>
    <row r="563" spans="1:12" ht="11.25" customHeight="1">
      <c r="A563" s="39">
        <v>736</v>
      </c>
      <c r="B563" s="40" t="s">
        <v>11353</v>
      </c>
      <c r="C563" s="40" t="s">
        <v>11354</v>
      </c>
      <c r="D563" s="40" t="s">
        <v>2155</v>
      </c>
      <c r="E563" s="41">
        <v>3469</v>
      </c>
      <c r="F563" s="40" t="s">
        <v>2155</v>
      </c>
      <c r="G563" s="41">
        <v>3470.8362999999999</v>
      </c>
      <c r="H563" s="40"/>
      <c r="I563" s="41"/>
      <c r="J563" s="41">
        <f t="shared" si="2"/>
        <v>3469.91815</v>
      </c>
      <c r="K563" s="42" t="s">
        <v>5796</v>
      </c>
      <c r="L563" s="39">
        <v>736</v>
      </c>
    </row>
    <row r="564" spans="1:12" ht="11.25" customHeight="1">
      <c r="A564" s="39">
        <v>2572</v>
      </c>
      <c r="B564" s="40" t="s">
        <v>11355</v>
      </c>
      <c r="C564" s="40" t="s">
        <v>11356</v>
      </c>
      <c r="D564" s="40"/>
      <c r="E564" s="41"/>
      <c r="F564" s="40" t="s">
        <v>5355</v>
      </c>
      <c r="G564" s="41">
        <v>72.513000000000005</v>
      </c>
      <c r="H564" s="40"/>
      <c r="I564" s="41"/>
      <c r="J564" s="41">
        <f t="shared" si="2"/>
        <v>72.513000000000005</v>
      </c>
      <c r="K564" s="42" t="s">
        <v>5796</v>
      </c>
      <c r="L564" s="39">
        <v>2572</v>
      </c>
    </row>
    <row r="565" spans="1:12" ht="11.25" customHeight="1">
      <c r="A565" s="39">
        <v>2257</v>
      </c>
      <c r="B565" s="40" t="s">
        <v>11357</v>
      </c>
      <c r="C565" s="40" t="s">
        <v>11358</v>
      </c>
      <c r="D565" s="40" t="s">
        <v>11359</v>
      </c>
      <c r="E565" s="41">
        <v>120.45</v>
      </c>
      <c r="F565" s="40" t="s">
        <v>5080</v>
      </c>
      <c r="G565" s="41">
        <v>120.2617</v>
      </c>
      <c r="H565" s="40"/>
      <c r="I565" s="41"/>
      <c r="J565" s="41">
        <f t="shared" si="2"/>
        <v>120.35585</v>
      </c>
      <c r="K565" s="42" t="s">
        <v>5796</v>
      </c>
      <c r="L565" s="39">
        <v>2257</v>
      </c>
    </row>
    <row r="566" spans="1:12" ht="11.25" customHeight="1">
      <c r="A566" s="39">
        <v>4607</v>
      </c>
      <c r="B566" s="40" t="s">
        <v>11360</v>
      </c>
      <c r="C566" s="40" t="s">
        <v>11361</v>
      </c>
      <c r="D566" s="40" t="s">
        <v>6155</v>
      </c>
      <c r="E566" s="41">
        <v>2.82</v>
      </c>
      <c r="F566" s="40" t="s">
        <v>6155</v>
      </c>
      <c r="G566" s="41">
        <v>2.9222000000000001</v>
      </c>
      <c r="H566" s="40"/>
      <c r="I566" s="41"/>
      <c r="J566" s="41">
        <f t="shared" si="2"/>
        <v>2.8711000000000002</v>
      </c>
      <c r="K566" s="42" t="s">
        <v>5796</v>
      </c>
      <c r="L566" s="39">
        <v>4607</v>
      </c>
    </row>
    <row r="567" spans="1:12" ht="11.25" customHeight="1">
      <c r="A567" s="39">
        <v>541</v>
      </c>
      <c r="B567" s="40" t="s">
        <v>6156</v>
      </c>
      <c r="C567" s="40" t="s">
        <v>11362</v>
      </c>
      <c r="D567" s="40" t="s">
        <v>1604</v>
      </c>
      <c r="E567" s="41">
        <v>6604.95</v>
      </c>
      <c r="F567" s="40" t="s">
        <v>1604</v>
      </c>
      <c r="G567" s="41">
        <v>6529.5901999999996</v>
      </c>
      <c r="H567" s="40"/>
      <c r="I567" s="41"/>
      <c r="J567" s="41">
        <f t="shared" si="2"/>
        <v>6567.2700999999997</v>
      </c>
      <c r="K567" s="42" t="s">
        <v>5796</v>
      </c>
      <c r="L567" s="39">
        <v>541</v>
      </c>
    </row>
    <row r="568" spans="1:12" ht="11.25" customHeight="1">
      <c r="A568" s="39">
        <v>2424</v>
      </c>
      <c r="B568" s="40" t="s">
        <v>11363</v>
      </c>
      <c r="C568" s="40" t="s">
        <v>11364</v>
      </c>
      <c r="D568" s="40" t="s">
        <v>5224</v>
      </c>
      <c r="E568" s="41">
        <v>98.01</v>
      </c>
      <c r="F568" s="40" t="s">
        <v>5224</v>
      </c>
      <c r="G568" s="41">
        <v>89.995499999999993</v>
      </c>
      <c r="H568" s="40"/>
      <c r="I568" s="41"/>
      <c r="J568" s="41">
        <f t="shared" si="2"/>
        <v>94.002749999999992</v>
      </c>
      <c r="K568" s="42" t="s">
        <v>5796</v>
      </c>
      <c r="L568" s="39">
        <v>2424</v>
      </c>
    </row>
    <row r="569" spans="1:12" ht="11.25" customHeight="1">
      <c r="A569" s="39">
        <v>651</v>
      </c>
      <c r="B569" s="40" t="s">
        <v>11365</v>
      </c>
      <c r="C569" s="40" t="s">
        <v>11366</v>
      </c>
      <c r="D569" s="40" t="s">
        <v>1913</v>
      </c>
      <c r="E569" s="41">
        <v>4427.54</v>
      </c>
      <c r="F569" s="40" t="s">
        <v>1913</v>
      </c>
      <c r="G569" s="41">
        <v>4427.7510000000002</v>
      </c>
      <c r="H569" s="40"/>
      <c r="I569" s="41"/>
      <c r="J569" s="41">
        <f t="shared" si="2"/>
        <v>4427.6455000000005</v>
      </c>
      <c r="K569" s="42" t="s">
        <v>5796</v>
      </c>
      <c r="L569" s="39">
        <v>651</v>
      </c>
    </row>
    <row r="570" spans="1:12" ht="11.25" customHeight="1">
      <c r="A570" s="39">
        <v>3409</v>
      </c>
      <c r="B570" s="40" t="s">
        <v>6159</v>
      </c>
      <c r="C570" s="40" t="s">
        <v>11367</v>
      </c>
      <c r="D570" s="40" t="s">
        <v>6160</v>
      </c>
      <c r="E570" s="41">
        <v>21.17</v>
      </c>
      <c r="F570" s="40" t="s">
        <v>6160</v>
      </c>
      <c r="G570" s="41">
        <v>20.901900000000001</v>
      </c>
      <c r="H570" s="40"/>
      <c r="I570" s="41"/>
      <c r="J570" s="41">
        <f t="shared" si="2"/>
        <v>21.03595</v>
      </c>
      <c r="K570" s="42" t="s">
        <v>5796</v>
      </c>
      <c r="L570" s="39">
        <v>3409</v>
      </c>
    </row>
    <row r="571" spans="1:12" ht="11.25" customHeight="1">
      <c r="A571" s="39">
        <v>2216</v>
      </c>
      <c r="B571" s="40" t="s">
        <v>11368</v>
      </c>
      <c r="C571" s="40" t="s">
        <v>11369</v>
      </c>
      <c r="D571" s="40" t="s">
        <v>5044</v>
      </c>
      <c r="E571" s="41">
        <v>128.84</v>
      </c>
      <c r="F571" s="40" t="s">
        <v>5044</v>
      </c>
      <c r="G571" s="41">
        <v>127.3781</v>
      </c>
      <c r="H571" s="40"/>
      <c r="I571" s="41"/>
      <c r="J571" s="41">
        <f t="shared" si="2"/>
        <v>128.10905</v>
      </c>
      <c r="K571" s="42" t="s">
        <v>5796</v>
      </c>
      <c r="L571" s="39">
        <v>2216</v>
      </c>
    </row>
    <row r="572" spans="1:12" ht="11.25" customHeight="1">
      <c r="A572" s="39">
        <v>1607</v>
      </c>
      <c r="B572" s="40" t="s">
        <v>11370</v>
      </c>
      <c r="C572" s="40" t="s">
        <v>11371</v>
      </c>
      <c r="D572" s="40" t="s">
        <v>4159</v>
      </c>
      <c r="E572" s="41">
        <v>408.48</v>
      </c>
      <c r="F572" s="40" t="s">
        <v>4159</v>
      </c>
      <c r="G572" s="41">
        <v>408.59660000000002</v>
      </c>
      <c r="H572" s="40"/>
      <c r="I572" s="41"/>
      <c r="J572" s="41">
        <f t="shared" si="2"/>
        <v>408.53830000000005</v>
      </c>
      <c r="K572" s="42" t="s">
        <v>5796</v>
      </c>
      <c r="L572" s="39">
        <v>1607</v>
      </c>
    </row>
    <row r="573" spans="1:12" ht="11.25" customHeight="1">
      <c r="A573" s="39">
        <v>1670</v>
      </c>
      <c r="B573" s="40" t="s">
        <v>11372</v>
      </c>
      <c r="C573" s="40" t="s">
        <v>11373</v>
      </c>
      <c r="D573" s="40"/>
      <c r="E573" s="41"/>
      <c r="F573" s="40" t="s">
        <v>4282</v>
      </c>
      <c r="G573" s="41">
        <v>351.9871</v>
      </c>
      <c r="H573" s="40"/>
      <c r="I573" s="41"/>
      <c r="J573" s="41">
        <f t="shared" si="2"/>
        <v>351.9871</v>
      </c>
      <c r="K573" s="42" t="s">
        <v>5796</v>
      </c>
      <c r="L573" s="39">
        <v>1670</v>
      </c>
    </row>
    <row r="574" spans="1:12" ht="11.25" customHeight="1">
      <c r="A574" s="39">
        <v>1875</v>
      </c>
      <c r="B574" s="40" t="s">
        <v>11374</v>
      </c>
      <c r="C574" s="40" t="s">
        <v>11375</v>
      </c>
      <c r="D574" s="40" t="s">
        <v>4564</v>
      </c>
      <c r="E574" s="41">
        <v>236.98</v>
      </c>
      <c r="F574" s="40" t="s">
        <v>4564</v>
      </c>
      <c r="G574" s="41">
        <v>234.76400000000001</v>
      </c>
      <c r="H574" s="40"/>
      <c r="I574" s="41"/>
      <c r="J574" s="41">
        <f t="shared" si="2"/>
        <v>235.87200000000001</v>
      </c>
      <c r="K574" s="42" t="s">
        <v>5796</v>
      </c>
      <c r="L574" s="39">
        <v>1875</v>
      </c>
    </row>
    <row r="575" spans="1:12" ht="11.25" customHeight="1">
      <c r="A575" s="39">
        <v>1115</v>
      </c>
      <c r="B575" s="40" t="s">
        <v>11376</v>
      </c>
      <c r="C575" s="40" t="s">
        <v>11377</v>
      </c>
      <c r="D575" s="40" t="s">
        <v>3151</v>
      </c>
      <c r="E575" s="41">
        <v>1294.3499999999999</v>
      </c>
      <c r="F575" s="40" t="s">
        <v>3151</v>
      </c>
      <c r="G575" s="41">
        <v>1293.7691</v>
      </c>
      <c r="H575" s="40"/>
      <c r="I575" s="41"/>
      <c r="J575" s="41">
        <f t="shared" si="2"/>
        <v>1294.0595499999999</v>
      </c>
      <c r="K575" s="42" t="s">
        <v>5796</v>
      </c>
      <c r="L575" s="39">
        <v>1115</v>
      </c>
    </row>
    <row r="576" spans="1:12" ht="11.25" customHeight="1">
      <c r="A576" s="39">
        <v>854</v>
      </c>
      <c r="B576" s="40" t="s">
        <v>11378</v>
      </c>
      <c r="C576" s="40" t="s">
        <v>11379</v>
      </c>
      <c r="D576" s="40" t="s">
        <v>2479</v>
      </c>
      <c r="E576" s="41">
        <v>2516.83</v>
      </c>
      <c r="F576" s="40" t="s">
        <v>2479</v>
      </c>
      <c r="G576" s="41">
        <v>2476.7492000000002</v>
      </c>
      <c r="H576" s="40"/>
      <c r="I576" s="41"/>
      <c r="J576" s="41">
        <f t="shared" si="2"/>
        <v>2496.7896000000001</v>
      </c>
      <c r="K576" s="42" t="s">
        <v>5796</v>
      </c>
      <c r="L576" s="39">
        <v>854</v>
      </c>
    </row>
    <row r="577" spans="1:12" ht="11.25" customHeight="1">
      <c r="A577" s="39">
        <v>1517</v>
      </c>
      <c r="B577" s="40" t="s">
        <v>6163</v>
      </c>
      <c r="C577" s="40" t="s">
        <v>11380</v>
      </c>
      <c r="D577" s="40" t="s">
        <v>3997</v>
      </c>
      <c r="E577" s="41">
        <v>487.51</v>
      </c>
      <c r="F577" s="40" t="s">
        <v>3997</v>
      </c>
      <c r="G577" s="41">
        <v>487.42989999999998</v>
      </c>
      <c r="H577" s="40"/>
      <c r="I577" s="41"/>
      <c r="J577" s="41">
        <f t="shared" si="2"/>
        <v>487.46994999999998</v>
      </c>
      <c r="K577" s="42" t="s">
        <v>5796</v>
      </c>
      <c r="L577" s="39">
        <v>1517</v>
      </c>
    </row>
    <row r="578" spans="1:12" ht="11.25" customHeight="1">
      <c r="A578" s="39">
        <v>575</v>
      </c>
      <c r="B578" s="40" t="s">
        <v>11381</v>
      </c>
      <c r="C578" s="40" t="s">
        <v>11382</v>
      </c>
      <c r="D578" s="40" t="s">
        <v>1706</v>
      </c>
      <c r="E578" s="41">
        <v>5924.71</v>
      </c>
      <c r="F578" s="40" t="s">
        <v>1706</v>
      </c>
      <c r="G578" s="41">
        <v>5925.817</v>
      </c>
      <c r="H578" s="40"/>
      <c r="I578" s="41"/>
      <c r="J578" s="41">
        <f t="shared" si="2"/>
        <v>5925.2635</v>
      </c>
      <c r="K578" s="42" t="s">
        <v>5796</v>
      </c>
      <c r="L578" s="39">
        <v>575</v>
      </c>
    </row>
    <row r="579" spans="1:12" ht="11.25" customHeight="1">
      <c r="A579" s="39">
        <v>1086</v>
      </c>
      <c r="B579" s="40" t="s">
        <v>11383</v>
      </c>
      <c r="C579" s="40" t="s">
        <v>11384</v>
      </c>
      <c r="D579" s="40" t="s">
        <v>3082</v>
      </c>
      <c r="E579" s="41">
        <v>1374.86</v>
      </c>
      <c r="F579" s="40" t="s">
        <v>3082</v>
      </c>
      <c r="G579" s="41">
        <v>1375.2239999999999</v>
      </c>
      <c r="H579" s="40"/>
      <c r="I579" s="41"/>
      <c r="J579" s="41">
        <f t="shared" si="2"/>
        <v>1375.0419999999999</v>
      </c>
      <c r="K579" s="42" t="s">
        <v>5796</v>
      </c>
      <c r="L579" s="39">
        <v>1086</v>
      </c>
    </row>
    <row r="580" spans="1:12" ht="11.25" customHeight="1">
      <c r="A580" s="39">
        <v>1139</v>
      </c>
      <c r="B580" s="40" t="s">
        <v>11385</v>
      </c>
      <c r="C580" s="40" t="s">
        <v>11386</v>
      </c>
      <c r="D580" s="40" t="s">
        <v>3205</v>
      </c>
      <c r="E580" s="41">
        <v>1230.8800000000001</v>
      </c>
      <c r="F580" s="40" t="s">
        <v>3205</v>
      </c>
      <c r="G580" s="41">
        <v>1231.1735000000001</v>
      </c>
      <c r="H580" s="40"/>
      <c r="I580" s="41"/>
      <c r="J580" s="41">
        <f t="shared" si="2"/>
        <v>1231.02675</v>
      </c>
      <c r="K580" s="42" t="s">
        <v>5796</v>
      </c>
      <c r="L580" s="39">
        <v>1139</v>
      </c>
    </row>
    <row r="581" spans="1:12" ht="11.25" customHeight="1">
      <c r="A581" s="39">
        <v>366</v>
      </c>
      <c r="B581" s="40" t="s">
        <v>11387</v>
      </c>
      <c r="C581" s="40" t="s">
        <v>11388</v>
      </c>
      <c r="D581" s="40" t="s">
        <v>1106</v>
      </c>
      <c r="E581" s="41">
        <v>11998.87</v>
      </c>
      <c r="F581" s="40" t="s">
        <v>1106</v>
      </c>
      <c r="G581" s="41">
        <v>11656.9732</v>
      </c>
      <c r="H581" s="40"/>
      <c r="I581" s="41"/>
      <c r="J581" s="41">
        <f t="shared" si="2"/>
        <v>11827.921600000001</v>
      </c>
      <c r="K581" s="42" t="s">
        <v>5796</v>
      </c>
      <c r="L581" s="39">
        <v>366</v>
      </c>
    </row>
    <row r="582" spans="1:12" ht="11.25" customHeight="1">
      <c r="A582" s="39">
        <v>437</v>
      </c>
      <c r="B582" s="40" t="s">
        <v>11389</v>
      </c>
      <c r="C582" s="40" t="s">
        <v>11390</v>
      </c>
      <c r="D582" s="40" t="s">
        <v>1307</v>
      </c>
      <c r="E582" s="41">
        <v>9202.1200000000008</v>
      </c>
      <c r="F582" s="40" t="s">
        <v>1307</v>
      </c>
      <c r="G582" s="41">
        <v>9216.8287</v>
      </c>
      <c r="H582" s="40"/>
      <c r="I582" s="41"/>
      <c r="J582" s="41">
        <f t="shared" si="2"/>
        <v>9209.4743500000004</v>
      </c>
      <c r="K582" s="42" t="s">
        <v>5796</v>
      </c>
      <c r="L582" s="39">
        <v>437</v>
      </c>
    </row>
    <row r="583" spans="1:12" ht="11.25" customHeight="1">
      <c r="A583" s="39">
        <v>1247</v>
      </c>
      <c r="B583" s="40" t="s">
        <v>6166</v>
      </c>
      <c r="C583" s="40" t="s">
        <v>11391</v>
      </c>
      <c r="D583" s="40" t="s">
        <v>3451</v>
      </c>
      <c r="E583" s="41">
        <v>922.06</v>
      </c>
      <c r="F583" s="40" t="s">
        <v>3451</v>
      </c>
      <c r="G583" s="41">
        <v>922.18629999999996</v>
      </c>
      <c r="H583" s="40"/>
      <c r="I583" s="41"/>
      <c r="J583" s="41">
        <f t="shared" si="2"/>
        <v>922.1231499999999</v>
      </c>
      <c r="K583" s="42" t="s">
        <v>5796</v>
      </c>
      <c r="L583" s="39">
        <v>1247</v>
      </c>
    </row>
    <row r="584" spans="1:12" ht="11.25" customHeight="1">
      <c r="A584" s="39">
        <v>3321</v>
      </c>
      <c r="B584" s="40" t="s">
        <v>11392</v>
      </c>
      <c r="C584" s="40" t="s">
        <v>11393</v>
      </c>
      <c r="D584" s="40" t="s">
        <v>11394</v>
      </c>
      <c r="E584" s="41">
        <v>25.71</v>
      </c>
      <c r="F584" s="40" t="s">
        <v>6168</v>
      </c>
      <c r="G584" s="41">
        <v>21.433499999999999</v>
      </c>
      <c r="H584" s="40"/>
      <c r="I584" s="41"/>
      <c r="J584" s="41">
        <f t="shared" si="2"/>
        <v>23.571750000000002</v>
      </c>
      <c r="K584" s="42" t="s">
        <v>5796</v>
      </c>
      <c r="L584" s="39">
        <v>3321</v>
      </c>
    </row>
    <row r="585" spans="1:12" ht="11.25" customHeight="1">
      <c r="A585" s="39">
        <v>598</v>
      </c>
      <c r="B585" s="40" t="s">
        <v>11395</v>
      </c>
      <c r="C585" s="40" t="s">
        <v>11396</v>
      </c>
      <c r="D585" s="40" t="s">
        <v>1766</v>
      </c>
      <c r="E585" s="41">
        <v>5404.34</v>
      </c>
      <c r="F585" s="40" t="s">
        <v>1766</v>
      </c>
      <c r="G585" s="41">
        <v>5406.7367999999997</v>
      </c>
      <c r="H585" s="40"/>
      <c r="I585" s="41"/>
      <c r="J585" s="41">
        <f t="shared" si="2"/>
        <v>5405.5383999999995</v>
      </c>
      <c r="K585" s="42" t="s">
        <v>5796</v>
      </c>
      <c r="L585" s="39">
        <v>598</v>
      </c>
    </row>
    <row r="586" spans="1:12" ht="11.25" customHeight="1">
      <c r="A586" s="39">
        <v>1353</v>
      </c>
      <c r="B586" s="40" t="s">
        <v>11397</v>
      </c>
      <c r="C586" s="40" t="s">
        <v>11398</v>
      </c>
      <c r="D586" s="40" t="s">
        <v>3670</v>
      </c>
      <c r="E586" s="41">
        <v>719.38</v>
      </c>
      <c r="F586" s="40" t="s">
        <v>3670</v>
      </c>
      <c r="G586" s="41">
        <v>719.41409999999996</v>
      </c>
      <c r="H586" s="40"/>
      <c r="I586" s="41"/>
      <c r="J586" s="41">
        <f t="shared" si="2"/>
        <v>719.39705000000004</v>
      </c>
      <c r="K586" s="42" t="s">
        <v>5796</v>
      </c>
      <c r="L586" s="39">
        <v>1353</v>
      </c>
    </row>
    <row r="587" spans="1:12" ht="11.25" customHeight="1">
      <c r="A587" s="39">
        <v>1194</v>
      </c>
      <c r="B587" s="40" t="s">
        <v>11399</v>
      </c>
      <c r="C587" s="40" t="s">
        <v>11400</v>
      </c>
      <c r="D587" s="40" t="s">
        <v>3334</v>
      </c>
      <c r="E587" s="41">
        <v>1062.26</v>
      </c>
      <c r="F587" s="40" t="s">
        <v>3334</v>
      </c>
      <c r="G587" s="41">
        <v>1062.4055000000001</v>
      </c>
      <c r="H587" s="40"/>
      <c r="I587" s="41"/>
      <c r="J587" s="41">
        <f t="shared" si="2"/>
        <v>1062.33275</v>
      </c>
      <c r="K587" s="42" t="s">
        <v>5796</v>
      </c>
      <c r="L587" s="39">
        <v>1194</v>
      </c>
    </row>
    <row r="588" spans="1:12" ht="11.25" customHeight="1">
      <c r="A588" s="43">
        <v>161</v>
      </c>
      <c r="B588" s="44" t="s">
        <v>11401</v>
      </c>
      <c r="C588" s="44" t="s">
        <v>11402</v>
      </c>
      <c r="D588" s="44" t="s">
        <v>494</v>
      </c>
      <c r="E588" s="45">
        <v>41083.589999999997</v>
      </c>
      <c r="F588" s="44" t="s">
        <v>494</v>
      </c>
      <c r="G588" s="45">
        <v>41091.019200000002</v>
      </c>
      <c r="H588" s="44"/>
      <c r="I588" s="45"/>
      <c r="J588" s="45">
        <f t="shared" si="2"/>
        <v>41087.304600000003</v>
      </c>
      <c r="K588" s="46" t="s">
        <v>5800</v>
      </c>
      <c r="L588" s="43">
        <v>161</v>
      </c>
    </row>
    <row r="589" spans="1:12" ht="11.25" customHeight="1">
      <c r="A589" s="39">
        <v>2000</v>
      </c>
      <c r="B589" s="40" t="s">
        <v>11403</v>
      </c>
      <c r="C589" s="40" t="s">
        <v>11404</v>
      </c>
      <c r="D589" s="40" t="s">
        <v>4744</v>
      </c>
      <c r="E589" s="41">
        <v>188.7</v>
      </c>
      <c r="F589" s="40" t="s">
        <v>4744</v>
      </c>
      <c r="G589" s="41">
        <v>188.86259999999999</v>
      </c>
      <c r="H589" s="40"/>
      <c r="I589" s="41"/>
      <c r="J589" s="41">
        <f t="shared" si="2"/>
        <v>188.78129999999999</v>
      </c>
      <c r="K589" s="42" t="s">
        <v>5796</v>
      </c>
      <c r="L589" s="39">
        <v>2000</v>
      </c>
    </row>
    <row r="590" spans="1:12" ht="11.25" customHeight="1">
      <c r="A590" s="39">
        <v>272</v>
      </c>
      <c r="B590" s="40" t="s">
        <v>11405</v>
      </c>
      <c r="C590" s="40" t="s">
        <v>11406</v>
      </c>
      <c r="D590" s="40" t="s">
        <v>827</v>
      </c>
      <c r="E590" s="41">
        <v>19422.91</v>
      </c>
      <c r="F590" s="40" t="s">
        <v>827</v>
      </c>
      <c r="G590" s="41">
        <v>19427.2893</v>
      </c>
      <c r="H590" s="40"/>
      <c r="I590" s="41"/>
      <c r="J590" s="41">
        <f t="shared" si="2"/>
        <v>19425.09965</v>
      </c>
      <c r="K590" s="42" t="s">
        <v>5796</v>
      </c>
      <c r="L590" s="39">
        <v>272</v>
      </c>
    </row>
    <row r="591" spans="1:12" ht="11.25" customHeight="1">
      <c r="A591" s="39">
        <v>1900</v>
      </c>
      <c r="B591" s="40" t="s">
        <v>11407</v>
      </c>
      <c r="C591" s="40" t="s">
        <v>11408</v>
      </c>
      <c r="D591" s="40" t="s">
        <v>4612</v>
      </c>
      <c r="E591" s="41">
        <v>200.06</v>
      </c>
      <c r="F591" s="40" t="s">
        <v>4612</v>
      </c>
      <c r="G591" s="41">
        <v>242.51060000000001</v>
      </c>
      <c r="H591" s="40"/>
      <c r="I591" s="41"/>
      <c r="J591" s="41">
        <f t="shared" si="2"/>
        <v>221.28530000000001</v>
      </c>
      <c r="K591" s="42" t="s">
        <v>5796</v>
      </c>
      <c r="L591" s="39">
        <v>1900</v>
      </c>
    </row>
    <row r="592" spans="1:12" ht="11.25" customHeight="1">
      <c r="A592" s="39">
        <v>909</v>
      </c>
      <c r="B592" s="40" t="s">
        <v>11409</v>
      </c>
      <c r="C592" s="40" t="s">
        <v>11410</v>
      </c>
      <c r="D592" s="40" t="s">
        <v>2635</v>
      </c>
      <c r="E592" s="41">
        <v>2127.04</v>
      </c>
      <c r="F592" s="40" t="s">
        <v>2635</v>
      </c>
      <c r="G592" s="41">
        <v>2127.4515999999999</v>
      </c>
      <c r="H592" s="40"/>
      <c r="I592" s="41"/>
      <c r="J592" s="41">
        <f t="shared" si="2"/>
        <v>2127.2457999999997</v>
      </c>
      <c r="K592" s="42" t="s">
        <v>5796</v>
      </c>
      <c r="L592" s="39">
        <v>909</v>
      </c>
    </row>
    <row r="593" spans="1:12" ht="11.25" customHeight="1">
      <c r="A593" s="39">
        <v>1340</v>
      </c>
      <c r="B593" s="40" t="s">
        <v>11411</v>
      </c>
      <c r="C593" s="40" t="s">
        <v>11412</v>
      </c>
      <c r="D593" s="40"/>
      <c r="E593" s="41"/>
      <c r="F593" s="40" t="s">
        <v>3649</v>
      </c>
      <c r="G593" s="41">
        <v>736.38879999999995</v>
      </c>
      <c r="H593" s="40"/>
      <c r="I593" s="41"/>
      <c r="J593" s="41">
        <f t="shared" si="2"/>
        <v>736.38879999999995</v>
      </c>
      <c r="K593" s="42" t="s">
        <v>5796</v>
      </c>
      <c r="L593" s="39">
        <v>1340</v>
      </c>
    </row>
    <row r="594" spans="1:12" ht="11.25" customHeight="1">
      <c r="A594" s="43">
        <v>222</v>
      </c>
      <c r="B594" s="44" t="s">
        <v>11413</v>
      </c>
      <c r="C594" s="44" t="s">
        <v>11414</v>
      </c>
      <c r="D594" s="44" t="s">
        <v>677</v>
      </c>
      <c r="E594" s="45">
        <v>25906.79</v>
      </c>
      <c r="F594" s="44" t="s">
        <v>677</v>
      </c>
      <c r="G594" s="45">
        <v>25910.881300000001</v>
      </c>
      <c r="H594" s="44"/>
      <c r="I594" s="45"/>
      <c r="J594" s="45">
        <f t="shared" si="2"/>
        <v>25908.835650000001</v>
      </c>
      <c r="K594" s="46" t="s">
        <v>5800</v>
      </c>
      <c r="L594" s="43">
        <v>222</v>
      </c>
    </row>
    <row r="595" spans="1:12" ht="11.25" customHeight="1">
      <c r="A595" s="43">
        <v>225</v>
      </c>
      <c r="B595" s="44" t="s">
        <v>11415</v>
      </c>
      <c r="C595" s="44" t="s">
        <v>11416</v>
      </c>
      <c r="D595" s="44" t="s">
        <v>686</v>
      </c>
      <c r="E595" s="45">
        <v>25687.94</v>
      </c>
      <c r="F595" s="44" t="s">
        <v>686</v>
      </c>
      <c r="G595" s="45">
        <v>25691.504300000001</v>
      </c>
      <c r="H595" s="44"/>
      <c r="I595" s="45"/>
      <c r="J595" s="45">
        <f t="shared" si="2"/>
        <v>25689.722150000001</v>
      </c>
      <c r="K595" s="46" t="s">
        <v>5800</v>
      </c>
      <c r="L595" s="43">
        <v>225</v>
      </c>
    </row>
    <row r="596" spans="1:12" ht="11.25" customHeight="1">
      <c r="A596" s="43">
        <v>250</v>
      </c>
      <c r="B596" s="44" t="s">
        <v>11417</v>
      </c>
      <c r="C596" s="44" t="s">
        <v>11418</v>
      </c>
      <c r="D596" s="44" t="s">
        <v>758</v>
      </c>
      <c r="E596" s="45">
        <v>21993.47</v>
      </c>
      <c r="F596" s="44" t="s">
        <v>758</v>
      </c>
      <c r="G596" s="45">
        <v>21994.541300000001</v>
      </c>
      <c r="H596" s="44"/>
      <c r="I596" s="45"/>
      <c r="J596" s="45">
        <f t="shared" si="2"/>
        <v>21994.005649999999</v>
      </c>
      <c r="K596" s="46" t="s">
        <v>5800</v>
      </c>
      <c r="L596" s="43">
        <v>250</v>
      </c>
    </row>
    <row r="597" spans="1:12" ht="11.25" customHeight="1">
      <c r="A597" s="39">
        <v>3876</v>
      </c>
      <c r="B597" s="40" t="s">
        <v>11419</v>
      </c>
      <c r="C597" s="40" t="s">
        <v>11420</v>
      </c>
      <c r="D597" s="40" t="s">
        <v>5739</v>
      </c>
      <c r="E597" s="41">
        <v>10.15</v>
      </c>
      <c r="F597" s="40" t="s">
        <v>5739</v>
      </c>
      <c r="G597" s="41">
        <v>10.0092</v>
      </c>
      <c r="H597" s="40"/>
      <c r="I597" s="41"/>
      <c r="J597" s="41">
        <f t="shared" si="2"/>
        <v>10.079599999999999</v>
      </c>
      <c r="K597" s="42" t="s">
        <v>5796</v>
      </c>
      <c r="L597" s="39">
        <v>3876</v>
      </c>
    </row>
    <row r="598" spans="1:12" ht="11.25" customHeight="1">
      <c r="A598" s="39">
        <v>1571</v>
      </c>
      <c r="B598" s="40" t="s">
        <v>11421</v>
      </c>
      <c r="C598" s="40" t="s">
        <v>11422</v>
      </c>
      <c r="D598" s="40"/>
      <c r="E598" s="41"/>
      <c r="F598" s="40" t="s">
        <v>4102</v>
      </c>
      <c r="G598" s="41">
        <v>436.74880000000002</v>
      </c>
      <c r="H598" s="40"/>
      <c r="I598" s="41"/>
      <c r="J598" s="41">
        <f t="shared" si="2"/>
        <v>436.74880000000002</v>
      </c>
      <c r="K598" s="42" t="s">
        <v>5796</v>
      </c>
      <c r="L598" s="39">
        <v>1571</v>
      </c>
    </row>
    <row r="599" spans="1:12" ht="11.25" customHeight="1">
      <c r="A599" s="39">
        <v>2248</v>
      </c>
      <c r="B599" s="40" t="s">
        <v>11423</v>
      </c>
      <c r="C599" s="40" t="s">
        <v>11424</v>
      </c>
      <c r="D599" s="40" t="s">
        <v>5071</v>
      </c>
      <c r="E599" s="41">
        <v>122.02</v>
      </c>
      <c r="F599" s="40" t="s">
        <v>5071</v>
      </c>
      <c r="G599" s="41">
        <v>122.14830000000001</v>
      </c>
      <c r="H599" s="40"/>
      <c r="I599" s="41"/>
      <c r="J599" s="41">
        <f t="shared" si="2"/>
        <v>122.08414999999999</v>
      </c>
      <c r="K599" s="42" t="s">
        <v>5796</v>
      </c>
      <c r="L599" s="39">
        <v>2248</v>
      </c>
    </row>
    <row r="600" spans="1:12" ht="11.25" customHeight="1">
      <c r="A600" s="39">
        <v>2739</v>
      </c>
      <c r="B600" s="40" t="s">
        <v>11425</v>
      </c>
      <c r="C600" s="40" t="s">
        <v>11426</v>
      </c>
      <c r="D600" s="40"/>
      <c r="E600" s="41"/>
      <c r="F600" s="40" t="s">
        <v>5445</v>
      </c>
      <c r="G600" s="41">
        <v>55.7761</v>
      </c>
      <c r="H600" s="40"/>
      <c r="I600" s="41"/>
      <c r="J600" s="41">
        <f t="shared" si="2"/>
        <v>55.7761</v>
      </c>
      <c r="K600" s="42" t="s">
        <v>5796</v>
      </c>
      <c r="L600" s="39">
        <v>2739</v>
      </c>
    </row>
    <row r="601" spans="1:12" ht="11.25" customHeight="1">
      <c r="A601" s="39">
        <v>824</v>
      </c>
      <c r="B601" s="40" t="s">
        <v>11427</v>
      </c>
      <c r="C601" s="40" t="s">
        <v>11428</v>
      </c>
      <c r="D601" s="40" t="s">
        <v>2395</v>
      </c>
      <c r="E601" s="41">
        <v>2685.56</v>
      </c>
      <c r="F601" s="40" t="s">
        <v>2395</v>
      </c>
      <c r="G601" s="41">
        <v>2684.6426999999999</v>
      </c>
      <c r="H601" s="40"/>
      <c r="I601" s="41"/>
      <c r="J601" s="41">
        <f t="shared" si="2"/>
        <v>2685.1013499999999</v>
      </c>
      <c r="K601" s="42" t="s">
        <v>5796</v>
      </c>
      <c r="L601" s="39">
        <v>824</v>
      </c>
    </row>
    <row r="602" spans="1:12" ht="11.25" customHeight="1">
      <c r="A602" s="39">
        <v>484</v>
      </c>
      <c r="B602" s="40" t="s">
        <v>11429</v>
      </c>
      <c r="C602" s="40" t="s">
        <v>11430</v>
      </c>
      <c r="D602" s="40" t="s">
        <v>1439</v>
      </c>
      <c r="E602" s="41">
        <v>7701.72</v>
      </c>
      <c r="F602" s="40" t="s">
        <v>1439</v>
      </c>
      <c r="G602" s="41">
        <v>7703.5550000000003</v>
      </c>
      <c r="H602" s="40"/>
      <c r="I602" s="41"/>
      <c r="J602" s="41">
        <f t="shared" si="2"/>
        <v>7702.6375000000007</v>
      </c>
      <c r="K602" s="42" t="s">
        <v>5796</v>
      </c>
      <c r="L602" s="39">
        <v>484</v>
      </c>
    </row>
    <row r="603" spans="1:12" ht="11.25" customHeight="1">
      <c r="A603" s="39">
        <v>1151</v>
      </c>
      <c r="B603" s="40" t="s">
        <v>11431</v>
      </c>
      <c r="C603" s="40" t="s">
        <v>11432</v>
      </c>
      <c r="D603" s="40" t="s">
        <v>3232</v>
      </c>
      <c r="E603" s="41">
        <v>1184.77</v>
      </c>
      <c r="F603" s="40" t="s">
        <v>3232</v>
      </c>
      <c r="G603" s="41">
        <v>1184.8223</v>
      </c>
      <c r="H603" s="40"/>
      <c r="I603" s="41"/>
      <c r="J603" s="41">
        <f t="shared" si="2"/>
        <v>1184.7961500000001</v>
      </c>
      <c r="K603" s="42" t="s">
        <v>5796</v>
      </c>
      <c r="L603" s="39">
        <v>1151</v>
      </c>
    </row>
    <row r="604" spans="1:12" ht="11.25" customHeight="1">
      <c r="A604" s="39">
        <v>427</v>
      </c>
      <c r="B604" s="40" t="s">
        <v>11433</v>
      </c>
      <c r="C604" s="40" t="s">
        <v>11434</v>
      </c>
      <c r="D604" s="40" t="s">
        <v>1280</v>
      </c>
      <c r="E604" s="41">
        <v>9491.18</v>
      </c>
      <c r="F604" s="40" t="s">
        <v>1280</v>
      </c>
      <c r="G604" s="41">
        <v>9492.0306999999993</v>
      </c>
      <c r="H604" s="40"/>
      <c r="I604" s="41"/>
      <c r="J604" s="41">
        <f t="shared" si="2"/>
        <v>9491.6053499999998</v>
      </c>
      <c r="K604" s="42" t="s">
        <v>5796</v>
      </c>
      <c r="L604" s="39">
        <v>427</v>
      </c>
    </row>
    <row r="605" spans="1:12" ht="11.25" customHeight="1">
      <c r="A605" s="39">
        <v>502</v>
      </c>
      <c r="B605" s="40" t="s">
        <v>11435</v>
      </c>
      <c r="C605" s="40" t="s">
        <v>11436</v>
      </c>
      <c r="D605" s="40" t="s">
        <v>11437</v>
      </c>
      <c r="E605" s="41">
        <v>7284.5</v>
      </c>
      <c r="F605" s="40" t="s">
        <v>1493</v>
      </c>
      <c r="G605" s="41">
        <v>7286.5545000000002</v>
      </c>
      <c r="H605" s="40"/>
      <c r="I605" s="41"/>
      <c r="J605" s="41">
        <f t="shared" si="2"/>
        <v>7285.5272500000001</v>
      </c>
      <c r="K605" s="42" t="s">
        <v>5796</v>
      </c>
      <c r="L605" s="39">
        <v>502</v>
      </c>
    </row>
    <row r="606" spans="1:12" ht="11.25" customHeight="1">
      <c r="A606" s="43">
        <v>176</v>
      </c>
      <c r="B606" s="44" t="s">
        <v>6187</v>
      </c>
      <c r="C606" s="44" t="s">
        <v>11438</v>
      </c>
      <c r="D606" s="44" t="s">
        <v>539</v>
      </c>
      <c r="E606" s="45">
        <v>35002.69</v>
      </c>
      <c r="F606" s="44" t="s">
        <v>539</v>
      </c>
      <c r="G606" s="45">
        <v>35007.265700000004</v>
      </c>
      <c r="H606" s="44"/>
      <c r="I606" s="45"/>
      <c r="J606" s="45">
        <f t="shared" si="2"/>
        <v>35004.977850000003</v>
      </c>
      <c r="K606" s="46" t="s">
        <v>5800</v>
      </c>
      <c r="L606" s="43">
        <v>176</v>
      </c>
    </row>
    <row r="607" spans="1:12" ht="11.25" customHeight="1">
      <c r="A607" s="39">
        <v>939</v>
      </c>
      <c r="B607" s="40" t="s">
        <v>11439</v>
      </c>
      <c r="C607" s="40" t="s">
        <v>11440</v>
      </c>
      <c r="D607" s="40" t="s">
        <v>2710</v>
      </c>
      <c r="E607" s="41">
        <v>2009.41</v>
      </c>
      <c r="F607" s="40" t="s">
        <v>2710</v>
      </c>
      <c r="G607" s="41">
        <v>2007.9496999999999</v>
      </c>
      <c r="H607" s="40"/>
      <c r="I607" s="41"/>
      <c r="J607" s="41">
        <f t="shared" si="2"/>
        <v>2008.67985</v>
      </c>
      <c r="K607" s="42" t="s">
        <v>5796</v>
      </c>
      <c r="L607" s="39">
        <v>939</v>
      </c>
    </row>
    <row r="608" spans="1:12" ht="11.25" customHeight="1">
      <c r="A608" s="39">
        <v>945</v>
      </c>
      <c r="B608" s="40" t="s">
        <v>11441</v>
      </c>
      <c r="C608" s="40" t="s">
        <v>11442</v>
      </c>
      <c r="D608" s="40" t="s">
        <v>2728</v>
      </c>
      <c r="E608" s="41">
        <v>1977.05</v>
      </c>
      <c r="F608" s="40" t="s">
        <v>2728</v>
      </c>
      <c r="G608" s="41">
        <v>1977.1451</v>
      </c>
      <c r="H608" s="40"/>
      <c r="I608" s="41"/>
      <c r="J608" s="41">
        <f t="shared" si="2"/>
        <v>1977.09755</v>
      </c>
      <c r="K608" s="42" t="s">
        <v>5796</v>
      </c>
      <c r="L608" s="39">
        <v>945</v>
      </c>
    </row>
    <row r="609" spans="1:12" ht="11.25" customHeight="1">
      <c r="A609" s="39">
        <v>406</v>
      </c>
      <c r="B609" s="40" t="s">
        <v>11443</v>
      </c>
      <c r="C609" s="40" t="s">
        <v>11444</v>
      </c>
      <c r="D609" s="40" t="s">
        <v>1223</v>
      </c>
      <c r="E609" s="41">
        <v>9968.2800000000007</v>
      </c>
      <c r="F609" s="40" t="s">
        <v>1223</v>
      </c>
      <c r="G609" s="41">
        <v>9969.6072999999997</v>
      </c>
      <c r="H609" s="40"/>
      <c r="I609" s="41"/>
      <c r="J609" s="41">
        <f t="shared" si="2"/>
        <v>9968.9436500000011</v>
      </c>
      <c r="K609" s="42" t="s">
        <v>5796</v>
      </c>
      <c r="L609" s="39">
        <v>406</v>
      </c>
    </row>
    <row r="610" spans="1:12" ht="11.25" customHeight="1">
      <c r="A610" s="39">
        <v>1514</v>
      </c>
      <c r="B610" s="40" t="s">
        <v>11445</v>
      </c>
      <c r="C610" s="40" t="s">
        <v>11446</v>
      </c>
      <c r="D610" s="40" t="s">
        <v>3991</v>
      </c>
      <c r="E610" s="41">
        <v>490.22</v>
      </c>
      <c r="F610" s="40" t="s">
        <v>3991</v>
      </c>
      <c r="G610" s="41">
        <v>490.20409999999998</v>
      </c>
      <c r="H610" s="40"/>
      <c r="I610" s="41"/>
      <c r="J610" s="41">
        <f t="shared" si="2"/>
        <v>490.21204999999998</v>
      </c>
      <c r="K610" s="42" t="s">
        <v>5796</v>
      </c>
      <c r="L610" s="39">
        <v>1514</v>
      </c>
    </row>
    <row r="611" spans="1:12" ht="11.25" customHeight="1">
      <c r="A611" s="39">
        <v>873</v>
      </c>
      <c r="B611" s="40" t="s">
        <v>11447</v>
      </c>
      <c r="C611" s="40" t="s">
        <v>11448</v>
      </c>
      <c r="D611" s="40" t="s">
        <v>2533</v>
      </c>
      <c r="E611" s="41">
        <v>2359.0300000000002</v>
      </c>
      <c r="F611" s="40" t="s">
        <v>2533</v>
      </c>
      <c r="G611" s="41">
        <v>2359.3126999999999</v>
      </c>
      <c r="H611" s="40"/>
      <c r="I611" s="41"/>
      <c r="J611" s="41">
        <f t="shared" si="2"/>
        <v>2359.1713500000001</v>
      </c>
      <c r="K611" s="42" t="s">
        <v>5796</v>
      </c>
      <c r="L611" s="39">
        <v>873</v>
      </c>
    </row>
    <row r="612" spans="1:12" ht="11.25" customHeight="1">
      <c r="A612" s="39">
        <v>530</v>
      </c>
      <c r="B612" s="40" t="s">
        <v>11449</v>
      </c>
      <c r="C612" s="40" t="s">
        <v>11450</v>
      </c>
      <c r="D612" s="40" t="s">
        <v>1571</v>
      </c>
      <c r="E612" s="41">
        <v>6810.46</v>
      </c>
      <c r="F612" s="40" t="s">
        <v>1571</v>
      </c>
      <c r="G612" s="41">
        <v>6813.1527999999998</v>
      </c>
      <c r="H612" s="40"/>
      <c r="I612" s="41"/>
      <c r="J612" s="41">
        <f t="shared" si="2"/>
        <v>6811.8063999999995</v>
      </c>
      <c r="K612" s="42" t="s">
        <v>5796</v>
      </c>
      <c r="L612" s="39">
        <v>530</v>
      </c>
    </row>
    <row r="613" spans="1:12" ht="11.25" customHeight="1">
      <c r="A613" s="39">
        <v>392</v>
      </c>
      <c r="B613" s="40" t="s">
        <v>11451</v>
      </c>
      <c r="C613" s="40" t="s">
        <v>11452</v>
      </c>
      <c r="D613" s="40" t="s">
        <v>1184</v>
      </c>
      <c r="E613" s="41">
        <v>10670.12</v>
      </c>
      <c r="F613" s="40" t="s">
        <v>1184</v>
      </c>
      <c r="G613" s="41">
        <v>10672.9115</v>
      </c>
      <c r="H613" s="40"/>
      <c r="I613" s="41"/>
      <c r="J613" s="41">
        <f t="shared" si="2"/>
        <v>10671.51575</v>
      </c>
      <c r="K613" s="42" t="s">
        <v>5796</v>
      </c>
      <c r="L613" s="39">
        <v>392</v>
      </c>
    </row>
    <row r="614" spans="1:12" ht="11.25" customHeight="1">
      <c r="A614" s="39">
        <v>2736</v>
      </c>
      <c r="B614" s="40" t="s">
        <v>11453</v>
      </c>
      <c r="C614" s="40" t="s">
        <v>11454</v>
      </c>
      <c r="D614" s="40"/>
      <c r="E614" s="41"/>
      <c r="F614" s="40" t="s">
        <v>5442</v>
      </c>
      <c r="G614" s="41">
        <v>55.905099999999997</v>
      </c>
      <c r="H614" s="40"/>
      <c r="I614" s="41"/>
      <c r="J614" s="41">
        <f t="shared" si="2"/>
        <v>55.905099999999997</v>
      </c>
      <c r="K614" s="42" t="s">
        <v>5796</v>
      </c>
      <c r="L614" s="39">
        <v>2736</v>
      </c>
    </row>
    <row r="615" spans="1:12" ht="11.25" customHeight="1">
      <c r="A615" s="39">
        <v>430</v>
      </c>
      <c r="B615" s="40" t="s">
        <v>11455</v>
      </c>
      <c r="C615" s="40" t="s">
        <v>11456</v>
      </c>
      <c r="D615" s="40" t="s">
        <v>1286</v>
      </c>
      <c r="E615" s="41">
        <v>9423.7999999999993</v>
      </c>
      <c r="F615" s="40" t="s">
        <v>1286</v>
      </c>
      <c r="G615" s="41">
        <v>9423.8655999999992</v>
      </c>
      <c r="H615" s="40"/>
      <c r="I615" s="41"/>
      <c r="J615" s="41">
        <f t="shared" si="2"/>
        <v>9423.8328000000001</v>
      </c>
      <c r="K615" s="42" t="s">
        <v>5796</v>
      </c>
      <c r="L615" s="39">
        <v>430</v>
      </c>
    </row>
    <row r="616" spans="1:12" ht="11.25" customHeight="1">
      <c r="A616" s="47">
        <v>55</v>
      </c>
      <c r="B616" s="48" t="s">
        <v>11457</v>
      </c>
      <c r="C616" s="48" t="s">
        <v>11458</v>
      </c>
      <c r="D616" s="48" t="s">
        <v>176</v>
      </c>
      <c r="E616" s="49">
        <v>104287.45</v>
      </c>
      <c r="F616" s="48" t="s">
        <v>176</v>
      </c>
      <c r="G616" s="49">
        <v>104292.6339</v>
      </c>
      <c r="H616" s="48"/>
      <c r="I616" s="49"/>
      <c r="J616" s="49">
        <f t="shared" si="2"/>
        <v>104290.04195</v>
      </c>
      <c r="K616" s="50" t="s">
        <v>5815</v>
      </c>
      <c r="L616" s="47">
        <v>55</v>
      </c>
    </row>
    <row r="617" spans="1:12" ht="11.25" customHeight="1">
      <c r="A617" s="39">
        <v>269</v>
      </c>
      <c r="B617" s="40" t="s">
        <v>11459</v>
      </c>
      <c r="C617" s="40" t="s">
        <v>11460</v>
      </c>
      <c r="D617" s="40" t="s">
        <v>818</v>
      </c>
      <c r="E617" s="41">
        <v>19792.32</v>
      </c>
      <c r="F617" s="40" t="s">
        <v>818</v>
      </c>
      <c r="G617" s="41">
        <v>19795.435000000001</v>
      </c>
      <c r="H617" s="40"/>
      <c r="I617" s="41"/>
      <c r="J617" s="41">
        <f t="shared" si="2"/>
        <v>19793.877500000002</v>
      </c>
      <c r="K617" s="42" t="s">
        <v>5796</v>
      </c>
      <c r="L617" s="39">
        <v>269</v>
      </c>
    </row>
    <row r="618" spans="1:12" ht="11.25" customHeight="1">
      <c r="A618" s="43">
        <v>141</v>
      </c>
      <c r="B618" s="44" t="s">
        <v>11461</v>
      </c>
      <c r="C618" s="44" t="s">
        <v>11462</v>
      </c>
      <c r="D618" s="44" t="s">
        <v>434</v>
      </c>
      <c r="E618" s="45">
        <v>47482.11</v>
      </c>
      <c r="F618" s="44" t="s">
        <v>434</v>
      </c>
      <c r="G618" s="45">
        <v>47486.3148</v>
      </c>
      <c r="H618" s="44"/>
      <c r="I618" s="45"/>
      <c r="J618" s="45">
        <f t="shared" si="2"/>
        <v>47484.212400000004</v>
      </c>
      <c r="K618" s="46" t="s">
        <v>5800</v>
      </c>
      <c r="L618" s="43">
        <v>141</v>
      </c>
    </row>
    <row r="619" spans="1:12" ht="11.25" customHeight="1">
      <c r="A619" s="39">
        <v>3221</v>
      </c>
      <c r="B619" s="40" t="s">
        <v>11463</v>
      </c>
      <c r="C619" s="40" t="s">
        <v>11464</v>
      </c>
      <c r="D619" s="40" t="s">
        <v>6196</v>
      </c>
      <c r="E619" s="41">
        <v>27.03</v>
      </c>
      <c r="F619" s="40" t="s">
        <v>6196</v>
      </c>
      <c r="G619" s="41">
        <v>27.162299999999998</v>
      </c>
      <c r="H619" s="40"/>
      <c r="I619" s="41"/>
      <c r="J619" s="41">
        <f t="shared" si="2"/>
        <v>27.096150000000002</v>
      </c>
      <c r="K619" s="42" t="s">
        <v>5796</v>
      </c>
      <c r="L619" s="39">
        <v>3221</v>
      </c>
    </row>
    <row r="620" spans="1:12" ht="11.25" customHeight="1">
      <c r="A620" s="39">
        <v>645</v>
      </c>
      <c r="B620" s="40" t="s">
        <v>11465</v>
      </c>
      <c r="C620" s="40" t="s">
        <v>11466</v>
      </c>
      <c r="D620" s="40" t="s">
        <v>1895</v>
      </c>
      <c r="E620" s="41">
        <v>4503.0200000000004</v>
      </c>
      <c r="F620" s="40" t="s">
        <v>1895</v>
      </c>
      <c r="G620" s="41">
        <v>4502.7592000000004</v>
      </c>
      <c r="H620" s="40"/>
      <c r="I620" s="41"/>
      <c r="J620" s="41">
        <f t="shared" si="2"/>
        <v>4502.8896000000004</v>
      </c>
      <c r="K620" s="42" t="s">
        <v>5796</v>
      </c>
      <c r="L620" s="39">
        <v>645</v>
      </c>
    </row>
    <row r="621" spans="1:12" ht="11.25" customHeight="1">
      <c r="A621" s="39">
        <v>1655</v>
      </c>
      <c r="B621" s="40" t="s">
        <v>11467</v>
      </c>
      <c r="C621" s="40" t="s">
        <v>11468</v>
      </c>
      <c r="D621" s="40" t="s">
        <v>4252</v>
      </c>
      <c r="E621" s="41">
        <v>363.02</v>
      </c>
      <c r="F621" s="40" t="s">
        <v>4252</v>
      </c>
      <c r="G621" s="41">
        <v>363.09210000000002</v>
      </c>
      <c r="H621" s="40"/>
      <c r="I621" s="41"/>
      <c r="J621" s="41">
        <f t="shared" si="2"/>
        <v>363.05605000000003</v>
      </c>
      <c r="K621" s="42" t="s">
        <v>5796</v>
      </c>
      <c r="L621" s="39">
        <v>1655</v>
      </c>
    </row>
    <row r="622" spans="1:12" ht="11.25" customHeight="1">
      <c r="A622" s="39">
        <v>1005</v>
      </c>
      <c r="B622" s="40" t="s">
        <v>11469</v>
      </c>
      <c r="C622" s="40" t="s">
        <v>11470</v>
      </c>
      <c r="D622" s="40" t="s">
        <v>2878</v>
      </c>
      <c r="E622" s="41">
        <v>1700.52</v>
      </c>
      <c r="F622" s="40" t="s">
        <v>2878</v>
      </c>
      <c r="G622" s="41">
        <v>1700.9131</v>
      </c>
      <c r="H622" s="40"/>
      <c r="I622" s="41"/>
      <c r="J622" s="41">
        <f t="shared" si="2"/>
        <v>1700.7165500000001</v>
      </c>
      <c r="K622" s="42" t="s">
        <v>5796</v>
      </c>
      <c r="L622" s="39">
        <v>1005</v>
      </c>
    </row>
    <row r="623" spans="1:12" ht="11.25" customHeight="1">
      <c r="A623" s="39">
        <v>2465</v>
      </c>
      <c r="B623" s="40" t="s">
        <v>11471</v>
      </c>
      <c r="C623" s="40" t="s">
        <v>11472</v>
      </c>
      <c r="D623" s="40" t="s">
        <v>5268</v>
      </c>
      <c r="E623" s="41">
        <v>87.8</v>
      </c>
      <c r="F623" s="40" t="s">
        <v>5268</v>
      </c>
      <c r="G623" s="41">
        <v>87.701800000000006</v>
      </c>
      <c r="H623" s="40"/>
      <c r="I623" s="41"/>
      <c r="J623" s="41">
        <f t="shared" si="2"/>
        <v>87.750900000000001</v>
      </c>
      <c r="K623" s="42" t="s">
        <v>5796</v>
      </c>
      <c r="L623" s="39">
        <v>2465</v>
      </c>
    </row>
    <row r="624" spans="1:12" ht="11.25" customHeight="1">
      <c r="A624" s="39">
        <v>1046</v>
      </c>
      <c r="B624" s="40" t="s">
        <v>11473</v>
      </c>
      <c r="C624" s="40" t="s">
        <v>11474</v>
      </c>
      <c r="D624" s="40" t="s">
        <v>2986</v>
      </c>
      <c r="E624" s="41">
        <v>1512.69</v>
      </c>
      <c r="F624" s="40" t="s">
        <v>2986</v>
      </c>
      <c r="G624" s="41">
        <v>1496.5111999999999</v>
      </c>
      <c r="H624" s="40"/>
      <c r="I624" s="41"/>
      <c r="J624" s="41">
        <f t="shared" si="2"/>
        <v>1504.6006</v>
      </c>
      <c r="K624" s="42" t="s">
        <v>5796</v>
      </c>
      <c r="L624" s="39">
        <v>1046</v>
      </c>
    </row>
    <row r="625" spans="1:12" ht="11.25" customHeight="1">
      <c r="A625" s="39">
        <v>1669</v>
      </c>
      <c r="B625" s="40" t="s">
        <v>11475</v>
      </c>
      <c r="C625" s="40" t="s">
        <v>11476</v>
      </c>
      <c r="D625" s="40" t="s">
        <v>4279</v>
      </c>
      <c r="E625" s="41">
        <v>350.91</v>
      </c>
      <c r="F625" s="40" t="s">
        <v>4279</v>
      </c>
      <c r="G625" s="41">
        <v>353.56259999999997</v>
      </c>
      <c r="H625" s="40"/>
      <c r="I625" s="41"/>
      <c r="J625" s="41">
        <f t="shared" si="2"/>
        <v>352.23630000000003</v>
      </c>
      <c r="K625" s="42" t="s">
        <v>5796</v>
      </c>
      <c r="L625" s="39">
        <v>1669</v>
      </c>
    </row>
    <row r="626" spans="1:12" ht="11.25" customHeight="1">
      <c r="A626" s="39">
        <v>965</v>
      </c>
      <c r="B626" s="40" t="s">
        <v>11477</v>
      </c>
      <c r="C626" s="40" t="s">
        <v>11478</v>
      </c>
      <c r="D626" s="40" t="s">
        <v>2773</v>
      </c>
      <c r="E626" s="41">
        <v>1886.97</v>
      </c>
      <c r="F626" s="40" t="s">
        <v>2773</v>
      </c>
      <c r="G626" s="41">
        <v>1878.7449999999999</v>
      </c>
      <c r="H626" s="40"/>
      <c r="I626" s="41"/>
      <c r="J626" s="41">
        <f t="shared" si="2"/>
        <v>1882.8575000000001</v>
      </c>
      <c r="K626" s="42" t="s">
        <v>5796</v>
      </c>
      <c r="L626" s="39">
        <v>965</v>
      </c>
    </row>
    <row r="627" spans="1:12" ht="11.25" customHeight="1">
      <c r="A627" s="39">
        <v>2181</v>
      </c>
      <c r="B627" s="40" t="s">
        <v>6202</v>
      </c>
      <c r="C627" s="40" t="s">
        <v>11479</v>
      </c>
      <c r="D627" s="40" t="s">
        <v>4996</v>
      </c>
      <c r="E627" s="41">
        <v>136.93</v>
      </c>
      <c r="F627" s="40" t="s">
        <v>4996</v>
      </c>
      <c r="G627" s="41">
        <v>137.7774</v>
      </c>
      <c r="H627" s="40"/>
      <c r="I627" s="41"/>
      <c r="J627" s="41">
        <f t="shared" si="2"/>
        <v>137.3537</v>
      </c>
      <c r="K627" s="42" t="s">
        <v>5796</v>
      </c>
      <c r="L627" s="39">
        <v>2181</v>
      </c>
    </row>
    <row r="628" spans="1:12" ht="11.25" customHeight="1">
      <c r="A628" s="39">
        <v>456</v>
      </c>
      <c r="B628" s="40" t="s">
        <v>6203</v>
      </c>
      <c r="C628" s="40" t="s">
        <v>11480</v>
      </c>
      <c r="D628" s="40" t="s">
        <v>1361</v>
      </c>
      <c r="E628" s="41">
        <v>8370.73</v>
      </c>
      <c r="F628" s="40" t="s">
        <v>1361</v>
      </c>
      <c r="G628" s="41">
        <v>8663.3541999999998</v>
      </c>
      <c r="H628" s="40"/>
      <c r="I628" s="41"/>
      <c r="J628" s="41">
        <f t="shared" si="2"/>
        <v>8517.0420999999988</v>
      </c>
      <c r="K628" s="42" t="s">
        <v>5796</v>
      </c>
      <c r="L628" s="39">
        <v>456</v>
      </c>
    </row>
    <row r="629" spans="1:12" ht="11.25" customHeight="1">
      <c r="A629" s="39">
        <v>552</v>
      </c>
      <c r="B629" s="40" t="s">
        <v>11481</v>
      </c>
      <c r="C629" s="40" t="s">
        <v>11482</v>
      </c>
      <c r="D629" s="40" t="s">
        <v>1637</v>
      </c>
      <c r="E629" s="41">
        <v>6302.13</v>
      </c>
      <c r="F629" s="40" t="s">
        <v>1637</v>
      </c>
      <c r="G629" s="41">
        <v>6301.3468000000003</v>
      </c>
      <c r="H629" s="40"/>
      <c r="I629" s="41"/>
      <c r="J629" s="41">
        <f t="shared" si="2"/>
        <v>6301.7384000000002</v>
      </c>
      <c r="K629" s="42" t="s">
        <v>5796</v>
      </c>
      <c r="L629" s="39">
        <v>552</v>
      </c>
    </row>
    <row r="630" spans="1:12" ht="11.25" customHeight="1">
      <c r="A630" s="39">
        <v>1429</v>
      </c>
      <c r="B630" s="40" t="s">
        <v>11483</v>
      </c>
      <c r="C630" s="40" t="s">
        <v>11484</v>
      </c>
      <c r="D630" s="40" t="s">
        <v>3829</v>
      </c>
      <c r="E630" s="41">
        <v>607.49</v>
      </c>
      <c r="F630" s="40" t="s">
        <v>3829</v>
      </c>
      <c r="G630" s="41">
        <v>606.70349999999996</v>
      </c>
      <c r="H630" s="40"/>
      <c r="I630" s="41"/>
      <c r="J630" s="41">
        <f t="shared" si="2"/>
        <v>607.09674999999993</v>
      </c>
      <c r="K630" s="42" t="s">
        <v>5796</v>
      </c>
      <c r="L630" s="39">
        <v>1429</v>
      </c>
    </row>
    <row r="631" spans="1:12" ht="11.25" customHeight="1">
      <c r="A631" s="39">
        <v>463</v>
      </c>
      <c r="B631" s="40" t="s">
        <v>11485</v>
      </c>
      <c r="C631" s="40" t="s">
        <v>11486</v>
      </c>
      <c r="D631" s="40" t="s">
        <v>1379</v>
      </c>
      <c r="E631" s="41">
        <v>8229.17</v>
      </c>
      <c r="F631" s="40" t="s">
        <v>1379</v>
      </c>
      <c r="G631" s="41">
        <v>8226.0077000000001</v>
      </c>
      <c r="H631" s="40"/>
      <c r="I631" s="41"/>
      <c r="J631" s="41">
        <f t="shared" si="2"/>
        <v>8227.5888500000001</v>
      </c>
      <c r="K631" s="42" t="s">
        <v>5796</v>
      </c>
      <c r="L631" s="39">
        <v>463</v>
      </c>
    </row>
    <row r="632" spans="1:12" ht="11.25" customHeight="1">
      <c r="A632" s="39">
        <v>438</v>
      </c>
      <c r="B632" s="40" t="s">
        <v>11487</v>
      </c>
      <c r="C632" s="40" t="s">
        <v>11488</v>
      </c>
      <c r="D632" s="40" t="s">
        <v>1310</v>
      </c>
      <c r="E632" s="41">
        <v>9202.24</v>
      </c>
      <c r="F632" s="40" t="s">
        <v>1310</v>
      </c>
      <c r="G632" s="41">
        <v>9205.0738000000001</v>
      </c>
      <c r="H632" s="40"/>
      <c r="I632" s="41"/>
      <c r="J632" s="41">
        <f t="shared" si="2"/>
        <v>9203.6569</v>
      </c>
      <c r="K632" s="42" t="s">
        <v>5796</v>
      </c>
      <c r="L632" s="39">
        <v>438</v>
      </c>
    </row>
    <row r="633" spans="1:12" ht="11.25" customHeight="1">
      <c r="A633" s="47">
        <v>48</v>
      </c>
      <c r="B633" s="48" t="s">
        <v>11489</v>
      </c>
      <c r="C633" s="48" t="s">
        <v>11490</v>
      </c>
      <c r="D633" s="48" t="s">
        <v>155</v>
      </c>
      <c r="E633" s="49">
        <v>125571</v>
      </c>
      <c r="F633" s="48" t="s">
        <v>155</v>
      </c>
      <c r="G633" s="49">
        <v>125612.3691</v>
      </c>
      <c r="H633" s="48"/>
      <c r="I633" s="49"/>
      <c r="J633" s="49">
        <f t="shared" si="2"/>
        <v>125591.68455000001</v>
      </c>
      <c r="K633" s="50" t="s">
        <v>5815</v>
      </c>
      <c r="L633" s="47">
        <v>48</v>
      </c>
    </row>
    <row r="634" spans="1:12" ht="11.25" customHeight="1">
      <c r="A634" s="39">
        <v>568</v>
      </c>
      <c r="B634" s="40" t="s">
        <v>6208</v>
      </c>
      <c r="C634" s="40" t="s">
        <v>11491</v>
      </c>
      <c r="D634" s="40" t="s">
        <v>1685</v>
      </c>
      <c r="E634" s="41">
        <v>6085.63</v>
      </c>
      <c r="F634" s="40" t="s">
        <v>1685</v>
      </c>
      <c r="G634" s="41">
        <v>6084.4894999999997</v>
      </c>
      <c r="H634" s="40"/>
      <c r="I634" s="41"/>
      <c r="J634" s="41">
        <f t="shared" si="2"/>
        <v>6085.0597500000003</v>
      </c>
      <c r="K634" s="42" t="s">
        <v>5796</v>
      </c>
      <c r="L634" s="39">
        <v>568</v>
      </c>
    </row>
    <row r="635" spans="1:12" ht="11.25" customHeight="1">
      <c r="A635" s="39">
        <v>765</v>
      </c>
      <c r="B635" s="40" t="s">
        <v>11492</v>
      </c>
      <c r="C635" s="40" t="s">
        <v>11493</v>
      </c>
      <c r="D635" s="40" t="s">
        <v>2242</v>
      </c>
      <c r="E635" s="41">
        <v>3166.15</v>
      </c>
      <c r="F635" s="40" t="s">
        <v>2242</v>
      </c>
      <c r="G635" s="41">
        <v>3166.2383</v>
      </c>
      <c r="H635" s="40"/>
      <c r="I635" s="41"/>
      <c r="J635" s="41">
        <f t="shared" si="2"/>
        <v>3166.1941500000003</v>
      </c>
      <c r="K635" s="42" t="s">
        <v>5796</v>
      </c>
      <c r="L635" s="39">
        <v>765</v>
      </c>
    </row>
    <row r="636" spans="1:12" ht="11.25" customHeight="1">
      <c r="A636" s="39">
        <v>561</v>
      </c>
      <c r="B636" s="40" t="s">
        <v>11494</v>
      </c>
      <c r="C636" s="40" t="s">
        <v>11495</v>
      </c>
      <c r="D636" s="40" t="s">
        <v>11496</v>
      </c>
      <c r="E636" s="41">
        <v>6143.71</v>
      </c>
      <c r="F636" s="40" t="s">
        <v>1664</v>
      </c>
      <c r="G636" s="41">
        <v>6147.5396000000001</v>
      </c>
      <c r="H636" s="40"/>
      <c r="I636" s="41"/>
      <c r="J636" s="41">
        <f t="shared" si="2"/>
        <v>6145.6247999999996</v>
      </c>
      <c r="K636" s="42" t="s">
        <v>5796</v>
      </c>
      <c r="L636" s="39">
        <v>561</v>
      </c>
    </row>
    <row r="637" spans="1:12" ht="11.25" customHeight="1">
      <c r="A637" s="39">
        <v>658</v>
      </c>
      <c r="B637" s="40" t="s">
        <v>11497</v>
      </c>
      <c r="C637" s="40" t="s">
        <v>11498</v>
      </c>
      <c r="D637" s="40" t="s">
        <v>1928</v>
      </c>
      <c r="E637" s="41">
        <v>4374.88</v>
      </c>
      <c r="F637" s="40" t="s">
        <v>1928</v>
      </c>
      <c r="G637" s="41">
        <v>4375.7163</v>
      </c>
      <c r="H637" s="40"/>
      <c r="I637" s="41"/>
      <c r="J637" s="41">
        <f t="shared" si="2"/>
        <v>4375.2981500000005</v>
      </c>
      <c r="K637" s="42" t="s">
        <v>5796</v>
      </c>
      <c r="L637" s="39">
        <v>658</v>
      </c>
    </row>
    <row r="638" spans="1:12" ht="11.25" customHeight="1">
      <c r="A638" s="39">
        <v>889</v>
      </c>
      <c r="B638" s="40" t="s">
        <v>11499</v>
      </c>
      <c r="C638" s="40" t="s">
        <v>11500</v>
      </c>
      <c r="D638" s="40" t="s">
        <v>2578</v>
      </c>
      <c r="E638" s="41">
        <v>2205.39</v>
      </c>
      <c r="F638" s="40" t="s">
        <v>2578</v>
      </c>
      <c r="G638" s="41">
        <v>2204.6251999999999</v>
      </c>
      <c r="H638" s="40"/>
      <c r="I638" s="41"/>
      <c r="J638" s="41">
        <f t="shared" si="2"/>
        <v>2205.0075999999999</v>
      </c>
      <c r="K638" s="42" t="s">
        <v>5796</v>
      </c>
      <c r="L638" s="39">
        <v>889</v>
      </c>
    </row>
    <row r="639" spans="1:12" ht="11.25" customHeight="1">
      <c r="A639" s="39">
        <v>1052</v>
      </c>
      <c r="B639" s="40" t="s">
        <v>11501</v>
      </c>
      <c r="C639" s="40" t="s">
        <v>11502</v>
      </c>
      <c r="D639" s="40" t="s">
        <v>3001</v>
      </c>
      <c r="E639" s="41">
        <v>1483.83</v>
      </c>
      <c r="F639" s="40" t="s">
        <v>3001</v>
      </c>
      <c r="G639" s="41">
        <v>1482.3989999999999</v>
      </c>
      <c r="H639" s="40"/>
      <c r="I639" s="41"/>
      <c r="J639" s="41">
        <f t="shared" si="2"/>
        <v>1483.1144999999999</v>
      </c>
      <c r="K639" s="42" t="s">
        <v>5796</v>
      </c>
      <c r="L639" s="39">
        <v>1052</v>
      </c>
    </row>
    <row r="640" spans="1:12" ht="11.25" customHeight="1">
      <c r="A640" s="43">
        <v>234</v>
      </c>
      <c r="B640" s="44" t="s">
        <v>11503</v>
      </c>
      <c r="C640" s="44" t="s">
        <v>11504</v>
      </c>
      <c r="D640" s="44" t="s">
        <v>713</v>
      </c>
      <c r="E640" s="45">
        <v>24019.23</v>
      </c>
      <c r="F640" s="44" t="s">
        <v>713</v>
      </c>
      <c r="G640" s="45">
        <v>24023.597000000002</v>
      </c>
      <c r="H640" s="44"/>
      <c r="I640" s="45"/>
      <c r="J640" s="45">
        <f t="shared" si="2"/>
        <v>24021.413500000002</v>
      </c>
      <c r="K640" s="46" t="s">
        <v>5800</v>
      </c>
      <c r="L640" s="43">
        <v>234</v>
      </c>
    </row>
    <row r="641" spans="1:12" ht="11.25" customHeight="1">
      <c r="A641" s="39">
        <v>368</v>
      </c>
      <c r="B641" s="40" t="s">
        <v>11505</v>
      </c>
      <c r="C641" s="40" t="s">
        <v>11506</v>
      </c>
      <c r="D641" s="40" t="s">
        <v>1112</v>
      </c>
      <c r="E641" s="41">
        <v>11772.81</v>
      </c>
      <c r="F641" s="40" t="s">
        <v>1112</v>
      </c>
      <c r="G641" s="41">
        <v>11773.220300000001</v>
      </c>
      <c r="H641" s="40"/>
      <c r="I641" s="41"/>
      <c r="J641" s="41">
        <f t="shared" si="2"/>
        <v>11773.015149999999</v>
      </c>
      <c r="K641" s="42" t="s">
        <v>5796</v>
      </c>
      <c r="L641" s="39">
        <v>368</v>
      </c>
    </row>
    <row r="642" spans="1:12" ht="11.25" customHeight="1">
      <c r="A642" s="39">
        <v>1161</v>
      </c>
      <c r="B642" s="40" t="s">
        <v>11507</v>
      </c>
      <c r="C642" s="40" t="s">
        <v>11508</v>
      </c>
      <c r="D642" s="40" t="s">
        <v>3256</v>
      </c>
      <c r="E642" s="41">
        <v>1136.6300000000001</v>
      </c>
      <c r="F642" s="40" t="s">
        <v>3256</v>
      </c>
      <c r="G642" s="41">
        <v>1136.8621000000001</v>
      </c>
      <c r="H642" s="40"/>
      <c r="I642" s="41"/>
      <c r="J642" s="41">
        <f t="shared" si="2"/>
        <v>1136.7460500000002</v>
      </c>
      <c r="K642" s="42" t="s">
        <v>5796</v>
      </c>
      <c r="L642" s="39">
        <v>1161</v>
      </c>
    </row>
    <row r="643" spans="1:12" ht="11.25" customHeight="1">
      <c r="A643" s="39">
        <v>2356</v>
      </c>
      <c r="B643" s="40" t="s">
        <v>11509</v>
      </c>
      <c r="C643" s="40" t="s">
        <v>11510</v>
      </c>
      <c r="D643" s="40"/>
      <c r="E643" s="41"/>
      <c r="F643" s="40" t="s">
        <v>5179</v>
      </c>
      <c r="G643" s="41">
        <v>103.47450000000001</v>
      </c>
      <c r="H643" s="40"/>
      <c r="I643" s="41"/>
      <c r="J643" s="41">
        <f t="shared" si="2"/>
        <v>103.47450000000001</v>
      </c>
      <c r="K643" s="42" t="s">
        <v>5796</v>
      </c>
      <c r="L643" s="39">
        <v>2356</v>
      </c>
    </row>
    <row r="644" spans="1:12" ht="11.25" customHeight="1">
      <c r="A644" s="39">
        <v>1480</v>
      </c>
      <c r="B644" s="40" t="s">
        <v>11511</v>
      </c>
      <c r="C644" s="40" t="s">
        <v>11512</v>
      </c>
      <c r="D644" s="40" t="s">
        <v>3919</v>
      </c>
      <c r="E644" s="41">
        <v>531.98</v>
      </c>
      <c r="F644" s="40" t="s">
        <v>3919</v>
      </c>
      <c r="G644" s="41">
        <v>535.84690000000001</v>
      </c>
      <c r="H644" s="40"/>
      <c r="I644" s="41"/>
      <c r="J644" s="41">
        <f t="shared" si="2"/>
        <v>533.91345000000001</v>
      </c>
      <c r="K644" s="42" t="s">
        <v>5796</v>
      </c>
      <c r="L644" s="39">
        <v>1480</v>
      </c>
    </row>
    <row r="645" spans="1:12" ht="11.25" customHeight="1">
      <c r="A645" s="39">
        <v>452</v>
      </c>
      <c r="B645" s="40" t="s">
        <v>11513</v>
      </c>
      <c r="C645" s="40" t="s">
        <v>11514</v>
      </c>
      <c r="D645" s="40" t="s">
        <v>1349</v>
      </c>
      <c r="E645" s="41">
        <v>8649.91</v>
      </c>
      <c r="F645" s="40" t="s">
        <v>1349</v>
      </c>
      <c r="G645" s="41">
        <v>8651.8261999999995</v>
      </c>
      <c r="H645" s="40"/>
      <c r="I645" s="41"/>
      <c r="J645" s="41">
        <f t="shared" si="2"/>
        <v>8650.8680999999997</v>
      </c>
      <c r="K645" s="42" t="s">
        <v>5796</v>
      </c>
      <c r="L645" s="39">
        <v>452</v>
      </c>
    </row>
    <row r="646" spans="1:12" ht="11.25" customHeight="1">
      <c r="A646" s="39">
        <v>796</v>
      </c>
      <c r="B646" s="40" t="s">
        <v>6215</v>
      </c>
      <c r="C646" s="40" t="s">
        <v>11515</v>
      </c>
      <c r="D646" s="40" t="s">
        <v>2317</v>
      </c>
      <c r="E646" s="41">
        <v>2900.56</v>
      </c>
      <c r="F646" s="40" t="s">
        <v>2317</v>
      </c>
      <c r="G646" s="41">
        <v>2900.8350999999998</v>
      </c>
      <c r="H646" s="40"/>
      <c r="I646" s="41"/>
      <c r="J646" s="41">
        <f t="shared" si="2"/>
        <v>2900.6975499999999</v>
      </c>
      <c r="K646" s="42" t="s">
        <v>5796</v>
      </c>
      <c r="L646" s="39">
        <v>796</v>
      </c>
    </row>
    <row r="647" spans="1:12" ht="11.25" customHeight="1">
      <c r="A647" s="39">
        <v>501</v>
      </c>
      <c r="B647" s="40" t="s">
        <v>11516</v>
      </c>
      <c r="C647" s="40" t="s">
        <v>11517</v>
      </c>
      <c r="D647" s="40" t="s">
        <v>1490</v>
      </c>
      <c r="E647" s="41">
        <v>7304.94</v>
      </c>
      <c r="F647" s="40" t="s">
        <v>1490</v>
      </c>
      <c r="G647" s="41">
        <v>7305.6196</v>
      </c>
      <c r="H647" s="40"/>
      <c r="I647" s="41"/>
      <c r="J647" s="41">
        <f t="shared" si="2"/>
        <v>7305.2798000000003</v>
      </c>
      <c r="K647" s="42" t="s">
        <v>5796</v>
      </c>
      <c r="L647" s="39">
        <v>501</v>
      </c>
    </row>
    <row r="648" spans="1:12" ht="11.25" customHeight="1">
      <c r="A648" s="39">
        <v>1291</v>
      </c>
      <c r="B648" s="40" t="s">
        <v>11518</v>
      </c>
      <c r="C648" s="40" t="s">
        <v>11519</v>
      </c>
      <c r="D648" s="40" t="s">
        <v>3550</v>
      </c>
      <c r="E648" s="41">
        <v>822.21</v>
      </c>
      <c r="F648" s="40" t="s">
        <v>3550</v>
      </c>
      <c r="G648" s="41">
        <v>822.25170000000003</v>
      </c>
      <c r="H648" s="40"/>
      <c r="I648" s="41"/>
      <c r="J648" s="41">
        <f t="shared" si="2"/>
        <v>822.23085000000003</v>
      </c>
      <c r="K648" s="42" t="s">
        <v>5796</v>
      </c>
      <c r="L648" s="39">
        <v>1291</v>
      </c>
    </row>
    <row r="649" spans="1:12" ht="11.25" customHeight="1">
      <c r="A649" s="39">
        <v>304</v>
      </c>
      <c r="B649" s="40" t="s">
        <v>11520</v>
      </c>
      <c r="C649" s="40" t="s">
        <v>11521</v>
      </c>
      <c r="D649" s="40" t="s">
        <v>923</v>
      </c>
      <c r="E649" s="41">
        <v>15995.3</v>
      </c>
      <c r="F649" s="40" t="s">
        <v>923</v>
      </c>
      <c r="G649" s="41">
        <v>15998.3956</v>
      </c>
      <c r="H649" s="40"/>
      <c r="I649" s="41"/>
      <c r="J649" s="41">
        <f t="shared" si="2"/>
        <v>15996.8478</v>
      </c>
      <c r="K649" s="42" t="s">
        <v>5796</v>
      </c>
      <c r="L649" s="39">
        <v>304</v>
      </c>
    </row>
    <row r="650" spans="1:12" ht="11.25" customHeight="1">
      <c r="A650" s="39">
        <v>1705</v>
      </c>
      <c r="B650" s="40" t="s">
        <v>11522</v>
      </c>
      <c r="C650" s="40" t="s">
        <v>11523</v>
      </c>
      <c r="D650" s="40" t="s">
        <v>4345</v>
      </c>
      <c r="E650" s="41">
        <v>328.6</v>
      </c>
      <c r="F650" s="40" t="s">
        <v>4345</v>
      </c>
      <c r="G650" s="41">
        <v>328.38220000000001</v>
      </c>
      <c r="H650" s="40"/>
      <c r="I650" s="41"/>
      <c r="J650" s="41">
        <f t="shared" si="2"/>
        <v>328.49110000000002</v>
      </c>
      <c r="K650" s="42" t="s">
        <v>5796</v>
      </c>
      <c r="L650" s="39">
        <v>1705</v>
      </c>
    </row>
    <row r="651" spans="1:12" ht="11.25" customHeight="1">
      <c r="A651" s="39">
        <v>2471</v>
      </c>
      <c r="B651" s="40" t="s">
        <v>11524</v>
      </c>
      <c r="C651" s="40" t="s">
        <v>11525</v>
      </c>
      <c r="D651" s="40"/>
      <c r="E651" s="41"/>
      <c r="F651" s="40" t="s">
        <v>5274</v>
      </c>
      <c r="G651" s="41">
        <v>86.814800000000005</v>
      </c>
      <c r="H651" s="40"/>
      <c r="I651" s="41"/>
      <c r="J651" s="41">
        <f t="shared" si="2"/>
        <v>86.814800000000005</v>
      </c>
      <c r="K651" s="42" t="s">
        <v>5796</v>
      </c>
      <c r="L651" s="39">
        <v>2471</v>
      </c>
    </row>
    <row r="652" spans="1:12" ht="11.25" customHeight="1">
      <c r="A652" s="39">
        <v>2239</v>
      </c>
      <c r="B652" s="40" t="s">
        <v>11526</v>
      </c>
      <c r="C652" s="40" t="s">
        <v>11527</v>
      </c>
      <c r="D652" s="40" t="s">
        <v>5059</v>
      </c>
      <c r="E652" s="41">
        <v>123.49</v>
      </c>
      <c r="F652" s="40" t="s">
        <v>5059</v>
      </c>
      <c r="G652" s="41">
        <v>123.3575</v>
      </c>
      <c r="H652" s="40"/>
      <c r="I652" s="41"/>
      <c r="J652" s="41">
        <f t="shared" si="2"/>
        <v>123.42375</v>
      </c>
      <c r="K652" s="42" t="s">
        <v>5796</v>
      </c>
      <c r="L652" s="39">
        <v>2239</v>
      </c>
    </row>
    <row r="653" spans="1:12" ht="11.25" customHeight="1">
      <c r="A653" s="39">
        <v>1126</v>
      </c>
      <c r="B653" s="40" t="s">
        <v>11528</v>
      </c>
      <c r="C653" s="40" t="s">
        <v>11529</v>
      </c>
      <c r="D653" s="40" t="s">
        <v>3175</v>
      </c>
      <c r="E653" s="41">
        <v>1256.07</v>
      </c>
      <c r="F653" s="40" t="s">
        <v>3175</v>
      </c>
      <c r="G653" s="41">
        <v>1254.2526</v>
      </c>
      <c r="H653" s="40"/>
      <c r="I653" s="41"/>
      <c r="J653" s="41">
        <f t="shared" si="2"/>
        <v>1255.1613</v>
      </c>
      <c r="K653" s="42" t="s">
        <v>5796</v>
      </c>
      <c r="L653" s="39">
        <v>1126</v>
      </c>
    </row>
    <row r="654" spans="1:12" ht="11.25" customHeight="1">
      <c r="A654" s="39">
        <v>977</v>
      </c>
      <c r="B654" s="40" t="s">
        <v>11530</v>
      </c>
      <c r="C654" s="40" t="s">
        <v>11531</v>
      </c>
      <c r="D654" s="40" t="s">
        <v>2803</v>
      </c>
      <c r="E654" s="41">
        <v>1811.08</v>
      </c>
      <c r="F654" s="40" t="s">
        <v>2803</v>
      </c>
      <c r="G654" s="41">
        <v>1811.2218</v>
      </c>
      <c r="H654" s="40"/>
      <c r="I654" s="41"/>
      <c r="J654" s="41">
        <f t="shared" si="2"/>
        <v>1811.1509000000001</v>
      </c>
      <c r="K654" s="42" t="s">
        <v>5796</v>
      </c>
      <c r="L654" s="39">
        <v>977</v>
      </c>
    </row>
    <row r="655" spans="1:12" ht="11.25" customHeight="1">
      <c r="A655" s="39">
        <v>819</v>
      </c>
      <c r="B655" s="40" t="s">
        <v>11532</v>
      </c>
      <c r="C655" s="40" t="s">
        <v>11533</v>
      </c>
      <c r="D655" s="40" t="s">
        <v>2380</v>
      </c>
      <c r="E655" s="41">
        <v>2754.01</v>
      </c>
      <c r="F655" s="40" t="s">
        <v>2380</v>
      </c>
      <c r="G655" s="41">
        <v>2725.4328999999998</v>
      </c>
      <c r="H655" s="40"/>
      <c r="I655" s="41"/>
      <c r="J655" s="41">
        <f t="shared" si="2"/>
        <v>2739.72145</v>
      </c>
      <c r="K655" s="42" t="s">
        <v>5796</v>
      </c>
      <c r="L655" s="39">
        <v>819</v>
      </c>
    </row>
    <row r="656" spans="1:12" ht="11.25" customHeight="1">
      <c r="A656" s="39">
        <v>609</v>
      </c>
      <c r="B656" s="40" t="s">
        <v>11534</v>
      </c>
      <c r="C656" s="40" t="s">
        <v>11535</v>
      </c>
      <c r="D656" s="40" t="s">
        <v>1799</v>
      </c>
      <c r="E656" s="41">
        <v>5209.09</v>
      </c>
      <c r="F656" s="40" t="s">
        <v>1799</v>
      </c>
      <c r="G656" s="41">
        <v>5211.0140000000001</v>
      </c>
      <c r="H656" s="40"/>
      <c r="I656" s="41"/>
      <c r="J656" s="41">
        <f t="shared" si="2"/>
        <v>5210.0519999999997</v>
      </c>
      <c r="K656" s="42" t="s">
        <v>5796</v>
      </c>
      <c r="L656" s="39">
        <v>609</v>
      </c>
    </row>
    <row r="657" spans="1:12" ht="11.25" customHeight="1">
      <c r="A657" s="39">
        <v>1816</v>
      </c>
      <c r="B657" s="40" t="s">
        <v>11536</v>
      </c>
      <c r="C657" s="40" t="s">
        <v>11537</v>
      </c>
      <c r="D657" s="40" t="s">
        <v>4492</v>
      </c>
      <c r="E657" s="41">
        <v>264.36</v>
      </c>
      <c r="F657" s="40" t="s">
        <v>4492</v>
      </c>
      <c r="G657" s="41">
        <v>263.73570000000001</v>
      </c>
      <c r="H657" s="40"/>
      <c r="I657" s="41"/>
      <c r="J657" s="41">
        <f t="shared" si="2"/>
        <v>264.04785000000004</v>
      </c>
      <c r="K657" s="42" t="s">
        <v>5796</v>
      </c>
      <c r="L657" s="39">
        <v>1816</v>
      </c>
    </row>
    <row r="658" spans="1:12" ht="11.25" customHeight="1">
      <c r="A658" s="43">
        <v>203</v>
      </c>
      <c r="B658" s="44" t="s">
        <v>11538</v>
      </c>
      <c r="C658" s="44" t="s">
        <v>11539</v>
      </c>
      <c r="D658" s="44" t="s">
        <v>11540</v>
      </c>
      <c r="E658" s="45">
        <v>30544.65</v>
      </c>
      <c r="F658" s="44" t="s">
        <v>620</v>
      </c>
      <c r="G658" s="45">
        <v>30547.977999999999</v>
      </c>
      <c r="H658" s="44"/>
      <c r="I658" s="45"/>
      <c r="J658" s="45">
        <f t="shared" si="2"/>
        <v>30546.313999999998</v>
      </c>
      <c r="K658" s="46" t="s">
        <v>5800</v>
      </c>
      <c r="L658" s="43">
        <v>203</v>
      </c>
    </row>
    <row r="659" spans="1:12" ht="11.25" customHeight="1">
      <c r="A659" s="39">
        <v>3469</v>
      </c>
      <c r="B659" s="40" t="s">
        <v>11541</v>
      </c>
      <c r="C659" s="40" t="s">
        <v>11542</v>
      </c>
      <c r="D659" s="40" t="s">
        <v>11543</v>
      </c>
      <c r="E659" s="41">
        <v>18.850000000000001</v>
      </c>
      <c r="F659" s="40" t="s">
        <v>5691</v>
      </c>
      <c r="G659" s="41">
        <v>18.855799999999999</v>
      </c>
      <c r="H659" s="40"/>
      <c r="I659" s="41"/>
      <c r="J659" s="41">
        <f t="shared" si="2"/>
        <v>18.852899999999998</v>
      </c>
      <c r="K659" s="42" t="s">
        <v>5796</v>
      </c>
      <c r="L659" s="39">
        <v>3469</v>
      </c>
    </row>
    <row r="660" spans="1:12" ht="11.25" customHeight="1">
      <c r="A660" s="39">
        <v>801</v>
      </c>
      <c r="B660" s="40" t="s">
        <v>11544</v>
      </c>
      <c r="C660" s="40" t="s">
        <v>11545</v>
      </c>
      <c r="D660" s="40" t="s">
        <v>2332</v>
      </c>
      <c r="E660" s="41">
        <v>2859.31</v>
      </c>
      <c r="F660" s="40" t="s">
        <v>2332</v>
      </c>
      <c r="G660" s="41">
        <v>2859.4978000000001</v>
      </c>
      <c r="H660" s="40"/>
      <c r="I660" s="41"/>
      <c r="J660" s="41">
        <f t="shared" si="2"/>
        <v>2859.4039000000002</v>
      </c>
      <c r="K660" s="42" t="s">
        <v>5796</v>
      </c>
      <c r="L660" s="39">
        <v>801</v>
      </c>
    </row>
    <row r="661" spans="1:12" ht="11.25" customHeight="1">
      <c r="A661" s="39">
        <v>1851</v>
      </c>
      <c r="B661" s="40" t="s">
        <v>11546</v>
      </c>
      <c r="C661" s="40" t="s">
        <v>11547</v>
      </c>
      <c r="D661" s="40" t="s">
        <v>4537</v>
      </c>
      <c r="E661" s="41">
        <v>249.2</v>
      </c>
      <c r="F661" s="40" t="s">
        <v>4537</v>
      </c>
      <c r="G661" s="41">
        <v>249.24780000000001</v>
      </c>
      <c r="H661" s="40"/>
      <c r="I661" s="41"/>
      <c r="J661" s="41">
        <f t="shared" si="2"/>
        <v>249.22390000000001</v>
      </c>
      <c r="K661" s="42" t="s">
        <v>5796</v>
      </c>
      <c r="L661" s="39">
        <v>1851</v>
      </c>
    </row>
    <row r="662" spans="1:12" ht="11.25" customHeight="1">
      <c r="A662" s="39">
        <v>1091</v>
      </c>
      <c r="B662" s="40" t="s">
        <v>11548</v>
      </c>
      <c r="C662" s="40" t="s">
        <v>11549</v>
      </c>
      <c r="D662" s="40" t="s">
        <v>3094</v>
      </c>
      <c r="E662" s="41">
        <v>1356.66</v>
      </c>
      <c r="F662" s="40" t="s">
        <v>3094</v>
      </c>
      <c r="G662" s="41">
        <v>1356.2333000000001</v>
      </c>
      <c r="H662" s="40"/>
      <c r="I662" s="41"/>
      <c r="J662" s="41">
        <f t="shared" si="2"/>
        <v>1356.4466500000001</v>
      </c>
      <c r="K662" s="42" t="s">
        <v>5796</v>
      </c>
      <c r="L662" s="39">
        <v>1091</v>
      </c>
    </row>
    <row r="663" spans="1:12" ht="11.25" customHeight="1">
      <c r="A663" s="39">
        <v>1159</v>
      </c>
      <c r="B663" s="40" t="s">
        <v>11550</v>
      </c>
      <c r="C663" s="40" t="s">
        <v>11551</v>
      </c>
      <c r="D663" s="40" t="s">
        <v>3250</v>
      </c>
      <c r="E663" s="41">
        <v>1159.6400000000001</v>
      </c>
      <c r="F663" s="40" t="s">
        <v>3250</v>
      </c>
      <c r="G663" s="41">
        <v>1143.0995</v>
      </c>
      <c r="H663" s="40"/>
      <c r="I663" s="41"/>
      <c r="J663" s="41">
        <f t="shared" si="2"/>
        <v>1151.3697500000001</v>
      </c>
      <c r="K663" s="42" t="s">
        <v>5796</v>
      </c>
      <c r="L663" s="39">
        <v>1159</v>
      </c>
    </row>
    <row r="664" spans="1:12" ht="11.25" customHeight="1">
      <c r="A664" s="39">
        <v>1902</v>
      </c>
      <c r="B664" s="40" t="s">
        <v>11552</v>
      </c>
      <c r="C664" s="40" t="s">
        <v>11553</v>
      </c>
      <c r="D664" s="40"/>
      <c r="E664" s="41"/>
      <c r="F664" s="40" t="s">
        <v>4615</v>
      </c>
      <c r="G664" s="41">
        <v>219.9288</v>
      </c>
      <c r="H664" s="40"/>
      <c r="I664" s="41"/>
      <c r="J664" s="41">
        <f t="shared" si="2"/>
        <v>219.9288</v>
      </c>
      <c r="K664" s="42" t="s">
        <v>5796</v>
      </c>
      <c r="L664" s="39">
        <v>1902</v>
      </c>
    </row>
    <row r="665" spans="1:12" ht="11.25" customHeight="1">
      <c r="A665" s="47">
        <v>40</v>
      </c>
      <c r="B665" s="48" t="s">
        <v>11554</v>
      </c>
      <c r="C665" s="48" t="s">
        <v>11555</v>
      </c>
      <c r="D665" s="48" t="s">
        <v>131</v>
      </c>
      <c r="E665" s="49">
        <v>139514.53</v>
      </c>
      <c r="F665" s="48" t="s">
        <v>131</v>
      </c>
      <c r="G665" s="49">
        <v>139522.80679999999</v>
      </c>
      <c r="H665" s="48"/>
      <c r="I665" s="49"/>
      <c r="J665" s="49">
        <f t="shared" si="2"/>
        <v>139518.6684</v>
      </c>
      <c r="K665" s="50" t="s">
        <v>5815</v>
      </c>
      <c r="L665" s="47">
        <v>40</v>
      </c>
    </row>
    <row r="666" spans="1:12" ht="11.25" customHeight="1">
      <c r="A666" s="39">
        <v>337</v>
      </c>
      <c r="B666" s="40" t="s">
        <v>11556</v>
      </c>
      <c r="C666" s="40" t="s">
        <v>11557</v>
      </c>
      <c r="D666" s="40" t="s">
        <v>1022</v>
      </c>
      <c r="E666" s="41">
        <v>13541.72</v>
      </c>
      <c r="F666" s="40" t="s">
        <v>1022</v>
      </c>
      <c r="G666" s="41">
        <v>13339.812900000001</v>
      </c>
      <c r="H666" s="40"/>
      <c r="I666" s="41"/>
      <c r="J666" s="41">
        <f t="shared" si="2"/>
        <v>13440.766449999999</v>
      </c>
      <c r="K666" s="42" t="s">
        <v>5796</v>
      </c>
      <c r="L666" s="39">
        <v>337</v>
      </c>
    </row>
    <row r="667" spans="1:12" ht="11.25" customHeight="1">
      <c r="A667" s="39">
        <v>422</v>
      </c>
      <c r="B667" s="40" t="s">
        <v>11558</v>
      </c>
      <c r="C667" s="40" t="s">
        <v>11559</v>
      </c>
      <c r="D667" s="40" t="s">
        <v>11560</v>
      </c>
      <c r="E667" s="41">
        <v>9665.42</v>
      </c>
      <c r="F667" s="40" t="s">
        <v>11560</v>
      </c>
      <c r="G667" s="41">
        <v>9669.0321000000004</v>
      </c>
      <c r="H667" s="40"/>
      <c r="I667" s="41"/>
      <c r="J667" s="41">
        <f t="shared" si="2"/>
        <v>9667.2260500000011</v>
      </c>
      <c r="K667" s="42" t="s">
        <v>5796</v>
      </c>
      <c r="L667" s="39">
        <v>422</v>
      </c>
    </row>
    <row r="668" spans="1:12" ht="11.25" customHeight="1">
      <c r="A668" s="39">
        <v>1078</v>
      </c>
      <c r="B668" s="40" t="s">
        <v>6226</v>
      </c>
      <c r="C668" s="40" t="s">
        <v>11561</v>
      </c>
      <c r="D668" s="40" t="s">
        <v>3061</v>
      </c>
      <c r="E668" s="41">
        <v>1388.75</v>
      </c>
      <c r="F668" s="40" t="s">
        <v>3061</v>
      </c>
      <c r="G668" s="41">
        <v>1387.4013</v>
      </c>
      <c r="H668" s="40"/>
      <c r="I668" s="41"/>
      <c r="J668" s="41">
        <f t="shared" si="2"/>
        <v>1388.07565</v>
      </c>
      <c r="K668" s="42" t="s">
        <v>5796</v>
      </c>
      <c r="L668" s="39">
        <v>1078</v>
      </c>
    </row>
    <row r="669" spans="1:12" ht="11.25" customHeight="1">
      <c r="A669" s="39">
        <v>1000</v>
      </c>
      <c r="B669" s="40" t="s">
        <v>11562</v>
      </c>
      <c r="C669" s="40" t="s">
        <v>11563</v>
      </c>
      <c r="D669" s="40" t="s">
        <v>2863</v>
      </c>
      <c r="E669" s="41">
        <v>1717.11</v>
      </c>
      <c r="F669" s="40" t="s">
        <v>2863</v>
      </c>
      <c r="G669" s="41">
        <v>1717.5224000000001</v>
      </c>
      <c r="H669" s="40"/>
      <c r="I669" s="41"/>
      <c r="J669" s="41">
        <f t="shared" si="2"/>
        <v>1717.3162</v>
      </c>
      <c r="K669" s="42" t="s">
        <v>5796</v>
      </c>
      <c r="L669" s="39">
        <v>1000</v>
      </c>
    </row>
    <row r="670" spans="1:12" ht="11.25" customHeight="1">
      <c r="A670" s="39">
        <v>1794</v>
      </c>
      <c r="B670" s="40" t="s">
        <v>11564</v>
      </c>
      <c r="C670" s="40" t="s">
        <v>11565</v>
      </c>
      <c r="D670" s="40" t="s">
        <v>4468</v>
      </c>
      <c r="E670" s="41">
        <v>272.68</v>
      </c>
      <c r="F670" s="40" t="s">
        <v>4468</v>
      </c>
      <c r="G670" s="41">
        <v>272.72179999999997</v>
      </c>
      <c r="H670" s="40"/>
      <c r="I670" s="41"/>
      <c r="J670" s="41">
        <f t="shared" si="2"/>
        <v>272.70089999999999</v>
      </c>
      <c r="K670" s="42" t="s">
        <v>5796</v>
      </c>
      <c r="L670" s="39">
        <v>1794</v>
      </c>
    </row>
    <row r="671" spans="1:12" ht="11.25" customHeight="1">
      <c r="A671" s="39">
        <v>706</v>
      </c>
      <c r="B671" s="40" t="s">
        <v>11566</v>
      </c>
      <c r="C671" s="40" t="s">
        <v>11567</v>
      </c>
      <c r="D671" s="40" t="s">
        <v>2072</v>
      </c>
      <c r="E671" s="41">
        <v>3807.95</v>
      </c>
      <c r="F671" s="40" t="s">
        <v>2072</v>
      </c>
      <c r="G671" s="41">
        <v>3808.4886999999999</v>
      </c>
      <c r="H671" s="40"/>
      <c r="I671" s="41"/>
      <c r="J671" s="41">
        <f t="shared" si="2"/>
        <v>3808.2193499999998</v>
      </c>
      <c r="K671" s="42" t="s">
        <v>5796</v>
      </c>
      <c r="L671" s="39">
        <v>706</v>
      </c>
    </row>
    <row r="672" spans="1:12" ht="11.25" customHeight="1">
      <c r="A672" s="39">
        <v>759</v>
      </c>
      <c r="B672" s="40" t="s">
        <v>11568</v>
      </c>
      <c r="C672" s="40" t="s">
        <v>11569</v>
      </c>
      <c r="D672" s="40" t="s">
        <v>2224</v>
      </c>
      <c r="E672" s="41">
        <v>3247.36</v>
      </c>
      <c r="F672" s="40" t="s">
        <v>2224</v>
      </c>
      <c r="G672" s="41">
        <v>3247.9276</v>
      </c>
      <c r="H672" s="40"/>
      <c r="I672" s="41"/>
      <c r="J672" s="41">
        <f t="shared" si="2"/>
        <v>3247.6437999999998</v>
      </c>
      <c r="K672" s="42" t="s">
        <v>5796</v>
      </c>
      <c r="L672" s="39">
        <v>759</v>
      </c>
    </row>
    <row r="673" spans="1:12" ht="11.25" customHeight="1">
      <c r="A673" s="43">
        <v>230</v>
      </c>
      <c r="B673" s="44" t="s">
        <v>11570</v>
      </c>
      <c r="C673" s="44" t="s">
        <v>11571</v>
      </c>
      <c r="D673" s="44" t="s">
        <v>701</v>
      </c>
      <c r="E673" s="45">
        <v>24566.94</v>
      </c>
      <c r="F673" s="44" t="s">
        <v>701</v>
      </c>
      <c r="G673" s="45">
        <v>24576.067899999998</v>
      </c>
      <c r="H673" s="44"/>
      <c r="I673" s="45"/>
      <c r="J673" s="45">
        <f t="shared" si="2"/>
        <v>24571.503949999998</v>
      </c>
      <c r="K673" s="46" t="s">
        <v>5800</v>
      </c>
      <c r="L673" s="43">
        <v>230</v>
      </c>
    </row>
    <row r="674" spans="1:12" ht="11.25" customHeight="1">
      <c r="A674" s="47">
        <v>72</v>
      </c>
      <c r="B674" s="48" t="s">
        <v>11572</v>
      </c>
      <c r="C674" s="48" t="s">
        <v>11573</v>
      </c>
      <c r="D674" s="48" t="s">
        <v>230</v>
      </c>
      <c r="E674" s="49">
        <v>83275.509999999995</v>
      </c>
      <c r="F674" s="48" t="s">
        <v>230</v>
      </c>
      <c r="G674" s="49">
        <v>83281.429199999999</v>
      </c>
      <c r="H674" s="48"/>
      <c r="I674" s="49"/>
      <c r="J674" s="49">
        <f t="shared" si="2"/>
        <v>83278.469599999997</v>
      </c>
      <c r="K674" s="50" t="s">
        <v>5815</v>
      </c>
      <c r="L674" s="47">
        <v>72</v>
      </c>
    </row>
    <row r="675" spans="1:12" ht="11.25" customHeight="1">
      <c r="A675" s="39">
        <v>3180</v>
      </c>
      <c r="B675" s="40" t="s">
        <v>6229</v>
      </c>
      <c r="C675" s="40" t="s">
        <v>11574</v>
      </c>
      <c r="D675" s="40" t="s">
        <v>5607</v>
      </c>
      <c r="E675" s="41">
        <v>29.27</v>
      </c>
      <c r="F675" s="40" t="s">
        <v>5607</v>
      </c>
      <c r="G675" s="41">
        <v>28.9923</v>
      </c>
      <c r="H675" s="40"/>
      <c r="I675" s="41"/>
      <c r="J675" s="41">
        <f t="shared" si="2"/>
        <v>29.131149999999998</v>
      </c>
      <c r="K675" s="42" t="s">
        <v>5796</v>
      </c>
      <c r="L675" s="39">
        <v>3180</v>
      </c>
    </row>
    <row r="676" spans="1:12" ht="11.25" customHeight="1">
      <c r="A676" s="39">
        <v>477</v>
      </c>
      <c r="B676" s="40" t="s">
        <v>11575</v>
      </c>
      <c r="C676" s="40" t="s">
        <v>11576</v>
      </c>
      <c r="D676" s="40" t="s">
        <v>1421</v>
      </c>
      <c r="E676" s="41">
        <v>7871.49</v>
      </c>
      <c r="F676" s="40" t="s">
        <v>1421</v>
      </c>
      <c r="G676" s="41">
        <v>7872.6046999999999</v>
      </c>
      <c r="H676" s="40"/>
      <c r="I676" s="41"/>
      <c r="J676" s="41">
        <f t="shared" si="2"/>
        <v>7872.0473499999998</v>
      </c>
      <c r="K676" s="42" t="s">
        <v>5796</v>
      </c>
      <c r="L676" s="39">
        <v>477</v>
      </c>
    </row>
    <row r="677" spans="1:12" ht="11.25" customHeight="1">
      <c r="A677" s="39">
        <v>2920</v>
      </c>
      <c r="B677" s="40" t="s">
        <v>11577</v>
      </c>
      <c r="C677" s="40" t="s">
        <v>11578</v>
      </c>
      <c r="D677" s="40" t="s">
        <v>11579</v>
      </c>
      <c r="E677" s="41">
        <v>42.93</v>
      </c>
      <c r="F677" s="40" t="s">
        <v>5517</v>
      </c>
      <c r="G677" s="41">
        <v>42.873199999999997</v>
      </c>
      <c r="H677" s="40"/>
      <c r="I677" s="41"/>
      <c r="J677" s="41">
        <f t="shared" si="2"/>
        <v>42.901600000000002</v>
      </c>
      <c r="K677" s="42" t="s">
        <v>5796</v>
      </c>
      <c r="L677" s="39">
        <v>2920</v>
      </c>
    </row>
    <row r="678" spans="1:12" ht="11.25" customHeight="1">
      <c r="A678" s="39">
        <v>687</v>
      </c>
      <c r="B678" s="40" t="s">
        <v>11580</v>
      </c>
      <c r="C678" s="40" t="s">
        <v>11581</v>
      </c>
      <c r="D678" s="40" t="s">
        <v>2015</v>
      </c>
      <c r="E678" s="41">
        <v>3997.02</v>
      </c>
      <c r="F678" s="40" t="s">
        <v>2015</v>
      </c>
      <c r="G678" s="41">
        <v>3996.2858000000001</v>
      </c>
      <c r="H678" s="40"/>
      <c r="I678" s="41"/>
      <c r="J678" s="41">
        <f t="shared" si="2"/>
        <v>3996.6529</v>
      </c>
      <c r="K678" s="42" t="s">
        <v>5796</v>
      </c>
      <c r="L678" s="39">
        <v>687</v>
      </c>
    </row>
    <row r="679" spans="1:12" ht="11.25" customHeight="1">
      <c r="A679" s="39">
        <v>617</v>
      </c>
      <c r="B679" s="40" t="s">
        <v>11582</v>
      </c>
      <c r="C679" s="40" t="s">
        <v>11583</v>
      </c>
      <c r="D679" s="40" t="s">
        <v>1823</v>
      </c>
      <c r="E679" s="41">
        <v>4906.43</v>
      </c>
      <c r="F679" s="40" t="s">
        <v>1823</v>
      </c>
      <c r="G679" s="41">
        <v>4907.5834999999997</v>
      </c>
      <c r="H679" s="40"/>
      <c r="I679" s="41"/>
      <c r="J679" s="41">
        <f t="shared" si="2"/>
        <v>4907.0067500000005</v>
      </c>
      <c r="K679" s="42" t="s">
        <v>5796</v>
      </c>
      <c r="L679" s="39">
        <v>617</v>
      </c>
    </row>
    <row r="680" spans="1:12" ht="11.25" customHeight="1">
      <c r="A680" s="39">
        <v>1463</v>
      </c>
      <c r="B680" s="40" t="s">
        <v>11584</v>
      </c>
      <c r="C680" s="40" t="s">
        <v>11585</v>
      </c>
      <c r="D680" s="40" t="s">
        <v>3883</v>
      </c>
      <c r="E680" s="41">
        <v>560.61</v>
      </c>
      <c r="F680" s="40" t="s">
        <v>3883</v>
      </c>
      <c r="G680" s="41">
        <v>560.54629999999997</v>
      </c>
      <c r="H680" s="40"/>
      <c r="I680" s="41"/>
      <c r="J680" s="41">
        <f t="shared" si="2"/>
        <v>560.57815000000005</v>
      </c>
      <c r="K680" s="42" t="s">
        <v>5796</v>
      </c>
      <c r="L680" s="39">
        <v>1463</v>
      </c>
    </row>
    <row r="681" spans="1:12" ht="11.25" customHeight="1">
      <c r="A681" s="47">
        <v>14</v>
      </c>
      <c r="B681" s="48" t="s">
        <v>11586</v>
      </c>
      <c r="C681" s="48" t="s">
        <v>11587</v>
      </c>
      <c r="D681" s="48" t="s">
        <v>48</v>
      </c>
      <c r="E681" s="49">
        <v>339419.65</v>
      </c>
      <c r="F681" s="48" t="s">
        <v>48</v>
      </c>
      <c r="G681" s="49">
        <v>339466.70110000001</v>
      </c>
      <c r="H681" s="48"/>
      <c r="I681" s="49"/>
      <c r="J681" s="49">
        <f t="shared" si="2"/>
        <v>339443.17555000004</v>
      </c>
      <c r="K681" s="50" t="s">
        <v>5815</v>
      </c>
      <c r="L681" s="47">
        <v>14</v>
      </c>
    </row>
    <row r="682" spans="1:12" ht="11.25" customHeight="1">
      <c r="A682" s="43">
        <v>112</v>
      </c>
      <c r="B682" s="44" t="s">
        <v>11588</v>
      </c>
      <c r="C682" s="44" t="s">
        <v>11589</v>
      </c>
      <c r="D682" s="44" t="s">
        <v>350</v>
      </c>
      <c r="E682" s="45">
        <v>57381.39</v>
      </c>
      <c r="F682" s="44" t="s">
        <v>350</v>
      </c>
      <c r="G682" s="45">
        <v>57388.094100000002</v>
      </c>
      <c r="H682" s="44"/>
      <c r="I682" s="45"/>
      <c r="J682" s="45">
        <f t="shared" si="2"/>
        <v>57384.742050000001</v>
      </c>
      <c r="K682" s="46" t="s">
        <v>5800</v>
      </c>
      <c r="L682" s="43">
        <v>112</v>
      </c>
    </row>
    <row r="683" spans="1:12" ht="11.25" customHeight="1">
      <c r="A683" s="47">
        <v>3</v>
      </c>
      <c r="B683" s="48" t="s">
        <v>11590</v>
      </c>
      <c r="C683" s="48" t="s">
        <v>11591</v>
      </c>
      <c r="D683" s="48" t="s">
        <v>15</v>
      </c>
      <c r="E683" s="49">
        <v>1177969.8500000001</v>
      </c>
      <c r="F683" s="48" t="s">
        <v>15</v>
      </c>
      <c r="G683" s="49">
        <v>1181073.7604</v>
      </c>
      <c r="H683" s="48"/>
      <c r="I683" s="49"/>
      <c r="J683" s="49">
        <f t="shared" si="2"/>
        <v>1179521.8052000001</v>
      </c>
      <c r="K683" s="50" t="s">
        <v>5815</v>
      </c>
      <c r="L683" s="47">
        <v>3</v>
      </c>
    </row>
    <row r="684" spans="1:12" ht="11.25" customHeight="1">
      <c r="A684" s="47">
        <v>42</v>
      </c>
      <c r="B684" s="48" t="s">
        <v>6239</v>
      </c>
      <c r="C684" s="48" t="s">
        <v>11592</v>
      </c>
      <c r="D684" s="48" t="s">
        <v>137</v>
      </c>
      <c r="E684" s="49">
        <v>138968.71</v>
      </c>
      <c r="F684" s="48" t="s">
        <v>137</v>
      </c>
      <c r="G684" s="49">
        <v>138981.01089999999</v>
      </c>
      <c r="H684" s="48"/>
      <c r="I684" s="49"/>
      <c r="J684" s="49">
        <f t="shared" si="2"/>
        <v>138974.86044999998</v>
      </c>
      <c r="K684" s="50" t="s">
        <v>5815</v>
      </c>
      <c r="L684" s="47">
        <v>42</v>
      </c>
    </row>
    <row r="685" spans="1:12" ht="11.25" customHeight="1">
      <c r="A685" s="39">
        <v>2135</v>
      </c>
      <c r="B685" s="40" t="s">
        <v>11593</v>
      </c>
      <c r="C685" s="40" t="s">
        <v>11594</v>
      </c>
      <c r="D685" s="40" t="s">
        <v>6241</v>
      </c>
      <c r="E685" s="41">
        <v>154.03</v>
      </c>
      <c r="F685" s="40" t="s">
        <v>6241</v>
      </c>
      <c r="G685" s="41">
        <v>145.66069999999999</v>
      </c>
      <c r="H685" s="40"/>
      <c r="I685" s="41"/>
      <c r="J685" s="41">
        <f t="shared" si="2"/>
        <v>149.84535</v>
      </c>
      <c r="K685" s="42" t="s">
        <v>5796</v>
      </c>
      <c r="L685" s="39">
        <v>2135</v>
      </c>
    </row>
    <row r="686" spans="1:12" ht="11.25" customHeight="1">
      <c r="A686" s="39">
        <v>3206</v>
      </c>
      <c r="B686" s="40" t="s">
        <v>11595</v>
      </c>
      <c r="C686" s="40" t="s">
        <v>11596</v>
      </c>
      <c r="D686" s="40" t="s">
        <v>5622</v>
      </c>
      <c r="E686" s="41">
        <v>27.6</v>
      </c>
      <c r="F686" s="40" t="s">
        <v>5622</v>
      </c>
      <c r="G686" s="41">
        <v>27.549800000000001</v>
      </c>
      <c r="H686" s="40"/>
      <c r="I686" s="41"/>
      <c r="J686" s="41">
        <f t="shared" si="2"/>
        <v>27.5749</v>
      </c>
      <c r="K686" s="42" t="s">
        <v>5796</v>
      </c>
      <c r="L686" s="39">
        <v>3206</v>
      </c>
    </row>
    <row r="687" spans="1:12" ht="11.25" customHeight="1">
      <c r="A687" s="39">
        <v>2815</v>
      </c>
      <c r="B687" s="40" t="s">
        <v>11597</v>
      </c>
      <c r="C687" s="40" t="s">
        <v>11598</v>
      </c>
      <c r="D687" s="40"/>
      <c r="E687" s="41"/>
      <c r="F687" s="40" t="s">
        <v>5472</v>
      </c>
      <c r="G687" s="41">
        <v>50.002400000000002</v>
      </c>
      <c r="H687" s="40"/>
      <c r="I687" s="41"/>
      <c r="J687" s="41">
        <f t="shared" si="2"/>
        <v>50.002400000000002</v>
      </c>
      <c r="K687" s="42" t="s">
        <v>5796</v>
      </c>
      <c r="L687" s="39">
        <v>2815</v>
      </c>
    </row>
    <row r="688" spans="1:12" ht="11.25" customHeight="1">
      <c r="A688" s="39">
        <v>542</v>
      </c>
      <c r="B688" s="40" t="s">
        <v>11599</v>
      </c>
      <c r="C688" s="40" t="s">
        <v>11600</v>
      </c>
      <c r="D688" s="40" t="s">
        <v>1607</v>
      </c>
      <c r="E688" s="41">
        <v>6556.35</v>
      </c>
      <c r="F688" s="40" t="s">
        <v>1607</v>
      </c>
      <c r="G688" s="41">
        <v>6558.3912</v>
      </c>
      <c r="H688" s="40"/>
      <c r="I688" s="41"/>
      <c r="J688" s="41">
        <f t="shared" si="2"/>
        <v>6557.3706000000002</v>
      </c>
      <c r="K688" s="42" t="s">
        <v>5796</v>
      </c>
      <c r="L688" s="39">
        <v>542</v>
      </c>
    </row>
    <row r="689" spans="1:12" ht="11.25" customHeight="1">
      <c r="A689" s="39">
        <v>663</v>
      </c>
      <c r="B689" s="40" t="s">
        <v>11601</v>
      </c>
      <c r="C689" s="40" t="s">
        <v>11602</v>
      </c>
      <c r="D689" s="40" t="s">
        <v>1946</v>
      </c>
      <c r="E689" s="41">
        <v>4320.55</v>
      </c>
      <c r="F689" s="40" t="s">
        <v>1946</v>
      </c>
      <c r="G689" s="41">
        <v>4321.0551999999998</v>
      </c>
      <c r="H689" s="40"/>
      <c r="I689" s="41"/>
      <c r="J689" s="41">
        <f t="shared" si="2"/>
        <v>4320.8026</v>
      </c>
      <c r="K689" s="42" t="s">
        <v>5796</v>
      </c>
      <c r="L689" s="39">
        <v>663</v>
      </c>
    </row>
    <row r="690" spans="1:12" ht="11.25" customHeight="1">
      <c r="A690" s="39">
        <v>726</v>
      </c>
      <c r="B690" s="40" t="s">
        <v>11603</v>
      </c>
      <c r="C690" s="40" t="s">
        <v>11604</v>
      </c>
      <c r="D690" s="40" t="s">
        <v>2125</v>
      </c>
      <c r="E690" s="41">
        <v>3546.18</v>
      </c>
      <c r="F690" s="40" t="s">
        <v>2125</v>
      </c>
      <c r="G690" s="41">
        <v>3546.5491999999999</v>
      </c>
      <c r="H690" s="40"/>
      <c r="I690" s="41"/>
      <c r="J690" s="41">
        <f t="shared" si="2"/>
        <v>3546.3645999999999</v>
      </c>
      <c r="K690" s="42" t="s">
        <v>5796</v>
      </c>
      <c r="L690" s="39">
        <v>726</v>
      </c>
    </row>
    <row r="691" spans="1:12" ht="11.25" customHeight="1">
      <c r="A691" s="39">
        <v>1057</v>
      </c>
      <c r="B691" s="40" t="s">
        <v>11605</v>
      </c>
      <c r="C691" s="40" t="s">
        <v>11606</v>
      </c>
      <c r="D691" s="40" t="s">
        <v>3013</v>
      </c>
      <c r="E691" s="41">
        <v>1455.25</v>
      </c>
      <c r="F691" s="40" t="s">
        <v>3013</v>
      </c>
      <c r="G691" s="41">
        <v>1455.5092</v>
      </c>
      <c r="H691" s="40"/>
      <c r="I691" s="41"/>
      <c r="J691" s="41">
        <f t="shared" si="2"/>
        <v>1455.3796</v>
      </c>
      <c r="K691" s="42" t="s">
        <v>5796</v>
      </c>
      <c r="L691" s="39">
        <v>1057</v>
      </c>
    </row>
    <row r="692" spans="1:12" ht="11.25" customHeight="1">
      <c r="A692" s="39">
        <v>1208</v>
      </c>
      <c r="B692" s="40" t="s">
        <v>11607</v>
      </c>
      <c r="C692" s="40" t="s">
        <v>11608</v>
      </c>
      <c r="D692" s="40" t="s">
        <v>3373</v>
      </c>
      <c r="E692" s="41">
        <v>1036.1600000000001</v>
      </c>
      <c r="F692" s="40" t="s">
        <v>3373</v>
      </c>
      <c r="G692" s="41">
        <v>1036.6489999999999</v>
      </c>
      <c r="H692" s="40"/>
      <c r="I692" s="41"/>
      <c r="J692" s="41">
        <f t="shared" si="2"/>
        <v>1036.4045000000001</v>
      </c>
      <c r="K692" s="42" t="s">
        <v>5796</v>
      </c>
      <c r="L692" s="39">
        <v>1208</v>
      </c>
    </row>
    <row r="693" spans="1:12" ht="11.25" customHeight="1">
      <c r="A693" s="39">
        <v>883</v>
      </c>
      <c r="B693" s="40" t="s">
        <v>11609</v>
      </c>
      <c r="C693" s="40" t="s">
        <v>11610</v>
      </c>
      <c r="D693" s="40" t="s">
        <v>2563</v>
      </c>
      <c r="E693" s="41">
        <v>2243.89</v>
      </c>
      <c r="F693" s="40" t="s">
        <v>2563</v>
      </c>
      <c r="G693" s="41">
        <v>2244.2188999999998</v>
      </c>
      <c r="H693" s="40"/>
      <c r="I693" s="41"/>
      <c r="J693" s="41">
        <f t="shared" si="2"/>
        <v>2244.0544499999996</v>
      </c>
      <c r="K693" s="42" t="s">
        <v>5796</v>
      </c>
      <c r="L693" s="39">
        <v>883</v>
      </c>
    </row>
    <row r="694" spans="1:12" ht="11.25" customHeight="1">
      <c r="A694" s="43">
        <v>101</v>
      </c>
      <c r="B694" s="44" t="s">
        <v>11611</v>
      </c>
      <c r="C694" s="44" t="s">
        <v>11612</v>
      </c>
      <c r="D694" s="44" t="s">
        <v>317</v>
      </c>
      <c r="E694" s="45">
        <v>64420.24</v>
      </c>
      <c r="F694" s="44" t="s">
        <v>317</v>
      </c>
      <c r="G694" s="45">
        <v>64430.060899999997</v>
      </c>
      <c r="H694" s="44"/>
      <c r="I694" s="45"/>
      <c r="J694" s="45">
        <f t="shared" si="2"/>
        <v>64425.150450000001</v>
      </c>
      <c r="K694" s="46" t="s">
        <v>5800</v>
      </c>
      <c r="L694" s="43">
        <v>101</v>
      </c>
    </row>
    <row r="695" spans="1:12" ht="11.25" customHeight="1">
      <c r="A695" s="39">
        <v>1074</v>
      </c>
      <c r="B695" s="40" t="s">
        <v>11613</v>
      </c>
      <c r="C695" s="40" t="s">
        <v>11614</v>
      </c>
      <c r="D695" s="40" t="s">
        <v>3052</v>
      </c>
      <c r="E695" s="41">
        <v>1400.42</v>
      </c>
      <c r="F695" s="40" t="s">
        <v>3052</v>
      </c>
      <c r="G695" s="41">
        <v>1400.1665</v>
      </c>
      <c r="H695" s="40"/>
      <c r="I695" s="41"/>
      <c r="J695" s="41">
        <f t="shared" si="2"/>
        <v>1400.2932500000002</v>
      </c>
      <c r="K695" s="42" t="s">
        <v>5796</v>
      </c>
      <c r="L695" s="39">
        <v>1074</v>
      </c>
    </row>
    <row r="696" spans="1:12" ht="11.25" customHeight="1">
      <c r="A696" s="39">
        <v>1184</v>
      </c>
      <c r="B696" s="40" t="s">
        <v>11615</v>
      </c>
      <c r="C696" s="40" t="s">
        <v>11616</v>
      </c>
      <c r="D696" s="40" t="s">
        <v>3310</v>
      </c>
      <c r="E696" s="41">
        <v>1079.8399999999999</v>
      </c>
      <c r="F696" s="40" t="s">
        <v>3310</v>
      </c>
      <c r="G696" s="41">
        <v>1080.0308</v>
      </c>
      <c r="H696" s="40"/>
      <c r="I696" s="41"/>
      <c r="J696" s="41">
        <f t="shared" si="2"/>
        <v>1079.9353999999998</v>
      </c>
      <c r="K696" s="42" t="s">
        <v>5796</v>
      </c>
      <c r="L696" s="39">
        <v>1184</v>
      </c>
    </row>
    <row r="697" spans="1:12" ht="11.25" customHeight="1">
      <c r="A697" s="39">
        <v>1296</v>
      </c>
      <c r="B697" s="40" t="s">
        <v>11617</v>
      </c>
      <c r="C697" s="40" t="s">
        <v>11618</v>
      </c>
      <c r="D697" s="40" t="s">
        <v>3565</v>
      </c>
      <c r="E697" s="41">
        <v>820.21</v>
      </c>
      <c r="F697" s="40" t="s">
        <v>3565</v>
      </c>
      <c r="G697" s="41">
        <v>820.13440000000003</v>
      </c>
      <c r="H697" s="40"/>
      <c r="I697" s="41"/>
      <c r="J697" s="41">
        <f t="shared" si="2"/>
        <v>820.17219999999998</v>
      </c>
      <c r="K697" s="42" t="s">
        <v>5796</v>
      </c>
      <c r="L697" s="39">
        <v>1296</v>
      </c>
    </row>
    <row r="698" spans="1:12" ht="11.25" customHeight="1">
      <c r="A698" s="39">
        <v>409</v>
      </c>
      <c r="B698" s="40" t="s">
        <v>6246</v>
      </c>
      <c r="C698" s="40" t="s">
        <v>11619</v>
      </c>
      <c r="D698" s="40" t="s">
        <v>1232</v>
      </c>
      <c r="E698" s="41">
        <v>9892.1200000000008</v>
      </c>
      <c r="F698" s="40" t="s">
        <v>1232</v>
      </c>
      <c r="G698" s="41">
        <v>9841.9549999999999</v>
      </c>
      <c r="H698" s="40"/>
      <c r="I698" s="41"/>
      <c r="J698" s="41">
        <f t="shared" si="2"/>
        <v>9867.0375000000004</v>
      </c>
      <c r="K698" s="42" t="s">
        <v>5796</v>
      </c>
      <c r="L698" s="39">
        <v>409</v>
      </c>
    </row>
    <row r="699" spans="1:12" ht="11.25" customHeight="1">
      <c r="A699" s="39">
        <v>576</v>
      </c>
      <c r="B699" s="40" t="s">
        <v>11620</v>
      </c>
      <c r="C699" s="40" t="s">
        <v>11621</v>
      </c>
      <c r="D699" s="40" t="s">
        <v>1709</v>
      </c>
      <c r="E699" s="41">
        <v>5908.98</v>
      </c>
      <c r="F699" s="40" t="s">
        <v>1709</v>
      </c>
      <c r="G699" s="41">
        <v>5910.0842000000002</v>
      </c>
      <c r="H699" s="40"/>
      <c r="I699" s="41"/>
      <c r="J699" s="41">
        <f t="shared" si="2"/>
        <v>5909.5321000000004</v>
      </c>
      <c r="K699" s="42" t="s">
        <v>5796</v>
      </c>
      <c r="L699" s="39">
        <v>576</v>
      </c>
    </row>
    <row r="700" spans="1:12" ht="11.25" customHeight="1">
      <c r="A700" s="39">
        <v>633</v>
      </c>
      <c r="B700" s="40" t="s">
        <v>11622</v>
      </c>
      <c r="C700" s="40" t="s">
        <v>11623</v>
      </c>
      <c r="D700" s="40" t="s">
        <v>1871</v>
      </c>
      <c r="E700" s="41">
        <v>4722.45</v>
      </c>
      <c r="F700" s="40" t="s">
        <v>1871</v>
      </c>
      <c r="G700" s="41">
        <v>4721.3784999999998</v>
      </c>
      <c r="H700" s="40"/>
      <c r="I700" s="41"/>
      <c r="J700" s="41">
        <f t="shared" si="2"/>
        <v>4721.9142499999998</v>
      </c>
      <c r="K700" s="42" t="s">
        <v>5796</v>
      </c>
      <c r="L700" s="39">
        <v>633</v>
      </c>
    </row>
    <row r="701" spans="1:12" ht="11.25" customHeight="1">
      <c r="A701" s="39">
        <v>721</v>
      </c>
      <c r="B701" s="40" t="s">
        <v>11624</v>
      </c>
      <c r="C701" s="40" t="s">
        <v>11625</v>
      </c>
      <c r="D701" s="40" t="s">
        <v>2110</v>
      </c>
      <c r="E701" s="41">
        <v>3585.08</v>
      </c>
      <c r="F701" s="40" t="s">
        <v>2110</v>
      </c>
      <c r="G701" s="41">
        <v>3585.7498999999998</v>
      </c>
      <c r="H701" s="40"/>
      <c r="I701" s="41"/>
      <c r="J701" s="41">
        <f t="shared" si="2"/>
        <v>3585.4149499999999</v>
      </c>
      <c r="K701" s="42" t="s">
        <v>5796</v>
      </c>
      <c r="L701" s="39">
        <v>721</v>
      </c>
    </row>
    <row r="702" spans="1:12" ht="11.25" customHeight="1">
      <c r="A702" s="39">
        <v>891</v>
      </c>
      <c r="B702" s="40" t="s">
        <v>11626</v>
      </c>
      <c r="C702" s="40" t="s">
        <v>11627</v>
      </c>
      <c r="D702" s="40" t="s">
        <v>2584</v>
      </c>
      <c r="E702" s="41">
        <v>2185.7399999999998</v>
      </c>
      <c r="F702" s="40" t="s">
        <v>2584</v>
      </c>
      <c r="G702" s="41">
        <v>2186.1574000000001</v>
      </c>
      <c r="H702" s="40"/>
      <c r="I702" s="41"/>
      <c r="J702" s="41">
        <f t="shared" si="2"/>
        <v>2185.9486999999999</v>
      </c>
      <c r="K702" s="42" t="s">
        <v>5796</v>
      </c>
      <c r="L702" s="39">
        <v>891</v>
      </c>
    </row>
    <row r="703" spans="1:12" ht="11.25" customHeight="1">
      <c r="A703" s="39">
        <v>1726</v>
      </c>
      <c r="B703" s="40" t="s">
        <v>6248</v>
      </c>
      <c r="C703" s="40" t="s">
        <v>11628</v>
      </c>
      <c r="D703" s="40" t="s">
        <v>4375</v>
      </c>
      <c r="E703" s="41">
        <v>316.18</v>
      </c>
      <c r="F703" s="40" t="s">
        <v>4375</v>
      </c>
      <c r="G703" s="41">
        <v>316.64699999999999</v>
      </c>
      <c r="H703" s="40"/>
      <c r="I703" s="41"/>
      <c r="J703" s="41">
        <f t="shared" si="2"/>
        <v>316.4135</v>
      </c>
      <c r="K703" s="42" t="s">
        <v>5796</v>
      </c>
      <c r="L703" s="39">
        <v>1726</v>
      </c>
    </row>
    <row r="704" spans="1:12" ht="11.25" customHeight="1">
      <c r="A704" s="39">
        <v>1060</v>
      </c>
      <c r="B704" s="40" t="s">
        <v>11629</v>
      </c>
      <c r="C704" s="40" t="s">
        <v>11630</v>
      </c>
      <c r="D704" s="40" t="s">
        <v>3019</v>
      </c>
      <c r="E704" s="41">
        <v>1450.14</v>
      </c>
      <c r="F704" s="40" t="s">
        <v>3019</v>
      </c>
      <c r="G704" s="41">
        <v>1450.4725000000001</v>
      </c>
      <c r="H704" s="40"/>
      <c r="I704" s="41"/>
      <c r="J704" s="41">
        <f t="shared" si="2"/>
        <v>1450.3062500000001</v>
      </c>
      <c r="K704" s="42" t="s">
        <v>5796</v>
      </c>
      <c r="L704" s="39">
        <v>1060</v>
      </c>
    </row>
    <row r="705" spans="1:12" ht="11.25" customHeight="1">
      <c r="A705" s="47">
        <v>53</v>
      </c>
      <c r="B705" s="48" t="s">
        <v>11631</v>
      </c>
      <c r="C705" s="48" t="s">
        <v>11632</v>
      </c>
      <c r="D705" s="48" t="s">
        <v>170</v>
      </c>
      <c r="E705" s="49">
        <v>108095.95</v>
      </c>
      <c r="F705" s="48" t="s">
        <v>170</v>
      </c>
      <c r="G705" s="49">
        <v>108111.2736</v>
      </c>
      <c r="H705" s="48"/>
      <c r="I705" s="49"/>
      <c r="J705" s="49">
        <f t="shared" si="2"/>
        <v>108103.6118</v>
      </c>
      <c r="K705" s="50" t="s">
        <v>5815</v>
      </c>
      <c r="L705" s="47">
        <v>53</v>
      </c>
    </row>
    <row r="706" spans="1:12" ht="11.25" customHeight="1">
      <c r="A706" s="39">
        <v>1424</v>
      </c>
      <c r="B706" s="40" t="s">
        <v>11633</v>
      </c>
      <c r="C706" s="40" t="s">
        <v>11634</v>
      </c>
      <c r="D706" s="40" t="s">
        <v>3823</v>
      </c>
      <c r="E706" s="41">
        <v>613.53</v>
      </c>
      <c r="F706" s="40" t="s">
        <v>3823</v>
      </c>
      <c r="G706" s="41">
        <v>613.4393</v>
      </c>
      <c r="H706" s="40"/>
      <c r="I706" s="41"/>
      <c r="J706" s="41">
        <f t="shared" si="2"/>
        <v>613.48464999999999</v>
      </c>
      <c r="K706" s="42" t="s">
        <v>5796</v>
      </c>
      <c r="L706" s="39">
        <v>1424</v>
      </c>
    </row>
    <row r="707" spans="1:12" ht="11.25" customHeight="1">
      <c r="A707" s="39">
        <v>2146</v>
      </c>
      <c r="B707" s="40" t="s">
        <v>11635</v>
      </c>
      <c r="C707" s="40" t="s">
        <v>11636</v>
      </c>
      <c r="D707" s="40"/>
      <c r="E707" s="41"/>
      <c r="F707" s="40" t="s">
        <v>4951</v>
      </c>
      <c r="G707" s="41">
        <v>146.77879999999999</v>
      </c>
      <c r="H707" s="40"/>
      <c r="I707" s="41"/>
      <c r="J707" s="41">
        <f t="shared" si="2"/>
        <v>146.77879999999999</v>
      </c>
      <c r="K707" s="42" t="s">
        <v>5796</v>
      </c>
      <c r="L707" s="39">
        <v>2146</v>
      </c>
    </row>
    <row r="708" spans="1:12" ht="11.25" customHeight="1">
      <c r="A708" s="39">
        <v>312</v>
      </c>
      <c r="B708" s="40" t="s">
        <v>11637</v>
      </c>
      <c r="C708" s="40" t="s">
        <v>11638</v>
      </c>
      <c r="D708" s="40" t="s">
        <v>947</v>
      </c>
      <c r="E708" s="41">
        <v>15126.79</v>
      </c>
      <c r="F708" s="40" t="s">
        <v>947</v>
      </c>
      <c r="G708" s="41">
        <v>15127.0242</v>
      </c>
      <c r="H708" s="40"/>
      <c r="I708" s="41"/>
      <c r="J708" s="41">
        <f t="shared" si="2"/>
        <v>15126.9071</v>
      </c>
      <c r="K708" s="42" t="s">
        <v>5796</v>
      </c>
      <c r="L708" s="39">
        <v>312</v>
      </c>
    </row>
    <row r="709" spans="1:12" ht="11.25" customHeight="1">
      <c r="A709" s="39">
        <v>1704</v>
      </c>
      <c r="B709" s="40" t="s">
        <v>11639</v>
      </c>
      <c r="C709" s="40" t="s">
        <v>11640</v>
      </c>
      <c r="D709" s="40" t="s">
        <v>4342</v>
      </c>
      <c r="E709" s="41">
        <v>329.88</v>
      </c>
      <c r="F709" s="40" t="s">
        <v>4342</v>
      </c>
      <c r="G709" s="41">
        <v>329.69009999999997</v>
      </c>
      <c r="H709" s="40"/>
      <c r="I709" s="41"/>
      <c r="J709" s="41">
        <f t="shared" si="2"/>
        <v>329.78504999999996</v>
      </c>
      <c r="K709" s="42" t="s">
        <v>5796</v>
      </c>
      <c r="L709" s="39">
        <v>1704</v>
      </c>
    </row>
    <row r="710" spans="1:12" ht="11.25" customHeight="1">
      <c r="A710" s="39">
        <v>2155</v>
      </c>
      <c r="B710" s="40" t="s">
        <v>11641</v>
      </c>
      <c r="C710" s="40" t="s">
        <v>11642</v>
      </c>
      <c r="D710" s="40" t="s">
        <v>6256</v>
      </c>
      <c r="E710" s="41">
        <v>145.72999999999999</v>
      </c>
      <c r="F710" s="40" t="s">
        <v>6256</v>
      </c>
      <c r="G710" s="41">
        <v>144.3329</v>
      </c>
      <c r="H710" s="40"/>
      <c r="I710" s="41"/>
      <c r="J710" s="41">
        <f t="shared" si="2"/>
        <v>145.03145000000001</v>
      </c>
      <c r="K710" s="42" t="s">
        <v>5796</v>
      </c>
      <c r="L710" s="39">
        <v>2155</v>
      </c>
    </row>
    <row r="711" spans="1:12" ht="11.25" customHeight="1">
      <c r="A711" s="39">
        <v>866</v>
      </c>
      <c r="B711" s="40" t="s">
        <v>11643</v>
      </c>
      <c r="C711" s="40" t="s">
        <v>11644</v>
      </c>
      <c r="D711" s="40" t="s">
        <v>2512</v>
      </c>
      <c r="E711" s="41">
        <v>2397.8200000000002</v>
      </c>
      <c r="F711" s="40" t="s">
        <v>2512</v>
      </c>
      <c r="G711" s="41">
        <v>2398.5383000000002</v>
      </c>
      <c r="H711" s="40"/>
      <c r="I711" s="41"/>
      <c r="J711" s="41">
        <f t="shared" si="2"/>
        <v>2398.1791499999999</v>
      </c>
      <c r="K711" s="42" t="s">
        <v>5796</v>
      </c>
      <c r="L711" s="39">
        <v>866</v>
      </c>
    </row>
    <row r="712" spans="1:12" ht="11.25" customHeight="1">
      <c r="A712" s="43">
        <v>160</v>
      </c>
      <c r="B712" s="44" t="s">
        <v>11645</v>
      </c>
      <c r="C712" s="44" t="s">
        <v>11646</v>
      </c>
      <c r="D712" s="44" t="s">
        <v>491</v>
      </c>
      <c r="E712" s="45">
        <v>41254.07</v>
      </c>
      <c r="F712" s="44" t="s">
        <v>491</v>
      </c>
      <c r="G712" s="45">
        <v>41255.561399999999</v>
      </c>
      <c r="H712" s="44"/>
      <c r="I712" s="45"/>
      <c r="J712" s="45">
        <f t="shared" si="2"/>
        <v>41254.815699999999</v>
      </c>
      <c r="K712" s="46" t="s">
        <v>5800</v>
      </c>
      <c r="L712" s="43">
        <v>160</v>
      </c>
    </row>
    <row r="713" spans="1:12" ht="11.25" customHeight="1">
      <c r="A713" s="47">
        <v>5</v>
      </c>
      <c r="B713" s="48" t="s">
        <v>11647</v>
      </c>
      <c r="C713" s="48" t="s">
        <v>11648</v>
      </c>
      <c r="D713" s="48" t="s">
        <v>21</v>
      </c>
      <c r="E713" s="49">
        <v>598327.39</v>
      </c>
      <c r="F713" s="48" t="s">
        <v>21</v>
      </c>
      <c r="G713" s="49">
        <v>598271.87540000002</v>
      </c>
      <c r="H713" s="48"/>
      <c r="I713" s="49"/>
      <c r="J713" s="49">
        <f t="shared" si="2"/>
        <v>598299.63269999996</v>
      </c>
      <c r="K713" s="50" t="s">
        <v>5815</v>
      </c>
      <c r="L713" s="47">
        <v>5</v>
      </c>
    </row>
    <row r="714" spans="1:12" ht="11.25" customHeight="1">
      <c r="A714" s="39">
        <v>697</v>
      </c>
      <c r="B714" s="40" t="s">
        <v>11649</v>
      </c>
      <c r="C714" s="40" t="s">
        <v>11650</v>
      </c>
      <c r="D714" s="40" t="s">
        <v>2045</v>
      </c>
      <c r="E714" s="41">
        <v>3916.28</v>
      </c>
      <c r="F714" s="40" t="s">
        <v>2045</v>
      </c>
      <c r="G714" s="41">
        <v>3916.4007000000001</v>
      </c>
      <c r="H714" s="40"/>
      <c r="I714" s="41"/>
      <c r="J714" s="41">
        <f t="shared" si="2"/>
        <v>3916.3403500000004</v>
      </c>
      <c r="K714" s="42" t="s">
        <v>5796</v>
      </c>
      <c r="L714" s="39">
        <v>697</v>
      </c>
    </row>
    <row r="715" spans="1:12" ht="11.25" customHeight="1">
      <c r="A715" s="47">
        <v>45</v>
      </c>
      <c r="B715" s="48" t="s">
        <v>11651</v>
      </c>
      <c r="C715" s="48" t="s">
        <v>11652</v>
      </c>
      <c r="D715" s="48" t="s">
        <v>146</v>
      </c>
      <c r="E715" s="49">
        <v>132522.87</v>
      </c>
      <c r="F715" s="48" t="s">
        <v>146</v>
      </c>
      <c r="G715" s="49">
        <v>132515.88560000001</v>
      </c>
      <c r="H715" s="48"/>
      <c r="I715" s="49"/>
      <c r="J715" s="49">
        <f t="shared" si="2"/>
        <v>132519.37780000002</v>
      </c>
      <c r="K715" s="50" t="s">
        <v>5815</v>
      </c>
      <c r="L715" s="47">
        <v>45</v>
      </c>
    </row>
    <row r="716" spans="1:12" ht="11.25" customHeight="1">
      <c r="A716" s="39">
        <v>1343</v>
      </c>
      <c r="B716" s="40" t="s">
        <v>11653</v>
      </c>
      <c r="C716" s="40" t="s">
        <v>11654</v>
      </c>
      <c r="D716" s="40" t="s">
        <v>3652</v>
      </c>
      <c r="E716" s="41">
        <v>734.72</v>
      </c>
      <c r="F716" s="40" t="s">
        <v>3652</v>
      </c>
      <c r="G716" s="41">
        <v>734.13049999999998</v>
      </c>
      <c r="H716" s="40"/>
      <c r="I716" s="41"/>
      <c r="J716" s="41">
        <f t="shared" si="2"/>
        <v>734.42525000000001</v>
      </c>
      <c r="K716" s="42" t="s">
        <v>5796</v>
      </c>
      <c r="L716" s="39">
        <v>1343</v>
      </c>
    </row>
    <row r="717" spans="1:12" ht="11.25" customHeight="1">
      <c r="A717" s="39">
        <v>2403</v>
      </c>
      <c r="B717" s="40" t="s">
        <v>11655</v>
      </c>
      <c r="C717" s="40" t="s">
        <v>11656</v>
      </c>
      <c r="D717" s="40" t="s">
        <v>11657</v>
      </c>
      <c r="E717" s="41">
        <v>96.46</v>
      </c>
      <c r="F717" s="40" t="s">
        <v>5209</v>
      </c>
      <c r="G717" s="41">
        <v>96.345600000000005</v>
      </c>
      <c r="H717" s="40"/>
      <c r="I717" s="41"/>
      <c r="J717" s="41">
        <f t="shared" si="2"/>
        <v>96.402799999999999</v>
      </c>
      <c r="K717" s="42" t="s">
        <v>5796</v>
      </c>
      <c r="L717" s="39">
        <v>2403</v>
      </c>
    </row>
    <row r="718" spans="1:12" ht="11.25" customHeight="1">
      <c r="A718" s="39">
        <v>1147</v>
      </c>
      <c r="B718" s="40" t="s">
        <v>6263</v>
      </c>
      <c r="C718" s="40" t="s">
        <v>11658</v>
      </c>
      <c r="D718" s="40" t="s">
        <v>3223</v>
      </c>
      <c r="E718" s="41">
        <v>1201.8599999999999</v>
      </c>
      <c r="F718" s="40" t="s">
        <v>3223</v>
      </c>
      <c r="G718" s="41">
        <v>1194.0431000000001</v>
      </c>
      <c r="H718" s="40"/>
      <c r="I718" s="41"/>
      <c r="J718" s="41">
        <f t="shared" si="2"/>
        <v>1197.95155</v>
      </c>
      <c r="K718" s="42" t="s">
        <v>5796</v>
      </c>
      <c r="L718" s="39">
        <v>1147</v>
      </c>
    </row>
    <row r="719" spans="1:12" ht="11.25" customHeight="1">
      <c r="A719" s="39">
        <v>1580</v>
      </c>
      <c r="B719" s="40" t="s">
        <v>11659</v>
      </c>
      <c r="C719" s="40" t="s">
        <v>11660</v>
      </c>
      <c r="D719" s="40" t="s">
        <v>4111</v>
      </c>
      <c r="E719" s="41">
        <v>427.95</v>
      </c>
      <c r="F719" s="40" t="s">
        <v>4111</v>
      </c>
      <c r="G719" s="41">
        <v>427.79270000000002</v>
      </c>
      <c r="H719" s="40"/>
      <c r="I719" s="41"/>
      <c r="J719" s="41">
        <f t="shared" si="2"/>
        <v>427.87135000000001</v>
      </c>
      <c r="K719" s="42" t="s">
        <v>5796</v>
      </c>
      <c r="L719" s="39">
        <v>1580</v>
      </c>
    </row>
    <row r="720" spans="1:12" ht="11.25" customHeight="1">
      <c r="A720" s="39">
        <v>1321</v>
      </c>
      <c r="B720" s="40" t="s">
        <v>11661</v>
      </c>
      <c r="C720" s="40" t="s">
        <v>11662</v>
      </c>
      <c r="D720" s="40" t="s">
        <v>3622</v>
      </c>
      <c r="E720" s="41">
        <v>769.44</v>
      </c>
      <c r="F720" s="40" t="s">
        <v>3622</v>
      </c>
      <c r="G720" s="41">
        <v>769.8134</v>
      </c>
      <c r="H720" s="40"/>
      <c r="I720" s="41"/>
      <c r="J720" s="41">
        <f t="shared" si="2"/>
        <v>769.62670000000003</v>
      </c>
      <c r="K720" s="42" t="s">
        <v>5796</v>
      </c>
      <c r="L720" s="39">
        <v>1321</v>
      </c>
    </row>
    <row r="721" spans="1:12" ht="11.25" customHeight="1">
      <c r="A721" s="39">
        <v>699</v>
      </c>
      <c r="B721" s="40" t="s">
        <v>6264</v>
      </c>
      <c r="C721" s="40" t="s">
        <v>11663</v>
      </c>
      <c r="D721" s="40" t="s">
        <v>2051</v>
      </c>
      <c r="E721" s="41">
        <v>3893.82</v>
      </c>
      <c r="F721" s="40" t="s">
        <v>2051</v>
      </c>
      <c r="G721" s="41">
        <v>3892.1563000000001</v>
      </c>
      <c r="H721" s="40"/>
      <c r="I721" s="41"/>
      <c r="J721" s="41">
        <f t="shared" si="2"/>
        <v>3892.9881500000001</v>
      </c>
      <c r="K721" s="42" t="s">
        <v>5796</v>
      </c>
      <c r="L721" s="39">
        <v>699</v>
      </c>
    </row>
    <row r="722" spans="1:12" ht="11.25" customHeight="1">
      <c r="A722" s="39">
        <v>1113</v>
      </c>
      <c r="B722" s="40" t="s">
        <v>3143</v>
      </c>
      <c r="C722" s="40" t="s">
        <v>11664</v>
      </c>
      <c r="D722" s="40" t="s">
        <v>3145</v>
      </c>
      <c r="E722" s="41">
        <v>1297.0999999999999</v>
      </c>
      <c r="F722" s="40" t="s">
        <v>3145</v>
      </c>
      <c r="G722" s="41">
        <v>1296.509</v>
      </c>
      <c r="H722" s="40"/>
      <c r="I722" s="41"/>
      <c r="J722" s="41">
        <f t="shared" si="2"/>
        <v>1296.8045</v>
      </c>
      <c r="K722" s="42" t="s">
        <v>5796</v>
      </c>
      <c r="L722" s="39">
        <v>1113</v>
      </c>
    </row>
    <row r="723" spans="1:12" ht="11.25" customHeight="1">
      <c r="A723" s="39">
        <v>742</v>
      </c>
      <c r="B723" s="40" t="s">
        <v>11665</v>
      </c>
      <c r="C723" s="40" t="s">
        <v>11666</v>
      </c>
      <c r="D723" s="40" t="s">
        <v>2173</v>
      </c>
      <c r="E723" s="41">
        <v>3427.1</v>
      </c>
      <c r="F723" s="40" t="s">
        <v>2173</v>
      </c>
      <c r="G723" s="41">
        <v>3428.5853999999999</v>
      </c>
      <c r="H723" s="40"/>
      <c r="I723" s="41"/>
      <c r="J723" s="41">
        <f t="shared" si="2"/>
        <v>3427.8427000000001</v>
      </c>
      <c r="K723" s="42" t="s">
        <v>5796</v>
      </c>
      <c r="L723" s="39">
        <v>742</v>
      </c>
    </row>
    <row r="724" spans="1:12" ht="11.25" customHeight="1">
      <c r="A724" s="39">
        <v>941</v>
      </c>
      <c r="B724" s="40" t="s">
        <v>11667</v>
      </c>
      <c r="C724" s="40" t="s">
        <v>11668</v>
      </c>
      <c r="D724" s="40" t="s">
        <v>2716</v>
      </c>
      <c r="E724" s="41">
        <v>2007.28</v>
      </c>
      <c r="F724" s="40" t="s">
        <v>2716</v>
      </c>
      <c r="G724" s="41">
        <v>2002.0906</v>
      </c>
      <c r="H724" s="40"/>
      <c r="I724" s="41"/>
      <c r="J724" s="41">
        <f t="shared" si="2"/>
        <v>2004.6853000000001</v>
      </c>
      <c r="K724" s="42" t="s">
        <v>5796</v>
      </c>
      <c r="L724" s="39">
        <v>941</v>
      </c>
    </row>
    <row r="725" spans="1:12" ht="11.25" customHeight="1">
      <c r="A725" s="39">
        <v>1473</v>
      </c>
      <c r="B725" s="40" t="s">
        <v>11669</v>
      </c>
      <c r="C725" s="40" t="s">
        <v>11670</v>
      </c>
      <c r="D725" s="40" t="s">
        <v>3901</v>
      </c>
      <c r="E725" s="41">
        <v>549.79999999999995</v>
      </c>
      <c r="F725" s="40" t="s">
        <v>3901</v>
      </c>
      <c r="G725" s="41">
        <v>550.14229999999998</v>
      </c>
      <c r="H725" s="40"/>
      <c r="I725" s="41"/>
      <c r="J725" s="41">
        <f t="shared" si="2"/>
        <v>549.97114999999997</v>
      </c>
      <c r="K725" s="42" t="s">
        <v>5796</v>
      </c>
      <c r="L725" s="39">
        <v>1473</v>
      </c>
    </row>
    <row r="726" spans="1:12" ht="11.25" customHeight="1">
      <c r="A726" s="39">
        <v>557</v>
      </c>
      <c r="B726" s="40" t="s">
        <v>11671</v>
      </c>
      <c r="C726" s="40" t="s">
        <v>11672</v>
      </c>
      <c r="D726" s="40" t="s">
        <v>1652</v>
      </c>
      <c r="E726" s="41">
        <v>6199.99</v>
      </c>
      <c r="F726" s="40" t="s">
        <v>1652</v>
      </c>
      <c r="G726" s="41">
        <v>6199.3296</v>
      </c>
      <c r="H726" s="40"/>
      <c r="I726" s="41"/>
      <c r="J726" s="41">
        <f t="shared" si="2"/>
        <v>6199.6597999999994</v>
      </c>
      <c r="K726" s="42" t="s">
        <v>5796</v>
      </c>
      <c r="L726" s="39">
        <v>557</v>
      </c>
    </row>
    <row r="727" spans="1:12" ht="11.25" customHeight="1">
      <c r="A727" s="39">
        <v>481</v>
      </c>
      <c r="B727" s="40" t="s">
        <v>11673</v>
      </c>
      <c r="C727" s="40" t="s">
        <v>11674</v>
      </c>
      <c r="D727" s="40" t="s">
        <v>1430</v>
      </c>
      <c r="E727" s="41">
        <v>7773.61</v>
      </c>
      <c r="F727" s="40" t="s">
        <v>1430</v>
      </c>
      <c r="G727" s="41">
        <v>7772.6845999999996</v>
      </c>
      <c r="H727" s="40"/>
      <c r="I727" s="41"/>
      <c r="J727" s="41">
        <f t="shared" si="2"/>
        <v>7773.1472999999996</v>
      </c>
      <c r="K727" s="42" t="s">
        <v>5796</v>
      </c>
      <c r="L727" s="39">
        <v>481</v>
      </c>
    </row>
    <row r="728" spans="1:12" ht="11.25" customHeight="1">
      <c r="A728" s="39">
        <v>350</v>
      </c>
      <c r="B728" s="40" t="s">
        <v>11675</v>
      </c>
      <c r="C728" s="40" t="s">
        <v>11676</v>
      </c>
      <c r="D728" s="40" t="s">
        <v>1058</v>
      </c>
      <c r="E728" s="41">
        <v>12471.6</v>
      </c>
      <c r="F728" s="40" t="s">
        <v>1058</v>
      </c>
      <c r="G728" s="41">
        <v>12478.1191</v>
      </c>
      <c r="H728" s="40"/>
      <c r="I728" s="41"/>
      <c r="J728" s="41">
        <f t="shared" si="2"/>
        <v>12474.859550000001</v>
      </c>
      <c r="K728" s="42" t="s">
        <v>5796</v>
      </c>
      <c r="L728" s="39">
        <v>350</v>
      </c>
    </row>
    <row r="729" spans="1:12" ht="11.25" customHeight="1">
      <c r="A729" s="43">
        <v>178</v>
      </c>
      <c r="B729" s="44" t="s">
        <v>11677</v>
      </c>
      <c r="C729" s="44" t="s">
        <v>11678</v>
      </c>
      <c r="D729" s="44" t="s">
        <v>545</v>
      </c>
      <c r="E729" s="45">
        <v>34584.14</v>
      </c>
      <c r="F729" s="44" t="s">
        <v>545</v>
      </c>
      <c r="G729" s="45">
        <v>34588.239399999999</v>
      </c>
      <c r="H729" s="44"/>
      <c r="I729" s="45"/>
      <c r="J729" s="45">
        <f t="shared" si="2"/>
        <v>34586.189700000003</v>
      </c>
      <c r="K729" s="46" t="s">
        <v>5800</v>
      </c>
      <c r="L729" s="43">
        <v>178</v>
      </c>
    </row>
    <row r="730" spans="1:12" ht="11.25" customHeight="1">
      <c r="A730" s="39">
        <v>839</v>
      </c>
      <c r="B730" s="40" t="s">
        <v>6267</v>
      </c>
      <c r="C730" s="40" t="s">
        <v>11679</v>
      </c>
      <c r="D730" s="40" t="s">
        <v>2437</v>
      </c>
      <c r="E730" s="41">
        <v>2571.69</v>
      </c>
      <c r="F730" s="40" t="s">
        <v>2437</v>
      </c>
      <c r="G730" s="41">
        <v>2572.7687000000001</v>
      </c>
      <c r="H730" s="40"/>
      <c r="I730" s="41"/>
      <c r="J730" s="41">
        <f t="shared" si="2"/>
        <v>2572.2293500000001</v>
      </c>
      <c r="K730" s="42" t="s">
        <v>5796</v>
      </c>
      <c r="L730" s="39">
        <v>839</v>
      </c>
    </row>
    <row r="731" spans="1:12" ht="11.25" customHeight="1">
      <c r="A731" s="39">
        <v>2595</v>
      </c>
      <c r="B731" s="40" t="s">
        <v>11680</v>
      </c>
      <c r="C731" s="40" t="s">
        <v>11681</v>
      </c>
      <c r="D731" s="40" t="s">
        <v>5379</v>
      </c>
      <c r="E731" s="41">
        <v>69.63</v>
      </c>
      <c r="F731" s="40" t="s">
        <v>5379</v>
      </c>
      <c r="G731" s="41">
        <v>69.4953</v>
      </c>
      <c r="H731" s="40"/>
      <c r="I731" s="41"/>
      <c r="J731" s="41">
        <f t="shared" si="2"/>
        <v>69.562649999999991</v>
      </c>
      <c r="K731" s="42" t="s">
        <v>5796</v>
      </c>
      <c r="L731" s="39">
        <v>2595</v>
      </c>
    </row>
    <row r="732" spans="1:12" ht="11.25" customHeight="1">
      <c r="A732" s="39">
        <v>1262</v>
      </c>
      <c r="B732" s="40" t="s">
        <v>11682</v>
      </c>
      <c r="C732" s="40" t="s">
        <v>11683</v>
      </c>
      <c r="D732" s="40" t="s">
        <v>3484</v>
      </c>
      <c r="E732" s="41">
        <v>882.5</v>
      </c>
      <c r="F732" s="40" t="s">
        <v>3484</v>
      </c>
      <c r="G732" s="41">
        <v>882.71759999999995</v>
      </c>
      <c r="H732" s="40"/>
      <c r="I732" s="41"/>
      <c r="J732" s="41">
        <f t="shared" si="2"/>
        <v>882.60879999999997</v>
      </c>
      <c r="K732" s="42" t="s">
        <v>5796</v>
      </c>
      <c r="L732" s="39">
        <v>1262</v>
      </c>
    </row>
    <row r="733" spans="1:12" ht="11.25" customHeight="1">
      <c r="A733" s="39">
        <v>2258</v>
      </c>
      <c r="B733" s="40" t="s">
        <v>6268</v>
      </c>
      <c r="C733" s="40" t="s">
        <v>11684</v>
      </c>
      <c r="D733" s="40" t="s">
        <v>5083</v>
      </c>
      <c r="E733" s="41">
        <v>120.69</v>
      </c>
      <c r="F733" s="40" t="s">
        <v>5083</v>
      </c>
      <c r="G733" s="41">
        <v>119.47</v>
      </c>
      <c r="H733" s="40"/>
      <c r="I733" s="41"/>
      <c r="J733" s="41">
        <f t="shared" si="2"/>
        <v>120.08</v>
      </c>
      <c r="K733" s="42" t="s">
        <v>5796</v>
      </c>
      <c r="L733" s="39">
        <v>2258</v>
      </c>
    </row>
    <row r="734" spans="1:12" ht="11.25" customHeight="1">
      <c r="A734" s="39">
        <v>1094</v>
      </c>
      <c r="B734" s="40" t="s">
        <v>11685</v>
      </c>
      <c r="C734" s="40" t="s">
        <v>11686</v>
      </c>
      <c r="D734" s="40" t="s">
        <v>3100</v>
      </c>
      <c r="E734" s="41">
        <v>1347.69</v>
      </c>
      <c r="F734" s="40" t="s">
        <v>3100</v>
      </c>
      <c r="G734" s="41">
        <v>1347.5282</v>
      </c>
      <c r="H734" s="40"/>
      <c r="I734" s="41"/>
      <c r="J734" s="41">
        <f t="shared" si="2"/>
        <v>1347.6091000000001</v>
      </c>
      <c r="K734" s="42" t="s">
        <v>5796</v>
      </c>
      <c r="L734" s="39">
        <v>1094</v>
      </c>
    </row>
    <row r="735" spans="1:12" ht="11.25" customHeight="1">
      <c r="A735" s="39">
        <v>414</v>
      </c>
      <c r="B735" s="40" t="s">
        <v>11687</v>
      </c>
      <c r="C735" s="40" t="s">
        <v>11688</v>
      </c>
      <c r="D735" s="40" t="s">
        <v>1244</v>
      </c>
      <c r="E735" s="41">
        <v>9853.42</v>
      </c>
      <c r="F735" s="40" t="s">
        <v>1244</v>
      </c>
      <c r="G735" s="41">
        <v>9807.1568000000007</v>
      </c>
      <c r="H735" s="40"/>
      <c r="I735" s="41"/>
      <c r="J735" s="41">
        <f t="shared" si="2"/>
        <v>9830.2884000000013</v>
      </c>
      <c r="K735" s="42" t="s">
        <v>5796</v>
      </c>
      <c r="L735" s="39">
        <v>414</v>
      </c>
    </row>
    <row r="736" spans="1:12" ht="11.25" customHeight="1">
      <c r="A736" s="39">
        <v>1460</v>
      </c>
      <c r="B736" s="40" t="s">
        <v>11689</v>
      </c>
      <c r="C736" s="40" t="s">
        <v>11690</v>
      </c>
      <c r="D736" s="40" t="s">
        <v>3877</v>
      </c>
      <c r="E736" s="41">
        <v>563.74</v>
      </c>
      <c r="F736" s="40" t="s">
        <v>3877</v>
      </c>
      <c r="G736" s="41">
        <v>563.77650000000006</v>
      </c>
      <c r="H736" s="40"/>
      <c r="I736" s="41"/>
      <c r="J736" s="41">
        <f t="shared" si="2"/>
        <v>563.75825000000009</v>
      </c>
      <c r="K736" s="42" t="s">
        <v>5796</v>
      </c>
      <c r="L736" s="39">
        <v>1460</v>
      </c>
    </row>
    <row r="737" spans="1:12" ht="11.25" customHeight="1">
      <c r="A737" s="39">
        <v>1547</v>
      </c>
      <c r="B737" s="40" t="s">
        <v>11691</v>
      </c>
      <c r="C737" s="40" t="s">
        <v>11692</v>
      </c>
      <c r="D737" s="40" t="s">
        <v>4054</v>
      </c>
      <c r="E737" s="41">
        <v>457.24</v>
      </c>
      <c r="F737" s="40" t="s">
        <v>4054</v>
      </c>
      <c r="G737" s="41">
        <v>457.40269999999998</v>
      </c>
      <c r="H737" s="40"/>
      <c r="I737" s="41"/>
      <c r="J737" s="41">
        <f t="shared" si="2"/>
        <v>457.32135</v>
      </c>
      <c r="K737" s="42" t="s">
        <v>5796</v>
      </c>
      <c r="L737" s="39">
        <v>1547</v>
      </c>
    </row>
    <row r="738" spans="1:12" ht="11.25" customHeight="1">
      <c r="A738" s="39">
        <v>307</v>
      </c>
      <c r="B738" s="40" t="s">
        <v>11693</v>
      </c>
      <c r="C738" s="40" t="s">
        <v>11694</v>
      </c>
      <c r="D738" s="40" t="s">
        <v>932</v>
      </c>
      <c r="E738" s="41">
        <v>15784.27</v>
      </c>
      <c r="F738" s="40" t="s">
        <v>932</v>
      </c>
      <c r="G738" s="41">
        <v>15784.3357</v>
      </c>
      <c r="H738" s="40"/>
      <c r="I738" s="41"/>
      <c r="J738" s="41">
        <f t="shared" si="2"/>
        <v>15784.30285</v>
      </c>
      <c r="K738" s="42" t="s">
        <v>5796</v>
      </c>
      <c r="L738" s="39">
        <v>307</v>
      </c>
    </row>
    <row r="739" spans="1:12" ht="11.25" customHeight="1">
      <c r="A739" s="39">
        <v>923</v>
      </c>
      <c r="B739" s="40" t="s">
        <v>6272</v>
      </c>
      <c r="C739" s="40" t="s">
        <v>11695</v>
      </c>
      <c r="D739" s="40" t="s">
        <v>2668</v>
      </c>
      <c r="E739" s="41">
        <v>2078.59</v>
      </c>
      <c r="F739" s="40" t="s">
        <v>2668</v>
      </c>
      <c r="G739" s="41">
        <v>2079.2498000000001</v>
      </c>
      <c r="H739" s="40"/>
      <c r="I739" s="41"/>
      <c r="J739" s="41">
        <f t="shared" si="2"/>
        <v>2078.9198999999999</v>
      </c>
      <c r="K739" s="42" t="s">
        <v>5796</v>
      </c>
      <c r="L739" s="39">
        <v>923</v>
      </c>
    </row>
    <row r="740" spans="1:12" ht="11.25" customHeight="1">
      <c r="A740" s="39">
        <v>3307</v>
      </c>
      <c r="B740" s="40" t="s">
        <v>6273</v>
      </c>
      <c r="C740" s="40" t="s">
        <v>11696</v>
      </c>
      <c r="D740" s="40" t="s">
        <v>5643</v>
      </c>
      <c r="E740" s="41">
        <v>24.09</v>
      </c>
      <c r="F740" s="40" t="s">
        <v>5643</v>
      </c>
      <c r="G740" s="41">
        <v>24.076000000000001</v>
      </c>
      <c r="H740" s="40"/>
      <c r="I740" s="41"/>
      <c r="J740" s="41">
        <f t="shared" si="2"/>
        <v>24.082999999999998</v>
      </c>
      <c r="K740" s="42" t="s">
        <v>5796</v>
      </c>
      <c r="L740" s="39">
        <v>3307</v>
      </c>
    </row>
    <row r="741" spans="1:12" ht="11.25" customHeight="1">
      <c r="A741" s="39">
        <v>672</v>
      </c>
      <c r="B741" s="40" t="s">
        <v>11697</v>
      </c>
      <c r="C741" s="40" t="s">
        <v>11698</v>
      </c>
      <c r="D741" s="40" t="s">
        <v>1973</v>
      </c>
      <c r="E741" s="41">
        <v>4139.6000000000004</v>
      </c>
      <c r="F741" s="40" t="s">
        <v>1973</v>
      </c>
      <c r="G741" s="41">
        <v>4139.6664000000001</v>
      </c>
      <c r="H741" s="40"/>
      <c r="I741" s="41"/>
      <c r="J741" s="41">
        <f t="shared" si="2"/>
        <v>4139.6332000000002</v>
      </c>
      <c r="K741" s="42" t="s">
        <v>5796</v>
      </c>
      <c r="L741" s="39">
        <v>672</v>
      </c>
    </row>
    <row r="742" spans="1:12" ht="11.25" customHeight="1">
      <c r="A742" s="39">
        <v>462</v>
      </c>
      <c r="B742" s="40" t="s">
        <v>6274</v>
      </c>
      <c r="C742" s="40" t="s">
        <v>11699</v>
      </c>
      <c r="D742" s="40" t="s">
        <v>1376</v>
      </c>
      <c r="E742" s="41">
        <v>8252.26</v>
      </c>
      <c r="F742" s="40" t="s">
        <v>1376</v>
      </c>
      <c r="G742" s="41">
        <v>8219.9981000000007</v>
      </c>
      <c r="H742" s="40"/>
      <c r="I742" s="41"/>
      <c r="J742" s="41">
        <f t="shared" si="2"/>
        <v>8236.1290499999996</v>
      </c>
      <c r="K742" s="42" t="s">
        <v>5796</v>
      </c>
      <c r="L742" s="39">
        <v>462</v>
      </c>
    </row>
    <row r="743" spans="1:12" ht="11.25" customHeight="1">
      <c r="A743" s="39">
        <v>2969</v>
      </c>
      <c r="B743" s="40" t="s">
        <v>11700</v>
      </c>
      <c r="C743" s="40" t="s">
        <v>11701</v>
      </c>
      <c r="D743" s="40" t="s">
        <v>5541</v>
      </c>
      <c r="E743" s="41">
        <v>40.18</v>
      </c>
      <c r="F743" s="40" t="s">
        <v>5541</v>
      </c>
      <c r="G743" s="41">
        <v>39.7209</v>
      </c>
      <c r="H743" s="40"/>
      <c r="I743" s="41"/>
      <c r="J743" s="41">
        <f t="shared" si="2"/>
        <v>39.950450000000004</v>
      </c>
      <c r="K743" s="42" t="s">
        <v>5796</v>
      </c>
      <c r="L743" s="39">
        <v>2969</v>
      </c>
    </row>
    <row r="744" spans="1:12" ht="11.25" customHeight="1">
      <c r="A744" s="39">
        <v>1265</v>
      </c>
      <c r="B744" s="40" t="s">
        <v>11702</v>
      </c>
      <c r="C744" s="40" t="s">
        <v>11703</v>
      </c>
      <c r="D744" s="40"/>
      <c r="E744" s="41"/>
      <c r="F744" s="40" t="s">
        <v>3493</v>
      </c>
      <c r="G744" s="41">
        <v>875.43740000000003</v>
      </c>
      <c r="H744" s="40"/>
      <c r="I744" s="41"/>
      <c r="J744" s="41">
        <f t="shared" si="2"/>
        <v>875.43740000000003</v>
      </c>
      <c r="K744" s="42" t="s">
        <v>5796</v>
      </c>
      <c r="L744" s="39">
        <v>1265</v>
      </c>
    </row>
    <row r="745" spans="1:12" ht="11.25" customHeight="1">
      <c r="A745" s="47">
        <v>4</v>
      </c>
      <c r="B745" s="48" t="s">
        <v>11704</v>
      </c>
      <c r="C745" s="48" t="s">
        <v>11705</v>
      </c>
      <c r="D745" s="48" t="s">
        <v>18</v>
      </c>
      <c r="E745" s="49">
        <v>674471.74</v>
      </c>
      <c r="F745" s="48" t="s">
        <v>18</v>
      </c>
      <c r="G745" s="49">
        <v>674115.96149999998</v>
      </c>
      <c r="H745" s="48"/>
      <c r="I745" s="49"/>
      <c r="J745" s="49">
        <f t="shared" si="2"/>
        <v>674293.85074999998</v>
      </c>
      <c r="K745" s="50" t="s">
        <v>5815</v>
      </c>
      <c r="L745" s="47">
        <v>4</v>
      </c>
    </row>
    <row r="746" spans="1:12" ht="11.25" customHeight="1">
      <c r="A746" s="47">
        <v>98</v>
      </c>
      <c r="B746" s="48" t="s">
        <v>11706</v>
      </c>
      <c r="C746" s="48" t="s">
        <v>11707</v>
      </c>
      <c r="D746" s="48" t="s">
        <v>308</v>
      </c>
      <c r="E746" s="49">
        <v>67461.740000000005</v>
      </c>
      <c r="F746" s="48" t="s">
        <v>308</v>
      </c>
      <c r="G746" s="49">
        <v>67465.068299999999</v>
      </c>
      <c r="H746" s="48"/>
      <c r="I746" s="49"/>
      <c r="J746" s="49">
        <f t="shared" si="2"/>
        <v>67463.404150000002</v>
      </c>
      <c r="K746" s="50" t="s">
        <v>5815</v>
      </c>
      <c r="L746" s="47">
        <v>98</v>
      </c>
    </row>
    <row r="747" spans="1:12" ht="11.25" customHeight="1">
      <c r="A747" s="47">
        <v>79</v>
      </c>
      <c r="B747" s="48" t="s">
        <v>11708</v>
      </c>
      <c r="C747" s="48" t="s">
        <v>11709</v>
      </c>
      <c r="D747" s="48" t="s">
        <v>251</v>
      </c>
      <c r="E747" s="49">
        <v>79460.52</v>
      </c>
      <c r="F747" s="48" t="s">
        <v>251</v>
      </c>
      <c r="G747" s="49">
        <v>79449.845400000006</v>
      </c>
      <c r="H747" s="48"/>
      <c r="I747" s="49"/>
      <c r="J747" s="49">
        <f t="shared" si="2"/>
        <v>79455.182700000005</v>
      </c>
      <c r="K747" s="50" t="s">
        <v>5815</v>
      </c>
      <c r="L747" s="47">
        <v>79</v>
      </c>
    </row>
    <row r="748" spans="1:12" ht="11.25" customHeight="1">
      <c r="A748" s="39">
        <v>614</v>
      </c>
      <c r="B748" s="40" t="s">
        <v>11710</v>
      </c>
      <c r="C748" s="40" t="s">
        <v>11711</v>
      </c>
      <c r="D748" s="40" t="s">
        <v>1814</v>
      </c>
      <c r="E748" s="41">
        <v>4988.25</v>
      </c>
      <c r="F748" s="40" t="s">
        <v>1814</v>
      </c>
      <c r="G748" s="41">
        <v>4987.6472000000003</v>
      </c>
      <c r="H748" s="40"/>
      <c r="I748" s="41"/>
      <c r="J748" s="41">
        <f t="shared" si="2"/>
        <v>4987.9485999999997</v>
      </c>
      <c r="K748" s="42" t="s">
        <v>5796</v>
      </c>
      <c r="L748" s="39">
        <v>614</v>
      </c>
    </row>
    <row r="749" spans="1:12" ht="11.25" customHeight="1">
      <c r="A749" s="39">
        <v>599</v>
      </c>
      <c r="B749" s="40" t="s">
        <v>11712</v>
      </c>
      <c r="C749" s="40" t="s">
        <v>11713</v>
      </c>
      <c r="D749" s="40" t="s">
        <v>1769</v>
      </c>
      <c r="E749" s="41">
        <v>5399.47</v>
      </c>
      <c r="F749" s="40" t="s">
        <v>1769</v>
      </c>
      <c r="G749" s="41">
        <v>5399.9727000000003</v>
      </c>
      <c r="H749" s="40"/>
      <c r="I749" s="41"/>
      <c r="J749" s="41">
        <f t="shared" si="2"/>
        <v>5399.7213499999998</v>
      </c>
      <c r="K749" s="42" t="s">
        <v>5796</v>
      </c>
      <c r="L749" s="39">
        <v>599</v>
      </c>
    </row>
    <row r="750" spans="1:12" ht="11.25" customHeight="1">
      <c r="A750" s="47">
        <v>94</v>
      </c>
      <c r="B750" s="48" t="s">
        <v>11714</v>
      </c>
      <c r="C750" s="48" t="s">
        <v>11715</v>
      </c>
      <c r="D750" s="48" t="s">
        <v>296</v>
      </c>
      <c r="E750" s="49">
        <v>68892.98</v>
      </c>
      <c r="F750" s="48" t="s">
        <v>296</v>
      </c>
      <c r="G750" s="49">
        <v>68887.345600000001</v>
      </c>
      <c r="H750" s="48"/>
      <c r="I750" s="49"/>
      <c r="J750" s="49">
        <f t="shared" si="2"/>
        <v>68890.162799999991</v>
      </c>
      <c r="K750" s="50" t="s">
        <v>5815</v>
      </c>
      <c r="L750" s="47">
        <v>94</v>
      </c>
    </row>
    <row r="751" spans="1:12" ht="11.25" customHeight="1">
      <c r="A751" s="43">
        <v>119</v>
      </c>
      <c r="B751" s="44" t="s">
        <v>6280</v>
      </c>
      <c r="C751" s="44" t="s">
        <v>11716</v>
      </c>
      <c r="D751" s="44" t="s">
        <v>371</v>
      </c>
      <c r="E751" s="45">
        <v>52997.66</v>
      </c>
      <c r="F751" s="44" t="s">
        <v>371</v>
      </c>
      <c r="G751" s="45">
        <v>52976.456899999997</v>
      </c>
      <c r="H751" s="44"/>
      <c r="I751" s="45"/>
      <c r="J751" s="45">
        <f t="shared" si="2"/>
        <v>52987.058449999997</v>
      </c>
      <c r="K751" s="46" t="s">
        <v>5800</v>
      </c>
      <c r="L751" s="43">
        <v>119</v>
      </c>
    </row>
    <row r="752" spans="1:12" ht="11.25" customHeight="1">
      <c r="A752" s="39">
        <v>700</v>
      </c>
      <c r="B752" s="40" t="s">
        <v>11717</v>
      </c>
      <c r="C752" s="40" t="s">
        <v>11718</v>
      </c>
      <c r="D752" s="40" t="s">
        <v>2054</v>
      </c>
      <c r="E752" s="41">
        <v>3889.2</v>
      </c>
      <c r="F752" s="40" t="s">
        <v>2054</v>
      </c>
      <c r="G752" s="41">
        <v>3872.4829</v>
      </c>
      <c r="H752" s="40"/>
      <c r="I752" s="41"/>
      <c r="J752" s="41">
        <f t="shared" si="2"/>
        <v>3880.8414499999999</v>
      </c>
      <c r="K752" s="42" t="s">
        <v>5796</v>
      </c>
      <c r="L752" s="39">
        <v>700</v>
      </c>
    </row>
    <row r="753" spans="1:12" ht="11.25" customHeight="1">
      <c r="A753" s="39">
        <v>275</v>
      </c>
      <c r="B753" s="40" t="s">
        <v>6281</v>
      </c>
      <c r="C753" s="40" t="s">
        <v>11719</v>
      </c>
      <c r="D753" s="40" t="s">
        <v>836</v>
      </c>
      <c r="E753" s="41">
        <v>19291.68</v>
      </c>
      <c r="F753" s="40" t="s">
        <v>836</v>
      </c>
      <c r="G753" s="41">
        <v>19293.747800000001</v>
      </c>
      <c r="H753" s="40"/>
      <c r="I753" s="41"/>
      <c r="J753" s="41">
        <f t="shared" si="2"/>
        <v>19292.713900000002</v>
      </c>
      <c r="K753" s="42" t="s">
        <v>5796</v>
      </c>
      <c r="L753" s="39">
        <v>275</v>
      </c>
    </row>
    <row r="754" spans="1:12" ht="11.25" customHeight="1">
      <c r="A754" s="43">
        <v>107</v>
      </c>
      <c r="B754" s="44" t="s">
        <v>6282</v>
      </c>
      <c r="C754" s="44" t="s">
        <v>11720</v>
      </c>
      <c r="D754" s="44" t="s">
        <v>335</v>
      </c>
      <c r="E754" s="45">
        <v>60169.86</v>
      </c>
      <c r="F754" s="44" t="s">
        <v>335</v>
      </c>
      <c r="G754" s="45">
        <v>58798.720699999998</v>
      </c>
      <c r="H754" s="44"/>
      <c r="I754" s="45"/>
      <c r="J754" s="45">
        <f t="shared" si="2"/>
        <v>59484.290349999996</v>
      </c>
      <c r="K754" s="46" t="s">
        <v>5800</v>
      </c>
      <c r="L754" s="43">
        <v>107</v>
      </c>
    </row>
    <row r="755" spans="1:12" ht="11.25" customHeight="1">
      <c r="A755" s="39">
        <v>1920</v>
      </c>
      <c r="B755" s="40" t="s">
        <v>11721</v>
      </c>
      <c r="C755" s="40" t="s">
        <v>11722</v>
      </c>
      <c r="D755" s="40" t="s">
        <v>4633</v>
      </c>
      <c r="E755" s="41">
        <v>210.96</v>
      </c>
      <c r="F755" s="40" t="s">
        <v>4633</v>
      </c>
      <c r="G755" s="41">
        <v>210.97300000000001</v>
      </c>
      <c r="H755" s="40"/>
      <c r="I755" s="41"/>
      <c r="J755" s="41">
        <f t="shared" si="2"/>
        <v>210.9665</v>
      </c>
      <c r="K755" s="42" t="s">
        <v>5796</v>
      </c>
      <c r="L755" s="39">
        <v>1920</v>
      </c>
    </row>
    <row r="756" spans="1:12" ht="11.25" customHeight="1">
      <c r="A756" s="39">
        <v>364</v>
      </c>
      <c r="B756" s="40" t="s">
        <v>11723</v>
      </c>
      <c r="C756" s="40" t="s">
        <v>11724</v>
      </c>
      <c r="D756" s="40" t="s">
        <v>1100</v>
      </c>
      <c r="E756" s="41">
        <v>12019.56</v>
      </c>
      <c r="F756" s="40" t="s">
        <v>1100</v>
      </c>
      <c r="G756" s="41">
        <v>11927.3971</v>
      </c>
      <c r="H756" s="40"/>
      <c r="I756" s="41"/>
      <c r="J756" s="41">
        <f t="shared" si="2"/>
        <v>11973.47855</v>
      </c>
      <c r="K756" s="42" t="s">
        <v>5796</v>
      </c>
      <c r="L756" s="39">
        <v>364</v>
      </c>
    </row>
    <row r="757" spans="1:12" ht="11.25" customHeight="1">
      <c r="A757" s="39">
        <v>1525</v>
      </c>
      <c r="B757" s="40" t="s">
        <v>11725</v>
      </c>
      <c r="C757" s="40" t="s">
        <v>11726</v>
      </c>
      <c r="D757" s="40" t="s">
        <v>4012</v>
      </c>
      <c r="E757" s="41">
        <v>478.09</v>
      </c>
      <c r="F757" s="40" t="s">
        <v>4012</v>
      </c>
      <c r="G757" s="41">
        <v>478.03429999999997</v>
      </c>
      <c r="H757" s="40"/>
      <c r="I757" s="41"/>
      <c r="J757" s="41">
        <f t="shared" si="2"/>
        <v>478.06214999999997</v>
      </c>
      <c r="K757" s="42" t="s">
        <v>5796</v>
      </c>
      <c r="L757" s="39">
        <v>1525</v>
      </c>
    </row>
    <row r="758" spans="1:12" ht="11.25" customHeight="1">
      <c r="A758" s="39">
        <v>715</v>
      </c>
      <c r="B758" s="40" t="s">
        <v>11727</v>
      </c>
      <c r="C758" s="40" t="s">
        <v>11728</v>
      </c>
      <c r="D758" s="40" t="s">
        <v>2092</v>
      </c>
      <c r="E758" s="41">
        <v>3679.47</v>
      </c>
      <c r="F758" s="40" t="s">
        <v>2092</v>
      </c>
      <c r="G758" s="41">
        <v>3679.5297999999998</v>
      </c>
      <c r="H758" s="40"/>
      <c r="I758" s="41"/>
      <c r="J758" s="41">
        <f t="shared" si="2"/>
        <v>3679.4998999999998</v>
      </c>
      <c r="K758" s="42" t="s">
        <v>5796</v>
      </c>
      <c r="L758" s="39">
        <v>715</v>
      </c>
    </row>
    <row r="759" spans="1:12" ht="11.25" customHeight="1">
      <c r="A759" s="39">
        <v>612</v>
      </c>
      <c r="B759" s="40" t="s">
        <v>11729</v>
      </c>
      <c r="C759" s="40" t="s">
        <v>11730</v>
      </c>
      <c r="D759" s="40" t="s">
        <v>1808</v>
      </c>
      <c r="E759" s="41">
        <v>5035.38</v>
      </c>
      <c r="F759" s="40" t="s">
        <v>1808</v>
      </c>
      <c r="G759" s="41">
        <v>5034.4408999999996</v>
      </c>
      <c r="H759" s="40"/>
      <c r="I759" s="41"/>
      <c r="J759" s="41">
        <f t="shared" si="2"/>
        <v>5034.9104499999994</v>
      </c>
      <c r="K759" s="42" t="s">
        <v>5796</v>
      </c>
      <c r="L759" s="39">
        <v>612</v>
      </c>
    </row>
    <row r="760" spans="1:12" ht="11.25" customHeight="1">
      <c r="A760" s="39">
        <v>937</v>
      </c>
      <c r="B760" s="40" t="s">
        <v>11731</v>
      </c>
      <c r="C760" s="40" t="s">
        <v>11732</v>
      </c>
      <c r="D760" s="40" t="s">
        <v>2704</v>
      </c>
      <c r="E760" s="41">
        <v>2014.72</v>
      </c>
      <c r="F760" s="40" t="s">
        <v>2704</v>
      </c>
      <c r="G760" s="41">
        <v>2015.0319999999999</v>
      </c>
      <c r="H760" s="40"/>
      <c r="I760" s="41"/>
      <c r="J760" s="41">
        <f t="shared" si="2"/>
        <v>2014.876</v>
      </c>
      <c r="K760" s="42" t="s">
        <v>5796</v>
      </c>
      <c r="L760" s="39">
        <v>937</v>
      </c>
    </row>
    <row r="761" spans="1:12" ht="11.25" customHeight="1">
      <c r="A761" s="39">
        <v>992</v>
      </c>
      <c r="B761" s="40" t="s">
        <v>11733</v>
      </c>
      <c r="C761" s="40" t="s">
        <v>11734</v>
      </c>
      <c r="D761" s="40" t="s">
        <v>2842</v>
      </c>
      <c r="E761" s="41">
        <v>1753.75</v>
      </c>
      <c r="F761" s="40" t="s">
        <v>2842</v>
      </c>
      <c r="G761" s="41">
        <v>1754.1565000000001</v>
      </c>
      <c r="H761" s="40"/>
      <c r="I761" s="41"/>
      <c r="J761" s="41">
        <f t="shared" si="2"/>
        <v>1753.95325</v>
      </c>
      <c r="K761" s="42" t="s">
        <v>5796</v>
      </c>
      <c r="L761" s="39">
        <v>992</v>
      </c>
    </row>
    <row r="762" spans="1:12" ht="11.25" customHeight="1">
      <c r="A762" s="43">
        <v>200</v>
      </c>
      <c r="B762" s="44" t="s">
        <v>11735</v>
      </c>
      <c r="C762" s="44" t="s">
        <v>11736</v>
      </c>
      <c r="D762" s="44" t="s">
        <v>611</v>
      </c>
      <c r="E762" s="45">
        <v>30697.24</v>
      </c>
      <c r="F762" s="44" t="s">
        <v>611</v>
      </c>
      <c r="G762" s="45">
        <v>30700.285100000001</v>
      </c>
      <c r="H762" s="44"/>
      <c r="I762" s="45"/>
      <c r="J762" s="45">
        <f t="shared" si="2"/>
        <v>30698.762549999999</v>
      </c>
      <c r="K762" s="46" t="s">
        <v>5800</v>
      </c>
      <c r="L762" s="43">
        <v>200</v>
      </c>
    </row>
    <row r="763" spans="1:12" ht="11.25" customHeight="1">
      <c r="A763" s="39">
        <v>1055</v>
      </c>
      <c r="B763" s="40" t="s">
        <v>11737</v>
      </c>
      <c r="C763" s="40" t="s">
        <v>11738</v>
      </c>
      <c r="D763" s="40" t="s">
        <v>3007</v>
      </c>
      <c r="E763" s="41">
        <v>1480.28</v>
      </c>
      <c r="F763" s="40" t="s">
        <v>3007</v>
      </c>
      <c r="G763" s="41">
        <v>1480.2687000000001</v>
      </c>
      <c r="H763" s="40"/>
      <c r="I763" s="41"/>
      <c r="J763" s="41">
        <f t="shared" si="2"/>
        <v>1480.2743500000001</v>
      </c>
      <c r="K763" s="42" t="s">
        <v>5796</v>
      </c>
      <c r="L763" s="39">
        <v>1055</v>
      </c>
    </row>
    <row r="764" spans="1:12" ht="11.25" customHeight="1">
      <c r="A764" s="43">
        <v>244</v>
      </c>
      <c r="B764" s="44" t="s">
        <v>11739</v>
      </c>
      <c r="C764" s="44" t="s">
        <v>11740</v>
      </c>
      <c r="D764" s="44" t="s">
        <v>740</v>
      </c>
      <c r="E764" s="45">
        <v>22754.2</v>
      </c>
      <c r="F764" s="44" t="s">
        <v>740</v>
      </c>
      <c r="G764" s="45">
        <v>22745.9768</v>
      </c>
      <c r="H764" s="44"/>
      <c r="I764" s="45"/>
      <c r="J764" s="45">
        <f t="shared" si="2"/>
        <v>22750.088400000001</v>
      </c>
      <c r="K764" s="46" t="s">
        <v>5800</v>
      </c>
      <c r="L764" s="43">
        <v>244</v>
      </c>
    </row>
    <row r="765" spans="1:12" ht="11.25" customHeight="1">
      <c r="A765" s="39">
        <v>807</v>
      </c>
      <c r="B765" s="40" t="s">
        <v>11741</v>
      </c>
      <c r="C765" s="40" t="s">
        <v>11742</v>
      </c>
      <c r="D765" s="40" t="s">
        <v>2347</v>
      </c>
      <c r="E765" s="41">
        <v>2802.08</v>
      </c>
      <c r="F765" s="40" t="s">
        <v>2347</v>
      </c>
      <c r="G765" s="41">
        <v>2801.9213</v>
      </c>
      <c r="H765" s="40"/>
      <c r="I765" s="41"/>
      <c r="J765" s="41">
        <f t="shared" si="2"/>
        <v>2802.00065</v>
      </c>
      <c r="K765" s="42" t="s">
        <v>5796</v>
      </c>
      <c r="L765" s="39">
        <v>807</v>
      </c>
    </row>
    <row r="766" spans="1:12" ht="11.25" customHeight="1">
      <c r="A766" s="39">
        <v>1753</v>
      </c>
      <c r="B766" s="40" t="s">
        <v>11743</v>
      </c>
      <c r="C766" s="40" t="s">
        <v>11744</v>
      </c>
      <c r="D766" s="40" t="s">
        <v>4417</v>
      </c>
      <c r="E766" s="41">
        <v>302.45999999999998</v>
      </c>
      <c r="F766" s="40" t="s">
        <v>4417</v>
      </c>
      <c r="G766" s="41">
        <v>292.78750000000002</v>
      </c>
      <c r="H766" s="40"/>
      <c r="I766" s="41"/>
      <c r="J766" s="41">
        <f t="shared" si="2"/>
        <v>297.62374999999997</v>
      </c>
      <c r="K766" s="42" t="s">
        <v>5796</v>
      </c>
      <c r="L766" s="39">
        <v>1753</v>
      </c>
    </row>
    <row r="767" spans="1:12" ht="11.25" customHeight="1">
      <c r="A767" s="39">
        <v>804</v>
      </c>
      <c r="B767" s="40" t="s">
        <v>11745</v>
      </c>
      <c r="C767" s="40" t="s">
        <v>11746</v>
      </c>
      <c r="D767" s="40" t="s">
        <v>2338</v>
      </c>
      <c r="E767" s="41">
        <v>2826.89</v>
      </c>
      <c r="F767" s="40" t="s">
        <v>2338</v>
      </c>
      <c r="G767" s="41">
        <v>2826.8937999999998</v>
      </c>
      <c r="H767" s="40"/>
      <c r="I767" s="41"/>
      <c r="J767" s="41">
        <f t="shared" si="2"/>
        <v>2826.8918999999996</v>
      </c>
      <c r="K767" s="42" t="s">
        <v>5796</v>
      </c>
      <c r="L767" s="39">
        <v>804</v>
      </c>
    </row>
    <row r="768" spans="1:12" ht="11.25" customHeight="1">
      <c r="A768" s="39">
        <v>1818</v>
      </c>
      <c r="B768" s="40" t="s">
        <v>11747</v>
      </c>
      <c r="C768" s="40" t="s">
        <v>11748</v>
      </c>
      <c r="D768" s="40" t="s">
        <v>4498</v>
      </c>
      <c r="E768" s="41">
        <v>262.60000000000002</v>
      </c>
      <c r="F768" s="40" t="s">
        <v>4498</v>
      </c>
      <c r="G768" s="41">
        <v>261.49669999999998</v>
      </c>
      <c r="H768" s="40"/>
      <c r="I768" s="41"/>
      <c r="J768" s="41">
        <f t="shared" ref="J768:J1022" si="3">AVERAGE(E768,G768,I768)</f>
        <v>262.04835000000003</v>
      </c>
      <c r="K768" s="42" t="s">
        <v>5796</v>
      </c>
      <c r="L768" s="39">
        <v>1818</v>
      </c>
    </row>
    <row r="769" spans="1:12" ht="11.25" customHeight="1">
      <c r="A769" s="39">
        <v>2203</v>
      </c>
      <c r="B769" s="40" t="s">
        <v>11749</v>
      </c>
      <c r="C769" s="40" t="s">
        <v>11750</v>
      </c>
      <c r="D769" s="40" t="s">
        <v>5023</v>
      </c>
      <c r="E769" s="41">
        <v>131.85</v>
      </c>
      <c r="F769" s="40" t="s">
        <v>5023</v>
      </c>
      <c r="G769" s="41">
        <v>130.36369999999999</v>
      </c>
      <c r="H769" s="40"/>
      <c r="I769" s="41"/>
      <c r="J769" s="41">
        <f t="shared" si="3"/>
        <v>131.10685000000001</v>
      </c>
      <c r="K769" s="42" t="s">
        <v>5796</v>
      </c>
      <c r="L769" s="39">
        <v>2203</v>
      </c>
    </row>
    <row r="770" spans="1:12" ht="11.25" customHeight="1">
      <c r="A770" s="39">
        <v>841</v>
      </c>
      <c r="B770" s="40" t="s">
        <v>6291</v>
      </c>
      <c r="C770" s="40" t="s">
        <v>11751</v>
      </c>
      <c r="D770" s="40" t="s">
        <v>2443</v>
      </c>
      <c r="E770" s="41">
        <v>2559.5100000000002</v>
      </c>
      <c r="F770" s="40" t="s">
        <v>2443</v>
      </c>
      <c r="G770" s="41">
        <v>2558.6046999999999</v>
      </c>
      <c r="H770" s="40"/>
      <c r="I770" s="41"/>
      <c r="J770" s="41">
        <f t="shared" si="3"/>
        <v>2559.05735</v>
      </c>
      <c r="K770" s="42" t="s">
        <v>5796</v>
      </c>
      <c r="L770" s="39">
        <v>841</v>
      </c>
    </row>
    <row r="771" spans="1:12" ht="11.25" customHeight="1">
      <c r="A771" s="39">
        <v>881</v>
      </c>
      <c r="B771" s="40" t="s">
        <v>11752</v>
      </c>
      <c r="C771" s="40" t="s">
        <v>11753</v>
      </c>
      <c r="D771" s="40" t="s">
        <v>2557</v>
      </c>
      <c r="E771" s="41">
        <v>2251.4699999999998</v>
      </c>
      <c r="F771" s="40" t="s">
        <v>2557</v>
      </c>
      <c r="G771" s="41">
        <v>2251.8724999999999</v>
      </c>
      <c r="H771" s="40"/>
      <c r="I771" s="41"/>
      <c r="J771" s="41">
        <f t="shared" si="3"/>
        <v>2251.6712499999999</v>
      </c>
      <c r="K771" s="42" t="s">
        <v>5796</v>
      </c>
      <c r="L771" s="39">
        <v>881</v>
      </c>
    </row>
    <row r="772" spans="1:12" ht="11.25" customHeight="1">
      <c r="A772" s="39">
        <v>1199</v>
      </c>
      <c r="B772" s="40" t="s">
        <v>6292</v>
      </c>
      <c r="C772" s="40" t="s">
        <v>11754</v>
      </c>
      <c r="D772" s="40" t="s">
        <v>3349</v>
      </c>
      <c r="E772" s="41">
        <v>1051.56</v>
      </c>
      <c r="F772" s="40" t="s">
        <v>3349</v>
      </c>
      <c r="G772" s="41">
        <v>1050.6419000000001</v>
      </c>
      <c r="H772" s="40"/>
      <c r="I772" s="41"/>
      <c r="J772" s="41">
        <f t="shared" si="3"/>
        <v>1051.10095</v>
      </c>
      <c r="K772" s="42" t="s">
        <v>5796</v>
      </c>
      <c r="L772" s="39">
        <v>1199</v>
      </c>
    </row>
    <row r="773" spans="1:12" ht="11.25" customHeight="1">
      <c r="A773" s="39">
        <v>3209</v>
      </c>
      <c r="B773" s="40" t="s">
        <v>11755</v>
      </c>
      <c r="C773" s="40" t="s">
        <v>11756</v>
      </c>
      <c r="D773" s="40" t="s">
        <v>5625</v>
      </c>
      <c r="E773" s="41">
        <v>27.55</v>
      </c>
      <c r="F773" s="40" t="s">
        <v>5625</v>
      </c>
      <c r="G773" s="41">
        <v>27.450299999999999</v>
      </c>
      <c r="H773" s="40"/>
      <c r="I773" s="41"/>
      <c r="J773" s="41">
        <f t="shared" si="3"/>
        <v>27.500149999999998</v>
      </c>
      <c r="K773" s="42" t="s">
        <v>5796</v>
      </c>
      <c r="L773" s="39">
        <v>3209</v>
      </c>
    </row>
    <row r="774" spans="1:12" ht="11.25" customHeight="1">
      <c r="A774" s="39">
        <v>2158</v>
      </c>
      <c r="B774" s="40" t="s">
        <v>4964</v>
      </c>
      <c r="C774" s="40" t="s">
        <v>11757</v>
      </c>
      <c r="D774" s="40" t="s">
        <v>4966</v>
      </c>
      <c r="E774" s="41">
        <v>144.02000000000001</v>
      </c>
      <c r="F774" s="40" t="s">
        <v>4966</v>
      </c>
      <c r="G774" s="41">
        <v>143.90979999999999</v>
      </c>
      <c r="H774" s="40"/>
      <c r="I774" s="41"/>
      <c r="J774" s="41">
        <f t="shared" si="3"/>
        <v>143.9649</v>
      </c>
      <c r="K774" s="42" t="s">
        <v>5796</v>
      </c>
      <c r="L774" s="39">
        <v>2158</v>
      </c>
    </row>
    <row r="775" spans="1:12" ht="11.25" customHeight="1">
      <c r="A775" s="39">
        <v>2156</v>
      </c>
      <c r="B775" s="40" t="s">
        <v>11758</v>
      </c>
      <c r="C775" s="40" t="s">
        <v>11759</v>
      </c>
      <c r="D775" s="40" t="s">
        <v>4963</v>
      </c>
      <c r="E775" s="41">
        <v>144.55000000000001</v>
      </c>
      <c r="F775" s="40" t="s">
        <v>4963</v>
      </c>
      <c r="G775" s="41">
        <v>144.42779999999999</v>
      </c>
      <c r="H775" s="40"/>
      <c r="I775" s="41"/>
      <c r="J775" s="41">
        <f t="shared" si="3"/>
        <v>144.4889</v>
      </c>
      <c r="K775" s="42" t="s">
        <v>5796</v>
      </c>
      <c r="L775" s="39">
        <v>2156</v>
      </c>
    </row>
    <row r="776" spans="1:12" ht="11.25" customHeight="1">
      <c r="A776" s="43">
        <v>111</v>
      </c>
      <c r="B776" s="44" t="s">
        <v>11760</v>
      </c>
      <c r="C776" s="44" t="s">
        <v>11761</v>
      </c>
      <c r="D776" s="44" t="s">
        <v>347</v>
      </c>
      <c r="E776" s="45">
        <v>57987.96</v>
      </c>
      <c r="F776" s="44" t="s">
        <v>347</v>
      </c>
      <c r="G776" s="45">
        <v>57993.628700000001</v>
      </c>
      <c r="H776" s="44"/>
      <c r="I776" s="45"/>
      <c r="J776" s="45">
        <f t="shared" si="3"/>
        <v>57990.794349999996</v>
      </c>
      <c r="K776" s="46" t="s">
        <v>5800</v>
      </c>
      <c r="L776" s="43">
        <v>111</v>
      </c>
    </row>
    <row r="777" spans="1:12" ht="11.25" customHeight="1">
      <c r="A777" s="39">
        <v>512</v>
      </c>
      <c r="B777" s="40" t="s">
        <v>11762</v>
      </c>
      <c r="C777" s="40" t="s">
        <v>11763</v>
      </c>
      <c r="D777" s="40" t="s">
        <v>1523</v>
      </c>
      <c r="E777" s="41">
        <v>7160.47</v>
      </c>
      <c r="F777" s="40" t="s">
        <v>1523</v>
      </c>
      <c r="G777" s="41">
        <v>7161.0744999999997</v>
      </c>
      <c r="H777" s="40"/>
      <c r="I777" s="41"/>
      <c r="J777" s="41">
        <f t="shared" si="3"/>
        <v>7160.77225</v>
      </c>
      <c r="K777" s="42" t="s">
        <v>5796</v>
      </c>
      <c r="L777" s="39">
        <v>512</v>
      </c>
    </row>
    <row r="778" spans="1:12" ht="11.25" customHeight="1">
      <c r="A778" s="39">
        <v>903</v>
      </c>
      <c r="B778" s="40" t="s">
        <v>11764</v>
      </c>
      <c r="C778" s="40" t="s">
        <v>11765</v>
      </c>
      <c r="D778" s="40" t="s">
        <v>2617</v>
      </c>
      <c r="E778" s="41">
        <v>2148.7800000000002</v>
      </c>
      <c r="F778" s="40" t="s">
        <v>2617</v>
      </c>
      <c r="G778" s="41">
        <v>2148.627</v>
      </c>
      <c r="H778" s="40"/>
      <c r="I778" s="41"/>
      <c r="J778" s="41">
        <f t="shared" si="3"/>
        <v>2148.7035000000001</v>
      </c>
      <c r="K778" s="42" t="s">
        <v>5796</v>
      </c>
      <c r="L778" s="39">
        <v>903</v>
      </c>
    </row>
    <row r="779" spans="1:12" ht="11.25" customHeight="1">
      <c r="A779" s="39">
        <v>291</v>
      </c>
      <c r="B779" s="40" t="s">
        <v>11766</v>
      </c>
      <c r="C779" s="40" t="s">
        <v>11767</v>
      </c>
      <c r="D779" s="40" t="s">
        <v>884</v>
      </c>
      <c r="E779" s="41">
        <v>17522.79</v>
      </c>
      <c r="F779" s="40" t="s">
        <v>884</v>
      </c>
      <c r="G779" s="41">
        <v>17522.349300000002</v>
      </c>
      <c r="H779" s="40"/>
      <c r="I779" s="41"/>
      <c r="J779" s="41">
        <f t="shared" si="3"/>
        <v>17522.569650000001</v>
      </c>
      <c r="K779" s="42" t="s">
        <v>5796</v>
      </c>
      <c r="L779" s="39">
        <v>291</v>
      </c>
    </row>
    <row r="780" spans="1:12" ht="11.25" customHeight="1">
      <c r="A780" s="43">
        <v>129</v>
      </c>
      <c r="B780" s="44" t="s">
        <v>11768</v>
      </c>
      <c r="C780" s="44" t="s">
        <v>11769</v>
      </c>
      <c r="D780" s="44" t="s">
        <v>401</v>
      </c>
      <c r="E780" s="45">
        <v>49472.2</v>
      </c>
      <c r="F780" s="44" t="s">
        <v>401</v>
      </c>
      <c r="G780" s="45">
        <v>49310.891499999998</v>
      </c>
      <c r="H780" s="44"/>
      <c r="I780" s="45"/>
      <c r="J780" s="45">
        <f t="shared" si="3"/>
        <v>49391.545749999997</v>
      </c>
      <c r="K780" s="46" t="s">
        <v>5800</v>
      </c>
      <c r="L780" s="43">
        <v>129</v>
      </c>
    </row>
    <row r="781" spans="1:12" ht="11.25" customHeight="1">
      <c r="A781" s="39">
        <v>2160</v>
      </c>
      <c r="B781" s="40" t="s">
        <v>11770</v>
      </c>
      <c r="C781" s="40" t="s">
        <v>11771</v>
      </c>
      <c r="D781" s="40" t="s">
        <v>4969</v>
      </c>
      <c r="E781" s="41">
        <v>143.65</v>
      </c>
      <c r="F781" s="40" t="s">
        <v>4969</v>
      </c>
      <c r="G781" s="41">
        <v>143.51490000000001</v>
      </c>
      <c r="H781" s="40"/>
      <c r="I781" s="41"/>
      <c r="J781" s="41">
        <f t="shared" si="3"/>
        <v>143.58244999999999</v>
      </c>
      <c r="K781" s="42" t="s">
        <v>5796</v>
      </c>
      <c r="L781" s="39">
        <v>2160</v>
      </c>
    </row>
    <row r="782" spans="1:12" ht="11.25" customHeight="1">
      <c r="A782" s="39">
        <v>1099</v>
      </c>
      <c r="B782" s="40" t="s">
        <v>11772</v>
      </c>
      <c r="C782" s="40" t="s">
        <v>11773</v>
      </c>
      <c r="D782" s="40" t="s">
        <v>3112</v>
      </c>
      <c r="E782" s="41">
        <v>1329.02</v>
      </c>
      <c r="F782" s="40" t="s">
        <v>3112</v>
      </c>
      <c r="G782" s="41">
        <v>1323.7165</v>
      </c>
      <c r="H782" s="40"/>
      <c r="I782" s="41"/>
      <c r="J782" s="41">
        <f t="shared" si="3"/>
        <v>1326.36825</v>
      </c>
      <c r="K782" s="42" t="s">
        <v>5796</v>
      </c>
      <c r="L782" s="39">
        <v>1099</v>
      </c>
    </row>
    <row r="783" spans="1:12" ht="11.25" customHeight="1">
      <c r="A783" s="39">
        <v>579</v>
      </c>
      <c r="B783" s="40" t="s">
        <v>11774</v>
      </c>
      <c r="C783" s="40" t="s">
        <v>11775</v>
      </c>
      <c r="D783" s="40" t="s">
        <v>11776</v>
      </c>
      <c r="E783" s="41">
        <v>5842.16</v>
      </c>
      <c r="F783" s="40" t="s">
        <v>11776</v>
      </c>
      <c r="G783" s="41">
        <v>5843.0038999999997</v>
      </c>
      <c r="H783" s="40"/>
      <c r="I783" s="41"/>
      <c r="J783" s="41">
        <f t="shared" si="3"/>
        <v>5842.5819499999998</v>
      </c>
      <c r="K783" s="42" t="s">
        <v>5796</v>
      </c>
      <c r="L783" s="39">
        <v>579</v>
      </c>
    </row>
    <row r="784" spans="1:12" ht="11.25" customHeight="1">
      <c r="A784" s="47">
        <v>57</v>
      </c>
      <c r="B784" s="48" t="s">
        <v>11777</v>
      </c>
      <c r="C784" s="48" t="s">
        <v>11778</v>
      </c>
      <c r="D784" s="48" t="s">
        <v>182</v>
      </c>
      <c r="E784" s="49">
        <v>99914.4</v>
      </c>
      <c r="F784" s="48" t="s">
        <v>182</v>
      </c>
      <c r="G784" s="49">
        <v>99894.563999999998</v>
      </c>
      <c r="H784" s="48"/>
      <c r="I784" s="49"/>
      <c r="J784" s="49">
        <f t="shared" si="3"/>
        <v>99904.481999999989</v>
      </c>
      <c r="K784" s="50" t="s">
        <v>5815</v>
      </c>
      <c r="L784" s="47">
        <v>57</v>
      </c>
    </row>
    <row r="785" spans="1:12" ht="11.25" customHeight="1">
      <c r="A785" s="39">
        <v>515</v>
      </c>
      <c r="B785" s="40" t="s">
        <v>11779</v>
      </c>
      <c r="C785" s="40" t="s">
        <v>11780</v>
      </c>
      <c r="D785" s="40" t="s">
        <v>1532</v>
      </c>
      <c r="E785" s="41">
        <v>7128.13</v>
      </c>
      <c r="F785" s="40" t="s">
        <v>1532</v>
      </c>
      <c r="G785" s="41">
        <v>7128.5505000000003</v>
      </c>
      <c r="H785" s="40"/>
      <c r="I785" s="41"/>
      <c r="J785" s="41">
        <f t="shared" si="3"/>
        <v>7128.3402500000002</v>
      </c>
      <c r="K785" s="42" t="s">
        <v>5796</v>
      </c>
      <c r="L785" s="39">
        <v>515</v>
      </c>
    </row>
    <row r="786" spans="1:12" ht="11.25" customHeight="1">
      <c r="A786" s="39">
        <v>1169</v>
      </c>
      <c r="B786" s="40" t="s">
        <v>11781</v>
      </c>
      <c r="C786" s="40" t="s">
        <v>11782</v>
      </c>
      <c r="D786" s="40" t="s">
        <v>3274</v>
      </c>
      <c r="E786" s="41">
        <v>1112.6099999999999</v>
      </c>
      <c r="F786" s="40" t="s">
        <v>3274</v>
      </c>
      <c r="G786" s="41">
        <v>1112.8619000000001</v>
      </c>
      <c r="H786" s="40"/>
      <c r="I786" s="41"/>
      <c r="J786" s="41">
        <f t="shared" si="3"/>
        <v>1112.73595</v>
      </c>
      <c r="K786" s="42" t="s">
        <v>5796</v>
      </c>
      <c r="L786" s="39">
        <v>1169</v>
      </c>
    </row>
    <row r="787" spans="1:12" ht="11.25" customHeight="1">
      <c r="A787" s="39">
        <v>1294</v>
      </c>
      <c r="B787" s="40" t="s">
        <v>11783</v>
      </c>
      <c r="C787" s="40" t="s">
        <v>11784</v>
      </c>
      <c r="D787" s="40" t="s">
        <v>3559</v>
      </c>
      <c r="E787" s="41">
        <v>820.94</v>
      </c>
      <c r="F787" s="40" t="s">
        <v>3559</v>
      </c>
      <c r="G787" s="41">
        <v>821.0951</v>
      </c>
      <c r="H787" s="40"/>
      <c r="I787" s="41"/>
      <c r="J787" s="41">
        <f t="shared" si="3"/>
        <v>821.01755000000003</v>
      </c>
      <c r="K787" s="42" t="s">
        <v>5796</v>
      </c>
      <c r="L787" s="39">
        <v>1294</v>
      </c>
    </row>
    <row r="788" spans="1:12" ht="11.25" customHeight="1">
      <c r="A788" s="39">
        <v>1488</v>
      </c>
      <c r="B788" s="40" t="s">
        <v>11785</v>
      </c>
      <c r="C788" s="40" t="s">
        <v>11786</v>
      </c>
      <c r="D788" s="40" t="s">
        <v>3937</v>
      </c>
      <c r="E788" s="41">
        <v>525.79999999999995</v>
      </c>
      <c r="F788" s="40" t="s">
        <v>3937</v>
      </c>
      <c r="G788" s="41">
        <v>525.86839999999995</v>
      </c>
      <c r="H788" s="40"/>
      <c r="I788" s="41"/>
      <c r="J788" s="41">
        <f t="shared" si="3"/>
        <v>525.83420000000001</v>
      </c>
      <c r="K788" s="42" t="s">
        <v>5796</v>
      </c>
      <c r="L788" s="39">
        <v>1488</v>
      </c>
    </row>
    <row r="789" spans="1:12" ht="11.25" customHeight="1">
      <c r="A789" s="39">
        <v>767</v>
      </c>
      <c r="B789" s="40" t="s">
        <v>11787</v>
      </c>
      <c r="C789" s="40" t="s">
        <v>11788</v>
      </c>
      <c r="D789" s="40" t="s">
        <v>2248</v>
      </c>
      <c r="E789" s="41">
        <v>3151.77</v>
      </c>
      <c r="F789" s="40" t="s">
        <v>2248</v>
      </c>
      <c r="G789" s="41">
        <v>3151.8616999999999</v>
      </c>
      <c r="H789" s="40"/>
      <c r="I789" s="41"/>
      <c r="J789" s="41">
        <f t="shared" si="3"/>
        <v>3151.81585</v>
      </c>
      <c r="K789" s="42" t="s">
        <v>5796</v>
      </c>
      <c r="L789" s="39">
        <v>767</v>
      </c>
    </row>
    <row r="790" spans="1:12" ht="11.25" customHeight="1">
      <c r="A790" s="39">
        <v>1108</v>
      </c>
      <c r="B790" s="40" t="s">
        <v>11789</v>
      </c>
      <c r="C790" s="40" t="s">
        <v>11790</v>
      </c>
      <c r="D790" s="40" t="s">
        <v>3133</v>
      </c>
      <c r="E790" s="41">
        <v>1304.58</v>
      </c>
      <c r="F790" s="40" t="s">
        <v>3133</v>
      </c>
      <c r="G790" s="41">
        <v>1304.376</v>
      </c>
      <c r="H790" s="40"/>
      <c r="I790" s="41"/>
      <c r="J790" s="41">
        <f t="shared" si="3"/>
        <v>1304.4780000000001</v>
      </c>
      <c r="K790" s="42" t="s">
        <v>5796</v>
      </c>
      <c r="L790" s="39">
        <v>1108</v>
      </c>
    </row>
    <row r="791" spans="1:12" ht="11.25" customHeight="1">
      <c r="A791" s="39">
        <v>912</v>
      </c>
      <c r="B791" s="40" t="s">
        <v>11791</v>
      </c>
      <c r="C791" s="40" t="s">
        <v>11792</v>
      </c>
      <c r="D791" s="40" t="s">
        <v>2644</v>
      </c>
      <c r="E791" s="41">
        <v>2108.06</v>
      </c>
      <c r="F791" s="40" t="s">
        <v>2644</v>
      </c>
      <c r="G791" s="41">
        <v>2108.9706999999999</v>
      </c>
      <c r="H791" s="40"/>
      <c r="I791" s="41"/>
      <c r="J791" s="41">
        <f t="shared" si="3"/>
        <v>2108.5153499999997</v>
      </c>
      <c r="K791" s="42" t="s">
        <v>5796</v>
      </c>
      <c r="L791" s="39">
        <v>912</v>
      </c>
    </row>
    <row r="792" spans="1:12" ht="11.25" customHeight="1">
      <c r="A792" s="39">
        <v>1491</v>
      </c>
      <c r="B792" s="40" t="s">
        <v>11793</v>
      </c>
      <c r="C792" s="40" t="s">
        <v>11794</v>
      </c>
      <c r="D792" s="40" t="s">
        <v>3943</v>
      </c>
      <c r="E792" s="41">
        <v>521.21</v>
      </c>
      <c r="F792" s="40" t="s">
        <v>3943</v>
      </c>
      <c r="G792" s="41">
        <v>521.69889999999998</v>
      </c>
      <c r="H792" s="40"/>
      <c r="I792" s="41"/>
      <c r="J792" s="41">
        <f t="shared" si="3"/>
        <v>521.45444999999995</v>
      </c>
      <c r="K792" s="42" t="s">
        <v>5796</v>
      </c>
      <c r="L792" s="39">
        <v>1491</v>
      </c>
    </row>
    <row r="793" spans="1:12" ht="11.25" customHeight="1">
      <c r="A793" s="39">
        <v>1885</v>
      </c>
      <c r="B793" s="40" t="s">
        <v>11795</v>
      </c>
      <c r="C793" s="40" t="s">
        <v>11796</v>
      </c>
      <c r="D793" s="40" t="s">
        <v>4588</v>
      </c>
      <c r="E793" s="41">
        <v>229.9</v>
      </c>
      <c r="F793" s="40" t="s">
        <v>4588</v>
      </c>
      <c r="G793" s="41">
        <v>229.7431</v>
      </c>
      <c r="H793" s="40"/>
      <c r="I793" s="41"/>
      <c r="J793" s="41">
        <f t="shared" si="3"/>
        <v>229.82155</v>
      </c>
      <c r="K793" s="42" t="s">
        <v>5796</v>
      </c>
      <c r="L793" s="39">
        <v>1885</v>
      </c>
    </row>
    <row r="794" spans="1:12" ht="11.25" customHeight="1">
      <c r="A794" s="39">
        <v>2085</v>
      </c>
      <c r="B794" s="40" t="s">
        <v>11797</v>
      </c>
      <c r="C794" s="40" t="s">
        <v>11798</v>
      </c>
      <c r="D794" s="40" t="s">
        <v>4855</v>
      </c>
      <c r="E794" s="41">
        <v>165.53</v>
      </c>
      <c r="F794" s="40" t="s">
        <v>4855</v>
      </c>
      <c r="G794" s="41">
        <v>165.2739</v>
      </c>
      <c r="H794" s="40"/>
      <c r="I794" s="41"/>
      <c r="J794" s="41">
        <f t="shared" si="3"/>
        <v>165.40195</v>
      </c>
      <c r="K794" s="42" t="s">
        <v>5796</v>
      </c>
      <c r="L794" s="39">
        <v>2085</v>
      </c>
    </row>
    <row r="795" spans="1:12" ht="11.25" customHeight="1">
      <c r="A795" s="39">
        <v>1045</v>
      </c>
      <c r="B795" s="40" t="s">
        <v>11799</v>
      </c>
      <c r="C795" s="40" t="s">
        <v>11800</v>
      </c>
      <c r="D795" s="40" t="s">
        <v>2983</v>
      </c>
      <c r="E795" s="41">
        <v>1505.55</v>
      </c>
      <c r="F795" s="40" t="s">
        <v>2983</v>
      </c>
      <c r="G795" s="41">
        <v>1504.6016</v>
      </c>
      <c r="H795" s="40"/>
      <c r="I795" s="41"/>
      <c r="J795" s="41">
        <f t="shared" si="3"/>
        <v>1505.0758000000001</v>
      </c>
      <c r="K795" s="42" t="s">
        <v>5796</v>
      </c>
      <c r="L795" s="39">
        <v>1045</v>
      </c>
    </row>
    <row r="796" spans="1:12" ht="11.25" customHeight="1">
      <c r="A796" s="39">
        <v>1476</v>
      </c>
      <c r="B796" s="40" t="s">
        <v>11801</v>
      </c>
      <c r="C796" s="40" t="s">
        <v>11802</v>
      </c>
      <c r="D796" s="40" t="s">
        <v>3907</v>
      </c>
      <c r="E796" s="41">
        <v>546.4</v>
      </c>
      <c r="F796" s="40" t="s">
        <v>3907</v>
      </c>
      <c r="G796" s="41">
        <v>546.41769999999997</v>
      </c>
      <c r="H796" s="40"/>
      <c r="I796" s="41"/>
      <c r="J796" s="41">
        <f t="shared" si="3"/>
        <v>546.40885000000003</v>
      </c>
      <c r="K796" s="42" t="s">
        <v>5796</v>
      </c>
      <c r="L796" s="39">
        <v>1476</v>
      </c>
    </row>
    <row r="797" spans="1:12" ht="11.25" customHeight="1">
      <c r="A797" s="39">
        <v>2454</v>
      </c>
      <c r="B797" s="40" t="s">
        <v>11803</v>
      </c>
      <c r="C797" s="40" t="s">
        <v>11804</v>
      </c>
      <c r="D797" s="40" t="s">
        <v>5262</v>
      </c>
      <c r="E797" s="41">
        <v>89.83</v>
      </c>
      <c r="F797" s="40" t="s">
        <v>5262</v>
      </c>
      <c r="G797" s="41">
        <v>89.568200000000004</v>
      </c>
      <c r="H797" s="40"/>
      <c r="I797" s="41"/>
      <c r="J797" s="41">
        <f t="shared" si="3"/>
        <v>89.699100000000001</v>
      </c>
      <c r="K797" s="42" t="s">
        <v>5796</v>
      </c>
      <c r="L797" s="39">
        <v>2454</v>
      </c>
    </row>
    <row r="798" spans="1:12" ht="11.25" customHeight="1">
      <c r="A798" s="39">
        <v>1820</v>
      </c>
      <c r="B798" s="40" t="s">
        <v>11805</v>
      </c>
      <c r="C798" s="40" t="s">
        <v>11806</v>
      </c>
      <c r="D798" s="40" t="s">
        <v>4501</v>
      </c>
      <c r="E798" s="41">
        <v>261.36</v>
      </c>
      <c r="F798" s="40" t="s">
        <v>4501</v>
      </c>
      <c r="G798" s="41">
        <v>261.33339999999998</v>
      </c>
      <c r="H798" s="40"/>
      <c r="I798" s="41"/>
      <c r="J798" s="41">
        <f t="shared" si="3"/>
        <v>261.3467</v>
      </c>
      <c r="K798" s="42" t="s">
        <v>5796</v>
      </c>
      <c r="L798" s="39">
        <v>1820</v>
      </c>
    </row>
    <row r="799" spans="1:12" ht="11.25" customHeight="1">
      <c r="A799" s="47">
        <v>52</v>
      </c>
      <c r="B799" s="48" t="s">
        <v>11807</v>
      </c>
      <c r="C799" s="48" t="s">
        <v>11808</v>
      </c>
      <c r="D799" s="48" t="s">
        <v>167</v>
      </c>
      <c r="E799" s="49">
        <v>112390.81</v>
      </c>
      <c r="F799" s="48" t="s">
        <v>167</v>
      </c>
      <c r="G799" s="49">
        <v>112344.2475</v>
      </c>
      <c r="H799" s="48"/>
      <c r="I799" s="49"/>
      <c r="J799" s="49">
        <f t="shared" si="3"/>
        <v>112367.52875</v>
      </c>
      <c r="K799" s="50" t="s">
        <v>5815</v>
      </c>
      <c r="L799" s="47">
        <v>52</v>
      </c>
    </row>
    <row r="800" spans="1:12" ht="11.25" customHeight="1">
      <c r="A800" s="43">
        <v>135</v>
      </c>
      <c r="B800" s="44" t="s">
        <v>6313</v>
      </c>
      <c r="C800" s="44" t="s">
        <v>11809</v>
      </c>
      <c r="D800" s="44" t="s">
        <v>416</v>
      </c>
      <c r="E800" s="45">
        <v>48504.41</v>
      </c>
      <c r="F800" s="44" t="s">
        <v>416</v>
      </c>
      <c r="G800" s="45">
        <v>48508.104399999997</v>
      </c>
      <c r="H800" s="44"/>
      <c r="I800" s="45"/>
      <c r="J800" s="45">
        <f t="shared" si="3"/>
        <v>48506.2572</v>
      </c>
      <c r="K800" s="46" t="s">
        <v>5800</v>
      </c>
      <c r="L800" s="43">
        <v>135</v>
      </c>
    </row>
    <row r="801" spans="1:12" ht="11.25" customHeight="1">
      <c r="A801" s="39">
        <v>624</v>
      </c>
      <c r="B801" s="40" t="s">
        <v>6314</v>
      </c>
      <c r="C801" s="40" t="s">
        <v>11810</v>
      </c>
      <c r="D801" s="40" t="s">
        <v>1844</v>
      </c>
      <c r="E801" s="41">
        <v>4879.96</v>
      </c>
      <c r="F801" s="40" t="s">
        <v>1844</v>
      </c>
      <c r="G801" s="41">
        <v>4843.0933000000005</v>
      </c>
      <c r="H801" s="40"/>
      <c r="I801" s="41"/>
      <c r="J801" s="41">
        <f t="shared" si="3"/>
        <v>4861.5266499999998</v>
      </c>
      <c r="K801" s="42" t="s">
        <v>5796</v>
      </c>
      <c r="L801" s="39">
        <v>624</v>
      </c>
    </row>
    <row r="802" spans="1:12" ht="11.25" customHeight="1">
      <c r="A802" s="39">
        <v>1172</v>
      </c>
      <c r="B802" s="40" t="s">
        <v>11811</v>
      </c>
      <c r="C802" s="40" t="s">
        <v>11812</v>
      </c>
      <c r="D802" s="40" t="s">
        <v>3280</v>
      </c>
      <c r="E802" s="41">
        <v>1103.1199999999999</v>
      </c>
      <c r="F802" s="40" t="s">
        <v>3280</v>
      </c>
      <c r="G802" s="41">
        <v>1103.2384</v>
      </c>
      <c r="H802" s="40"/>
      <c r="I802" s="41"/>
      <c r="J802" s="41">
        <f t="shared" si="3"/>
        <v>1103.1792</v>
      </c>
      <c r="K802" s="42" t="s">
        <v>5796</v>
      </c>
      <c r="L802" s="39">
        <v>1172</v>
      </c>
    </row>
    <row r="803" spans="1:12" ht="11.25" customHeight="1">
      <c r="A803" s="39">
        <v>3232</v>
      </c>
      <c r="B803" s="40" t="s">
        <v>11813</v>
      </c>
      <c r="C803" s="40" t="s">
        <v>11814</v>
      </c>
      <c r="D803" s="40" t="s">
        <v>5634</v>
      </c>
      <c r="E803" s="41">
        <v>26.69</v>
      </c>
      <c r="F803" s="40" t="s">
        <v>5634</v>
      </c>
      <c r="G803" s="41">
        <v>26.633299999999998</v>
      </c>
      <c r="H803" s="40"/>
      <c r="I803" s="41"/>
      <c r="J803" s="41">
        <f t="shared" si="3"/>
        <v>26.661650000000002</v>
      </c>
      <c r="K803" s="42" t="s">
        <v>5796</v>
      </c>
      <c r="L803" s="39">
        <v>3232</v>
      </c>
    </row>
    <row r="804" spans="1:12" ht="11.25" customHeight="1">
      <c r="A804" s="47">
        <v>6</v>
      </c>
      <c r="B804" s="48" t="s">
        <v>11815</v>
      </c>
      <c r="C804" s="48" t="s">
        <v>11816</v>
      </c>
      <c r="D804" s="48" t="s">
        <v>24</v>
      </c>
      <c r="E804" s="49">
        <v>594532.93999999994</v>
      </c>
      <c r="F804" s="48" t="s">
        <v>24</v>
      </c>
      <c r="G804" s="49">
        <v>594539.35919999995</v>
      </c>
      <c r="H804" s="48"/>
      <c r="I804" s="49"/>
      <c r="J804" s="49">
        <f t="shared" si="3"/>
        <v>594536.14959999989</v>
      </c>
      <c r="K804" s="50" t="s">
        <v>5815</v>
      </c>
      <c r="L804" s="47">
        <v>6</v>
      </c>
    </row>
    <row r="805" spans="1:12" ht="11.25" customHeight="1">
      <c r="A805" s="39">
        <v>431</v>
      </c>
      <c r="B805" s="40" t="s">
        <v>11817</v>
      </c>
      <c r="C805" s="40" t="s">
        <v>11818</v>
      </c>
      <c r="D805" s="40" t="s">
        <v>1289</v>
      </c>
      <c r="E805" s="41">
        <v>9405.23</v>
      </c>
      <c r="F805" s="40" t="s">
        <v>1289</v>
      </c>
      <c r="G805" s="41">
        <v>9405.4297000000006</v>
      </c>
      <c r="H805" s="40"/>
      <c r="I805" s="41"/>
      <c r="J805" s="41">
        <f t="shared" si="3"/>
        <v>9405.3298500000001</v>
      </c>
      <c r="K805" s="42" t="s">
        <v>5796</v>
      </c>
      <c r="L805" s="39">
        <v>431</v>
      </c>
    </row>
    <row r="806" spans="1:12" ht="11.25" customHeight="1">
      <c r="A806" s="39">
        <v>776</v>
      </c>
      <c r="B806" s="40" t="s">
        <v>11819</v>
      </c>
      <c r="C806" s="40" t="s">
        <v>11820</v>
      </c>
      <c r="D806" s="40" t="s">
        <v>11821</v>
      </c>
      <c r="E806" s="41">
        <v>3119.62</v>
      </c>
      <c r="F806" s="40" t="s">
        <v>11821</v>
      </c>
      <c r="G806" s="41">
        <v>3098.1577000000002</v>
      </c>
      <c r="H806" s="40"/>
      <c r="I806" s="41"/>
      <c r="J806" s="41">
        <f t="shared" si="3"/>
        <v>3108.8888500000003</v>
      </c>
      <c r="K806" s="42" t="s">
        <v>5796</v>
      </c>
      <c r="L806" s="39">
        <v>776</v>
      </c>
    </row>
    <row r="807" spans="1:12" ht="11.25" customHeight="1">
      <c r="A807" s="39">
        <v>925</v>
      </c>
      <c r="B807" s="40" t="s">
        <v>6317</v>
      </c>
      <c r="C807" s="40" t="s">
        <v>11822</v>
      </c>
      <c r="D807" s="40" t="s">
        <v>2674</v>
      </c>
      <c r="E807" s="41">
        <v>2074.06</v>
      </c>
      <c r="F807" s="40" t="s">
        <v>2674</v>
      </c>
      <c r="G807" s="41">
        <v>2071.2739000000001</v>
      </c>
      <c r="H807" s="40"/>
      <c r="I807" s="41"/>
      <c r="J807" s="41">
        <f t="shared" si="3"/>
        <v>2072.6669499999998</v>
      </c>
      <c r="K807" s="42" t="s">
        <v>5796</v>
      </c>
      <c r="L807" s="39">
        <v>925</v>
      </c>
    </row>
    <row r="808" spans="1:12" ht="11.25" customHeight="1">
      <c r="A808" s="39">
        <v>461</v>
      </c>
      <c r="B808" s="40" t="s">
        <v>11823</v>
      </c>
      <c r="C808" s="40" t="s">
        <v>11824</v>
      </c>
      <c r="D808" s="40" t="s">
        <v>11825</v>
      </c>
      <c r="E808" s="41">
        <v>8240.19</v>
      </c>
      <c r="F808" s="40" t="s">
        <v>11825</v>
      </c>
      <c r="G808" s="41">
        <v>8240.5694000000003</v>
      </c>
      <c r="H808" s="40"/>
      <c r="I808" s="41"/>
      <c r="J808" s="41">
        <f t="shared" si="3"/>
        <v>8240.3797000000013</v>
      </c>
      <c r="K808" s="42" t="s">
        <v>5796</v>
      </c>
      <c r="L808" s="39">
        <v>461</v>
      </c>
    </row>
    <row r="809" spans="1:12" ht="11.25" customHeight="1">
      <c r="A809" s="39">
        <v>476</v>
      </c>
      <c r="B809" s="40" t="s">
        <v>11826</v>
      </c>
      <c r="C809" s="40" t="s">
        <v>11827</v>
      </c>
      <c r="D809" s="40" t="s">
        <v>1418</v>
      </c>
      <c r="E809" s="41">
        <v>7885.92</v>
      </c>
      <c r="F809" s="40" t="s">
        <v>1418</v>
      </c>
      <c r="G809" s="41">
        <v>7887.4278999999997</v>
      </c>
      <c r="H809" s="40"/>
      <c r="I809" s="41"/>
      <c r="J809" s="41">
        <f t="shared" si="3"/>
        <v>7886.6739500000003</v>
      </c>
      <c r="K809" s="42" t="s">
        <v>5796</v>
      </c>
      <c r="L809" s="39">
        <v>476</v>
      </c>
    </row>
    <row r="810" spans="1:12" ht="11.25" customHeight="1">
      <c r="A810" s="39">
        <v>1038</v>
      </c>
      <c r="B810" s="40" t="s">
        <v>11828</v>
      </c>
      <c r="C810" s="40" t="s">
        <v>11829</v>
      </c>
      <c r="D810" s="40" t="s">
        <v>2965</v>
      </c>
      <c r="E810" s="41">
        <v>1535.81</v>
      </c>
      <c r="F810" s="40" t="s">
        <v>2965</v>
      </c>
      <c r="G810" s="41">
        <v>1536.2698</v>
      </c>
      <c r="H810" s="40"/>
      <c r="I810" s="41"/>
      <c r="J810" s="41">
        <f t="shared" si="3"/>
        <v>1536.0399</v>
      </c>
      <c r="K810" s="42" t="s">
        <v>5796</v>
      </c>
      <c r="L810" s="39">
        <v>1038</v>
      </c>
    </row>
    <row r="811" spans="1:12" ht="11.25" customHeight="1">
      <c r="A811" s="39">
        <v>1762</v>
      </c>
      <c r="B811" s="40" t="s">
        <v>11830</v>
      </c>
      <c r="C811" s="40" t="s">
        <v>11831</v>
      </c>
      <c r="D811" s="40" t="s">
        <v>4423</v>
      </c>
      <c r="E811" s="41">
        <v>292.94</v>
      </c>
      <c r="F811" s="40" t="s">
        <v>4423</v>
      </c>
      <c r="G811" s="41">
        <v>293.70479999999998</v>
      </c>
      <c r="H811" s="40"/>
      <c r="I811" s="41"/>
      <c r="J811" s="41">
        <f t="shared" si="3"/>
        <v>293.32240000000002</v>
      </c>
      <c r="K811" s="42" t="s">
        <v>5796</v>
      </c>
      <c r="L811" s="39">
        <v>1762</v>
      </c>
    </row>
    <row r="812" spans="1:12" ht="11.25" customHeight="1">
      <c r="A812" s="39">
        <v>428</v>
      </c>
      <c r="B812" s="40" t="s">
        <v>6319</v>
      </c>
      <c r="C812" s="40" t="s">
        <v>11832</v>
      </c>
      <c r="D812" s="40" t="s">
        <v>1283</v>
      </c>
      <c r="E812" s="41">
        <v>9482.08</v>
      </c>
      <c r="F812" s="40" t="s">
        <v>1283</v>
      </c>
      <c r="G812" s="41">
        <v>9463.5445999999993</v>
      </c>
      <c r="H812" s="40"/>
      <c r="I812" s="41"/>
      <c r="J812" s="41">
        <f t="shared" si="3"/>
        <v>9472.8122999999996</v>
      </c>
      <c r="K812" s="42" t="s">
        <v>5796</v>
      </c>
      <c r="L812" s="39">
        <v>428</v>
      </c>
    </row>
    <row r="813" spans="1:12" ht="11.25" customHeight="1">
      <c r="A813" s="39">
        <v>1943</v>
      </c>
      <c r="B813" s="40" t="s">
        <v>11833</v>
      </c>
      <c r="C813" s="40" t="s">
        <v>11834</v>
      </c>
      <c r="D813" s="40" t="s">
        <v>4651</v>
      </c>
      <c r="E813" s="41">
        <v>204.73</v>
      </c>
      <c r="F813" s="40" t="s">
        <v>4651</v>
      </c>
      <c r="G813" s="41">
        <v>205.50909999999999</v>
      </c>
      <c r="H813" s="40"/>
      <c r="I813" s="41"/>
      <c r="J813" s="41">
        <f t="shared" si="3"/>
        <v>205.11955</v>
      </c>
      <c r="K813" s="42" t="s">
        <v>5796</v>
      </c>
      <c r="L813" s="39">
        <v>1943</v>
      </c>
    </row>
    <row r="814" spans="1:12" ht="11.25" customHeight="1">
      <c r="A814" s="39">
        <v>1478</v>
      </c>
      <c r="B814" s="40" t="s">
        <v>11835</v>
      </c>
      <c r="C814" s="40" t="s">
        <v>11836</v>
      </c>
      <c r="D814" s="40" t="s">
        <v>3913</v>
      </c>
      <c r="E814" s="41">
        <v>556.64</v>
      </c>
      <c r="F814" s="40" t="s">
        <v>3913</v>
      </c>
      <c r="G814" s="41">
        <v>522.54449999999997</v>
      </c>
      <c r="H814" s="40"/>
      <c r="I814" s="41"/>
      <c r="J814" s="41">
        <f t="shared" si="3"/>
        <v>539.59224999999992</v>
      </c>
      <c r="K814" s="42" t="s">
        <v>5796</v>
      </c>
      <c r="L814" s="39">
        <v>1478</v>
      </c>
    </row>
    <row r="815" spans="1:12" ht="11.25" customHeight="1">
      <c r="A815" s="39">
        <v>2010</v>
      </c>
      <c r="B815" s="40" t="s">
        <v>6322</v>
      </c>
      <c r="C815" s="40" t="s">
        <v>11837</v>
      </c>
      <c r="D815" s="40" t="s">
        <v>4759</v>
      </c>
      <c r="E815" s="41">
        <v>184.35</v>
      </c>
      <c r="F815" s="40" t="s">
        <v>4759</v>
      </c>
      <c r="G815" s="41">
        <v>184.0548</v>
      </c>
      <c r="H815" s="40"/>
      <c r="I815" s="41"/>
      <c r="J815" s="41">
        <f t="shared" si="3"/>
        <v>184.20240000000001</v>
      </c>
      <c r="K815" s="42" t="s">
        <v>5796</v>
      </c>
      <c r="L815" s="39">
        <v>2010</v>
      </c>
    </row>
    <row r="816" spans="1:12" ht="11.25" customHeight="1">
      <c r="A816" s="47">
        <v>93</v>
      </c>
      <c r="B816" s="48" t="s">
        <v>11838</v>
      </c>
      <c r="C816" s="48" t="s">
        <v>11839</v>
      </c>
      <c r="D816" s="48" t="s">
        <v>293</v>
      </c>
      <c r="E816" s="49">
        <v>69089.23</v>
      </c>
      <c r="F816" s="48" t="s">
        <v>293</v>
      </c>
      <c r="G816" s="49">
        <v>69077.646099999998</v>
      </c>
      <c r="H816" s="48"/>
      <c r="I816" s="49"/>
      <c r="J816" s="49">
        <f t="shared" si="3"/>
        <v>69083.438049999997</v>
      </c>
      <c r="K816" s="50" t="s">
        <v>5815</v>
      </c>
      <c r="L816" s="47">
        <v>93</v>
      </c>
    </row>
    <row r="817" spans="1:12" ht="11.25" customHeight="1">
      <c r="A817" s="47">
        <v>39</v>
      </c>
      <c r="B817" s="48" t="s">
        <v>11840</v>
      </c>
      <c r="C817" s="48" t="s">
        <v>11841</v>
      </c>
      <c r="D817" s="48" t="s">
        <v>128</v>
      </c>
      <c r="E817" s="49">
        <v>139817.10999999999</v>
      </c>
      <c r="F817" s="48" t="s">
        <v>128</v>
      </c>
      <c r="G817" s="49">
        <v>139836.70189999999</v>
      </c>
      <c r="H817" s="48"/>
      <c r="I817" s="49"/>
      <c r="J817" s="49">
        <f t="shared" si="3"/>
        <v>139826.90594999999</v>
      </c>
      <c r="K817" s="50" t="s">
        <v>5815</v>
      </c>
      <c r="L817" s="47">
        <v>39</v>
      </c>
    </row>
    <row r="818" spans="1:12" ht="11.25" customHeight="1">
      <c r="A818" s="39">
        <v>848</v>
      </c>
      <c r="B818" s="40" t="s">
        <v>11842</v>
      </c>
      <c r="C818" s="40" t="s">
        <v>11843</v>
      </c>
      <c r="D818" s="40" t="s">
        <v>2464</v>
      </c>
      <c r="E818" s="41">
        <v>2520.71</v>
      </c>
      <c r="F818" s="40" t="s">
        <v>2464</v>
      </c>
      <c r="G818" s="41">
        <v>2520.9492</v>
      </c>
      <c r="H818" s="40"/>
      <c r="I818" s="41"/>
      <c r="J818" s="41">
        <f t="shared" si="3"/>
        <v>2520.8296</v>
      </c>
      <c r="K818" s="42" t="s">
        <v>5796</v>
      </c>
      <c r="L818" s="39">
        <v>848</v>
      </c>
    </row>
    <row r="819" spans="1:12" ht="11.25" customHeight="1">
      <c r="A819" s="39">
        <v>474</v>
      </c>
      <c r="B819" s="40" t="s">
        <v>11844</v>
      </c>
      <c r="C819" s="40" t="s">
        <v>11845</v>
      </c>
      <c r="D819" s="40" t="s">
        <v>1412</v>
      </c>
      <c r="E819" s="41">
        <v>7910.5</v>
      </c>
      <c r="F819" s="40" t="s">
        <v>1412</v>
      </c>
      <c r="G819" s="41">
        <v>7911.2846</v>
      </c>
      <c r="H819" s="40"/>
      <c r="I819" s="41"/>
      <c r="J819" s="41">
        <f t="shared" si="3"/>
        <v>7910.8922999999995</v>
      </c>
      <c r="K819" s="42" t="s">
        <v>5796</v>
      </c>
      <c r="L819" s="39">
        <v>474</v>
      </c>
    </row>
    <row r="820" spans="1:12" ht="11.25" customHeight="1">
      <c r="A820" s="43">
        <v>233</v>
      </c>
      <c r="B820" s="44" t="s">
        <v>11846</v>
      </c>
      <c r="C820" s="44" t="s">
        <v>11847</v>
      </c>
      <c r="D820" s="44" t="s">
        <v>710</v>
      </c>
      <c r="E820" s="45">
        <v>24041.25</v>
      </c>
      <c r="F820" s="44" t="s">
        <v>710</v>
      </c>
      <c r="G820" s="45">
        <v>24051.108700000001</v>
      </c>
      <c r="H820" s="44"/>
      <c r="I820" s="45"/>
      <c r="J820" s="45">
        <f t="shared" si="3"/>
        <v>24046.179349999999</v>
      </c>
      <c r="K820" s="46" t="s">
        <v>5800</v>
      </c>
      <c r="L820" s="43">
        <v>233</v>
      </c>
    </row>
    <row r="821" spans="1:12" ht="11.25" customHeight="1">
      <c r="A821" s="39">
        <v>763</v>
      </c>
      <c r="B821" s="40" t="s">
        <v>11848</v>
      </c>
      <c r="C821" s="40" t="s">
        <v>11849</v>
      </c>
      <c r="D821" s="40" t="s">
        <v>2236</v>
      </c>
      <c r="E821" s="41">
        <v>3178.76</v>
      </c>
      <c r="F821" s="40" t="s">
        <v>2236</v>
      </c>
      <c r="G821" s="41">
        <v>3179.1628999999998</v>
      </c>
      <c r="H821" s="40"/>
      <c r="I821" s="41"/>
      <c r="J821" s="41">
        <f t="shared" si="3"/>
        <v>3178.9614499999998</v>
      </c>
      <c r="K821" s="42" t="s">
        <v>5796</v>
      </c>
      <c r="L821" s="39">
        <v>763</v>
      </c>
    </row>
    <row r="822" spans="1:12" ht="11.25" customHeight="1">
      <c r="A822" s="39">
        <v>273</v>
      </c>
      <c r="B822" s="40" t="s">
        <v>11850</v>
      </c>
      <c r="C822" s="40" t="s">
        <v>11851</v>
      </c>
      <c r="D822" s="40" t="s">
        <v>830</v>
      </c>
      <c r="E822" s="41">
        <v>19372.919999999998</v>
      </c>
      <c r="F822" s="40" t="s">
        <v>830</v>
      </c>
      <c r="G822" s="41">
        <v>19372.0406</v>
      </c>
      <c r="H822" s="40"/>
      <c r="I822" s="41"/>
      <c r="J822" s="41">
        <f t="shared" si="3"/>
        <v>19372.480299999999</v>
      </c>
      <c r="K822" s="42" t="s">
        <v>5796</v>
      </c>
      <c r="L822" s="39">
        <v>273</v>
      </c>
    </row>
    <row r="823" spans="1:12" ht="11.25" customHeight="1">
      <c r="A823" s="39">
        <v>349</v>
      </c>
      <c r="B823" s="40" t="s">
        <v>11852</v>
      </c>
      <c r="C823" s="40" t="s">
        <v>11853</v>
      </c>
      <c r="D823" s="40" t="s">
        <v>1055</v>
      </c>
      <c r="E823" s="41">
        <v>12484.82</v>
      </c>
      <c r="F823" s="40" t="s">
        <v>1055</v>
      </c>
      <c r="G823" s="41">
        <v>12486.1808</v>
      </c>
      <c r="H823" s="40"/>
      <c r="I823" s="41"/>
      <c r="J823" s="41">
        <f t="shared" si="3"/>
        <v>12485.500400000001</v>
      </c>
      <c r="K823" s="42" t="s">
        <v>5796</v>
      </c>
      <c r="L823" s="39">
        <v>349</v>
      </c>
    </row>
    <row r="824" spans="1:12" ht="11.25" customHeight="1">
      <c r="A824" s="43">
        <v>114</v>
      </c>
      <c r="B824" s="44" t="s">
        <v>11854</v>
      </c>
      <c r="C824" s="44" t="s">
        <v>11855</v>
      </c>
      <c r="D824" s="44" t="s">
        <v>356</v>
      </c>
      <c r="E824" s="45">
        <v>55224.19</v>
      </c>
      <c r="F824" s="44" t="s">
        <v>356</v>
      </c>
      <c r="G824" s="45">
        <v>55231.483899999999</v>
      </c>
      <c r="H824" s="44"/>
      <c r="I824" s="45"/>
      <c r="J824" s="45">
        <f t="shared" si="3"/>
        <v>55227.836949999997</v>
      </c>
      <c r="K824" s="46" t="s">
        <v>5800</v>
      </c>
      <c r="L824" s="43">
        <v>114</v>
      </c>
    </row>
    <row r="825" spans="1:12" ht="11.25" customHeight="1">
      <c r="A825" s="43">
        <v>232</v>
      </c>
      <c r="B825" s="44" t="s">
        <v>11856</v>
      </c>
      <c r="C825" s="44" t="s">
        <v>11857</v>
      </c>
      <c r="D825" s="44" t="s">
        <v>707</v>
      </c>
      <c r="E825" s="45">
        <v>24337.1</v>
      </c>
      <c r="F825" s="44" t="s">
        <v>707</v>
      </c>
      <c r="G825" s="45">
        <v>24337.098600000001</v>
      </c>
      <c r="H825" s="44"/>
      <c r="I825" s="45"/>
      <c r="J825" s="45">
        <f t="shared" si="3"/>
        <v>24337.099300000002</v>
      </c>
      <c r="K825" s="46" t="s">
        <v>5800</v>
      </c>
      <c r="L825" s="43">
        <v>232</v>
      </c>
    </row>
    <row r="826" spans="1:12" ht="11.25" customHeight="1">
      <c r="A826" s="47">
        <v>71</v>
      </c>
      <c r="B826" s="48" t="s">
        <v>11858</v>
      </c>
      <c r="C826" s="48" t="s">
        <v>11859</v>
      </c>
      <c r="D826" s="48" t="s">
        <v>227</v>
      </c>
      <c r="E826" s="49">
        <v>85275.16</v>
      </c>
      <c r="F826" s="48" t="s">
        <v>227</v>
      </c>
      <c r="G826" s="49">
        <v>85279.379000000001</v>
      </c>
      <c r="H826" s="48"/>
      <c r="I826" s="49"/>
      <c r="J826" s="49">
        <f t="shared" si="3"/>
        <v>85277.269499999995</v>
      </c>
      <c r="K826" s="50" t="s">
        <v>5815</v>
      </c>
      <c r="L826" s="47">
        <v>71</v>
      </c>
    </row>
    <row r="827" spans="1:12" ht="11.25" customHeight="1">
      <c r="A827" s="39">
        <v>1919</v>
      </c>
      <c r="B827" s="40" t="s">
        <v>11860</v>
      </c>
      <c r="C827" s="40" t="s">
        <v>11861</v>
      </c>
      <c r="D827" s="40" t="s">
        <v>4630</v>
      </c>
      <c r="E827" s="41">
        <v>210.87</v>
      </c>
      <c r="F827" s="40" t="s">
        <v>4630</v>
      </c>
      <c r="G827" s="41">
        <v>211.17169999999999</v>
      </c>
      <c r="H827" s="40"/>
      <c r="I827" s="41"/>
      <c r="J827" s="41">
        <f t="shared" si="3"/>
        <v>211.02085</v>
      </c>
      <c r="K827" s="42" t="s">
        <v>5796</v>
      </c>
      <c r="L827" s="39">
        <v>1919</v>
      </c>
    </row>
    <row r="828" spans="1:12" ht="11.25" customHeight="1">
      <c r="A828" s="39">
        <v>1378</v>
      </c>
      <c r="B828" s="40" t="s">
        <v>11862</v>
      </c>
      <c r="C828" s="40" t="s">
        <v>11863</v>
      </c>
      <c r="D828" s="40"/>
      <c r="E828" s="41"/>
      <c r="F828" s="40" t="s">
        <v>3724</v>
      </c>
      <c r="G828" s="41">
        <v>676.00019999999995</v>
      </c>
      <c r="H828" s="40"/>
      <c r="I828" s="41"/>
      <c r="J828" s="41">
        <f t="shared" si="3"/>
        <v>676.00019999999995</v>
      </c>
      <c r="K828" s="42" t="s">
        <v>5796</v>
      </c>
      <c r="L828" s="39">
        <v>1378</v>
      </c>
    </row>
    <row r="829" spans="1:12" ht="11.25" customHeight="1">
      <c r="A829" s="39">
        <v>954</v>
      </c>
      <c r="B829" s="40" t="s">
        <v>11864</v>
      </c>
      <c r="C829" s="40" t="s">
        <v>11865</v>
      </c>
      <c r="D829" s="40" t="s">
        <v>2743</v>
      </c>
      <c r="E829" s="41">
        <v>1935.86</v>
      </c>
      <c r="F829" s="40" t="s">
        <v>2743</v>
      </c>
      <c r="G829" s="41">
        <v>1936.2557999999999</v>
      </c>
      <c r="H829" s="40"/>
      <c r="I829" s="41"/>
      <c r="J829" s="41">
        <f t="shared" si="3"/>
        <v>1936.0578999999998</v>
      </c>
      <c r="K829" s="42" t="s">
        <v>5796</v>
      </c>
      <c r="L829" s="39">
        <v>954</v>
      </c>
    </row>
    <row r="830" spans="1:12" ht="11.25" customHeight="1">
      <c r="A830" s="39">
        <v>258</v>
      </c>
      <c r="B830" s="40" t="s">
        <v>11866</v>
      </c>
      <c r="C830" s="40" t="s">
        <v>11867</v>
      </c>
      <c r="D830" s="40" t="s">
        <v>785</v>
      </c>
      <c r="E830" s="41">
        <v>20921.34</v>
      </c>
      <c r="F830" s="40" t="s">
        <v>785</v>
      </c>
      <c r="G830" s="41">
        <v>20925.6096</v>
      </c>
      <c r="H830" s="40"/>
      <c r="I830" s="41"/>
      <c r="J830" s="41">
        <f t="shared" si="3"/>
        <v>20923.4748</v>
      </c>
      <c r="K830" s="42" t="s">
        <v>5796</v>
      </c>
      <c r="L830" s="39">
        <v>258</v>
      </c>
    </row>
    <row r="831" spans="1:12" ht="11.25" customHeight="1">
      <c r="A831" s="39">
        <v>1992</v>
      </c>
      <c r="B831" s="40" t="s">
        <v>11868</v>
      </c>
      <c r="C831" s="40" t="s">
        <v>11869</v>
      </c>
      <c r="D831" s="40" t="s">
        <v>4720</v>
      </c>
      <c r="E831" s="41">
        <v>190.84</v>
      </c>
      <c r="F831" s="40" t="s">
        <v>4720</v>
      </c>
      <c r="G831" s="41">
        <v>190.80609999999999</v>
      </c>
      <c r="H831" s="40"/>
      <c r="I831" s="41"/>
      <c r="J831" s="41">
        <f t="shared" si="3"/>
        <v>190.82304999999999</v>
      </c>
      <c r="K831" s="42" t="s">
        <v>5796</v>
      </c>
      <c r="L831" s="39">
        <v>1992</v>
      </c>
    </row>
    <row r="832" spans="1:12" ht="11.25" customHeight="1">
      <c r="A832" s="39">
        <v>590</v>
      </c>
      <c r="B832" s="40" t="s">
        <v>11870</v>
      </c>
      <c r="C832" s="40" t="s">
        <v>11871</v>
      </c>
      <c r="D832" s="40" t="s">
        <v>1742</v>
      </c>
      <c r="E832" s="41">
        <v>5636.01</v>
      </c>
      <c r="F832" s="40" t="s">
        <v>1742</v>
      </c>
      <c r="G832" s="41">
        <v>5635.8620000000001</v>
      </c>
      <c r="H832" s="40"/>
      <c r="I832" s="41"/>
      <c r="J832" s="41">
        <f t="shared" si="3"/>
        <v>5635.9359999999997</v>
      </c>
      <c r="K832" s="42" t="s">
        <v>5796</v>
      </c>
      <c r="L832" s="39">
        <v>590</v>
      </c>
    </row>
    <row r="833" spans="1:12" ht="11.25" customHeight="1">
      <c r="A833" s="39">
        <v>852</v>
      </c>
      <c r="B833" s="40" t="s">
        <v>11872</v>
      </c>
      <c r="C833" s="40" t="s">
        <v>11873</v>
      </c>
      <c r="D833" s="40" t="s">
        <v>2473</v>
      </c>
      <c r="E833" s="41">
        <v>2508.7399999999998</v>
      </c>
      <c r="F833" s="40" t="s">
        <v>2473</v>
      </c>
      <c r="G833" s="41">
        <v>2509.2471</v>
      </c>
      <c r="H833" s="40"/>
      <c r="I833" s="41"/>
      <c r="J833" s="41">
        <f t="shared" si="3"/>
        <v>2508.9935500000001</v>
      </c>
      <c r="K833" s="42" t="s">
        <v>5796</v>
      </c>
      <c r="L833" s="39">
        <v>852</v>
      </c>
    </row>
    <row r="834" spans="1:12" ht="11.25" customHeight="1">
      <c r="A834" s="47">
        <v>7</v>
      </c>
      <c r="B834" s="48" t="s">
        <v>11874</v>
      </c>
      <c r="C834" s="48" t="s">
        <v>11875</v>
      </c>
      <c r="D834" s="48" t="s">
        <v>27</v>
      </c>
      <c r="E834" s="49">
        <v>561143.82999999996</v>
      </c>
      <c r="F834" s="48" t="s">
        <v>27</v>
      </c>
      <c r="G834" s="49">
        <v>560512.49490000005</v>
      </c>
      <c r="H834" s="48"/>
      <c r="I834" s="49"/>
      <c r="J834" s="49">
        <f t="shared" si="3"/>
        <v>560828.16244999995</v>
      </c>
      <c r="K834" s="50" t="s">
        <v>5815</v>
      </c>
      <c r="L834" s="47">
        <v>7</v>
      </c>
    </row>
    <row r="835" spans="1:12" ht="11.25" customHeight="1">
      <c r="A835" s="39">
        <v>745</v>
      </c>
      <c r="B835" s="40" t="s">
        <v>11876</v>
      </c>
      <c r="C835" s="40" t="s">
        <v>11877</v>
      </c>
      <c r="D835" s="40" t="s">
        <v>2182</v>
      </c>
      <c r="E835" s="41">
        <v>3394.39</v>
      </c>
      <c r="F835" s="40" t="s">
        <v>2182</v>
      </c>
      <c r="G835" s="41">
        <v>3393.9331999999999</v>
      </c>
      <c r="H835" s="40"/>
      <c r="I835" s="41"/>
      <c r="J835" s="41">
        <f t="shared" si="3"/>
        <v>3394.1615999999999</v>
      </c>
      <c r="K835" s="42" t="s">
        <v>5796</v>
      </c>
      <c r="L835" s="39">
        <v>745</v>
      </c>
    </row>
    <row r="836" spans="1:12" ht="11.25" customHeight="1">
      <c r="A836" s="39">
        <v>705</v>
      </c>
      <c r="B836" s="40" t="s">
        <v>11878</v>
      </c>
      <c r="C836" s="40" t="s">
        <v>11879</v>
      </c>
      <c r="D836" s="40" t="s">
        <v>2069</v>
      </c>
      <c r="E836" s="41">
        <v>3834.57</v>
      </c>
      <c r="F836" s="40" t="s">
        <v>2069</v>
      </c>
      <c r="G836" s="41">
        <v>3834.3265999999999</v>
      </c>
      <c r="H836" s="40"/>
      <c r="I836" s="41"/>
      <c r="J836" s="41">
        <f t="shared" si="3"/>
        <v>3834.4483</v>
      </c>
      <c r="K836" s="42" t="s">
        <v>5796</v>
      </c>
      <c r="L836" s="39">
        <v>705</v>
      </c>
    </row>
    <row r="837" spans="1:12" ht="11.25" customHeight="1">
      <c r="A837" s="39">
        <v>276</v>
      </c>
      <c r="B837" s="40" t="s">
        <v>11880</v>
      </c>
      <c r="C837" s="40" t="s">
        <v>11881</v>
      </c>
      <c r="D837" s="40" t="s">
        <v>839</v>
      </c>
      <c r="E837" s="41">
        <v>19247.259999999998</v>
      </c>
      <c r="F837" s="40" t="s">
        <v>839</v>
      </c>
      <c r="G837" s="41">
        <v>19249.6263</v>
      </c>
      <c r="H837" s="40"/>
      <c r="I837" s="41"/>
      <c r="J837" s="41">
        <f t="shared" si="3"/>
        <v>19248.443149999999</v>
      </c>
      <c r="K837" s="42" t="s">
        <v>5796</v>
      </c>
      <c r="L837" s="39">
        <v>276</v>
      </c>
    </row>
    <row r="838" spans="1:12" ht="11.25" customHeight="1">
      <c r="A838" s="39">
        <v>1785</v>
      </c>
      <c r="B838" s="40" t="s">
        <v>11882</v>
      </c>
      <c r="C838" s="40" t="s">
        <v>11883</v>
      </c>
      <c r="D838" s="40" t="s">
        <v>4456</v>
      </c>
      <c r="E838" s="41">
        <v>277.87</v>
      </c>
      <c r="F838" s="40" t="s">
        <v>4456</v>
      </c>
      <c r="G838" s="41">
        <v>277.56439999999998</v>
      </c>
      <c r="H838" s="40"/>
      <c r="I838" s="41"/>
      <c r="J838" s="41">
        <f t="shared" si="3"/>
        <v>277.71719999999999</v>
      </c>
      <c r="K838" s="42" t="s">
        <v>5796</v>
      </c>
      <c r="L838" s="39">
        <v>1785</v>
      </c>
    </row>
    <row r="839" spans="1:12" ht="11.25" customHeight="1">
      <c r="A839" s="39">
        <v>2008</v>
      </c>
      <c r="B839" s="40" t="s">
        <v>11884</v>
      </c>
      <c r="C839" s="40" t="s">
        <v>11885</v>
      </c>
      <c r="D839" s="40" t="s">
        <v>4753</v>
      </c>
      <c r="E839" s="41">
        <v>185.95</v>
      </c>
      <c r="F839" s="40" t="s">
        <v>4753</v>
      </c>
      <c r="G839" s="41">
        <v>185.56209999999999</v>
      </c>
      <c r="H839" s="40"/>
      <c r="I839" s="41"/>
      <c r="J839" s="41">
        <f t="shared" si="3"/>
        <v>185.75604999999999</v>
      </c>
      <c r="K839" s="42" t="s">
        <v>5796</v>
      </c>
      <c r="L839" s="39">
        <v>2008</v>
      </c>
    </row>
    <row r="840" spans="1:12" ht="11.25" customHeight="1">
      <c r="A840" s="39">
        <v>728</v>
      </c>
      <c r="B840" s="40" t="s">
        <v>11886</v>
      </c>
      <c r="C840" s="40" t="s">
        <v>11887</v>
      </c>
      <c r="D840" s="40" t="s">
        <v>2131</v>
      </c>
      <c r="E840" s="41">
        <v>3546.27</v>
      </c>
      <c r="F840" s="40" t="s">
        <v>2131</v>
      </c>
      <c r="G840" s="41">
        <v>3518.2772</v>
      </c>
      <c r="H840" s="40"/>
      <c r="I840" s="41"/>
      <c r="J840" s="41">
        <f t="shared" si="3"/>
        <v>3532.2736</v>
      </c>
      <c r="K840" s="42" t="s">
        <v>5796</v>
      </c>
      <c r="L840" s="39">
        <v>728</v>
      </c>
    </row>
    <row r="841" spans="1:12" ht="11.25" customHeight="1">
      <c r="A841" s="39">
        <v>1786</v>
      </c>
      <c r="B841" s="40" t="s">
        <v>11888</v>
      </c>
      <c r="C841" s="40" t="s">
        <v>11889</v>
      </c>
      <c r="D841" s="40" t="s">
        <v>4459</v>
      </c>
      <c r="E841" s="41">
        <v>277.48</v>
      </c>
      <c r="F841" s="40" t="s">
        <v>4459</v>
      </c>
      <c r="G841" s="41">
        <v>277.8843</v>
      </c>
      <c r="H841" s="40"/>
      <c r="I841" s="41"/>
      <c r="J841" s="41">
        <f t="shared" si="3"/>
        <v>277.68214999999998</v>
      </c>
      <c r="K841" s="42" t="s">
        <v>5796</v>
      </c>
      <c r="L841" s="39">
        <v>1786</v>
      </c>
    </row>
    <row r="842" spans="1:12" ht="11.25" customHeight="1">
      <c r="A842" s="39">
        <v>421</v>
      </c>
      <c r="B842" s="40" t="s">
        <v>11890</v>
      </c>
      <c r="C842" s="40" t="s">
        <v>11891</v>
      </c>
      <c r="D842" s="40" t="s">
        <v>1265</v>
      </c>
      <c r="E842" s="41">
        <v>9725.52</v>
      </c>
      <c r="F842" s="40" t="s">
        <v>1265</v>
      </c>
      <c r="G842" s="41">
        <v>9653.1556999999993</v>
      </c>
      <c r="H842" s="40"/>
      <c r="I842" s="41"/>
      <c r="J842" s="41">
        <f t="shared" si="3"/>
        <v>9689.3378499999999</v>
      </c>
      <c r="K842" s="42" t="s">
        <v>5796</v>
      </c>
      <c r="L842" s="39">
        <v>421</v>
      </c>
    </row>
    <row r="843" spans="1:12" ht="11.25" customHeight="1">
      <c r="A843" s="39">
        <v>897</v>
      </c>
      <c r="B843" s="40" t="s">
        <v>11892</v>
      </c>
      <c r="C843" s="40" t="s">
        <v>11893</v>
      </c>
      <c r="D843" s="40" t="s">
        <v>2602</v>
      </c>
      <c r="E843" s="41">
        <v>2168.4899999999998</v>
      </c>
      <c r="F843" s="40" t="s">
        <v>2602</v>
      </c>
      <c r="G843" s="41">
        <v>2168.2051999999999</v>
      </c>
      <c r="H843" s="40"/>
      <c r="I843" s="41"/>
      <c r="J843" s="41">
        <f t="shared" si="3"/>
        <v>2168.3476000000001</v>
      </c>
      <c r="K843" s="42" t="s">
        <v>5796</v>
      </c>
      <c r="L843" s="39">
        <v>897</v>
      </c>
    </row>
    <row r="844" spans="1:12" ht="11.25" customHeight="1">
      <c r="A844" s="39">
        <v>1186</v>
      </c>
      <c r="B844" s="40" t="s">
        <v>11894</v>
      </c>
      <c r="C844" s="40" t="s">
        <v>11895</v>
      </c>
      <c r="D844" s="40" t="s">
        <v>3313</v>
      </c>
      <c r="E844" s="41">
        <v>1077.25</v>
      </c>
      <c r="F844" s="40" t="s">
        <v>3313</v>
      </c>
      <c r="G844" s="41">
        <v>1077.0146</v>
      </c>
      <c r="H844" s="40"/>
      <c r="I844" s="41"/>
      <c r="J844" s="41">
        <f t="shared" si="3"/>
        <v>1077.1323</v>
      </c>
      <c r="K844" s="42" t="s">
        <v>5796</v>
      </c>
      <c r="L844" s="39">
        <v>1186</v>
      </c>
    </row>
    <row r="845" spans="1:12" ht="11.25" customHeight="1">
      <c r="A845" s="39">
        <v>547</v>
      </c>
      <c r="B845" s="40" t="s">
        <v>11896</v>
      </c>
      <c r="C845" s="40" t="s">
        <v>11897</v>
      </c>
      <c r="D845" s="40" t="s">
        <v>1622</v>
      </c>
      <c r="E845" s="41">
        <v>6549.4</v>
      </c>
      <c r="F845" s="40" t="s">
        <v>1622</v>
      </c>
      <c r="G845" s="41">
        <v>6445.7156000000004</v>
      </c>
      <c r="H845" s="40"/>
      <c r="I845" s="41"/>
      <c r="J845" s="41">
        <f t="shared" si="3"/>
        <v>6497.5578000000005</v>
      </c>
      <c r="K845" s="42" t="s">
        <v>5796</v>
      </c>
      <c r="L845" s="39">
        <v>547</v>
      </c>
    </row>
    <row r="846" spans="1:12" ht="11.25" customHeight="1">
      <c r="A846" s="39">
        <v>644</v>
      </c>
      <c r="B846" s="40" t="s">
        <v>11898</v>
      </c>
      <c r="C846" s="40" t="s">
        <v>11899</v>
      </c>
      <c r="D846" s="40" t="s">
        <v>1892</v>
      </c>
      <c r="E846" s="41">
        <v>4530.6400000000003</v>
      </c>
      <c r="F846" s="40" t="s">
        <v>1892</v>
      </c>
      <c r="G846" s="41">
        <v>4530.9169000000002</v>
      </c>
      <c r="H846" s="40"/>
      <c r="I846" s="41"/>
      <c r="J846" s="41">
        <f t="shared" si="3"/>
        <v>4530.7784499999998</v>
      </c>
      <c r="K846" s="42" t="s">
        <v>5796</v>
      </c>
      <c r="L846" s="39">
        <v>644</v>
      </c>
    </row>
    <row r="847" spans="1:12" ht="11.25" customHeight="1">
      <c r="A847" s="39">
        <v>2425</v>
      </c>
      <c r="B847" s="40" t="s">
        <v>11900</v>
      </c>
      <c r="C847" s="40" t="s">
        <v>11901</v>
      </c>
      <c r="D847" s="40"/>
      <c r="E847" s="41"/>
      <c r="F847" s="40" t="s">
        <v>5229</v>
      </c>
      <c r="G847" s="41">
        <v>93.914199999999994</v>
      </c>
      <c r="H847" s="40"/>
      <c r="I847" s="41"/>
      <c r="J847" s="41">
        <f t="shared" si="3"/>
        <v>93.914199999999994</v>
      </c>
      <c r="K847" s="42" t="s">
        <v>5796</v>
      </c>
      <c r="L847" s="39">
        <v>2425</v>
      </c>
    </row>
    <row r="848" spans="1:12" ht="11.25" customHeight="1">
      <c r="A848" s="39">
        <v>646</v>
      </c>
      <c r="B848" s="40" t="s">
        <v>11902</v>
      </c>
      <c r="C848" s="40" t="s">
        <v>11903</v>
      </c>
      <c r="D848" s="40" t="s">
        <v>1898</v>
      </c>
      <c r="E848" s="41">
        <v>4497.05</v>
      </c>
      <c r="F848" s="40" t="s">
        <v>1898</v>
      </c>
      <c r="G848" s="41">
        <v>4497.0868</v>
      </c>
      <c r="H848" s="40"/>
      <c r="I848" s="41"/>
      <c r="J848" s="41">
        <f t="shared" si="3"/>
        <v>4497.0684000000001</v>
      </c>
      <c r="K848" s="42" t="s">
        <v>5796</v>
      </c>
      <c r="L848" s="39">
        <v>646</v>
      </c>
    </row>
    <row r="849" spans="1:12" ht="11.25" customHeight="1">
      <c r="A849" s="39">
        <v>1013</v>
      </c>
      <c r="B849" s="40" t="s">
        <v>11904</v>
      </c>
      <c r="C849" s="40" t="s">
        <v>11905</v>
      </c>
      <c r="D849" s="40"/>
      <c r="E849" s="41"/>
      <c r="F849" s="40" t="s">
        <v>2902</v>
      </c>
      <c r="G849" s="41">
        <v>1653.4682</v>
      </c>
      <c r="H849" s="40"/>
      <c r="I849" s="41"/>
      <c r="J849" s="41">
        <f t="shared" si="3"/>
        <v>1653.4682</v>
      </c>
      <c r="K849" s="42" t="s">
        <v>5796</v>
      </c>
      <c r="L849" s="39">
        <v>1013</v>
      </c>
    </row>
    <row r="850" spans="1:12" ht="11.25" customHeight="1">
      <c r="A850" s="39">
        <v>1385</v>
      </c>
      <c r="B850" s="40" t="s">
        <v>11906</v>
      </c>
      <c r="C850" s="40" t="s">
        <v>11907</v>
      </c>
      <c r="D850" s="40" t="s">
        <v>3742</v>
      </c>
      <c r="E850" s="41">
        <v>659.74</v>
      </c>
      <c r="F850" s="40" t="s">
        <v>3742</v>
      </c>
      <c r="G850" s="41">
        <v>659.76649999999995</v>
      </c>
      <c r="H850" s="40"/>
      <c r="I850" s="41"/>
      <c r="J850" s="41">
        <f t="shared" si="3"/>
        <v>659.75324999999998</v>
      </c>
      <c r="K850" s="42" t="s">
        <v>5796</v>
      </c>
      <c r="L850" s="39">
        <v>1385</v>
      </c>
    </row>
    <row r="851" spans="1:12" ht="11.25" customHeight="1">
      <c r="A851" s="39">
        <v>1143</v>
      </c>
      <c r="B851" s="40" t="s">
        <v>11908</v>
      </c>
      <c r="C851" s="40" t="s">
        <v>11909</v>
      </c>
      <c r="D851" s="40" t="s">
        <v>3214</v>
      </c>
      <c r="E851" s="41">
        <v>1219.03</v>
      </c>
      <c r="F851" s="40" t="s">
        <v>3214</v>
      </c>
      <c r="G851" s="41">
        <v>1219.5035</v>
      </c>
      <c r="H851" s="40"/>
      <c r="I851" s="41"/>
      <c r="J851" s="41">
        <f t="shared" si="3"/>
        <v>1219.26675</v>
      </c>
      <c r="K851" s="42" t="s">
        <v>5796</v>
      </c>
      <c r="L851" s="39">
        <v>1143</v>
      </c>
    </row>
    <row r="852" spans="1:12" ht="11.25" customHeight="1">
      <c r="A852" s="39">
        <v>729</v>
      </c>
      <c r="B852" s="40" t="s">
        <v>11910</v>
      </c>
      <c r="C852" s="40" t="s">
        <v>11911</v>
      </c>
      <c r="D852" s="40" t="s">
        <v>2134</v>
      </c>
      <c r="E852" s="41">
        <v>3523.04</v>
      </c>
      <c r="F852" s="40" t="s">
        <v>2134</v>
      </c>
      <c r="G852" s="41">
        <v>3519.3987999999999</v>
      </c>
      <c r="H852" s="40"/>
      <c r="I852" s="41"/>
      <c r="J852" s="41">
        <f t="shared" si="3"/>
        <v>3521.2194</v>
      </c>
      <c r="K852" s="42" t="s">
        <v>5796</v>
      </c>
      <c r="L852" s="39">
        <v>729</v>
      </c>
    </row>
    <row r="853" spans="1:12" ht="11.25" customHeight="1">
      <c r="A853" s="39">
        <v>1778</v>
      </c>
      <c r="B853" s="40" t="s">
        <v>11912</v>
      </c>
      <c r="C853" s="40" t="s">
        <v>11913</v>
      </c>
      <c r="D853" s="40" t="s">
        <v>11914</v>
      </c>
      <c r="E853" s="41">
        <v>283.7</v>
      </c>
      <c r="F853" s="40" t="s">
        <v>4447</v>
      </c>
      <c r="G853" s="41">
        <v>283.726</v>
      </c>
      <c r="H853" s="40"/>
      <c r="I853" s="41"/>
      <c r="J853" s="41">
        <f t="shared" si="3"/>
        <v>283.71299999999997</v>
      </c>
      <c r="K853" s="42" t="s">
        <v>5796</v>
      </c>
      <c r="L853" s="39">
        <v>1778</v>
      </c>
    </row>
    <row r="854" spans="1:12" ht="11.25" customHeight="1">
      <c r="A854" s="39">
        <v>253</v>
      </c>
      <c r="B854" s="40" t="s">
        <v>11915</v>
      </c>
      <c r="C854" s="40" t="s">
        <v>11916</v>
      </c>
      <c r="D854" s="40" t="s">
        <v>767</v>
      </c>
      <c r="E854" s="41">
        <v>21608.240000000002</v>
      </c>
      <c r="F854" s="40" t="s">
        <v>767</v>
      </c>
      <c r="G854" s="41">
        <v>21603.897499999999</v>
      </c>
      <c r="H854" s="40"/>
      <c r="I854" s="41"/>
      <c r="J854" s="41">
        <f t="shared" si="3"/>
        <v>21606.068749999999</v>
      </c>
      <c r="K854" s="42" t="s">
        <v>5796</v>
      </c>
      <c r="L854" s="39">
        <v>253</v>
      </c>
    </row>
    <row r="855" spans="1:12" ht="11.25" customHeight="1">
      <c r="A855" s="39">
        <v>305</v>
      </c>
      <c r="B855" s="40" t="s">
        <v>11917</v>
      </c>
      <c r="C855" s="40" t="s">
        <v>11918</v>
      </c>
      <c r="D855" s="40" t="s">
        <v>926</v>
      </c>
      <c r="E855" s="41">
        <v>15985.48</v>
      </c>
      <c r="F855" s="40" t="s">
        <v>926</v>
      </c>
      <c r="G855" s="41">
        <v>15987.4463</v>
      </c>
      <c r="H855" s="40"/>
      <c r="I855" s="41"/>
      <c r="J855" s="41">
        <f t="shared" si="3"/>
        <v>15986.46315</v>
      </c>
      <c r="K855" s="42" t="s">
        <v>5796</v>
      </c>
      <c r="L855" s="39">
        <v>305</v>
      </c>
    </row>
    <row r="856" spans="1:12" ht="11.25" customHeight="1">
      <c r="A856" s="39">
        <v>770</v>
      </c>
      <c r="B856" s="40" t="s">
        <v>11919</v>
      </c>
      <c r="C856" s="40" t="s">
        <v>11920</v>
      </c>
      <c r="D856" s="40" t="s">
        <v>2254</v>
      </c>
      <c r="E856" s="41">
        <v>3118.59</v>
      </c>
      <c r="F856" s="40" t="s">
        <v>2254</v>
      </c>
      <c r="G856" s="41">
        <v>3119.4829</v>
      </c>
      <c r="H856" s="40"/>
      <c r="I856" s="41"/>
      <c r="J856" s="41">
        <f t="shared" si="3"/>
        <v>3119.0364500000001</v>
      </c>
      <c r="K856" s="42" t="s">
        <v>5796</v>
      </c>
      <c r="L856" s="39">
        <v>770</v>
      </c>
    </row>
    <row r="857" spans="1:12" ht="11.25" customHeight="1">
      <c r="A857" s="39">
        <v>1393</v>
      </c>
      <c r="B857" s="40" t="s">
        <v>11921</v>
      </c>
      <c r="C857" s="40" t="s">
        <v>11922</v>
      </c>
      <c r="D857" s="40" t="s">
        <v>3763</v>
      </c>
      <c r="E857" s="41">
        <v>648.61</v>
      </c>
      <c r="F857" s="40" t="s">
        <v>3763</v>
      </c>
      <c r="G857" s="41">
        <v>650.07929999999999</v>
      </c>
      <c r="H857" s="40"/>
      <c r="I857" s="41"/>
      <c r="J857" s="41">
        <f t="shared" si="3"/>
        <v>649.34465</v>
      </c>
      <c r="K857" s="42" t="s">
        <v>5796</v>
      </c>
      <c r="L857" s="39">
        <v>1393</v>
      </c>
    </row>
    <row r="858" spans="1:12" ht="11.25" customHeight="1">
      <c r="A858" s="39">
        <v>2808</v>
      </c>
      <c r="B858" s="40" t="s">
        <v>11923</v>
      </c>
      <c r="C858" s="40" t="s">
        <v>11924</v>
      </c>
      <c r="D858" s="40" t="s">
        <v>5469</v>
      </c>
      <c r="E858" s="41">
        <v>50.95</v>
      </c>
      <c r="F858" s="40" t="s">
        <v>5469</v>
      </c>
      <c r="G858" s="41">
        <v>50.894500000000001</v>
      </c>
      <c r="H858" s="40"/>
      <c r="I858" s="41"/>
      <c r="J858" s="41">
        <f t="shared" si="3"/>
        <v>50.922250000000005</v>
      </c>
      <c r="K858" s="42" t="s">
        <v>5796</v>
      </c>
      <c r="L858" s="39">
        <v>2808</v>
      </c>
    </row>
    <row r="859" spans="1:12" ht="11.25" customHeight="1">
      <c r="A859" s="39">
        <v>2111</v>
      </c>
      <c r="B859" s="40" t="s">
        <v>11925</v>
      </c>
      <c r="C859" s="40" t="s">
        <v>11926</v>
      </c>
      <c r="D859" s="40" t="s">
        <v>4897</v>
      </c>
      <c r="E859" s="41">
        <v>155.01</v>
      </c>
      <c r="F859" s="40" t="s">
        <v>4897</v>
      </c>
      <c r="G859" s="41">
        <v>156.0856</v>
      </c>
      <c r="H859" s="40"/>
      <c r="I859" s="41"/>
      <c r="J859" s="41">
        <f t="shared" si="3"/>
        <v>155.5478</v>
      </c>
      <c r="K859" s="42" t="s">
        <v>5796</v>
      </c>
      <c r="L859" s="39">
        <v>2111</v>
      </c>
    </row>
    <row r="860" spans="1:12" ht="11.25" customHeight="1">
      <c r="A860" s="39">
        <v>1487</v>
      </c>
      <c r="B860" s="40" t="s">
        <v>11927</v>
      </c>
      <c r="C860" s="40" t="s">
        <v>11928</v>
      </c>
      <c r="D860" s="40" t="s">
        <v>3934</v>
      </c>
      <c r="E860" s="41">
        <v>526.74</v>
      </c>
      <c r="F860" s="40" t="s">
        <v>3934</v>
      </c>
      <c r="G860" s="41">
        <v>526.87509999999997</v>
      </c>
      <c r="H860" s="40"/>
      <c r="I860" s="41"/>
      <c r="J860" s="41">
        <f t="shared" si="3"/>
        <v>526.80754999999999</v>
      </c>
      <c r="K860" s="42" t="s">
        <v>5796</v>
      </c>
      <c r="L860" s="39">
        <v>1487</v>
      </c>
    </row>
    <row r="861" spans="1:12" ht="11.25" customHeight="1">
      <c r="A861" s="39">
        <v>803</v>
      </c>
      <c r="B861" s="40" t="s">
        <v>11929</v>
      </c>
      <c r="C861" s="40" t="s">
        <v>11930</v>
      </c>
      <c r="D861" s="40" t="s">
        <v>2335</v>
      </c>
      <c r="E861" s="41">
        <v>2844.96</v>
      </c>
      <c r="F861" s="40" t="s">
        <v>2335</v>
      </c>
      <c r="G861" s="41">
        <v>2845.1158</v>
      </c>
      <c r="H861" s="40"/>
      <c r="I861" s="41"/>
      <c r="J861" s="41">
        <f t="shared" si="3"/>
        <v>2845.0379000000003</v>
      </c>
      <c r="K861" s="42" t="s">
        <v>5796</v>
      </c>
      <c r="L861" s="39">
        <v>803</v>
      </c>
    </row>
    <row r="862" spans="1:12" ht="11.25" customHeight="1">
      <c r="A862" s="39">
        <v>360</v>
      </c>
      <c r="B862" s="40" t="s">
        <v>11931</v>
      </c>
      <c r="C862" s="40" t="s">
        <v>11932</v>
      </c>
      <c r="D862" s="40" t="s">
        <v>1088</v>
      </c>
      <c r="E862" s="41">
        <v>12174.97</v>
      </c>
      <c r="F862" s="40" t="s">
        <v>1088</v>
      </c>
      <c r="G862" s="41">
        <v>12176.7138</v>
      </c>
      <c r="H862" s="40"/>
      <c r="I862" s="41"/>
      <c r="J862" s="41">
        <f t="shared" si="3"/>
        <v>12175.841899999999</v>
      </c>
      <c r="K862" s="42" t="s">
        <v>5796</v>
      </c>
      <c r="L862" s="39">
        <v>360</v>
      </c>
    </row>
    <row r="863" spans="1:12" ht="11.25" customHeight="1">
      <c r="A863" s="47">
        <v>96</v>
      </c>
      <c r="B863" s="48" t="s">
        <v>11933</v>
      </c>
      <c r="C863" s="48" t="s">
        <v>11934</v>
      </c>
      <c r="D863" s="48" t="s">
        <v>302</v>
      </c>
      <c r="E863" s="49">
        <v>68260.179999999993</v>
      </c>
      <c r="F863" s="48" t="s">
        <v>302</v>
      </c>
      <c r="G863" s="49">
        <v>68267.339300000007</v>
      </c>
      <c r="H863" s="48"/>
      <c r="I863" s="49"/>
      <c r="J863" s="49">
        <f t="shared" si="3"/>
        <v>68263.759649999993</v>
      </c>
      <c r="K863" s="50" t="s">
        <v>5815</v>
      </c>
      <c r="L863" s="47">
        <v>96</v>
      </c>
    </row>
    <row r="864" spans="1:12" ht="11.25" customHeight="1">
      <c r="A864" s="39">
        <v>999</v>
      </c>
      <c r="B864" s="40" t="s">
        <v>11935</v>
      </c>
      <c r="C864" s="40" t="s">
        <v>11936</v>
      </c>
      <c r="D864" s="40" t="s">
        <v>2860</v>
      </c>
      <c r="E864" s="41">
        <v>1718.34</v>
      </c>
      <c r="F864" s="40" t="s">
        <v>2860</v>
      </c>
      <c r="G864" s="41">
        <v>1717.9987000000001</v>
      </c>
      <c r="H864" s="40"/>
      <c r="I864" s="41"/>
      <c r="J864" s="41">
        <f t="shared" si="3"/>
        <v>1718.1693500000001</v>
      </c>
      <c r="K864" s="42" t="s">
        <v>5796</v>
      </c>
      <c r="L864" s="39">
        <v>999</v>
      </c>
    </row>
    <row r="865" spans="1:12" ht="11.25" customHeight="1">
      <c r="A865" s="39">
        <v>524</v>
      </c>
      <c r="B865" s="40" t="s">
        <v>11937</v>
      </c>
      <c r="C865" s="40" t="s">
        <v>11938</v>
      </c>
      <c r="D865" s="40" t="s">
        <v>1559</v>
      </c>
      <c r="E865" s="41">
        <v>6983.34</v>
      </c>
      <c r="F865" s="40" t="s">
        <v>1559</v>
      </c>
      <c r="G865" s="41">
        <v>6987.8528999999999</v>
      </c>
      <c r="H865" s="40"/>
      <c r="I865" s="41"/>
      <c r="J865" s="41">
        <f t="shared" si="3"/>
        <v>6985.59645</v>
      </c>
      <c r="K865" s="42" t="s">
        <v>5796</v>
      </c>
      <c r="L865" s="39">
        <v>524</v>
      </c>
    </row>
    <row r="866" spans="1:12" ht="11.25" customHeight="1">
      <c r="A866" s="47">
        <v>38</v>
      </c>
      <c r="B866" s="48" t="s">
        <v>11939</v>
      </c>
      <c r="C866" s="48" t="s">
        <v>11940</v>
      </c>
      <c r="D866" s="48" t="s">
        <v>125</v>
      </c>
      <c r="E866" s="49">
        <v>145794.81</v>
      </c>
      <c r="F866" s="48" t="s">
        <v>125</v>
      </c>
      <c r="G866" s="49">
        <v>147087.95079999999</v>
      </c>
      <c r="H866" s="48"/>
      <c r="I866" s="49"/>
      <c r="J866" s="49">
        <f t="shared" si="3"/>
        <v>146441.38039999999</v>
      </c>
      <c r="K866" s="50" t="s">
        <v>5815</v>
      </c>
      <c r="L866" s="47">
        <v>38</v>
      </c>
    </row>
    <row r="867" spans="1:12" ht="11.25" customHeight="1">
      <c r="A867" s="39">
        <v>707</v>
      </c>
      <c r="B867" s="40" t="s">
        <v>11941</v>
      </c>
      <c r="C867" s="40" t="s">
        <v>11942</v>
      </c>
      <c r="D867" s="40" t="s">
        <v>2074</v>
      </c>
      <c r="E867" s="41">
        <v>3785.24</v>
      </c>
      <c r="F867" s="40" t="s">
        <v>2074</v>
      </c>
      <c r="G867" s="41">
        <v>3758.0414999999998</v>
      </c>
      <c r="H867" s="40"/>
      <c r="I867" s="41"/>
      <c r="J867" s="41">
        <f t="shared" si="3"/>
        <v>3771.6407499999996</v>
      </c>
      <c r="K867" s="42" t="s">
        <v>5796</v>
      </c>
      <c r="L867" s="39">
        <v>707</v>
      </c>
    </row>
    <row r="868" spans="1:12" ht="11.25" customHeight="1">
      <c r="A868" s="39">
        <v>1096</v>
      </c>
      <c r="B868" s="40" t="s">
        <v>6360</v>
      </c>
      <c r="C868" s="40" t="s">
        <v>11943</v>
      </c>
      <c r="D868" s="40" t="s">
        <v>3106</v>
      </c>
      <c r="E868" s="41">
        <v>1337.56</v>
      </c>
      <c r="F868" s="40" t="s">
        <v>3106</v>
      </c>
      <c r="G868" s="41">
        <v>1333.6025999999999</v>
      </c>
      <c r="H868" s="40"/>
      <c r="I868" s="41"/>
      <c r="J868" s="41">
        <f t="shared" si="3"/>
        <v>1335.5812999999998</v>
      </c>
      <c r="K868" s="42" t="s">
        <v>5796</v>
      </c>
      <c r="L868" s="39">
        <v>1096</v>
      </c>
    </row>
    <row r="869" spans="1:12" ht="11.25" customHeight="1">
      <c r="A869" s="43">
        <v>221</v>
      </c>
      <c r="B869" s="44" t="s">
        <v>6361</v>
      </c>
      <c r="C869" s="44" t="s">
        <v>11944</v>
      </c>
      <c r="D869" s="44" t="s">
        <v>674</v>
      </c>
      <c r="E869" s="45">
        <v>25942.1</v>
      </c>
      <c r="F869" s="44" t="s">
        <v>674</v>
      </c>
      <c r="G869" s="45">
        <v>25955.140800000001</v>
      </c>
      <c r="H869" s="44"/>
      <c r="I869" s="45"/>
      <c r="J869" s="45">
        <f t="shared" si="3"/>
        <v>25948.6204</v>
      </c>
      <c r="K869" s="46" t="s">
        <v>5800</v>
      </c>
      <c r="L869" s="43">
        <v>221</v>
      </c>
    </row>
    <row r="870" spans="1:12" ht="11.25" customHeight="1">
      <c r="A870" s="39">
        <v>774</v>
      </c>
      <c r="B870" s="40" t="s">
        <v>11945</v>
      </c>
      <c r="C870" s="40" t="s">
        <v>11946</v>
      </c>
      <c r="D870" s="40" t="s">
        <v>2266</v>
      </c>
      <c r="E870" s="41">
        <v>3109.06</v>
      </c>
      <c r="F870" s="40" t="s">
        <v>2266</v>
      </c>
      <c r="G870" s="41">
        <v>3109.6813999999999</v>
      </c>
      <c r="H870" s="40"/>
      <c r="I870" s="41"/>
      <c r="J870" s="41">
        <f t="shared" si="3"/>
        <v>3109.3706999999999</v>
      </c>
      <c r="K870" s="42" t="s">
        <v>5796</v>
      </c>
      <c r="L870" s="39">
        <v>774</v>
      </c>
    </row>
    <row r="871" spans="1:12" ht="11.25" customHeight="1">
      <c r="A871" s="39">
        <v>459</v>
      </c>
      <c r="B871" s="40" t="s">
        <v>11947</v>
      </c>
      <c r="C871" s="40" t="s">
        <v>11948</v>
      </c>
      <c r="D871" s="40" t="s">
        <v>1370</v>
      </c>
      <c r="E871" s="41">
        <v>8438.09</v>
      </c>
      <c r="F871" s="40" t="s">
        <v>1370</v>
      </c>
      <c r="G871" s="41">
        <v>8439.1072999999997</v>
      </c>
      <c r="H871" s="40"/>
      <c r="I871" s="41"/>
      <c r="J871" s="41">
        <f t="shared" si="3"/>
        <v>8438.5986499999999</v>
      </c>
      <c r="K871" s="42" t="s">
        <v>5796</v>
      </c>
      <c r="L871" s="39">
        <v>459</v>
      </c>
    </row>
    <row r="872" spans="1:12" ht="11.25" customHeight="1">
      <c r="A872" s="39">
        <v>553</v>
      </c>
      <c r="B872" s="40" t="s">
        <v>11949</v>
      </c>
      <c r="C872" s="40" t="s">
        <v>11950</v>
      </c>
      <c r="D872" s="40" t="s">
        <v>1640</v>
      </c>
      <c r="E872" s="41">
        <v>6231.62</v>
      </c>
      <c r="F872" s="40" t="s">
        <v>1640</v>
      </c>
      <c r="G872" s="41">
        <v>6232.5172000000002</v>
      </c>
      <c r="H872" s="40"/>
      <c r="I872" s="41"/>
      <c r="J872" s="41">
        <f t="shared" si="3"/>
        <v>6232.0686000000005</v>
      </c>
      <c r="K872" s="42" t="s">
        <v>5796</v>
      </c>
      <c r="L872" s="39">
        <v>553</v>
      </c>
    </row>
    <row r="873" spans="1:12" ht="11.25" customHeight="1">
      <c r="A873" s="39">
        <v>498</v>
      </c>
      <c r="B873" s="40" t="s">
        <v>11951</v>
      </c>
      <c r="C873" s="40" t="s">
        <v>11952</v>
      </c>
      <c r="D873" s="40" t="s">
        <v>1481</v>
      </c>
      <c r="E873" s="41">
        <v>7340.16</v>
      </c>
      <c r="F873" s="40" t="s">
        <v>1481</v>
      </c>
      <c r="G873" s="41">
        <v>7336.1016</v>
      </c>
      <c r="H873" s="40"/>
      <c r="I873" s="41"/>
      <c r="J873" s="41">
        <f t="shared" si="3"/>
        <v>7338.1307999999999</v>
      </c>
      <c r="K873" s="42" t="s">
        <v>5796</v>
      </c>
      <c r="L873" s="39">
        <v>498</v>
      </c>
    </row>
    <row r="874" spans="1:12" ht="11.25" customHeight="1">
      <c r="A874" s="39">
        <v>522</v>
      </c>
      <c r="B874" s="40" t="s">
        <v>11953</v>
      </c>
      <c r="C874" s="40" t="s">
        <v>11954</v>
      </c>
      <c r="D874" s="40" t="s">
        <v>1553</v>
      </c>
      <c r="E874" s="41">
        <v>7011.45</v>
      </c>
      <c r="F874" s="40" t="s">
        <v>1553</v>
      </c>
      <c r="G874" s="41">
        <v>7015.0959999999995</v>
      </c>
      <c r="H874" s="40"/>
      <c r="I874" s="41"/>
      <c r="J874" s="41">
        <f t="shared" si="3"/>
        <v>7013.2729999999992</v>
      </c>
      <c r="K874" s="42" t="s">
        <v>5796</v>
      </c>
      <c r="L874" s="39">
        <v>522</v>
      </c>
    </row>
    <row r="875" spans="1:12" ht="11.25" customHeight="1">
      <c r="A875" s="39">
        <v>2047</v>
      </c>
      <c r="B875" s="40" t="s">
        <v>11955</v>
      </c>
      <c r="C875" s="40" t="s">
        <v>11956</v>
      </c>
      <c r="D875" s="40"/>
      <c r="E875" s="41"/>
      <c r="F875" s="40" t="s">
        <v>4798</v>
      </c>
      <c r="G875" s="41">
        <v>175.2636</v>
      </c>
      <c r="H875" s="40"/>
      <c r="I875" s="41"/>
      <c r="J875" s="41">
        <f t="shared" si="3"/>
        <v>175.2636</v>
      </c>
      <c r="K875" s="42" t="s">
        <v>5796</v>
      </c>
      <c r="L875" s="39">
        <v>2047</v>
      </c>
    </row>
    <row r="876" spans="1:12" ht="11.25" customHeight="1">
      <c r="A876" s="39">
        <v>473</v>
      </c>
      <c r="B876" s="40" t="s">
        <v>11957</v>
      </c>
      <c r="C876" s="40" t="s">
        <v>11958</v>
      </c>
      <c r="D876" s="40" t="s">
        <v>1409</v>
      </c>
      <c r="E876" s="41">
        <v>7968.28</v>
      </c>
      <c r="F876" s="40" t="s">
        <v>1409</v>
      </c>
      <c r="G876" s="41">
        <v>7967.9787999999999</v>
      </c>
      <c r="H876" s="40"/>
      <c r="I876" s="41"/>
      <c r="J876" s="41">
        <f t="shared" si="3"/>
        <v>7968.1293999999998</v>
      </c>
      <c r="K876" s="42" t="s">
        <v>5796</v>
      </c>
      <c r="L876" s="39">
        <v>473</v>
      </c>
    </row>
    <row r="877" spans="1:12" ht="11.25" customHeight="1">
      <c r="A877" s="39">
        <v>2032</v>
      </c>
      <c r="B877" s="40" t="s">
        <v>11959</v>
      </c>
      <c r="C877" s="40" t="s">
        <v>11960</v>
      </c>
      <c r="D877" s="40"/>
      <c r="E877" s="41"/>
      <c r="F877" s="40" t="s">
        <v>4789</v>
      </c>
      <c r="G877" s="41">
        <v>179.97649999999999</v>
      </c>
      <c r="H877" s="40"/>
      <c r="I877" s="41"/>
      <c r="J877" s="41">
        <f t="shared" si="3"/>
        <v>179.97649999999999</v>
      </c>
      <c r="K877" s="42" t="s">
        <v>5796</v>
      </c>
      <c r="L877" s="39">
        <v>2032</v>
      </c>
    </row>
    <row r="878" spans="1:12" ht="11.25" customHeight="1">
      <c r="A878" s="39">
        <v>758</v>
      </c>
      <c r="B878" s="40" t="s">
        <v>11961</v>
      </c>
      <c r="C878" s="40" t="s">
        <v>11962</v>
      </c>
      <c r="D878" s="40" t="s">
        <v>2221</v>
      </c>
      <c r="E878" s="41">
        <v>3253.27</v>
      </c>
      <c r="F878" s="40" t="s">
        <v>2221</v>
      </c>
      <c r="G878" s="41">
        <v>3251.9432999999999</v>
      </c>
      <c r="H878" s="40"/>
      <c r="I878" s="41"/>
      <c r="J878" s="41">
        <f t="shared" si="3"/>
        <v>3252.6066499999997</v>
      </c>
      <c r="K878" s="42" t="s">
        <v>5796</v>
      </c>
      <c r="L878" s="39">
        <v>758</v>
      </c>
    </row>
    <row r="879" spans="1:12" ht="11.25" customHeight="1">
      <c r="A879" s="39">
        <v>1423</v>
      </c>
      <c r="B879" s="40" t="s">
        <v>6367</v>
      </c>
      <c r="C879" s="40" t="s">
        <v>11963</v>
      </c>
      <c r="D879" s="40" t="s">
        <v>3820</v>
      </c>
      <c r="E879" s="41">
        <v>614.92999999999995</v>
      </c>
      <c r="F879" s="40" t="s">
        <v>3820</v>
      </c>
      <c r="G879" s="41">
        <v>614.65660000000003</v>
      </c>
      <c r="H879" s="40"/>
      <c r="I879" s="41"/>
      <c r="J879" s="41">
        <f t="shared" si="3"/>
        <v>614.79330000000004</v>
      </c>
      <c r="K879" s="42" t="s">
        <v>5796</v>
      </c>
      <c r="L879" s="39">
        <v>1423</v>
      </c>
    </row>
    <row r="880" spans="1:12" ht="11.25" customHeight="1">
      <c r="A880" s="39">
        <v>532</v>
      </c>
      <c r="B880" s="40" t="s">
        <v>11964</v>
      </c>
      <c r="C880" s="40" t="s">
        <v>11965</v>
      </c>
      <c r="D880" s="40" t="s">
        <v>1577</v>
      </c>
      <c r="E880" s="41">
        <v>6799.9</v>
      </c>
      <c r="F880" s="40" t="s">
        <v>1577</v>
      </c>
      <c r="G880" s="41">
        <v>6797.36</v>
      </c>
      <c r="H880" s="40"/>
      <c r="I880" s="41"/>
      <c r="J880" s="41">
        <f t="shared" si="3"/>
        <v>6798.6299999999992</v>
      </c>
      <c r="K880" s="42" t="s">
        <v>5796</v>
      </c>
      <c r="L880" s="39">
        <v>532</v>
      </c>
    </row>
    <row r="881" spans="1:12" ht="11.25" customHeight="1">
      <c r="A881" s="43">
        <v>167</v>
      </c>
      <c r="B881" s="44" t="s">
        <v>11966</v>
      </c>
      <c r="C881" s="44" t="s">
        <v>11967</v>
      </c>
      <c r="D881" s="44" t="s">
        <v>512</v>
      </c>
      <c r="E881" s="45">
        <v>37725.89</v>
      </c>
      <c r="F881" s="44" t="s">
        <v>512</v>
      </c>
      <c r="G881" s="45">
        <v>37727.149799999999</v>
      </c>
      <c r="H881" s="44"/>
      <c r="I881" s="45"/>
      <c r="J881" s="45">
        <f t="shared" si="3"/>
        <v>37726.519899999999</v>
      </c>
      <c r="K881" s="46" t="s">
        <v>5800</v>
      </c>
      <c r="L881" s="43">
        <v>167</v>
      </c>
    </row>
    <row r="882" spans="1:12" ht="11.25" customHeight="1">
      <c r="A882" s="43">
        <v>105</v>
      </c>
      <c r="B882" s="44" t="s">
        <v>11968</v>
      </c>
      <c r="C882" s="44" t="s">
        <v>11969</v>
      </c>
      <c r="D882" s="44" t="s">
        <v>329</v>
      </c>
      <c r="E882" s="45">
        <v>61807.64</v>
      </c>
      <c r="F882" s="44" t="s">
        <v>329</v>
      </c>
      <c r="G882" s="45">
        <v>61819.313000000002</v>
      </c>
      <c r="H882" s="44"/>
      <c r="I882" s="45"/>
      <c r="J882" s="45">
        <f t="shared" si="3"/>
        <v>61813.476500000004</v>
      </c>
      <c r="K882" s="46" t="s">
        <v>5800</v>
      </c>
      <c r="L882" s="43">
        <v>105</v>
      </c>
    </row>
    <row r="883" spans="1:12" ht="11.25" customHeight="1">
      <c r="A883" s="39">
        <v>606</v>
      </c>
      <c r="B883" s="40" t="s">
        <v>11970</v>
      </c>
      <c r="C883" s="40" t="s">
        <v>11971</v>
      </c>
      <c r="D883" s="40" t="s">
        <v>1790</v>
      </c>
      <c r="E883" s="41">
        <v>5263.09</v>
      </c>
      <c r="F883" s="40" t="s">
        <v>1790</v>
      </c>
      <c r="G883" s="41">
        <v>5262.4579999999996</v>
      </c>
      <c r="H883" s="40"/>
      <c r="I883" s="41"/>
      <c r="J883" s="41">
        <f t="shared" si="3"/>
        <v>5262.7739999999994</v>
      </c>
      <c r="K883" s="42" t="s">
        <v>5796</v>
      </c>
      <c r="L883" s="39">
        <v>606</v>
      </c>
    </row>
    <row r="884" spans="1:12" ht="11.25" customHeight="1">
      <c r="A884" s="43">
        <v>159</v>
      </c>
      <c r="B884" s="44" t="s">
        <v>11972</v>
      </c>
      <c r="C884" s="44" t="s">
        <v>11973</v>
      </c>
      <c r="D884" s="44" t="s">
        <v>488</v>
      </c>
      <c r="E884" s="45">
        <v>41589.839999999997</v>
      </c>
      <c r="F884" s="44" t="s">
        <v>488</v>
      </c>
      <c r="G884" s="45">
        <v>41589.670400000003</v>
      </c>
      <c r="H884" s="44"/>
      <c r="I884" s="45"/>
      <c r="J884" s="45">
        <f t="shared" si="3"/>
        <v>41589.7552</v>
      </c>
      <c r="K884" s="46" t="s">
        <v>5800</v>
      </c>
      <c r="L884" s="43">
        <v>159</v>
      </c>
    </row>
    <row r="885" spans="1:12" ht="11.25" customHeight="1">
      <c r="A885" s="47">
        <v>30</v>
      </c>
      <c r="B885" s="48" t="s">
        <v>11974</v>
      </c>
      <c r="C885" s="48" t="s">
        <v>11975</v>
      </c>
      <c r="D885" s="48" t="s">
        <v>98</v>
      </c>
      <c r="E885" s="49">
        <v>193378.68</v>
      </c>
      <c r="F885" s="48" t="s">
        <v>98</v>
      </c>
      <c r="G885" s="49">
        <v>193841.20819999999</v>
      </c>
      <c r="H885" s="48"/>
      <c r="I885" s="49"/>
      <c r="J885" s="49">
        <f t="shared" si="3"/>
        <v>193609.94409999999</v>
      </c>
      <c r="K885" s="50" t="s">
        <v>5815</v>
      </c>
      <c r="L885" s="47">
        <v>30</v>
      </c>
    </row>
    <row r="886" spans="1:12" ht="11.25" customHeight="1">
      <c r="A886" s="39">
        <v>737</v>
      </c>
      <c r="B886" s="40" t="s">
        <v>11976</v>
      </c>
      <c r="C886" s="40" t="s">
        <v>11977</v>
      </c>
      <c r="D886" s="40" t="s">
        <v>2158</v>
      </c>
      <c r="E886" s="41">
        <v>3464.73</v>
      </c>
      <c r="F886" s="40" t="s">
        <v>2158</v>
      </c>
      <c r="G886" s="41">
        <v>3466.9794999999999</v>
      </c>
      <c r="H886" s="40"/>
      <c r="I886" s="41"/>
      <c r="J886" s="41">
        <f t="shared" si="3"/>
        <v>3465.85475</v>
      </c>
      <c r="K886" s="42" t="s">
        <v>5796</v>
      </c>
      <c r="L886" s="39">
        <v>737</v>
      </c>
    </row>
    <row r="887" spans="1:12" ht="11.25" customHeight="1">
      <c r="A887" s="39">
        <v>727</v>
      </c>
      <c r="B887" s="40" t="s">
        <v>2126</v>
      </c>
      <c r="C887" s="40" t="s">
        <v>11978</v>
      </c>
      <c r="D887" s="40" t="s">
        <v>2128</v>
      </c>
      <c r="E887" s="41">
        <v>3519.44</v>
      </c>
      <c r="F887" s="40" t="s">
        <v>2128</v>
      </c>
      <c r="G887" s="41">
        <v>3557.085</v>
      </c>
      <c r="H887" s="40"/>
      <c r="I887" s="41"/>
      <c r="J887" s="41">
        <f t="shared" si="3"/>
        <v>3538.2624999999998</v>
      </c>
      <c r="K887" s="42" t="s">
        <v>5796</v>
      </c>
      <c r="L887" s="39">
        <v>727</v>
      </c>
    </row>
    <row r="888" spans="1:12" ht="11.25" customHeight="1">
      <c r="A888" s="43">
        <v>179</v>
      </c>
      <c r="B888" s="44" t="s">
        <v>11979</v>
      </c>
      <c r="C888" s="44" t="s">
        <v>11980</v>
      </c>
      <c r="D888" s="44" t="s">
        <v>548</v>
      </c>
      <c r="E888" s="45">
        <v>34226.94</v>
      </c>
      <c r="F888" s="44" t="s">
        <v>548</v>
      </c>
      <c r="G888" s="45">
        <v>34233.726799999997</v>
      </c>
      <c r="H888" s="44"/>
      <c r="I888" s="45"/>
      <c r="J888" s="45">
        <f t="shared" si="3"/>
        <v>34230.333400000003</v>
      </c>
      <c r="K888" s="46" t="s">
        <v>5800</v>
      </c>
      <c r="L888" s="43">
        <v>179</v>
      </c>
    </row>
    <row r="889" spans="1:12" ht="11.25" customHeight="1">
      <c r="A889" s="39">
        <v>1249</v>
      </c>
      <c r="B889" s="40" t="s">
        <v>11981</v>
      </c>
      <c r="C889" s="40" t="s">
        <v>11982</v>
      </c>
      <c r="D889" s="40" t="s">
        <v>3457</v>
      </c>
      <c r="E889" s="41">
        <v>920.65</v>
      </c>
      <c r="F889" s="40" t="s">
        <v>3457</v>
      </c>
      <c r="G889" s="41">
        <v>920.95219999999995</v>
      </c>
      <c r="H889" s="40"/>
      <c r="I889" s="41"/>
      <c r="J889" s="41">
        <f t="shared" si="3"/>
        <v>920.80109999999991</v>
      </c>
      <c r="K889" s="42" t="s">
        <v>5796</v>
      </c>
      <c r="L889" s="39">
        <v>1249</v>
      </c>
    </row>
    <row r="890" spans="1:12" ht="11.25" customHeight="1">
      <c r="A890" s="39">
        <v>507</v>
      </c>
      <c r="B890" s="40" t="s">
        <v>11983</v>
      </c>
      <c r="C890" s="40" t="s">
        <v>11984</v>
      </c>
      <c r="D890" s="40" t="s">
        <v>1508</v>
      </c>
      <c r="E890" s="41">
        <v>7194.32</v>
      </c>
      <c r="F890" s="40" t="s">
        <v>1508</v>
      </c>
      <c r="G890" s="41">
        <v>7195.7374</v>
      </c>
      <c r="H890" s="40"/>
      <c r="I890" s="41"/>
      <c r="J890" s="41">
        <f t="shared" si="3"/>
        <v>7195.0286999999998</v>
      </c>
      <c r="K890" s="42" t="s">
        <v>5796</v>
      </c>
      <c r="L890" s="39">
        <v>507</v>
      </c>
    </row>
    <row r="891" spans="1:12" ht="11.25" customHeight="1">
      <c r="A891" s="39">
        <v>531</v>
      </c>
      <c r="B891" s="40" t="s">
        <v>6371</v>
      </c>
      <c r="C891" s="40" t="s">
        <v>11985</v>
      </c>
      <c r="D891" s="40" t="s">
        <v>1574</v>
      </c>
      <c r="E891" s="41">
        <v>6802.71</v>
      </c>
      <c r="F891" s="40" t="s">
        <v>1574</v>
      </c>
      <c r="G891" s="41">
        <v>6805.5693000000001</v>
      </c>
      <c r="H891" s="40"/>
      <c r="I891" s="41"/>
      <c r="J891" s="41">
        <f t="shared" si="3"/>
        <v>6804.1396500000001</v>
      </c>
      <c r="K891" s="42" t="s">
        <v>5796</v>
      </c>
      <c r="L891" s="39">
        <v>531</v>
      </c>
    </row>
    <row r="892" spans="1:12" ht="11.25" customHeight="1">
      <c r="A892" s="39">
        <v>550</v>
      </c>
      <c r="B892" s="40" t="s">
        <v>11986</v>
      </c>
      <c r="C892" s="40" t="s">
        <v>11987</v>
      </c>
      <c r="D892" s="40" t="s">
        <v>1631</v>
      </c>
      <c r="E892" s="41">
        <v>6388.45</v>
      </c>
      <c r="F892" s="40" t="s">
        <v>1631</v>
      </c>
      <c r="G892" s="41">
        <v>6390.1385</v>
      </c>
      <c r="H892" s="40" t="s">
        <v>1631</v>
      </c>
      <c r="I892" s="41">
        <v>6386.6619351395157</v>
      </c>
      <c r="J892" s="41">
        <f t="shared" si="3"/>
        <v>6388.4168117131712</v>
      </c>
      <c r="K892" s="42" t="s">
        <v>5796</v>
      </c>
      <c r="L892" s="39">
        <v>550</v>
      </c>
    </row>
    <row r="893" spans="1:12" ht="11.25" customHeight="1">
      <c r="A893" s="39">
        <v>369</v>
      </c>
      <c r="B893" s="40" t="s">
        <v>6372</v>
      </c>
      <c r="C893" s="40" t="s">
        <v>11988</v>
      </c>
      <c r="D893" s="40" t="s">
        <v>1115</v>
      </c>
      <c r="E893" s="41">
        <v>11780.57</v>
      </c>
      <c r="F893" s="40" t="s">
        <v>1115</v>
      </c>
      <c r="G893" s="41">
        <v>11727.9485</v>
      </c>
      <c r="H893" s="40"/>
      <c r="I893" s="41"/>
      <c r="J893" s="41">
        <f t="shared" si="3"/>
        <v>11754.259249999999</v>
      </c>
      <c r="K893" s="42" t="s">
        <v>5796</v>
      </c>
      <c r="L893" s="39">
        <v>369</v>
      </c>
    </row>
    <row r="894" spans="1:12" ht="11.25" customHeight="1">
      <c r="A894" s="39">
        <v>338</v>
      </c>
      <c r="B894" s="40" t="s">
        <v>6373</v>
      </c>
      <c r="C894" s="40" t="s">
        <v>11989</v>
      </c>
      <c r="D894" s="40" t="s">
        <v>1025</v>
      </c>
      <c r="E894" s="41">
        <v>13340.94</v>
      </c>
      <c r="F894" s="40" t="s">
        <v>1025</v>
      </c>
      <c r="G894" s="41">
        <v>13343.5033</v>
      </c>
      <c r="H894" s="40"/>
      <c r="I894" s="41"/>
      <c r="J894" s="41">
        <f t="shared" si="3"/>
        <v>13342.221649999999</v>
      </c>
      <c r="K894" s="42" t="s">
        <v>5796</v>
      </c>
      <c r="L894" s="39">
        <v>338</v>
      </c>
    </row>
    <row r="895" spans="1:12" ht="11.25" customHeight="1">
      <c r="A895" s="39">
        <v>1279</v>
      </c>
      <c r="B895" s="40" t="s">
        <v>11990</v>
      </c>
      <c r="C895" s="40" t="s">
        <v>11991</v>
      </c>
      <c r="D895" s="40" t="s">
        <v>3517</v>
      </c>
      <c r="E895" s="41">
        <v>853.86</v>
      </c>
      <c r="F895" s="40" t="s">
        <v>3517</v>
      </c>
      <c r="G895" s="41">
        <v>848.22029999999995</v>
      </c>
      <c r="H895" s="40"/>
      <c r="I895" s="41"/>
      <c r="J895" s="41">
        <f t="shared" si="3"/>
        <v>851.04015000000004</v>
      </c>
      <c r="K895" s="42" t="s">
        <v>5796</v>
      </c>
      <c r="L895" s="39">
        <v>1279</v>
      </c>
    </row>
    <row r="896" spans="1:12" ht="11.25" customHeight="1">
      <c r="A896" s="39">
        <v>1044</v>
      </c>
      <c r="B896" s="40" t="s">
        <v>11992</v>
      </c>
      <c r="C896" s="40" t="s">
        <v>11993</v>
      </c>
      <c r="D896" s="40" t="s">
        <v>2980</v>
      </c>
      <c r="E896" s="41">
        <v>1506.66</v>
      </c>
      <c r="F896" s="40" t="s">
        <v>2980</v>
      </c>
      <c r="G896" s="41">
        <v>1505.6592000000001</v>
      </c>
      <c r="H896" s="40"/>
      <c r="I896" s="41"/>
      <c r="J896" s="41">
        <f t="shared" si="3"/>
        <v>1506.1596</v>
      </c>
      <c r="K896" s="42" t="s">
        <v>5796</v>
      </c>
      <c r="L896" s="39">
        <v>1044</v>
      </c>
    </row>
    <row r="897" spans="1:12" ht="11.25" customHeight="1">
      <c r="A897" s="39">
        <v>254</v>
      </c>
      <c r="B897" s="40" t="s">
        <v>11994</v>
      </c>
      <c r="C897" s="40" t="s">
        <v>11995</v>
      </c>
      <c r="D897" s="40" t="s">
        <v>770</v>
      </c>
      <c r="E897" s="41">
        <v>21552.52</v>
      </c>
      <c r="F897" s="40" t="s">
        <v>770</v>
      </c>
      <c r="G897" s="41">
        <v>21554.7238</v>
      </c>
      <c r="H897" s="40"/>
      <c r="I897" s="41"/>
      <c r="J897" s="41">
        <f t="shared" si="3"/>
        <v>21553.621899999998</v>
      </c>
      <c r="K897" s="42" t="s">
        <v>5796</v>
      </c>
      <c r="L897" s="39">
        <v>254</v>
      </c>
    </row>
    <row r="898" spans="1:12" ht="11.25" customHeight="1">
      <c r="A898" s="39">
        <v>2055</v>
      </c>
      <c r="B898" s="40" t="s">
        <v>11996</v>
      </c>
      <c r="C898" s="40" t="s">
        <v>11997</v>
      </c>
      <c r="D898" s="40" t="s">
        <v>4810</v>
      </c>
      <c r="E898" s="41">
        <v>171.89</v>
      </c>
      <c r="F898" s="40" t="s">
        <v>4810</v>
      </c>
      <c r="G898" s="41">
        <v>171.95769999999999</v>
      </c>
      <c r="H898" s="40"/>
      <c r="I898" s="41"/>
      <c r="J898" s="41">
        <f t="shared" si="3"/>
        <v>171.92384999999999</v>
      </c>
      <c r="K898" s="42" t="s">
        <v>5796</v>
      </c>
      <c r="L898" s="39">
        <v>2055</v>
      </c>
    </row>
    <row r="899" spans="1:12" ht="11.25" customHeight="1">
      <c r="A899" s="39">
        <v>677</v>
      </c>
      <c r="B899" s="40" t="s">
        <v>11998</v>
      </c>
      <c r="C899" s="40" t="s">
        <v>11999</v>
      </c>
      <c r="D899" s="40" t="s">
        <v>1988</v>
      </c>
      <c r="E899" s="41">
        <v>4067.43</v>
      </c>
      <c r="F899" s="40" t="s">
        <v>1988</v>
      </c>
      <c r="G899" s="41">
        <v>4068.6232</v>
      </c>
      <c r="H899" s="40"/>
      <c r="I899" s="41"/>
      <c r="J899" s="41">
        <f t="shared" si="3"/>
        <v>4068.0266000000001</v>
      </c>
      <c r="K899" s="42" t="s">
        <v>5796</v>
      </c>
      <c r="L899" s="39">
        <v>677</v>
      </c>
    </row>
    <row r="900" spans="1:12" ht="11.25" customHeight="1">
      <c r="A900" s="39">
        <v>3760</v>
      </c>
      <c r="B900" s="40" t="s">
        <v>12000</v>
      </c>
      <c r="C900" s="40" t="s">
        <v>12001</v>
      </c>
      <c r="D900" s="40"/>
      <c r="E900" s="41"/>
      <c r="F900" s="40" t="s">
        <v>5730</v>
      </c>
      <c r="G900" s="41">
        <v>11.93</v>
      </c>
      <c r="H900" s="40"/>
      <c r="I900" s="41"/>
      <c r="J900" s="41">
        <f t="shared" si="3"/>
        <v>11.93</v>
      </c>
      <c r="K900" s="42" t="s">
        <v>5796</v>
      </c>
      <c r="L900" s="39">
        <v>3760</v>
      </c>
    </row>
    <row r="901" spans="1:12" ht="11.25" customHeight="1">
      <c r="A901" s="39">
        <v>2171</v>
      </c>
      <c r="B901" s="40" t="s">
        <v>12002</v>
      </c>
      <c r="C901" s="40" t="s">
        <v>12003</v>
      </c>
      <c r="D901" s="40" t="s">
        <v>4978</v>
      </c>
      <c r="E901" s="41">
        <v>141.35</v>
      </c>
      <c r="F901" s="40" t="s">
        <v>4978</v>
      </c>
      <c r="G901" s="41">
        <v>140.72620000000001</v>
      </c>
      <c r="H901" s="40"/>
      <c r="I901" s="41"/>
      <c r="J901" s="41">
        <f t="shared" si="3"/>
        <v>141.03809999999999</v>
      </c>
      <c r="K901" s="42" t="s">
        <v>5796</v>
      </c>
      <c r="L901" s="39">
        <v>2171</v>
      </c>
    </row>
    <row r="902" spans="1:12" ht="11.25" customHeight="1">
      <c r="A902" s="43">
        <v>217</v>
      </c>
      <c r="B902" s="44" t="s">
        <v>12004</v>
      </c>
      <c r="C902" s="44" t="s">
        <v>12005</v>
      </c>
      <c r="D902" s="44" t="s">
        <v>662</v>
      </c>
      <c r="E902" s="45">
        <v>26221.040000000001</v>
      </c>
      <c r="F902" s="44" t="s">
        <v>662</v>
      </c>
      <c r="G902" s="45">
        <v>26220.457399999999</v>
      </c>
      <c r="H902" s="44"/>
      <c r="I902" s="45"/>
      <c r="J902" s="45">
        <f t="shared" si="3"/>
        <v>26220.7487</v>
      </c>
      <c r="K902" s="46" t="s">
        <v>5800</v>
      </c>
      <c r="L902" s="43">
        <v>217</v>
      </c>
    </row>
    <row r="903" spans="1:12" ht="11.25" customHeight="1">
      <c r="A903" s="39">
        <v>1479</v>
      </c>
      <c r="B903" s="40" t="s">
        <v>12006</v>
      </c>
      <c r="C903" s="40" t="s">
        <v>12007</v>
      </c>
      <c r="D903" s="40" t="s">
        <v>3916</v>
      </c>
      <c r="E903" s="41">
        <v>539.11</v>
      </c>
      <c r="F903" s="40" t="s">
        <v>3916</v>
      </c>
      <c r="G903" s="41">
        <v>539.12729999999999</v>
      </c>
      <c r="H903" s="40"/>
      <c r="I903" s="41"/>
      <c r="J903" s="41">
        <f t="shared" si="3"/>
        <v>539.11865</v>
      </c>
      <c r="K903" s="42" t="s">
        <v>5796</v>
      </c>
      <c r="L903" s="39">
        <v>1479</v>
      </c>
    </row>
    <row r="904" spans="1:12" ht="11.25" customHeight="1">
      <c r="A904" s="39">
        <v>1299</v>
      </c>
      <c r="B904" s="40" t="s">
        <v>12008</v>
      </c>
      <c r="C904" s="40" t="s">
        <v>12009</v>
      </c>
      <c r="D904" s="40" t="s">
        <v>3571</v>
      </c>
      <c r="E904" s="41">
        <v>807.91</v>
      </c>
      <c r="F904" s="40" t="s">
        <v>3571</v>
      </c>
      <c r="G904" s="41">
        <v>807.9683</v>
      </c>
      <c r="H904" s="40"/>
      <c r="I904" s="41"/>
      <c r="J904" s="41">
        <f t="shared" si="3"/>
        <v>807.93914999999993</v>
      </c>
      <c r="K904" s="42" t="s">
        <v>5796</v>
      </c>
      <c r="L904" s="39">
        <v>1299</v>
      </c>
    </row>
    <row r="905" spans="1:12" ht="11.25" customHeight="1">
      <c r="A905" s="39">
        <v>1207</v>
      </c>
      <c r="B905" s="40" t="s">
        <v>12010</v>
      </c>
      <c r="C905" s="40" t="s">
        <v>12011</v>
      </c>
      <c r="D905" s="40" t="s">
        <v>3370</v>
      </c>
      <c r="E905" s="41">
        <v>1040.4000000000001</v>
      </c>
      <c r="F905" s="40" t="s">
        <v>3370</v>
      </c>
      <c r="G905" s="41">
        <v>1040.7153000000001</v>
      </c>
      <c r="H905" s="40"/>
      <c r="I905" s="41"/>
      <c r="J905" s="41">
        <f t="shared" si="3"/>
        <v>1040.5576500000002</v>
      </c>
      <c r="K905" s="42" t="s">
        <v>5796</v>
      </c>
      <c r="L905" s="39">
        <v>1207</v>
      </c>
    </row>
    <row r="906" spans="1:12" ht="11.25" customHeight="1">
      <c r="A906" s="39">
        <v>2533</v>
      </c>
      <c r="B906" s="40" t="s">
        <v>12012</v>
      </c>
      <c r="C906" s="40" t="s">
        <v>12013</v>
      </c>
      <c r="D906" s="40" t="s">
        <v>5325</v>
      </c>
      <c r="E906" s="41">
        <v>76.34</v>
      </c>
      <c r="F906" s="40" t="s">
        <v>5325</v>
      </c>
      <c r="G906" s="41">
        <v>76.346699999999998</v>
      </c>
      <c r="H906" s="40"/>
      <c r="I906" s="41"/>
      <c r="J906" s="41">
        <f t="shared" si="3"/>
        <v>76.343350000000001</v>
      </c>
      <c r="K906" s="42" t="s">
        <v>5796</v>
      </c>
      <c r="L906" s="39">
        <v>2533</v>
      </c>
    </row>
    <row r="907" spans="1:12" ht="11.25" customHeight="1">
      <c r="A907" s="39">
        <v>1472</v>
      </c>
      <c r="B907" s="40" t="s">
        <v>12014</v>
      </c>
      <c r="C907" s="40" t="s">
        <v>12015</v>
      </c>
      <c r="D907" s="40" t="s">
        <v>3898</v>
      </c>
      <c r="E907" s="41">
        <v>550.70000000000005</v>
      </c>
      <c r="F907" s="40" t="s">
        <v>3898</v>
      </c>
      <c r="G907" s="41">
        <v>550.47789999999998</v>
      </c>
      <c r="H907" s="40"/>
      <c r="I907" s="41"/>
      <c r="J907" s="41">
        <f t="shared" si="3"/>
        <v>550.58895000000007</v>
      </c>
      <c r="K907" s="42" t="s">
        <v>5796</v>
      </c>
      <c r="L907" s="39">
        <v>1472</v>
      </c>
    </row>
    <row r="908" spans="1:12" ht="11.25" customHeight="1">
      <c r="A908" s="39">
        <v>1836</v>
      </c>
      <c r="B908" s="40" t="s">
        <v>12016</v>
      </c>
      <c r="C908" s="40" t="s">
        <v>12017</v>
      </c>
      <c r="D908" s="40" t="s">
        <v>4519</v>
      </c>
      <c r="E908" s="41">
        <v>255.47</v>
      </c>
      <c r="F908" s="40" t="s">
        <v>4519</v>
      </c>
      <c r="G908" s="41">
        <v>255.5736</v>
      </c>
      <c r="H908" s="40"/>
      <c r="I908" s="41"/>
      <c r="J908" s="41">
        <f t="shared" si="3"/>
        <v>255.52179999999998</v>
      </c>
      <c r="K908" s="42" t="s">
        <v>5796</v>
      </c>
      <c r="L908" s="39">
        <v>1836</v>
      </c>
    </row>
    <row r="909" spans="1:12" ht="11.25" customHeight="1">
      <c r="A909" s="43">
        <v>219</v>
      </c>
      <c r="B909" s="44" t="s">
        <v>12018</v>
      </c>
      <c r="C909" s="44" t="s">
        <v>12019</v>
      </c>
      <c r="D909" s="44" t="s">
        <v>668</v>
      </c>
      <c r="E909" s="45">
        <v>26077.91</v>
      </c>
      <c r="F909" s="44" t="s">
        <v>668</v>
      </c>
      <c r="G909" s="45">
        <v>26089.3753</v>
      </c>
      <c r="H909" s="44"/>
      <c r="I909" s="45"/>
      <c r="J909" s="45">
        <f t="shared" si="3"/>
        <v>26083.642650000002</v>
      </c>
      <c r="K909" s="46" t="s">
        <v>5800</v>
      </c>
      <c r="L909" s="43">
        <v>219</v>
      </c>
    </row>
    <row r="910" spans="1:12" ht="11.25" customHeight="1">
      <c r="A910" s="39">
        <v>1997</v>
      </c>
      <c r="B910" s="40" t="s">
        <v>12020</v>
      </c>
      <c r="C910" s="40" t="s">
        <v>12021</v>
      </c>
      <c r="D910" s="40"/>
      <c r="E910" s="41"/>
      <c r="F910" s="40" t="s">
        <v>4738</v>
      </c>
      <c r="G910" s="41">
        <v>189.0873</v>
      </c>
      <c r="H910" s="40"/>
      <c r="I910" s="41"/>
      <c r="J910" s="41">
        <f t="shared" si="3"/>
        <v>189.0873</v>
      </c>
      <c r="K910" s="42" t="s">
        <v>5796</v>
      </c>
      <c r="L910" s="39">
        <v>1997</v>
      </c>
    </row>
    <row r="911" spans="1:12" ht="11.25" customHeight="1">
      <c r="A911" s="39">
        <v>2661</v>
      </c>
      <c r="B911" s="40" t="s">
        <v>12022</v>
      </c>
      <c r="C911" s="40" t="s">
        <v>12023</v>
      </c>
      <c r="D911" s="40" t="s">
        <v>5424</v>
      </c>
      <c r="E911" s="41">
        <v>61.46</v>
      </c>
      <c r="F911" s="40" t="s">
        <v>5424</v>
      </c>
      <c r="G911" s="41">
        <v>62.288600000000002</v>
      </c>
      <c r="H911" s="40"/>
      <c r="I911" s="41"/>
      <c r="J911" s="41">
        <f t="shared" si="3"/>
        <v>61.874300000000005</v>
      </c>
      <c r="K911" s="42" t="s">
        <v>5796</v>
      </c>
      <c r="L911" s="39">
        <v>2661</v>
      </c>
    </row>
    <row r="912" spans="1:12" ht="11.25" customHeight="1">
      <c r="A912" s="39">
        <v>380</v>
      </c>
      <c r="B912" s="40" t="s">
        <v>12024</v>
      </c>
      <c r="C912" s="40" t="s">
        <v>12025</v>
      </c>
      <c r="D912" s="40" t="s">
        <v>1148</v>
      </c>
      <c r="E912" s="41">
        <v>11120.95</v>
      </c>
      <c r="F912" s="40" t="s">
        <v>1148</v>
      </c>
      <c r="G912" s="41">
        <v>11157.239</v>
      </c>
      <c r="H912" s="40"/>
      <c r="I912" s="41"/>
      <c r="J912" s="41">
        <f t="shared" si="3"/>
        <v>11139.094499999999</v>
      </c>
      <c r="K912" s="42" t="s">
        <v>5796</v>
      </c>
      <c r="L912" s="39">
        <v>380</v>
      </c>
    </row>
    <row r="913" spans="1:12" ht="11.25" customHeight="1">
      <c r="A913" s="39">
        <v>3338</v>
      </c>
      <c r="B913" s="40" t="s">
        <v>12026</v>
      </c>
      <c r="C913" s="40" t="s">
        <v>12027</v>
      </c>
      <c r="D913" s="40" t="s">
        <v>5652</v>
      </c>
      <c r="E913" s="41">
        <v>23.19</v>
      </c>
      <c r="F913" s="40" t="s">
        <v>5652</v>
      </c>
      <c r="G913" s="41">
        <v>23.163399999999999</v>
      </c>
      <c r="H913" s="40"/>
      <c r="I913" s="41"/>
      <c r="J913" s="41">
        <f t="shared" si="3"/>
        <v>23.1767</v>
      </c>
      <c r="K913" s="42" t="s">
        <v>5796</v>
      </c>
      <c r="L913" s="39">
        <v>3338</v>
      </c>
    </row>
    <row r="914" spans="1:12" ht="11.25" customHeight="1">
      <c r="A914" s="39">
        <v>3422</v>
      </c>
      <c r="B914" s="40" t="s">
        <v>6387</v>
      </c>
      <c r="C914" s="40" t="s">
        <v>12028</v>
      </c>
      <c r="D914" s="40" t="s">
        <v>5676</v>
      </c>
      <c r="E914" s="41">
        <v>20.25</v>
      </c>
      <c r="F914" s="40" t="s">
        <v>5676</v>
      </c>
      <c r="G914" s="41">
        <v>20.090199999999999</v>
      </c>
      <c r="H914" s="40"/>
      <c r="I914" s="41"/>
      <c r="J914" s="41">
        <f t="shared" si="3"/>
        <v>20.170099999999998</v>
      </c>
      <c r="K914" s="42" t="s">
        <v>5796</v>
      </c>
      <c r="L914" s="39">
        <v>3422</v>
      </c>
    </row>
    <row r="915" spans="1:12" ht="11.25" customHeight="1">
      <c r="A915" s="39">
        <v>1553</v>
      </c>
      <c r="B915" s="40" t="s">
        <v>12029</v>
      </c>
      <c r="C915" s="40" t="s">
        <v>12030</v>
      </c>
      <c r="D915" s="40" t="s">
        <v>4063</v>
      </c>
      <c r="E915" s="41">
        <v>453.87</v>
      </c>
      <c r="F915" s="40" t="s">
        <v>4063</v>
      </c>
      <c r="G915" s="41">
        <v>453.96030000000002</v>
      </c>
      <c r="H915" s="40"/>
      <c r="I915" s="41"/>
      <c r="J915" s="41">
        <f t="shared" si="3"/>
        <v>453.91515000000004</v>
      </c>
      <c r="K915" s="42" t="s">
        <v>5796</v>
      </c>
      <c r="L915" s="39">
        <v>1553</v>
      </c>
    </row>
    <row r="916" spans="1:12" ht="11.25" customHeight="1">
      <c r="A916" s="39">
        <v>344</v>
      </c>
      <c r="B916" s="40" t="s">
        <v>6388</v>
      </c>
      <c r="C916" s="40" t="s">
        <v>12031</v>
      </c>
      <c r="D916" s="40" t="s">
        <v>1043</v>
      </c>
      <c r="E916" s="41">
        <v>12719.44</v>
      </c>
      <c r="F916" s="40" t="s">
        <v>1043</v>
      </c>
      <c r="G916" s="41">
        <v>12685.188399999999</v>
      </c>
      <c r="H916" s="40"/>
      <c r="I916" s="41"/>
      <c r="J916" s="41">
        <f t="shared" si="3"/>
        <v>12702.314200000001</v>
      </c>
      <c r="K916" s="42" t="s">
        <v>5796</v>
      </c>
      <c r="L916" s="39">
        <v>344</v>
      </c>
    </row>
    <row r="917" spans="1:12" ht="11.25" customHeight="1">
      <c r="A917" s="39">
        <v>1989</v>
      </c>
      <c r="B917" s="40" t="s">
        <v>6389</v>
      </c>
      <c r="C917" s="40" t="s">
        <v>12032</v>
      </c>
      <c r="D917" s="40" t="s">
        <v>4714</v>
      </c>
      <c r="E917" s="41">
        <v>200.5</v>
      </c>
      <c r="F917" s="40" t="s">
        <v>4714</v>
      </c>
      <c r="G917" s="41">
        <v>182.00919999999999</v>
      </c>
      <c r="H917" s="40"/>
      <c r="I917" s="41"/>
      <c r="J917" s="41">
        <f t="shared" si="3"/>
        <v>191.25459999999998</v>
      </c>
      <c r="K917" s="42" t="s">
        <v>5796</v>
      </c>
      <c r="L917" s="39">
        <v>1989</v>
      </c>
    </row>
    <row r="918" spans="1:12" ht="11.25" customHeight="1">
      <c r="A918" s="39">
        <v>1012</v>
      </c>
      <c r="B918" s="40" t="s">
        <v>6390</v>
      </c>
      <c r="C918" s="40" t="s">
        <v>12033</v>
      </c>
      <c r="D918" s="40" t="s">
        <v>2899</v>
      </c>
      <c r="E918" s="41">
        <v>1658.87</v>
      </c>
      <c r="F918" s="40" t="s">
        <v>2899</v>
      </c>
      <c r="G918" s="41">
        <v>1658.8774000000001</v>
      </c>
      <c r="H918" s="40"/>
      <c r="I918" s="41"/>
      <c r="J918" s="41">
        <f t="shared" si="3"/>
        <v>1658.8737000000001</v>
      </c>
      <c r="K918" s="42" t="s">
        <v>5796</v>
      </c>
      <c r="L918" s="39">
        <v>1012</v>
      </c>
    </row>
    <row r="919" spans="1:12" ht="11.25" customHeight="1">
      <c r="A919" s="39">
        <v>1628</v>
      </c>
      <c r="B919" s="40" t="s">
        <v>6391</v>
      </c>
      <c r="C919" s="40" t="s">
        <v>12034</v>
      </c>
      <c r="D919" s="40" t="s">
        <v>4207</v>
      </c>
      <c r="E919" s="41">
        <v>385.29</v>
      </c>
      <c r="F919" s="40" t="s">
        <v>4207</v>
      </c>
      <c r="G919" s="41">
        <v>385.49549999999999</v>
      </c>
      <c r="H919" s="40"/>
      <c r="I919" s="41"/>
      <c r="J919" s="41">
        <f t="shared" si="3"/>
        <v>385.39274999999998</v>
      </c>
      <c r="K919" s="42" t="s">
        <v>5796</v>
      </c>
      <c r="L919" s="39">
        <v>1628</v>
      </c>
    </row>
    <row r="920" spans="1:12" ht="11.25" customHeight="1">
      <c r="A920" s="39">
        <v>823</v>
      </c>
      <c r="B920" s="40" t="s">
        <v>12035</v>
      </c>
      <c r="C920" s="40" t="s">
        <v>12036</v>
      </c>
      <c r="D920" s="40" t="s">
        <v>2392</v>
      </c>
      <c r="E920" s="41">
        <v>2715.71</v>
      </c>
      <c r="F920" s="40" t="s">
        <v>2392</v>
      </c>
      <c r="G920" s="41">
        <v>2672.9508000000001</v>
      </c>
      <c r="H920" s="40"/>
      <c r="I920" s="41"/>
      <c r="J920" s="41">
        <f t="shared" si="3"/>
        <v>2694.3303999999998</v>
      </c>
      <c r="K920" s="42" t="s">
        <v>5796</v>
      </c>
      <c r="L920" s="39">
        <v>823</v>
      </c>
    </row>
    <row r="921" spans="1:12" ht="11.25" customHeight="1">
      <c r="A921" s="39">
        <v>303</v>
      </c>
      <c r="B921" s="40" t="s">
        <v>12037</v>
      </c>
      <c r="C921" s="40" t="s">
        <v>12038</v>
      </c>
      <c r="D921" s="40" t="s">
        <v>920</v>
      </c>
      <c r="E921" s="41">
        <v>16141.8</v>
      </c>
      <c r="F921" s="40" t="s">
        <v>920</v>
      </c>
      <c r="G921" s="41">
        <v>16143.511699999999</v>
      </c>
      <c r="H921" s="40"/>
      <c r="I921" s="41"/>
      <c r="J921" s="41">
        <f t="shared" si="3"/>
        <v>16142.655849999999</v>
      </c>
      <c r="K921" s="42" t="s">
        <v>5796</v>
      </c>
      <c r="L921" s="39">
        <v>303</v>
      </c>
    </row>
    <row r="922" spans="1:12" ht="11.25" customHeight="1">
      <c r="A922" s="39">
        <v>1315</v>
      </c>
      <c r="B922" s="40" t="s">
        <v>6394</v>
      </c>
      <c r="C922" s="40" t="s">
        <v>12039</v>
      </c>
      <c r="D922" s="40" t="s">
        <v>3613</v>
      </c>
      <c r="E922" s="41">
        <v>777.77</v>
      </c>
      <c r="F922" s="40" t="s">
        <v>3613</v>
      </c>
      <c r="G922" s="41">
        <v>777.76229999999998</v>
      </c>
      <c r="H922" s="40"/>
      <c r="I922" s="41"/>
      <c r="J922" s="41">
        <f t="shared" si="3"/>
        <v>777.76614999999993</v>
      </c>
      <c r="K922" s="42" t="s">
        <v>5796</v>
      </c>
      <c r="L922" s="39">
        <v>1315</v>
      </c>
    </row>
    <row r="923" spans="1:12" ht="11.25" customHeight="1">
      <c r="A923" s="39">
        <v>3059</v>
      </c>
      <c r="B923" s="40" t="s">
        <v>6395</v>
      </c>
      <c r="C923" s="40" t="s">
        <v>12040</v>
      </c>
      <c r="D923" s="40" t="s">
        <v>5574</v>
      </c>
      <c r="E923" s="41">
        <v>34.75</v>
      </c>
      <c r="F923" s="40" t="s">
        <v>5574</v>
      </c>
      <c r="G923" s="41">
        <v>34.625500000000002</v>
      </c>
      <c r="H923" s="40"/>
      <c r="I923" s="41"/>
      <c r="J923" s="41">
        <f t="shared" si="3"/>
        <v>34.687750000000001</v>
      </c>
      <c r="K923" s="42" t="s">
        <v>5796</v>
      </c>
      <c r="L923" s="39">
        <v>3059</v>
      </c>
    </row>
    <row r="924" spans="1:12" ht="11.25" customHeight="1">
      <c r="A924" s="43">
        <v>237</v>
      </c>
      <c r="B924" s="44" t="s">
        <v>12041</v>
      </c>
      <c r="C924" s="44" t="s">
        <v>12042</v>
      </c>
      <c r="D924" s="44" t="s">
        <v>722</v>
      </c>
      <c r="E924" s="45">
        <v>23725.13</v>
      </c>
      <c r="F924" s="44" t="s">
        <v>722</v>
      </c>
      <c r="G924" s="45">
        <v>23722.543399999999</v>
      </c>
      <c r="H924" s="44"/>
      <c r="I924" s="45"/>
      <c r="J924" s="45">
        <f t="shared" si="3"/>
        <v>23723.8367</v>
      </c>
      <c r="K924" s="46" t="s">
        <v>5800</v>
      </c>
      <c r="L924" s="43">
        <v>237</v>
      </c>
    </row>
    <row r="925" spans="1:12" ht="11.25" customHeight="1">
      <c r="A925" s="39">
        <v>1293</v>
      </c>
      <c r="B925" s="40" t="s">
        <v>12043</v>
      </c>
      <c r="C925" s="40" t="s">
        <v>12044</v>
      </c>
      <c r="D925" s="40" t="s">
        <v>3556</v>
      </c>
      <c r="E925" s="41">
        <v>821.26</v>
      </c>
      <c r="F925" s="40" t="s">
        <v>3556</v>
      </c>
      <c r="G925" s="41">
        <v>821.09389999999996</v>
      </c>
      <c r="H925" s="40"/>
      <c r="I925" s="41"/>
      <c r="J925" s="41">
        <f t="shared" si="3"/>
        <v>821.17695000000003</v>
      </c>
      <c r="K925" s="42" t="s">
        <v>5796</v>
      </c>
      <c r="L925" s="39">
        <v>1293</v>
      </c>
    </row>
    <row r="926" spans="1:12" ht="11.25" customHeight="1">
      <c r="A926" s="39">
        <v>1331</v>
      </c>
      <c r="B926" s="40" t="s">
        <v>12045</v>
      </c>
      <c r="C926" s="40" t="s">
        <v>12046</v>
      </c>
      <c r="D926" s="40" t="s">
        <v>3634</v>
      </c>
      <c r="E926" s="41">
        <v>749.43</v>
      </c>
      <c r="F926" s="40" t="s">
        <v>3634</v>
      </c>
      <c r="G926" s="41">
        <v>748.08019999999999</v>
      </c>
      <c r="H926" s="40"/>
      <c r="I926" s="41"/>
      <c r="J926" s="41">
        <f t="shared" si="3"/>
        <v>748.75509999999997</v>
      </c>
      <c r="K926" s="42" t="s">
        <v>5796</v>
      </c>
      <c r="L926" s="39">
        <v>1331</v>
      </c>
    </row>
    <row r="927" spans="1:12" ht="11.25" customHeight="1">
      <c r="A927" s="39">
        <v>772</v>
      </c>
      <c r="B927" s="40" t="s">
        <v>12047</v>
      </c>
      <c r="C927" s="40" t="s">
        <v>12048</v>
      </c>
      <c r="D927" s="40">
        <v>3344.2236242000004</v>
      </c>
      <c r="E927" s="41">
        <v>3117.03</v>
      </c>
      <c r="F927" s="40" t="s">
        <v>2260</v>
      </c>
      <c r="G927" s="41">
        <v>3118.1635000000001</v>
      </c>
      <c r="H927" s="40"/>
      <c r="I927" s="41"/>
      <c r="J927" s="41">
        <f t="shared" si="3"/>
        <v>3117.5967500000002</v>
      </c>
      <c r="K927" s="42" t="s">
        <v>5796</v>
      </c>
      <c r="L927" s="39">
        <v>772</v>
      </c>
    </row>
    <row r="928" spans="1:12" ht="11.25" customHeight="1">
      <c r="A928" s="39">
        <v>2519</v>
      </c>
      <c r="B928" s="40" t="s">
        <v>6402</v>
      </c>
      <c r="C928" s="40" t="s">
        <v>12049</v>
      </c>
      <c r="D928" s="40" t="s">
        <v>12050</v>
      </c>
      <c r="E928" s="41">
        <v>79.13</v>
      </c>
      <c r="F928" s="40" t="s">
        <v>5304</v>
      </c>
      <c r="G928" s="41">
        <v>78.837199999999996</v>
      </c>
      <c r="H928" s="40"/>
      <c r="I928" s="41"/>
      <c r="J928" s="41">
        <f t="shared" si="3"/>
        <v>78.983599999999996</v>
      </c>
      <c r="K928" s="42" t="s">
        <v>5796</v>
      </c>
      <c r="L928" s="39">
        <v>2519</v>
      </c>
    </row>
    <row r="929" spans="1:12" ht="11.25" customHeight="1">
      <c r="A929" s="39">
        <v>486</v>
      </c>
      <c r="B929" s="40" t="s">
        <v>12051</v>
      </c>
      <c r="C929" s="40" t="s">
        <v>12052</v>
      </c>
      <c r="D929" s="40" t="s">
        <v>1445</v>
      </c>
      <c r="E929" s="41">
        <v>7643.62</v>
      </c>
      <c r="F929" s="40" t="s">
        <v>1445</v>
      </c>
      <c r="G929" s="41">
        <v>7638.1205</v>
      </c>
      <c r="H929" s="40"/>
      <c r="I929" s="41"/>
      <c r="J929" s="41">
        <f t="shared" si="3"/>
        <v>7640.8702499999999</v>
      </c>
      <c r="K929" s="42" t="s">
        <v>5796</v>
      </c>
      <c r="L929" s="39">
        <v>486</v>
      </c>
    </row>
    <row r="930" spans="1:12" ht="11.25" customHeight="1">
      <c r="A930" s="39">
        <v>1464</v>
      </c>
      <c r="B930" s="40" t="s">
        <v>12053</v>
      </c>
      <c r="C930" s="40" t="s">
        <v>12054</v>
      </c>
      <c r="D930" s="40" t="s">
        <v>3886</v>
      </c>
      <c r="E930" s="41">
        <v>559.47</v>
      </c>
      <c r="F930" s="40" t="s">
        <v>3886</v>
      </c>
      <c r="G930" s="41">
        <v>559.93320000000006</v>
      </c>
      <c r="H930" s="40"/>
      <c r="I930" s="41"/>
      <c r="J930" s="41">
        <f t="shared" si="3"/>
        <v>559.7016000000001</v>
      </c>
      <c r="K930" s="42" t="s">
        <v>5796</v>
      </c>
      <c r="L930" s="39">
        <v>1464</v>
      </c>
    </row>
    <row r="931" spans="1:12" ht="11.25" customHeight="1">
      <c r="A931" s="39">
        <v>1407</v>
      </c>
      <c r="B931" s="40" t="s">
        <v>12055</v>
      </c>
      <c r="C931" s="40" t="s">
        <v>12056</v>
      </c>
      <c r="D931" s="40" t="s">
        <v>3790</v>
      </c>
      <c r="E931" s="41">
        <v>637.70000000000005</v>
      </c>
      <c r="F931" s="40" t="s">
        <v>3790</v>
      </c>
      <c r="G931" s="41">
        <v>637.4615</v>
      </c>
      <c r="H931" s="40"/>
      <c r="I931" s="41"/>
      <c r="J931" s="41">
        <f t="shared" si="3"/>
        <v>637.58075000000008</v>
      </c>
      <c r="K931" s="42" t="s">
        <v>5796</v>
      </c>
      <c r="L931" s="39">
        <v>1407</v>
      </c>
    </row>
    <row r="932" spans="1:12" ht="11.25" customHeight="1">
      <c r="A932" s="39">
        <v>3230</v>
      </c>
      <c r="B932" s="40" t="s">
        <v>12057</v>
      </c>
      <c r="C932" s="40" t="s">
        <v>12058</v>
      </c>
      <c r="D932" s="40" t="s">
        <v>5631</v>
      </c>
      <c r="E932" s="41">
        <v>26.74</v>
      </c>
      <c r="F932" s="40" t="s">
        <v>5631</v>
      </c>
      <c r="G932" s="41">
        <v>26.6236</v>
      </c>
      <c r="H932" s="40"/>
      <c r="I932" s="41"/>
      <c r="J932" s="41">
        <f t="shared" si="3"/>
        <v>26.681799999999999</v>
      </c>
      <c r="K932" s="42" t="s">
        <v>5796</v>
      </c>
      <c r="L932" s="39">
        <v>3230</v>
      </c>
    </row>
    <row r="933" spans="1:12" ht="11.25" customHeight="1">
      <c r="A933" s="39">
        <v>2981</v>
      </c>
      <c r="B933" s="40" t="s">
        <v>12059</v>
      </c>
      <c r="C933" s="40" t="s">
        <v>12060</v>
      </c>
      <c r="D933" s="40" t="s">
        <v>5544</v>
      </c>
      <c r="E933" s="41">
        <v>39.26</v>
      </c>
      <c r="F933" s="40" t="s">
        <v>5544</v>
      </c>
      <c r="G933" s="41">
        <v>39.143799999999999</v>
      </c>
      <c r="H933" s="40"/>
      <c r="I933" s="41"/>
      <c r="J933" s="41">
        <f t="shared" si="3"/>
        <v>39.201899999999995</v>
      </c>
      <c r="K933" s="42" t="s">
        <v>5796</v>
      </c>
      <c r="L933" s="39">
        <v>2981</v>
      </c>
    </row>
    <row r="934" spans="1:12" ht="11.25" customHeight="1">
      <c r="A934" s="39">
        <v>1160</v>
      </c>
      <c r="B934" s="40" t="s">
        <v>12061</v>
      </c>
      <c r="C934" s="40" t="s">
        <v>12062</v>
      </c>
      <c r="D934" s="40" t="s">
        <v>3253</v>
      </c>
      <c r="E934" s="41">
        <v>1142.75</v>
      </c>
      <c r="F934" s="40" t="s">
        <v>3253</v>
      </c>
      <c r="G934" s="41">
        <v>1143.3868</v>
      </c>
      <c r="H934" s="40"/>
      <c r="I934" s="41"/>
      <c r="J934" s="41">
        <f t="shared" si="3"/>
        <v>1143.0684000000001</v>
      </c>
      <c r="K934" s="42" t="s">
        <v>5796</v>
      </c>
      <c r="L934" s="39">
        <v>1160</v>
      </c>
    </row>
    <row r="935" spans="1:12" ht="11.25" customHeight="1">
      <c r="A935" s="39">
        <v>1609</v>
      </c>
      <c r="B935" s="40" t="s">
        <v>12063</v>
      </c>
      <c r="C935" s="40" t="s">
        <v>12064</v>
      </c>
      <c r="D935" s="40" t="s">
        <v>4165</v>
      </c>
      <c r="E935" s="41">
        <v>406.23</v>
      </c>
      <c r="F935" s="40" t="s">
        <v>4165</v>
      </c>
      <c r="G935" s="41">
        <v>404.65969999999999</v>
      </c>
      <c r="H935" s="40"/>
      <c r="I935" s="41"/>
      <c r="J935" s="41">
        <f t="shared" si="3"/>
        <v>405.44484999999997</v>
      </c>
      <c r="K935" s="42" t="s">
        <v>5796</v>
      </c>
      <c r="L935" s="39">
        <v>1609</v>
      </c>
    </row>
    <row r="936" spans="1:12" ht="11.25" customHeight="1">
      <c r="A936" s="39">
        <v>310</v>
      </c>
      <c r="B936" s="40" t="s">
        <v>12065</v>
      </c>
      <c r="C936" s="40" t="s">
        <v>12066</v>
      </c>
      <c r="D936" s="40" t="s">
        <v>941</v>
      </c>
      <c r="E936" s="41">
        <v>15425.85</v>
      </c>
      <c r="F936" s="40" t="s">
        <v>941</v>
      </c>
      <c r="G936" s="41">
        <v>15430.1608</v>
      </c>
      <c r="H936" s="40"/>
      <c r="I936" s="41"/>
      <c r="J936" s="41">
        <f t="shared" si="3"/>
        <v>15428.0054</v>
      </c>
      <c r="K936" s="42" t="s">
        <v>5796</v>
      </c>
      <c r="L936" s="39">
        <v>310</v>
      </c>
    </row>
    <row r="937" spans="1:12" ht="11.25" customHeight="1">
      <c r="A937" s="39">
        <v>822</v>
      </c>
      <c r="B937" s="40" t="s">
        <v>12067</v>
      </c>
      <c r="C937" s="40" t="s">
        <v>12068</v>
      </c>
      <c r="D937" s="40" t="s">
        <v>2389</v>
      </c>
      <c r="E937" s="41">
        <v>2719.25</v>
      </c>
      <c r="F937" s="40" t="s">
        <v>2389</v>
      </c>
      <c r="G937" s="41">
        <v>2720.2575999999999</v>
      </c>
      <c r="H937" s="40"/>
      <c r="I937" s="41"/>
      <c r="J937" s="41">
        <f t="shared" si="3"/>
        <v>2719.7538</v>
      </c>
      <c r="K937" s="42" t="s">
        <v>5796</v>
      </c>
      <c r="L937" s="39">
        <v>822</v>
      </c>
    </row>
    <row r="938" spans="1:12" ht="11.25" customHeight="1">
      <c r="A938" s="39">
        <v>292</v>
      </c>
      <c r="B938" s="40" t="s">
        <v>12069</v>
      </c>
      <c r="C938" s="40" t="s">
        <v>12070</v>
      </c>
      <c r="D938" s="40" t="s">
        <v>887</v>
      </c>
      <c r="E938" s="41">
        <v>17356.64</v>
      </c>
      <c r="F938" s="40" t="s">
        <v>887</v>
      </c>
      <c r="G938" s="41">
        <v>17355.876400000001</v>
      </c>
      <c r="H938" s="40" t="s">
        <v>887</v>
      </c>
      <c r="I938" s="41">
        <v>17374.795133584845</v>
      </c>
      <c r="J938" s="41">
        <f t="shared" si="3"/>
        <v>17362.437177861615</v>
      </c>
      <c r="K938" s="42" t="s">
        <v>5796</v>
      </c>
      <c r="L938" s="39">
        <v>292</v>
      </c>
    </row>
    <row r="939" spans="1:12" ht="11.25" customHeight="1">
      <c r="A939" s="39">
        <v>1053</v>
      </c>
      <c r="B939" s="40" t="s">
        <v>6409</v>
      </c>
      <c r="C939" s="40" t="s">
        <v>12071</v>
      </c>
      <c r="D939" s="40" t="s">
        <v>3004</v>
      </c>
      <c r="E939" s="41">
        <v>1482.65</v>
      </c>
      <c r="F939" s="40" t="s">
        <v>3004</v>
      </c>
      <c r="G939" s="41">
        <v>1482.8326</v>
      </c>
      <c r="H939" s="40"/>
      <c r="I939" s="41"/>
      <c r="J939" s="41">
        <f t="shared" si="3"/>
        <v>1482.7413000000001</v>
      </c>
      <c r="K939" s="42" t="s">
        <v>5796</v>
      </c>
      <c r="L939" s="39">
        <v>1053</v>
      </c>
    </row>
    <row r="940" spans="1:12" ht="11.25" customHeight="1">
      <c r="A940" s="39">
        <v>533</v>
      </c>
      <c r="B940" s="40" t="s">
        <v>12072</v>
      </c>
      <c r="C940" s="40" t="s">
        <v>12073</v>
      </c>
      <c r="D940" s="40" t="s">
        <v>1580</v>
      </c>
      <c r="E940" s="41">
        <v>6772.42</v>
      </c>
      <c r="F940" s="40" t="s">
        <v>1580</v>
      </c>
      <c r="G940" s="41">
        <v>6777.3820999999998</v>
      </c>
      <c r="H940" s="40"/>
      <c r="I940" s="41"/>
      <c r="J940" s="41">
        <f t="shared" si="3"/>
        <v>6774.9010500000004</v>
      </c>
      <c r="K940" s="42" t="s">
        <v>5796</v>
      </c>
      <c r="L940" s="39">
        <v>533</v>
      </c>
    </row>
    <row r="941" spans="1:12" ht="11.25" customHeight="1">
      <c r="A941" s="39">
        <v>494</v>
      </c>
      <c r="B941" s="40" t="s">
        <v>12074</v>
      </c>
      <c r="C941" s="40" t="s">
        <v>12075</v>
      </c>
      <c r="D941" s="40" t="s">
        <v>1469</v>
      </c>
      <c r="E941" s="41">
        <v>7461.6</v>
      </c>
      <c r="F941" s="40" t="s">
        <v>1469</v>
      </c>
      <c r="G941" s="41">
        <v>7460.4965000000002</v>
      </c>
      <c r="H941" s="40"/>
      <c r="I941" s="41"/>
      <c r="J941" s="41">
        <f t="shared" si="3"/>
        <v>7461.0482499999998</v>
      </c>
      <c r="K941" s="42" t="s">
        <v>5796</v>
      </c>
      <c r="L941" s="39">
        <v>494</v>
      </c>
    </row>
    <row r="942" spans="1:12" ht="11.25" customHeight="1">
      <c r="A942" s="39">
        <v>754</v>
      </c>
      <c r="B942" s="40" t="s">
        <v>12076</v>
      </c>
      <c r="C942" s="40" t="s">
        <v>12077</v>
      </c>
      <c r="D942" s="40" t="s">
        <v>2209</v>
      </c>
      <c r="E942" s="41">
        <v>3299.6</v>
      </c>
      <c r="F942" s="40" t="s">
        <v>2209</v>
      </c>
      <c r="G942" s="41">
        <v>3300.2460999999998</v>
      </c>
      <c r="H942" s="40"/>
      <c r="I942" s="41"/>
      <c r="J942" s="41">
        <f t="shared" si="3"/>
        <v>3299.9230499999999</v>
      </c>
      <c r="K942" s="42" t="s">
        <v>5796</v>
      </c>
      <c r="L942" s="39">
        <v>754</v>
      </c>
    </row>
    <row r="943" spans="1:12" ht="11.25" customHeight="1">
      <c r="A943" s="39">
        <v>686</v>
      </c>
      <c r="B943" s="40" t="s">
        <v>12078</v>
      </c>
      <c r="C943" s="40" t="s">
        <v>12079</v>
      </c>
      <c r="D943" s="40" t="s">
        <v>2012</v>
      </c>
      <c r="E943" s="41">
        <v>3999.61</v>
      </c>
      <c r="F943" s="40" t="s">
        <v>2012</v>
      </c>
      <c r="G943" s="41">
        <v>3998.0070000000001</v>
      </c>
      <c r="H943" s="40"/>
      <c r="I943" s="41"/>
      <c r="J943" s="41">
        <f t="shared" si="3"/>
        <v>3998.8085000000001</v>
      </c>
      <c r="K943" s="42" t="s">
        <v>5796</v>
      </c>
      <c r="L943" s="39">
        <v>686</v>
      </c>
    </row>
    <row r="944" spans="1:12" ht="11.25" customHeight="1">
      <c r="A944" s="39">
        <v>1095</v>
      </c>
      <c r="B944" s="40" t="s">
        <v>12080</v>
      </c>
      <c r="C944" s="40" t="s">
        <v>12081</v>
      </c>
      <c r="D944" s="40" t="s">
        <v>3103</v>
      </c>
      <c r="E944" s="41">
        <v>1344.11</v>
      </c>
      <c r="F944" s="40" t="s">
        <v>3103</v>
      </c>
      <c r="G944" s="41">
        <v>1344.0642</v>
      </c>
      <c r="H944" s="40"/>
      <c r="I944" s="41"/>
      <c r="J944" s="41">
        <f t="shared" si="3"/>
        <v>1344.0871</v>
      </c>
      <c r="K944" s="42" t="s">
        <v>5796</v>
      </c>
      <c r="L944" s="39">
        <v>1095</v>
      </c>
    </row>
    <row r="945" spans="1:12" ht="11.25" customHeight="1">
      <c r="A945" s="39">
        <v>650</v>
      </c>
      <c r="B945" s="40" t="s">
        <v>12082</v>
      </c>
      <c r="C945" s="40" t="s">
        <v>12083</v>
      </c>
      <c r="D945" s="40" t="s">
        <v>1910</v>
      </c>
      <c r="E945" s="41">
        <v>4439.2299999999996</v>
      </c>
      <c r="F945" s="40" t="s">
        <v>1910</v>
      </c>
      <c r="G945" s="41">
        <v>4440.9767000000002</v>
      </c>
      <c r="H945" s="40"/>
      <c r="I945" s="41"/>
      <c r="J945" s="41">
        <f t="shared" si="3"/>
        <v>4440.1033499999994</v>
      </c>
      <c r="K945" s="42" t="s">
        <v>5796</v>
      </c>
      <c r="L945" s="39">
        <v>650</v>
      </c>
    </row>
    <row r="946" spans="1:12" ht="11.25" customHeight="1">
      <c r="A946" s="39">
        <v>1768</v>
      </c>
      <c r="B946" s="40" t="s">
        <v>12084</v>
      </c>
      <c r="C946" s="40" t="s">
        <v>12085</v>
      </c>
      <c r="D946" s="40" t="s">
        <v>4435</v>
      </c>
      <c r="E946" s="41">
        <v>289.2</v>
      </c>
      <c r="F946" s="40" t="s">
        <v>4435</v>
      </c>
      <c r="G946" s="41">
        <v>289.15879999999999</v>
      </c>
      <c r="H946" s="40"/>
      <c r="I946" s="41"/>
      <c r="J946" s="41">
        <f t="shared" si="3"/>
        <v>289.17939999999999</v>
      </c>
      <c r="K946" s="42" t="s">
        <v>5796</v>
      </c>
      <c r="L946" s="39">
        <v>1768</v>
      </c>
    </row>
    <row r="947" spans="1:12" ht="11.25" customHeight="1">
      <c r="A947" s="39">
        <v>493</v>
      </c>
      <c r="B947" s="40" t="s">
        <v>12086</v>
      </c>
      <c r="C947" s="40" t="s">
        <v>12087</v>
      </c>
      <c r="D947" s="40" t="s">
        <v>1466</v>
      </c>
      <c r="E947" s="41">
        <v>7462.59</v>
      </c>
      <c r="F947" s="40" t="s">
        <v>1466</v>
      </c>
      <c r="G947" s="41">
        <v>7463.0477000000001</v>
      </c>
      <c r="H947" s="40"/>
      <c r="I947" s="41"/>
      <c r="J947" s="41">
        <f t="shared" si="3"/>
        <v>7462.8188499999997</v>
      </c>
      <c r="K947" s="42" t="s">
        <v>5796</v>
      </c>
      <c r="L947" s="39">
        <v>493</v>
      </c>
    </row>
    <row r="948" spans="1:12" ht="11.25" customHeight="1">
      <c r="A948" s="39">
        <v>2163</v>
      </c>
      <c r="B948" s="40" t="s">
        <v>12088</v>
      </c>
      <c r="C948" s="40" t="s">
        <v>12089</v>
      </c>
      <c r="D948" s="40" t="s">
        <v>4975</v>
      </c>
      <c r="E948" s="41">
        <v>142.74</v>
      </c>
      <c r="F948" s="40" t="s">
        <v>4975</v>
      </c>
      <c r="G948" s="41">
        <v>142.59379999999999</v>
      </c>
      <c r="H948" s="40"/>
      <c r="I948" s="41"/>
      <c r="J948" s="41">
        <f t="shared" si="3"/>
        <v>142.6669</v>
      </c>
      <c r="K948" s="42" t="s">
        <v>5796</v>
      </c>
      <c r="L948" s="39">
        <v>2163</v>
      </c>
    </row>
    <row r="949" spans="1:12" ht="11.25" customHeight="1">
      <c r="A949" s="39">
        <v>1064</v>
      </c>
      <c r="B949" s="40" t="s">
        <v>12090</v>
      </c>
      <c r="C949" s="40" t="s">
        <v>12091</v>
      </c>
      <c r="D949" s="40" t="s">
        <v>3031</v>
      </c>
      <c r="E949" s="41">
        <v>1431.84</v>
      </c>
      <c r="F949" s="40" t="s">
        <v>3031</v>
      </c>
      <c r="G949" s="41">
        <v>1431.6507999999999</v>
      </c>
      <c r="H949" s="40"/>
      <c r="I949" s="41"/>
      <c r="J949" s="41">
        <f t="shared" si="3"/>
        <v>1431.7453999999998</v>
      </c>
      <c r="K949" s="42" t="s">
        <v>5796</v>
      </c>
      <c r="L949" s="39">
        <v>1064</v>
      </c>
    </row>
    <row r="950" spans="1:12" ht="11.25" customHeight="1">
      <c r="A950" s="39">
        <v>731</v>
      </c>
      <c r="B950" s="40" t="s">
        <v>12092</v>
      </c>
      <c r="C950" s="40" t="s">
        <v>12093</v>
      </c>
      <c r="D950" s="40" t="s">
        <v>2140</v>
      </c>
      <c r="E950" s="41">
        <v>3506.93</v>
      </c>
      <c r="F950" s="40" t="s">
        <v>2140</v>
      </c>
      <c r="G950" s="41">
        <v>3507.0059000000001</v>
      </c>
      <c r="H950" s="40"/>
      <c r="I950" s="41"/>
      <c r="J950" s="41">
        <f t="shared" si="3"/>
        <v>3506.9679500000002</v>
      </c>
      <c r="K950" s="42" t="s">
        <v>5796</v>
      </c>
      <c r="L950" s="39">
        <v>731</v>
      </c>
    </row>
    <row r="951" spans="1:12" ht="11.25" customHeight="1">
      <c r="A951" s="39">
        <v>1196</v>
      </c>
      <c r="B951" s="40" t="s">
        <v>12094</v>
      </c>
      <c r="C951" s="40" t="s">
        <v>12095</v>
      </c>
      <c r="D951" s="40" t="s">
        <v>3340</v>
      </c>
      <c r="E951" s="41">
        <v>1056.95</v>
      </c>
      <c r="F951" s="40" t="s">
        <v>3340</v>
      </c>
      <c r="G951" s="41">
        <v>1056.8163</v>
      </c>
      <c r="H951" s="40"/>
      <c r="I951" s="41"/>
      <c r="J951" s="41">
        <f t="shared" si="3"/>
        <v>1056.8831500000001</v>
      </c>
      <c r="K951" s="42" t="s">
        <v>5796</v>
      </c>
      <c r="L951" s="39">
        <v>1196</v>
      </c>
    </row>
    <row r="952" spans="1:12" ht="11.25" customHeight="1">
      <c r="A952" s="47">
        <v>13</v>
      </c>
      <c r="B952" s="48" t="s">
        <v>12096</v>
      </c>
      <c r="C952" s="48" t="s">
        <v>12097</v>
      </c>
      <c r="D952" s="48" t="s">
        <v>45</v>
      </c>
      <c r="E952" s="49">
        <v>357618.58</v>
      </c>
      <c r="F952" s="48" t="s">
        <v>45</v>
      </c>
      <c r="G952" s="49">
        <v>357573.59610000002</v>
      </c>
      <c r="H952" s="48"/>
      <c r="I952" s="49"/>
      <c r="J952" s="49">
        <f t="shared" si="3"/>
        <v>357596.08805000002</v>
      </c>
      <c r="K952" s="50" t="s">
        <v>5815</v>
      </c>
      <c r="L952" s="47">
        <v>13</v>
      </c>
    </row>
    <row r="953" spans="1:12" ht="11.25" customHeight="1">
      <c r="A953" s="39">
        <v>1581</v>
      </c>
      <c r="B953" s="40" t="s">
        <v>12098</v>
      </c>
      <c r="C953" s="40" t="s">
        <v>12099</v>
      </c>
      <c r="D953" s="40"/>
      <c r="E953" s="41"/>
      <c r="F953" s="40" t="s">
        <v>4114</v>
      </c>
      <c r="G953" s="41">
        <v>427.29059999999998</v>
      </c>
      <c r="H953" s="40"/>
      <c r="I953" s="41"/>
      <c r="J953" s="41">
        <f t="shared" si="3"/>
        <v>427.29059999999998</v>
      </c>
      <c r="K953" s="42" t="s">
        <v>5796</v>
      </c>
      <c r="L953" s="39">
        <v>1581</v>
      </c>
    </row>
    <row r="954" spans="1:12" ht="11.25" customHeight="1">
      <c r="A954" s="39">
        <v>1338</v>
      </c>
      <c r="B954" s="40" t="s">
        <v>12100</v>
      </c>
      <c r="C954" s="40" t="s">
        <v>12101</v>
      </c>
      <c r="D954" s="40"/>
      <c r="E954" s="41"/>
      <c r="F954" s="40" t="s">
        <v>3643</v>
      </c>
      <c r="G954" s="41">
        <v>737.51149999999996</v>
      </c>
      <c r="H954" s="40"/>
      <c r="I954" s="41"/>
      <c r="J954" s="41">
        <f t="shared" si="3"/>
        <v>737.51149999999996</v>
      </c>
      <c r="K954" s="42" t="s">
        <v>5796</v>
      </c>
      <c r="L954" s="39">
        <v>1338</v>
      </c>
    </row>
    <row r="955" spans="1:12" ht="11.25" customHeight="1">
      <c r="A955" s="39">
        <v>1661</v>
      </c>
      <c r="B955" s="40" t="s">
        <v>12102</v>
      </c>
      <c r="C955" s="40" t="s">
        <v>12103</v>
      </c>
      <c r="D955" s="40" t="s">
        <v>4261</v>
      </c>
      <c r="E955" s="41">
        <v>357.89</v>
      </c>
      <c r="F955" s="40" t="s">
        <v>4261</v>
      </c>
      <c r="G955" s="41">
        <v>357.81349999999998</v>
      </c>
      <c r="H955" s="40"/>
      <c r="I955" s="41"/>
      <c r="J955" s="41">
        <f t="shared" si="3"/>
        <v>357.85174999999998</v>
      </c>
      <c r="K955" s="42" t="s">
        <v>5796</v>
      </c>
      <c r="L955" s="39">
        <v>1661</v>
      </c>
    </row>
    <row r="956" spans="1:12" ht="11.25" customHeight="1">
      <c r="A956" s="39">
        <v>738</v>
      </c>
      <c r="B956" s="40" t="s">
        <v>12104</v>
      </c>
      <c r="C956" s="40" t="s">
        <v>12105</v>
      </c>
      <c r="D956" s="40" t="s">
        <v>2161</v>
      </c>
      <c r="E956" s="41">
        <v>3471.02</v>
      </c>
      <c r="F956" s="40" t="s">
        <v>2161</v>
      </c>
      <c r="G956" s="41">
        <v>3447.8582000000001</v>
      </c>
      <c r="H956" s="40"/>
      <c r="I956" s="41"/>
      <c r="J956" s="41">
        <f t="shared" si="3"/>
        <v>3459.4391000000001</v>
      </c>
      <c r="K956" s="42" t="s">
        <v>5796</v>
      </c>
      <c r="L956" s="39">
        <v>738</v>
      </c>
    </row>
    <row r="957" spans="1:12" ht="11.25" customHeight="1">
      <c r="A957" s="39">
        <v>396</v>
      </c>
      <c r="B957" s="40" t="s">
        <v>6424</v>
      </c>
      <c r="C957" s="40" t="s">
        <v>12106</v>
      </c>
      <c r="D957" s="40" t="s">
        <v>1196</v>
      </c>
      <c r="E957" s="41">
        <v>10372.549999999999</v>
      </c>
      <c r="F957" s="40" t="s">
        <v>1196</v>
      </c>
      <c r="G957" s="41">
        <v>10374.695599999999</v>
      </c>
      <c r="H957" s="40"/>
      <c r="I957" s="41"/>
      <c r="J957" s="41">
        <f t="shared" si="3"/>
        <v>10373.622799999999</v>
      </c>
      <c r="K957" s="42" t="s">
        <v>5796</v>
      </c>
      <c r="L957" s="39">
        <v>396</v>
      </c>
    </row>
    <row r="958" spans="1:12" ht="11.25" customHeight="1">
      <c r="A958" s="43">
        <v>184</v>
      </c>
      <c r="B958" s="44" t="s">
        <v>12107</v>
      </c>
      <c r="C958" s="44" t="s">
        <v>12108</v>
      </c>
      <c r="D958" s="44" t="s">
        <v>563</v>
      </c>
      <c r="E958" s="45">
        <v>33818.629999999997</v>
      </c>
      <c r="F958" s="44" t="s">
        <v>563</v>
      </c>
      <c r="G958" s="45">
        <v>33822.0723</v>
      </c>
      <c r="H958" s="44"/>
      <c r="I958" s="45"/>
      <c r="J958" s="45">
        <f t="shared" si="3"/>
        <v>33820.351150000002</v>
      </c>
      <c r="K958" s="46" t="s">
        <v>5800</v>
      </c>
      <c r="L958" s="43">
        <v>184</v>
      </c>
    </row>
    <row r="959" spans="1:12" ht="11.25" customHeight="1">
      <c r="A959" s="43">
        <v>226</v>
      </c>
      <c r="B959" s="44" t="s">
        <v>12109</v>
      </c>
      <c r="C959" s="44" t="s">
        <v>12110</v>
      </c>
      <c r="D959" s="44" t="s">
        <v>689</v>
      </c>
      <c r="E959" s="45">
        <v>25572.5</v>
      </c>
      <c r="F959" s="44" t="s">
        <v>689</v>
      </c>
      <c r="G959" s="45">
        <v>25578.658299999999</v>
      </c>
      <c r="H959" s="44"/>
      <c r="I959" s="45"/>
      <c r="J959" s="45">
        <f t="shared" si="3"/>
        <v>25575.579149999998</v>
      </c>
      <c r="K959" s="46" t="s">
        <v>5800</v>
      </c>
      <c r="L959" s="43">
        <v>226</v>
      </c>
    </row>
    <row r="960" spans="1:12" ht="11.25" customHeight="1">
      <c r="A960" s="39">
        <v>445</v>
      </c>
      <c r="B960" s="40" t="s">
        <v>12111</v>
      </c>
      <c r="C960" s="40" t="s">
        <v>12112</v>
      </c>
      <c r="D960" s="40" t="s">
        <v>1328</v>
      </c>
      <c r="E960" s="41">
        <v>8919.24</v>
      </c>
      <c r="F960" s="40" t="s">
        <v>1328</v>
      </c>
      <c r="G960" s="41">
        <v>8919.491</v>
      </c>
      <c r="H960" s="40"/>
      <c r="I960" s="41"/>
      <c r="J960" s="41">
        <f t="shared" si="3"/>
        <v>8919.3654999999999</v>
      </c>
      <c r="K960" s="42" t="s">
        <v>5796</v>
      </c>
      <c r="L960" s="39">
        <v>445</v>
      </c>
    </row>
    <row r="961" spans="1:12" ht="11.25" customHeight="1">
      <c r="A961" s="39">
        <v>2107</v>
      </c>
      <c r="B961" s="40" t="s">
        <v>12113</v>
      </c>
      <c r="C961" s="40" t="s">
        <v>12114</v>
      </c>
      <c r="D961" s="40" t="s">
        <v>4891</v>
      </c>
      <c r="E961" s="41">
        <v>158.03</v>
      </c>
      <c r="F961" s="40" t="s">
        <v>4891</v>
      </c>
      <c r="G961" s="41">
        <v>157.6148</v>
      </c>
      <c r="H961" s="40"/>
      <c r="I961" s="41"/>
      <c r="J961" s="41">
        <f t="shared" si="3"/>
        <v>157.82240000000002</v>
      </c>
      <c r="K961" s="42" t="s">
        <v>5796</v>
      </c>
      <c r="L961" s="39">
        <v>2107</v>
      </c>
    </row>
    <row r="962" spans="1:12" ht="11.25" customHeight="1">
      <c r="A962" s="39">
        <v>3328</v>
      </c>
      <c r="B962" s="40" t="s">
        <v>12115</v>
      </c>
      <c r="C962" s="40" t="s">
        <v>12116</v>
      </c>
      <c r="D962" s="40" t="s">
        <v>12117</v>
      </c>
      <c r="E962" s="41">
        <v>23.5</v>
      </c>
      <c r="F962" s="40" t="s">
        <v>5649</v>
      </c>
      <c r="G962" s="41">
        <v>23.316400000000002</v>
      </c>
      <c r="H962" s="40"/>
      <c r="I962" s="41"/>
      <c r="J962" s="41">
        <f t="shared" si="3"/>
        <v>23.408200000000001</v>
      </c>
      <c r="K962" s="42" t="s">
        <v>5796</v>
      </c>
      <c r="L962" s="39">
        <v>3328</v>
      </c>
    </row>
    <row r="963" spans="1:12" ht="11.25" customHeight="1">
      <c r="A963" s="39">
        <v>1081</v>
      </c>
      <c r="B963" s="40" t="s">
        <v>12118</v>
      </c>
      <c r="C963" s="40" t="s">
        <v>12119</v>
      </c>
      <c r="D963" s="40"/>
      <c r="E963" s="41"/>
      <c r="F963" s="40" t="s">
        <v>3070</v>
      </c>
      <c r="G963" s="41">
        <v>1379.8443</v>
      </c>
      <c r="H963" s="40"/>
      <c r="I963" s="41"/>
      <c r="J963" s="41">
        <f t="shared" si="3"/>
        <v>1379.8443</v>
      </c>
      <c r="K963" s="42" t="s">
        <v>5796</v>
      </c>
      <c r="L963" s="39">
        <v>1081</v>
      </c>
    </row>
    <row r="964" spans="1:12" ht="11.25" customHeight="1">
      <c r="A964" s="39">
        <v>1485</v>
      </c>
      <c r="B964" s="40" t="s">
        <v>12120</v>
      </c>
      <c r="C964" s="40" t="s">
        <v>12121</v>
      </c>
      <c r="D964" s="40" t="s">
        <v>12122</v>
      </c>
      <c r="E964" s="41">
        <v>530.87</v>
      </c>
      <c r="F964" s="40" t="s">
        <v>3928</v>
      </c>
      <c r="G964" s="41">
        <v>530.90369999999996</v>
      </c>
      <c r="H964" s="40"/>
      <c r="I964" s="41"/>
      <c r="J964" s="41">
        <f t="shared" si="3"/>
        <v>530.88684999999998</v>
      </c>
      <c r="K964" s="42" t="s">
        <v>5796</v>
      </c>
      <c r="L964" s="39">
        <v>1485</v>
      </c>
    </row>
    <row r="965" spans="1:12" ht="11.25" customHeight="1">
      <c r="A965" s="39">
        <v>2003</v>
      </c>
      <c r="B965" s="40" t="s">
        <v>12123</v>
      </c>
      <c r="C965" s="40" t="s">
        <v>12124</v>
      </c>
      <c r="D965" s="40"/>
      <c r="E965" s="41"/>
      <c r="F965" s="40" t="s">
        <v>4747</v>
      </c>
      <c r="G965" s="41">
        <v>187.416</v>
      </c>
      <c r="H965" s="40"/>
      <c r="I965" s="41"/>
      <c r="J965" s="41">
        <f t="shared" si="3"/>
        <v>187.416</v>
      </c>
      <c r="K965" s="42" t="s">
        <v>5796</v>
      </c>
      <c r="L965" s="39">
        <v>2003</v>
      </c>
    </row>
    <row r="966" spans="1:12" ht="11.25" customHeight="1">
      <c r="A966" s="39">
        <v>1636</v>
      </c>
      <c r="B966" s="40" t="s">
        <v>12125</v>
      </c>
      <c r="C966" s="40" t="s">
        <v>12126</v>
      </c>
      <c r="D966" s="40" t="s">
        <v>4222</v>
      </c>
      <c r="E966" s="41">
        <v>378.87</v>
      </c>
      <c r="F966" s="40" t="s">
        <v>4222</v>
      </c>
      <c r="G966" s="41">
        <v>378.96850000000001</v>
      </c>
      <c r="H966" s="40"/>
      <c r="I966" s="41"/>
      <c r="J966" s="41">
        <f t="shared" si="3"/>
        <v>378.91925000000003</v>
      </c>
      <c r="K966" s="42" t="s">
        <v>5796</v>
      </c>
      <c r="L966" s="39">
        <v>1636</v>
      </c>
    </row>
    <row r="967" spans="1:12" ht="11.25" customHeight="1">
      <c r="A967" s="39">
        <v>947</v>
      </c>
      <c r="B967" s="40" t="s">
        <v>12127</v>
      </c>
      <c r="C967" s="40" t="s">
        <v>12128</v>
      </c>
      <c r="D967" s="40" t="s">
        <v>2731</v>
      </c>
      <c r="E967" s="41">
        <v>1974.19</v>
      </c>
      <c r="F967" s="40" t="s">
        <v>2731</v>
      </c>
      <c r="G967" s="41">
        <v>1969.8928000000001</v>
      </c>
      <c r="H967" s="40"/>
      <c r="I967" s="41"/>
      <c r="J967" s="41">
        <f t="shared" si="3"/>
        <v>1972.0414000000001</v>
      </c>
      <c r="K967" s="42" t="s">
        <v>5796</v>
      </c>
      <c r="L967" s="39">
        <v>947</v>
      </c>
    </row>
    <row r="968" spans="1:12" ht="11.25" customHeight="1">
      <c r="A968" s="39">
        <v>405</v>
      </c>
      <c r="B968" s="40" t="s">
        <v>6433</v>
      </c>
      <c r="C968" s="40" t="s">
        <v>12129</v>
      </c>
      <c r="D968" s="40" t="s">
        <v>1220</v>
      </c>
      <c r="E968" s="41">
        <v>9980.51</v>
      </c>
      <c r="F968" s="40" t="s">
        <v>1220</v>
      </c>
      <c r="G968" s="41">
        <v>9983.7921000000006</v>
      </c>
      <c r="H968" s="40"/>
      <c r="I968" s="41"/>
      <c r="J968" s="41">
        <f t="shared" si="3"/>
        <v>9982.1510500000004</v>
      </c>
      <c r="K968" s="42" t="s">
        <v>5796</v>
      </c>
      <c r="L968" s="39">
        <v>405</v>
      </c>
    </row>
    <row r="969" spans="1:12" ht="11.25" customHeight="1">
      <c r="A969" s="39">
        <v>753</v>
      </c>
      <c r="B969" s="40" t="s">
        <v>12130</v>
      </c>
      <c r="C969" s="40" t="s">
        <v>12131</v>
      </c>
      <c r="D969" s="40" t="s">
        <v>2206</v>
      </c>
      <c r="E969" s="41">
        <v>3307.95</v>
      </c>
      <c r="F969" s="40" t="s">
        <v>2206</v>
      </c>
      <c r="G969" s="41">
        <v>3308.3083000000001</v>
      </c>
      <c r="H969" s="40"/>
      <c r="I969" s="41"/>
      <c r="J969" s="41">
        <f t="shared" si="3"/>
        <v>3308.1291499999998</v>
      </c>
      <c r="K969" s="42" t="s">
        <v>5796</v>
      </c>
      <c r="L969" s="39">
        <v>753</v>
      </c>
    </row>
    <row r="970" spans="1:12" ht="11.25" customHeight="1">
      <c r="A970" s="39">
        <v>3112</v>
      </c>
      <c r="B970" s="40" t="s">
        <v>12132</v>
      </c>
      <c r="C970" s="40" t="s">
        <v>12133</v>
      </c>
      <c r="D970" s="40"/>
      <c r="E970" s="41"/>
      <c r="F970" s="40" t="s">
        <v>5586</v>
      </c>
      <c r="G970" s="41">
        <v>32.344000000000001</v>
      </c>
      <c r="H970" s="40"/>
      <c r="I970" s="41"/>
      <c r="J970" s="41">
        <f t="shared" si="3"/>
        <v>32.344000000000001</v>
      </c>
      <c r="K970" s="42" t="s">
        <v>5796</v>
      </c>
      <c r="L970" s="39">
        <v>3112</v>
      </c>
    </row>
    <row r="971" spans="1:12" ht="11.25" customHeight="1">
      <c r="A971" s="39">
        <v>936</v>
      </c>
      <c r="B971" s="40" t="s">
        <v>12134</v>
      </c>
      <c r="C971" s="40" t="s">
        <v>12135</v>
      </c>
      <c r="D971" s="40" t="s">
        <v>2701</v>
      </c>
      <c r="E971" s="41">
        <v>2015.98</v>
      </c>
      <c r="F971" s="40" t="s">
        <v>2701</v>
      </c>
      <c r="G971" s="41">
        <v>2016.4034999999999</v>
      </c>
      <c r="H971" s="40"/>
      <c r="I971" s="41"/>
      <c r="J971" s="41">
        <f t="shared" si="3"/>
        <v>2016.19175</v>
      </c>
      <c r="K971" s="42" t="s">
        <v>5796</v>
      </c>
      <c r="L971" s="39">
        <v>936</v>
      </c>
    </row>
    <row r="972" spans="1:12" ht="11.25" customHeight="1">
      <c r="A972" s="39">
        <v>1109</v>
      </c>
      <c r="B972" s="40" t="s">
        <v>12136</v>
      </c>
      <c r="C972" s="40" t="s">
        <v>12137</v>
      </c>
      <c r="D972" s="40" t="s">
        <v>3136</v>
      </c>
      <c r="E972" s="41">
        <v>1304.6500000000001</v>
      </c>
      <c r="F972" s="40" t="s">
        <v>3136</v>
      </c>
      <c r="G972" s="41">
        <v>1304.1414</v>
      </c>
      <c r="H972" s="40"/>
      <c r="I972" s="41"/>
      <c r="J972" s="41">
        <f t="shared" si="3"/>
        <v>1304.3957</v>
      </c>
      <c r="K972" s="42" t="s">
        <v>5796</v>
      </c>
      <c r="L972" s="39">
        <v>1109</v>
      </c>
    </row>
    <row r="973" spans="1:12" ht="11.25" customHeight="1">
      <c r="A973" s="39">
        <v>505</v>
      </c>
      <c r="B973" s="40" t="s">
        <v>12138</v>
      </c>
      <c r="C973" s="40" t="s">
        <v>12139</v>
      </c>
      <c r="D973" s="40" t="s">
        <v>1502</v>
      </c>
      <c r="E973" s="41">
        <v>7223.56</v>
      </c>
      <c r="F973" s="40" t="s">
        <v>1502</v>
      </c>
      <c r="G973" s="41">
        <v>7190.3942999999999</v>
      </c>
      <c r="H973" s="40"/>
      <c r="I973" s="41"/>
      <c r="J973" s="41">
        <f t="shared" si="3"/>
        <v>7206.9771500000006</v>
      </c>
      <c r="K973" s="42" t="s">
        <v>5796</v>
      </c>
      <c r="L973" s="39">
        <v>505</v>
      </c>
    </row>
    <row r="974" spans="1:12" ht="11.25" customHeight="1">
      <c r="A974" s="39">
        <v>1023</v>
      </c>
      <c r="B974" s="40" t="s">
        <v>12140</v>
      </c>
      <c r="C974" s="40" t="s">
        <v>12141</v>
      </c>
      <c r="D974" s="40" t="s">
        <v>2926</v>
      </c>
      <c r="E974" s="41">
        <v>1612.58</v>
      </c>
      <c r="F974" s="40" t="s">
        <v>2926</v>
      </c>
      <c r="G974" s="41">
        <v>1612.9943000000001</v>
      </c>
      <c r="H974" s="40"/>
      <c r="I974" s="41"/>
      <c r="J974" s="41">
        <f t="shared" si="3"/>
        <v>1612.7871500000001</v>
      </c>
      <c r="K974" s="42" t="s">
        <v>5796</v>
      </c>
      <c r="L974" s="39">
        <v>1023</v>
      </c>
    </row>
    <row r="975" spans="1:12" ht="11.25" customHeight="1">
      <c r="A975" s="43">
        <v>185</v>
      </c>
      <c r="B975" s="44" t="s">
        <v>6438</v>
      </c>
      <c r="C975" s="44" t="s">
        <v>12142</v>
      </c>
      <c r="D975" s="44" t="s">
        <v>566</v>
      </c>
      <c r="E975" s="45">
        <v>33749.42</v>
      </c>
      <c r="F975" s="44" t="s">
        <v>566</v>
      </c>
      <c r="G975" s="45">
        <v>33722.076500000003</v>
      </c>
      <c r="H975" s="44"/>
      <c r="I975" s="45"/>
      <c r="J975" s="45">
        <f t="shared" si="3"/>
        <v>33735.748250000004</v>
      </c>
      <c r="K975" s="46" t="s">
        <v>5800</v>
      </c>
      <c r="L975" s="43">
        <v>185</v>
      </c>
    </row>
    <row r="976" spans="1:12" ht="11.25" customHeight="1">
      <c r="A976" s="39">
        <v>2230</v>
      </c>
      <c r="B976" s="40" t="s">
        <v>12143</v>
      </c>
      <c r="C976" s="40" t="s">
        <v>12144</v>
      </c>
      <c r="D976" s="40"/>
      <c r="E976" s="41"/>
      <c r="F976" s="40" t="s">
        <v>5053</v>
      </c>
      <c r="G976" s="41">
        <v>124.7367</v>
      </c>
      <c r="H976" s="40"/>
      <c r="I976" s="41"/>
      <c r="J976" s="41">
        <f t="shared" si="3"/>
        <v>124.7367</v>
      </c>
      <c r="K976" s="42" t="s">
        <v>5796</v>
      </c>
      <c r="L976" s="39">
        <v>2230</v>
      </c>
    </row>
    <row r="977" spans="1:12" ht="11.25" customHeight="1">
      <c r="A977" s="39">
        <v>4226</v>
      </c>
      <c r="B977" s="40" t="s">
        <v>12145</v>
      </c>
      <c r="C977" s="40" t="s">
        <v>12146</v>
      </c>
      <c r="D977" s="40" t="s">
        <v>5778</v>
      </c>
      <c r="E977" s="41">
        <v>5.93</v>
      </c>
      <c r="F977" s="40" t="s">
        <v>5778</v>
      </c>
      <c r="G977" s="41">
        <v>5.9941000000000004</v>
      </c>
      <c r="H977" s="40"/>
      <c r="I977" s="41"/>
      <c r="J977" s="41">
        <f t="shared" si="3"/>
        <v>5.9620499999999996</v>
      </c>
      <c r="K977" s="42" t="s">
        <v>5796</v>
      </c>
      <c r="L977" s="39">
        <v>4226</v>
      </c>
    </row>
    <row r="978" spans="1:12" ht="11.25" customHeight="1">
      <c r="A978" s="39">
        <v>1873</v>
      </c>
      <c r="B978" s="40" t="s">
        <v>6441</v>
      </c>
      <c r="C978" s="40" t="s">
        <v>12147</v>
      </c>
      <c r="D978" s="40" t="s">
        <v>4561</v>
      </c>
      <c r="E978" s="41">
        <v>236.75</v>
      </c>
      <c r="F978" s="40" t="s">
        <v>4561</v>
      </c>
      <c r="G978" s="41">
        <v>235.69499999999999</v>
      </c>
      <c r="H978" s="40"/>
      <c r="I978" s="41"/>
      <c r="J978" s="41">
        <f t="shared" si="3"/>
        <v>236.2225</v>
      </c>
      <c r="K978" s="42" t="s">
        <v>5796</v>
      </c>
      <c r="L978" s="39">
        <v>1873</v>
      </c>
    </row>
    <row r="979" spans="1:12" ht="11.25" customHeight="1">
      <c r="A979" s="39">
        <v>263</v>
      </c>
      <c r="B979" s="40" t="s">
        <v>12148</v>
      </c>
      <c r="C979" s="40" t="s">
        <v>12149</v>
      </c>
      <c r="D979" s="40" t="s">
        <v>800</v>
      </c>
      <c r="E979" s="41">
        <v>20359.16</v>
      </c>
      <c r="F979" s="40" t="s">
        <v>800</v>
      </c>
      <c r="G979" s="41">
        <v>20359.449199999999</v>
      </c>
      <c r="H979" s="40"/>
      <c r="I979" s="41"/>
      <c r="J979" s="41">
        <f t="shared" si="3"/>
        <v>20359.304599999999</v>
      </c>
      <c r="K979" s="42" t="s">
        <v>5796</v>
      </c>
      <c r="L979" s="39">
        <v>263</v>
      </c>
    </row>
    <row r="980" spans="1:12" ht="11.25" customHeight="1">
      <c r="A980" s="39">
        <v>2134</v>
      </c>
      <c r="B980" s="40" t="s">
        <v>12150</v>
      </c>
      <c r="C980" s="40" t="s">
        <v>12151</v>
      </c>
      <c r="D980" s="40" t="s">
        <v>4933</v>
      </c>
      <c r="E980" s="41">
        <v>137.59</v>
      </c>
      <c r="F980" s="40" t="s">
        <v>4933</v>
      </c>
      <c r="G980" s="41">
        <v>163.0334</v>
      </c>
      <c r="H980" s="40"/>
      <c r="I980" s="41"/>
      <c r="J980" s="41">
        <f t="shared" si="3"/>
        <v>150.3117</v>
      </c>
      <c r="K980" s="42" t="s">
        <v>5796</v>
      </c>
      <c r="L980" s="39">
        <v>2134</v>
      </c>
    </row>
    <row r="981" spans="1:12" ht="11.25" customHeight="1">
      <c r="A981" s="39">
        <v>784</v>
      </c>
      <c r="B981" s="40" t="s">
        <v>6444</v>
      </c>
      <c r="C981" s="40" t="s">
        <v>12152</v>
      </c>
      <c r="D981" s="40" t="s">
        <v>2284</v>
      </c>
      <c r="E981" s="41">
        <v>3046.83</v>
      </c>
      <c r="F981" s="40" t="s">
        <v>2284</v>
      </c>
      <c r="G981" s="41">
        <v>3027.3541</v>
      </c>
      <c r="H981" s="40"/>
      <c r="I981" s="41"/>
      <c r="J981" s="41">
        <f t="shared" si="3"/>
        <v>3037.0920500000002</v>
      </c>
      <c r="K981" s="42" t="s">
        <v>5796</v>
      </c>
      <c r="L981" s="39">
        <v>784</v>
      </c>
    </row>
    <row r="982" spans="1:12" ht="11.25" customHeight="1">
      <c r="A982" s="39">
        <v>634</v>
      </c>
      <c r="B982" s="40" t="s">
        <v>12153</v>
      </c>
      <c r="C982" s="40" t="s">
        <v>12154</v>
      </c>
      <c r="D982" s="40" t="s">
        <v>1874</v>
      </c>
      <c r="E982" s="41">
        <v>4711.7299999999996</v>
      </c>
      <c r="F982" s="40" t="s">
        <v>1874</v>
      </c>
      <c r="G982" s="41">
        <v>4712.3707000000004</v>
      </c>
      <c r="H982" s="40"/>
      <c r="I982" s="41"/>
      <c r="J982" s="41">
        <f t="shared" si="3"/>
        <v>4712.0503499999995</v>
      </c>
      <c r="K982" s="42" t="s">
        <v>5796</v>
      </c>
      <c r="L982" s="39">
        <v>634</v>
      </c>
    </row>
    <row r="983" spans="1:12" ht="11.25" customHeight="1">
      <c r="A983" s="39">
        <v>2204</v>
      </c>
      <c r="B983" s="40" t="s">
        <v>12155</v>
      </c>
      <c r="C983" s="40" t="s">
        <v>12156</v>
      </c>
      <c r="D983" s="40" t="s">
        <v>5026</v>
      </c>
      <c r="E983" s="41">
        <v>131.02000000000001</v>
      </c>
      <c r="F983" s="40" t="s">
        <v>5026</v>
      </c>
      <c r="G983" s="41">
        <v>131.01070000000001</v>
      </c>
      <c r="H983" s="40"/>
      <c r="I983" s="41"/>
      <c r="J983" s="41">
        <f t="shared" si="3"/>
        <v>131.01535000000001</v>
      </c>
      <c r="K983" s="42" t="s">
        <v>5796</v>
      </c>
      <c r="L983" s="39">
        <v>2204</v>
      </c>
    </row>
    <row r="984" spans="1:12" ht="11.25" customHeight="1">
      <c r="A984" s="39">
        <v>454</v>
      </c>
      <c r="B984" s="40" t="s">
        <v>12157</v>
      </c>
      <c r="C984" s="40" t="s">
        <v>12158</v>
      </c>
      <c r="D984" s="40" t="s">
        <v>1355</v>
      </c>
      <c r="E984" s="41">
        <v>8628.94</v>
      </c>
      <c r="F984" s="40" t="s">
        <v>1355</v>
      </c>
      <c r="G984" s="41">
        <v>8623.0694000000003</v>
      </c>
      <c r="H984" s="40"/>
      <c r="I984" s="41"/>
      <c r="J984" s="41">
        <f t="shared" si="3"/>
        <v>8626.0047000000013</v>
      </c>
      <c r="K984" s="42" t="s">
        <v>5796</v>
      </c>
      <c r="L984" s="39">
        <v>454</v>
      </c>
    </row>
    <row r="985" spans="1:12" ht="11.25" customHeight="1">
      <c r="A985" s="39">
        <v>1918</v>
      </c>
      <c r="B985" s="40" t="s">
        <v>12159</v>
      </c>
      <c r="C985" s="40" t="s">
        <v>12160</v>
      </c>
      <c r="D985" s="40"/>
      <c r="E985" s="41"/>
      <c r="F985" s="40" t="s">
        <v>4627</v>
      </c>
      <c r="G985" s="41">
        <v>211.6472</v>
      </c>
      <c r="H985" s="40"/>
      <c r="I985" s="41"/>
      <c r="J985" s="41">
        <f t="shared" si="3"/>
        <v>211.6472</v>
      </c>
      <c r="K985" s="42" t="s">
        <v>5796</v>
      </c>
      <c r="L985" s="39">
        <v>1918</v>
      </c>
    </row>
    <row r="986" spans="1:12" ht="11.25" customHeight="1">
      <c r="A986" s="39">
        <v>261</v>
      </c>
      <c r="B986" s="40" t="s">
        <v>12161</v>
      </c>
      <c r="C986" s="40" t="s">
        <v>12162</v>
      </c>
      <c r="D986" s="40" t="s">
        <v>794</v>
      </c>
      <c r="E986" s="41">
        <v>20565.57</v>
      </c>
      <c r="F986" s="40" t="s">
        <v>794</v>
      </c>
      <c r="G986" s="41">
        <v>20570.926800000001</v>
      </c>
      <c r="H986" s="40"/>
      <c r="I986" s="41"/>
      <c r="J986" s="41">
        <f t="shared" si="3"/>
        <v>20568.2484</v>
      </c>
      <c r="K986" s="42" t="s">
        <v>5796</v>
      </c>
      <c r="L986" s="39">
        <v>261</v>
      </c>
    </row>
    <row r="987" spans="1:12" ht="11.25" customHeight="1">
      <c r="A987" s="39">
        <v>3015</v>
      </c>
      <c r="B987" s="40" t="s">
        <v>12163</v>
      </c>
      <c r="C987" s="40" t="s">
        <v>12164</v>
      </c>
      <c r="D987" s="40"/>
      <c r="E987" s="41"/>
      <c r="F987" s="40" t="s">
        <v>5553</v>
      </c>
      <c r="G987" s="41">
        <v>37.4559</v>
      </c>
      <c r="H987" s="40"/>
      <c r="I987" s="41"/>
      <c r="J987" s="41">
        <f t="shared" si="3"/>
        <v>37.4559</v>
      </c>
      <c r="K987" s="42" t="s">
        <v>5796</v>
      </c>
      <c r="L987" s="39">
        <v>3015</v>
      </c>
    </row>
    <row r="988" spans="1:12" ht="11.25" customHeight="1">
      <c r="A988" s="39">
        <v>318</v>
      </c>
      <c r="B988" s="40" t="s">
        <v>12165</v>
      </c>
      <c r="C988" s="40" t="s">
        <v>12166</v>
      </c>
      <c r="D988" s="40" t="s">
        <v>965</v>
      </c>
      <c r="E988" s="41">
        <v>14685.94</v>
      </c>
      <c r="F988" s="40" t="s">
        <v>965</v>
      </c>
      <c r="G988" s="41">
        <v>14692.1636</v>
      </c>
      <c r="H988" s="40"/>
      <c r="I988" s="41"/>
      <c r="J988" s="41">
        <f t="shared" si="3"/>
        <v>14689.051800000001</v>
      </c>
      <c r="K988" s="42" t="s">
        <v>5796</v>
      </c>
      <c r="L988" s="39">
        <v>318</v>
      </c>
    </row>
    <row r="989" spans="1:12" ht="11.25" customHeight="1">
      <c r="A989" s="39">
        <v>3373</v>
      </c>
      <c r="B989" s="40" t="s">
        <v>12167</v>
      </c>
      <c r="C989" s="40" t="s">
        <v>12168</v>
      </c>
      <c r="D989" s="40" t="s">
        <v>5667</v>
      </c>
      <c r="E989" s="41">
        <v>20.29</v>
      </c>
      <c r="F989" s="40" t="s">
        <v>5667</v>
      </c>
      <c r="G989" s="41">
        <v>24.027200000000001</v>
      </c>
      <c r="H989" s="40"/>
      <c r="I989" s="41"/>
      <c r="J989" s="41">
        <f t="shared" si="3"/>
        <v>22.1586</v>
      </c>
      <c r="K989" s="42" t="s">
        <v>5796</v>
      </c>
      <c r="L989" s="39">
        <v>3373</v>
      </c>
    </row>
    <row r="990" spans="1:12" ht="11.25" customHeight="1">
      <c r="A990" s="39">
        <v>453</v>
      </c>
      <c r="B990" s="40" t="s">
        <v>12169</v>
      </c>
      <c r="C990" s="40" t="s">
        <v>12170</v>
      </c>
      <c r="D990" s="40" t="s">
        <v>1352</v>
      </c>
      <c r="E990" s="41">
        <v>8645.31</v>
      </c>
      <c r="F990" s="40" t="s">
        <v>1352</v>
      </c>
      <c r="G990" s="41">
        <v>8645.9645999999993</v>
      </c>
      <c r="H990" s="40"/>
      <c r="I990" s="41"/>
      <c r="J990" s="41">
        <f t="shared" si="3"/>
        <v>8645.6372999999985</v>
      </c>
      <c r="K990" s="42" t="s">
        <v>5796</v>
      </c>
      <c r="L990" s="39">
        <v>453</v>
      </c>
    </row>
    <row r="991" spans="1:12" ht="11.25" customHeight="1">
      <c r="A991" s="39">
        <v>2526</v>
      </c>
      <c r="B991" s="40" t="s">
        <v>12171</v>
      </c>
      <c r="C991" s="40" t="s">
        <v>12172</v>
      </c>
      <c r="D991" s="40"/>
      <c r="E991" s="41"/>
      <c r="F991" s="40" t="s">
        <v>5313</v>
      </c>
      <c r="G991" s="41">
        <v>77.573899999999995</v>
      </c>
      <c r="H991" s="40"/>
      <c r="I991" s="41"/>
      <c r="J991" s="41">
        <f t="shared" si="3"/>
        <v>77.573899999999995</v>
      </c>
      <c r="K991" s="42" t="s">
        <v>5796</v>
      </c>
      <c r="L991" s="39">
        <v>2526</v>
      </c>
    </row>
    <row r="992" spans="1:12" ht="11.25" customHeight="1">
      <c r="A992" s="39">
        <v>2908</v>
      </c>
      <c r="B992" s="40" t="s">
        <v>12173</v>
      </c>
      <c r="C992" s="40" t="s">
        <v>12174</v>
      </c>
      <c r="D992" s="40"/>
      <c r="E992" s="41"/>
      <c r="F992" s="40" t="s">
        <v>5511</v>
      </c>
      <c r="G992" s="41">
        <v>43.722099999999998</v>
      </c>
      <c r="H992" s="40"/>
      <c r="I992" s="41"/>
      <c r="J992" s="41">
        <f t="shared" si="3"/>
        <v>43.722099999999998</v>
      </c>
      <c r="K992" s="42" t="s">
        <v>5796</v>
      </c>
      <c r="L992" s="39">
        <v>2908</v>
      </c>
    </row>
    <row r="993" spans="1:12" ht="11.25" customHeight="1">
      <c r="A993" s="39">
        <v>735</v>
      </c>
      <c r="B993" s="40" t="s">
        <v>12175</v>
      </c>
      <c r="C993" s="40" t="s">
        <v>12176</v>
      </c>
      <c r="D993" s="40" t="s">
        <v>2152</v>
      </c>
      <c r="E993" s="41">
        <v>3470.72</v>
      </c>
      <c r="F993" s="40" t="s">
        <v>2152</v>
      </c>
      <c r="G993" s="41">
        <v>3471.1745999999998</v>
      </c>
      <c r="H993" s="40"/>
      <c r="I993" s="41"/>
      <c r="J993" s="41">
        <f t="shared" si="3"/>
        <v>3470.9472999999998</v>
      </c>
      <c r="K993" s="42" t="s">
        <v>5796</v>
      </c>
      <c r="L993" s="39">
        <v>735</v>
      </c>
    </row>
    <row r="994" spans="1:12" ht="11.25" customHeight="1">
      <c r="A994" s="39">
        <v>1866</v>
      </c>
      <c r="B994" s="40" t="s">
        <v>12177</v>
      </c>
      <c r="C994" s="40" t="s">
        <v>12178</v>
      </c>
      <c r="D994" s="40" t="s">
        <v>4555</v>
      </c>
      <c r="E994" s="41">
        <v>239.52</v>
      </c>
      <c r="F994" s="40" t="s">
        <v>4555</v>
      </c>
      <c r="G994" s="41">
        <v>239.3262</v>
      </c>
      <c r="H994" s="40"/>
      <c r="I994" s="41"/>
      <c r="J994" s="41">
        <f t="shared" si="3"/>
        <v>239.42310000000001</v>
      </c>
      <c r="K994" s="42" t="s">
        <v>5796</v>
      </c>
      <c r="L994" s="39">
        <v>1866</v>
      </c>
    </row>
    <row r="995" spans="1:12" ht="11.25" customHeight="1">
      <c r="A995" s="39">
        <v>1714</v>
      </c>
      <c r="B995" s="40" t="s">
        <v>12179</v>
      </c>
      <c r="C995" s="40" t="s">
        <v>12180</v>
      </c>
      <c r="D995" s="40"/>
      <c r="E995" s="41"/>
      <c r="F995" s="40" t="s">
        <v>4360</v>
      </c>
      <c r="G995" s="41">
        <v>324.63780000000003</v>
      </c>
      <c r="H995" s="40"/>
      <c r="I995" s="41"/>
      <c r="J995" s="41">
        <f t="shared" si="3"/>
        <v>324.63780000000003</v>
      </c>
      <c r="K995" s="42" t="s">
        <v>5796</v>
      </c>
      <c r="L995" s="39">
        <v>1714</v>
      </c>
    </row>
    <row r="996" spans="1:12" ht="11.25" customHeight="1">
      <c r="A996" s="39">
        <v>3002</v>
      </c>
      <c r="B996" s="40" t="s">
        <v>12181</v>
      </c>
      <c r="C996" s="40" t="s">
        <v>12182</v>
      </c>
      <c r="D996" s="40"/>
      <c r="E996" s="41"/>
      <c r="F996" s="40" t="s">
        <v>5550</v>
      </c>
      <c r="G996" s="41">
        <v>38.158200000000001</v>
      </c>
      <c r="H996" s="40"/>
      <c r="I996" s="41"/>
      <c r="J996" s="41">
        <f t="shared" si="3"/>
        <v>38.158200000000001</v>
      </c>
      <c r="K996" s="42" t="s">
        <v>5796</v>
      </c>
      <c r="L996" s="39">
        <v>3002</v>
      </c>
    </row>
    <row r="997" spans="1:12" ht="11.25" customHeight="1">
      <c r="A997" s="39">
        <v>1551</v>
      </c>
      <c r="B997" s="40" t="s">
        <v>12183</v>
      </c>
      <c r="C997" s="40" t="s">
        <v>12184</v>
      </c>
      <c r="D997" s="40" t="s">
        <v>4060</v>
      </c>
      <c r="E997" s="41">
        <v>454.32</v>
      </c>
      <c r="F997" s="40" t="s">
        <v>4060</v>
      </c>
      <c r="G997" s="41">
        <v>454.4486</v>
      </c>
      <c r="H997" s="40"/>
      <c r="I997" s="41"/>
      <c r="J997" s="41">
        <f t="shared" si="3"/>
        <v>454.3843</v>
      </c>
      <c r="K997" s="42" t="s">
        <v>5796</v>
      </c>
      <c r="L997" s="39">
        <v>1551</v>
      </c>
    </row>
    <row r="998" spans="1:12" ht="11.25" customHeight="1">
      <c r="A998" s="43">
        <v>228</v>
      </c>
      <c r="B998" s="44" t="s">
        <v>12185</v>
      </c>
      <c r="C998" s="44" t="s">
        <v>12186</v>
      </c>
      <c r="D998" s="44" t="s">
        <v>695</v>
      </c>
      <c r="E998" s="45">
        <v>24840.91</v>
      </c>
      <c r="F998" s="44" t="s">
        <v>695</v>
      </c>
      <c r="G998" s="45">
        <v>24845.4807</v>
      </c>
      <c r="H998" s="44"/>
      <c r="I998" s="45"/>
      <c r="J998" s="45">
        <f t="shared" si="3"/>
        <v>24843.195350000002</v>
      </c>
      <c r="K998" s="46" t="s">
        <v>5800</v>
      </c>
      <c r="L998" s="43">
        <v>228</v>
      </c>
    </row>
    <row r="999" spans="1:12" ht="11.25" customHeight="1">
      <c r="A999" s="47">
        <v>11</v>
      </c>
      <c r="B999" s="48" t="s">
        <v>6456</v>
      </c>
      <c r="C999" s="48" t="s">
        <v>12187</v>
      </c>
      <c r="D999" s="48" t="s">
        <v>39</v>
      </c>
      <c r="E999" s="49">
        <v>417572.78</v>
      </c>
      <c r="F999" s="48" t="s">
        <v>39</v>
      </c>
      <c r="G999" s="49">
        <v>417606.44300000003</v>
      </c>
      <c r="H999" s="48"/>
      <c r="I999" s="49"/>
      <c r="J999" s="49">
        <f t="shared" si="3"/>
        <v>417589.6115</v>
      </c>
      <c r="K999" s="50" t="s">
        <v>5815</v>
      </c>
      <c r="L999" s="47">
        <v>11</v>
      </c>
    </row>
    <row r="1000" spans="1:12" ht="11.25" customHeight="1">
      <c r="A1000" s="39">
        <v>1153</v>
      </c>
      <c r="B1000" s="40" t="s">
        <v>12188</v>
      </c>
      <c r="C1000" s="40" t="s">
        <v>12189</v>
      </c>
      <c r="D1000" s="40" t="s">
        <v>3235</v>
      </c>
      <c r="E1000" s="41">
        <v>1169.6199999999999</v>
      </c>
      <c r="F1000" s="40" t="s">
        <v>3235</v>
      </c>
      <c r="G1000" s="41">
        <v>1169.6464000000001</v>
      </c>
      <c r="H1000" s="40"/>
      <c r="I1000" s="41"/>
      <c r="J1000" s="41">
        <f t="shared" si="3"/>
        <v>1169.6332</v>
      </c>
      <c r="K1000" s="42" t="s">
        <v>5796</v>
      </c>
      <c r="L1000" s="39">
        <v>1153</v>
      </c>
    </row>
    <row r="1001" spans="1:12" ht="11.25" customHeight="1">
      <c r="A1001" s="39">
        <v>1202</v>
      </c>
      <c r="B1001" s="40" t="s">
        <v>6457</v>
      </c>
      <c r="C1001" s="40" t="s">
        <v>12190</v>
      </c>
      <c r="D1001" s="40" t="s">
        <v>3355</v>
      </c>
      <c r="E1001" s="41">
        <v>1045.69</v>
      </c>
      <c r="F1001" s="40" t="s">
        <v>3355</v>
      </c>
      <c r="G1001" s="41">
        <v>1045.8770999999999</v>
      </c>
      <c r="H1001" s="40"/>
      <c r="I1001" s="41"/>
      <c r="J1001" s="41">
        <f t="shared" si="3"/>
        <v>1045.7835500000001</v>
      </c>
      <c r="K1001" s="42" t="s">
        <v>5796</v>
      </c>
      <c r="L1001" s="39">
        <v>1202</v>
      </c>
    </row>
    <row r="1002" spans="1:12" ht="11.25" customHeight="1">
      <c r="A1002" s="39">
        <v>1204</v>
      </c>
      <c r="B1002" s="40" t="s">
        <v>12191</v>
      </c>
      <c r="C1002" s="40" t="s">
        <v>12192</v>
      </c>
      <c r="D1002" s="40" t="s">
        <v>12193</v>
      </c>
      <c r="E1002" s="41">
        <v>1044.57</v>
      </c>
      <c r="F1002" s="40" t="s">
        <v>3364</v>
      </c>
      <c r="G1002" s="41">
        <v>1044.6407999999999</v>
      </c>
      <c r="H1002" s="40"/>
      <c r="I1002" s="41"/>
      <c r="J1002" s="41">
        <f t="shared" si="3"/>
        <v>1044.6053999999999</v>
      </c>
      <c r="K1002" s="42" t="s">
        <v>5796</v>
      </c>
      <c r="L1002" s="39">
        <v>1204</v>
      </c>
    </row>
    <row r="1003" spans="1:12" ht="11.25" customHeight="1">
      <c r="A1003" s="43">
        <v>137</v>
      </c>
      <c r="B1003" s="44" t="s">
        <v>12194</v>
      </c>
      <c r="C1003" s="44" t="s">
        <v>12195</v>
      </c>
      <c r="D1003" s="44" t="s">
        <v>422</v>
      </c>
      <c r="E1003" s="45">
        <v>48135.11</v>
      </c>
      <c r="F1003" s="44" t="s">
        <v>422</v>
      </c>
      <c r="G1003" s="45">
        <v>48136.575100000002</v>
      </c>
      <c r="H1003" s="44"/>
      <c r="I1003" s="45"/>
      <c r="J1003" s="45">
        <f t="shared" si="3"/>
        <v>48135.842550000001</v>
      </c>
      <c r="K1003" s="46" t="s">
        <v>5800</v>
      </c>
      <c r="L1003" s="43">
        <v>137</v>
      </c>
    </row>
    <row r="1004" spans="1:12" ht="11.25" customHeight="1">
      <c r="A1004" s="39">
        <v>637</v>
      </c>
      <c r="B1004" s="40" t="s">
        <v>1878</v>
      </c>
      <c r="C1004" s="40" t="s">
        <v>12196</v>
      </c>
      <c r="D1004" s="40" t="s">
        <v>1880</v>
      </c>
      <c r="E1004" s="41">
        <v>4691.97</v>
      </c>
      <c r="F1004" s="40" t="s">
        <v>1880</v>
      </c>
      <c r="G1004" s="41">
        <v>4669.4222</v>
      </c>
      <c r="H1004" s="40"/>
      <c r="I1004" s="41"/>
      <c r="J1004" s="41">
        <f t="shared" si="3"/>
        <v>4680.6961000000001</v>
      </c>
      <c r="K1004" s="42" t="s">
        <v>5796</v>
      </c>
      <c r="L1004" s="39">
        <v>637</v>
      </c>
    </row>
    <row r="1005" spans="1:12" ht="11.25" customHeight="1">
      <c r="A1005" s="43">
        <v>211</v>
      </c>
      <c r="B1005" s="44" t="s">
        <v>12197</v>
      </c>
      <c r="C1005" s="44" t="s">
        <v>12198</v>
      </c>
      <c r="D1005" s="44" t="s">
        <v>644</v>
      </c>
      <c r="E1005" s="45">
        <v>28313.88</v>
      </c>
      <c r="F1005" s="44" t="s">
        <v>644</v>
      </c>
      <c r="G1005" s="45">
        <v>28744.048999999999</v>
      </c>
      <c r="H1005" s="44"/>
      <c r="I1005" s="45"/>
      <c r="J1005" s="45">
        <f t="shared" si="3"/>
        <v>28528.964500000002</v>
      </c>
      <c r="K1005" s="46" t="s">
        <v>5800</v>
      </c>
      <c r="L1005" s="43">
        <v>211</v>
      </c>
    </row>
    <row r="1006" spans="1:12" ht="11.25" customHeight="1">
      <c r="A1006" s="47">
        <v>81</v>
      </c>
      <c r="B1006" s="48" t="s">
        <v>12199</v>
      </c>
      <c r="C1006" s="48" t="s">
        <v>12200</v>
      </c>
      <c r="D1006" s="48" t="s">
        <v>257</v>
      </c>
      <c r="E1006" s="49">
        <v>76088.800000000003</v>
      </c>
      <c r="F1006" s="48" t="s">
        <v>257</v>
      </c>
      <c r="G1006" s="49">
        <v>76089.297500000001</v>
      </c>
      <c r="H1006" s="48"/>
      <c r="I1006" s="49"/>
      <c r="J1006" s="49">
        <f t="shared" si="3"/>
        <v>76089.048750000002</v>
      </c>
      <c r="K1006" s="50" t="s">
        <v>5815</v>
      </c>
      <c r="L1006" s="47">
        <v>81</v>
      </c>
    </row>
    <row r="1007" spans="1:12" ht="11.25" customHeight="1">
      <c r="A1007" s="39">
        <v>1595</v>
      </c>
      <c r="B1007" s="40" t="s">
        <v>12201</v>
      </c>
      <c r="C1007" s="40" t="s">
        <v>12202</v>
      </c>
      <c r="D1007" s="40" t="s">
        <v>4135</v>
      </c>
      <c r="E1007" s="41">
        <v>416.34</v>
      </c>
      <c r="F1007" s="40" t="s">
        <v>4135</v>
      </c>
      <c r="G1007" s="41">
        <v>416.31279999999998</v>
      </c>
      <c r="H1007" s="40"/>
      <c r="I1007" s="41"/>
      <c r="J1007" s="41">
        <f t="shared" si="3"/>
        <v>416.32639999999998</v>
      </c>
      <c r="K1007" s="42" t="s">
        <v>5796</v>
      </c>
      <c r="L1007" s="39">
        <v>1595</v>
      </c>
    </row>
    <row r="1008" spans="1:12" ht="11.25" customHeight="1">
      <c r="A1008" s="39">
        <v>1612</v>
      </c>
      <c r="B1008" s="40" t="s">
        <v>12203</v>
      </c>
      <c r="C1008" s="40" t="s">
        <v>12204</v>
      </c>
      <c r="D1008" s="40" t="s">
        <v>4174</v>
      </c>
      <c r="E1008" s="41">
        <v>399.55</v>
      </c>
      <c r="F1008" s="40" t="s">
        <v>4174</v>
      </c>
      <c r="G1008" s="41">
        <v>408.89819999999997</v>
      </c>
      <c r="H1008" s="40"/>
      <c r="I1008" s="41"/>
      <c r="J1008" s="41">
        <f t="shared" si="3"/>
        <v>404.22410000000002</v>
      </c>
      <c r="K1008" s="42" t="s">
        <v>5796</v>
      </c>
      <c r="L1008" s="39">
        <v>1612</v>
      </c>
    </row>
    <row r="1009" spans="1:12" ht="11.25" customHeight="1">
      <c r="A1009" s="39">
        <v>2024</v>
      </c>
      <c r="B1009" s="40" t="s">
        <v>12205</v>
      </c>
      <c r="C1009" s="40" t="s">
        <v>12206</v>
      </c>
      <c r="D1009" s="40" t="s">
        <v>12207</v>
      </c>
      <c r="E1009" s="41">
        <v>182.62</v>
      </c>
      <c r="F1009" s="40" t="s">
        <v>4780</v>
      </c>
      <c r="G1009" s="41">
        <v>182.6874</v>
      </c>
      <c r="H1009" s="40"/>
      <c r="I1009" s="41"/>
      <c r="J1009" s="41">
        <f t="shared" si="3"/>
        <v>182.65370000000001</v>
      </c>
      <c r="K1009" s="42" t="s">
        <v>5796</v>
      </c>
      <c r="L1009" s="39">
        <v>2024</v>
      </c>
    </row>
    <row r="1010" spans="1:12" ht="11.25" customHeight="1">
      <c r="A1010" s="39">
        <v>1954</v>
      </c>
      <c r="B1010" s="40" t="s">
        <v>12208</v>
      </c>
      <c r="C1010" s="40" t="s">
        <v>12209</v>
      </c>
      <c r="D1010" s="40" t="s">
        <v>4672</v>
      </c>
      <c r="E1010" s="41">
        <v>201.72</v>
      </c>
      <c r="F1010" s="40" t="s">
        <v>4672</v>
      </c>
      <c r="G1010" s="41">
        <v>201.6267</v>
      </c>
      <c r="H1010" s="40"/>
      <c r="I1010" s="41"/>
      <c r="J1010" s="41">
        <f t="shared" si="3"/>
        <v>201.67335</v>
      </c>
      <c r="K1010" s="42" t="s">
        <v>5796</v>
      </c>
      <c r="L1010" s="39">
        <v>1954</v>
      </c>
    </row>
    <row r="1011" spans="1:12" ht="11.25" customHeight="1">
      <c r="A1011" s="39">
        <v>1733</v>
      </c>
      <c r="B1011" s="40" t="s">
        <v>12210</v>
      </c>
      <c r="C1011" s="40" t="s">
        <v>12211</v>
      </c>
      <c r="D1011" s="40" t="s">
        <v>4384</v>
      </c>
      <c r="E1011" s="41">
        <v>311.24</v>
      </c>
      <c r="F1011" s="40" t="s">
        <v>4384</v>
      </c>
      <c r="G1011" s="41">
        <v>310.97109999999998</v>
      </c>
      <c r="H1011" s="40"/>
      <c r="I1011" s="41"/>
      <c r="J1011" s="41">
        <f t="shared" si="3"/>
        <v>311.10554999999999</v>
      </c>
      <c r="K1011" s="42" t="s">
        <v>5796</v>
      </c>
      <c r="L1011" s="39">
        <v>1733</v>
      </c>
    </row>
    <row r="1012" spans="1:12" ht="11.25" customHeight="1">
      <c r="A1012" s="39">
        <v>2420</v>
      </c>
      <c r="B1012" s="40" t="s">
        <v>12212</v>
      </c>
      <c r="C1012" s="40" t="s">
        <v>12213</v>
      </c>
      <c r="D1012" s="40" t="s">
        <v>5221</v>
      </c>
      <c r="E1012" s="41">
        <v>94.47</v>
      </c>
      <c r="F1012" s="40" t="s">
        <v>5221</v>
      </c>
      <c r="G1012" s="41">
        <v>94.262600000000006</v>
      </c>
      <c r="H1012" s="40"/>
      <c r="I1012" s="41"/>
      <c r="J1012" s="41">
        <f t="shared" si="3"/>
        <v>94.366299999999995</v>
      </c>
      <c r="K1012" s="42" t="s">
        <v>5796</v>
      </c>
      <c r="L1012" s="39">
        <v>2420</v>
      </c>
    </row>
    <row r="1013" spans="1:12" ht="11.25" customHeight="1">
      <c r="A1013" s="47">
        <v>12</v>
      </c>
      <c r="B1013" s="48" t="s">
        <v>12214</v>
      </c>
      <c r="C1013" s="48" t="s">
        <v>12215</v>
      </c>
      <c r="D1013" s="48" t="s">
        <v>42</v>
      </c>
      <c r="E1013" s="49">
        <v>409949.95</v>
      </c>
      <c r="F1013" s="48" t="s">
        <v>42</v>
      </c>
      <c r="G1013" s="49">
        <v>409847.16019999998</v>
      </c>
      <c r="H1013" s="48"/>
      <c r="I1013" s="49"/>
      <c r="J1013" s="49">
        <f t="shared" si="3"/>
        <v>409898.5551</v>
      </c>
      <c r="K1013" s="50" t="s">
        <v>5815</v>
      </c>
      <c r="L1013" s="47">
        <v>12</v>
      </c>
    </row>
    <row r="1014" spans="1:12" ht="11.25" customHeight="1">
      <c r="A1014" s="39">
        <v>559</v>
      </c>
      <c r="B1014" s="40" t="s">
        <v>12216</v>
      </c>
      <c r="C1014" s="40" t="s">
        <v>12217</v>
      </c>
      <c r="D1014" s="40" t="s">
        <v>1658</v>
      </c>
      <c r="E1014" s="41">
        <v>6177.6</v>
      </c>
      <c r="F1014" s="40" t="s">
        <v>1658</v>
      </c>
      <c r="G1014" s="41">
        <v>6178.442</v>
      </c>
      <c r="H1014" s="40"/>
      <c r="I1014" s="41"/>
      <c r="J1014" s="41">
        <f t="shared" si="3"/>
        <v>6178.0210000000006</v>
      </c>
      <c r="K1014" s="42" t="s">
        <v>5796</v>
      </c>
      <c r="L1014" s="39">
        <v>559</v>
      </c>
    </row>
    <row r="1015" spans="1:12" ht="11.25" customHeight="1">
      <c r="A1015" s="47">
        <v>35</v>
      </c>
      <c r="B1015" s="48" t="s">
        <v>12218</v>
      </c>
      <c r="C1015" s="48" t="s">
        <v>12219</v>
      </c>
      <c r="D1015" s="48" t="s">
        <v>113</v>
      </c>
      <c r="E1015" s="49">
        <v>157656.04999999999</v>
      </c>
      <c r="F1015" s="48" t="s">
        <v>113</v>
      </c>
      <c r="G1015" s="49">
        <v>157668.8529</v>
      </c>
      <c r="H1015" s="48"/>
      <c r="I1015" s="49"/>
      <c r="J1015" s="49">
        <f t="shared" si="3"/>
        <v>157662.45144999999</v>
      </c>
      <c r="K1015" s="50" t="s">
        <v>5815</v>
      </c>
      <c r="L1015" s="47">
        <v>35</v>
      </c>
    </row>
    <row r="1016" spans="1:12" ht="11.25" customHeight="1">
      <c r="A1016" s="43">
        <v>142</v>
      </c>
      <c r="B1016" s="44" t="s">
        <v>12220</v>
      </c>
      <c r="C1016" s="44" t="s">
        <v>12221</v>
      </c>
      <c r="D1016" s="44" t="s">
        <v>437</v>
      </c>
      <c r="E1016" s="45">
        <v>47225</v>
      </c>
      <c r="F1016" s="44" t="s">
        <v>437</v>
      </c>
      <c r="G1016" s="45">
        <v>47216.5452</v>
      </c>
      <c r="H1016" s="44"/>
      <c r="I1016" s="45"/>
      <c r="J1016" s="45">
        <f t="shared" si="3"/>
        <v>47220.772599999997</v>
      </c>
      <c r="K1016" s="46" t="s">
        <v>5800</v>
      </c>
      <c r="L1016" s="43">
        <v>142</v>
      </c>
    </row>
    <row r="1017" spans="1:12" ht="11.25" customHeight="1">
      <c r="A1017" s="39">
        <v>899</v>
      </c>
      <c r="B1017" s="40" t="s">
        <v>12222</v>
      </c>
      <c r="C1017" s="40" t="s">
        <v>12223</v>
      </c>
      <c r="D1017" s="40" t="s">
        <v>2608</v>
      </c>
      <c r="E1017" s="41">
        <v>2163.21</v>
      </c>
      <c r="F1017" s="40" t="s">
        <v>2608</v>
      </c>
      <c r="G1017" s="41">
        <v>2163.8072999999999</v>
      </c>
      <c r="H1017" s="40"/>
      <c r="I1017" s="41"/>
      <c r="J1017" s="41">
        <f t="shared" si="3"/>
        <v>2163.5086499999998</v>
      </c>
      <c r="K1017" s="42" t="s">
        <v>5796</v>
      </c>
      <c r="L1017" s="39">
        <v>899</v>
      </c>
    </row>
    <row r="1018" spans="1:12" ht="11.25" customHeight="1">
      <c r="A1018" s="39">
        <v>843</v>
      </c>
      <c r="B1018" s="40" t="s">
        <v>12224</v>
      </c>
      <c r="C1018" s="40" t="s">
        <v>12225</v>
      </c>
      <c r="D1018" s="40" t="s">
        <v>2449</v>
      </c>
      <c r="E1018" s="41">
        <v>2552.38</v>
      </c>
      <c r="F1018" s="40" t="s">
        <v>2449</v>
      </c>
      <c r="G1018" s="41">
        <v>2553.3498</v>
      </c>
      <c r="H1018" s="40"/>
      <c r="I1018" s="41"/>
      <c r="J1018" s="41">
        <f t="shared" si="3"/>
        <v>2552.8649</v>
      </c>
      <c r="K1018" s="42" t="s">
        <v>5796</v>
      </c>
      <c r="L1018" s="39">
        <v>843</v>
      </c>
    </row>
    <row r="1019" spans="1:12" ht="11.25" customHeight="1">
      <c r="A1019" s="43">
        <v>126</v>
      </c>
      <c r="B1019" s="44" t="s">
        <v>12226</v>
      </c>
      <c r="C1019" s="44" t="s">
        <v>12227</v>
      </c>
      <c r="D1019" s="44" t="s">
        <v>392</v>
      </c>
      <c r="E1019" s="45">
        <v>51259.58</v>
      </c>
      <c r="F1019" s="44" t="s">
        <v>392</v>
      </c>
      <c r="G1019" s="45">
        <v>51259.827299999997</v>
      </c>
      <c r="H1019" s="44"/>
      <c r="I1019" s="45"/>
      <c r="J1019" s="45">
        <f t="shared" si="3"/>
        <v>51259.703649999996</v>
      </c>
      <c r="K1019" s="46" t="s">
        <v>5800</v>
      </c>
      <c r="L1019" s="43">
        <v>126</v>
      </c>
    </row>
    <row r="1020" spans="1:12" ht="11.25" customHeight="1">
      <c r="A1020" s="39">
        <v>662</v>
      </c>
      <c r="B1020" s="40" t="s">
        <v>12228</v>
      </c>
      <c r="C1020" s="40" t="s">
        <v>12229</v>
      </c>
      <c r="D1020" s="40" t="s">
        <v>1943</v>
      </c>
      <c r="E1020" s="41">
        <v>4325.8599999999997</v>
      </c>
      <c r="F1020" s="40" t="s">
        <v>1943</v>
      </c>
      <c r="G1020" s="41">
        <v>4326.4333999999999</v>
      </c>
      <c r="H1020" s="40"/>
      <c r="I1020" s="41"/>
      <c r="J1020" s="41">
        <f t="shared" si="3"/>
        <v>4326.1466999999993</v>
      </c>
      <c r="K1020" s="42" t="s">
        <v>5796</v>
      </c>
      <c r="L1020" s="39">
        <v>662</v>
      </c>
    </row>
    <row r="1021" spans="1:12" ht="11.25" customHeight="1">
      <c r="A1021" s="39">
        <v>499</v>
      </c>
      <c r="B1021" s="40" t="s">
        <v>12230</v>
      </c>
      <c r="C1021" s="40" t="s">
        <v>12231</v>
      </c>
      <c r="D1021" s="40" t="s">
        <v>1484</v>
      </c>
      <c r="E1021" s="41">
        <v>7392.33</v>
      </c>
      <c r="F1021" s="40" t="s">
        <v>1484</v>
      </c>
      <c r="G1021" s="41">
        <v>7278.8788999999997</v>
      </c>
      <c r="H1021" s="40"/>
      <c r="I1021" s="41"/>
      <c r="J1021" s="41">
        <f t="shared" si="3"/>
        <v>7335.6044499999998</v>
      </c>
      <c r="K1021" s="42" t="s">
        <v>5796</v>
      </c>
      <c r="L1021" s="39">
        <v>499</v>
      </c>
    </row>
    <row r="1022" spans="1:12" ht="11.25" customHeight="1">
      <c r="A1022" s="39">
        <v>1639</v>
      </c>
      <c r="B1022" s="40" t="s">
        <v>12232</v>
      </c>
      <c r="C1022" s="40" t="s">
        <v>12233</v>
      </c>
      <c r="D1022" s="40" t="s">
        <v>4228</v>
      </c>
      <c r="E1022" s="41">
        <v>379.58</v>
      </c>
      <c r="F1022" s="40" t="s">
        <v>4228</v>
      </c>
      <c r="G1022" s="41">
        <v>366.8766</v>
      </c>
      <c r="H1022" s="40"/>
      <c r="I1022" s="41"/>
      <c r="J1022" s="41">
        <f t="shared" si="3"/>
        <v>373.22829999999999</v>
      </c>
      <c r="K1022" s="42" t="s">
        <v>5796</v>
      </c>
      <c r="L1022" s="39">
        <v>1639</v>
      </c>
    </row>
    <row r="1023" spans="1:12" ht="11.25" customHeight="1">
      <c r="A1023" s="39">
        <v>3582</v>
      </c>
      <c r="B1023" s="40" t="s">
        <v>12234</v>
      </c>
      <c r="C1023" s="40" t="s">
        <v>12235</v>
      </c>
      <c r="D1023" s="40" t="s">
        <v>5712</v>
      </c>
      <c r="E1023" s="41">
        <v>15.95</v>
      </c>
      <c r="F1023" s="40" t="s">
        <v>5712</v>
      </c>
      <c r="G1023" s="41">
        <v>15.933199999999999</v>
      </c>
      <c r="H1023" s="40"/>
      <c r="I1023" s="41"/>
      <c r="J1023" s="41">
        <f t="shared" ref="J1023:J1277" si="4">AVERAGE(E1023,G1023,I1023)</f>
        <v>15.941599999999999</v>
      </c>
      <c r="K1023" s="42" t="s">
        <v>5796</v>
      </c>
      <c r="L1023" s="39">
        <v>3582</v>
      </c>
    </row>
    <row r="1024" spans="1:12" ht="11.25" customHeight="1">
      <c r="A1024" s="47">
        <v>29</v>
      </c>
      <c r="B1024" s="48" t="s">
        <v>12236</v>
      </c>
      <c r="C1024" s="48" t="s">
        <v>12237</v>
      </c>
      <c r="D1024" s="48" t="s">
        <v>95</v>
      </c>
      <c r="E1024" s="49">
        <v>194696.6</v>
      </c>
      <c r="F1024" s="48" t="s">
        <v>95</v>
      </c>
      <c r="G1024" s="49">
        <v>194702.6686</v>
      </c>
      <c r="H1024" s="48"/>
      <c r="I1024" s="49"/>
      <c r="J1024" s="49">
        <f t="shared" si="4"/>
        <v>194699.63430000001</v>
      </c>
      <c r="K1024" s="50" t="s">
        <v>5815</v>
      </c>
      <c r="L1024" s="47">
        <v>29</v>
      </c>
    </row>
    <row r="1025" spans="1:12" ht="11.25" customHeight="1">
      <c r="A1025" s="43">
        <v>172</v>
      </c>
      <c r="B1025" s="44" t="s">
        <v>12238</v>
      </c>
      <c r="C1025" s="44" t="s">
        <v>12239</v>
      </c>
      <c r="D1025" s="44" t="s">
        <v>527</v>
      </c>
      <c r="E1025" s="45">
        <v>35720.959999999999</v>
      </c>
      <c r="F1025" s="44" t="s">
        <v>527</v>
      </c>
      <c r="G1025" s="45">
        <v>35729.4827</v>
      </c>
      <c r="H1025" s="44"/>
      <c r="I1025" s="45"/>
      <c r="J1025" s="45">
        <f t="shared" si="4"/>
        <v>35725.22135</v>
      </c>
      <c r="K1025" s="46" t="s">
        <v>5800</v>
      </c>
      <c r="L1025" s="43">
        <v>172</v>
      </c>
    </row>
    <row r="1026" spans="1:12" ht="11.25" customHeight="1">
      <c r="A1026" s="39">
        <v>1467</v>
      </c>
      <c r="B1026" s="40" t="s">
        <v>6470</v>
      </c>
      <c r="C1026" s="40" t="s">
        <v>12240</v>
      </c>
      <c r="D1026" s="40" t="s">
        <v>3892</v>
      </c>
      <c r="E1026" s="41">
        <v>555.51</v>
      </c>
      <c r="F1026" s="40" t="s">
        <v>3892</v>
      </c>
      <c r="G1026" s="41">
        <v>555.65660000000003</v>
      </c>
      <c r="H1026" s="40"/>
      <c r="I1026" s="41"/>
      <c r="J1026" s="41">
        <f t="shared" si="4"/>
        <v>555.58330000000001</v>
      </c>
      <c r="K1026" s="42" t="s">
        <v>5796</v>
      </c>
      <c r="L1026" s="39">
        <v>1467</v>
      </c>
    </row>
    <row r="1027" spans="1:12" ht="11.25" customHeight="1">
      <c r="A1027" s="39">
        <v>1610</v>
      </c>
      <c r="B1027" s="40" t="s">
        <v>12241</v>
      </c>
      <c r="C1027" s="40" t="s">
        <v>12242</v>
      </c>
      <c r="D1027" s="40"/>
      <c r="E1027" s="41"/>
      <c r="F1027" s="40" t="s">
        <v>4168</v>
      </c>
      <c r="G1027" s="41">
        <v>404.89659999999998</v>
      </c>
      <c r="H1027" s="40"/>
      <c r="I1027" s="41"/>
      <c r="J1027" s="41">
        <f t="shared" si="4"/>
        <v>404.89659999999998</v>
      </c>
      <c r="K1027" s="42" t="s">
        <v>5796</v>
      </c>
      <c r="L1027" s="39">
        <v>1610</v>
      </c>
    </row>
    <row r="1028" spans="1:12" ht="11.25" customHeight="1">
      <c r="A1028" s="39">
        <v>2907</v>
      </c>
      <c r="B1028" s="40" t="s">
        <v>12243</v>
      </c>
      <c r="C1028" s="40" t="s">
        <v>12244</v>
      </c>
      <c r="D1028" s="40" t="s">
        <v>5508</v>
      </c>
      <c r="E1028" s="41">
        <v>43.76</v>
      </c>
      <c r="F1028" s="40" t="s">
        <v>5508</v>
      </c>
      <c r="G1028" s="41">
        <v>43.701799999999999</v>
      </c>
      <c r="H1028" s="40"/>
      <c r="I1028" s="41"/>
      <c r="J1028" s="41">
        <f t="shared" si="4"/>
        <v>43.730899999999998</v>
      </c>
      <c r="K1028" s="42" t="s">
        <v>5796</v>
      </c>
      <c r="L1028" s="39">
        <v>2907</v>
      </c>
    </row>
    <row r="1029" spans="1:12" ht="11.25" customHeight="1">
      <c r="A1029" s="39">
        <v>2884</v>
      </c>
      <c r="B1029" s="40" t="s">
        <v>12245</v>
      </c>
      <c r="C1029" s="40" t="s">
        <v>12246</v>
      </c>
      <c r="D1029" s="40" t="s">
        <v>5493</v>
      </c>
      <c r="E1029" s="41">
        <v>45.27</v>
      </c>
      <c r="F1029" s="40" t="s">
        <v>5493</v>
      </c>
      <c r="G1029" s="41">
        <v>45.241100000000003</v>
      </c>
      <c r="H1029" s="40"/>
      <c r="I1029" s="41"/>
      <c r="J1029" s="41">
        <f t="shared" si="4"/>
        <v>45.255549999999999</v>
      </c>
      <c r="K1029" s="42" t="s">
        <v>5796</v>
      </c>
      <c r="L1029" s="39">
        <v>2884</v>
      </c>
    </row>
    <row r="1030" spans="1:12" ht="11.25" customHeight="1">
      <c r="A1030" s="39">
        <v>1102</v>
      </c>
      <c r="B1030" s="40" t="s">
        <v>12247</v>
      </c>
      <c r="C1030" s="40" t="s">
        <v>12248</v>
      </c>
      <c r="D1030" s="40" t="s">
        <v>3118</v>
      </c>
      <c r="E1030" s="41">
        <v>1318.84</v>
      </c>
      <c r="F1030" s="40" t="s">
        <v>3118</v>
      </c>
      <c r="G1030" s="41">
        <v>1318.9065000000001</v>
      </c>
      <c r="H1030" s="40"/>
      <c r="I1030" s="41"/>
      <c r="J1030" s="41">
        <f t="shared" si="4"/>
        <v>1318.8732500000001</v>
      </c>
      <c r="K1030" s="42" t="s">
        <v>5796</v>
      </c>
      <c r="L1030" s="39">
        <v>1102</v>
      </c>
    </row>
    <row r="1031" spans="1:12" ht="11.25" customHeight="1">
      <c r="A1031" s="39">
        <v>1271</v>
      </c>
      <c r="B1031" s="40" t="s">
        <v>12249</v>
      </c>
      <c r="C1031" s="40" t="s">
        <v>12250</v>
      </c>
      <c r="D1031" s="40" t="s">
        <v>12251</v>
      </c>
      <c r="E1031" s="41">
        <v>869.33</v>
      </c>
      <c r="F1031" s="40" t="s">
        <v>3499</v>
      </c>
      <c r="G1031" s="41">
        <v>869.6354</v>
      </c>
      <c r="H1031" s="40"/>
      <c r="I1031" s="41"/>
      <c r="J1031" s="41">
        <f t="shared" si="4"/>
        <v>869.48270000000002</v>
      </c>
      <c r="K1031" s="42" t="s">
        <v>5796</v>
      </c>
      <c r="L1031" s="39">
        <v>1271</v>
      </c>
    </row>
    <row r="1032" spans="1:12" ht="11.25" customHeight="1">
      <c r="A1032" s="39">
        <v>1955</v>
      </c>
      <c r="B1032" s="40" t="s">
        <v>6475</v>
      </c>
      <c r="C1032" s="40" t="s">
        <v>12252</v>
      </c>
      <c r="D1032" s="40" t="s">
        <v>4675</v>
      </c>
      <c r="E1032" s="41">
        <v>201.6</v>
      </c>
      <c r="F1032" s="40" t="s">
        <v>4675</v>
      </c>
      <c r="G1032" s="41">
        <v>199.1019</v>
      </c>
      <c r="H1032" s="40"/>
      <c r="I1032" s="41"/>
      <c r="J1032" s="41">
        <f t="shared" si="4"/>
        <v>200.35095000000001</v>
      </c>
      <c r="K1032" s="42" t="s">
        <v>5796</v>
      </c>
      <c r="L1032" s="39">
        <v>1955</v>
      </c>
    </row>
    <row r="1033" spans="1:12" ht="11.25" customHeight="1">
      <c r="A1033" s="43">
        <v>208</v>
      </c>
      <c r="B1033" s="44" t="s">
        <v>12253</v>
      </c>
      <c r="C1033" s="44" t="s">
        <v>12254</v>
      </c>
      <c r="D1033" s="44" t="s">
        <v>635</v>
      </c>
      <c r="E1033" s="45">
        <v>29342.76</v>
      </c>
      <c r="F1033" s="44" t="s">
        <v>635</v>
      </c>
      <c r="G1033" s="45">
        <v>29345.155299999999</v>
      </c>
      <c r="H1033" s="44"/>
      <c r="I1033" s="45"/>
      <c r="J1033" s="45">
        <f t="shared" si="4"/>
        <v>29343.957649999997</v>
      </c>
      <c r="K1033" s="46" t="s">
        <v>5800</v>
      </c>
      <c r="L1033" s="43">
        <v>208</v>
      </c>
    </row>
    <row r="1034" spans="1:12" ht="11.25" customHeight="1">
      <c r="A1034" s="39">
        <v>1945</v>
      </c>
      <c r="B1034" s="40" t="s">
        <v>12255</v>
      </c>
      <c r="C1034" s="40" t="s">
        <v>12256</v>
      </c>
      <c r="D1034" s="40" t="s">
        <v>4657</v>
      </c>
      <c r="E1034" s="41">
        <v>204.63</v>
      </c>
      <c r="F1034" s="40" t="s">
        <v>4657</v>
      </c>
      <c r="G1034" s="41">
        <v>204.36449999999999</v>
      </c>
      <c r="H1034" s="40"/>
      <c r="I1034" s="41"/>
      <c r="J1034" s="41">
        <f t="shared" si="4"/>
        <v>204.49725000000001</v>
      </c>
      <c r="K1034" s="42" t="s">
        <v>5796</v>
      </c>
      <c r="L1034" s="39">
        <v>1945</v>
      </c>
    </row>
    <row r="1035" spans="1:12" ht="11.25" customHeight="1">
      <c r="A1035" s="39">
        <v>2243</v>
      </c>
      <c r="B1035" s="40" t="s">
        <v>12257</v>
      </c>
      <c r="C1035" s="40" t="s">
        <v>12258</v>
      </c>
      <c r="D1035" s="40" t="s">
        <v>5065</v>
      </c>
      <c r="E1035" s="41">
        <v>122.82</v>
      </c>
      <c r="F1035" s="40" t="s">
        <v>5065</v>
      </c>
      <c r="G1035" s="41">
        <v>122.6927</v>
      </c>
      <c r="H1035" s="40"/>
      <c r="I1035" s="41"/>
      <c r="J1035" s="41">
        <f t="shared" si="4"/>
        <v>122.75635</v>
      </c>
      <c r="K1035" s="42" t="s">
        <v>5796</v>
      </c>
      <c r="L1035" s="39">
        <v>2243</v>
      </c>
    </row>
    <row r="1036" spans="1:12" ht="11.25" customHeight="1">
      <c r="A1036" s="39">
        <v>1700</v>
      </c>
      <c r="B1036" s="40" t="s">
        <v>6478</v>
      </c>
      <c r="C1036" s="40" t="s">
        <v>12259</v>
      </c>
      <c r="D1036" s="40" t="s">
        <v>4336</v>
      </c>
      <c r="E1036" s="41">
        <v>330.29</v>
      </c>
      <c r="F1036" s="40" t="s">
        <v>4336</v>
      </c>
      <c r="G1036" s="41">
        <v>330.2355</v>
      </c>
      <c r="H1036" s="40"/>
      <c r="I1036" s="41"/>
      <c r="J1036" s="41">
        <f t="shared" si="4"/>
        <v>330.26274999999998</v>
      </c>
      <c r="K1036" s="42" t="s">
        <v>5796</v>
      </c>
      <c r="L1036" s="39">
        <v>1700</v>
      </c>
    </row>
    <row r="1037" spans="1:12" ht="11.25" customHeight="1">
      <c r="A1037" s="39">
        <v>1886</v>
      </c>
      <c r="B1037" s="40" t="s">
        <v>12260</v>
      </c>
      <c r="C1037" s="40" t="s">
        <v>12261</v>
      </c>
      <c r="D1037" s="40"/>
      <c r="E1037" s="41"/>
      <c r="F1037" s="40" t="s">
        <v>4591</v>
      </c>
      <c r="G1037" s="41">
        <v>229.0274</v>
      </c>
      <c r="H1037" s="40"/>
      <c r="I1037" s="41"/>
      <c r="J1037" s="41">
        <f t="shared" si="4"/>
        <v>229.0274</v>
      </c>
      <c r="K1037" s="42" t="s">
        <v>5796</v>
      </c>
      <c r="L1037" s="39">
        <v>1886</v>
      </c>
    </row>
    <row r="1038" spans="1:12" ht="11.25" customHeight="1">
      <c r="A1038" s="39">
        <v>469</v>
      </c>
      <c r="B1038" s="40" t="s">
        <v>12262</v>
      </c>
      <c r="C1038" s="40" t="s">
        <v>12263</v>
      </c>
      <c r="D1038" s="40" t="s">
        <v>1397</v>
      </c>
      <c r="E1038" s="41">
        <v>8088.13</v>
      </c>
      <c r="F1038" s="40" t="s">
        <v>1397</v>
      </c>
      <c r="G1038" s="41">
        <v>8088.7709000000004</v>
      </c>
      <c r="H1038" s="40"/>
      <c r="I1038" s="41"/>
      <c r="J1038" s="41">
        <f t="shared" si="4"/>
        <v>8088.4504500000003</v>
      </c>
      <c r="K1038" s="42" t="s">
        <v>5796</v>
      </c>
      <c r="L1038" s="39">
        <v>469</v>
      </c>
    </row>
    <row r="1039" spans="1:12" ht="11.25" customHeight="1">
      <c r="A1039" s="39">
        <v>821</v>
      </c>
      <c r="B1039" s="40" t="s">
        <v>12264</v>
      </c>
      <c r="C1039" s="40" t="s">
        <v>12265</v>
      </c>
      <c r="D1039" s="40" t="s">
        <v>2386</v>
      </c>
      <c r="E1039" s="41">
        <v>2728.26</v>
      </c>
      <c r="F1039" s="40" t="s">
        <v>2386</v>
      </c>
      <c r="G1039" s="41">
        <v>2728.2181999999998</v>
      </c>
      <c r="H1039" s="40"/>
      <c r="I1039" s="41"/>
      <c r="J1039" s="41">
        <f t="shared" si="4"/>
        <v>2728.2390999999998</v>
      </c>
      <c r="K1039" s="42" t="s">
        <v>5796</v>
      </c>
      <c r="L1039" s="39">
        <v>821</v>
      </c>
    </row>
    <row r="1040" spans="1:12" ht="11.25" customHeight="1">
      <c r="A1040" s="39">
        <v>467</v>
      </c>
      <c r="B1040" s="40" t="s">
        <v>12266</v>
      </c>
      <c r="C1040" s="40" t="s">
        <v>12267</v>
      </c>
      <c r="D1040" s="40" t="s">
        <v>1391</v>
      </c>
      <c r="E1040" s="41">
        <v>8124.12</v>
      </c>
      <c r="F1040" s="40" t="s">
        <v>1391</v>
      </c>
      <c r="G1040" s="41">
        <v>8126.1666999999998</v>
      </c>
      <c r="H1040" s="40"/>
      <c r="I1040" s="41"/>
      <c r="J1040" s="41">
        <f t="shared" si="4"/>
        <v>8125.1433500000003</v>
      </c>
      <c r="K1040" s="42" t="s">
        <v>5796</v>
      </c>
      <c r="L1040" s="39">
        <v>467</v>
      </c>
    </row>
    <row r="1041" spans="1:12" ht="11.25" customHeight="1">
      <c r="A1041" s="39">
        <v>444</v>
      </c>
      <c r="B1041" s="40" t="s">
        <v>12268</v>
      </c>
      <c r="C1041" s="40" t="s">
        <v>12269</v>
      </c>
      <c r="D1041" s="40" t="s">
        <v>1325</v>
      </c>
      <c r="E1041" s="41">
        <v>8929.3799999999992</v>
      </c>
      <c r="F1041" s="40" t="s">
        <v>1325</v>
      </c>
      <c r="G1041" s="41">
        <v>8933.5409999999993</v>
      </c>
      <c r="H1041" s="40"/>
      <c r="I1041" s="41"/>
      <c r="J1041" s="41">
        <f t="shared" si="4"/>
        <v>8931.4604999999992</v>
      </c>
      <c r="K1041" s="42" t="s">
        <v>5796</v>
      </c>
      <c r="L1041" s="39">
        <v>444</v>
      </c>
    </row>
    <row r="1042" spans="1:12" ht="11.25" customHeight="1">
      <c r="A1042" s="39">
        <v>769</v>
      </c>
      <c r="B1042" s="40" t="s">
        <v>12270</v>
      </c>
      <c r="C1042" s="40" t="s">
        <v>12271</v>
      </c>
      <c r="D1042" s="40" t="s">
        <v>2251</v>
      </c>
      <c r="E1042" s="41">
        <v>3140.14</v>
      </c>
      <c r="F1042" s="40" t="s">
        <v>2251</v>
      </c>
      <c r="G1042" s="41">
        <v>3140.6091999999999</v>
      </c>
      <c r="H1042" s="40"/>
      <c r="I1042" s="41"/>
      <c r="J1042" s="41">
        <f t="shared" si="4"/>
        <v>3140.3746000000001</v>
      </c>
      <c r="K1042" s="42" t="s">
        <v>5796</v>
      </c>
      <c r="L1042" s="39">
        <v>769</v>
      </c>
    </row>
    <row r="1043" spans="1:12" ht="11.25" customHeight="1">
      <c r="A1043" s="39">
        <v>1382</v>
      </c>
      <c r="B1043" s="40" t="s">
        <v>6483</v>
      </c>
      <c r="C1043" s="40" t="s">
        <v>12272</v>
      </c>
      <c r="D1043" s="40" t="s">
        <v>3736</v>
      </c>
      <c r="E1043" s="41">
        <v>666.54</v>
      </c>
      <c r="F1043" s="40" t="s">
        <v>3736</v>
      </c>
      <c r="G1043" s="41">
        <v>666.21910000000003</v>
      </c>
      <c r="H1043" s="40"/>
      <c r="I1043" s="41"/>
      <c r="J1043" s="41">
        <f t="shared" si="4"/>
        <v>666.37954999999999</v>
      </c>
      <c r="K1043" s="42" t="s">
        <v>5796</v>
      </c>
      <c r="L1043" s="39">
        <v>1382</v>
      </c>
    </row>
    <row r="1044" spans="1:12" ht="11.25" customHeight="1">
      <c r="A1044" s="39">
        <v>2641</v>
      </c>
      <c r="B1044" s="40" t="s">
        <v>12273</v>
      </c>
      <c r="C1044" s="40" t="s">
        <v>12274</v>
      </c>
      <c r="D1044" s="40" t="s">
        <v>5409</v>
      </c>
      <c r="E1044" s="41">
        <v>63.31</v>
      </c>
      <c r="F1044" s="40" t="s">
        <v>5409</v>
      </c>
      <c r="G1044" s="41">
        <v>63.288400000000003</v>
      </c>
      <c r="H1044" s="40"/>
      <c r="I1044" s="41"/>
      <c r="J1044" s="41">
        <f t="shared" si="4"/>
        <v>63.299199999999999</v>
      </c>
      <c r="K1044" s="42" t="s">
        <v>5796</v>
      </c>
      <c r="L1044" s="39">
        <v>2641</v>
      </c>
    </row>
    <row r="1045" spans="1:12" ht="11.25" customHeight="1">
      <c r="A1045" s="39">
        <v>2084</v>
      </c>
      <c r="B1045" s="40" t="s">
        <v>12275</v>
      </c>
      <c r="C1045" s="40" t="s">
        <v>12276</v>
      </c>
      <c r="D1045" s="40" t="s">
        <v>12277</v>
      </c>
      <c r="E1045" s="41">
        <v>165.69</v>
      </c>
      <c r="F1045" s="40" t="s">
        <v>4852</v>
      </c>
      <c r="G1045" s="41">
        <v>165.5633</v>
      </c>
      <c r="H1045" s="40"/>
      <c r="I1045" s="41"/>
      <c r="J1045" s="41">
        <f t="shared" si="4"/>
        <v>165.62664999999998</v>
      </c>
      <c r="K1045" s="42" t="s">
        <v>5796</v>
      </c>
      <c r="L1045" s="39">
        <v>2084</v>
      </c>
    </row>
    <row r="1046" spans="1:12" ht="11.25" customHeight="1">
      <c r="A1046" s="39">
        <v>2117</v>
      </c>
      <c r="B1046" s="40" t="s">
        <v>12278</v>
      </c>
      <c r="C1046" s="40" t="s">
        <v>12279</v>
      </c>
      <c r="D1046" s="40" t="s">
        <v>12280</v>
      </c>
      <c r="E1046" s="41">
        <v>154.19</v>
      </c>
      <c r="F1046" s="40" t="s">
        <v>4909</v>
      </c>
      <c r="G1046" s="41">
        <v>153.87289999999999</v>
      </c>
      <c r="H1046" s="40"/>
      <c r="I1046" s="41"/>
      <c r="J1046" s="41">
        <f t="shared" si="4"/>
        <v>154.03145000000001</v>
      </c>
      <c r="K1046" s="42" t="s">
        <v>5796</v>
      </c>
      <c r="L1046" s="39">
        <v>2117</v>
      </c>
    </row>
    <row r="1047" spans="1:12" ht="11.25" customHeight="1">
      <c r="A1047" s="39">
        <v>1255</v>
      </c>
      <c r="B1047" s="40" t="s">
        <v>6486</v>
      </c>
      <c r="C1047" s="40" t="s">
        <v>12281</v>
      </c>
      <c r="D1047" s="40" t="s">
        <v>3472</v>
      </c>
      <c r="E1047" s="41">
        <v>910.03</v>
      </c>
      <c r="F1047" s="40" t="s">
        <v>3472</v>
      </c>
      <c r="G1047" s="41">
        <v>910.02750000000003</v>
      </c>
      <c r="H1047" s="40"/>
      <c r="I1047" s="41"/>
      <c r="J1047" s="41">
        <f t="shared" si="4"/>
        <v>910.02874999999995</v>
      </c>
      <c r="K1047" s="42" t="s">
        <v>5796</v>
      </c>
      <c r="L1047" s="39">
        <v>1255</v>
      </c>
    </row>
    <row r="1048" spans="1:12" ht="11.25" customHeight="1">
      <c r="A1048" s="39">
        <v>1745</v>
      </c>
      <c r="B1048" s="40" t="s">
        <v>12282</v>
      </c>
      <c r="C1048" s="40" t="s">
        <v>12283</v>
      </c>
      <c r="D1048" s="40" t="s">
        <v>12284</v>
      </c>
      <c r="E1048" s="41">
        <v>301.02</v>
      </c>
      <c r="F1048" s="40" t="s">
        <v>4408</v>
      </c>
      <c r="G1048" s="41">
        <v>300.9889</v>
      </c>
      <c r="H1048" s="40"/>
      <c r="I1048" s="41"/>
      <c r="J1048" s="41">
        <f t="shared" si="4"/>
        <v>301.00445000000002</v>
      </c>
      <c r="K1048" s="42" t="s">
        <v>5796</v>
      </c>
      <c r="L1048" s="39">
        <v>1745</v>
      </c>
    </row>
    <row r="1049" spans="1:12" ht="11.25" customHeight="1">
      <c r="A1049" s="39">
        <v>1156</v>
      </c>
      <c r="B1049" s="40" t="s">
        <v>12285</v>
      </c>
      <c r="C1049" s="40" t="s">
        <v>12286</v>
      </c>
      <c r="D1049" s="40" t="s">
        <v>3244</v>
      </c>
      <c r="E1049" s="41">
        <v>1157.32</v>
      </c>
      <c r="F1049" s="40" t="s">
        <v>3244</v>
      </c>
      <c r="G1049" s="41">
        <v>1157.2011</v>
      </c>
      <c r="H1049" s="40"/>
      <c r="I1049" s="41"/>
      <c r="J1049" s="41">
        <f t="shared" si="4"/>
        <v>1157.26055</v>
      </c>
      <c r="K1049" s="42" t="s">
        <v>5796</v>
      </c>
      <c r="L1049" s="39">
        <v>1156</v>
      </c>
    </row>
    <row r="1050" spans="1:12" ht="11.25" customHeight="1">
      <c r="A1050" s="39">
        <v>353</v>
      </c>
      <c r="B1050" s="40" t="s">
        <v>12287</v>
      </c>
      <c r="C1050" s="40" t="s">
        <v>12288</v>
      </c>
      <c r="D1050" s="40" t="s">
        <v>1067</v>
      </c>
      <c r="E1050" s="41">
        <v>12334.65</v>
      </c>
      <c r="F1050" s="40" t="s">
        <v>1067</v>
      </c>
      <c r="G1050" s="41">
        <v>12335.5517</v>
      </c>
      <c r="H1050" s="40"/>
      <c r="I1050" s="41"/>
      <c r="J1050" s="41">
        <f t="shared" si="4"/>
        <v>12335.100849999999</v>
      </c>
      <c r="K1050" s="42" t="s">
        <v>5796</v>
      </c>
      <c r="L1050" s="39">
        <v>353</v>
      </c>
    </row>
    <row r="1051" spans="1:12" ht="11.25" customHeight="1">
      <c r="A1051" s="39">
        <v>2097</v>
      </c>
      <c r="B1051" s="40" t="s">
        <v>12289</v>
      </c>
      <c r="C1051" s="40" t="s">
        <v>12290</v>
      </c>
      <c r="D1051" s="40" t="s">
        <v>4873</v>
      </c>
      <c r="E1051" s="41">
        <v>163.04</v>
      </c>
      <c r="F1051" s="40" t="s">
        <v>4873</v>
      </c>
      <c r="G1051" s="41">
        <v>163.01310000000001</v>
      </c>
      <c r="H1051" s="40"/>
      <c r="I1051" s="41"/>
      <c r="J1051" s="41">
        <f t="shared" si="4"/>
        <v>163.02654999999999</v>
      </c>
      <c r="K1051" s="42" t="s">
        <v>5796</v>
      </c>
      <c r="L1051" s="39">
        <v>2097</v>
      </c>
    </row>
    <row r="1052" spans="1:12" ht="11.25" customHeight="1">
      <c r="A1052" s="39">
        <v>1107</v>
      </c>
      <c r="B1052" s="40" t="s">
        <v>12291</v>
      </c>
      <c r="C1052" s="40" t="s">
        <v>12292</v>
      </c>
      <c r="D1052" s="40" t="s">
        <v>3130</v>
      </c>
      <c r="E1052" s="41">
        <v>1304.52</v>
      </c>
      <c r="F1052" s="40" t="s">
        <v>3130</v>
      </c>
      <c r="G1052" s="41">
        <v>1304.5842</v>
      </c>
      <c r="H1052" s="40"/>
      <c r="I1052" s="41"/>
      <c r="J1052" s="41">
        <f t="shared" si="4"/>
        <v>1304.5520999999999</v>
      </c>
      <c r="K1052" s="42" t="s">
        <v>5796</v>
      </c>
      <c r="L1052" s="39">
        <v>1107</v>
      </c>
    </row>
    <row r="1053" spans="1:12" ht="11.25" customHeight="1">
      <c r="A1053" s="39">
        <v>1174</v>
      </c>
      <c r="B1053" s="40" t="s">
        <v>12293</v>
      </c>
      <c r="C1053" s="40" t="s">
        <v>12294</v>
      </c>
      <c r="D1053" s="40" t="s">
        <v>3283</v>
      </c>
      <c r="E1053" s="41">
        <v>1096.83</v>
      </c>
      <c r="F1053" s="40" t="s">
        <v>3283</v>
      </c>
      <c r="G1053" s="41">
        <v>1097.3672999999999</v>
      </c>
      <c r="H1053" s="40"/>
      <c r="I1053" s="41"/>
      <c r="J1053" s="41">
        <f t="shared" si="4"/>
        <v>1097.0986499999999</v>
      </c>
      <c r="K1053" s="42" t="s">
        <v>5796</v>
      </c>
      <c r="L1053" s="39">
        <v>1174</v>
      </c>
    </row>
    <row r="1054" spans="1:12" ht="11.25" customHeight="1">
      <c r="A1054" s="39">
        <v>1148</v>
      </c>
      <c r="B1054" s="40" t="s">
        <v>12295</v>
      </c>
      <c r="C1054" s="40" t="s">
        <v>12296</v>
      </c>
      <c r="D1054" s="40" t="s">
        <v>3226</v>
      </c>
      <c r="E1054" s="41">
        <v>1189.58</v>
      </c>
      <c r="F1054" s="40" t="s">
        <v>3226</v>
      </c>
      <c r="G1054" s="41">
        <v>1189.7569000000001</v>
      </c>
      <c r="H1054" s="40"/>
      <c r="I1054" s="41"/>
      <c r="J1054" s="41">
        <f t="shared" si="4"/>
        <v>1189.6684500000001</v>
      </c>
      <c r="K1054" s="42" t="s">
        <v>5796</v>
      </c>
      <c r="L1054" s="39">
        <v>1148</v>
      </c>
    </row>
    <row r="1055" spans="1:12" ht="11.25" customHeight="1">
      <c r="A1055" s="39">
        <v>585</v>
      </c>
      <c r="B1055" s="40" t="s">
        <v>6492</v>
      </c>
      <c r="C1055" s="40" t="s">
        <v>12297</v>
      </c>
      <c r="D1055" s="40" t="s">
        <v>12298</v>
      </c>
      <c r="E1055" s="41">
        <v>5695.86</v>
      </c>
      <c r="F1055" s="40" t="s">
        <v>1730</v>
      </c>
      <c r="G1055" s="41">
        <v>5696.1189000000004</v>
      </c>
      <c r="H1055" s="40"/>
      <c r="I1055" s="41"/>
      <c r="J1055" s="41">
        <f t="shared" si="4"/>
        <v>5695.98945</v>
      </c>
      <c r="K1055" s="42" t="s">
        <v>5796</v>
      </c>
      <c r="L1055" s="39">
        <v>585</v>
      </c>
    </row>
    <row r="1056" spans="1:12" ht="11.25" customHeight="1">
      <c r="A1056" s="47">
        <v>89</v>
      </c>
      <c r="B1056" s="48" t="s">
        <v>12299</v>
      </c>
      <c r="C1056" s="48" t="s">
        <v>12300</v>
      </c>
      <c r="D1056" s="48" t="s">
        <v>281</v>
      </c>
      <c r="E1056" s="49">
        <v>73109.02</v>
      </c>
      <c r="F1056" s="48" t="s">
        <v>281</v>
      </c>
      <c r="G1056" s="49">
        <v>73119.747199999998</v>
      </c>
      <c r="H1056" s="48"/>
      <c r="I1056" s="49"/>
      <c r="J1056" s="49">
        <f t="shared" si="4"/>
        <v>73114.383600000001</v>
      </c>
      <c r="K1056" s="50" t="s">
        <v>5815</v>
      </c>
      <c r="L1056" s="47">
        <v>89</v>
      </c>
    </row>
    <row r="1057" spans="1:12" ht="11.25" customHeight="1">
      <c r="A1057" s="39">
        <v>1862</v>
      </c>
      <c r="B1057" s="40" t="s">
        <v>12301</v>
      </c>
      <c r="C1057" s="40" t="s">
        <v>12302</v>
      </c>
      <c r="D1057" s="40" t="s">
        <v>4552</v>
      </c>
      <c r="E1057" s="41">
        <v>241.72</v>
      </c>
      <c r="F1057" s="40" t="s">
        <v>4552</v>
      </c>
      <c r="G1057" s="41">
        <v>241.20169999999999</v>
      </c>
      <c r="H1057" s="40"/>
      <c r="I1057" s="41"/>
      <c r="J1057" s="41">
        <f t="shared" si="4"/>
        <v>241.46084999999999</v>
      </c>
      <c r="K1057" s="42" t="s">
        <v>5796</v>
      </c>
      <c r="L1057" s="39">
        <v>1862</v>
      </c>
    </row>
    <row r="1058" spans="1:12" ht="11.25" customHeight="1">
      <c r="A1058" s="39">
        <v>876</v>
      </c>
      <c r="B1058" s="40" t="s">
        <v>12303</v>
      </c>
      <c r="C1058" s="40" t="s">
        <v>12304</v>
      </c>
      <c r="D1058" s="40" t="s">
        <v>2542</v>
      </c>
      <c r="E1058" s="41">
        <v>2308.08</v>
      </c>
      <c r="F1058" s="40" t="s">
        <v>2542</v>
      </c>
      <c r="G1058" s="41">
        <v>2308.1414</v>
      </c>
      <c r="H1058" s="40"/>
      <c r="I1058" s="41"/>
      <c r="J1058" s="41">
        <f t="shared" si="4"/>
        <v>2308.1107000000002</v>
      </c>
      <c r="K1058" s="42" t="s">
        <v>5796</v>
      </c>
      <c r="L1058" s="39">
        <v>876</v>
      </c>
    </row>
    <row r="1059" spans="1:12" ht="11.25" customHeight="1">
      <c r="A1059" s="39">
        <v>1683</v>
      </c>
      <c r="B1059" s="40" t="s">
        <v>12305</v>
      </c>
      <c r="C1059" s="40" t="s">
        <v>12306</v>
      </c>
      <c r="D1059" s="40" t="s">
        <v>4303</v>
      </c>
      <c r="E1059" s="41">
        <v>338.94</v>
      </c>
      <c r="F1059" s="40" t="s">
        <v>4303</v>
      </c>
      <c r="G1059" s="41">
        <v>338.96530000000001</v>
      </c>
      <c r="H1059" s="40"/>
      <c r="I1059" s="41"/>
      <c r="J1059" s="41">
        <f t="shared" si="4"/>
        <v>338.95265000000001</v>
      </c>
      <c r="K1059" s="42" t="s">
        <v>5796</v>
      </c>
      <c r="L1059" s="39">
        <v>1683</v>
      </c>
    </row>
    <row r="1060" spans="1:12" ht="11.25" customHeight="1">
      <c r="A1060" s="39">
        <v>2621</v>
      </c>
      <c r="B1060" s="40" t="s">
        <v>12307</v>
      </c>
      <c r="C1060" s="40" t="s">
        <v>12308</v>
      </c>
      <c r="D1060" s="40" t="s">
        <v>5394</v>
      </c>
      <c r="E1060" s="41">
        <v>66.459999999999994</v>
      </c>
      <c r="F1060" s="40" t="s">
        <v>5394</v>
      </c>
      <c r="G1060" s="41">
        <v>66.265600000000006</v>
      </c>
      <c r="H1060" s="40"/>
      <c r="I1060" s="41"/>
      <c r="J1060" s="41">
        <f t="shared" si="4"/>
        <v>66.362799999999993</v>
      </c>
      <c r="K1060" s="42" t="s">
        <v>5796</v>
      </c>
      <c r="L1060" s="39">
        <v>2621</v>
      </c>
    </row>
    <row r="1061" spans="1:12" ht="11.25" customHeight="1">
      <c r="A1061" s="43">
        <v>198</v>
      </c>
      <c r="B1061" s="44" t="s">
        <v>12309</v>
      </c>
      <c r="C1061" s="44" t="s">
        <v>12310</v>
      </c>
      <c r="D1061" s="44" t="s">
        <v>605</v>
      </c>
      <c r="E1061" s="45">
        <v>31433.85</v>
      </c>
      <c r="F1061" s="44" t="s">
        <v>605</v>
      </c>
      <c r="G1061" s="45">
        <v>31448.0743</v>
      </c>
      <c r="H1061" s="44"/>
      <c r="I1061" s="45"/>
      <c r="J1061" s="45">
        <f t="shared" si="4"/>
        <v>31440.962149999999</v>
      </c>
      <c r="K1061" s="46" t="s">
        <v>5800</v>
      </c>
      <c r="L1061" s="43">
        <v>198</v>
      </c>
    </row>
    <row r="1062" spans="1:12" ht="11.25" customHeight="1">
      <c r="A1062" s="39">
        <v>407</v>
      </c>
      <c r="B1062" s="40" t="s">
        <v>12311</v>
      </c>
      <c r="C1062" s="40" t="s">
        <v>12312</v>
      </c>
      <c r="D1062" s="40" t="s">
        <v>1226</v>
      </c>
      <c r="E1062" s="41">
        <v>9958.43</v>
      </c>
      <c r="F1062" s="40" t="s">
        <v>1226</v>
      </c>
      <c r="G1062" s="41">
        <v>9943.5535</v>
      </c>
      <c r="H1062" s="40"/>
      <c r="I1062" s="41"/>
      <c r="J1062" s="41">
        <f t="shared" si="4"/>
        <v>9950.991750000001</v>
      </c>
      <c r="K1062" s="42" t="s">
        <v>5796</v>
      </c>
      <c r="L1062" s="39">
        <v>407</v>
      </c>
    </row>
    <row r="1063" spans="1:12" ht="11.25" customHeight="1">
      <c r="A1063" s="39">
        <v>1796</v>
      </c>
      <c r="B1063" s="40" t="s">
        <v>12313</v>
      </c>
      <c r="C1063" s="40" t="s">
        <v>12314</v>
      </c>
      <c r="D1063" s="40" t="s">
        <v>4471</v>
      </c>
      <c r="E1063" s="41">
        <v>272.60000000000002</v>
      </c>
      <c r="F1063" s="40" t="s">
        <v>4471</v>
      </c>
      <c r="G1063" s="41">
        <v>272.44139999999999</v>
      </c>
      <c r="H1063" s="40"/>
      <c r="I1063" s="41"/>
      <c r="J1063" s="41">
        <f t="shared" si="4"/>
        <v>272.52070000000003</v>
      </c>
      <c r="K1063" s="42" t="s">
        <v>5796</v>
      </c>
      <c r="L1063" s="39">
        <v>1796</v>
      </c>
    </row>
    <row r="1064" spans="1:12" ht="11.25" customHeight="1">
      <c r="A1064" s="39">
        <v>961</v>
      </c>
      <c r="B1064" s="40" t="s">
        <v>12315</v>
      </c>
      <c r="C1064" s="40" t="s">
        <v>12316</v>
      </c>
      <c r="D1064" s="40" t="s">
        <v>2761</v>
      </c>
      <c r="E1064" s="41">
        <v>1893.47</v>
      </c>
      <c r="F1064" s="40" t="s">
        <v>2761</v>
      </c>
      <c r="G1064" s="41">
        <v>1893.5913</v>
      </c>
      <c r="H1064" s="40"/>
      <c r="I1064" s="41"/>
      <c r="J1064" s="41">
        <f t="shared" si="4"/>
        <v>1893.5306500000002</v>
      </c>
      <c r="K1064" s="42" t="s">
        <v>5796</v>
      </c>
      <c r="L1064" s="39">
        <v>961</v>
      </c>
    </row>
    <row r="1065" spans="1:12" ht="11.25" customHeight="1">
      <c r="A1065" s="47">
        <v>92</v>
      </c>
      <c r="B1065" s="48" t="s">
        <v>12317</v>
      </c>
      <c r="C1065" s="48" t="s">
        <v>12318</v>
      </c>
      <c r="D1065" s="48" t="s">
        <v>290</v>
      </c>
      <c r="E1065" s="49">
        <v>70878.399999999994</v>
      </c>
      <c r="F1065" s="48" t="s">
        <v>290</v>
      </c>
      <c r="G1065" s="49">
        <v>70885.067200000005</v>
      </c>
      <c r="H1065" s="48"/>
      <c r="I1065" s="49"/>
      <c r="J1065" s="49">
        <f t="shared" si="4"/>
        <v>70881.733600000007</v>
      </c>
      <c r="K1065" s="50" t="s">
        <v>5815</v>
      </c>
      <c r="L1065" s="47">
        <v>92</v>
      </c>
    </row>
    <row r="1066" spans="1:12" ht="11.25" customHeight="1">
      <c r="A1066" s="39">
        <v>1248</v>
      </c>
      <c r="B1066" s="40" t="s">
        <v>12319</v>
      </c>
      <c r="C1066" s="40" t="s">
        <v>12320</v>
      </c>
      <c r="D1066" s="40"/>
      <c r="E1066" s="41"/>
      <c r="F1066" s="40" t="s">
        <v>3454</v>
      </c>
      <c r="G1066" s="41">
        <v>920.84960000000001</v>
      </c>
      <c r="H1066" s="40"/>
      <c r="I1066" s="41"/>
      <c r="J1066" s="41">
        <f t="shared" si="4"/>
        <v>920.84960000000001</v>
      </c>
      <c r="K1066" s="42" t="s">
        <v>5796</v>
      </c>
      <c r="L1066" s="39">
        <v>1248</v>
      </c>
    </row>
    <row r="1067" spans="1:12" ht="11.25" customHeight="1">
      <c r="A1067" s="39">
        <v>595</v>
      </c>
      <c r="B1067" s="40" t="s">
        <v>12321</v>
      </c>
      <c r="C1067" s="40" t="s">
        <v>12322</v>
      </c>
      <c r="D1067" s="40" t="s">
        <v>1757</v>
      </c>
      <c r="E1067" s="41">
        <v>5474</v>
      </c>
      <c r="F1067" s="40" t="s">
        <v>1757</v>
      </c>
      <c r="G1067" s="41">
        <v>5477.0221000000001</v>
      </c>
      <c r="H1067" s="40"/>
      <c r="I1067" s="41"/>
      <c r="J1067" s="41">
        <f t="shared" si="4"/>
        <v>5475.5110500000001</v>
      </c>
      <c r="K1067" s="42" t="s">
        <v>5796</v>
      </c>
      <c r="L1067" s="39">
        <v>595</v>
      </c>
    </row>
    <row r="1068" spans="1:12" ht="11.25" customHeight="1">
      <c r="A1068" s="39">
        <v>2322</v>
      </c>
      <c r="B1068" s="40" t="s">
        <v>12323</v>
      </c>
      <c r="C1068" s="40" t="s">
        <v>12324</v>
      </c>
      <c r="D1068" s="40"/>
      <c r="E1068" s="41"/>
      <c r="F1068" s="40" t="s">
        <v>5155</v>
      </c>
      <c r="G1068" s="41">
        <v>108.6754</v>
      </c>
      <c r="H1068" s="40"/>
      <c r="I1068" s="41"/>
      <c r="J1068" s="41">
        <f t="shared" si="4"/>
        <v>108.6754</v>
      </c>
      <c r="K1068" s="42" t="s">
        <v>5796</v>
      </c>
      <c r="L1068" s="39">
        <v>2322</v>
      </c>
    </row>
    <row r="1069" spans="1:12" ht="11.25" customHeight="1">
      <c r="A1069" s="47">
        <v>17</v>
      </c>
      <c r="B1069" s="48" t="s">
        <v>12325</v>
      </c>
      <c r="C1069" s="48" t="s">
        <v>12326</v>
      </c>
      <c r="D1069" s="48" t="s">
        <v>57</v>
      </c>
      <c r="E1069" s="49">
        <v>307423.59000000003</v>
      </c>
      <c r="F1069" s="48" t="s">
        <v>57</v>
      </c>
      <c r="G1069" s="49">
        <v>307144.37270000001</v>
      </c>
      <c r="H1069" s="48"/>
      <c r="I1069" s="49"/>
      <c r="J1069" s="49">
        <f t="shared" si="4"/>
        <v>307283.98135000002</v>
      </c>
      <c r="K1069" s="50" t="s">
        <v>5815</v>
      </c>
      <c r="L1069" s="47">
        <v>17</v>
      </c>
    </row>
    <row r="1070" spans="1:12" ht="11.25" customHeight="1">
      <c r="A1070" s="39">
        <v>638</v>
      </c>
      <c r="B1070" s="40" t="s">
        <v>12327</v>
      </c>
      <c r="C1070" s="40" t="s">
        <v>12328</v>
      </c>
      <c r="D1070" s="40" t="s">
        <v>1883</v>
      </c>
      <c r="E1070" s="41">
        <v>4659.38</v>
      </c>
      <c r="F1070" s="40" t="s">
        <v>1883</v>
      </c>
      <c r="G1070" s="41">
        <v>4661.0015000000003</v>
      </c>
      <c r="H1070" s="40"/>
      <c r="I1070" s="41"/>
      <c r="J1070" s="41">
        <f t="shared" si="4"/>
        <v>4660.1907499999998</v>
      </c>
      <c r="K1070" s="42" t="s">
        <v>5796</v>
      </c>
      <c r="L1070" s="39">
        <v>638</v>
      </c>
    </row>
    <row r="1071" spans="1:12" ht="11.25" customHeight="1">
      <c r="A1071" s="39">
        <v>3486</v>
      </c>
      <c r="B1071" s="40" t="s">
        <v>12329</v>
      </c>
      <c r="C1071" s="40" t="s">
        <v>12330</v>
      </c>
      <c r="D1071" s="40"/>
      <c r="E1071" s="41"/>
      <c r="F1071" s="40" t="s">
        <v>5697</v>
      </c>
      <c r="G1071" s="41">
        <v>18.390599999999999</v>
      </c>
      <c r="H1071" s="40"/>
      <c r="I1071" s="41"/>
      <c r="J1071" s="41">
        <f t="shared" si="4"/>
        <v>18.390599999999999</v>
      </c>
      <c r="K1071" s="42" t="s">
        <v>5796</v>
      </c>
      <c r="L1071" s="39">
        <v>3486</v>
      </c>
    </row>
    <row r="1072" spans="1:12" ht="11.25" customHeight="1">
      <c r="A1072" s="39">
        <v>521</v>
      </c>
      <c r="B1072" s="40" t="s">
        <v>12331</v>
      </c>
      <c r="C1072" s="40" t="s">
        <v>12332</v>
      </c>
      <c r="D1072" s="40" t="s">
        <v>1550</v>
      </c>
      <c r="E1072" s="41">
        <v>7025.65</v>
      </c>
      <c r="F1072" s="40" t="s">
        <v>1550</v>
      </c>
      <c r="G1072" s="41">
        <v>7020.6923999999999</v>
      </c>
      <c r="H1072" s="40"/>
      <c r="I1072" s="41"/>
      <c r="J1072" s="41">
        <f t="shared" si="4"/>
        <v>7023.1711999999998</v>
      </c>
      <c r="K1072" s="42" t="s">
        <v>5796</v>
      </c>
      <c r="L1072" s="39">
        <v>521</v>
      </c>
    </row>
    <row r="1073" spans="1:12" ht="11.25" customHeight="1">
      <c r="A1073" s="39">
        <v>1097</v>
      </c>
      <c r="B1073" s="40" t="s">
        <v>12333</v>
      </c>
      <c r="C1073" s="40" t="s">
        <v>12334</v>
      </c>
      <c r="D1073" s="40" t="s">
        <v>3109</v>
      </c>
      <c r="E1073" s="41">
        <v>1331.34</v>
      </c>
      <c r="F1073" s="40" t="s">
        <v>3109</v>
      </c>
      <c r="G1073" s="41">
        <v>1331.4137000000001</v>
      </c>
      <c r="H1073" s="40"/>
      <c r="I1073" s="41"/>
      <c r="J1073" s="41">
        <f t="shared" si="4"/>
        <v>1331.3768500000001</v>
      </c>
      <c r="K1073" s="42" t="s">
        <v>5796</v>
      </c>
      <c r="L1073" s="39">
        <v>1097</v>
      </c>
    </row>
    <row r="1074" spans="1:12" ht="11.25" customHeight="1">
      <c r="A1074" s="39">
        <v>1615</v>
      </c>
      <c r="B1074" s="40" t="s">
        <v>12335</v>
      </c>
      <c r="C1074" s="40" t="s">
        <v>12336</v>
      </c>
      <c r="D1074" s="40" t="s">
        <v>4183</v>
      </c>
      <c r="E1074" s="41">
        <v>398.76</v>
      </c>
      <c r="F1074" s="40" t="s">
        <v>4183</v>
      </c>
      <c r="G1074" s="41">
        <v>398.78219999999999</v>
      </c>
      <c r="H1074" s="40"/>
      <c r="I1074" s="41"/>
      <c r="J1074" s="41">
        <f t="shared" si="4"/>
        <v>398.77109999999999</v>
      </c>
      <c r="K1074" s="42" t="s">
        <v>5796</v>
      </c>
      <c r="L1074" s="39">
        <v>1615</v>
      </c>
    </row>
    <row r="1075" spans="1:12" ht="11.25" customHeight="1">
      <c r="A1075" s="39">
        <v>656</v>
      </c>
      <c r="B1075" s="40" t="s">
        <v>12337</v>
      </c>
      <c r="C1075" s="40" t="s">
        <v>12338</v>
      </c>
      <c r="D1075" s="40" t="s">
        <v>1922</v>
      </c>
      <c r="E1075" s="41">
        <v>4386.46</v>
      </c>
      <c r="F1075" s="40" t="s">
        <v>1922</v>
      </c>
      <c r="G1075" s="41">
        <v>4384.866</v>
      </c>
      <c r="H1075" s="40"/>
      <c r="I1075" s="41"/>
      <c r="J1075" s="41">
        <f t="shared" si="4"/>
        <v>4385.6630000000005</v>
      </c>
      <c r="K1075" s="42" t="s">
        <v>5796</v>
      </c>
      <c r="L1075" s="39">
        <v>656</v>
      </c>
    </row>
    <row r="1076" spans="1:12" ht="11.25" customHeight="1">
      <c r="A1076" s="43">
        <v>109</v>
      </c>
      <c r="B1076" s="44" t="s">
        <v>12339</v>
      </c>
      <c r="C1076" s="44" t="s">
        <v>12340</v>
      </c>
      <c r="D1076" s="44" t="s">
        <v>341</v>
      </c>
      <c r="E1076" s="45">
        <v>58149.48</v>
      </c>
      <c r="F1076" s="44" t="s">
        <v>341</v>
      </c>
      <c r="G1076" s="45">
        <v>58141.035100000001</v>
      </c>
      <c r="H1076" s="44"/>
      <c r="I1076" s="45"/>
      <c r="J1076" s="45">
        <f t="shared" si="4"/>
        <v>58145.257550000002</v>
      </c>
      <c r="K1076" s="46" t="s">
        <v>5800</v>
      </c>
      <c r="L1076" s="43">
        <v>109</v>
      </c>
    </row>
    <row r="1077" spans="1:12" ht="11.25" customHeight="1">
      <c r="A1077" s="39">
        <v>1400</v>
      </c>
      <c r="B1077" s="40" t="s">
        <v>12341</v>
      </c>
      <c r="C1077" s="40" t="s">
        <v>12342</v>
      </c>
      <c r="D1077" s="40" t="s">
        <v>12343</v>
      </c>
      <c r="E1077" s="41">
        <v>644.08000000000004</v>
      </c>
      <c r="F1077" s="40" t="s">
        <v>3778</v>
      </c>
      <c r="G1077" s="41">
        <v>644.03290000000004</v>
      </c>
      <c r="H1077" s="40"/>
      <c r="I1077" s="41"/>
      <c r="J1077" s="41">
        <f t="shared" si="4"/>
        <v>644.05645000000004</v>
      </c>
      <c r="K1077" s="42" t="s">
        <v>5796</v>
      </c>
      <c r="L1077" s="39">
        <v>1400</v>
      </c>
    </row>
    <row r="1078" spans="1:12" ht="11.25" customHeight="1">
      <c r="A1078" s="39">
        <v>874</v>
      </c>
      <c r="B1078" s="40" t="s">
        <v>12344</v>
      </c>
      <c r="C1078" s="40" t="s">
        <v>12345</v>
      </c>
      <c r="D1078" s="40" t="s">
        <v>2536</v>
      </c>
      <c r="E1078" s="41">
        <v>2330.29</v>
      </c>
      <c r="F1078" s="40" t="s">
        <v>2536</v>
      </c>
      <c r="G1078" s="41">
        <v>2330.6327000000001</v>
      </c>
      <c r="H1078" s="40"/>
      <c r="I1078" s="41"/>
      <c r="J1078" s="41">
        <f t="shared" si="4"/>
        <v>2330.46135</v>
      </c>
      <c r="K1078" s="42" t="s">
        <v>5796</v>
      </c>
      <c r="L1078" s="39">
        <v>874</v>
      </c>
    </row>
    <row r="1079" spans="1:12" ht="11.25" customHeight="1">
      <c r="A1079" s="39">
        <v>1562</v>
      </c>
      <c r="B1079" s="40" t="s">
        <v>12346</v>
      </c>
      <c r="C1079" s="40" t="s">
        <v>12347</v>
      </c>
      <c r="D1079" s="40" t="s">
        <v>12348</v>
      </c>
      <c r="E1079" s="41">
        <v>446.55</v>
      </c>
      <c r="F1079" s="40" t="s">
        <v>4084</v>
      </c>
      <c r="G1079" s="41">
        <v>446.60169999999999</v>
      </c>
      <c r="H1079" s="40"/>
      <c r="I1079" s="41"/>
      <c r="J1079" s="41">
        <f t="shared" si="4"/>
        <v>446.57585</v>
      </c>
      <c r="K1079" s="42" t="s">
        <v>5796</v>
      </c>
      <c r="L1079" s="39">
        <v>1562</v>
      </c>
    </row>
    <row r="1080" spans="1:12" ht="11.25" customHeight="1">
      <c r="A1080" s="43">
        <v>164</v>
      </c>
      <c r="B1080" s="44" t="s">
        <v>12349</v>
      </c>
      <c r="C1080" s="44" t="s">
        <v>12350</v>
      </c>
      <c r="D1080" s="44" t="s">
        <v>503</v>
      </c>
      <c r="E1080" s="45">
        <v>39639.75</v>
      </c>
      <c r="F1080" s="44" t="s">
        <v>503</v>
      </c>
      <c r="G1080" s="45">
        <v>39647.8868</v>
      </c>
      <c r="H1080" s="44"/>
      <c r="I1080" s="45"/>
      <c r="J1080" s="45">
        <f t="shared" si="4"/>
        <v>39643.818400000004</v>
      </c>
      <c r="K1080" s="46" t="s">
        <v>5800</v>
      </c>
      <c r="L1080" s="43">
        <v>164</v>
      </c>
    </row>
    <row r="1081" spans="1:12" ht="11.25" customHeight="1">
      <c r="A1081" s="39">
        <v>835</v>
      </c>
      <c r="B1081" s="40" t="s">
        <v>12351</v>
      </c>
      <c r="C1081" s="40" t="s">
        <v>12352</v>
      </c>
      <c r="D1081" s="40"/>
      <c r="E1081" s="41"/>
      <c r="F1081" s="40" t="s">
        <v>2425</v>
      </c>
      <c r="G1081" s="41">
        <v>2623.9180999999999</v>
      </c>
      <c r="H1081" s="40"/>
      <c r="I1081" s="41"/>
      <c r="J1081" s="41">
        <f t="shared" si="4"/>
        <v>2623.9180999999999</v>
      </c>
      <c r="K1081" s="42" t="s">
        <v>5796</v>
      </c>
      <c r="L1081" s="39">
        <v>835</v>
      </c>
    </row>
    <row r="1082" spans="1:12" ht="11.25" customHeight="1">
      <c r="A1082" s="39">
        <v>2568</v>
      </c>
      <c r="B1082" s="40" t="s">
        <v>12353</v>
      </c>
      <c r="C1082" s="40" t="s">
        <v>12354</v>
      </c>
      <c r="D1082" s="40" t="s">
        <v>6509</v>
      </c>
      <c r="E1082" s="41">
        <v>73.760000000000005</v>
      </c>
      <c r="F1082" s="40" t="s">
        <v>6509</v>
      </c>
      <c r="G1082" s="41">
        <v>71.859499999999997</v>
      </c>
      <c r="H1082" s="40"/>
      <c r="I1082" s="41"/>
      <c r="J1082" s="41">
        <f t="shared" si="4"/>
        <v>72.809750000000008</v>
      </c>
      <c r="K1082" s="42" t="s">
        <v>5796</v>
      </c>
      <c r="L1082" s="39">
        <v>2568</v>
      </c>
    </row>
    <row r="1083" spans="1:12" ht="11.25" customHeight="1">
      <c r="A1083" s="39">
        <v>1694</v>
      </c>
      <c r="B1083" s="40" t="s">
        <v>12355</v>
      </c>
      <c r="C1083" s="40" t="s">
        <v>12356</v>
      </c>
      <c r="D1083" s="40" t="s">
        <v>4330</v>
      </c>
      <c r="E1083" s="41">
        <v>335.02</v>
      </c>
      <c r="F1083" s="40" t="s">
        <v>4330</v>
      </c>
      <c r="G1083" s="41">
        <v>333.71109999999999</v>
      </c>
      <c r="H1083" s="40"/>
      <c r="I1083" s="41"/>
      <c r="J1083" s="41">
        <f t="shared" si="4"/>
        <v>334.36554999999998</v>
      </c>
      <c r="K1083" s="42" t="s">
        <v>5796</v>
      </c>
      <c r="L1083" s="39">
        <v>1694</v>
      </c>
    </row>
    <row r="1084" spans="1:12" ht="11.25" customHeight="1">
      <c r="A1084" s="47">
        <v>85</v>
      </c>
      <c r="B1084" s="48" t="s">
        <v>12357</v>
      </c>
      <c r="C1084" s="48" t="s">
        <v>12358</v>
      </c>
      <c r="D1084" s="48" t="s">
        <v>12359</v>
      </c>
      <c r="E1084" s="49">
        <v>74655.199999999997</v>
      </c>
      <c r="F1084" s="48" t="s">
        <v>269</v>
      </c>
      <c r="G1084" s="49">
        <v>74662.946299999996</v>
      </c>
      <c r="H1084" s="48"/>
      <c r="I1084" s="49"/>
      <c r="J1084" s="49">
        <f t="shared" si="4"/>
        <v>74659.073149999997</v>
      </c>
      <c r="K1084" s="50" t="s">
        <v>5815</v>
      </c>
      <c r="L1084" s="47">
        <v>85</v>
      </c>
    </row>
    <row r="1085" spans="1:12" ht="11.25" customHeight="1">
      <c r="A1085" s="39">
        <v>2493</v>
      </c>
      <c r="B1085" s="40" t="s">
        <v>12360</v>
      </c>
      <c r="C1085" s="40" t="s">
        <v>12361</v>
      </c>
      <c r="D1085" s="40"/>
      <c r="E1085" s="41"/>
      <c r="F1085" s="40" t="s">
        <v>5289</v>
      </c>
      <c r="G1085" s="41">
        <v>82.912499999999994</v>
      </c>
      <c r="H1085" s="40"/>
      <c r="I1085" s="41"/>
      <c r="J1085" s="41">
        <f t="shared" si="4"/>
        <v>82.912499999999994</v>
      </c>
      <c r="K1085" s="42" t="s">
        <v>5796</v>
      </c>
      <c r="L1085" s="39">
        <v>2493</v>
      </c>
    </row>
    <row r="1086" spans="1:12" ht="11.25" customHeight="1">
      <c r="A1086" s="39">
        <v>1898</v>
      </c>
      <c r="B1086" s="40" t="s">
        <v>12362</v>
      </c>
      <c r="C1086" s="40" t="s">
        <v>12363</v>
      </c>
      <c r="D1086" s="40" t="s">
        <v>4606</v>
      </c>
      <c r="E1086" s="41">
        <v>221.56</v>
      </c>
      <c r="F1086" s="40" t="s">
        <v>4606</v>
      </c>
      <c r="G1086" s="41">
        <v>221.53880000000001</v>
      </c>
      <c r="H1086" s="40"/>
      <c r="I1086" s="41"/>
      <c r="J1086" s="41">
        <f t="shared" si="4"/>
        <v>221.54939999999999</v>
      </c>
      <c r="K1086" s="42" t="s">
        <v>5796</v>
      </c>
      <c r="L1086" s="39">
        <v>1898</v>
      </c>
    </row>
    <row r="1087" spans="1:12" ht="11.25" customHeight="1">
      <c r="A1087" s="39">
        <v>259</v>
      </c>
      <c r="B1087" s="40" t="s">
        <v>12364</v>
      </c>
      <c r="C1087" s="40" t="s">
        <v>12365</v>
      </c>
      <c r="D1087" s="40" t="s">
        <v>788</v>
      </c>
      <c r="E1087" s="41">
        <v>20883</v>
      </c>
      <c r="F1087" s="40" t="s">
        <v>788</v>
      </c>
      <c r="G1087" s="41">
        <v>20880.7091</v>
      </c>
      <c r="H1087" s="40"/>
      <c r="I1087" s="41"/>
      <c r="J1087" s="41">
        <f t="shared" si="4"/>
        <v>20881.85455</v>
      </c>
      <c r="K1087" s="42" t="s">
        <v>5796</v>
      </c>
      <c r="L1087" s="39">
        <v>259</v>
      </c>
    </row>
    <row r="1088" spans="1:12" ht="11.25" customHeight="1">
      <c r="A1088" s="39">
        <v>1275</v>
      </c>
      <c r="B1088" s="40" t="s">
        <v>12366</v>
      </c>
      <c r="C1088" s="40" t="s">
        <v>12367</v>
      </c>
      <c r="D1088" s="40" t="s">
        <v>3508</v>
      </c>
      <c r="E1088" s="41">
        <v>859.93</v>
      </c>
      <c r="F1088" s="40" t="s">
        <v>3508</v>
      </c>
      <c r="G1088" s="41">
        <v>859.71420000000001</v>
      </c>
      <c r="H1088" s="40"/>
      <c r="I1088" s="41"/>
      <c r="J1088" s="41">
        <f t="shared" si="4"/>
        <v>859.82209999999998</v>
      </c>
      <c r="K1088" s="42" t="s">
        <v>5796</v>
      </c>
      <c r="L1088" s="39">
        <v>1275</v>
      </c>
    </row>
    <row r="1089" spans="1:12" ht="11.25" customHeight="1">
      <c r="A1089" s="39">
        <v>1406</v>
      </c>
      <c r="B1089" s="40" t="s">
        <v>6514</v>
      </c>
      <c r="C1089" s="40" t="s">
        <v>12368</v>
      </c>
      <c r="D1089" s="40" t="s">
        <v>3787</v>
      </c>
      <c r="E1089" s="41">
        <v>639.54999999999995</v>
      </c>
      <c r="F1089" s="40" t="s">
        <v>3787</v>
      </c>
      <c r="G1089" s="41">
        <v>640.26840000000004</v>
      </c>
      <c r="H1089" s="40"/>
      <c r="I1089" s="41"/>
      <c r="J1089" s="41">
        <f t="shared" si="4"/>
        <v>639.90920000000006</v>
      </c>
      <c r="K1089" s="42" t="s">
        <v>5796</v>
      </c>
      <c r="L1089" s="39">
        <v>1406</v>
      </c>
    </row>
    <row r="1090" spans="1:12" ht="11.25" customHeight="1">
      <c r="A1090" s="39">
        <v>416</v>
      </c>
      <c r="B1090" s="40" t="s">
        <v>12369</v>
      </c>
      <c r="C1090" s="40" t="s">
        <v>12370</v>
      </c>
      <c r="D1090" s="40" t="s">
        <v>1250</v>
      </c>
      <c r="E1090" s="41">
        <v>9800.2000000000007</v>
      </c>
      <c r="F1090" s="40" t="s">
        <v>1250</v>
      </c>
      <c r="G1090" s="41">
        <v>9800.8237000000008</v>
      </c>
      <c r="H1090" s="40"/>
      <c r="I1090" s="41"/>
      <c r="J1090" s="41">
        <f t="shared" si="4"/>
        <v>9800.5118500000008</v>
      </c>
      <c r="K1090" s="42" t="s">
        <v>5796</v>
      </c>
      <c r="L1090" s="39">
        <v>416</v>
      </c>
    </row>
    <row r="1091" spans="1:12" ht="11.25" customHeight="1">
      <c r="A1091" s="39">
        <v>1682</v>
      </c>
      <c r="B1091" s="40" t="s">
        <v>12371</v>
      </c>
      <c r="C1091" s="40" t="s">
        <v>12372</v>
      </c>
      <c r="D1091" s="40" t="s">
        <v>4300</v>
      </c>
      <c r="E1091" s="41">
        <v>339.65</v>
      </c>
      <c r="F1091" s="40" t="s">
        <v>4300</v>
      </c>
      <c r="G1091" s="41">
        <v>339.39569999999998</v>
      </c>
      <c r="H1091" s="40"/>
      <c r="I1091" s="41"/>
      <c r="J1091" s="41">
        <f t="shared" si="4"/>
        <v>339.52284999999995</v>
      </c>
      <c r="K1091" s="42" t="s">
        <v>5796</v>
      </c>
      <c r="L1091" s="39">
        <v>1682</v>
      </c>
    </row>
    <row r="1092" spans="1:12" ht="11.25" customHeight="1">
      <c r="A1092" s="39">
        <v>1732</v>
      </c>
      <c r="B1092" s="40" t="s">
        <v>12373</v>
      </c>
      <c r="C1092" s="40" t="s">
        <v>12374</v>
      </c>
      <c r="D1092" s="40" t="s">
        <v>4381</v>
      </c>
      <c r="E1092" s="41">
        <v>311.89999999999998</v>
      </c>
      <c r="F1092" s="40" t="s">
        <v>4381</v>
      </c>
      <c r="G1092" s="41">
        <v>312.06779999999998</v>
      </c>
      <c r="H1092" s="40"/>
      <c r="I1092" s="41"/>
      <c r="J1092" s="41">
        <f t="shared" si="4"/>
        <v>311.98389999999995</v>
      </c>
      <c r="K1092" s="42" t="s">
        <v>5796</v>
      </c>
      <c r="L1092" s="39">
        <v>1732</v>
      </c>
    </row>
    <row r="1093" spans="1:12" ht="11.25" customHeight="1">
      <c r="A1093" s="39">
        <v>4488</v>
      </c>
      <c r="B1093" s="40" t="s">
        <v>12375</v>
      </c>
      <c r="C1093" s="40" t="s">
        <v>12376</v>
      </c>
      <c r="D1093" s="40" t="s">
        <v>5784</v>
      </c>
      <c r="E1093" s="41">
        <v>3.69</v>
      </c>
      <c r="F1093" s="40" t="s">
        <v>5784</v>
      </c>
      <c r="G1093" s="41">
        <v>3.7534000000000001</v>
      </c>
      <c r="H1093" s="40"/>
      <c r="I1093" s="41"/>
      <c r="J1093" s="41">
        <f t="shared" si="4"/>
        <v>3.7217000000000002</v>
      </c>
      <c r="K1093" s="42" t="s">
        <v>5796</v>
      </c>
      <c r="L1093" s="39">
        <v>4488</v>
      </c>
    </row>
    <row r="1094" spans="1:12" ht="11.25" customHeight="1">
      <c r="A1094" s="39">
        <v>1312</v>
      </c>
      <c r="B1094" s="40" t="s">
        <v>12377</v>
      </c>
      <c r="C1094" s="40" t="s">
        <v>12378</v>
      </c>
      <c r="D1094" s="40" t="s">
        <v>3604</v>
      </c>
      <c r="E1094" s="41">
        <v>789.13</v>
      </c>
      <c r="F1094" s="40" t="s">
        <v>3604</v>
      </c>
      <c r="G1094" s="41">
        <v>789.37540000000001</v>
      </c>
      <c r="H1094" s="40"/>
      <c r="I1094" s="41"/>
      <c r="J1094" s="41">
        <f t="shared" si="4"/>
        <v>789.2527</v>
      </c>
      <c r="K1094" s="42" t="s">
        <v>5796</v>
      </c>
      <c r="L1094" s="39">
        <v>1312</v>
      </c>
    </row>
    <row r="1095" spans="1:12" ht="11.25" customHeight="1">
      <c r="A1095" s="39">
        <v>1883</v>
      </c>
      <c r="B1095" s="40" t="s">
        <v>12379</v>
      </c>
      <c r="C1095" s="40" t="s">
        <v>12380</v>
      </c>
      <c r="D1095" s="40" t="s">
        <v>4582</v>
      </c>
      <c r="E1095" s="41">
        <v>230.64</v>
      </c>
      <c r="F1095" s="40" t="s">
        <v>4582</v>
      </c>
      <c r="G1095" s="41">
        <v>230.46889999999999</v>
      </c>
      <c r="H1095" s="40"/>
      <c r="I1095" s="41"/>
      <c r="J1095" s="41">
        <f t="shared" si="4"/>
        <v>230.55444999999997</v>
      </c>
      <c r="K1095" s="42" t="s">
        <v>5796</v>
      </c>
      <c r="L1095" s="39">
        <v>1883</v>
      </c>
    </row>
    <row r="1096" spans="1:12" ht="11.25" customHeight="1">
      <c r="A1096" s="39">
        <v>3591</v>
      </c>
      <c r="B1096" s="40" t="s">
        <v>12381</v>
      </c>
      <c r="C1096" s="40" t="s">
        <v>12382</v>
      </c>
      <c r="D1096" s="40" t="s">
        <v>6519</v>
      </c>
      <c r="E1096" s="41">
        <v>15.79</v>
      </c>
      <c r="F1096" s="40" t="s">
        <v>6519</v>
      </c>
      <c r="G1096" s="41">
        <v>15.5603</v>
      </c>
      <c r="H1096" s="40"/>
      <c r="I1096" s="41"/>
      <c r="J1096" s="41">
        <f t="shared" si="4"/>
        <v>15.675149999999999</v>
      </c>
      <c r="K1096" s="42" t="s">
        <v>5796</v>
      </c>
      <c r="L1096" s="39">
        <v>3591</v>
      </c>
    </row>
    <row r="1097" spans="1:12" ht="11.25" customHeight="1">
      <c r="A1097" s="43">
        <v>197</v>
      </c>
      <c r="B1097" s="44" t="s">
        <v>12383</v>
      </c>
      <c r="C1097" s="44" t="s">
        <v>12384</v>
      </c>
      <c r="D1097" s="44" t="s">
        <v>602</v>
      </c>
      <c r="E1097" s="45">
        <v>31528.31</v>
      </c>
      <c r="F1097" s="44" t="s">
        <v>602</v>
      </c>
      <c r="G1097" s="45">
        <v>31560.9679</v>
      </c>
      <c r="H1097" s="44"/>
      <c r="I1097" s="45"/>
      <c r="J1097" s="45">
        <f t="shared" si="4"/>
        <v>31544.63895</v>
      </c>
      <c r="K1097" s="46" t="s">
        <v>5800</v>
      </c>
      <c r="L1097" s="43">
        <v>197</v>
      </c>
    </row>
    <row r="1098" spans="1:12" ht="11.25" customHeight="1">
      <c r="A1098" s="39">
        <v>487</v>
      </c>
      <c r="B1098" s="40" t="s">
        <v>12385</v>
      </c>
      <c r="C1098" s="40" t="s">
        <v>12386</v>
      </c>
      <c r="D1098" s="40" t="s">
        <v>1448</v>
      </c>
      <c r="E1098" s="41">
        <v>7628.08</v>
      </c>
      <c r="F1098" s="40" t="s">
        <v>1448</v>
      </c>
      <c r="G1098" s="41">
        <v>7629.3710000000001</v>
      </c>
      <c r="H1098" s="40"/>
      <c r="I1098" s="41"/>
      <c r="J1098" s="41">
        <f t="shared" si="4"/>
        <v>7628.7255000000005</v>
      </c>
      <c r="K1098" s="42" t="s">
        <v>5796</v>
      </c>
      <c r="L1098" s="39">
        <v>487</v>
      </c>
    </row>
    <row r="1099" spans="1:12" ht="11.25" customHeight="1">
      <c r="A1099" s="43">
        <v>199</v>
      </c>
      <c r="B1099" s="44" t="s">
        <v>12387</v>
      </c>
      <c r="C1099" s="44" t="s">
        <v>12388</v>
      </c>
      <c r="D1099" s="44" t="s">
        <v>608</v>
      </c>
      <c r="E1099" s="45">
        <v>31261.41</v>
      </c>
      <c r="F1099" s="44" t="s">
        <v>608</v>
      </c>
      <c r="G1099" s="45">
        <v>31265.2274</v>
      </c>
      <c r="H1099" s="44"/>
      <c r="I1099" s="45"/>
      <c r="J1099" s="45">
        <f t="shared" si="4"/>
        <v>31263.3187</v>
      </c>
      <c r="K1099" s="46" t="s">
        <v>5800</v>
      </c>
      <c r="L1099" s="43">
        <v>199</v>
      </c>
    </row>
    <row r="1100" spans="1:12" ht="11.25" customHeight="1">
      <c r="A1100" s="39">
        <v>1856</v>
      </c>
      <c r="B1100" s="40" t="s">
        <v>12389</v>
      </c>
      <c r="C1100" s="40" t="s">
        <v>12390</v>
      </c>
      <c r="D1100" s="40"/>
      <c r="E1100" s="41"/>
      <c r="F1100" s="40" t="s">
        <v>4549</v>
      </c>
      <c r="G1100" s="41">
        <v>245.7756</v>
      </c>
      <c r="H1100" s="40"/>
      <c r="I1100" s="41"/>
      <c r="J1100" s="41">
        <f t="shared" si="4"/>
        <v>245.7756</v>
      </c>
      <c r="K1100" s="42" t="s">
        <v>5796</v>
      </c>
      <c r="L1100" s="39">
        <v>1856</v>
      </c>
    </row>
    <row r="1101" spans="1:12" ht="11.25" customHeight="1">
      <c r="A1101" s="39">
        <v>393</v>
      </c>
      <c r="B1101" s="40" t="s">
        <v>12391</v>
      </c>
      <c r="C1101" s="40" t="s">
        <v>12392</v>
      </c>
      <c r="D1101" s="40" t="s">
        <v>1187</v>
      </c>
      <c r="E1101" s="41">
        <v>10585.59</v>
      </c>
      <c r="F1101" s="40" t="s">
        <v>1187</v>
      </c>
      <c r="G1101" s="41">
        <v>10586.2654</v>
      </c>
      <c r="H1101" s="40"/>
      <c r="I1101" s="41"/>
      <c r="J1101" s="41">
        <f t="shared" si="4"/>
        <v>10585.9277</v>
      </c>
      <c r="K1101" s="42" t="s">
        <v>5796</v>
      </c>
      <c r="L1101" s="39">
        <v>393</v>
      </c>
    </row>
    <row r="1102" spans="1:12" ht="11.25" customHeight="1">
      <c r="A1102" s="39">
        <v>1927</v>
      </c>
      <c r="B1102" s="40" t="s">
        <v>12393</v>
      </c>
      <c r="C1102" s="40" t="s">
        <v>12394</v>
      </c>
      <c r="D1102" s="40" t="s">
        <v>4639</v>
      </c>
      <c r="E1102" s="41">
        <v>209.52</v>
      </c>
      <c r="F1102" s="40" t="s">
        <v>4639</v>
      </c>
      <c r="G1102" s="41">
        <v>209.3826</v>
      </c>
      <c r="H1102" s="40"/>
      <c r="I1102" s="41"/>
      <c r="J1102" s="41">
        <f t="shared" si="4"/>
        <v>209.4513</v>
      </c>
      <c r="K1102" s="42" t="s">
        <v>5796</v>
      </c>
      <c r="L1102" s="39">
        <v>1927</v>
      </c>
    </row>
    <row r="1103" spans="1:12" ht="11.25" customHeight="1">
      <c r="A1103" s="39">
        <v>483</v>
      </c>
      <c r="B1103" s="40" t="s">
        <v>12395</v>
      </c>
      <c r="C1103" s="40" t="s">
        <v>12396</v>
      </c>
      <c r="D1103" s="40" t="s">
        <v>1436</v>
      </c>
      <c r="E1103" s="41">
        <v>7715.33</v>
      </c>
      <c r="F1103" s="40" t="s">
        <v>1436</v>
      </c>
      <c r="G1103" s="41">
        <v>7712.3308999999999</v>
      </c>
      <c r="H1103" s="40"/>
      <c r="I1103" s="41"/>
      <c r="J1103" s="41">
        <f t="shared" si="4"/>
        <v>7713.8304499999995</v>
      </c>
      <c r="K1103" s="42" t="s">
        <v>5796</v>
      </c>
      <c r="L1103" s="39">
        <v>483</v>
      </c>
    </row>
    <row r="1104" spans="1:12" ht="11.25" customHeight="1">
      <c r="A1104" s="39">
        <v>1363</v>
      </c>
      <c r="B1104" s="40" t="s">
        <v>12397</v>
      </c>
      <c r="C1104" s="40" t="s">
        <v>12398</v>
      </c>
      <c r="D1104" s="40" t="s">
        <v>12399</v>
      </c>
      <c r="E1104" s="41">
        <v>702.56</v>
      </c>
      <c r="F1104" s="40" t="s">
        <v>3691</v>
      </c>
      <c r="G1104" s="41">
        <v>703.10109999999997</v>
      </c>
      <c r="H1104" s="40"/>
      <c r="I1104" s="41"/>
      <c r="J1104" s="41">
        <f t="shared" si="4"/>
        <v>702.8305499999999</v>
      </c>
      <c r="K1104" s="42" t="s">
        <v>5796</v>
      </c>
      <c r="L1104" s="39">
        <v>1363</v>
      </c>
    </row>
    <row r="1105" spans="1:12" ht="11.25" customHeight="1">
      <c r="A1105" s="39">
        <v>511</v>
      </c>
      <c r="B1105" s="40" t="s">
        <v>12400</v>
      </c>
      <c r="C1105" s="40" t="s">
        <v>12401</v>
      </c>
      <c r="D1105" s="40" t="s">
        <v>1520</v>
      </c>
      <c r="E1105" s="41">
        <v>7162.29</v>
      </c>
      <c r="F1105" s="40" t="s">
        <v>1520</v>
      </c>
      <c r="G1105" s="41">
        <v>7162.2726000000002</v>
      </c>
      <c r="H1105" s="40"/>
      <c r="I1105" s="41"/>
      <c r="J1105" s="41">
        <f t="shared" si="4"/>
        <v>7162.2813000000006</v>
      </c>
      <c r="K1105" s="42" t="s">
        <v>5796</v>
      </c>
      <c r="L1105" s="39">
        <v>511</v>
      </c>
    </row>
    <row r="1106" spans="1:12" ht="11.25" customHeight="1">
      <c r="A1106" s="39">
        <v>472</v>
      </c>
      <c r="B1106" s="40" t="s">
        <v>12402</v>
      </c>
      <c r="C1106" s="40" t="s">
        <v>12403</v>
      </c>
      <c r="D1106" s="40" t="s">
        <v>1406</v>
      </c>
      <c r="E1106" s="41">
        <v>7986.36</v>
      </c>
      <c r="F1106" s="40" t="s">
        <v>1406</v>
      </c>
      <c r="G1106" s="41">
        <v>7989.9381000000003</v>
      </c>
      <c r="H1106" s="40"/>
      <c r="I1106" s="41"/>
      <c r="J1106" s="41">
        <f t="shared" si="4"/>
        <v>7988.14905</v>
      </c>
      <c r="K1106" s="42" t="s">
        <v>5796</v>
      </c>
      <c r="L1106" s="39">
        <v>472</v>
      </c>
    </row>
    <row r="1107" spans="1:12" ht="11.25" customHeight="1">
      <c r="A1107" s="39">
        <v>1569</v>
      </c>
      <c r="B1107" s="40" t="s">
        <v>12404</v>
      </c>
      <c r="C1107" s="40" t="s">
        <v>12405</v>
      </c>
      <c r="D1107" s="40" t="s">
        <v>4096</v>
      </c>
      <c r="E1107" s="41">
        <v>438.78</v>
      </c>
      <c r="F1107" s="40" t="s">
        <v>4096</v>
      </c>
      <c r="G1107" s="41">
        <v>437.70389999999998</v>
      </c>
      <c r="H1107" s="40"/>
      <c r="I1107" s="41"/>
      <c r="J1107" s="41">
        <f t="shared" si="4"/>
        <v>438.24194999999997</v>
      </c>
      <c r="K1107" s="42" t="s">
        <v>5796</v>
      </c>
      <c r="L1107" s="39">
        <v>1569</v>
      </c>
    </row>
    <row r="1108" spans="1:12" ht="11.25" customHeight="1">
      <c r="A1108" s="39">
        <v>1555</v>
      </c>
      <c r="B1108" s="40" t="s">
        <v>12406</v>
      </c>
      <c r="C1108" s="40" t="s">
        <v>12407</v>
      </c>
      <c r="D1108" s="40" t="s">
        <v>4069</v>
      </c>
      <c r="E1108" s="41">
        <v>453</v>
      </c>
      <c r="F1108" s="40" t="s">
        <v>4069</v>
      </c>
      <c r="G1108" s="41">
        <v>450.97219999999999</v>
      </c>
      <c r="H1108" s="40"/>
      <c r="I1108" s="41"/>
      <c r="J1108" s="41">
        <f t="shared" si="4"/>
        <v>451.98609999999996</v>
      </c>
      <c r="K1108" s="42" t="s">
        <v>5796</v>
      </c>
      <c r="L1108" s="39">
        <v>1555</v>
      </c>
    </row>
    <row r="1109" spans="1:12" ht="11.25" customHeight="1">
      <c r="A1109" s="39">
        <v>1398</v>
      </c>
      <c r="B1109" s="40" t="s">
        <v>12408</v>
      </c>
      <c r="C1109" s="40" t="s">
        <v>12409</v>
      </c>
      <c r="D1109" s="40" t="s">
        <v>3775</v>
      </c>
      <c r="E1109" s="41">
        <v>645.86</v>
      </c>
      <c r="F1109" s="40" t="s">
        <v>3775</v>
      </c>
      <c r="G1109" s="41">
        <v>645.7595</v>
      </c>
      <c r="H1109" s="40"/>
      <c r="I1109" s="41"/>
      <c r="J1109" s="41">
        <f t="shared" si="4"/>
        <v>645.80975000000001</v>
      </c>
      <c r="K1109" s="42" t="s">
        <v>5796</v>
      </c>
      <c r="L1109" s="39">
        <v>1398</v>
      </c>
    </row>
    <row r="1110" spans="1:12" ht="11.25" customHeight="1">
      <c r="A1110" s="39">
        <v>2302</v>
      </c>
      <c r="B1110" s="40" t="s">
        <v>12410</v>
      </c>
      <c r="C1110" s="40" t="s">
        <v>12411</v>
      </c>
      <c r="D1110" s="40"/>
      <c r="E1110" s="41"/>
      <c r="F1110" s="40" t="s">
        <v>5137</v>
      </c>
      <c r="G1110" s="41">
        <v>111.48220000000001</v>
      </c>
      <c r="H1110" s="40"/>
      <c r="I1110" s="41"/>
      <c r="J1110" s="41">
        <f t="shared" si="4"/>
        <v>111.48220000000001</v>
      </c>
      <c r="K1110" s="42" t="s">
        <v>5796</v>
      </c>
      <c r="L1110" s="39">
        <v>2302</v>
      </c>
    </row>
    <row r="1111" spans="1:12" ht="11.25" customHeight="1">
      <c r="A1111" s="39">
        <v>3271</v>
      </c>
      <c r="B1111" s="40" t="s">
        <v>12412</v>
      </c>
      <c r="C1111" s="40" t="s">
        <v>12413</v>
      </c>
      <c r="D1111" s="40"/>
      <c r="E1111" s="41"/>
      <c r="F1111" s="40" t="s">
        <v>5640</v>
      </c>
      <c r="G1111" s="41">
        <v>25.026</v>
      </c>
      <c r="H1111" s="40"/>
      <c r="I1111" s="41"/>
      <c r="J1111" s="41">
        <f t="shared" si="4"/>
        <v>25.026</v>
      </c>
      <c r="K1111" s="42" t="s">
        <v>5796</v>
      </c>
      <c r="L1111" s="39">
        <v>3271</v>
      </c>
    </row>
    <row r="1112" spans="1:12" ht="11.25" customHeight="1">
      <c r="A1112" s="39">
        <v>1212</v>
      </c>
      <c r="B1112" s="40" t="s">
        <v>12414</v>
      </c>
      <c r="C1112" s="40" t="s">
        <v>12415</v>
      </c>
      <c r="D1112" s="40" t="s">
        <v>3382</v>
      </c>
      <c r="E1112" s="41">
        <v>1010.4</v>
      </c>
      <c r="F1112" s="40" t="s">
        <v>3382</v>
      </c>
      <c r="G1112" s="41">
        <v>1010.2723999999999</v>
      </c>
      <c r="H1112" s="40"/>
      <c r="I1112" s="41"/>
      <c r="J1112" s="41">
        <f t="shared" si="4"/>
        <v>1010.3362</v>
      </c>
      <c r="K1112" s="42" t="s">
        <v>5796</v>
      </c>
      <c r="L1112" s="39">
        <v>1212</v>
      </c>
    </row>
    <row r="1113" spans="1:12" ht="11.25" customHeight="1">
      <c r="A1113" s="39">
        <v>886</v>
      </c>
      <c r="B1113" s="40" t="s">
        <v>12416</v>
      </c>
      <c r="C1113" s="40" t="s">
        <v>12417</v>
      </c>
      <c r="D1113" s="40" t="s">
        <v>2572</v>
      </c>
      <c r="E1113" s="41">
        <v>2229.3200000000002</v>
      </c>
      <c r="F1113" s="40" t="s">
        <v>2572</v>
      </c>
      <c r="G1113" s="41">
        <v>2230.3724000000002</v>
      </c>
      <c r="H1113" s="40"/>
      <c r="I1113" s="41"/>
      <c r="J1113" s="41">
        <f t="shared" si="4"/>
        <v>2229.8462</v>
      </c>
      <c r="K1113" s="42" t="s">
        <v>5796</v>
      </c>
      <c r="L1113" s="39">
        <v>886</v>
      </c>
    </row>
    <row r="1114" spans="1:12" ht="11.25" customHeight="1">
      <c r="A1114" s="39">
        <v>1477</v>
      </c>
      <c r="B1114" s="40" t="s">
        <v>12418</v>
      </c>
      <c r="C1114" s="40" t="s">
        <v>12419</v>
      </c>
      <c r="D1114" s="40"/>
      <c r="E1114" s="41"/>
      <c r="F1114" s="40" t="s">
        <v>3910</v>
      </c>
      <c r="G1114" s="41">
        <v>541.77419999999995</v>
      </c>
      <c r="H1114" s="40"/>
      <c r="I1114" s="41"/>
      <c r="J1114" s="41">
        <f t="shared" si="4"/>
        <v>541.77419999999995</v>
      </c>
      <c r="K1114" s="42" t="s">
        <v>5796</v>
      </c>
      <c r="L1114" s="39">
        <v>1477</v>
      </c>
    </row>
    <row r="1115" spans="1:12" ht="11.25" customHeight="1">
      <c r="A1115" s="39">
        <v>488</v>
      </c>
      <c r="B1115" s="40" t="s">
        <v>12420</v>
      </c>
      <c r="C1115" s="40" t="s">
        <v>12421</v>
      </c>
      <c r="D1115" s="40" t="s">
        <v>1451</v>
      </c>
      <c r="E1115" s="41">
        <v>7606.2</v>
      </c>
      <c r="F1115" s="40" t="s">
        <v>1451</v>
      </c>
      <c r="G1115" s="41">
        <v>7605.4839000000002</v>
      </c>
      <c r="H1115" s="40"/>
      <c r="I1115" s="41"/>
      <c r="J1115" s="41">
        <f t="shared" si="4"/>
        <v>7605.84195</v>
      </c>
      <c r="K1115" s="42" t="s">
        <v>5796</v>
      </c>
      <c r="L1115" s="39">
        <v>488</v>
      </c>
    </row>
    <row r="1116" spans="1:12" ht="11.25" customHeight="1">
      <c r="A1116" s="39">
        <v>1971</v>
      </c>
      <c r="B1116" s="40" t="s">
        <v>12422</v>
      </c>
      <c r="C1116" s="40" t="s">
        <v>12423</v>
      </c>
      <c r="D1116" s="40" t="s">
        <v>4684</v>
      </c>
      <c r="E1116" s="41">
        <v>197.22</v>
      </c>
      <c r="F1116" s="40" t="s">
        <v>4684</v>
      </c>
      <c r="G1116" s="41">
        <v>197.0427</v>
      </c>
      <c r="H1116" s="40"/>
      <c r="I1116" s="41"/>
      <c r="J1116" s="41">
        <f t="shared" si="4"/>
        <v>197.13135</v>
      </c>
      <c r="K1116" s="42" t="s">
        <v>5796</v>
      </c>
      <c r="L1116" s="39">
        <v>1971</v>
      </c>
    </row>
    <row r="1117" spans="1:12" ht="11.25" customHeight="1">
      <c r="A1117" s="39">
        <v>1746</v>
      </c>
      <c r="B1117" s="40" t="s">
        <v>4409</v>
      </c>
      <c r="C1117" s="40" t="s">
        <v>12424</v>
      </c>
      <c r="D1117" s="40" t="s">
        <v>4411</v>
      </c>
      <c r="E1117" s="41">
        <v>300.77999999999997</v>
      </c>
      <c r="F1117" s="40" t="s">
        <v>4411</v>
      </c>
      <c r="G1117" s="41">
        <v>300.71859999999998</v>
      </c>
      <c r="H1117" s="40"/>
      <c r="I1117" s="41"/>
      <c r="J1117" s="41">
        <f t="shared" si="4"/>
        <v>300.74929999999995</v>
      </c>
      <c r="K1117" s="42" t="s">
        <v>5796</v>
      </c>
      <c r="L1117" s="39">
        <v>1746</v>
      </c>
    </row>
    <row r="1118" spans="1:12" ht="11.25" customHeight="1">
      <c r="A1118" s="39">
        <v>3325</v>
      </c>
      <c r="B1118" s="40" t="s">
        <v>12425</v>
      </c>
      <c r="C1118" s="40" t="s">
        <v>12426</v>
      </c>
      <c r="D1118" s="40" t="s">
        <v>5646</v>
      </c>
      <c r="E1118" s="41">
        <v>23.54</v>
      </c>
      <c r="F1118" s="40" t="s">
        <v>5646</v>
      </c>
      <c r="G1118" s="41">
        <v>23.495899999999999</v>
      </c>
      <c r="H1118" s="40"/>
      <c r="I1118" s="41"/>
      <c r="J1118" s="41">
        <f t="shared" si="4"/>
        <v>23.517949999999999</v>
      </c>
      <c r="K1118" s="42" t="s">
        <v>5796</v>
      </c>
      <c r="L1118" s="39">
        <v>3325</v>
      </c>
    </row>
    <row r="1119" spans="1:12" ht="11.25" customHeight="1">
      <c r="A1119" s="39">
        <v>625</v>
      </c>
      <c r="B1119" s="40" t="s">
        <v>12427</v>
      </c>
      <c r="C1119" s="40" t="s">
        <v>12428</v>
      </c>
      <c r="D1119" s="40" t="s">
        <v>1847</v>
      </c>
      <c r="E1119" s="41">
        <v>4852.54</v>
      </c>
      <c r="F1119" s="40" t="s">
        <v>1847</v>
      </c>
      <c r="G1119" s="41">
        <v>4852.8924999999999</v>
      </c>
      <c r="H1119" s="40"/>
      <c r="I1119" s="41"/>
      <c r="J1119" s="41">
        <f t="shared" si="4"/>
        <v>4852.7162499999995</v>
      </c>
      <c r="K1119" s="42" t="s">
        <v>5796</v>
      </c>
      <c r="L1119" s="39">
        <v>625</v>
      </c>
    </row>
    <row r="1120" spans="1:12" ht="11.25" customHeight="1">
      <c r="A1120" s="39">
        <v>2535</v>
      </c>
      <c r="B1120" s="40" t="s">
        <v>12429</v>
      </c>
      <c r="C1120" s="40" t="s">
        <v>12430</v>
      </c>
      <c r="D1120" s="40"/>
      <c r="E1120" s="41"/>
      <c r="F1120" s="40" t="s">
        <v>5328</v>
      </c>
      <c r="G1120" s="41">
        <v>75.708299999999994</v>
      </c>
      <c r="H1120" s="40"/>
      <c r="I1120" s="41"/>
      <c r="J1120" s="41">
        <f t="shared" si="4"/>
        <v>75.708299999999994</v>
      </c>
      <c r="K1120" s="42" t="s">
        <v>5796</v>
      </c>
      <c r="L1120" s="39">
        <v>2535</v>
      </c>
    </row>
    <row r="1121" spans="1:12" ht="11.25" customHeight="1">
      <c r="A1121" s="39">
        <v>934</v>
      </c>
      <c r="B1121" s="40" t="s">
        <v>12431</v>
      </c>
      <c r="C1121" s="40" t="s">
        <v>12432</v>
      </c>
      <c r="D1121" s="40" t="s">
        <v>2698</v>
      </c>
      <c r="E1121" s="41">
        <v>2025.89</v>
      </c>
      <c r="F1121" s="40" t="s">
        <v>2698</v>
      </c>
      <c r="G1121" s="41">
        <v>2025.8690999999999</v>
      </c>
      <c r="H1121" s="40"/>
      <c r="I1121" s="41"/>
      <c r="J1121" s="41">
        <f t="shared" si="4"/>
        <v>2025.8795500000001</v>
      </c>
      <c r="K1121" s="42" t="s">
        <v>5796</v>
      </c>
      <c r="L1121" s="39">
        <v>934</v>
      </c>
    </row>
    <row r="1122" spans="1:12" ht="11.25" customHeight="1">
      <c r="A1122" s="39">
        <v>1277</v>
      </c>
      <c r="B1122" s="40" t="s">
        <v>12433</v>
      </c>
      <c r="C1122" s="40" t="s">
        <v>12434</v>
      </c>
      <c r="D1122" s="40" t="s">
        <v>12435</v>
      </c>
      <c r="E1122" s="41">
        <v>856.73</v>
      </c>
      <c r="F1122" s="40" t="s">
        <v>3511</v>
      </c>
      <c r="G1122" s="41">
        <v>856.72659999999996</v>
      </c>
      <c r="H1122" s="40"/>
      <c r="I1122" s="41"/>
      <c r="J1122" s="41">
        <f t="shared" si="4"/>
        <v>856.72829999999999</v>
      </c>
      <c r="K1122" s="42" t="s">
        <v>5796</v>
      </c>
      <c r="L1122" s="39">
        <v>1277</v>
      </c>
    </row>
    <row r="1123" spans="1:12" ht="11.25" customHeight="1">
      <c r="A1123" s="39">
        <v>773</v>
      </c>
      <c r="B1123" s="40" t="s">
        <v>12436</v>
      </c>
      <c r="C1123" s="40" t="s">
        <v>12437</v>
      </c>
      <c r="D1123" s="40" t="s">
        <v>2263</v>
      </c>
      <c r="E1123" s="41">
        <v>3128.0755755999999</v>
      </c>
      <c r="F1123" s="40" t="s">
        <v>2263</v>
      </c>
      <c r="G1123" s="41">
        <v>3102.1017999999999</v>
      </c>
      <c r="H1123" s="40"/>
      <c r="I1123" s="41"/>
      <c r="J1123" s="41">
        <f t="shared" si="4"/>
        <v>3115.0886878000001</v>
      </c>
      <c r="K1123" s="42" t="s">
        <v>5796</v>
      </c>
      <c r="L1123" s="39">
        <v>773</v>
      </c>
    </row>
    <row r="1124" spans="1:12" ht="11.25" customHeight="1">
      <c r="A1124" s="39">
        <v>1122</v>
      </c>
      <c r="B1124" s="40" t="s">
        <v>12438</v>
      </c>
      <c r="C1124" s="40" t="s">
        <v>12439</v>
      </c>
      <c r="D1124" s="40" t="s">
        <v>3166</v>
      </c>
      <c r="E1124" s="41">
        <v>1275.0899999999999</v>
      </c>
      <c r="F1124" s="40" t="s">
        <v>3166</v>
      </c>
      <c r="G1124" s="41">
        <v>1275.4878000000001</v>
      </c>
      <c r="H1124" s="40"/>
      <c r="I1124" s="41"/>
      <c r="J1124" s="41">
        <f t="shared" si="4"/>
        <v>1275.2889</v>
      </c>
      <c r="K1124" s="42" t="s">
        <v>5796</v>
      </c>
      <c r="L1124" s="39">
        <v>1122</v>
      </c>
    </row>
    <row r="1125" spans="1:12" ht="11.25" customHeight="1">
      <c r="A1125" s="39">
        <v>1028</v>
      </c>
      <c r="B1125" s="40" t="s">
        <v>12440</v>
      </c>
      <c r="C1125" s="40" t="s">
        <v>12441</v>
      </c>
      <c r="D1125" s="40" t="s">
        <v>2938</v>
      </c>
      <c r="E1125" s="41">
        <v>1585.19</v>
      </c>
      <c r="F1125" s="40" t="s">
        <v>2938</v>
      </c>
      <c r="G1125" s="41">
        <v>1585.9502</v>
      </c>
      <c r="H1125" s="40"/>
      <c r="I1125" s="41"/>
      <c r="J1125" s="41">
        <f t="shared" si="4"/>
        <v>1585.5700999999999</v>
      </c>
      <c r="K1125" s="42" t="s">
        <v>5796</v>
      </c>
      <c r="L1125" s="39">
        <v>1028</v>
      </c>
    </row>
    <row r="1126" spans="1:12" ht="11.25" customHeight="1">
      <c r="A1126" s="39">
        <v>2521</v>
      </c>
      <c r="B1126" s="40" t="s">
        <v>12442</v>
      </c>
      <c r="C1126" s="40" t="s">
        <v>12443</v>
      </c>
      <c r="D1126" s="40" t="s">
        <v>5310</v>
      </c>
      <c r="E1126" s="41">
        <v>78.39</v>
      </c>
      <c r="F1126" s="40" t="s">
        <v>5310</v>
      </c>
      <c r="G1126" s="41">
        <v>78.321100000000001</v>
      </c>
      <c r="H1126" s="40"/>
      <c r="I1126" s="41"/>
      <c r="J1126" s="41">
        <f t="shared" si="4"/>
        <v>78.355549999999994</v>
      </c>
      <c r="K1126" s="42" t="s">
        <v>5796</v>
      </c>
      <c r="L1126" s="39">
        <v>2521</v>
      </c>
    </row>
    <row r="1127" spans="1:12" ht="11.25" customHeight="1">
      <c r="A1127" s="39">
        <v>959</v>
      </c>
      <c r="B1127" s="40" t="s">
        <v>12444</v>
      </c>
      <c r="C1127" s="40" t="s">
        <v>12445</v>
      </c>
      <c r="D1127" s="40" t="s">
        <v>2755</v>
      </c>
      <c r="E1127" s="41">
        <v>1905.83</v>
      </c>
      <c r="F1127" s="40" t="s">
        <v>2755</v>
      </c>
      <c r="G1127" s="41">
        <v>1905.5875000000001</v>
      </c>
      <c r="H1127" s="40"/>
      <c r="I1127" s="41"/>
      <c r="J1127" s="41">
        <f t="shared" si="4"/>
        <v>1905.70875</v>
      </c>
      <c r="K1127" s="42" t="s">
        <v>5796</v>
      </c>
      <c r="L1127" s="39">
        <v>959</v>
      </c>
    </row>
    <row r="1128" spans="1:12" ht="11.25" customHeight="1">
      <c r="A1128" s="43">
        <v>102</v>
      </c>
      <c r="B1128" s="44" t="s">
        <v>12446</v>
      </c>
      <c r="C1128" s="44" t="s">
        <v>12447</v>
      </c>
      <c r="D1128" s="44" t="s">
        <v>320</v>
      </c>
      <c r="E1128" s="45">
        <v>64248.9</v>
      </c>
      <c r="F1128" s="44" t="s">
        <v>320</v>
      </c>
      <c r="G1128" s="45">
        <v>64254.683199999999</v>
      </c>
      <c r="H1128" s="44"/>
      <c r="I1128" s="45"/>
      <c r="J1128" s="45">
        <f t="shared" si="4"/>
        <v>64251.791599999997</v>
      </c>
      <c r="K1128" s="46" t="s">
        <v>5800</v>
      </c>
      <c r="L1128" s="43">
        <v>102</v>
      </c>
    </row>
    <row r="1129" spans="1:12" ht="11.25" customHeight="1">
      <c r="A1129" s="39">
        <v>324</v>
      </c>
      <c r="B1129" s="40" t="s">
        <v>12448</v>
      </c>
      <c r="C1129" s="40" t="s">
        <v>12449</v>
      </c>
      <c r="D1129" s="40" t="s">
        <v>983</v>
      </c>
      <c r="E1129" s="41">
        <v>14331.67</v>
      </c>
      <c r="F1129" s="40" t="s">
        <v>983</v>
      </c>
      <c r="G1129" s="41">
        <v>14326.3794</v>
      </c>
      <c r="H1129" s="40"/>
      <c r="I1129" s="41"/>
      <c r="J1129" s="41">
        <f t="shared" si="4"/>
        <v>14329.0247</v>
      </c>
      <c r="K1129" s="42" t="s">
        <v>5796</v>
      </c>
      <c r="L1129" s="39">
        <v>324</v>
      </c>
    </row>
    <row r="1130" spans="1:12" ht="11.25" customHeight="1">
      <c r="A1130" s="39">
        <v>1236</v>
      </c>
      <c r="B1130" s="40" t="s">
        <v>12450</v>
      </c>
      <c r="C1130" s="40" t="s">
        <v>12451</v>
      </c>
      <c r="D1130" s="40" t="s">
        <v>12452</v>
      </c>
      <c r="E1130" s="41">
        <v>946.39</v>
      </c>
      <c r="F1130" s="40" t="s">
        <v>12452</v>
      </c>
      <c r="G1130" s="41">
        <v>968.70860000000005</v>
      </c>
      <c r="H1130" s="40"/>
      <c r="I1130" s="41"/>
      <c r="J1130" s="41">
        <f t="shared" si="4"/>
        <v>957.54930000000002</v>
      </c>
      <c r="K1130" s="42" t="s">
        <v>5796</v>
      </c>
      <c r="L1130" s="39">
        <v>1236</v>
      </c>
    </row>
    <row r="1131" spans="1:12" ht="11.25" customHeight="1">
      <c r="A1131" s="39">
        <v>2197</v>
      </c>
      <c r="B1131" s="40" t="s">
        <v>12453</v>
      </c>
      <c r="C1131" s="40" t="s">
        <v>12454</v>
      </c>
      <c r="D1131" s="40" t="s">
        <v>5014</v>
      </c>
      <c r="E1131" s="41">
        <v>132.68</v>
      </c>
      <c r="F1131" s="40" t="s">
        <v>5014</v>
      </c>
      <c r="G1131" s="41">
        <v>133.4573</v>
      </c>
      <c r="H1131" s="40"/>
      <c r="I1131" s="41"/>
      <c r="J1131" s="41">
        <f t="shared" si="4"/>
        <v>133.06864999999999</v>
      </c>
      <c r="K1131" s="42" t="s">
        <v>5796</v>
      </c>
      <c r="L1131" s="39">
        <v>2197</v>
      </c>
    </row>
    <row r="1132" spans="1:12" ht="11.25" customHeight="1">
      <c r="A1132" s="43">
        <v>151</v>
      </c>
      <c r="B1132" s="44" t="s">
        <v>12455</v>
      </c>
      <c r="C1132" s="44" t="s">
        <v>12456</v>
      </c>
      <c r="D1132" s="44" t="s">
        <v>464</v>
      </c>
      <c r="E1132" s="45">
        <v>43970.5</v>
      </c>
      <c r="F1132" s="44" t="s">
        <v>464</v>
      </c>
      <c r="G1132" s="45">
        <v>43966.7598</v>
      </c>
      <c r="H1132" s="44"/>
      <c r="I1132" s="45"/>
      <c r="J1132" s="45">
        <f t="shared" si="4"/>
        <v>43968.6299</v>
      </c>
      <c r="K1132" s="46" t="s">
        <v>5800</v>
      </c>
      <c r="L1132" s="43">
        <v>151</v>
      </c>
    </row>
    <row r="1133" spans="1:12" ht="11.25" customHeight="1">
      <c r="A1133" s="39">
        <v>836</v>
      </c>
      <c r="B1133" s="40" t="s">
        <v>12457</v>
      </c>
      <c r="C1133" s="40" t="s">
        <v>12458</v>
      </c>
      <c r="D1133" s="40" t="s">
        <v>2428</v>
      </c>
      <c r="E1133" s="41">
        <v>2600.9299999999998</v>
      </c>
      <c r="F1133" s="40" t="s">
        <v>2428</v>
      </c>
      <c r="G1133" s="41">
        <v>2600.7806999999998</v>
      </c>
      <c r="H1133" s="40"/>
      <c r="I1133" s="41"/>
      <c r="J1133" s="41">
        <f t="shared" si="4"/>
        <v>2600.8553499999998</v>
      </c>
      <c r="K1133" s="42" t="s">
        <v>5796</v>
      </c>
      <c r="L1133" s="39">
        <v>836</v>
      </c>
    </row>
    <row r="1134" spans="1:12" ht="11.25" customHeight="1">
      <c r="A1134" s="43">
        <v>145</v>
      </c>
      <c r="B1134" s="44" t="s">
        <v>12459</v>
      </c>
      <c r="C1134" s="44" t="s">
        <v>12460</v>
      </c>
      <c r="D1134" s="44" t="s">
        <v>446</v>
      </c>
      <c r="E1134" s="45">
        <v>46266.81</v>
      </c>
      <c r="F1134" s="44" t="s">
        <v>446</v>
      </c>
      <c r="G1134" s="45">
        <v>46272.541799999999</v>
      </c>
      <c r="H1134" s="44"/>
      <c r="I1134" s="45"/>
      <c r="J1134" s="45">
        <f t="shared" si="4"/>
        <v>46269.675900000002</v>
      </c>
      <c r="K1134" s="46" t="s">
        <v>5800</v>
      </c>
      <c r="L1134" s="43">
        <v>145</v>
      </c>
    </row>
    <row r="1135" spans="1:12" ht="11.25" customHeight="1">
      <c r="A1135" s="39">
        <v>2309</v>
      </c>
      <c r="B1135" s="40" t="s">
        <v>12461</v>
      </c>
      <c r="C1135" s="40" t="s">
        <v>12462</v>
      </c>
      <c r="D1135" s="40" t="s">
        <v>5143</v>
      </c>
      <c r="E1135" s="41">
        <v>110.51</v>
      </c>
      <c r="F1135" s="40" t="s">
        <v>5143</v>
      </c>
      <c r="G1135" s="41">
        <v>110.28740000000001</v>
      </c>
      <c r="H1135" s="40"/>
      <c r="I1135" s="41"/>
      <c r="J1135" s="41">
        <f t="shared" si="4"/>
        <v>110.39870000000001</v>
      </c>
      <c r="K1135" s="42" t="s">
        <v>5796</v>
      </c>
      <c r="L1135" s="39">
        <v>2309</v>
      </c>
    </row>
    <row r="1136" spans="1:12" ht="11.25" customHeight="1">
      <c r="A1136" s="39">
        <v>289</v>
      </c>
      <c r="B1136" s="40" t="s">
        <v>12463</v>
      </c>
      <c r="C1136" s="40" t="s">
        <v>12464</v>
      </c>
      <c r="D1136" s="40" t="s">
        <v>878</v>
      </c>
      <c r="E1136" s="41">
        <v>17787.8</v>
      </c>
      <c r="F1136" s="40" t="s">
        <v>878</v>
      </c>
      <c r="G1136" s="41">
        <v>17790.856299999999</v>
      </c>
      <c r="H1136" s="40"/>
      <c r="I1136" s="41"/>
      <c r="J1136" s="41">
        <f t="shared" si="4"/>
        <v>17789.328150000001</v>
      </c>
      <c r="K1136" s="42" t="s">
        <v>5796</v>
      </c>
      <c r="L1136" s="39">
        <v>289</v>
      </c>
    </row>
    <row r="1137" spans="1:12" ht="11.25" customHeight="1">
      <c r="A1137" s="39">
        <v>1420</v>
      </c>
      <c r="B1137" s="40" t="s">
        <v>6540</v>
      </c>
      <c r="C1137" s="40" t="s">
        <v>12465</v>
      </c>
      <c r="D1137" s="40" t="s">
        <v>3817</v>
      </c>
      <c r="E1137" s="41">
        <v>622.26</v>
      </c>
      <c r="F1137" s="40" t="s">
        <v>3817</v>
      </c>
      <c r="G1137" s="41">
        <v>620.36270000000002</v>
      </c>
      <c r="H1137" s="40"/>
      <c r="I1137" s="41"/>
      <c r="J1137" s="41">
        <f t="shared" si="4"/>
        <v>621.31134999999995</v>
      </c>
      <c r="K1137" s="42" t="s">
        <v>5796</v>
      </c>
      <c r="L1137" s="39">
        <v>1420</v>
      </c>
    </row>
    <row r="1138" spans="1:12" ht="11.25" customHeight="1">
      <c r="A1138" s="39">
        <v>779</v>
      </c>
      <c r="B1138" s="40" t="s">
        <v>12466</v>
      </c>
      <c r="C1138" s="40" t="s">
        <v>12467</v>
      </c>
      <c r="D1138" s="40" t="s">
        <v>12468</v>
      </c>
      <c r="E1138" s="41">
        <v>3058.08</v>
      </c>
      <c r="F1138" s="40" t="s">
        <v>2272</v>
      </c>
      <c r="G1138" s="41">
        <v>3057.9205000000002</v>
      </c>
      <c r="H1138" s="40"/>
      <c r="I1138" s="41"/>
      <c r="J1138" s="41">
        <f t="shared" si="4"/>
        <v>3058.0002500000001</v>
      </c>
      <c r="K1138" s="42" t="s">
        <v>5796</v>
      </c>
      <c r="L1138" s="39">
        <v>779</v>
      </c>
    </row>
    <row r="1139" spans="1:12" ht="11.25" customHeight="1">
      <c r="A1139" s="43">
        <v>215</v>
      </c>
      <c r="B1139" s="44" t="s">
        <v>12469</v>
      </c>
      <c r="C1139" s="44" t="s">
        <v>12470</v>
      </c>
      <c r="D1139" s="44" t="s">
        <v>656</v>
      </c>
      <c r="E1139" s="45">
        <v>26965.69</v>
      </c>
      <c r="F1139" s="44" t="s">
        <v>656</v>
      </c>
      <c r="G1139" s="45">
        <v>26966.797399999999</v>
      </c>
      <c r="H1139" s="44"/>
      <c r="I1139" s="45"/>
      <c r="J1139" s="45">
        <f t="shared" si="4"/>
        <v>26966.243699999999</v>
      </c>
      <c r="K1139" s="51" t="s">
        <v>12471</v>
      </c>
      <c r="L1139" s="43">
        <v>215</v>
      </c>
    </row>
    <row r="1140" spans="1:12" ht="11.25" customHeight="1">
      <c r="A1140" s="39">
        <v>509</v>
      </c>
      <c r="B1140" s="40" t="s">
        <v>12472</v>
      </c>
      <c r="C1140" s="40" t="s">
        <v>12473</v>
      </c>
      <c r="D1140" s="40" t="s">
        <v>12474</v>
      </c>
      <c r="E1140" s="41">
        <v>7179.84</v>
      </c>
      <c r="F1140" s="40" t="s">
        <v>1514</v>
      </c>
      <c r="G1140" s="41">
        <v>7181.5868</v>
      </c>
      <c r="H1140" s="40"/>
      <c r="I1140" s="41"/>
      <c r="J1140" s="41">
        <f t="shared" si="4"/>
        <v>7180.7134000000005</v>
      </c>
      <c r="K1140" s="42" t="s">
        <v>5796</v>
      </c>
      <c r="L1140" s="39">
        <v>509</v>
      </c>
    </row>
    <row r="1141" spans="1:12" ht="11.25" customHeight="1">
      <c r="A1141" s="39">
        <v>3161</v>
      </c>
      <c r="B1141" s="40" t="s">
        <v>6543</v>
      </c>
      <c r="C1141" s="40" t="s">
        <v>12475</v>
      </c>
      <c r="D1141" s="40" t="s">
        <v>5598</v>
      </c>
      <c r="E1141" s="41">
        <v>30.06</v>
      </c>
      <c r="F1141" s="40" t="s">
        <v>5598</v>
      </c>
      <c r="G1141" s="41">
        <v>29.974599999999999</v>
      </c>
      <c r="H1141" s="40"/>
      <c r="I1141" s="41"/>
      <c r="J1141" s="41">
        <f t="shared" si="4"/>
        <v>30.017299999999999</v>
      </c>
      <c r="K1141" s="42" t="s">
        <v>5796</v>
      </c>
      <c r="L1141" s="39">
        <v>3161</v>
      </c>
    </row>
    <row r="1142" spans="1:12" ht="11.25" customHeight="1">
      <c r="A1142" s="39">
        <v>1014</v>
      </c>
      <c r="B1142" s="40" t="s">
        <v>12476</v>
      </c>
      <c r="C1142" s="40" t="s">
        <v>12477</v>
      </c>
      <c r="D1142" s="40" t="s">
        <v>2905</v>
      </c>
      <c r="E1142" s="41">
        <v>1644</v>
      </c>
      <c r="F1142" s="40" t="s">
        <v>2905</v>
      </c>
      <c r="G1142" s="41">
        <v>1643.8426999999999</v>
      </c>
      <c r="H1142" s="40"/>
      <c r="I1142" s="41"/>
      <c r="J1142" s="41">
        <f t="shared" si="4"/>
        <v>1643.9213500000001</v>
      </c>
      <c r="K1142" s="42" t="s">
        <v>5796</v>
      </c>
      <c r="L1142" s="39">
        <v>1014</v>
      </c>
    </row>
    <row r="1143" spans="1:12" ht="11.25" customHeight="1">
      <c r="A1143" s="39">
        <v>1019</v>
      </c>
      <c r="B1143" s="40" t="s">
        <v>7186</v>
      </c>
      <c r="C1143" s="40" t="s">
        <v>12478</v>
      </c>
      <c r="D1143" s="40" t="s">
        <v>2920</v>
      </c>
      <c r="E1143" s="41">
        <v>1270.68</v>
      </c>
      <c r="F1143" s="40" t="s">
        <v>2920</v>
      </c>
      <c r="G1143" s="41">
        <v>1987.7123999999999</v>
      </c>
      <c r="H1143" s="40"/>
      <c r="I1143" s="41"/>
      <c r="J1143" s="41">
        <f t="shared" si="4"/>
        <v>1629.1961999999999</v>
      </c>
      <c r="K1143" s="42" t="s">
        <v>5796</v>
      </c>
      <c r="L1143" s="39">
        <v>1019</v>
      </c>
    </row>
    <row r="1144" spans="1:12" ht="11.25" customHeight="1">
      <c r="A1144" s="39">
        <v>956</v>
      </c>
      <c r="B1144" s="40" t="s">
        <v>12479</v>
      </c>
      <c r="C1144" s="40" t="s">
        <v>12480</v>
      </c>
      <c r="D1144" s="40" t="s">
        <v>12481</v>
      </c>
      <c r="E1144" s="41">
        <v>1933.66</v>
      </c>
      <c r="F1144" s="40" t="s">
        <v>12481</v>
      </c>
      <c r="G1144" s="41">
        <v>1931.4141</v>
      </c>
      <c r="H1144" s="40"/>
      <c r="I1144" s="41"/>
      <c r="J1144" s="41">
        <f t="shared" si="4"/>
        <v>1932.5370499999999</v>
      </c>
      <c r="K1144" s="42" t="s">
        <v>5796</v>
      </c>
      <c r="L1144" s="39">
        <v>956</v>
      </c>
    </row>
    <row r="1145" spans="1:12" ht="11.25" customHeight="1">
      <c r="A1145" s="39">
        <v>871</v>
      </c>
      <c r="B1145" s="40" t="s">
        <v>12482</v>
      </c>
      <c r="C1145" s="40" t="s">
        <v>12483</v>
      </c>
      <c r="D1145" s="40" t="s">
        <v>2527</v>
      </c>
      <c r="E1145" s="41">
        <v>2371.89</v>
      </c>
      <c r="F1145" s="40" t="s">
        <v>2527</v>
      </c>
      <c r="G1145" s="41">
        <v>2372.4423999999999</v>
      </c>
      <c r="H1145" s="40"/>
      <c r="I1145" s="41"/>
      <c r="J1145" s="41">
        <f t="shared" si="4"/>
        <v>2372.1661999999997</v>
      </c>
      <c r="K1145" s="42" t="s">
        <v>5796</v>
      </c>
      <c r="L1145" s="39">
        <v>871</v>
      </c>
    </row>
    <row r="1146" spans="1:12" ht="11.25" customHeight="1">
      <c r="A1146" s="39">
        <v>2140</v>
      </c>
      <c r="B1146" s="40" t="s">
        <v>12484</v>
      </c>
      <c r="C1146" s="40" t="s">
        <v>12485</v>
      </c>
      <c r="D1146" s="40" t="s">
        <v>4939</v>
      </c>
      <c r="E1146" s="41">
        <v>148.01</v>
      </c>
      <c r="F1146" s="40" t="s">
        <v>4939</v>
      </c>
      <c r="G1146" s="41">
        <v>147.93940000000001</v>
      </c>
      <c r="H1146" s="40"/>
      <c r="I1146" s="41"/>
      <c r="J1146" s="41">
        <f t="shared" si="4"/>
        <v>147.97469999999998</v>
      </c>
      <c r="K1146" s="42" t="s">
        <v>5796</v>
      </c>
      <c r="L1146" s="39">
        <v>2140</v>
      </c>
    </row>
    <row r="1147" spans="1:12" ht="11.25" customHeight="1">
      <c r="A1147" s="39">
        <v>1414</v>
      </c>
      <c r="B1147" s="40" t="s">
        <v>12486</v>
      </c>
      <c r="C1147" s="40" t="s">
        <v>12487</v>
      </c>
      <c r="D1147" s="40" t="s">
        <v>3802</v>
      </c>
      <c r="E1147" s="41">
        <v>625.41999999999996</v>
      </c>
      <c r="F1147" s="40" t="s">
        <v>3802</v>
      </c>
      <c r="G1147" s="41">
        <v>625.52020000000005</v>
      </c>
      <c r="H1147" s="40"/>
      <c r="I1147" s="41"/>
      <c r="J1147" s="41">
        <f t="shared" si="4"/>
        <v>625.4701</v>
      </c>
      <c r="K1147" s="42" t="s">
        <v>5796</v>
      </c>
      <c r="L1147" s="39">
        <v>1414</v>
      </c>
    </row>
    <row r="1148" spans="1:12" ht="11.25" customHeight="1">
      <c r="A1148" s="39">
        <v>1458</v>
      </c>
      <c r="B1148" s="40" t="s">
        <v>12488</v>
      </c>
      <c r="C1148" s="40" t="s">
        <v>12489</v>
      </c>
      <c r="D1148" s="40" t="s">
        <v>3874</v>
      </c>
      <c r="E1148" s="41">
        <v>566.88</v>
      </c>
      <c r="F1148" s="40" t="s">
        <v>3874</v>
      </c>
      <c r="G1148" s="41">
        <v>566.77110000000005</v>
      </c>
      <c r="H1148" s="40"/>
      <c r="I1148" s="41"/>
      <c r="J1148" s="41">
        <f t="shared" si="4"/>
        <v>566.82555000000002</v>
      </c>
      <c r="K1148" s="42" t="s">
        <v>5796</v>
      </c>
      <c r="L1148" s="39">
        <v>1458</v>
      </c>
    </row>
    <row r="1149" spans="1:12" ht="11.25" customHeight="1">
      <c r="A1149" s="39">
        <v>1770</v>
      </c>
      <c r="B1149" s="40" t="s">
        <v>12490</v>
      </c>
      <c r="C1149" s="40" t="s">
        <v>12491</v>
      </c>
      <c r="D1149" s="40" t="s">
        <v>4441</v>
      </c>
      <c r="E1149" s="41">
        <v>286.94</v>
      </c>
      <c r="F1149" s="40" t="s">
        <v>4441</v>
      </c>
      <c r="G1149" s="41">
        <v>286.81990000000002</v>
      </c>
      <c r="H1149" s="40"/>
      <c r="I1149" s="41"/>
      <c r="J1149" s="41">
        <f t="shared" si="4"/>
        <v>286.87995000000001</v>
      </c>
      <c r="K1149" s="42" t="s">
        <v>5796</v>
      </c>
      <c r="L1149" s="39">
        <v>1770</v>
      </c>
    </row>
    <row r="1150" spans="1:12" ht="11.25" customHeight="1">
      <c r="A1150" s="39">
        <v>1389</v>
      </c>
      <c r="B1150" s="40" t="s">
        <v>12492</v>
      </c>
      <c r="C1150" s="40" t="s">
        <v>12493</v>
      </c>
      <c r="D1150" s="40" t="s">
        <v>12494</v>
      </c>
      <c r="E1150" s="41">
        <v>654.77</v>
      </c>
      <c r="F1150" s="40" t="s">
        <v>3754</v>
      </c>
      <c r="G1150" s="41">
        <v>654.87909999999999</v>
      </c>
      <c r="H1150" s="40"/>
      <c r="I1150" s="41"/>
      <c r="J1150" s="41">
        <f t="shared" si="4"/>
        <v>654.82455000000004</v>
      </c>
      <c r="K1150" s="42" t="s">
        <v>5796</v>
      </c>
      <c r="L1150" s="39">
        <v>1389</v>
      </c>
    </row>
    <row r="1151" spans="1:12" ht="11.25" customHeight="1">
      <c r="A1151" s="43">
        <v>120</v>
      </c>
      <c r="B1151" s="44" t="s">
        <v>6551</v>
      </c>
      <c r="C1151" s="44" t="s">
        <v>12495</v>
      </c>
      <c r="D1151" s="44" t="s">
        <v>374</v>
      </c>
      <c r="E1151" s="45">
        <v>52901.7</v>
      </c>
      <c r="F1151" s="44" t="s">
        <v>374</v>
      </c>
      <c r="G1151" s="45">
        <v>52915.1247</v>
      </c>
      <c r="H1151" s="44"/>
      <c r="I1151" s="45"/>
      <c r="J1151" s="45">
        <f t="shared" si="4"/>
        <v>52908.412349999999</v>
      </c>
      <c r="K1151" s="46" t="s">
        <v>5800</v>
      </c>
      <c r="L1151" s="43">
        <v>120</v>
      </c>
    </row>
    <row r="1152" spans="1:12" ht="11.25" customHeight="1">
      <c r="A1152" s="39">
        <v>652</v>
      </c>
      <c r="B1152" s="40" t="s">
        <v>12496</v>
      </c>
      <c r="C1152" s="40" t="s">
        <v>12497</v>
      </c>
      <c r="D1152" s="40" t="s">
        <v>12498</v>
      </c>
      <c r="E1152" s="41">
        <v>4420.8599999999997</v>
      </c>
      <c r="F1152" s="40" t="s">
        <v>12498</v>
      </c>
      <c r="G1152" s="41">
        <v>4419.7965000000004</v>
      </c>
      <c r="H1152" s="40"/>
      <c r="I1152" s="41"/>
      <c r="J1152" s="41">
        <f t="shared" si="4"/>
        <v>4420.3282500000005</v>
      </c>
      <c r="K1152" s="42" t="s">
        <v>5796</v>
      </c>
      <c r="L1152" s="39">
        <v>652</v>
      </c>
    </row>
    <row r="1153" spans="1:12" ht="11.25" customHeight="1">
      <c r="A1153" s="39">
        <v>1051</v>
      </c>
      <c r="B1153" s="40" t="s">
        <v>12499</v>
      </c>
      <c r="C1153" s="40" t="s">
        <v>12500</v>
      </c>
      <c r="D1153" s="40" t="s">
        <v>2998</v>
      </c>
      <c r="E1153" s="41">
        <v>1490.16</v>
      </c>
      <c r="F1153" s="40" t="s">
        <v>2998</v>
      </c>
      <c r="G1153" s="41">
        <v>1490.4675999999999</v>
      </c>
      <c r="H1153" s="40"/>
      <c r="I1153" s="41"/>
      <c r="J1153" s="41">
        <f t="shared" si="4"/>
        <v>1490.3137999999999</v>
      </c>
      <c r="K1153" s="42" t="s">
        <v>5796</v>
      </c>
      <c r="L1153" s="39">
        <v>1051</v>
      </c>
    </row>
    <row r="1154" spans="1:12" ht="11.25" customHeight="1">
      <c r="A1154" s="39">
        <v>1030</v>
      </c>
      <c r="B1154" s="40" t="s">
        <v>12501</v>
      </c>
      <c r="C1154" s="40" t="s">
        <v>12502</v>
      </c>
      <c r="D1154" s="40" t="s">
        <v>2944</v>
      </c>
      <c r="E1154" s="41">
        <v>1582.35</v>
      </c>
      <c r="F1154" s="40" t="s">
        <v>2944</v>
      </c>
      <c r="G1154" s="41">
        <v>1581.4727</v>
      </c>
      <c r="H1154" s="40"/>
      <c r="I1154" s="41"/>
      <c r="J1154" s="41">
        <f t="shared" si="4"/>
        <v>1581.9113499999999</v>
      </c>
      <c r="K1154" s="42" t="s">
        <v>5796</v>
      </c>
      <c r="L1154" s="39">
        <v>1030</v>
      </c>
    </row>
    <row r="1155" spans="1:12" ht="11.25" customHeight="1">
      <c r="A1155" s="39">
        <v>1474</v>
      </c>
      <c r="B1155" s="40" t="s">
        <v>6552</v>
      </c>
      <c r="C1155" s="40" t="s">
        <v>12503</v>
      </c>
      <c r="D1155" s="40" t="s">
        <v>12504</v>
      </c>
      <c r="E1155" s="41">
        <v>547.6</v>
      </c>
      <c r="F1155" s="40" t="s">
        <v>3904</v>
      </c>
      <c r="G1155" s="41">
        <v>547.30179999999996</v>
      </c>
      <c r="H1155" s="40"/>
      <c r="I1155" s="41"/>
      <c r="J1155" s="41">
        <f t="shared" si="4"/>
        <v>547.45090000000005</v>
      </c>
      <c r="K1155" s="42" t="s">
        <v>5796</v>
      </c>
      <c r="L1155" s="39">
        <v>1474</v>
      </c>
    </row>
    <row r="1156" spans="1:12" ht="11.25" customHeight="1">
      <c r="A1156" s="39">
        <v>3353</v>
      </c>
      <c r="B1156" s="40" t="s">
        <v>12505</v>
      </c>
      <c r="C1156" s="40" t="s">
        <v>12506</v>
      </c>
      <c r="D1156" s="40" t="s">
        <v>5661</v>
      </c>
      <c r="E1156" s="41">
        <v>23.14</v>
      </c>
      <c r="F1156" s="40" t="s">
        <v>5661</v>
      </c>
      <c r="G1156" s="41">
        <v>22.060500000000001</v>
      </c>
      <c r="H1156" s="40"/>
      <c r="I1156" s="41"/>
      <c r="J1156" s="41">
        <f t="shared" si="4"/>
        <v>22.600250000000003</v>
      </c>
      <c r="K1156" s="42" t="s">
        <v>5796</v>
      </c>
      <c r="L1156" s="39">
        <v>3353</v>
      </c>
    </row>
    <row r="1157" spans="1:12" ht="11.25" customHeight="1">
      <c r="A1157" s="39">
        <v>2633</v>
      </c>
      <c r="B1157" s="40" t="s">
        <v>12507</v>
      </c>
      <c r="C1157" s="40" t="s">
        <v>12508</v>
      </c>
      <c r="D1157" s="40" t="s">
        <v>5400</v>
      </c>
      <c r="E1157" s="41">
        <v>64.650000000000006</v>
      </c>
      <c r="F1157" s="40" t="s">
        <v>5400</v>
      </c>
      <c r="G1157" s="41">
        <v>64.418300000000002</v>
      </c>
      <c r="H1157" s="40"/>
      <c r="I1157" s="41"/>
      <c r="J1157" s="41">
        <f t="shared" si="4"/>
        <v>64.534150000000011</v>
      </c>
      <c r="K1157" s="42" t="s">
        <v>5796</v>
      </c>
      <c r="L1157" s="39">
        <v>2633</v>
      </c>
    </row>
    <row r="1158" spans="1:12" ht="11.25" customHeight="1">
      <c r="A1158" s="39">
        <v>1512</v>
      </c>
      <c r="B1158" s="40" t="s">
        <v>12509</v>
      </c>
      <c r="C1158" s="40" t="s">
        <v>12510</v>
      </c>
      <c r="D1158" s="40" t="s">
        <v>3988</v>
      </c>
      <c r="E1158" s="41">
        <v>494.81</v>
      </c>
      <c r="F1158" s="40" t="s">
        <v>3988</v>
      </c>
      <c r="G1158" s="41">
        <v>494.37049999999999</v>
      </c>
      <c r="H1158" s="40"/>
      <c r="I1158" s="41"/>
      <c r="J1158" s="41">
        <f t="shared" si="4"/>
        <v>494.59024999999997</v>
      </c>
      <c r="K1158" s="42" t="s">
        <v>5796</v>
      </c>
      <c r="L1158" s="39">
        <v>1512</v>
      </c>
    </row>
    <row r="1159" spans="1:12" ht="11.25" customHeight="1">
      <c r="A1159" s="39">
        <v>1461</v>
      </c>
      <c r="B1159" s="40" t="s">
        <v>12511</v>
      </c>
      <c r="C1159" s="40" t="s">
        <v>12512</v>
      </c>
      <c r="D1159" s="40" t="s">
        <v>3880</v>
      </c>
      <c r="E1159" s="41">
        <v>562.79</v>
      </c>
      <c r="F1159" s="40" t="s">
        <v>3880</v>
      </c>
      <c r="G1159" s="41">
        <v>562.79100000000005</v>
      </c>
      <c r="H1159" s="40"/>
      <c r="I1159" s="41"/>
      <c r="J1159" s="41">
        <f t="shared" si="4"/>
        <v>562.79050000000007</v>
      </c>
      <c r="K1159" s="42" t="s">
        <v>5796</v>
      </c>
      <c r="L1159" s="39">
        <v>1461</v>
      </c>
    </row>
    <row r="1160" spans="1:12" ht="11.25" customHeight="1">
      <c r="A1160" s="39">
        <v>1443</v>
      </c>
      <c r="B1160" s="40" t="s">
        <v>12513</v>
      </c>
      <c r="C1160" s="40" t="s">
        <v>12514</v>
      </c>
      <c r="D1160" s="40" t="s">
        <v>3853</v>
      </c>
      <c r="E1160" s="41">
        <v>578.95000000000005</v>
      </c>
      <c r="F1160" s="40" t="s">
        <v>3853</v>
      </c>
      <c r="G1160" s="41">
        <v>578.97879999999998</v>
      </c>
      <c r="H1160" s="40"/>
      <c r="I1160" s="41"/>
      <c r="J1160" s="41">
        <f t="shared" si="4"/>
        <v>578.96440000000007</v>
      </c>
      <c r="K1160" s="42" t="s">
        <v>5796</v>
      </c>
      <c r="L1160" s="39">
        <v>1443</v>
      </c>
    </row>
    <row r="1161" spans="1:12" ht="11.25" customHeight="1">
      <c r="A1161" s="39">
        <v>1226</v>
      </c>
      <c r="B1161" s="40" t="s">
        <v>12515</v>
      </c>
      <c r="C1161" s="40" t="s">
        <v>12516</v>
      </c>
      <c r="D1161" s="40" t="s">
        <v>3415</v>
      </c>
      <c r="E1161" s="41">
        <v>981.46</v>
      </c>
      <c r="F1161" s="40" t="s">
        <v>3415</v>
      </c>
      <c r="G1161" s="41">
        <v>981.6001</v>
      </c>
      <c r="H1161" s="40"/>
      <c r="I1161" s="41"/>
      <c r="J1161" s="41">
        <f t="shared" si="4"/>
        <v>981.53005000000007</v>
      </c>
      <c r="K1161" s="42" t="s">
        <v>5796</v>
      </c>
      <c r="L1161" s="39">
        <v>1226</v>
      </c>
    </row>
    <row r="1162" spans="1:12" ht="11.25" customHeight="1">
      <c r="A1162" s="43">
        <v>246</v>
      </c>
      <c r="B1162" s="44" t="s">
        <v>6558</v>
      </c>
      <c r="C1162" s="44" t="s">
        <v>12517</v>
      </c>
      <c r="D1162" s="44" t="s">
        <v>746</v>
      </c>
      <c r="E1162" s="45">
        <v>22382.01</v>
      </c>
      <c r="F1162" s="44" t="s">
        <v>746</v>
      </c>
      <c r="G1162" s="45">
        <v>22373.709699999999</v>
      </c>
      <c r="H1162" s="44"/>
      <c r="I1162" s="45"/>
      <c r="J1162" s="45">
        <f t="shared" si="4"/>
        <v>22377.859850000001</v>
      </c>
      <c r="K1162" s="46" t="s">
        <v>5800</v>
      </c>
      <c r="L1162" s="43">
        <v>246</v>
      </c>
    </row>
    <row r="1163" spans="1:12" ht="11.25" customHeight="1">
      <c r="A1163" s="39">
        <v>3222</v>
      </c>
      <c r="B1163" s="40" t="s">
        <v>12518</v>
      </c>
      <c r="C1163" s="40" t="s">
        <v>12519</v>
      </c>
      <c r="D1163" s="40" t="s">
        <v>5628</v>
      </c>
      <c r="E1163" s="41">
        <v>27.08</v>
      </c>
      <c r="F1163" s="40" t="s">
        <v>5628</v>
      </c>
      <c r="G1163" s="41">
        <v>26.993099999999998</v>
      </c>
      <c r="H1163" s="40"/>
      <c r="I1163" s="41"/>
      <c r="J1163" s="41">
        <f t="shared" si="4"/>
        <v>27.036549999999998</v>
      </c>
      <c r="K1163" s="42" t="s">
        <v>5796</v>
      </c>
      <c r="L1163" s="39">
        <v>3222</v>
      </c>
    </row>
    <row r="1164" spans="1:12" ht="11.25" customHeight="1">
      <c r="A1164" s="39">
        <v>320</v>
      </c>
      <c r="B1164" s="40" t="s">
        <v>12520</v>
      </c>
      <c r="C1164" s="40" t="s">
        <v>12521</v>
      </c>
      <c r="D1164" s="40" t="s">
        <v>971</v>
      </c>
      <c r="E1164" s="41">
        <v>14548.02</v>
      </c>
      <c r="F1164" s="40" t="s">
        <v>971</v>
      </c>
      <c r="G1164" s="41">
        <v>14695.2248</v>
      </c>
      <c r="H1164" s="40"/>
      <c r="I1164" s="41"/>
      <c r="J1164" s="41">
        <f t="shared" si="4"/>
        <v>14621.6224</v>
      </c>
      <c r="K1164" s="42" t="s">
        <v>5796</v>
      </c>
      <c r="L1164" s="39">
        <v>320</v>
      </c>
    </row>
    <row r="1165" spans="1:12" ht="11.25" customHeight="1">
      <c r="A1165" s="39">
        <v>1619</v>
      </c>
      <c r="B1165" s="40" t="s">
        <v>12522</v>
      </c>
      <c r="C1165" s="40" t="s">
        <v>12523</v>
      </c>
      <c r="D1165" s="40" t="s">
        <v>4186</v>
      </c>
      <c r="E1165" s="41">
        <v>393.9</v>
      </c>
      <c r="F1165" s="40" t="s">
        <v>4186</v>
      </c>
      <c r="G1165" s="41">
        <v>393.82420000000002</v>
      </c>
      <c r="H1165" s="40"/>
      <c r="I1165" s="41"/>
      <c r="J1165" s="41">
        <f t="shared" si="4"/>
        <v>393.8621</v>
      </c>
      <c r="K1165" s="42" t="s">
        <v>5796</v>
      </c>
      <c r="L1165" s="39">
        <v>1619</v>
      </c>
    </row>
    <row r="1166" spans="1:12" ht="11.25" customHeight="1">
      <c r="A1166" s="39">
        <v>290</v>
      </c>
      <c r="B1166" s="40" t="s">
        <v>12524</v>
      </c>
      <c r="C1166" s="40" t="s">
        <v>12525</v>
      </c>
      <c r="D1166" s="40" t="s">
        <v>881</v>
      </c>
      <c r="E1166" s="41">
        <v>17525.599999999999</v>
      </c>
      <c r="F1166" s="40" t="s">
        <v>881</v>
      </c>
      <c r="G1166" s="41">
        <v>17526.355100000001</v>
      </c>
      <c r="H1166" s="40"/>
      <c r="I1166" s="41"/>
      <c r="J1166" s="41">
        <f t="shared" si="4"/>
        <v>17525.97755</v>
      </c>
      <c r="K1166" s="42" t="s">
        <v>5796</v>
      </c>
      <c r="L1166" s="39">
        <v>290</v>
      </c>
    </row>
    <row r="1167" spans="1:12" ht="11.25" customHeight="1">
      <c r="A1167" s="43">
        <v>110</v>
      </c>
      <c r="B1167" s="44" t="s">
        <v>12526</v>
      </c>
      <c r="C1167" s="44" t="s">
        <v>12527</v>
      </c>
      <c r="D1167" s="44" t="s">
        <v>344</v>
      </c>
      <c r="E1167" s="45">
        <v>58132.29</v>
      </c>
      <c r="F1167" s="44" t="s">
        <v>344</v>
      </c>
      <c r="G1167" s="45">
        <v>58116.118199999997</v>
      </c>
      <c r="H1167" s="44"/>
      <c r="I1167" s="45"/>
      <c r="J1167" s="45">
        <f t="shared" si="4"/>
        <v>58124.204100000003</v>
      </c>
      <c r="K1167" s="46" t="s">
        <v>5800</v>
      </c>
      <c r="L1167" s="43">
        <v>110</v>
      </c>
    </row>
    <row r="1168" spans="1:12" ht="11.25" customHeight="1">
      <c r="A1168" s="39">
        <v>572</v>
      </c>
      <c r="B1168" s="40" t="s">
        <v>1695</v>
      </c>
      <c r="C1168" s="40" t="s">
        <v>12528</v>
      </c>
      <c r="D1168" s="40" t="s">
        <v>1697</v>
      </c>
      <c r="E1168" s="41">
        <v>6245.68</v>
      </c>
      <c r="F1168" s="40" t="s">
        <v>1697</v>
      </c>
      <c r="G1168" s="41">
        <v>5796.5131000000001</v>
      </c>
      <c r="H1168" s="40"/>
      <c r="I1168" s="41"/>
      <c r="J1168" s="41">
        <f t="shared" si="4"/>
        <v>6021.0965500000002</v>
      </c>
      <c r="K1168" s="42" t="s">
        <v>5796</v>
      </c>
      <c r="L1168" s="39">
        <v>572</v>
      </c>
    </row>
    <row r="1169" spans="1:12" ht="11.25" customHeight="1">
      <c r="A1169" s="39">
        <v>264</v>
      </c>
      <c r="B1169" s="40" t="s">
        <v>12529</v>
      </c>
      <c r="C1169" s="40" t="s">
        <v>12530</v>
      </c>
      <c r="D1169" s="40" t="s">
        <v>803</v>
      </c>
      <c r="E1169" s="41">
        <v>20244.25</v>
      </c>
      <c r="F1169" s="40" t="s">
        <v>803</v>
      </c>
      <c r="G1169" s="41">
        <v>20237.229899999998</v>
      </c>
      <c r="H1169" s="40"/>
      <c r="I1169" s="41"/>
      <c r="J1169" s="41">
        <f t="shared" si="4"/>
        <v>20240.739949999999</v>
      </c>
      <c r="K1169" s="42" t="s">
        <v>5796</v>
      </c>
      <c r="L1169" s="39">
        <v>264</v>
      </c>
    </row>
    <row r="1170" spans="1:12" ht="11.25" customHeight="1">
      <c r="A1170" s="39">
        <v>1216</v>
      </c>
      <c r="B1170" s="40" t="s">
        <v>12531</v>
      </c>
      <c r="C1170" s="40" t="s">
        <v>12532</v>
      </c>
      <c r="D1170" s="40" t="s">
        <v>3394</v>
      </c>
      <c r="E1170" s="41">
        <v>1005.43</v>
      </c>
      <c r="F1170" s="40" t="s">
        <v>3394</v>
      </c>
      <c r="G1170" s="41">
        <v>1005.5410000000001</v>
      </c>
      <c r="H1170" s="40"/>
      <c r="I1170" s="41"/>
      <c r="J1170" s="41">
        <f t="shared" si="4"/>
        <v>1005.4855</v>
      </c>
      <c r="K1170" s="42" t="s">
        <v>5796</v>
      </c>
      <c r="L1170" s="39">
        <v>1216</v>
      </c>
    </row>
    <row r="1171" spans="1:12" ht="11.25" customHeight="1">
      <c r="A1171" s="39">
        <v>748</v>
      </c>
      <c r="B1171" s="40" t="s">
        <v>12533</v>
      </c>
      <c r="C1171" s="40" t="s">
        <v>12534</v>
      </c>
      <c r="D1171" s="40" t="s">
        <v>2191</v>
      </c>
      <c r="E1171" s="41">
        <v>3359.58</v>
      </c>
      <c r="F1171" s="40" t="s">
        <v>2191</v>
      </c>
      <c r="G1171" s="41">
        <v>3360.9715000000001</v>
      </c>
      <c r="H1171" s="40"/>
      <c r="I1171" s="41"/>
      <c r="J1171" s="41">
        <f t="shared" si="4"/>
        <v>3360.2757499999998</v>
      </c>
      <c r="K1171" s="42" t="s">
        <v>5796</v>
      </c>
      <c r="L1171" s="39">
        <v>748</v>
      </c>
    </row>
    <row r="1172" spans="1:12" ht="11.25" customHeight="1">
      <c r="A1172" s="39">
        <v>604</v>
      </c>
      <c r="B1172" s="40" t="s">
        <v>12535</v>
      </c>
      <c r="C1172" s="40" t="s">
        <v>12536</v>
      </c>
      <c r="D1172" s="40" t="s">
        <v>1784</v>
      </c>
      <c r="E1172" s="41">
        <v>5364.78</v>
      </c>
      <c r="F1172" s="40" t="s">
        <v>1784</v>
      </c>
      <c r="G1172" s="41">
        <v>5186.3598000000002</v>
      </c>
      <c r="H1172" s="40"/>
      <c r="I1172" s="41"/>
      <c r="J1172" s="41">
        <f t="shared" si="4"/>
        <v>5275.5699000000004</v>
      </c>
      <c r="K1172" s="42" t="s">
        <v>5796</v>
      </c>
      <c r="L1172" s="39">
        <v>604</v>
      </c>
    </row>
    <row r="1173" spans="1:12" ht="11.25" customHeight="1">
      <c r="A1173" s="39">
        <v>389</v>
      </c>
      <c r="B1173" s="40" t="s">
        <v>12537</v>
      </c>
      <c r="C1173" s="40" t="s">
        <v>12538</v>
      </c>
      <c r="D1173" s="40" t="s">
        <v>1172</v>
      </c>
      <c r="E1173" s="41">
        <v>10709.56</v>
      </c>
      <c r="F1173" s="40" t="s">
        <v>1172</v>
      </c>
      <c r="G1173" s="41">
        <v>10709.346799999999</v>
      </c>
      <c r="H1173" s="40"/>
      <c r="I1173" s="41"/>
      <c r="J1173" s="41">
        <f t="shared" si="4"/>
        <v>10709.453399999999</v>
      </c>
      <c r="K1173" s="42" t="s">
        <v>5796</v>
      </c>
      <c r="L1173" s="39">
        <v>389</v>
      </c>
    </row>
    <row r="1174" spans="1:12" ht="11.25" customHeight="1">
      <c r="A1174" s="39">
        <v>1585</v>
      </c>
      <c r="B1174" s="40" t="s">
        <v>12539</v>
      </c>
      <c r="C1174" s="40" t="s">
        <v>12540</v>
      </c>
      <c r="D1174" s="40"/>
      <c r="E1174" s="41"/>
      <c r="F1174" s="40" t="s">
        <v>4120</v>
      </c>
      <c r="G1174" s="41">
        <v>423.63290000000001</v>
      </c>
      <c r="H1174" s="40"/>
      <c r="I1174" s="41"/>
      <c r="J1174" s="41">
        <f t="shared" si="4"/>
        <v>423.63290000000001</v>
      </c>
      <c r="K1174" s="42" t="s">
        <v>5796</v>
      </c>
      <c r="L1174" s="39">
        <v>1585</v>
      </c>
    </row>
    <row r="1175" spans="1:12" ht="11.25" customHeight="1">
      <c r="A1175" s="39">
        <v>419</v>
      </c>
      <c r="B1175" s="40" t="s">
        <v>12541</v>
      </c>
      <c r="C1175" s="40" t="s">
        <v>12542</v>
      </c>
      <c r="D1175" s="40" t="s">
        <v>1259</v>
      </c>
      <c r="E1175" s="41">
        <v>9710.66</v>
      </c>
      <c r="F1175" s="40" t="s">
        <v>1259</v>
      </c>
      <c r="G1175" s="41">
        <v>9711.6980999999996</v>
      </c>
      <c r="H1175" s="40"/>
      <c r="I1175" s="41"/>
      <c r="J1175" s="41">
        <f t="shared" si="4"/>
        <v>9711.1790499999988</v>
      </c>
      <c r="K1175" s="42" t="s">
        <v>5796</v>
      </c>
      <c r="L1175" s="39">
        <v>419</v>
      </c>
    </row>
    <row r="1176" spans="1:12" ht="11.25" customHeight="1">
      <c r="A1176" s="39">
        <v>1227</v>
      </c>
      <c r="B1176" s="40" t="s">
        <v>12543</v>
      </c>
      <c r="C1176" s="40" t="s">
        <v>12544</v>
      </c>
      <c r="D1176" s="40" t="s">
        <v>3418</v>
      </c>
      <c r="E1176" s="41">
        <v>979.82</v>
      </c>
      <c r="F1176" s="40" t="s">
        <v>3418</v>
      </c>
      <c r="G1176" s="41">
        <v>980.13440000000003</v>
      </c>
      <c r="H1176" s="40"/>
      <c r="I1176" s="41"/>
      <c r="J1176" s="41">
        <f t="shared" si="4"/>
        <v>979.97720000000004</v>
      </c>
      <c r="K1176" s="42" t="s">
        <v>5796</v>
      </c>
      <c r="L1176" s="39">
        <v>1227</v>
      </c>
    </row>
    <row r="1177" spans="1:12" ht="11.25" customHeight="1">
      <c r="A1177" s="39">
        <v>1990</v>
      </c>
      <c r="B1177" s="40" t="s">
        <v>12545</v>
      </c>
      <c r="C1177" s="40" t="s">
        <v>12546</v>
      </c>
      <c r="D1177" s="40"/>
      <c r="E1177" s="41"/>
      <c r="F1177" s="40" t="s">
        <v>4717</v>
      </c>
      <c r="G1177" s="41">
        <v>191.05629999999999</v>
      </c>
      <c r="H1177" s="40"/>
      <c r="I1177" s="41"/>
      <c r="J1177" s="41">
        <f t="shared" si="4"/>
        <v>191.05629999999999</v>
      </c>
      <c r="K1177" s="42" t="s">
        <v>5796</v>
      </c>
      <c r="L1177" s="39">
        <v>1990</v>
      </c>
    </row>
    <row r="1178" spans="1:12" ht="11.25" customHeight="1">
      <c r="A1178" s="39">
        <v>1690</v>
      </c>
      <c r="B1178" s="40" t="s">
        <v>12547</v>
      </c>
      <c r="C1178" s="40" t="s">
        <v>12548</v>
      </c>
      <c r="D1178" s="40" t="s">
        <v>4324</v>
      </c>
      <c r="E1178" s="41">
        <v>335.31</v>
      </c>
      <c r="F1178" s="40" t="s">
        <v>4324</v>
      </c>
      <c r="G1178" s="41">
        <v>335.17700000000002</v>
      </c>
      <c r="H1178" s="40"/>
      <c r="I1178" s="41"/>
      <c r="J1178" s="41">
        <f t="shared" si="4"/>
        <v>335.24350000000004</v>
      </c>
      <c r="K1178" s="42" t="s">
        <v>5796</v>
      </c>
      <c r="L1178" s="39">
        <v>1690</v>
      </c>
    </row>
    <row r="1179" spans="1:12" ht="11.25" customHeight="1">
      <c r="A1179" s="39">
        <v>1540</v>
      </c>
      <c r="B1179" s="40" t="s">
        <v>12549</v>
      </c>
      <c r="C1179" s="40" t="s">
        <v>12550</v>
      </c>
      <c r="D1179" s="40" t="s">
        <v>4039</v>
      </c>
      <c r="E1179" s="41">
        <v>467.22</v>
      </c>
      <c r="F1179" s="40" t="s">
        <v>4039</v>
      </c>
      <c r="G1179" s="41">
        <v>466.05459999999999</v>
      </c>
      <c r="H1179" s="40"/>
      <c r="I1179" s="41"/>
      <c r="J1179" s="41">
        <f t="shared" si="4"/>
        <v>466.63729999999998</v>
      </c>
      <c r="K1179" s="42" t="s">
        <v>5796</v>
      </c>
      <c r="L1179" s="39">
        <v>1540</v>
      </c>
    </row>
    <row r="1180" spans="1:12" ht="11.25" customHeight="1">
      <c r="A1180" s="39">
        <v>1362</v>
      </c>
      <c r="B1180" s="40" t="s">
        <v>12551</v>
      </c>
      <c r="C1180" s="40" t="s">
        <v>12552</v>
      </c>
      <c r="D1180" s="40" t="s">
        <v>3688</v>
      </c>
      <c r="E1180" s="41">
        <v>704.49</v>
      </c>
      <c r="F1180" s="40" t="s">
        <v>3688</v>
      </c>
      <c r="G1180" s="41">
        <v>704.971</v>
      </c>
      <c r="H1180" s="40"/>
      <c r="I1180" s="41"/>
      <c r="J1180" s="41">
        <f t="shared" si="4"/>
        <v>704.73050000000001</v>
      </c>
      <c r="K1180" s="42" t="s">
        <v>5796</v>
      </c>
      <c r="L1180" s="39">
        <v>1362</v>
      </c>
    </row>
    <row r="1181" spans="1:12" ht="11.25" customHeight="1">
      <c r="A1181" s="39">
        <v>1062</v>
      </c>
      <c r="B1181" s="40" t="s">
        <v>12553</v>
      </c>
      <c r="C1181" s="40" t="s">
        <v>12554</v>
      </c>
      <c r="D1181" s="40" t="s">
        <v>3025</v>
      </c>
      <c r="E1181" s="41">
        <v>1435.5</v>
      </c>
      <c r="F1181" s="40" t="s">
        <v>3025</v>
      </c>
      <c r="G1181" s="41">
        <v>1435.7438999999999</v>
      </c>
      <c r="H1181" s="40"/>
      <c r="I1181" s="41"/>
      <c r="J1181" s="41">
        <f t="shared" si="4"/>
        <v>1435.62195</v>
      </c>
      <c r="K1181" s="42" t="s">
        <v>5796</v>
      </c>
      <c r="L1181" s="39">
        <v>1062</v>
      </c>
    </row>
    <row r="1182" spans="1:12" ht="11.25" customHeight="1">
      <c r="A1182" s="39">
        <v>1930</v>
      </c>
      <c r="B1182" s="40" t="s">
        <v>12555</v>
      </c>
      <c r="C1182" s="40" t="s">
        <v>12556</v>
      </c>
      <c r="D1182" s="40" t="s">
        <v>4645</v>
      </c>
      <c r="E1182" s="41">
        <v>265.59834468452379</v>
      </c>
      <c r="F1182" s="40" t="s">
        <v>4645</v>
      </c>
      <c r="G1182" s="41">
        <v>150.8038</v>
      </c>
      <c r="H1182" s="40"/>
      <c r="I1182" s="41"/>
      <c r="J1182" s="41">
        <f t="shared" si="4"/>
        <v>208.20107234226191</v>
      </c>
      <c r="K1182" s="42" t="s">
        <v>5796</v>
      </c>
      <c r="L1182" s="39">
        <v>1930</v>
      </c>
    </row>
    <row r="1183" spans="1:12" ht="11.25" customHeight="1">
      <c r="A1183" s="39">
        <v>1448</v>
      </c>
      <c r="B1183" s="40" t="s">
        <v>12557</v>
      </c>
      <c r="C1183" s="40" t="s">
        <v>12558</v>
      </c>
      <c r="D1183" s="40" t="s">
        <v>3859</v>
      </c>
      <c r="E1183" s="41">
        <v>576.29</v>
      </c>
      <c r="F1183" s="40" t="s">
        <v>3859</v>
      </c>
      <c r="G1183" s="41">
        <v>576.07039999999995</v>
      </c>
      <c r="H1183" s="40"/>
      <c r="I1183" s="41"/>
      <c r="J1183" s="41">
        <f t="shared" si="4"/>
        <v>576.18020000000001</v>
      </c>
      <c r="K1183" s="42" t="s">
        <v>5796</v>
      </c>
      <c r="L1183" s="39">
        <v>1448</v>
      </c>
    </row>
    <row r="1184" spans="1:12" ht="11.25" customHeight="1">
      <c r="A1184" s="39">
        <v>1129</v>
      </c>
      <c r="B1184" s="40" t="s">
        <v>12559</v>
      </c>
      <c r="C1184" s="40" t="s">
        <v>12560</v>
      </c>
      <c r="D1184" s="40" t="s">
        <v>3184</v>
      </c>
      <c r="E1184" s="41">
        <v>1251.6400000000001</v>
      </c>
      <c r="F1184" s="40" t="s">
        <v>3184</v>
      </c>
      <c r="G1184" s="41">
        <v>1251.9157</v>
      </c>
      <c r="H1184" s="40"/>
      <c r="I1184" s="41"/>
      <c r="J1184" s="41">
        <f t="shared" si="4"/>
        <v>1251.7778499999999</v>
      </c>
      <c r="K1184" s="42" t="s">
        <v>5796</v>
      </c>
      <c r="L1184" s="39">
        <v>1129</v>
      </c>
    </row>
    <row r="1185" spans="1:12" ht="11.25" customHeight="1">
      <c r="A1185" s="39">
        <v>984</v>
      </c>
      <c r="B1185" s="40" t="s">
        <v>12561</v>
      </c>
      <c r="C1185" s="40" t="s">
        <v>12562</v>
      </c>
      <c r="D1185" s="40" t="s">
        <v>2821</v>
      </c>
      <c r="E1185" s="41">
        <v>1775.89</v>
      </c>
      <c r="F1185" s="40" t="s">
        <v>2821</v>
      </c>
      <c r="G1185" s="41">
        <v>1775.8400999999999</v>
      </c>
      <c r="H1185" s="40"/>
      <c r="I1185" s="41"/>
      <c r="J1185" s="41">
        <f t="shared" si="4"/>
        <v>1775.8650499999999</v>
      </c>
      <c r="K1185" s="42" t="s">
        <v>5796</v>
      </c>
      <c r="L1185" s="39">
        <v>984</v>
      </c>
    </row>
    <row r="1186" spans="1:12" ht="11.25" customHeight="1">
      <c r="A1186" s="39">
        <v>680</v>
      </c>
      <c r="B1186" s="40" t="s">
        <v>12563</v>
      </c>
      <c r="C1186" s="40" t="s">
        <v>12564</v>
      </c>
      <c r="D1186" s="40" t="s">
        <v>1997</v>
      </c>
      <c r="E1186" s="41">
        <v>4053.75</v>
      </c>
      <c r="F1186" s="40" t="s">
        <v>1997</v>
      </c>
      <c r="G1186" s="41">
        <v>4048.5526</v>
      </c>
      <c r="H1186" s="40"/>
      <c r="I1186" s="41"/>
      <c r="J1186" s="41">
        <f t="shared" si="4"/>
        <v>4051.1513</v>
      </c>
      <c r="K1186" s="42" t="s">
        <v>5796</v>
      </c>
      <c r="L1186" s="39">
        <v>680</v>
      </c>
    </row>
    <row r="1187" spans="1:12" ht="11.25" customHeight="1">
      <c r="A1187" s="39">
        <v>611</v>
      </c>
      <c r="B1187" s="40" t="s">
        <v>12565</v>
      </c>
      <c r="C1187" s="40" t="s">
        <v>12566</v>
      </c>
      <c r="D1187" s="40" t="s">
        <v>1805</v>
      </c>
      <c r="E1187" s="41">
        <v>5040.68</v>
      </c>
      <c r="F1187" s="40" t="s">
        <v>1805</v>
      </c>
      <c r="G1187" s="41">
        <v>5041.8703999999998</v>
      </c>
      <c r="H1187" s="40"/>
      <c r="I1187" s="41"/>
      <c r="J1187" s="41">
        <f t="shared" si="4"/>
        <v>5041.2752</v>
      </c>
      <c r="K1187" s="42" t="s">
        <v>5796</v>
      </c>
      <c r="L1187" s="39">
        <v>611</v>
      </c>
    </row>
    <row r="1188" spans="1:12" ht="11.25" customHeight="1">
      <c r="A1188" s="47">
        <v>27</v>
      </c>
      <c r="B1188" s="48" t="s">
        <v>12567</v>
      </c>
      <c r="C1188" s="48" t="s">
        <v>12568</v>
      </c>
      <c r="D1188" s="48" t="s">
        <v>89</v>
      </c>
      <c r="E1188" s="49">
        <v>224974.24</v>
      </c>
      <c r="F1188" s="48" t="s">
        <v>89</v>
      </c>
      <c r="G1188" s="49">
        <v>224992.09150000001</v>
      </c>
      <c r="H1188" s="48"/>
      <c r="I1188" s="49"/>
      <c r="J1188" s="49">
        <f t="shared" si="4"/>
        <v>224983.16574999999</v>
      </c>
      <c r="K1188" s="50" t="s">
        <v>5815</v>
      </c>
      <c r="L1188" s="47">
        <v>27</v>
      </c>
    </row>
    <row r="1189" spans="1:12" ht="11.25" customHeight="1">
      <c r="A1189" s="39">
        <v>615</v>
      </c>
      <c r="B1189" s="40" t="s">
        <v>12569</v>
      </c>
      <c r="C1189" s="40" t="s">
        <v>12570</v>
      </c>
      <c r="D1189" s="40" t="s">
        <v>1817</v>
      </c>
      <c r="E1189" s="41">
        <v>4977.0600000000004</v>
      </c>
      <c r="F1189" s="40" t="s">
        <v>1817</v>
      </c>
      <c r="G1189" s="41">
        <v>4977.0204999999996</v>
      </c>
      <c r="H1189" s="40"/>
      <c r="I1189" s="41"/>
      <c r="J1189" s="41">
        <f t="shared" si="4"/>
        <v>4977.04025</v>
      </c>
      <c r="K1189" s="42" t="s">
        <v>5796</v>
      </c>
      <c r="L1189" s="39">
        <v>615</v>
      </c>
    </row>
    <row r="1190" spans="1:12" ht="11.25" customHeight="1">
      <c r="A1190" s="39">
        <v>491</v>
      </c>
      <c r="B1190" s="40" t="s">
        <v>12571</v>
      </c>
      <c r="C1190" s="40" t="s">
        <v>12572</v>
      </c>
      <c r="D1190" s="40" t="s">
        <v>1460</v>
      </c>
      <c r="E1190" s="41">
        <v>7514.75</v>
      </c>
      <c r="F1190" s="40" t="s">
        <v>1460</v>
      </c>
      <c r="G1190" s="41">
        <v>7515.1484</v>
      </c>
      <c r="H1190" s="40"/>
      <c r="I1190" s="41"/>
      <c r="J1190" s="41">
        <f t="shared" si="4"/>
        <v>7514.9492</v>
      </c>
      <c r="K1190" s="42" t="s">
        <v>5796</v>
      </c>
      <c r="L1190" s="39">
        <v>491</v>
      </c>
    </row>
    <row r="1191" spans="1:12" ht="11.25" customHeight="1">
      <c r="A1191" s="39">
        <v>603</v>
      </c>
      <c r="B1191" s="40" t="s">
        <v>12573</v>
      </c>
      <c r="C1191" s="40" t="s">
        <v>12574</v>
      </c>
      <c r="D1191" s="40" t="s">
        <v>1781</v>
      </c>
      <c r="E1191" s="41">
        <v>5277.12</v>
      </c>
      <c r="F1191" s="40" t="s">
        <v>1781</v>
      </c>
      <c r="G1191" s="41">
        <v>5279.8955999999998</v>
      </c>
      <c r="H1191" s="40"/>
      <c r="I1191" s="41"/>
      <c r="J1191" s="41">
        <f t="shared" si="4"/>
        <v>5278.5077999999994</v>
      </c>
      <c r="K1191" s="42" t="s">
        <v>5796</v>
      </c>
      <c r="L1191" s="39">
        <v>603</v>
      </c>
    </row>
    <row r="1192" spans="1:12" ht="11.25" customHeight="1">
      <c r="A1192" s="39">
        <v>510</v>
      </c>
      <c r="B1192" s="40" t="s">
        <v>12575</v>
      </c>
      <c r="C1192" s="40" t="s">
        <v>12576</v>
      </c>
      <c r="D1192" s="40" t="s">
        <v>1517</v>
      </c>
      <c r="E1192" s="41">
        <v>7178.12</v>
      </c>
      <c r="F1192" s="40" t="s">
        <v>1517</v>
      </c>
      <c r="G1192" s="41">
        <v>7176.9381000000003</v>
      </c>
      <c r="H1192" s="40"/>
      <c r="I1192" s="41"/>
      <c r="J1192" s="41">
        <f t="shared" si="4"/>
        <v>7177.5290500000001</v>
      </c>
      <c r="K1192" s="42" t="s">
        <v>5796</v>
      </c>
      <c r="L1192" s="39">
        <v>510</v>
      </c>
    </row>
    <row r="1193" spans="1:12" ht="11.25" customHeight="1">
      <c r="A1193" s="39">
        <v>2961</v>
      </c>
      <c r="B1193" s="40" t="s">
        <v>12577</v>
      </c>
      <c r="C1193" s="40" t="s">
        <v>12578</v>
      </c>
      <c r="D1193" s="40" t="s">
        <v>5538</v>
      </c>
      <c r="E1193" s="41">
        <v>40.51</v>
      </c>
      <c r="F1193" s="40" t="s">
        <v>5538</v>
      </c>
      <c r="G1193" s="41">
        <v>40.467500000000001</v>
      </c>
      <c r="H1193" s="40"/>
      <c r="I1193" s="41"/>
      <c r="J1193" s="41">
        <f t="shared" si="4"/>
        <v>40.488749999999996</v>
      </c>
      <c r="K1193" s="42" t="s">
        <v>5796</v>
      </c>
      <c r="L1193" s="39">
        <v>2961</v>
      </c>
    </row>
    <row r="1194" spans="1:12" ht="11.25" customHeight="1">
      <c r="A1194" s="39">
        <v>725</v>
      </c>
      <c r="B1194" s="40" t="s">
        <v>12579</v>
      </c>
      <c r="C1194" s="40" t="s">
        <v>12580</v>
      </c>
      <c r="D1194" s="40" t="s">
        <v>2122</v>
      </c>
      <c r="E1194" s="41">
        <v>3551.67</v>
      </c>
      <c r="F1194" s="40" t="s">
        <v>2122</v>
      </c>
      <c r="G1194" s="41">
        <v>3552.0448000000001</v>
      </c>
      <c r="H1194" s="40"/>
      <c r="I1194" s="41"/>
      <c r="J1194" s="41">
        <f t="shared" si="4"/>
        <v>3551.8573999999999</v>
      </c>
      <c r="K1194" s="42" t="s">
        <v>5796</v>
      </c>
      <c r="L1194" s="39">
        <v>725</v>
      </c>
    </row>
    <row r="1195" spans="1:12" ht="11.25" customHeight="1">
      <c r="A1195" s="39">
        <v>2650</v>
      </c>
      <c r="B1195" s="40" t="s">
        <v>6573</v>
      </c>
      <c r="C1195" s="40" t="s">
        <v>12581</v>
      </c>
      <c r="D1195" s="40" t="s">
        <v>5418</v>
      </c>
      <c r="E1195" s="41">
        <v>62.52</v>
      </c>
      <c r="F1195" s="40" t="s">
        <v>5418</v>
      </c>
      <c r="G1195" s="41">
        <v>63.2577</v>
      </c>
      <c r="H1195" s="40"/>
      <c r="I1195" s="41"/>
      <c r="J1195" s="41">
        <f t="shared" si="4"/>
        <v>62.888850000000005</v>
      </c>
      <c r="K1195" s="42" t="s">
        <v>5796</v>
      </c>
      <c r="L1195" s="39">
        <v>2650</v>
      </c>
    </row>
    <row r="1196" spans="1:12" ht="11.25" customHeight="1">
      <c r="A1196" s="39">
        <v>1142</v>
      </c>
      <c r="B1196" s="40" t="s">
        <v>12582</v>
      </c>
      <c r="C1196" s="40" t="s">
        <v>12583</v>
      </c>
      <c r="D1196" s="40" t="s">
        <v>3211</v>
      </c>
      <c r="E1196" s="41">
        <v>1225.33</v>
      </c>
      <c r="F1196" s="40" t="s">
        <v>3211</v>
      </c>
      <c r="G1196" s="41">
        <v>1225.5609999999999</v>
      </c>
      <c r="H1196" s="40"/>
      <c r="I1196" s="41"/>
      <c r="J1196" s="41">
        <f t="shared" si="4"/>
        <v>1225.4454999999998</v>
      </c>
      <c r="K1196" s="42" t="s">
        <v>5796</v>
      </c>
      <c r="L1196" s="39">
        <v>1142</v>
      </c>
    </row>
    <row r="1197" spans="1:12" ht="11.25" customHeight="1">
      <c r="A1197" s="43">
        <v>249</v>
      </c>
      <c r="B1197" s="44" t="s">
        <v>12584</v>
      </c>
      <c r="C1197" s="44" t="s">
        <v>12585</v>
      </c>
      <c r="D1197" s="44" t="s">
        <v>755</v>
      </c>
      <c r="E1197" s="45">
        <v>22015.16</v>
      </c>
      <c r="F1197" s="44" t="s">
        <v>755</v>
      </c>
      <c r="G1197" s="45">
        <v>22011.372599999999</v>
      </c>
      <c r="H1197" s="44"/>
      <c r="I1197" s="45"/>
      <c r="J1197" s="45">
        <f t="shared" si="4"/>
        <v>22013.266299999999</v>
      </c>
      <c r="K1197" s="46" t="s">
        <v>5800</v>
      </c>
      <c r="L1197" s="43">
        <v>249</v>
      </c>
    </row>
    <row r="1198" spans="1:12" ht="11.25" customHeight="1">
      <c r="A1198" s="43">
        <v>117</v>
      </c>
      <c r="B1198" s="44" t="s">
        <v>12586</v>
      </c>
      <c r="C1198" s="44" t="s">
        <v>12587</v>
      </c>
      <c r="D1198" s="44" t="s">
        <v>365</v>
      </c>
      <c r="E1198" s="45">
        <v>54187.25</v>
      </c>
      <c r="F1198" s="44" t="s">
        <v>365</v>
      </c>
      <c r="G1198" s="45">
        <v>53048.719899999996</v>
      </c>
      <c r="H1198" s="44"/>
      <c r="I1198" s="45"/>
      <c r="J1198" s="45">
        <f t="shared" si="4"/>
        <v>53617.984949999998</v>
      </c>
      <c r="K1198" s="46" t="s">
        <v>5800</v>
      </c>
      <c r="L1198" s="43">
        <v>117</v>
      </c>
    </row>
    <row r="1199" spans="1:12" ht="11.25" customHeight="1">
      <c r="A1199" s="43">
        <v>227</v>
      </c>
      <c r="B1199" s="44" t="s">
        <v>12588</v>
      </c>
      <c r="C1199" s="44" t="s">
        <v>12589</v>
      </c>
      <c r="D1199" s="44" t="s">
        <v>692</v>
      </c>
      <c r="E1199" s="45">
        <v>24909.65</v>
      </c>
      <c r="F1199" s="44" t="s">
        <v>692</v>
      </c>
      <c r="G1199" s="45">
        <v>24910.383900000001</v>
      </c>
      <c r="H1199" s="44"/>
      <c r="I1199" s="45"/>
      <c r="J1199" s="45">
        <f t="shared" si="4"/>
        <v>24910.016950000001</v>
      </c>
      <c r="K1199" s="46" t="s">
        <v>5800</v>
      </c>
      <c r="L1199" s="43">
        <v>227</v>
      </c>
    </row>
    <row r="1200" spans="1:12" ht="11.25" customHeight="1">
      <c r="A1200" s="39">
        <v>2570</v>
      </c>
      <c r="B1200" s="40" t="s">
        <v>6576</v>
      </c>
      <c r="C1200" s="40" t="s">
        <v>12590</v>
      </c>
      <c r="D1200" s="40" t="s">
        <v>5352</v>
      </c>
      <c r="E1200" s="41">
        <v>72.64</v>
      </c>
      <c r="F1200" s="40" t="s">
        <v>5352</v>
      </c>
      <c r="G1200" s="41">
        <v>72.525899999999993</v>
      </c>
      <c r="H1200" s="40"/>
      <c r="I1200" s="41"/>
      <c r="J1200" s="41">
        <f t="shared" si="4"/>
        <v>72.582949999999997</v>
      </c>
      <c r="K1200" s="42" t="s">
        <v>5796</v>
      </c>
      <c r="L1200" s="39">
        <v>2570</v>
      </c>
    </row>
    <row r="1201" spans="1:12" ht="11.25" customHeight="1">
      <c r="A1201" s="39">
        <v>1073</v>
      </c>
      <c r="B1201" s="40" t="s">
        <v>12591</v>
      </c>
      <c r="C1201" s="40" t="s">
        <v>12592</v>
      </c>
      <c r="D1201" s="40" t="s">
        <v>3049</v>
      </c>
      <c r="E1201" s="41">
        <v>1402.12</v>
      </c>
      <c r="F1201" s="40" t="s">
        <v>3049</v>
      </c>
      <c r="G1201" s="41">
        <v>1401.3860999999999</v>
      </c>
      <c r="H1201" s="40"/>
      <c r="I1201" s="41"/>
      <c r="J1201" s="41">
        <f t="shared" si="4"/>
        <v>1401.7530499999998</v>
      </c>
      <c r="K1201" s="42" t="s">
        <v>5796</v>
      </c>
      <c r="L1201" s="39">
        <v>1073</v>
      </c>
    </row>
    <row r="1202" spans="1:12" ht="11.25" customHeight="1">
      <c r="A1202" s="39">
        <v>600</v>
      </c>
      <c r="B1202" s="40" t="s">
        <v>12593</v>
      </c>
      <c r="C1202" s="40" t="s">
        <v>12594</v>
      </c>
      <c r="D1202" s="40" t="s">
        <v>1772</v>
      </c>
      <c r="E1202" s="41">
        <v>5379.99</v>
      </c>
      <c r="F1202" s="40" t="s">
        <v>1772</v>
      </c>
      <c r="G1202" s="41">
        <v>5378.1652999999997</v>
      </c>
      <c r="H1202" s="40"/>
      <c r="I1202" s="41"/>
      <c r="J1202" s="41">
        <f t="shared" si="4"/>
        <v>5379.0776499999993</v>
      </c>
      <c r="K1202" s="42" t="s">
        <v>5796</v>
      </c>
      <c r="L1202" s="39">
        <v>600</v>
      </c>
    </row>
    <row r="1203" spans="1:12" ht="11.25" customHeight="1">
      <c r="A1203" s="39">
        <v>1841</v>
      </c>
      <c r="B1203" s="40" t="s">
        <v>12595</v>
      </c>
      <c r="C1203" s="40" t="s">
        <v>12596</v>
      </c>
      <c r="D1203" s="40" t="s">
        <v>12597</v>
      </c>
      <c r="E1203" s="41">
        <v>253.84</v>
      </c>
      <c r="F1203" s="40" t="s">
        <v>4525</v>
      </c>
      <c r="G1203" s="41">
        <v>253.55029999999999</v>
      </c>
      <c r="H1203" s="40"/>
      <c r="I1203" s="41"/>
      <c r="J1203" s="41">
        <f t="shared" si="4"/>
        <v>253.69515000000001</v>
      </c>
      <c r="K1203" s="42" t="s">
        <v>5796</v>
      </c>
      <c r="L1203" s="39">
        <v>1841</v>
      </c>
    </row>
    <row r="1204" spans="1:12" ht="11.25" customHeight="1">
      <c r="A1204" s="39">
        <v>2178</v>
      </c>
      <c r="B1204" s="40" t="s">
        <v>12598</v>
      </c>
      <c r="C1204" s="40" t="s">
        <v>12599</v>
      </c>
      <c r="D1204" s="40" t="s">
        <v>4987</v>
      </c>
      <c r="E1204" s="41">
        <v>137.69</v>
      </c>
      <c r="F1204" s="40" t="s">
        <v>4987</v>
      </c>
      <c r="G1204" s="41">
        <v>137.75</v>
      </c>
      <c r="H1204" s="40"/>
      <c r="I1204" s="41"/>
      <c r="J1204" s="41">
        <f t="shared" si="4"/>
        <v>137.72</v>
      </c>
      <c r="K1204" s="42" t="s">
        <v>5796</v>
      </c>
      <c r="L1204" s="39">
        <v>2178</v>
      </c>
    </row>
    <row r="1205" spans="1:12" ht="11.25" customHeight="1">
      <c r="A1205" s="39">
        <v>730</v>
      </c>
      <c r="B1205" s="40" t="s">
        <v>12600</v>
      </c>
      <c r="C1205" s="40" t="s">
        <v>12601</v>
      </c>
      <c r="D1205" s="40" t="s">
        <v>2137</v>
      </c>
      <c r="E1205" s="41">
        <v>3510.36</v>
      </c>
      <c r="F1205" s="40" t="s">
        <v>2137</v>
      </c>
      <c r="G1205" s="41">
        <v>3509.6822000000002</v>
      </c>
      <c r="H1205" s="40"/>
      <c r="I1205" s="41"/>
      <c r="J1205" s="41">
        <f t="shared" si="4"/>
        <v>3510.0210999999999</v>
      </c>
      <c r="K1205" s="42" t="s">
        <v>5796</v>
      </c>
      <c r="L1205" s="39">
        <v>730</v>
      </c>
    </row>
    <row r="1206" spans="1:12" ht="11.25" customHeight="1">
      <c r="A1206" s="39">
        <v>1351</v>
      </c>
      <c r="B1206" s="40" t="s">
        <v>12602</v>
      </c>
      <c r="C1206" s="40" t="s">
        <v>12603</v>
      </c>
      <c r="D1206" s="40" t="s">
        <v>3667</v>
      </c>
      <c r="E1206" s="41">
        <v>724.34</v>
      </c>
      <c r="F1206" s="40" t="s">
        <v>3667</v>
      </c>
      <c r="G1206" s="41">
        <v>723.80790000000002</v>
      </c>
      <c r="H1206" s="40"/>
      <c r="I1206" s="41"/>
      <c r="J1206" s="41">
        <f t="shared" si="4"/>
        <v>724.07394999999997</v>
      </c>
      <c r="K1206" s="42" t="s">
        <v>5796</v>
      </c>
      <c r="L1206" s="39">
        <v>1351</v>
      </c>
    </row>
    <row r="1207" spans="1:12" ht="11.25" customHeight="1">
      <c r="A1207" s="39">
        <v>1608</v>
      </c>
      <c r="B1207" s="40" t="s">
        <v>12604</v>
      </c>
      <c r="C1207" s="40" t="s">
        <v>12605</v>
      </c>
      <c r="D1207" s="40" t="s">
        <v>4162</v>
      </c>
      <c r="E1207" s="41">
        <v>407.06</v>
      </c>
      <c r="F1207" s="40" t="s">
        <v>4162</v>
      </c>
      <c r="G1207" s="41">
        <v>406.30369999999999</v>
      </c>
      <c r="H1207" s="40"/>
      <c r="I1207" s="41"/>
      <c r="J1207" s="41">
        <f t="shared" si="4"/>
        <v>406.68185</v>
      </c>
      <c r="K1207" s="42" t="s">
        <v>5796</v>
      </c>
      <c r="L1207" s="39">
        <v>1608</v>
      </c>
    </row>
    <row r="1208" spans="1:12" ht="11.25" customHeight="1">
      <c r="A1208" s="39">
        <v>2130</v>
      </c>
      <c r="B1208" s="40" t="s">
        <v>12606</v>
      </c>
      <c r="C1208" s="40" t="s">
        <v>12607</v>
      </c>
      <c r="D1208" s="40" t="s">
        <v>4927</v>
      </c>
      <c r="E1208" s="41">
        <v>151.07</v>
      </c>
      <c r="F1208" s="40" t="s">
        <v>4927</v>
      </c>
      <c r="G1208" s="41">
        <v>150.99690000000001</v>
      </c>
      <c r="H1208" s="40"/>
      <c r="I1208" s="41"/>
      <c r="J1208" s="41">
        <f t="shared" si="4"/>
        <v>151.03345000000002</v>
      </c>
      <c r="K1208" s="42" t="s">
        <v>5796</v>
      </c>
      <c r="L1208" s="39">
        <v>2130</v>
      </c>
    </row>
    <row r="1209" spans="1:12" ht="11.25" customHeight="1">
      <c r="A1209" s="39">
        <v>4150</v>
      </c>
      <c r="B1209" s="40" t="s">
        <v>12608</v>
      </c>
      <c r="C1209" s="40" t="s">
        <v>12609</v>
      </c>
      <c r="D1209" s="40"/>
      <c r="E1209" s="41"/>
      <c r="F1209" s="40" t="s">
        <v>5769</v>
      </c>
      <c r="G1209" s="41">
        <v>6.72</v>
      </c>
      <c r="H1209" s="40"/>
      <c r="I1209" s="41"/>
      <c r="J1209" s="41">
        <f t="shared" si="4"/>
        <v>6.72</v>
      </c>
      <c r="K1209" s="42" t="s">
        <v>5796</v>
      </c>
      <c r="L1209" s="39">
        <v>4150</v>
      </c>
    </row>
    <row r="1210" spans="1:12" ht="11.25" customHeight="1">
      <c r="A1210" s="39">
        <v>2100</v>
      </c>
      <c r="B1210" s="40" t="s">
        <v>12610</v>
      </c>
      <c r="C1210" s="40" t="s">
        <v>12611</v>
      </c>
      <c r="D1210" s="40" t="s">
        <v>4879</v>
      </c>
      <c r="E1210" s="41">
        <v>160.94999999999999</v>
      </c>
      <c r="F1210" s="40" t="s">
        <v>4879</v>
      </c>
      <c r="G1210" s="41">
        <v>160.767</v>
      </c>
      <c r="H1210" s="40"/>
      <c r="I1210" s="41"/>
      <c r="J1210" s="41">
        <f t="shared" si="4"/>
        <v>160.85849999999999</v>
      </c>
      <c r="K1210" s="42" t="s">
        <v>5796</v>
      </c>
      <c r="L1210" s="39">
        <v>2100</v>
      </c>
    </row>
    <row r="1211" spans="1:12" ht="11.25" customHeight="1">
      <c r="A1211" s="39">
        <v>1015</v>
      </c>
      <c r="B1211" s="40" t="s">
        <v>12612</v>
      </c>
      <c r="C1211" s="40" t="s">
        <v>12613</v>
      </c>
      <c r="D1211" s="40" t="s">
        <v>2908</v>
      </c>
      <c r="E1211" s="41">
        <v>1641.06</v>
      </c>
      <c r="F1211" s="40" t="s">
        <v>2908</v>
      </c>
      <c r="G1211" s="41">
        <v>1641.9482</v>
      </c>
      <c r="H1211" s="40"/>
      <c r="I1211" s="41"/>
      <c r="J1211" s="41">
        <f t="shared" si="4"/>
        <v>1641.5041000000001</v>
      </c>
      <c r="K1211" s="42" t="s">
        <v>5796</v>
      </c>
      <c r="L1211" s="39">
        <v>1015</v>
      </c>
    </row>
    <row r="1212" spans="1:12" ht="11.25" customHeight="1">
      <c r="A1212" s="39">
        <v>2298</v>
      </c>
      <c r="B1212" s="40" t="s">
        <v>12614</v>
      </c>
      <c r="C1212" s="40" t="s">
        <v>12615</v>
      </c>
      <c r="D1212" s="40"/>
      <c r="E1212" s="41"/>
      <c r="F1212" s="40" t="s">
        <v>5134</v>
      </c>
      <c r="G1212" s="41">
        <v>112.13639999999999</v>
      </c>
      <c r="H1212" s="40"/>
      <c r="I1212" s="41"/>
      <c r="J1212" s="41">
        <f t="shared" si="4"/>
        <v>112.13639999999999</v>
      </c>
      <c r="K1212" s="42" t="s">
        <v>5796</v>
      </c>
      <c r="L1212" s="39">
        <v>2298</v>
      </c>
    </row>
    <row r="1213" spans="1:12" ht="11.25" customHeight="1">
      <c r="A1213" s="39">
        <v>3140</v>
      </c>
      <c r="B1213" s="40" t="s">
        <v>12616</v>
      </c>
      <c r="C1213" s="40" t="s">
        <v>12617</v>
      </c>
      <c r="D1213" s="40" t="s">
        <v>5592</v>
      </c>
      <c r="E1213" s="41">
        <v>30.83</v>
      </c>
      <c r="F1213" s="40" t="s">
        <v>5592</v>
      </c>
      <c r="G1213" s="41">
        <v>30.5182</v>
      </c>
      <c r="H1213" s="40"/>
      <c r="I1213" s="41"/>
      <c r="J1213" s="41">
        <f t="shared" si="4"/>
        <v>30.674099999999999</v>
      </c>
      <c r="K1213" s="42" t="s">
        <v>5796</v>
      </c>
      <c r="L1213" s="39">
        <v>3140</v>
      </c>
    </row>
    <row r="1214" spans="1:12" ht="11.25" customHeight="1">
      <c r="A1214" s="39">
        <v>267</v>
      </c>
      <c r="B1214" s="40" t="s">
        <v>12618</v>
      </c>
      <c r="C1214" s="40" t="s">
        <v>12619</v>
      </c>
      <c r="D1214" s="40" t="s">
        <v>812</v>
      </c>
      <c r="E1214" s="41">
        <v>20079.060000000001</v>
      </c>
      <c r="F1214" s="40" t="s">
        <v>812</v>
      </c>
      <c r="G1214" s="41">
        <v>20081.5733</v>
      </c>
      <c r="H1214" s="40"/>
      <c r="I1214" s="41"/>
      <c r="J1214" s="41">
        <f t="shared" si="4"/>
        <v>20080.316650000001</v>
      </c>
      <c r="K1214" s="42" t="s">
        <v>5796</v>
      </c>
      <c r="L1214" s="39">
        <v>267</v>
      </c>
    </row>
    <row r="1215" spans="1:12" ht="11.25" customHeight="1">
      <c r="A1215" s="43">
        <v>154</v>
      </c>
      <c r="B1215" s="44" t="s">
        <v>12620</v>
      </c>
      <c r="C1215" s="44" t="s">
        <v>12621</v>
      </c>
      <c r="D1215" s="44" t="s">
        <v>473</v>
      </c>
      <c r="E1215" s="45">
        <v>43076.72</v>
      </c>
      <c r="F1215" s="44" t="s">
        <v>473</v>
      </c>
      <c r="G1215" s="45">
        <v>43086.169000000002</v>
      </c>
      <c r="H1215" s="44"/>
      <c r="I1215" s="45"/>
      <c r="J1215" s="45">
        <f t="shared" si="4"/>
        <v>43081.444499999998</v>
      </c>
      <c r="K1215" s="46" t="s">
        <v>5800</v>
      </c>
      <c r="L1215" s="43">
        <v>154</v>
      </c>
    </row>
    <row r="1216" spans="1:12" ht="11.25" customHeight="1">
      <c r="A1216" s="39">
        <v>703</v>
      </c>
      <c r="B1216" s="40" t="s">
        <v>12622</v>
      </c>
      <c r="C1216" s="40" t="s">
        <v>12623</v>
      </c>
      <c r="D1216" s="40" t="s">
        <v>2063</v>
      </c>
      <c r="E1216" s="41">
        <v>3854</v>
      </c>
      <c r="F1216" s="40" t="s">
        <v>2063</v>
      </c>
      <c r="G1216" s="41">
        <v>3854.5286000000001</v>
      </c>
      <c r="H1216" s="40"/>
      <c r="I1216" s="41"/>
      <c r="J1216" s="41">
        <f t="shared" si="4"/>
        <v>3854.2642999999998</v>
      </c>
      <c r="K1216" s="42" t="s">
        <v>5796</v>
      </c>
      <c r="L1216" s="39">
        <v>703</v>
      </c>
    </row>
    <row r="1217" spans="1:12" ht="11.25" customHeight="1">
      <c r="A1217" s="39">
        <v>2096</v>
      </c>
      <c r="B1217" s="40" t="s">
        <v>12624</v>
      </c>
      <c r="C1217" s="40" t="s">
        <v>12625</v>
      </c>
      <c r="D1217" s="40" t="s">
        <v>4870</v>
      </c>
      <c r="E1217" s="41">
        <v>163.37</v>
      </c>
      <c r="F1217" s="40" t="s">
        <v>4870</v>
      </c>
      <c r="G1217" s="41">
        <v>162.9657</v>
      </c>
      <c r="H1217" s="40"/>
      <c r="I1217" s="41"/>
      <c r="J1217" s="41">
        <f t="shared" si="4"/>
        <v>163.16784999999999</v>
      </c>
      <c r="K1217" s="42" t="s">
        <v>5796</v>
      </c>
      <c r="L1217" s="39">
        <v>2096</v>
      </c>
    </row>
    <row r="1218" spans="1:12" ht="11.25" customHeight="1">
      <c r="A1218" s="39">
        <v>3757</v>
      </c>
      <c r="B1218" s="40" t="s">
        <v>12626</v>
      </c>
      <c r="C1218" s="40" t="s">
        <v>12627</v>
      </c>
      <c r="D1218" s="40" t="s">
        <v>5727</v>
      </c>
      <c r="E1218" s="41">
        <v>12.02</v>
      </c>
      <c r="F1218" s="40" t="s">
        <v>5727</v>
      </c>
      <c r="G1218" s="41">
        <v>11.908200000000001</v>
      </c>
      <c r="H1218" s="40"/>
      <c r="I1218" s="41"/>
      <c r="J1218" s="41">
        <f t="shared" si="4"/>
        <v>11.9641</v>
      </c>
      <c r="K1218" s="42" t="s">
        <v>5796</v>
      </c>
      <c r="L1218" s="39">
        <v>3757</v>
      </c>
    </row>
    <row r="1219" spans="1:12" ht="11.25" customHeight="1">
      <c r="A1219" s="39">
        <v>1437</v>
      </c>
      <c r="B1219" s="40" t="s">
        <v>12628</v>
      </c>
      <c r="C1219" s="40" t="s">
        <v>12629</v>
      </c>
      <c r="D1219" s="40" t="s">
        <v>12630</v>
      </c>
      <c r="E1219" s="41">
        <v>589.67999999999995</v>
      </c>
      <c r="F1219" s="40" t="s">
        <v>3844</v>
      </c>
      <c r="G1219" s="41">
        <v>590.30060000000003</v>
      </c>
      <c r="H1219" s="40"/>
      <c r="I1219" s="41"/>
      <c r="J1219" s="41">
        <f t="shared" si="4"/>
        <v>589.99029999999993</v>
      </c>
      <c r="K1219" s="42" t="s">
        <v>5796</v>
      </c>
      <c r="L1219" s="39">
        <v>1437</v>
      </c>
    </row>
    <row r="1220" spans="1:12" ht="11.25" customHeight="1">
      <c r="A1220" s="39">
        <v>846</v>
      </c>
      <c r="B1220" s="40" t="s">
        <v>12631</v>
      </c>
      <c r="C1220" s="40" t="s">
        <v>12632</v>
      </c>
      <c r="D1220" s="40" t="s">
        <v>2458</v>
      </c>
      <c r="E1220" s="41">
        <v>2529.21</v>
      </c>
      <c r="F1220" s="40" t="s">
        <v>2458</v>
      </c>
      <c r="G1220" s="41">
        <v>2529.5821999999998</v>
      </c>
      <c r="H1220" s="40"/>
      <c r="I1220" s="41"/>
      <c r="J1220" s="41">
        <f t="shared" si="4"/>
        <v>2529.3960999999999</v>
      </c>
      <c r="K1220" s="42" t="s">
        <v>5796</v>
      </c>
      <c r="L1220" s="39">
        <v>846</v>
      </c>
    </row>
    <row r="1221" spans="1:12" ht="11.25" customHeight="1">
      <c r="A1221" s="39">
        <v>1564</v>
      </c>
      <c r="B1221" s="40" t="s">
        <v>12633</v>
      </c>
      <c r="C1221" s="40" t="s">
        <v>12634</v>
      </c>
      <c r="D1221" s="40"/>
      <c r="E1221" s="41"/>
      <c r="F1221" s="40" t="s">
        <v>4087</v>
      </c>
      <c r="G1221" s="41">
        <v>445.15620000000001</v>
      </c>
      <c r="H1221" s="40"/>
      <c r="I1221" s="41"/>
      <c r="J1221" s="41">
        <f t="shared" si="4"/>
        <v>445.15620000000001</v>
      </c>
      <c r="K1221" s="42" t="s">
        <v>5796</v>
      </c>
      <c r="L1221" s="39">
        <v>1564</v>
      </c>
    </row>
    <row r="1222" spans="1:12" ht="11.25" customHeight="1">
      <c r="A1222" s="39">
        <v>1079</v>
      </c>
      <c r="B1222" s="40" t="s">
        <v>12635</v>
      </c>
      <c r="C1222" s="40" t="s">
        <v>12636</v>
      </c>
      <c r="D1222" s="40" t="s">
        <v>3064</v>
      </c>
      <c r="E1222" s="41">
        <v>1387.41</v>
      </c>
      <c r="F1222" s="40" t="s">
        <v>3064</v>
      </c>
      <c r="G1222" s="41">
        <v>1386.3661999999999</v>
      </c>
      <c r="H1222" s="40"/>
      <c r="I1222" s="41"/>
      <c r="J1222" s="41">
        <f t="shared" si="4"/>
        <v>1386.8881000000001</v>
      </c>
      <c r="K1222" s="42" t="s">
        <v>5796</v>
      </c>
      <c r="L1222" s="39">
        <v>1079</v>
      </c>
    </row>
    <row r="1223" spans="1:12" ht="11.25" customHeight="1">
      <c r="A1223" s="39">
        <v>331</v>
      </c>
      <c r="B1223" s="40" t="s">
        <v>12637</v>
      </c>
      <c r="C1223" s="40" t="s">
        <v>12638</v>
      </c>
      <c r="D1223" s="40" t="s">
        <v>1004</v>
      </c>
      <c r="E1223" s="41">
        <v>14002.43</v>
      </c>
      <c r="F1223" s="40" t="s">
        <v>1004</v>
      </c>
      <c r="G1223" s="41">
        <v>14000.9694</v>
      </c>
      <c r="H1223" s="40"/>
      <c r="I1223" s="41"/>
      <c r="J1223" s="41">
        <f t="shared" si="4"/>
        <v>14001.699700000001</v>
      </c>
      <c r="K1223" s="42" t="s">
        <v>5796</v>
      </c>
      <c r="L1223" s="39">
        <v>331</v>
      </c>
    </row>
    <row r="1224" spans="1:12" ht="11.25" customHeight="1">
      <c r="A1224" s="47">
        <v>26</v>
      </c>
      <c r="B1224" s="48" t="s">
        <v>12639</v>
      </c>
      <c r="C1224" s="48" t="s">
        <v>12640</v>
      </c>
      <c r="D1224" s="48" t="s">
        <v>86</v>
      </c>
      <c r="E1224" s="49">
        <v>230688.77</v>
      </c>
      <c r="F1224" s="48" t="s">
        <v>86</v>
      </c>
      <c r="G1224" s="49">
        <v>230702.8461</v>
      </c>
      <c r="H1224" s="48"/>
      <c r="I1224" s="49"/>
      <c r="J1224" s="49">
        <f t="shared" si="4"/>
        <v>230695.80804999999</v>
      </c>
      <c r="K1224" s="50" t="s">
        <v>5815</v>
      </c>
      <c r="L1224" s="47">
        <v>26</v>
      </c>
    </row>
    <row r="1225" spans="1:12" ht="11.25" customHeight="1">
      <c r="A1225" s="39">
        <v>755</v>
      </c>
      <c r="B1225" s="40" t="s">
        <v>12641</v>
      </c>
      <c r="C1225" s="40" t="s">
        <v>12642</v>
      </c>
      <c r="D1225" s="40" t="s">
        <v>2212</v>
      </c>
      <c r="E1225" s="41">
        <v>3281.49</v>
      </c>
      <c r="F1225" s="40" t="s">
        <v>2212</v>
      </c>
      <c r="G1225" s="41">
        <v>3283.4998999999998</v>
      </c>
      <c r="H1225" s="40"/>
      <c r="I1225" s="41"/>
      <c r="J1225" s="41">
        <f t="shared" si="4"/>
        <v>3282.4949499999998</v>
      </c>
      <c r="K1225" s="42" t="s">
        <v>5796</v>
      </c>
      <c r="L1225" s="39">
        <v>755</v>
      </c>
    </row>
    <row r="1226" spans="1:12" ht="11.25" customHeight="1">
      <c r="A1226" s="39">
        <v>1666</v>
      </c>
      <c r="B1226" s="40" t="s">
        <v>12643</v>
      </c>
      <c r="C1226" s="40" t="s">
        <v>12644</v>
      </c>
      <c r="D1226" s="40" t="s">
        <v>4270</v>
      </c>
      <c r="E1226" s="41">
        <v>353.77</v>
      </c>
      <c r="F1226" s="40" t="s">
        <v>4270</v>
      </c>
      <c r="G1226" s="41">
        <v>353.75220000000002</v>
      </c>
      <c r="H1226" s="40"/>
      <c r="I1226" s="41"/>
      <c r="J1226" s="41">
        <f t="shared" si="4"/>
        <v>353.7611</v>
      </c>
      <c r="K1226" s="42" t="s">
        <v>5796</v>
      </c>
      <c r="L1226" s="39">
        <v>1666</v>
      </c>
    </row>
    <row r="1227" spans="1:12" ht="11.25" customHeight="1">
      <c r="A1227" s="39">
        <v>398</v>
      </c>
      <c r="B1227" s="40" t="s">
        <v>12645</v>
      </c>
      <c r="C1227" s="40" t="s">
        <v>12646</v>
      </c>
      <c r="D1227" s="40" t="s">
        <v>1202</v>
      </c>
      <c r="E1227" s="41">
        <v>10272.975449136458</v>
      </c>
      <c r="F1227" s="40" t="s">
        <v>1202</v>
      </c>
      <c r="G1227" s="41">
        <v>10266.3254</v>
      </c>
      <c r="H1227" s="40"/>
      <c r="I1227" s="41"/>
      <c r="J1227" s="41">
        <f t="shared" si="4"/>
        <v>10269.65042456823</v>
      </c>
      <c r="K1227" s="42" t="s">
        <v>5796</v>
      </c>
      <c r="L1227" s="39">
        <v>398</v>
      </c>
    </row>
    <row r="1228" spans="1:12" ht="11.25" customHeight="1">
      <c r="A1228" s="39">
        <v>342</v>
      </c>
      <c r="B1228" s="40" t="s">
        <v>12647</v>
      </c>
      <c r="C1228" s="40" t="s">
        <v>12648</v>
      </c>
      <c r="D1228" s="40" t="s">
        <v>1037</v>
      </c>
      <c r="E1228" s="41">
        <v>12815.3</v>
      </c>
      <c r="F1228" s="40" t="s">
        <v>1037</v>
      </c>
      <c r="G1228" s="41">
        <v>12815.9149</v>
      </c>
      <c r="H1228" s="40"/>
      <c r="I1228" s="41"/>
      <c r="J1228" s="41">
        <f t="shared" si="4"/>
        <v>12815.60745</v>
      </c>
      <c r="K1228" s="42" t="s">
        <v>5796</v>
      </c>
      <c r="L1228" s="39">
        <v>342</v>
      </c>
    </row>
    <row r="1229" spans="1:12" ht="11.25" customHeight="1">
      <c r="A1229" s="43">
        <v>155</v>
      </c>
      <c r="B1229" s="44" t="s">
        <v>12649</v>
      </c>
      <c r="C1229" s="44" t="s">
        <v>12650</v>
      </c>
      <c r="D1229" s="44" t="s">
        <v>476</v>
      </c>
      <c r="E1229" s="45">
        <v>42940.35</v>
      </c>
      <c r="F1229" s="44" t="s">
        <v>476</v>
      </c>
      <c r="G1229" s="45">
        <v>42929.7791</v>
      </c>
      <c r="H1229" s="44"/>
      <c r="I1229" s="45"/>
      <c r="J1229" s="45">
        <f t="shared" si="4"/>
        <v>42935.064549999996</v>
      </c>
      <c r="K1229" s="46" t="s">
        <v>5800</v>
      </c>
      <c r="L1229" s="43">
        <v>155</v>
      </c>
    </row>
    <row r="1230" spans="1:12" ht="11.25" customHeight="1">
      <c r="A1230" s="39">
        <v>1135</v>
      </c>
      <c r="B1230" s="40" t="s">
        <v>6595</v>
      </c>
      <c r="C1230" s="40" t="s">
        <v>12651</v>
      </c>
      <c r="D1230" s="40" t="s">
        <v>3199</v>
      </c>
      <c r="E1230" s="41">
        <v>1240.25</v>
      </c>
      <c r="F1230" s="40" t="s">
        <v>3199</v>
      </c>
      <c r="G1230" s="41">
        <v>1239.9592</v>
      </c>
      <c r="H1230" s="40"/>
      <c r="I1230" s="41"/>
      <c r="J1230" s="41">
        <f t="shared" si="4"/>
        <v>1240.1046000000001</v>
      </c>
      <c r="K1230" s="42" t="s">
        <v>5796</v>
      </c>
      <c r="L1230" s="39">
        <v>1135</v>
      </c>
    </row>
    <row r="1231" spans="1:12" ht="11.25" customHeight="1">
      <c r="A1231" s="39">
        <v>2280</v>
      </c>
      <c r="B1231" s="40" t="s">
        <v>12652</v>
      </c>
      <c r="C1231" s="40" t="s">
        <v>12653</v>
      </c>
      <c r="D1231" s="40" t="s">
        <v>5107</v>
      </c>
      <c r="E1231" s="41">
        <v>115.42</v>
      </c>
      <c r="F1231" s="40" t="s">
        <v>5107</v>
      </c>
      <c r="G1231" s="41">
        <v>115.294</v>
      </c>
      <c r="H1231" s="40"/>
      <c r="I1231" s="41"/>
      <c r="J1231" s="41">
        <f t="shared" si="4"/>
        <v>115.357</v>
      </c>
      <c r="K1231" s="42" t="s">
        <v>5796</v>
      </c>
      <c r="L1231" s="39">
        <v>2280</v>
      </c>
    </row>
    <row r="1232" spans="1:12" ht="11.25" customHeight="1">
      <c r="A1232" s="43">
        <v>153</v>
      </c>
      <c r="B1232" s="44" t="s">
        <v>6596</v>
      </c>
      <c r="C1232" s="44" t="s">
        <v>12654</v>
      </c>
      <c r="D1232" s="44" t="s">
        <v>470</v>
      </c>
      <c r="E1232" s="45">
        <v>43283.55</v>
      </c>
      <c r="F1232" s="44" t="s">
        <v>470</v>
      </c>
      <c r="G1232" s="45">
        <v>43290.922200000001</v>
      </c>
      <c r="H1232" s="44"/>
      <c r="I1232" s="45"/>
      <c r="J1232" s="45">
        <f t="shared" si="4"/>
        <v>43287.236100000002</v>
      </c>
      <c r="K1232" s="46" t="s">
        <v>5800</v>
      </c>
      <c r="L1232" s="43">
        <v>153</v>
      </c>
    </row>
    <row r="1233" spans="1:12" ht="11.25" customHeight="1">
      <c r="A1233" s="39">
        <v>1301</v>
      </c>
      <c r="B1233" s="40" t="s">
        <v>12655</v>
      </c>
      <c r="C1233" s="40" t="s">
        <v>12656</v>
      </c>
      <c r="D1233" s="40" t="s">
        <v>12657</v>
      </c>
      <c r="E1233" s="41">
        <v>804.15</v>
      </c>
      <c r="F1233" s="40" t="s">
        <v>3577</v>
      </c>
      <c r="G1233" s="41">
        <v>804.01710000000003</v>
      </c>
      <c r="H1233" s="40"/>
      <c r="I1233" s="41"/>
      <c r="J1233" s="41">
        <f t="shared" si="4"/>
        <v>804.08355000000006</v>
      </c>
      <c r="K1233" s="42" t="s">
        <v>5796</v>
      </c>
      <c r="L1233" s="39">
        <v>1301</v>
      </c>
    </row>
    <row r="1234" spans="1:12" ht="11.25" customHeight="1">
      <c r="A1234" s="43">
        <v>175</v>
      </c>
      <c r="B1234" s="44" t="s">
        <v>12658</v>
      </c>
      <c r="C1234" s="44" t="s">
        <v>12659</v>
      </c>
      <c r="D1234" s="44" t="s">
        <v>536</v>
      </c>
      <c r="E1234" s="45">
        <v>35025.410000000003</v>
      </c>
      <c r="F1234" s="44" t="s">
        <v>536</v>
      </c>
      <c r="G1234" s="45">
        <v>35016.752999999997</v>
      </c>
      <c r="H1234" s="44"/>
      <c r="I1234" s="45"/>
      <c r="J1234" s="45">
        <f t="shared" si="4"/>
        <v>35021.0815</v>
      </c>
      <c r="K1234" s="46" t="s">
        <v>5800</v>
      </c>
      <c r="L1234" s="43">
        <v>175</v>
      </c>
    </row>
    <row r="1235" spans="1:12" ht="11.25" customHeight="1">
      <c r="A1235" s="43">
        <v>195</v>
      </c>
      <c r="B1235" s="44" t="s">
        <v>12660</v>
      </c>
      <c r="C1235" s="44" t="s">
        <v>12661</v>
      </c>
      <c r="D1235" s="44" t="s">
        <v>596</v>
      </c>
      <c r="E1235" s="45">
        <v>32036.74</v>
      </c>
      <c r="F1235" s="44" t="s">
        <v>596</v>
      </c>
      <c r="G1235" s="45">
        <v>32043.386399999999</v>
      </c>
      <c r="H1235" s="44"/>
      <c r="I1235" s="45"/>
      <c r="J1235" s="45">
        <f t="shared" si="4"/>
        <v>32040.063200000001</v>
      </c>
      <c r="K1235" s="46" t="s">
        <v>5800</v>
      </c>
      <c r="L1235" s="43">
        <v>195</v>
      </c>
    </row>
    <row r="1236" spans="1:12" ht="11.25" customHeight="1">
      <c r="A1236" s="39">
        <v>2382</v>
      </c>
      <c r="B1236" s="40" t="s">
        <v>12662</v>
      </c>
      <c r="C1236" s="40" t="s">
        <v>12663</v>
      </c>
      <c r="D1236" s="40" t="s">
        <v>5194</v>
      </c>
      <c r="E1236" s="41">
        <v>99.83</v>
      </c>
      <c r="F1236" s="40" t="s">
        <v>5194</v>
      </c>
      <c r="G1236" s="41">
        <v>100.2372</v>
      </c>
      <c r="H1236" s="40"/>
      <c r="I1236" s="41"/>
      <c r="J1236" s="41">
        <f t="shared" si="4"/>
        <v>100.03360000000001</v>
      </c>
      <c r="K1236" s="42" t="s">
        <v>5796</v>
      </c>
      <c r="L1236" s="39">
        <v>2382</v>
      </c>
    </row>
    <row r="1237" spans="1:12" ht="11.25" customHeight="1">
      <c r="A1237" s="39">
        <v>412</v>
      </c>
      <c r="B1237" s="40" t="s">
        <v>6599</v>
      </c>
      <c r="C1237" s="40" t="s">
        <v>12664</v>
      </c>
      <c r="D1237" s="40" t="s">
        <v>1238</v>
      </c>
      <c r="E1237" s="41">
        <v>9833.26</v>
      </c>
      <c r="F1237" s="40" t="s">
        <v>1238</v>
      </c>
      <c r="G1237" s="41">
        <v>9833.5007000000005</v>
      </c>
      <c r="H1237" s="40"/>
      <c r="I1237" s="41"/>
      <c r="J1237" s="41">
        <f t="shared" si="4"/>
        <v>9833.3803499999995</v>
      </c>
      <c r="K1237" s="42" t="s">
        <v>5796</v>
      </c>
      <c r="L1237" s="39">
        <v>412</v>
      </c>
    </row>
    <row r="1238" spans="1:12" ht="11.25" customHeight="1">
      <c r="A1238" s="39">
        <v>2241</v>
      </c>
      <c r="B1238" s="40" t="s">
        <v>12665</v>
      </c>
      <c r="C1238" s="40" t="s">
        <v>12666</v>
      </c>
      <c r="D1238" s="40" t="s">
        <v>5062</v>
      </c>
      <c r="E1238" s="41">
        <v>123.43</v>
      </c>
      <c r="F1238" s="40" t="s">
        <v>5062</v>
      </c>
      <c r="G1238" s="41">
        <v>123.2835</v>
      </c>
      <c r="H1238" s="40"/>
      <c r="I1238" s="41"/>
      <c r="J1238" s="41">
        <f t="shared" si="4"/>
        <v>123.35675000000001</v>
      </c>
      <c r="K1238" s="42" t="s">
        <v>5796</v>
      </c>
      <c r="L1238" s="39">
        <v>2241</v>
      </c>
    </row>
    <row r="1239" spans="1:12" ht="11.25" customHeight="1">
      <c r="A1239" s="39">
        <v>1154</v>
      </c>
      <c r="B1239" s="40" t="s">
        <v>6601</v>
      </c>
      <c r="C1239" s="40" t="s">
        <v>12667</v>
      </c>
      <c r="D1239" s="40" t="s">
        <v>3238</v>
      </c>
      <c r="E1239" s="41">
        <v>1167.9100000000001</v>
      </c>
      <c r="F1239" s="40" t="s">
        <v>3238</v>
      </c>
      <c r="G1239" s="41">
        <v>1168.2772</v>
      </c>
      <c r="H1239" s="40"/>
      <c r="I1239" s="41"/>
      <c r="J1239" s="41">
        <f t="shared" si="4"/>
        <v>1168.0936000000002</v>
      </c>
      <c r="K1239" s="42" t="s">
        <v>5796</v>
      </c>
      <c r="L1239" s="39">
        <v>1154</v>
      </c>
    </row>
    <row r="1240" spans="1:12" ht="11.25" customHeight="1">
      <c r="A1240" s="39">
        <v>1295</v>
      </c>
      <c r="B1240" s="40" t="s">
        <v>3560</v>
      </c>
      <c r="C1240" s="40" t="s">
        <v>12668</v>
      </c>
      <c r="D1240" s="40" t="s">
        <v>3562</v>
      </c>
      <c r="E1240" s="41">
        <v>820.23</v>
      </c>
      <c r="F1240" s="40" t="s">
        <v>3562</v>
      </c>
      <c r="G1240" s="41">
        <v>820.2056</v>
      </c>
      <c r="H1240" s="40"/>
      <c r="I1240" s="41"/>
      <c r="J1240" s="41">
        <f t="shared" si="4"/>
        <v>820.21780000000001</v>
      </c>
      <c r="K1240" s="42" t="s">
        <v>5796</v>
      </c>
      <c r="L1240" s="39">
        <v>1295</v>
      </c>
    </row>
    <row r="1241" spans="1:12" ht="11.25" customHeight="1">
      <c r="A1241" s="39">
        <v>3449</v>
      </c>
      <c r="B1241" s="40" t="s">
        <v>6602</v>
      </c>
      <c r="C1241" s="40" t="s">
        <v>12669</v>
      </c>
      <c r="D1241" s="40" t="s">
        <v>5685</v>
      </c>
      <c r="E1241" s="41">
        <v>19.54</v>
      </c>
      <c r="F1241" s="40" t="s">
        <v>5685</v>
      </c>
      <c r="G1241" s="41">
        <v>19.157499999999999</v>
      </c>
      <c r="H1241" s="40"/>
      <c r="I1241" s="41"/>
      <c r="J1241" s="41">
        <f t="shared" si="4"/>
        <v>19.348749999999999</v>
      </c>
      <c r="K1241" s="42" t="s">
        <v>5796</v>
      </c>
      <c r="L1241" s="39">
        <v>3449</v>
      </c>
    </row>
    <row r="1242" spans="1:12" ht="11.25" customHeight="1">
      <c r="A1242" s="39">
        <v>3429</v>
      </c>
      <c r="B1242" s="40" t="s">
        <v>12670</v>
      </c>
      <c r="C1242" s="40" t="s">
        <v>12671</v>
      </c>
      <c r="D1242" s="40" t="s">
        <v>5679</v>
      </c>
      <c r="E1242" s="41">
        <v>19.97</v>
      </c>
      <c r="F1242" s="40" t="s">
        <v>5679</v>
      </c>
      <c r="G1242" s="41">
        <v>19.9312</v>
      </c>
      <c r="H1242" s="40"/>
      <c r="I1242" s="41"/>
      <c r="J1242" s="41">
        <f t="shared" si="4"/>
        <v>19.950600000000001</v>
      </c>
      <c r="K1242" s="42" t="s">
        <v>5796</v>
      </c>
      <c r="L1242" s="39">
        <v>3429</v>
      </c>
    </row>
    <row r="1243" spans="1:12" ht="11.25" customHeight="1">
      <c r="A1243" s="39">
        <v>1372</v>
      </c>
      <c r="B1243" s="40" t="s">
        <v>12672</v>
      </c>
      <c r="C1243" s="40" t="s">
        <v>12673</v>
      </c>
      <c r="D1243" s="40"/>
      <c r="E1243" s="41"/>
      <c r="F1243" s="40" t="s">
        <v>3709</v>
      </c>
      <c r="G1243" s="41">
        <v>678.78599999999994</v>
      </c>
      <c r="H1243" s="40"/>
      <c r="I1243" s="41"/>
      <c r="J1243" s="41">
        <f t="shared" si="4"/>
        <v>678.78599999999994</v>
      </c>
      <c r="K1243" s="42" t="s">
        <v>5796</v>
      </c>
      <c r="L1243" s="39">
        <v>1372</v>
      </c>
    </row>
    <row r="1244" spans="1:12" ht="11.25" customHeight="1">
      <c r="A1244" s="47">
        <v>25</v>
      </c>
      <c r="B1244" s="48" t="s">
        <v>12674</v>
      </c>
      <c r="C1244" s="48" t="s">
        <v>12675</v>
      </c>
      <c r="D1244" s="48" t="s">
        <v>83</v>
      </c>
      <c r="E1244" s="49">
        <v>231895.13</v>
      </c>
      <c r="F1244" s="48" t="s">
        <v>83</v>
      </c>
      <c r="G1244" s="49">
        <v>231937.23069999999</v>
      </c>
      <c r="H1244" s="48"/>
      <c r="I1244" s="49"/>
      <c r="J1244" s="49">
        <f t="shared" si="4"/>
        <v>231916.18034999998</v>
      </c>
      <c r="K1244" s="50" t="s">
        <v>5815</v>
      </c>
      <c r="L1244" s="47">
        <v>25</v>
      </c>
    </row>
    <row r="1245" spans="1:12" ht="11.25" customHeight="1">
      <c r="A1245" s="39">
        <v>1176</v>
      </c>
      <c r="B1245" s="40" t="s">
        <v>12676</v>
      </c>
      <c r="C1245" s="40" t="s">
        <v>12677</v>
      </c>
      <c r="D1245" s="40" t="s">
        <v>3286</v>
      </c>
      <c r="E1245" s="41">
        <v>1092.31</v>
      </c>
      <c r="F1245" s="40" t="s">
        <v>3286</v>
      </c>
      <c r="G1245" s="41">
        <v>1091.885</v>
      </c>
      <c r="H1245" s="40"/>
      <c r="I1245" s="41"/>
      <c r="J1245" s="41">
        <f t="shared" si="4"/>
        <v>1092.0974999999999</v>
      </c>
      <c r="K1245" s="42" t="s">
        <v>5796</v>
      </c>
      <c r="L1245" s="39">
        <v>1176</v>
      </c>
    </row>
    <row r="1246" spans="1:12" ht="11.25" customHeight="1">
      <c r="A1246" s="39">
        <v>1123</v>
      </c>
      <c r="B1246" s="40" t="s">
        <v>12678</v>
      </c>
      <c r="C1246" s="40" t="s">
        <v>12679</v>
      </c>
      <c r="D1246" s="40" t="s">
        <v>3169</v>
      </c>
      <c r="E1246" s="41">
        <v>1274.3</v>
      </c>
      <c r="F1246" s="40" t="s">
        <v>3169</v>
      </c>
      <c r="G1246" s="41">
        <v>1272.8995</v>
      </c>
      <c r="H1246" s="40"/>
      <c r="I1246" s="41"/>
      <c r="J1246" s="41">
        <f t="shared" si="4"/>
        <v>1273.5997499999999</v>
      </c>
      <c r="K1246" s="42" t="s">
        <v>5796</v>
      </c>
      <c r="L1246" s="39">
        <v>1123</v>
      </c>
    </row>
    <row r="1247" spans="1:12" ht="11.25" customHeight="1">
      <c r="A1247" s="39">
        <v>856</v>
      </c>
      <c r="B1247" s="40" t="s">
        <v>12680</v>
      </c>
      <c r="C1247" s="40" t="s">
        <v>12681</v>
      </c>
      <c r="D1247" s="40" t="s">
        <v>2482</v>
      </c>
      <c r="E1247" s="41">
        <v>2488.1799999999998</v>
      </c>
      <c r="F1247" s="40" t="s">
        <v>2482</v>
      </c>
      <c r="G1247" s="41">
        <v>2488.8719000000001</v>
      </c>
      <c r="H1247" s="40"/>
      <c r="I1247" s="41"/>
      <c r="J1247" s="41">
        <f t="shared" si="4"/>
        <v>2488.5259500000002</v>
      </c>
      <c r="K1247" s="42" t="s">
        <v>5796</v>
      </c>
      <c r="L1247" s="39">
        <v>856</v>
      </c>
    </row>
    <row r="1248" spans="1:12" ht="11.25" customHeight="1">
      <c r="A1248" s="39">
        <v>1519</v>
      </c>
      <c r="B1248" s="40" t="s">
        <v>12682</v>
      </c>
      <c r="C1248" s="40" t="s">
        <v>12683</v>
      </c>
      <c r="D1248" s="40" t="s">
        <v>4003</v>
      </c>
      <c r="E1248" s="41">
        <v>486.58</v>
      </c>
      <c r="F1248" s="40" t="s">
        <v>4003</v>
      </c>
      <c r="G1248" s="41">
        <v>487.55680000000001</v>
      </c>
      <c r="H1248" s="40"/>
      <c r="I1248" s="41"/>
      <c r="J1248" s="41">
        <f t="shared" si="4"/>
        <v>487.0684</v>
      </c>
      <c r="K1248" s="42" t="s">
        <v>5796</v>
      </c>
      <c r="L1248" s="39">
        <v>1519</v>
      </c>
    </row>
    <row r="1249" spans="1:12" ht="11.25" customHeight="1">
      <c r="A1249" s="39">
        <v>808</v>
      </c>
      <c r="B1249" s="40" t="s">
        <v>12684</v>
      </c>
      <c r="C1249" s="40" t="s">
        <v>12685</v>
      </c>
      <c r="D1249" s="40" t="s">
        <v>12686</v>
      </c>
      <c r="E1249" s="41">
        <v>2817.41</v>
      </c>
      <c r="F1249" s="40" t="s">
        <v>2350</v>
      </c>
      <c r="G1249" s="41">
        <v>2779.7143999999998</v>
      </c>
      <c r="H1249" s="40"/>
      <c r="I1249" s="41"/>
      <c r="J1249" s="41">
        <f t="shared" si="4"/>
        <v>2798.5621999999998</v>
      </c>
      <c r="K1249" s="42" t="s">
        <v>5796</v>
      </c>
      <c r="L1249" s="39">
        <v>808</v>
      </c>
    </row>
    <row r="1250" spans="1:12" ht="11.25" customHeight="1">
      <c r="A1250" s="39">
        <v>1574</v>
      </c>
      <c r="B1250" s="40" t="s">
        <v>12687</v>
      </c>
      <c r="C1250" s="40" t="s">
        <v>12688</v>
      </c>
      <c r="D1250" s="40" t="s">
        <v>12689</v>
      </c>
      <c r="E1250" s="41">
        <v>435.51</v>
      </c>
      <c r="F1250" s="40" t="s">
        <v>4105</v>
      </c>
      <c r="G1250" s="41">
        <v>434.92720000000003</v>
      </c>
      <c r="H1250" s="40"/>
      <c r="I1250" s="41"/>
      <c r="J1250" s="41">
        <f t="shared" si="4"/>
        <v>435.21860000000004</v>
      </c>
      <c r="K1250" s="42" t="s">
        <v>5796</v>
      </c>
      <c r="L1250" s="39">
        <v>1574</v>
      </c>
    </row>
    <row r="1251" spans="1:12" ht="11.25" customHeight="1">
      <c r="A1251" s="39">
        <v>3400</v>
      </c>
      <c r="B1251" s="40" t="s">
        <v>12690</v>
      </c>
      <c r="C1251" s="40" t="s">
        <v>12691</v>
      </c>
      <c r="D1251" s="40" t="s">
        <v>5673</v>
      </c>
      <c r="E1251" s="41">
        <v>21.24</v>
      </c>
      <c r="F1251" s="40" t="s">
        <v>5673</v>
      </c>
      <c r="G1251" s="41">
        <v>21.2163</v>
      </c>
      <c r="H1251" s="40"/>
      <c r="I1251" s="41"/>
      <c r="J1251" s="41">
        <f t="shared" si="4"/>
        <v>21.228149999999999</v>
      </c>
      <c r="K1251" s="42" t="s">
        <v>5796</v>
      </c>
      <c r="L1251" s="39">
        <v>3400</v>
      </c>
    </row>
    <row r="1252" spans="1:12" ht="11.25" customHeight="1">
      <c r="A1252" s="39">
        <v>1384</v>
      </c>
      <c r="B1252" s="40" t="s">
        <v>12692</v>
      </c>
      <c r="C1252" s="40" t="s">
        <v>12693</v>
      </c>
      <c r="D1252" s="40" t="s">
        <v>3739</v>
      </c>
      <c r="E1252" s="41">
        <v>662.54</v>
      </c>
      <c r="F1252" s="40" t="s">
        <v>3739</v>
      </c>
      <c r="G1252" s="41">
        <v>661.27149999999995</v>
      </c>
      <c r="H1252" s="40"/>
      <c r="I1252" s="41"/>
      <c r="J1252" s="41">
        <f t="shared" si="4"/>
        <v>661.9057499999999</v>
      </c>
      <c r="K1252" s="42" t="s">
        <v>5796</v>
      </c>
      <c r="L1252" s="39">
        <v>1384</v>
      </c>
    </row>
    <row r="1253" spans="1:12" ht="11.25" customHeight="1">
      <c r="A1253" s="39">
        <v>693</v>
      </c>
      <c r="B1253" s="40" t="s">
        <v>6612</v>
      </c>
      <c r="C1253" s="40" t="s">
        <v>12694</v>
      </c>
      <c r="D1253" s="40" t="s">
        <v>2033</v>
      </c>
      <c r="E1253" s="41">
        <v>3951.71</v>
      </c>
      <c r="F1253" s="40" t="s">
        <v>2033</v>
      </c>
      <c r="G1253" s="41">
        <v>3953.7604999999999</v>
      </c>
      <c r="H1253" s="40"/>
      <c r="I1253" s="41"/>
      <c r="J1253" s="41">
        <f t="shared" si="4"/>
        <v>3952.7352499999997</v>
      </c>
      <c r="K1253" s="42" t="s">
        <v>5796</v>
      </c>
      <c r="L1253" s="39">
        <v>693</v>
      </c>
    </row>
    <row r="1254" spans="1:12" ht="11.25" customHeight="1">
      <c r="A1254" s="39">
        <v>1504</v>
      </c>
      <c r="B1254" s="40" t="s">
        <v>3971</v>
      </c>
      <c r="C1254" s="40" t="s">
        <v>12695</v>
      </c>
      <c r="D1254" s="40" t="s">
        <v>3973</v>
      </c>
      <c r="E1254" s="41">
        <v>503.27</v>
      </c>
      <c r="F1254" s="40" t="s">
        <v>3973</v>
      </c>
      <c r="G1254" s="41">
        <v>503.01049999999998</v>
      </c>
      <c r="H1254" s="40"/>
      <c r="I1254" s="41"/>
      <c r="J1254" s="41">
        <f t="shared" si="4"/>
        <v>503.14024999999998</v>
      </c>
      <c r="K1254" s="42" t="s">
        <v>5796</v>
      </c>
      <c r="L1254" s="39">
        <v>1504</v>
      </c>
    </row>
    <row r="1255" spans="1:12" ht="11.25" customHeight="1">
      <c r="A1255" s="39">
        <v>623</v>
      </c>
      <c r="B1255" s="40" t="s">
        <v>12696</v>
      </c>
      <c r="C1255" s="40" t="s">
        <v>12697</v>
      </c>
      <c r="D1255" s="40" t="s">
        <v>1841</v>
      </c>
      <c r="E1255" s="41">
        <v>4863.03</v>
      </c>
      <c r="F1255" s="40" t="s">
        <v>1841</v>
      </c>
      <c r="G1255" s="41">
        <v>4863.6327000000001</v>
      </c>
      <c r="H1255" s="40"/>
      <c r="I1255" s="41"/>
      <c r="J1255" s="41">
        <f t="shared" si="4"/>
        <v>4863.3313500000004</v>
      </c>
      <c r="K1255" s="42" t="s">
        <v>5796</v>
      </c>
      <c r="L1255" s="39">
        <v>623</v>
      </c>
    </row>
    <row r="1256" spans="1:12" ht="11.25" customHeight="1">
      <c r="A1256" s="39">
        <v>994</v>
      </c>
      <c r="B1256" s="40" t="s">
        <v>12698</v>
      </c>
      <c r="C1256" s="40" t="s">
        <v>12699</v>
      </c>
      <c r="D1256" s="40" t="s">
        <v>2848</v>
      </c>
      <c r="E1256" s="41">
        <v>1730.46</v>
      </c>
      <c r="F1256" s="40" t="s">
        <v>2848</v>
      </c>
      <c r="G1256" s="41">
        <v>1730.2876000000001</v>
      </c>
      <c r="H1256" s="40"/>
      <c r="I1256" s="41"/>
      <c r="J1256" s="41">
        <f t="shared" si="4"/>
        <v>1730.3738000000001</v>
      </c>
      <c r="K1256" s="42" t="s">
        <v>5796</v>
      </c>
      <c r="L1256" s="39">
        <v>994</v>
      </c>
    </row>
    <row r="1257" spans="1:12" ht="11.25" customHeight="1">
      <c r="A1257" s="39">
        <v>2555</v>
      </c>
      <c r="B1257" s="40" t="s">
        <v>12700</v>
      </c>
      <c r="C1257" s="40" t="s">
        <v>12701</v>
      </c>
      <c r="D1257" s="40" t="s">
        <v>5346</v>
      </c>
      <c r="E1257" s="41">
        <v>74.290000000000006</v>
      </c>
      <c r="F1257" s="40" t="s">
        <v>5346</v>
      </c>
      <c r="G1257" s="41">
        <v>74.134699999999995</v>
      </c>
      <c r="H1257" s="40"/>
      <c r="I1257" s="41"/>
      <c r="J1257" s="41">
        <f t="shared" si="4"/>
        <v>74.212350000000001</v>
      </c>
      <c r="K1257" s="42" t="s">
        <v>5796</v>
      </c>
      <c r="L1257" s="39">
        <v>2555</v>
      </c>
    </row>
    <row r="1258" spans="1:12" ht="11.25" customHeight="1">
      <c r="A1258" s="39">
        <v>1229</v>
      </c>
      <c r="B1258" s="40" t="s">
        <v>12702</v>
      </c>
      <c r="C1258" s="40" t="s">
        <v>12703</v>
      </c>
      <c r="D1258" s="40" t="s">
        <v>3424</v>
      </c>
      <c r="E1258" s="41">
        <v>977.01</v>
      </c>
      <c r="F1258" s="40" t="s">
        <v>3424</v>
      </c>
      <c r="G1258" s="41">
        <v>976.85900000000004</v>
      </c>
      <c r="H1258" s="40"/>
      <c r="I1258" s="41"/>
      <c r="J1258" s="41">
        <f t="shared" si="4"/>
        <v>976.93450000000007</v>
      </c>
      <c r="K1258" s="42" t="s">
        <v>5796</v>
      </c>
      <c r="L1258" s="39">
        <v>1229</v>
      </c>
    </row>
    <row r="1259" spans="1:12" ht="11.25" customHeight="1">
      <c r="A1259" s="39">
        <v>751</v>
      </c>
      <c r="B1259" s="40" t="s">
        <v>12704</v>
      </c>
      <c r="C1259" s="40" t="s">
        <v>12705</v>
      </c>
      <c r="D1259" s="40" t="s">
        <v>2200</v>
      </c>
      <c r="E1259" s="41">
        <v>3327</v>
      </c>
      <c r="F1259" s="40" t="s">
        <v>2200</v>
      </c>
      <c r="G1259" s="41">
        <v>3327.9411</v>
      </c>
      <c r="H1259" s="40"/>
      <c r="I1259" s="41"/>
      <c r="J1259" s="41">
        <f t="shared" si="4"/>
        <v>3327.47055</v>
      </c>
      <c r="K1259" s="42" t="s">
        <v>5796</v>
      </c>
      <c r="L1259" s="39">
        <v>751</v>
      </c>
    </row>
    <row r="1260" spans="1:12" ht="11.25" customHeight="1">
      <c r="A1260" s="39">
        <v>4570</v>
      </c>
      <c r="B1260" s="40" t="s">
        <v>12706</v>
      </c>
      <c r="C1260" s="40" t="s">
        <v>12707</v>
      </c>
      <c r="D1260" s="40" t="s">
        <v>6618</v>
      </c>
      <c r="E1260" s="41">
        <v>3.17</v>
      </c>
      <c r="F1260" s="40" t="s">
        <v>6618</v>
      </c>
      <c r="G1260" s="41">
        <v>3.1501000000000001</v>
      </c>
      <c r="H1260" s="40"/>
      <c r="I1260" s="41"/>
      <c r="J1260" s="41">
        <f t="shared" si="4"/>
        <v>3.16005</v>
      </c>
      <c r="K1260" s="42" t="s">
        <v>5796</v>
      </c>
      <c r="L1260" s="39">
        <v>4570</v>
      </c>
    </row>
    <row r="1261" spans="1:12" ht="11.25" customHeight="1">
      <c r="A1261" s="39">
        <v>3562</v>
      </c>
      <c r="B1261" s="40" t="s">
        <v>12708</v>
      </c>
      <c r="C1261" s="40" t="s">
        <v>12709</v>
      </c>
      <c r="D1261" s="40" t="s">
        <v>12710</v>
      </c>
      <c r="E1261" s="41">
        <v>16.329999999999998</v>
      </c>
      <c r="F1261" s="40" t="s">
        <v>5709</v>
      </c>
      <c r="G1261" s="41">
        <v>16.301100000000002</v>
      </c>
      <c r="H1261" s="40"/>
      <c r="I1261" s="41"/>
      <c r="J1261" s="41">
        <f t="shared" si="4"/>
        <v>16.315550000000002</v>
      </c>
      <c r="K1261" s="42" t="s">
        <v>5796</v>
      </c>
      <c r="L1261" s="39">
        <v>3562</v>
      </c>
    </row>
    <row r="1262" spans="1:12" ht="11.25" customHeight="1">
      <c r="A1262" s="39">
        <v>1498</v>
      </c>
      <c r="B1262" s="40" t="s">
        <v>12711</v>
      </c>
      <c r="C1262" s="40" t="s">
        <v>12712</v>
      </c>
      <c r="D1262" s="40"/>
      <c r="E1262" s="41"/>
      <c r="F1262" s="40" t="s">
        <v>3961</v>
      </c>
      <c r="G1262" s="41">
        <v>511.3381</v>
      </c>
      <c r="H1262" s="40"/>
      <c r="I1262" s="41"/>
      <c r="J1262" s="41">
        <f t="shared" si="4"/>
        <v>511.3381</v>
      </c>
      <c r="K1262" s="42" t="s">
        <v>5796</v>
      </c>
      <c r="L1262" s="39">
        <v>1498</v>
      </c>
    </row>
    <row r="1263" spans="1:12" ht="11.25" customHeight="1">
      <c r="A1263" s="39">
        <v>1582</v>
      </c>
      <c r="B1263" s="40" t="s">
        <v>12713</v>
      </c>
      <c r="C1263" s="40" t="s">
        <v>12714</v>
      </c>
      <c r="D1263" s="40" t="s">
        <v>4117</v>
      </c>
      <c r="E1263" s="41">
        <v>426.34</v>
      </c>
      <c r="F1263" s="40" t="s">
        <v>4117</v>
      </c>
      <c r="G1263" s="41">
        <v>426.21170000000001</v>
      </c>
      <c r="H1263" s="40"/>
      <c r="I1263" s="41"/>
      <c r="J1263" s="41">
        <f t="shared" si="4"/>
        <v>426.27584999999999</v>
      </c>
      <c r="K1263" s="42" t="s">
        <v>5796</v>
      </c>
      <c r="L1263" s="39">
        <v>1582</v>
      </c>
    </row>
    <row r="1264" spans="1:12" ht="11.25" customHeight="1">
      <c r="A1264" s="39">
        <v>1395</v>
      </c>
      <c r="B1264" s="40" t="s">
        <v>12715</v>
      </c>
      <c r="C1264" s="40" t="s">
        <v>12716</v>
      </c>
      <c r="D1264" s="40" t="s">
        <v>3769</v>
      </c>
      <c r="E1264" s="41">
        <v>648.76</v>
      </c>
      <c r="F1264" s="40" t="s">
        <v>3769</v>
      </c>
      <c r="G1264" s="41">
        <v>648.75379999999996</v>
      </c>
      <c r="H1264" s="40"/>
      <c r="I1264" s="41"/>
      <c r="J1264" s="41">
        <f t="shared" si="4"/>
        <v>648.75689999999997</v>
      </c>
      <c r="K1264" s="42" t="s">
        <v>5796</v>
      </c>
      <c r="L1264" s="39">
        <v>1395</v>
      </c>
    </row>
    <row r="1265" spans="1:12" ht="11.25" customHeight="1">
      <c r="A1265" s="39">
        <v>1510</v>
      </c>
      <c r="B1265" s="40" t="s">
        <v>12717</v>
      </c>
      <c r="C1265" s="40" t="s">
        <v>12718</v>
      </c>
      <c r="D1265" s="40"/>
      <c r="E1265" s="41"/>
      <c r="F1265" s="40" t="s">
        <v>3985</v>
      </c>
      <c r="G1265" s="41">
        <v>497.06509999999997</v>
      </c>
      <c r="H1265" s="40"/>
      <c r="I1265" s="41"/>
      <c r="J1265" s="41">
        <f t="shared" si="4"/>
        <v>497.06509999999997</v>
      </c>
      <c r="K1265" s="42" t="s">
        <v>5796</v>
      </c>
      <c r="L1265" s="39">
        <v>1510</v>
      </c>
    </row>
    <row r="1266" spans="1:12" ht="11.25" customHeight="1">
      <c r="A1266" s="43">
        <v>156</v>
      </c>
      <c r="B1266" s="44" t="s">
        <v>12719</v>
      </c>
      <c r="C1266" s="44" t="s">
        <v>12720</v>
      </c>
      <c r="D1266" s="44" t="s">
        <v>479</v>
      </c>
      <c r="E1266" s="45">
        <v>42849.52</v>
      </c>
      <c r="F1266" s="44" t="s">
        <v>479</v>
      </c>
      <c r="G1266" s="45">
        <v>42855.926099999997</v>
      </c>
      <c r="H1266" s="44"/>
      <c r="I1266" s="45"/>
      <c r="J1266" s="45">
        <f t="shared" si="4"/>
        <v>42852.723050000001</v>
      </c>
      <c r="K1266" s="46" t="s">
        <v>5800</v>
      </c>
      <c r="L1266" s="43">
        <v>156</v>
      </c>
    </row>
    <row r="1267" spans="1:12" ht="11.25" customHeight="1">
      <c r="A1267" s="39">
        <v>766</v>
      </c>
      <c r="B1267" s="40" t="s">
        <v>6623</v>
      </c>
      <c r="C1267" s="40" t="s">
        <v>12721</v>
      </c>
      <c r="D1267" s="40" t="s">
        <v>2245</v>
      </c>
      <c r="E1267" s="41">
        <v>3153.79</v>
      </c>
      <c r="F1267" s="40" t="s">
        <v>2245</v>
      </c>
      <c r="G1267" s="41">
        <v>3154.7959000000001</v>
      </c>
      <c r="H1267" s="40"/>
      <c r="I1267" s="41"/>
      <c r="J1267" s="41">
        <f t="shared" si="4"/>
        <v>3154.29295</v>
      </c>
      <c r="K1267" s="42" t="s">
        <v>5796</v>
      </c>
      <c r="L1267" s="39">
        <v>766</v>
      </c>
    </row>
    <row r="1268" spans="1:12" ht="11.25" customHeight="1">
      <c r="A1268" s="39">
        <v>1307</v>
      </c>
      <c r="B1268" s="40" t="s">
        <v>3590</v>
      </c>
      <c r="C1268" s="40" t="s">
        <v>12722</v>
      </c>
      <c r="D1268" s="40" t="s">
        <v>3592</v>
      </c>
      <c r="E1268" s="41">
        <v>790.62</v>
      </c>
      <c r="F1268" s="40" t="s">
        <v>3592</v>
      </c>
      <c r="G1268" s="41">
        <v>795.49580000000003</v>
      </c>
      <c r="H1268" s="40"/>
      <c r="I1268" s="41"/>
      <c r="J1268" s="41">
        <f t="shared" si="4"/>
        <v>793.05790000000002</v>
      </c>
      <c r="K1268" s="42" t="s">
        <v>5796</v>
      </c>
      <c r="L1268" s="39">
        <v>1307</v>
      </c>
    </row>
    <row r="1269" spans="1:12" ht="11.25" customHeight="1">
      <c r="A1269" s="39">
        <v>2295</v>
      </c>
      <c r="B1269" s="40" t="s">
        <v>12723</v>
      </c>
      <c r="C1269" s="40" t="s">
        <v>12724</v>
      </c>
      <c r="D1269" s="40" t="s">
        <v>12725</v>
      </c>
      <c r="E1269" s="41">
        <v>112.63</v>
      </c>
      <c r="F1269" s="40" t="s">
        <v>5125</v>
      </c>
      <c r="G1269" s="41">
        <v>112.42400000000001</v>
      </c>
      <c r="H1269" s="40"/>
      <c r="I1269" s="41"/>
      <c r="J1269" s="41">
        <f t="shared" si="4"/>
        <v>112.527</v>
      </c>
      <c r="K1269" s="42" t="s">
        <v>5796</v>
      </c>
      <c r="L1269" s="39">
        <v>2295</v>
      </c>
    </row>
    <row r="1270" spans="1:12" ht="11.25" customHeight="1">
      <c r="A1270" s="39">
        <v>1985</v>
      </c>
      <c r="B1270" s="40" t="s">
        <v>12726</v>
      </c>
      <c r="C1270" s="40" t="s">
        <v>12727</v>
      </c>
      <c r="D1270" s="40" t="s">
        <v>12728</v>
      </c>
      <c r="E1270" s="41">
        <v>191.79</v>
      </c>
      <c r="F1270" s="40" t="s">
        <v>4711</v>
      </c>
      <c r="G1270" s="41">
        <v>191.78639999999999</v>
      </c>
      <c r="H1270" s="40"/>
      <c r="I1270" s="41"/>
      <c r="J1270" s="41">
        <f t="shared" si="4"/>
        <v>191.78819999999999</v>
      </c>
      <c r="K1270" s="42" t="s">
        <v>5796</v>
      </c>
      <c r="L1270" s="39">
        <v>1985</v>
      </c>
    </row>
    <row r="1271" spans="1:12" ht="11.25" customHeight="1">
      <c r="A1271" s="39">
        <v>1253</v>
      </c>
      <c r="B1271" s="40" t="s">
        <v>12729</v>
      </c>
      <c r="C1271" s="40" t="s">
        <v>12730</v>
      </c>
      <c r="D1271" s="40" t="s">
        <v>3466</v>
      </c>
      <c r="E1271" s="41">
        <v>911.33</v>
      </c>
      <c r="F1271" s="40" t="s">
        <v>3466</v>
      </c>
      <c r="G1271" s="41">
        <v>910.99860000000001</v>
      </c>
      <c r="H1271" s="40"/>
      <c r="I1271" s="41"/>
      <c r="J1271" s="41">
        <f t="shared" si="4"/>
        <v>911.16430000000003</v>
      </c>
      <c r="K1271" s="42" t="s">
        <v>5796</v>
      </c>
      <c r="L1271" s="39">
        <v>1253</v>
      </c>
    </row>
    <row r="1272" spans="1:12" ht="11.25" customHeight="1">
      <c r="A1272" s="39">
        <v>2427</v>
      </c>
      <c r="B1272" s="40" t="s">
        <v>12731</v>
      </c>
      <c r="C1272" s="40" t="s">
        <v>12732</v>
      </c>
      <c r="D1272" s="40"/>
      <c r="E1272" s="41"/>
      <c r="F1272" s="40" t="s">
        <v>5232</v>
      </c>
      <c r="G1272" s="41">
        <v>93.153899999999993</v>
      </c>
      <c r="H1272" s="40"/>
      <c r="I1272" s="41"/>
      <c r="J1272" s="41">
        <f t="shared" si="4"/>
        <v>93.153899999999993</v>
      </c>
      <c r="K1272" s="42" t="s">
        <v>5796</v>
      </c>
      <c r="L1272" s="39">
        <v>2427</v>
      </c>
    </row>
    <row r="1273" spans="1:12" ht="11.25" customHeight="1">
      <c r="A1273" s="39">
        <v>964</v>
      </c>
      <c r="B1273" s="40" t="s">
        <v>12733</v>
      </c>
      <c r="C1273" s="40" t="s">
        <v>12734</v>
      </c>
      <c r="D1273" s="40" t="s">
        <v>2770</v>
      </c>
      <c r="E1273" s="41">
        <v>1888</v>
      </c>
      <c r="F1273" s="40" t="s">
        <v>2770</v>
      </c>
      <c r="G1273" s="41">
        <v>1888.1174000000001</v>
      </c>
      <c r="H1273" s="40"/>
      <c r="I1273" s="41"/>
      <c r="J1273" s="41">
        <f t="shared" si="4"/>
        <v>1888.0587</v>
      </c>
      <c r="K1273" s="42" t="s">
        <v>5796</v>
      </c>
      <c r="L1273" s="39">
        <v>964</v>
      </c>
    </row>
    <row r="1274" spans="1:12" ht="11.25" customHeight="1">
      <c r="A1274" s="39">
        <v>2102</v>
      </c>
      <c r="B1274" s="40" t="s">
        <v>12735</v>
      </c>
      <c r="C1274" s="40" t="s">
        <v>12736</v>
      </c>
      <c r="D1274" s="40"/>
      <c r="E1274" s="41"/>
      <c r="F1274" s="40" t="s">
        <v>4882</v>
      </c>
      <c r="G1274" s="41">
        <v>160.31290000000001</v>
      </c>
      <c r="H1274" s="40"/>
      <c r="I1274" s="41"/>
      <c r="J1274" s="41">
        <f t="shared" si="4"/>
        <v>160.31290000000001</v>
      </c>
      <c r="K1274" s="42" t="s">
        <v>5796</v>
      </c>
      <c r="L1274" s="39">
        <v>2102</v>
      </c>
    </row>
    <row r="1275" spans="1:12" ht="11.25" customHeight="1">
      <c r="A1275" s="39">
        <v>1846</v>
      </c>
      <c r="B1275" s="40" t="s">
        <v>12737</v>
      </c>
      <c r="C1275" s="40" t="s">
        <v>12738</v>
      </c>
      <c r="D1275" s="40"/>
      <c r="E1275" s="41"/>
      <c r="F1275" s="40" t="s">
        <v>4534</v>
      </c>
      <c r="G1275" s="41">
        <v>251.2542</v>
      </c>
      <c r="H1275" s="40"/>
      <c r="I1275" s="41"/>
      <c r="J1275" s="41">
        <f t="shared" si="4"/>
        <v>251.2542</v>
      </c>
      <c r="K1275" s="42" t="s">
        <v>5796</v>
      </c>
      <c r="L1275" s="39">
        <v>1846</v>
      </c>
    </row>
    <row r="1276" spans="1:12" ht="11.25" customHeight="1">
      <c r="A1276" s="39">
        <v>1089</v>
      </c>
      <c r="B1276" s="40" t="s">
        <v>12739</v>
      </c>
      <c r="C1276" s="40" t="s">
        <v>12740</v>
      </c>
      <c r="D1276" s="40" t="s">
        <v>3088</v>
      </c>
      <c r="E1276" s="41">
        <v>1395.82</v>
      </c>
      <c r="F1276" s="40" t="s">
        <v>3088</v>
      </c>
      <c r="G1276" s="41">
        <v>1328.0350000000001</v>
      </c>
      <c r="H1276" s="40"/>
      <c r="I1276" s="41"/>
      <c r="J1276" s="41">
        <f t="shared" si="4"/>
        <v>1361.9275</v>
      </c>
      <c r="K1276" s="42" t="s">
        <v>5796</v>
      </c>
      <c r="L1276" s="39">
        <v>1089</v>
      </c>
    </row>
    <row r="1277" spans="1:12" ht="11.25" customHeight="1">
      <c r="A1277" s="39">
        <v>597</v>
      </c>
      <c r="B1277" s="40" t="s">
        <v>12741</v>
      </c>
      <c r="C1277" s="40" t="s">
        <v>12742</v>
      </c>
      <c r="D1277" s="40" t="s">
        <v>1763</v>
      </c>
      <c r="E1277" s="41">
        <v>5418.8</v>
      </c>
      <c r="F1277" s="40" t="s">
        <v>1763</v>
      </c>
      <c r="G1277" s="41">
        <v>5419.3446000000004</v>
      </c>
      <c r="H1277" s="40"/>
      <c r="I1277" s="41"/>
      <c r="J1277" s="41">
        <f t="shared" si="4"/>
        <v>5419.0722999999998</v>
      </c>
      <c r="K1277" s="42" t="s">
        <v>5796</v>
      </c>
      <c r="L1277" s="39">
        <v>597</v>
      </c>
    </row>
    <row r="1278" spans="1:12" ht="11.25" customHeight="1">
      <c r="A1278" s="39">
        <v>875</v>
      </c>
      <c r="B1278" s="40" t="s">
        <v>12743</v>
      </c>
      <c r="C1278" s="40" t="s">
        <v>12744</v>
      </c>
      <c r="D1278" s="40" t="s">
        <v>2539</v>
      </c>
      <c r="E1278" s="41">
        <v>2322.15</v>
      </c>
      <c r="F1278" s="40" t="s">
        <v>2539</v>
      </c>
      <c r="G1278" s="41">
        <v>2322.2905000000001</v>
      </c>
      <c r="H1278" s="40"/>
      <c r="I1278" s="41"/>
      <c r="J1278" s="41">
        <f t="shared" ref="J1278:J1532" si="5">AVERAGE(E1278,G1278,I1278)</f>
        <v>2322.2202500000003</v>
      </c>
      <c r="K1278" s="42" t="s">
        <v>5796</v>
      </c>
      <c r="L1278" s="39">
        <v>875</v>
      </c>
    </row>
    <row r="1279" spans="1:12" ht="11.25" customHeight="1">
      <c r="A1279" s="39">
        <v>814</v>
      </c>
      <c r="B1279" s="40" t="s">
        <v>12745</v>
      </c>
      <c r="C1279" s="40" t="s">
        <v>12746</v>
      </c>
      <c r="D1279" s="40" t="s">
        <v>2365</v>
      </c>
      <c r="E1279" s="41">
        <v>2757.85</v>
      </c>
      <c r="F1279" s="40" t="s">
        <v>2365</v>
      </c>
      <c r="G1279" s="41">
        <v>2757.8011999999999</v>
      </c>
      <c r="H1279" s="40"/>
      <c r="I1279" s="41"/>
      <c r="J1279" s="41">
        <f t="shared" si="5"/>
        <v>2757.8256000000001</v>
      </c>
      <c r="K1279" s="42" t="s">
        <v>5796</v>
      </c>
      <c r="L1279" s="39">
        <v>814</v>
      </c>
    </row>
    <row r="1280" spans="1:12" ht="11.25" customHeight="1">
      <c r="A1280" s="39">
        <v>2752</v>
      </c>
      <c r="B1280" s="40" t="s">
        <v>12747</v>
      </c>
      <c r="C1280" s="40" t="s">
        <v>12748</v>
      </c>
      <c r="D1280" s="40" t="s">
        <v>5451</v>
      </c>
      <c r="E1280" s="41">
        <v>53.28</v>
      </c>
      <c r="F1280" s="40" t="s">
        <v>5451</v>
      </c>
      <c r="G1280" s="41">
        <v>56.588500000000003</v>
      </c>
      <c r="H1280" s="40"/>
      <c r="I1280" s="41"/>
      <c r="J1280" s="41">
        <f t="shared" si="5"/>
        <v>54.934250000000006</v>
      </c>
      <c r="K1280" s="42" t="s">
        <v>5796</v>
      </c>
      <c r="L1280" s="39">
        <v>2752</v>
      </c>
    </row>
    <row r="1281" spans="1:12" ht="11.25" customHeight="1">
      <c r="A1281" s="39">
        <v>1586</v>
      </c>
      <c r="B1281" s="40" t="s">
        <v>12749</v>
      </c>
      <c r="C1281" s="40" t="s">
        <v>12750</v>
      </c>
      <c r="D1281" s="40" t="s">
        <v>4123</v>
      </c>
      <c r="E1281" s="41">
        <v>423.82</v>
      </c>
      <c r="F1281" s="40" t="s">
        <v>4123</v>
      </c>
      <c r="G1281" s="41">
        <v>422.52929999999998</v>
      </c>
      <c r="H1281" s="40"/>
      <c r="I1281" s="41"/>
      <c r="J1281" s="41">
        <f t="shared" si="5"/>
        <v>423.17464999999999</v>
      </c>
      <c r="K1281" s="42" t="s">
        <v>5796</v>
      </c>
      <c r="L1281" s="39">
        <v>1586</v>
      </c>
    </row>
    <row r="1282" spans="1:12" ht="11.25" customHeight="1">
      <c r="A1282" s="39">
        <v>1725</v>
      </c>
      <c r="B1282" s="40" t="s">
        <v>12751</v>
      </c>
      <c r="C1282" s="40" t="s">
        <v>12752</v>
      </c>
      <c r="D1282" s="40" t="s">
        <v>4372</v>
      </c>
      <c r="E1282" s="41">
        <v>317.43</v>
      </c>
      <c r="F1282" s="40" t="s">
        <v>4372</v>
      </c>
      <c r="G1282" s="41">
        <v>317.4864</v>
      </c>
      <c r="H1282" s="40"/>
      <c r="I1282" s="41"/>
      <c r="J1282" s="41">
        <f t="shared" si="5"/>
        <v>317.45820000000003</v>
      </c>
      <c r="K1282" s="42" t="s">
        <v>5796</v>
      </c>
      <c r="L1282" s="39">
        <v>1725</v>
      </c>
    </row>
    <row r="1283" spans="1:12" ht="11.25" customHeight="1">
      <c r="A1283" s="43">
        <v>133</v>
      </c>
      <c r="B1283" s="44" t="s">
        <v>12753</v>
      </c>
      <c r="C1283" s="44" t="s">
        <v>12754</v>
      </c>
      <c r="D1283" s="44" t="s">
        <v>410</v>
      </c>
      <c r="E1283" s="45">
        <v>48705.55</v>
      </c>
      <c r="F1283" s="44" t="s">
        <v>410</v>
      </c>
      <c r="G1283" s="45">
        <v>48708.655299999999</v>
      </c>
      <c r="H1283" s="44"/>
      <c r="I1283" s="45"/>
      <c r="J1283" s="45">
        <f t="shared" si="5"/>
        <v>48707.102650000001</v>
      </c>
      <c r="K1283" s="46" t="s">
        <v>5800</v>
      </c>
      <c r="L1283" s="43">
        <v>133</v>
      </c>
    </row>
    <row r="1284" spans="1:12" ht="11.25" customHeight="1">
      <c r="A1284" s="39">
        <v>694</v>
      </c>
      <c r="B1284" s="40" t="s">
        <v>12755</v>
      </c>
      <c r="C1284" s="40" t="s">
        <v>12756</v>
      </c>
      <c r="D1284" s="40" t="s">
        <v>2036</v>
      </c>
      <c r="E1284" s="41">
        <v>3950.29</v>
      </c>
      <c r="F1284" s="40" t="s">
        <v>2036</v>
      </c>
      <c r="G1284" s="41">
        <v>3948.2865000000002</v>
      </c>
      <c r="H1284" s="40"/>
      <c r="I1284" s="41"/>
      <c r="J1284" s="41">
        <f t="shared" si="5"/>
        <v>3949.2882500000001</v>
      </c>
      <c r="K1284" s="42" t="s">
        <v>5796</v>
      </c>
      <c r="L1284" s="39">
        <v>694</v>
      </c>
    </row>
    <row r="1285" spans="1:12" ht="11.25" customHeight="1">
      <c r="A1285" s="39">
        <v>2349</v>
      </c>
      <c r="B1285" s="40" t="s">
        <v>12757</v>
      </c>
      <c r="C1285" s="40" t="s">
        <v>12758</v>
      </c>
      <c r="D1285" s="40" t="s">
        <v>5170</v>
      </c>
      <c r="E1285" s="41">
        <v>104.79</v>
      </c>
      <c r="F1285" s="40" t="s">
        <v>5170</v>
      </c>
      <c r="G1285" s="41">
        <v>104.67059999999999</v>
      </c>
      <c r="H1285" s="40"/>
      <c r="I1285" s="41"/>
      <c r="J1285" s="41">
        <f t="shared" si="5"/>
        <v>104.7303</v>
      </c>
      <c r="K1285" s="42" t="s">
        <v>5796</v>
      </c>
      <c r="L1285" s="39">
        <v>2349</v>
      </c>
    </row>
    <row r="1286" spans="1:12" ht="11.25" customHeight="1">
      <c r="A1286" s="39">
        <v>1543</v>
      </c>
      <c r="B1286" s="40" t="s">
        <v>12759</v>
      </c>
      <c r="C1286" s="40" t="s">
        <v>12760</v>
      </c>
      <c r="D1286" s="40" t="s">
        <v>4048</v>
      </c>
      <c r="E1286" s="41">
        <v>462.54</v>
      </c>
      <c r="F1286" s="40" t="s">
        <v>4048</v>
      </c>
      <c r="G1286" s="41">
        <v>461.78789999999998</v>
      </c>
      <c r="H1286" s="40"/>
      <c r="I1286" s="41"/>
      <c r="J1286" s="41">
        <f t="shared" si="5"/>
        <v>462.16395</v>
      </c>
      <c r="K1286" s="42" t="s">
        <v>5796</v>
      </c>
      <c r="L1286" s="39">
        <v>1543</v>
      </c>
    </row>
    <row r="1287" spans="1:12" ht="11.25" customHeight="1">
      <c r="A1287" s="43">
        <v>118</v>
      </c>
      <c r="B1287" s="44" t="s">
        <v>12761</v>
      </c>
      <c r="C1287" s="44" t="s">
        <v>12762</v>
      </c>
      <c r="D1287" s="44" t="s">
        <v>368</v>
      </c>
      <c r="E1287" s="45">
        <v>53330.23</v>
      </c>
      <c r="F1287" s="44" t="s">
        <v>368</v>
      </c>
      <c r="G1287" s="45">
        <v>53323.603900000002</v>
      </c>
      <c r="H1287" s="44"/>
      <c r="I1287" s="45"/>
      <c r="J1287" s="45">
        <f t="shared" si="5"/>
        <v>53326.916949999999</v>
      </c>
      <c r="K1287" s="46" t="s">
        <v>5800</v>
      </c>
      <c r="L1287" s="43">
        <v>118</v>
      </c>
    </row>
    <row r="1288" spans="1:12" ht="11.25" customHeight="1">
      <c r="A1288" s="39">
        <v>500</v>
      </c>
      <c r="B1288" s="40" t="s">
        <v>1485</v>
      </c>
      <c r="C1288" s="40" t="s">
        <v>12763</v>
      </c>
      <c r="D1288" s="40" t="s">
        <v>1487</v>
      </c>
      <c r="E1288" s="41">
        <v>7313.87</v>
      </c>
      <c r="F1288" s="40" t="s">
        <v>1487</v>
      </c>
      <c r="G1288" s="41">
        <v>7315.4231</v>
      </c>
      <c r="H1288" s="40"/>
      <c r="I1288" s="41"/>
      <c r="J1288" s="41">
        <f t="shared" si="5"/>
        <v>7314.6465499999995</v>
      </c>
      <c r="K1288" s="42" t="s">
        <v>5796</v>
      </c>
      <c r="L1288" s="39">
        <v>500</v>
      </c>
    </row>
    <row r="1289" spans="1:12" ht="11.25" customHeight="1">
      <c r="A1289" s="39">
        <v>1072</v>
      </c>
      <c r="B1289" s="40" t="s">
        <v>6635</v>
      </c>
      <c r="C1289" s="40" t="s">
        <v>12764</v>
      </c>
      <c r="D1289" s="40" t="s">
        <v>3046</v>
      </c>
      <c r="E1289" s="41">
        <v>1403.44</v>
      </c>
      <c r="F1289" s="40" t="s">
        <v>3046</v>
      </c>
      <c r="G1289" s="41">
        <v>1402.8924999999999</v>
      </c>
      <c r="H1289" s="40"/>
      <c r="I1289" s="41"/>
      <c r="J1289" s="41">
        <f t="shared" si="5"/>
        <v>1403.16625</v>
      </c>
      <c r="K1289" s="42" t="s">
        <v>5796</v>
      </c>
      <c r="L1289" s="39">
        <v>1072</v>
      </c>
    </row>
    <row r="1290" spans="1:12" ht="11.25" customHeight="1">
      <c r="A1290" s="39">
        <v>1556</v>
      </c>
      <c r="B1290" s="40" t="s">
        <v>12765</v>
      </c>
      <c r="C1290" s="40" t="s">
        <v>12766</v>
      </c>
      <c r="D1290" s="40" t="s">
        <v>4072</v>
      </c>
      <c r="E1290" s="41">
        <v>450.51</v>
      </c>
      <c r="F1290" s="40" t="s">
        <v>4072</v>
      </c>
      <c r="G1290" s="41">
        <v>450.59899999999999</v>
      </c>
      <c r="H1290" s="40"/>
      <c r="I1290" s="41"/>
      <c r="J1290" s="41">
        <f t="shared" si="5"/>
        <v>450.55449999999996</v>
      </c>
      <c r="K1290" s="42" t="s">
        <v>5796</v>
      </c>
      <c r="L1290" s="39">
        <v>1556</v>
      </c>
    </row>
    <row r="1291" spans="1:12" ht="11.25" customHeight="1">
      <c r="A1291" s="39">
        <v>565</v>
      </c>
      <c r="B1291" s="40" t="s">
        <v>6638</v>
      </c>
      <c r="C1291" s="40" t="s">
        <v>12767</v>
      </c>
      <c r="D1291" s="40" t="s">
        <v>1676</v>
      </c>
      <c r="E1291" s="41">
        <v>6105.53</v>
      </c>
      <c r="F1291" s="40" t="s">
        <v>1676</v>
      </c>
      <c r="G1291" s="41">
        <v>6095.1975000000002</v>
      </c>
      <c r="H1291" s="40"/>
      <c r="I1291" s="41"/>
      <c r="J1291" s="41">
        <f t="shared" si="5"/>
        <v>6100.3637500000004</v>
      </c>
      <c r="K1291" s="42" t="s">
        <v>5796</v>
      </c>
      <c r="L1291" s="39">
        <v>565</v>
      </c>
    </row>
    <row r="1292" spans="1:12" ht="11.25" customHeight="1">
      <c r="A1292" s="39">
        <v>2893</v>
      </c>
      <c r="B1292" s="40" t="s">
        <v>12768</v>
      </c>
      <c r="C1292" s="40" t="s">
        <v>12769</v>
      </c>
      <c r="D1292" s="40" t="s">
        <v>5505</v>
      </c>
      <c r="E1292" s="41">
        <v>44.87</v>
      </c>
      <c r="F1292" s="40" t="s">
        <v>5505</v>
      </c>
      <c r="G1292" s="41">
        <v>44.827800000000003</v>
      </c>
      <c r="H1292" s="40"/>
      <c r="I1292" s="41"/>
      <c r="J1292" s="41">
        <f t="shared" si="5"/>
        <v>44.8489</v>
      </c>
      <c r="K1292" s="42" t="s">
        <v>5796</v>
      </c>
      <c r="L1292" s="39">
        <v>2893</v>
      </c>
    </row>
    <row r="1293" spans="1:12" ht="11.25" customHeight="1">
      <c r="A1293" s="43">
        <v>238</v>
      </c>
      <c r="B1293" s="44" t="s">
        <v>12770</v>
      </c>
      <c r="C1293" s="44" t="s">
        <v>12771</v>
      </c>
      <c r="D1293" s="44" t="s">
        <v>725</v>
      </c>
      <c r="E1293" s="45">
        <v>23819.37</v>
      </c>
      <c r="F1293" s="44" t="s">
        <v>725</v>
      </c>
      <c r="G1293" s="45">
        <v>23343.929599999999</v>
      </c>
      <c r="H1293" s="44"/>
      <c r="I1293" s="45"/>
      <c r="J1293" s="45">
        <f t="shared" si="5"/>
        <v>23581.649799999999</v>
      </c>
      <c r="K1293" s="46" t="s">
        <v>5800</v>
      </c>
      <c r="L1293" s="43">
        <v>238</v>
      </c>
    </row>
    <row r="1294" spans="1:12" ht="11.25" customHeight="1">
      <c r="A1294" s="39">
        <v>1059</v>
      </c>
      <c r="B1294" s="40" t="s">
        <v>12772</v>
      </c>
      <c r="C1294" s="40" t="s">
        <v>12773</v>
      </c>
      <c r="D1294" s="40" t="s">
        <v>3016</v>
      </c>
      <c r="E1294" s="41">
        <v>1488.65</v>
      </c>
      <c r="F1294" s="40" t="s">
        <v>3016</v>
      </c>
      <c r="G1294" s="41">
        <v>1413.0884000000001</v>
      </c>
      <c r="H1294" s="40"/>
      <c r="I1294" s="41"/>
      <c r="J1294" s="41">
        <f t="shared" si="5"/>
        <v>1450.8692000000001</v>
      </c>
      <c r="K1294" s="42" t="s">
        <v>5796</v>
      </c>
      <c r="L1294" s="39">
        <v>1059</v>
      </c>
    </row>
    <row r="1295" spans="1:12" ht="11.25" customHeight="1">
      <c r="A1295" s="39">
        <v>1181</v>
      </c>
      <c r="B1295" s="40" t="s">
        <v>12774</v>
      </c>
      <c r="C1295" s="40" t="s">
        <v>12775</v>
      </c>
      <c r="D1295" s="40" t="s">
        <v>3301</v>
      </c>
      <c r="E1295" s="41">
        <v>1086.3800000000001</v>
      </c>
      <c r="F1295" s="40" t="s">
        <v>3301</v>
      </c>
      <c r="G1295" s="41">
        <v>1078.5556999999999</v>
      </c>
      <c r="H1295" s="40"/>
      <c r="I1295" s="41"/>
      <c r="J1295" s="41">
        <f t="shared" si="5"/>
        <v>1082.46785</v>
      </c>
      <c r="K1295" s="42" t="s">
        <v>5796</v>
      </c>
      <c r="L1295" s="39">
        <v>1181</v>
      </c>
    </row>
    <row r="1296" spans="1:12" ht="11.25" customHeight="1">
      <c r="A1296" s="43">
        <v>149</v>
      </c>
      <c r="B1296" s="44" t="s">
        <v>12776</v>
      </c>
      <c r="C1296" s="44" t="s">
        <v>12777</v>
      </c>
      <c r="D1296" s="44" t="s">
        <v>458</v>
      </c>
      <c r="E1296" s="45">
        <v>44300.36</v>
      </c>
      <c r="F1296" s="44" t="s">
        <v>458</v>
      </c>
      <c r="G1296" s="45">
        <v>44308.086600000002</v>
      </c>
      <c r="H1296" s="44"/>
      <c r="I1296" s="45"/>
      <c r="J1296" s="45">
        <f t="shared" si="5"/>
        <v>44304.223299999998</v>
      </c>
      <c r="K1296" s="46" t="s">
        <v>5800</v>
      </c>
      <c r="L1296" s="43">
        <v>149</v>
      </c>
    </row>
    <row r="1297" spans="1:12" ht="11.25" customHeight="1">
      <c r="A1297" s="43">
        <v>190</v>
      </c>
      <c r="B1297" s="44" t="s">
        <v>6641</v>
      </c>
      <c r="C1297" s="44" t="s">
        <v>12778</v>
      </c>
      <c r="D1297" s="44" t="s">
        <v>581</v>
      </c>
      <c r="E1297" s="45">
        <v>33056.74</v>
      </c>
      <c r="F1297" s="44" t="s">
        <v>581</v>
      </c>
      <c r="G1297" s="45">
        <v>33056.070500000002</v>
      </c>
      <c r="H1297" s="44"/>
      <c r="I1297" s="45"/>
      <c r="J1297" s="45">
        <f t="shared" si="5"/>
        <v>33056.405249999996</v>
      </c>
      <c r="K1297" s="46" t="s">
        <v>5800</v>
      </c>
      <c r="L1297" s="43">
        <v>190</v>
      </c>
    </row>
    <row r="1298" spans="1:12" ht="11.25" customHeight="1">
      <c r="A1298" s="47">
        <v>70</v>
      </c>
      <c r="B1298" s="48" t="s">
        <v>12779</v>
      </c>
      <c r="C1298" s="48" t="s">
        <v>12780</v>
      </c>
      <c r="D1298" s="48" t="s">
        <v>224</v>
      </c>
      <c r="E1298" s="49">
        <v>85474.59</v>
      </c>
      <c r="F1298" s="48" t="s">
        <v>224</v>
      </c>
      <c r="G1298" s="49">
        <v>85469.096000000005</v>
      </c>
      <c r="H1298" s="48"/>
      <c r="I1298" s="49"/>
      <c r="J1298" s="49">
        <f t="shared" si="5"/>
        <v>85471.842999999993</v>
      </c>
      <c r="K1298" s="50" t="s">
        <v>5815</v>
      </c>
      <c r="L1298" s="47">
        <v>70</v>
      </c>
    </row>
    <row r="1299" spans="1:12" ht="11.25" customHeight="1">
      <c r="A1299" s="39">
        <v>288</v>
      </c>
      <c r="B1299" s="40" t="s">
        <v>12781</v>
      </c>
      <c r="C1299" s="40" t="s">
        <v>12782</v>
      </c>
      <c r="D1299" s="40" t="s">
        <v>875</v>
      </c>
      <c r="E1299" s="41">
        <v>18053.79</v>
      </c>
      <c r="F1299" s="40" t="s">
        <v>875</v>
      </c>
      <c r="G1299" s="41">
        <v>18063.043699999998</v>
      </c>
      <c r="H1299" s="40"/>
      <c r="I1299" s="41"/>
      <c r="J1299" s="41">
        <f t="shared" si="5"/>
        <v>18058.416850000001</v>
      </c>
      <c r="K1299" s="42" t="s">
        <v>5796</v>
      </c>
      <c r="L1299" s="39">
        <v>288</v>
      </c>
    </row>
    <row r="1300" spans="1:12" ht="11.25" customHeight="1">
      <c r="A1300" s="39">
        <v>783</v>
      </c>
      <c r="B1300" s="40" t="s">
        <v>12783</v>
      </c>
      <c r="C1300" s="40" t="s">
        <v>12784</v>
      </c>
      <c r="D1300" s="40" t="s">
        <v>2281</v>
      </c>
      <c r="E1300" s="41">
        <v>3040.28</v>
      </c>
      <c r="F1300" s="40" t="s">
        <v>2281</v>
      </c>
      <c r="G1300" s="41">
        <v>3041.3598000000002</v>
      </c>
      <c r="H1300" s="40"/>
      <c r="I1300" s="41"/>
      <c r="J1300" s="41">
        <f t="shared" si="5"/>
        <v>3040.8199000000004</v>
      </c>
      <c r="K1300" s="42" t="s">
        <v>5796</v>
      </c>
      <c r="L1300" s="39">
        <v>783</v>
      </c>
    </row>
    <row r="1301" spans="1:12" ht="11.25" customHeight="1">
      <c r="A1301" s="39">
        <v>969</v>
      </c>
      <c r="B1301" s="40" t="s">
        <v>12785</v>
      </c>
      <c r="C1301" s="40" t="s">
        <v>12786</v>
      </c>
      <c r="D1301" s="40" t="s">
        <v>2782</v>
      </c>
      <c r="E1301" s="41">
        <v>1868.04</v>
      </c>
      <c r="F1301" s="40" t="s">
        <v>2782</v>
      </c>
      <c r="G1301" s="41">
        <v>1867.8014000000001</v>
      </c>
      <c r="H1301" s="40"/>
      <c r="I1301" s="41"/>
      <c r="J1301" s="41">
        <f t="shared" si="5"/>
        <v>1867.9207000000001</v>
      </c>
      <c r="K1301" s="42" t="s">
        <v>5796</v>
      </c>
      <c r="L1301" s="39">
        <v>969</v>
      </c>
    </row>
    <row r="1302" spans="1:12" ht="11.25" customHeight="1">
      <c r="A1302" s="39">
        <v>632</v>
      </c>
      <c r="B1302" s="40" t="s">
        <v>12787</v>
      </c>
      <c r="C1302" s="40" t="s">
        <v>12788</v>
      </c>
      <c r="D1302" s="40" t="s">
        <v>1868</v>
      </c>
      <c r="E1302" s="41">
        <v>4774.87</v>
      </c>
      <c r="F1302" s="40" t="s">
        <v>1868</v>
      </c>
      <c r="G1302" s="41">
        <v>4692.3059000000003</v>
      </c>
      <c r="H1302" s="40"/>
      <c r="I1302" s="41"/>
      <c r="J1302" s="41">
        <f t="shared" si="5"/>
        <v>4733.5879500000001</v>
      </c>
      <c r="K1302" s="42" t="s">
        <v>5796</v>
      </c>
      <c r="L1302" s="39">
        <v>632</v>
      </c>
    </row>
    <row r="1303" spans="1:12" ht="11.25" customHeight="1">
      <c r="A1303" s="43">
        <v>116</v>
      </c>
      <c r="B1303" s="44" t="s">
        <v>12789</v>
      </c>
      <c r="C1303" s="44" t="s">
        <v>12790</v>
      </c>
      <c r="D1303" s="44" t="s">
        <v>362</v>
      </c>
      <c r="E1303" s="45">
        <v>54328.33</v>
      </c>
      <c r="F1303" s="44" t="s">
        <v>362</v>
      </c>
      <c r="G1303" s="45">
        <v>54360.383300000001</v>
      </c>
      <c r="H1303" s="44"/>
      <c r="I1303" s="45"/>
      <c r="J1303" s="45">
        <f t="shared" si="5"/>
        <v>54344.356650000002</v>
      </c>
      <c r="K1303" s="46" t="s">
        <v>5800</v>
      </c>
      <c r="L1303" s="43">
        <v>116</v>
      </c>
    </row>
    <row r="1304" spans="1:12" ht="11.25" customHeight="1">
      <c r="A1304" s="39">
        <v>458</v>
      </c>
      <c r="B1304" s="40" t="s">
        <v>6645</v>
      </c>
      <c r="C1304" s="40" t="s">
        <v>12791</v>
      </c>
      <c r="D1304" s="40" t="s">
        <v>1367</v>
      </c>
      <c r="E1304" s="41">
        <v>8475.17</v>
      </c>
      <c r="F1304" s="40" t="s">
        <v>1367</v>
      </c>
      <c r="G1304" s="41">
        <v>8476.6116000000002</v>
      </c>
      <c r="H1304" s="40"/>
      <c r="I1304" s="41"/>
      <c r="J1304" s="41">
        <f t="shared" si="5"/>
        <v>8475.890800000001</v>
      </c>
      <c r="K1304" s="42" t="s">
        <v>5796</v>
      </c>
      <c r="L1304" s="39">
        <v>458</v>
      </c>
    </row>
    <row r="1305" spans="1:12" ht="11.25" customHeight="1">
      <c r="A1305" s="39">
        <v>898</v>
      </c>
      <c r="B1305" s="40" t="s">
        <v>12792</v>
      </c>
      <c r="C1305" s="40" t="s">
        <v>12793</v>
      </c>
      <c r="D1305" s="40" t="s">
        <v>2605</v>
      </c>
      <c r="E1305" s="41">
        <v>2169.42</v>
      </c>
      <c r="F1305" s="40" t="s">
        <v>2605</v>
      </c>
      <c r="G1305" s="41">
        <v>2165.1405</v>
      </c>
      <c r="H1305" s="40"/>
      <c r="I1305" s="41"/>
      <c r="J1305" s="41">
        <f t="shared" si="5"/>
        <v>2167.2802499999998</v>
      </c>
      <c r="K1305" s="42" t="s">
        <v>5796</v>
      </c>
      <c r="L1305" s="39">
        <v>898</v>
      </c>
    </row>
    <row r="1306" spans="1:12" ht="11.25" customHeight="1">
      <c r="A1306" s="43">
        <v>181</v>
      </c>
      <c r="B1306" s="44" t="s">
        <v>12794</v>
      </c>
      <c r="C1306" s="44" t="s">
        <v>12795</v>
      </c>
      <c r="D1306" s="44" t="s">
        <v>554</v>
      </c>
      <c r="E1306" s="45">
        <v>34148.25</v>
      </c>
      <c r="F1306" s="44" t="s">
        <v>554</v>
      </c>
      <c r="G1306" s="45">
        <v>34144.525900000001</v>
      </c>
      <c r="H1306" s="44"/>
      <c r="I1306" s="45"/>
      <c r="J1306" s="45">
        <f t="shared" si="5"/>
        <v>34146.387950000004</v>
      </c>
      <c r="K1306" s="46" t="s">
        <v>5800</v>
      </c>
      <c r="L1306" s="43">
        <v>181</v>
      </c>
    </row>
    <row r="1307" spans="1:12" ht="11.25" customHeight="1">
      <c r="A1307" s="47">
        <v>47</v>
      </c>
      <c r="B1307" s="48" t="s">
        <v>12796</v>
      </c>
      <c r="C1307" s="48" t="s">
        <v>12797</v>
      </c>
      <c r="D1307" s="48" t="s">
        <v>152</v>
      </c>
      <c r="E1307" s="49">
        <v>128544.94</v>
      </c>
      <c r="F1307" s="48" t="s">
        <v>152</v>
      </c>
      <c r="G1307" s="49">
        <v>128525.58689999999</v>
      </c>
      <c r="H1307" s="48"/>
      <c r="I1307" s="49"/>
      <c r="J1307" s="49">
        <f t="shared" si="5"/>
        <v>128535.26345</v>
      </c>
      <c r="K1307" s="50" t="s">
        <v>5815</v>
      </c>
      <c r="L1307" s="47">
        <v>47</v>
      </c>
    </row>
    <row r="1308" spans="1:12" ht="11.25" customHeight="1">
      <c r="A1308" s="39">
        <v>2798</v>
      </c>
      <c r="B1308" s="40" t="s">
        <v>12798</v>
      </c>
      <c r="C1308" s="40" t="s">
        <v>12799</v>
      </c>
      <c r="D1308" s="40" t="s">
        <v>5463</v>
      </c>
      <c r="E1308" s="41">
        <v>51.85</v>
      </c>
      <c r="F1308" s="40" t="s">
        <v>5463</v>
      </c>
      <c r="G1308" s="41">
        <v>51.751600000000003</v>
      </c>
      <c r="H1308" s="40"/>
      <c r="I1308" s="41"/>
      <c r="J1308" s="41">
        <f t="shared" si="5"/>
        <v>51.800800000000002</v>
      </c>
      <c r="K1308" s="42" t="s">
        <v>5796</v>
      </c>
      <c r="L1308" s="39">
        <v>2798</v>
      </c>
    </row>
    <row r="1309" spans="1:12" ht="11.25" customHeight="1">
      <c r="A1309" s="43">
        <v>115</v>
      </c>
      <c r="B1309" s="44" t="s">
        <v>12800</v>
      </c>
      <c r="C1309" s="44" t="s">
        <v>12801</v>
      </c>
      <c r="D1309" s="44" t="s">
        <v>359</v>
      </c>
      <c r="E1309" s="45">
        <v>54705.52</v>
      </c>
      <c r="F1309" s="44" t="s">
        <v>359</v>
      </c>
      <c r="G1309" s="45">
        <v>54713.8969</v>
      </c>
      <c r="H1309" s="44"/>
      <c r="I1309" s="45"/>
      <c r="J1309" s="45">
        <f t="shared" si="5"/>
        <v>54709.708449999998</v>
      </c>
      <c r="K1309" s="46" t="s">
        <v>5800</v>
      </c>
      <c r="L1309" s="43">
        <v>115</v>
      </c>
    </row>
    <row r="1310" spans="1:12" ht="11.25" customHeight="1">
      <c r="A1310" s="39">
        <v>837</v>
      </c>
      <c r="B1310" s="40" t="s">
        <v>12802</v>
      </c>
      <c r="C1310" s="40" t="s">
        <v>12803</v>
      </c>
      <c r="D1310" s="40" t="s">
        <v>2431</v>
      </c>
      <c r="E1310" s="41">
        <v>2579.3000000000002</v>
      </c>
      <c r="F1310" s="40" t="s">
        <v>2431</v>
      </c>
      <c r="G1310" s="41">
        <v>2580.2053000000001</v>
      </c>
      <c r="H1310" s="40"/>
      <c r="I1310" s="41"/>
      <c r="J1310" s="41">
        <f t="shared" si="5"/>
        <v>2579.7526500000004</v>
      </c>
      <c r="K1310" s="42" t="s">
        <v>5796</v>
      </c>
      <c r="L1310" s="39">
        <v>837</v>
      </c>
    </row>
    <row r="1311" spans="1:12" ht="11.25" customHeight="1">
      <c r="A1311" s="39">
        <v>1876</v>
      </c>
      <c r="B1311" s="40" t="s">
        <v>4565</v>
      </c>
      <c r="C1311" s="40" t="s">
        <v>12804</v>
      </c>
      <c r="D1311" s="40" t="s">
        <v>4567</v>
      </c>
      <c r="E1311" s="41">
        <v>234.92</v>
      </c>
      <c r="F1311" s="40" t="s">
        <v>4567</v>
      </c>
      <c r="G1311" s="41">
        <v>235.32220000000001</v>
      </c>
      <c r="H1311" s="40"/>
      <c r="I1311" s="41"/>
      <c r="J1311" s="41">
        <f t="shared" si="5"/>
        <v>235.12110000000001</v>
      </c>
      <c r="K1311" s="42" t="s">
        <v>5796</v>
      </c>
      <c r="L1311" s="39">
        <v>1876</v>
      </c>
    </row>
    <row r="1312" spans="1:12" ht="11.25" customHeight="1">
      <c r="A1312" s="39">
        <v>2199</v>
      </c>
      <c r="B1312" s="40" t="s">
        <v>12805</v>
      </c>
      <c r="C1312" s="40" t="s">
        <v>12806</v>
      </c>
      <c r="D1312" s="40" t="s">
        <v>5017</v>
      </c>
      <c r="E1312" s="41">
        <v>132.21</v>
      </c>
      <c r="F1312" s="40" t="s">
        <v>5017</v>
      </c>
      <c r="G1312" s="41">
        <v>132.33930000000001</v>
      </c>
      <c r="H1312" s="40"/>
      <c r="I1312" s="41"/>
      <c r="J1312" s="41">
        <f t="shared" si="5"/>
        <v>132.27465000000001</v>
      </c>
      <c r="K1312" s="42" t="s">
        <v>5796</v>
      </c>
      <c r="L1312" s="39">
        <v>2199</v>
      </c>
    </row>
    <row r="1313" spans="1:12" ht="11.25" customHeight="1">
      <c r="A1313" s="39">
        <v>957</v>
      </c>
      <c r="B1313" s="40" t="s">
        <v>6651</v>
      </c>
      <c r="C1313" s="40" t="s">
        <v>12807</v>
      </c>
      <c r="D1313" s="40" t="s">
        <v>2749</v>
      </c>
      <c r="E1313" s="41">
        <v>1917.02</v>
      </c>
      <c r="F1313" s="40" t="s">
        <v>2749</v>
      </c>
      <c r="G1313" s="41">
        <v>1917.4056</v>
      </c>
      <c r="H1313" s="40"/>
      <c r="I1313" s="41"/>
      <c r="J1313" s="41">
        <f t="shared" si="5"/>
        <v>1917.2128</v>
      </c>
      <c r="K1313" s="42" t="s">
        <v>5796</v>
      </c>
      <c r="L1313" s="39">
        <v>957</v>
      </c>
    </row>
    <row r="1314" spans="1:12" ht="11.25" customHeight="1">
      <c r="A1314" s="39">
        <v>1008</v>
      </c>
      <c r="B1314" s="40" t="s">
        <v>12808</v>
      </c>
      <c r="C1314" s="40" t="s">
        <v>12809</v>
      </c>
      <c r="D1314" s="40" t="s">
        <v>2887</v>
      </c>
      <c r="E1314" s="41">
        <v>1676.28</v>
      </c>
      <c r="F1314" s="40" t="s">
        <v>2887</v>
      </c>
      <c r="G1314" s="41">
        <v>1676.3572999999999</v>
      </c>
      <c r="H1314" s="40"/>
      <c r="I1314" s="41"/>
      <c r="J1314" s="41">
        <f t="shared" si="5"/>
        <v>1676.3186499999999</v>
      </c>
      <c r="K1314" s="42" t="s">
        <v>5796</v>
      </c>
      <c r="L1314" s="39">
        <v>1008</v>
      </c>
    </row>
    <row r="1315" spans="1:12" ht="11.25" customHeight="1">
      <c r="A1315" s="39">
        <v>2466</v>
      </c>
      <c r="B1315" s="40" t="s">
        <v>12810</v>
      </c>
      <c r="C1315" s="40" t="s">
        <v>12811</v>
      </c>
      <c r="D1315" s="40"/>
      <c r="E1315" s="41"/>
      <c r="F1315" s="40" t="s">
        <v>5271</v>
      </c>
      <c r="G1315" s="41">
        <v>87.552999999999997</v>
      </c>
      <c r="H1315" s="40"/>
      <c r="I1315" s="41"/>
      <c r="J1315" s="41">
        <f t="shared" si="5"/>
        <v>87.552999999999997</v>
      </c>
      <c r="K1315" s="42" t="s">
        <v>5796</v>
      </c>
      <c r="L1315" s="39">
        <v>2466</v>
      </c>
    </row>
    <row r="1316" spans="1:12" ht="11.25" customHeight="1">
      <c r="A1316" s="39">
        <v>1387</v>
      </c>
      <c r="B1316" s="40" t="s">
        <v>12812</v>
      </c>
      <c r="C1316" s="40" t="s">
        <v>12813</v>
      </c>
      <c r="D1316" s="40" t="s">
        <v>3748</v>
      </c>
      <c r="E1316" s="41">
        <v>655.96</v>
      </c>
      <c r="F1316" s="40" t="s">
        <v>3748</v>
      </c>
      <c r="G1316" s="41">
        <v>656.14559999999994</v>
      </c>
      <c r="H1316" s="40"/>
      <c r="I1316" s="41"/>
      <c r="J1316" s="41">
        <f t="shared" si="5"/>
        <v>656.05279999999993</v>
      </c>
      <c r="K1316" s="42" t="s">
        <v>5796</v>
      </c>
      <c r="L1316" s="39">
        <v>1387</v>
      </c>
    </row>
    <row r="1317" spans="1:12" ht="11.25" customHeight="1">
      <c r="A1317" s="39">
        <v>1518</v>
      </c>
      <c r="B1317" s="40" t="s">
        <v>12814</v>
      </c>
      <c r="C1317" s="40" t="s">
        <v>12815</v>
      </c>
      <c r="D1317" s="40" t="s">
        <v>4000</v>
      </c>
      <c r="E1317" s="41">
        <v>487.7</v>
      </c>
      <c r="F1317" s="40" t="s">
        <v>4000</v>
      </c>
      <c r="G1317" s="41">
        <v>487.20769999999999</v>
      </c>
      <c r="H1317" s="40"/>
      <c r="I1317" s="41"/>
      <c r="J1317" s="41">
        <f t="shared" si="5"/>
        <v>487.45384999999999</v>
      </c>
      <c r="K1317" s="42" t="s">
        <v>5796</v>
      </c>
      <c r="L1317" s="39">
        <v>1518</v>
      </c>
    </row>
    <row r="1318" spans="1:12" ht="11.25" customHeight="1">
      <c r="A1318" s="47">
        <v>78</v>
      </c>
      <c r="B1318" s="48" t="s">
        <v>12816</v>
      </c>
      <c r="C1318" s="48" t="s">
        <v>12817</v>
      </c>
      <c r="D1318" s="48" t="s">
        <v>248</v>
      </c>
      <c r="E1318" s="49">
        <v>79774.100000000006</v>
      </c>
      <c r="F1318" s="48" t="s">
        <v>248</v>
      </c>
      <c r="G1318" s="49">
        <v>79773.475699999995</v>
      </c>
      <c r="H1318" s="48"/>
      <c r="I1318" s="49"/>
      <c r="J1318" s="49">
        <f t="shared" si="5"/>
        <v>79773.787849999993</v>
      </c>
      <c r="K1318" s="50" t="s">
        <v>5815</v>
      </c>
      <c r="L1318" s="47">
        <v>78</v>
      </c>
    </row>
    <row r="1319" spans="1:12" ht="11.25" customHeight="1">
      <c r="A1319" s="39">
        <v>1067</v>
      </c>
      <c r="B1319" s="40" t="s">
        <v>12818</v>
      </c>
      <c r="C1319" s="40" t="s">
        <v>12819</v>
      </c>
      <c r="D1319" s="40" t="s">
        <v>3037</v>
      </c>
      <c r="E1319" s="41">
        <v>1422.72</v>
      </c>
      <c r="F1319" s="40" t="s">
        <v>3037</v>
      </c>
      <c r="G1319" s="41">
        <v>1422.5300999999999</v>
      </c>
      <c r="H1319" s="40"/>
      <c r="I1319" s="41"/>
      <c r="J1319" s="41">
        <f t="shared" si="5"/>
        <v>1422.6250500000001</v>
      </c>
      <c r="K1319" s="42" t="s">
        <v>5796</v>
      </c>
      <c r="L1319" s="39">
        <v>1067</v>
      </c>
    </row>
    <row r="1320" spans="1:12" ht="11.25" customHeight="1">
      <c r="A1320" s="39">
        <v>285</v>
      </c>
      <c r="B1320" s="40" t="s">
        <v>12820</v>
      </c>
      <c r="C1320" s="40" t="s">
        <v>12821</v>
      </c>
      <c r="D1320" s="40" t="s">
        <v>866</v>
      </c>
      <c r="E1320" s="41">
        <v>18248.189999999999</v>
      </c>
      <c r="F1320" s="40" t="s">
        <v>866</v>
      </c>
      <c r="G1320" s="41">
        <v>18250.668600000001</v>
      </c>
      <c r="H1320" s="40"/>
      <c r="I1320" s="41"/>
      <c r="J1320" s="41">
        <f t="shared" si="5"/>
        <v>18249.4293</v>
      </c>
      <c r="K1320" s="42" t="s">
        <v>5796</v>
      </c>
      <c r="L1320" s="39">
        <v>285</v>
      </c>
    </row>
    <row r="1321" spans="1:12" ht="11.25" customHeight="1">
      <c r="A1321" s="39">
        <v>2709</v>
      </c>
      <c r="B1321" s="40" t="s">
        <v>12822</v>
      </c>
      <c r="C1321" s="40" t="s">
        <v>12823</v>
      </c>
      <c r="D1321" s="40" t="s">
        <v>5433</v>
      </c>
      <c r="E1321" s="41">
        <v>58.22</v>
      </c>
      <c r="F1321" s="40" t="s">
        <v>5433</v>
      </c>
      <c r="G1321" s="41">
        <v>58.221499999999999</v>
      </c>
      <c r="H1321" s="40"/>
      <c r="I1321" s="41"/>
      <c r="J1321" s="41">
        <f t="shared" si="5"/>
        <v>58.220749999999995</v>
      </c>
      <c r="K1321" s="42" t="s">
        <v>5796</v>
      </c>
      <c r="L1321" s="39">
        <v>2709</v>
      </c>
    </row>
    <row r="1322" spans="1:12" ht="11.25" customHeight="1">
      <c r="A1322" s="39">
        <v>449</v>
      </c>
      <c r="B1322" s="40" t="s">
        <v>12824</v>
      </c>
      <c r="C1322" s="40" t="s">
        <v>12825</v>
      </c>
      <c r="D1322" s="40" t="s">
        <v>1340</v>
      </c>
      <c r="E1322" s="41">
        <v>8845.0400000000009</v>
      </c>
      <c r="F1322" s="40" t="s">
        <v>1340</v>
      </c>
      <c r="G1322" s="41">
        <v>8845.9462000000003</v>
      </c>
      <c r="H1322" s="40"/>
      <c r="I1322" s="41"/>
      <c r="J1322" s="41">
        <f t="shared" si="5"/>
        <v>8845.4930999999997</v>
      </c>
      <c r="K1322" s="42" t="s">
        <v>5796</v>
      </c>
      <c r="L1322" s="39">
        <v>449</v>
      </c>
    </row>
    <row r="1323" spans="1:12" ht="11.25" customHeight="1">
      <c r="A1323" s="39">
        <v>1496</v>
      </c>
      <c r="B1323" s="40" t="s">
        <v>12826</v>
      </c>
      <c r="C1323" s="40" t="s">
        <v>12827</v>
      </c>
      <c r="D1323" s="40" t="s">
        <v>3955</v>
      </c>
      <c r="E1323" s="41">
        <v>515.16</v>
      </c>
      <c r="F1323" s="40" t="s">
        <v>3955</v>
      </c>
      <c r="G1323" s="41">
        <v>515.24400000000003</v>
      </c>
      <c r="H1323" s="40"/>
      <c r="I1323" s="41"/>
      <c r="J1323" s="41">
        <f t="shared" si="5"/>
        <v>515.202</v>
      </c>
      <c r="K1323" s="42" t="s">
        <v>5796</v>
      </c>
      <c r="L1323" s="39">
        <v>1496</v>
      </c>
    </row>
    <row r="1324" spans="1:12" ht="11.25" customHeight="1">
      <c r="A1324" s="39">
        <v>2576</v>
      </c>
      <c r="B1324" s="40" t="s">
        <v>12828</v>
      </c>
      <c r="C1324" s="40" t="s">
        <v>12829</v>
      </c>
      <c r="D1324" s="40" t="s">
        <v>12830</v>
      </c>
      <c r="E1324" s="41">
        <v>72.06</v>
      </c>
      <c r="F1324" s="40" t="s">
        <v>5358</v>
      </c>
      <c r="G1324" s="41">
        <v>71.794399999999996</v>
      </c>
      <c r="H1324" s="40"/>
      <c r="I1324" s="41"/>
      <c r="J1324" s="41">
        <f t="shared" si="5"/>
        <v>71.927199999999999</v>
      </c>
      <c r="K1324" s="42" t="s">
        <v>5796</v>
      </c>
      <c r="L1324" s="39">
        <v>2576</v>
      </c>
    </row>
    <row r="1325" spans="1:12" ht="11.25" customHeight="1">
      <c r="A1325" s="39">
        <v>1647</v>
      </c>
      <c r="B1325" s="40" t="s">
        <v>12831</v>
      </c>
      <c r="C1325" s="40" t="s">
        <v>12832</v>
      </c>
      <c r="D1325" s="40" t="s">
        <v>12833</v>
      </c>
      <c r="E1325" s="41">
        <v>369.4</v>
      </c>
      <c r="F1325" s="40" t="s">
        <v>4240</v>
      </c>
      <c r="G1325" s="41">
        <v>369.61950000000002</v>
      </c>
      <c r="H1325" s="40"/>
      <c r="I1325" s="41"/>
      <c r="J1325" s="41">
        <f t="shared" si="5"/>
        <v>369.50975</v>
      </c>
      <c r="K1325" s="42" t="s">
        <v>5796</v>
      </c>
      <c r="L1325" s="39">
        <v>1647</v>
      </c>
    </row>
    <row r="1326" spans="1:12" ht="11.25" customHeight="1">
      <c r="A1326" s="39">
        <v>1048</v>
      </c>
      <c r="B1326" s="40" t="s">
        <v>12834</v>
      </c>
      <c r="C1326" s="40" t="s">
        <v>12835</v>
      </c>
      <c r="D1326" s="40" t="s">
        <v>2992</v>
      </c>
      <c r="E1326" s="41">
        <v>1496.36</v>
      </c>
      <c r="F1326" s="40" t="s">
        <v>2992</v>
      </c>
      <c r="G1326" s="41">
        <v>1496.318</v>
      </c>
      <c r="H1326" s="40"/>
      <c r="I1326" s="41"/>
      <c r="J1326" s="41">
        <f t="shared" si="5"/>
        <v>1496.3389999999999</v>
      </c>
      <c r="K1326" s="42" t="s">
        <v>5796</v>
      </c>
      <c r="L1326" s="39">
        <v>1048</v>
      </c>
    </row>
    <row r="1327" spans="1:12" ht="11.25" customHeight="1">
      <c r="A1327" s="43">
        <v>183</v>
      </c>
      <c r="B1327" s="44" t="s">
        <v>12836</v>
      </c>
      <c r="C1327" s="44" t="s">
        <v>12837</v>
      </c>
      <c r="D1327" s="44" t="s">
        <v>560</v>
      </c>
      <c r="E1327" s="45">
        <v>34043.24</v>
      </c>
      <c r="F1327" s="44" t="s">
        <v>560</v>
      </c>
      <c r="G1327" s="45">
        <v>34040.707900000001</v>
      </c>
      <c r="H1327" s="44"/>
      <c r="I1327" s="45"/>
      <c r="J1327" s="45">
        <f t="shared" si="5"/>
        <v>34041.97395</v>
      </c>
      <c r="K1327" s="46" t="s">
        <v>5800</v>
      </c>
      <c r="L1327" s="43">
        <v>183</v>
      </c>
    </row>
    <row r="1328" spans="1:12" ht="11.25" customHeight="1">
      <c r="A1328" s="47">
        <v>83</v>
      </c>
      <c r="B1328" s="48" t="s">
        <v>12838</v>
      </c>
      <c r="C1328" s="48" t="s">
        <v>12839</v>
      </c>
      <c r="D1328" s="48" t="s">
        <v>263</v>
      </c>
      <c r="E1328" s="49">
        <v>74916.05</v>
      </c>
      <c r="F1328" s="48" t="s">
        <v>263</v>
      </c>
      <c r="G1328" s="49">
        <v>74869.036600000007</v>
      </c>
      <c r="H1328" s="48"/>
      <c r="I1328" s="49"/>
      <c r="J1328" s="49">
        <f t="shared" si="5"/>
        <v>74892.543300000005</v>
      </c>
      <c r="K1328" s="50" t="s">
        <v>5815</v>
      </c>
      <c r="L1328" s="47">
        <v>83</v>
      </c>
    </row>
    <row r="1329" spans="1:12" ht="11.25" customHeight="1">
      <c r="A1329" s="39">
        <v>339</v>
      </c>
      <c r="B1329" s="40" t="s">
        <v>12840</v>
      </c>
      <c r="C1329" s="40" t="s">
        <v>12841</v>
      </c>
      <c r="D1329" s="40" t="s">
        <v>1028</v>
      </c>
      <c r="E1329" s="41">
        <v>13336.48</v>
      </c>
      <c r="F1329" s="40" t="s">
        <v>1028</v>
      </c>
      <c r="G1329" s="41">
        <v>13339.2773</v>
      </c>
      <c r="H1329" s="40"/>
      <c r="I1329" s="41"/>
      <c r="J1329" s="41">
        <f t="shared" si="5"/>
        <v>13337.878649999999</v>
      </c>
      <c r="K1329" s="42" t="s">
        <v>5796</v>
      </c>
      <c r="L1329" s="39">
        <v>339</v>
      </c>
    </row>
    <row r="1330" spans="1:12" ht="11.25" customHeight="1">
      <c r="A1330" s="39">
        <v>720</v>
      </c>
      <c r="B1330" s="40" t="s">
        <v>12842</v>
      </c>
      <c r="C1330" s="40" t="s">
        <v>12843</v>
      </c>
      <c r="D1330" s="40" t="s">
        <v>2107</v>
      </c>
      <c r="E1330" s="41">
        <v>3588.26</v>
      </c>
      <c r="F1330" s="40" t="s">
        <v>2107</v>
      </c>
      <c r="G1330" s="41">
        <v>3588.2863000000002</v>
      </c>
      <c r="H1330" s="40"/>
      <c r="I1330" s="41"/>
      <c r="J1330" s="41">
        <f t="shared" si="5"/>
        <v>3588.27315</v>
      </c>
      <c r="K1330" s="42" t="s">
        <v>5796</v>
      </c>
      <c r="L1330" s="39">
        <v>720</v>
      </c>
    </row>
    <row r="1331" spans="1:12" ht="11.25" customHeight="1">
      <c r="A1331" s="39">
        <v>1668</v>
      </c>
      <c r="B1331" s="40" t="s">
        <v>12844</v>
      </c>
      <c r="C1331" s="40" t="s">
        <v>12845</v>
      </c>
      <c r="D1331" s="40" t="s">
        <v>4276</v>
      </c>
      <c r="E1331" s="41">
        <v>352.35</v>
      </c>
      <c r="F1331" s="40" t="s">
        <v>4276</v>
      </c>
      <c r="G1331" s="41">
        <v>352.45960000000002</v>
      </c>
      <c r="H1331" s="40"/>
      <c r="I1331" s="41"/>
      <c r="J1331" s="41">
        <f t="shared" si="5"/>
        <v>352.40480000000002</v>
      </c>
      <c r="K1331" s="42" t="s">
        <v>5796</v>
      </c>
      <c r="L1331" s="39">
        <v>1668</v>
      </c>
    </row>
    <row r="1332" spans="1:12" ht="11.25" customHeight="1">
      <c r="A1332" s="43">
        <v>205</v>
      </c>
      <c r="B1332" s="44" t="s">
        <v>6662</v>
      </c>
      <c r="C1332" s="44" t="s">
        <v>12846</v>
      </c>
      <c r="D1332" s="44" t="s">
        <v>626</v>
      </c>
      <c r="E1332" s="45">
        <v>30131.68</v>
      </c>
      <c r="F1332" s="44" t="s">
        <v>626</v>
      </c>
      <c r="G1332" s="45">
        <v>30126.934099999999</v>
      </c>
      <c r="H1332" s="44"/>
      <c r="I1332" s="45"/>
      <c r="J1332" s="45">
        <f t="shared" si="5"/>
        <v>30129.307049999999</v>
      </c>
      <c r="K1332" s="46" t="s">
        <v>5800</v>
      </c>
      <c r="L1332" s="43">
        <v>205</v>
      </c>
    </row>
    <row r="1333" spans="1:12" ht="11.25" customHeight="1">
      <c r="A1333" s="47">
        <v>31</v>
      </c>
      <c r="B1333" s="48" t="s">
        <v>6663</v>
      </c>
      <c r="C1333" s="48" t="s">
        <v>12847</v>
      </c>
      <c r="D1333" s="48" t="s">
        <v>101</v>
      </c>
      <c r="E1333" s="49">
        <v>186894.13</v>
      </c>
      <c r="F1333" s="48" t="s">
        <v>101</v>
      </c>
      <c r="G1333" s="49">
        <v>186897.13380000001</v>
      </c>
      <c r="H1333" s="48"/>
      <c r="I1333" s="49"/>
      <c r="J1333" s="49">
        <f t="shared" si="5"/>
        <v>186895.63190000001</v>
      </c>
      <c r="K1333" s="50" t="s">
        <v>5815</v>
      </c>
      <c r="L1333" s="47">
        <v>31</v>
      </c>
    </row>
    <row r="1334" spans="1:12" ht="11.25" customHeight="1">
      <c r="A1334" s="39">
        <v>279</v>
      </c>
      <c r="B1334" s="40" t="s">
        <v>6664</v>
      </c>
      <c r="C1334" s="40" t="s">
        <v>12848</v>
      </c>
      <c r="D1334" s="40" t="s">
        <v>848</v>
      </c>
      <c r="E1334" s="41">
        <v>18794.14</v>
      </c>
      <c r="F1334" s="40" t="s">
        <v>848</v>
      </c>
      <c r="G1334" s="41">
        <v>18803.207699999999</v>
      </c>
      <c r="H1334" s="40"/>
      <c r="I1334" s="41"/>
      <c r="J1334" s="41">
        <f t="shared" si="5"/>
        <v>18798.673849999999</v>
      </c>
      <c r="K1334" s="42" t="s">
        <v>5796</v>
      </c>
      <c r="L1334" s="39">
        <v>279</v>
      </c>
    </row>
    <row r="1335" spans="1:12" ht="11.25" customHeight="1">
      <c r="A1335" s="39">
        <v>563</v>
      </c>
      <c r="B1335" s="40" t="s">
        <v>12849</v>
      </c>
      <c r="C1335" s="40" t="s">
        <v>12850</v>
      </c>
      <c r="D1335" s="40" t="s">
        <v>1670</v>
      </c>
      <c r="E1335" s="41">
        <v>6140.71</v>
      </c>
      <c r="F1335" s="40" t="s">
        <v>1670</v>
      </c>
      <c r="G1335" s="41">
        <v>6101.4943999999996</v>
      </c>
      <c r="H1335" s="40"/>
      <c r="I1335" s="41"/>
      <c r="J1335" s="41">
        <f t="shared" si="5"/>
        <v>6121.1021999999994</v>
      </c>
      <c r="K1335" s="42" t="s">
        <v>5796</v>
      </c>
      <c r="L1335" s="39">
        <v>563</v>
      </c>
    </row>
    <row r="1336" spans="1:12" ht="11.25" customHeight="1">
      <c r="A1336" s="39">
        <v>1711</v>
      </c>
      <c r="B1336" s="40" t="s">
        <v>12851</v>
      </c>
      <c r="C1336" s="40" t="s">
        <v>12852</v>
      </c>
      <c r="D1336" s="40" t="s">
        <v>4354</v>
      </c>
      <c r="E1336" s="41">
        <v>326.61</v>
      </c>
      <c r="F1336" s="40" t="s">
        <v>4354</v>
      </c>
      <c r="G1336" s="41">
        <v>326.4597</v>
      </c>
      <c r="H1336" s="40"/>
      <c r="I1336" s="41"/>
      <c r="J1336" s="41">
        <f t="shared" si="5"/>
        <v>326.53485000000001</v>
      </c>
      <c r="K1336" s="42" t="s">
        <v>5796</v>
      </c>
      <c r="L1336" s="39">
        <v>1711</v>
      </c>
    </row>
    <row r="1337" spans="1:12" ht="11.25" customHeight="1">
      <c r="A1337" s="39">
        <v>1344</v>
      </c>
      <c r="B1337" s="40" t="s">
        <v>12853</v>
      </c>
      <c r="C1337" s="40" t="s">
        <v>12854</v>
      </c>
      <c r="D1337" s="40" t="s">
        <v>3655</v>
      </c>
      <c r="E1337" s="41">
        <v>734.1</v>
      </c>
      <c r="F1337" s="40" t="s">
        <v>3655</v>
      </c>
      <c r="G1337" s="41">
        <v>733.9357</v>
      </c>
      <c r="H1337" s="40"/>
      <c r="I1337" s="41"/>
      <c r="J1337" s="41">
        <f t="shared" si="5"/>
        <v>734.01784999999995</v>
      </c>
      <c r="K1337" s="42" t="s">
        <v>5796</v>
      </c>
      <c r="L1337" s="39">
        <v>1344</v>
      </c>
    </row>
    <row r="1338" spans="1:12" ht="11.25" customHeight="1">
      <c r="A1338" s="39">
        <v>333</v>
      </c>
      <c r="B1338" s="40" t="s">
        <v>6665</v>
      </c>
      <c r="C1338" s="40" t="s">
        <v>12855</v>
      </c>
      <c r="D1338" s="40" t="s">
        <v>1010</v>
      </c>
      <c r="E1338" s="41">
        <v>13973.91</v>
      </c>
      <c r="F1338" s="40" t="s">
        <v>1010</v>
      </c>
      <c r="G1338" s="41">
        <v>13978.159900000001</v>
      </c>
      <c r="H1338" s="40"/>
      <c r="I1338" s="41"/>
      <c r="J1338" s="41">
        <f t="shared" si="5"/>
        <v>13976.034950000001</v>
      </c>
      <c r="K1338" s="42" t="s">
        <v>5796</v>
      </c>
      <c r="L1338" s="39">
        <v>333</v>
      </c>
    </row>
    <row r="1339" spans="1:12" ht="11.25" customHeight="1">
      <c r="A1339" s="39">
        <v>2325</v>
      </c>
      <c r="B1339" s="40" t="s">
        <v>12856</v>
      </c>
      <c r="C1339" s="40" t="s">
        <v>12857</v>
      </c>
      <c r="D1339" s="40" t="s">
        <v>5158</v>
      </c>
      <c r="E1339" s="41">
        <v>108.21</v>
      </c>
      <c r="F1339" s="40" t="s">
        <v>5158</v>
      </c>
      <c r="G1339" s="41">
        <v>108.2003</v>
      </c>
      <c r="H1339" s="40"/>
      <c r="I1339" s="41"/>
      <c r="J1339" s="41">
        <f t="shared" si="5"/>
        <v>108.20515</v>
      </c>
      <c r="K1339" s="42" t="s">
        <v>5796</v>
      </c>
      <c r="L1339" s="39">
        <v>2325</v>
      </c>
    </row>
    <row r="1340" spans="1:12" ht="11.25" customHeight="1">
      <c r="A1340" s="39">
        <v>423</v>
      </c>
      <c r="B1340" s="40" t="s">
        <v>12858</v>
      </c>
      <c r="C1340" s="40" t="s">
        <v>12859</v>
      </c>
      <c r="D1340" s="40" t="s">
        <v>1268</v>
      </c>
      <c r="E1340" s="41">
        <v>9622.77</v>
      </c>
      <c r="F1340" s="40" t="s">
        <v>1268</v>
      </c>
      <c r="G1340" s="41">
        <v>9624.9953999999998</v>
      </c>
      <c r="H1340" s="40"/>
      <c r="I1340" s="41"/>
      <c r="J1340" s="41">
        <f t="shared" si="5"/>
        <v>9623.8827000000001</v>
      </c>
      <c r="K1340" s="42" t="s">
        <v>5796</v>
      </c>
      <c r="L1340" s="39">
        <v>423</v>
      </c>
    </row>
    <row r="1341" spans="1:12" ht="11.25" customHeight="1">
      <c r="A1341" s="39">
        <v>869</v>
      </c>
      <c r="B1341" s="40" t="s">
        <v>12860</v>
      </c>
      <c r="C1341" s="40" t="s">
        <v>12861</v>
      </c>
      <c r="D1341" s="40" t="s">
        <v>2521</v>
      </c>
      <c r="E1341" s="41">
        <v>2380.61</v>
      </c>
      <c r="F1341" s="40" t="s">
        <v>2521</v>
      </c>
      <c r="G1341" s="41">
        <v>2380.1421</v>
      </c>
      <c r="H1341" s="40"/>
      <c r="I1341" s="41"/>
      <c r="J1341" s="41">
        <f t="shared" si="5"/>
        <v>2380.3760499999999</v>
      </c>
      <c r="K1341" s="42" t="s">
        <v>5796</v>
      </c>
      <c r="L1341" s="39">
        <v>869</v>
      </c>
    </row>
    <row r="1342" spans="1:12" ht="11.25" customHeight="1">
      <c r="A1342" s="39">
        <v>2375</v>
      </c>
      <c r="B1342" s="40" t="s">
        <v>12862</v>
      </c>
      <c r="C1342" s="40" t="s">
        <v>12863</v>
      </c>
      <c r="D1342" s="40" t="s">
        <v>5191</v>
      </c>
      <c r="E1342" s="41">
        <v>100.85</v>
      </c>
      <c r="F1342" s="40" t="s">
        <v>5191</v>
      </c>
      <c r="G1342" s="41">
        <v>100.5899</v>
      </c>
      <c r="H1342" s="40"/>
      <c r="I1342" s="41"/>
      <c r="J1342" s="41">
        <f t="shared" si="5"/>
        <v>100.71995</v>
      </c>
      <c r="K1342" s="42" t="s">
        <v>5796</v>
      </c>
      <c r="L1342" s="39">
        <v>2375</v>
      </c>
    </row>
    <row r="1343" spans="1:12" ht="11.25" customHeight="1">
      <c r="A1343" s="39">
        <v>1695</v>
      </c>
      <c r="B1343" s="40" t="s">
        <v>12864</v>
      </c>
      <c r="C1343" s="40" t="s">
        <v>12865</v>
      </c>
      <c r="D1343" s="40" t="s">
        <v>4333</v>
      </c>
      <c r="E1343" s="41">
        <v>337.59</v>
      </c>
      <c r="F1343" s="40" t="s">
        <v>4333</v>
      </c>
      <c r="G1343" s="41">
        <v>329.22410000000002</v>
      </c>
      <c r="H1343" s="40"/>
      <c r="I1343" s="41"/>
      <c r="J1343" s="41">
        <f t="shared" si="5"/>
        <v>333.40705000000003</v>
      </c>
      <c r="K1343" s="42" t="s">
        <v>5796</v>
      </c>
      <c r="L1343" s="39">
        <v>1695</v>
      </c>
    </row>
    <row r="1344" spans="1:12" ht="11.25" customHeight="1">
      <c r="A1344" s="39">
        <v>872</v>
      </c>
      <c r="B1344" s="40" t="s">
        <v>12866</v>
      </c>
      <c r="C1344" s="40" t="s">
        <v>12867</v>
      </c>
      <c r="D1344" s="40" t="s">
        <v>2530</v>
      </c>
      <c r="E1344" s="41">
        <v>2364.9499999999998</v>
      </c>
      <c r="F1344" s="40" t="s">
        <v>2530</v>
      </c>
      <c r="G1344" s="41">
        <v>2365.6529</v>
      </c>
      <c r="H1344" s="40"/>
      <c r="I1344" s="41"/>
      <c r="J1344" s="41">
        <f t="shared" si="5"/>
        <v>2365.3014499999999</v>
      </c>
      <c r="K1344" s="42" t="s">
        <v>5796</v>
      </c>
      <c r="L1344" s="39">
        <v>872</v>
      </c>
    </row>
    <row r="1345" spans="1:12" ht="11.25" customHeight="1">
      <c r="A1345" s="39">
        <v>1831</v>
      </c>
      <c r="B1345" s="40" t="s">
        <v>12868</v>
      </c>
      <c r="C1345" s="40" t="s">
        <v>12869</v>
      </c>
      <c r="D1345" s="40"/>
      <c r="E1345" s="41"/>
      <c r="F1345" s="40" t="s">
        <v>4513</v>
      </c>
      <c r="G1345" s="41">
        <v>256.9984</v>
      </c>
      <c r="H1345" s="40"/>
      <c r="I1345" s="41"/>
      <c r="J1345" s="41">
        <f t="shared" si="5"/>
        <v>256.9984</v>
      </c>
      <c r="K1345" s="42" t="s">
        <v>5796</v>
      </c>
      <c r="L1345" s="39">
        <v>1831</v>
      </c>
    </row>
    <row r="1346" spans="1:12" ht="11.25" customHeight="1">
      <c r="A1346" s="39">
        <v>948</v>
      </c>
      <c r="B1346" s="40" t="s">
        <v>12870</v>
      </c>
      <c r="C1346" s="40" t="s">
        <v>12871</v>
      </c>
      <c r="D1346" s="40" t="s">
        <v>2734</v>
      </c>
      <c r="E1346" s="41">
        <v>1966.81</v>
      </c>
      <c r="F1346" s="40" t="s">
        <v>2734</v>
      </c>
      <c r="G1346" s="41">
        <v>1966.7865999999999</v>
      </c>
      <c r="H1346" s="40"/>
      <c r="I1346" s="41"/>
      <c r="J1346" s="41">
        <f t="shared" si="5"/>
        <v>1966.7982999999999</v>
      </c>
      <c r="K1346" s="42" t="s">
        <v>5796</v>
      </c>
      <c r="L1346" s="39">
        <v>948</v>
      </c>
    </row>
    <row r="1347" spans="1:12" ht="11.25" customHeight="1">
      <c r="A1347" s="39">
        <v>1136</v>
      </c>
      <c r="B1347" s="40" t="s">
        <v>12872</v>
      </c>
      <c r="C1347" s="40" t="s">
        <v>12873</v>
      </c>
      <c r="D1347" s="40" t="s">
        <v>12874</v>
      </c>
      <c r="E1347" s="41">
        <v>1239.6500000000001</v>
      </c>
      <c r="F1347" s="40" t="s">
        <v>3202</v>
      </c>
      <c r="G1347" s="41">
        <v>1240.3825999999999</v>
      </c>
      <c r="H1347" s="40"/>
      <c r="I1347" s="41"/>
      <c r="J1347" s="41">
        <f t="shared" si="5"/>
        <v>1240.0163</v>
      </c>
      <c r="K1347" s="42" t="s">
        <v>5796</v>
      </c>
      <c r="L1347" s="39">
        <v>1136</v>
      </c>
    </row>
    <row r="1348" spans="1:12" ht="11.25" customHeight="1">
      <c r="A1348" s="39">
        <v>3942</v>
      </c>
      <c r="B1348" s="40" t="s">
        <v>12875</v>
      </c>
      <c r="C1348" s="40" t="s">
        <v>12876</v>
      </c>
      <c r="D1348" s="40" t="s">
        <v>5745</v>
      </c>
      <c r="E1348" s="41">
        <v>9.08</v>
      </c>
      <c r="F1348" s="40" t="s">
        <v>5745</v>
      </c>
      <c r="G1348" s="41">
        <v>9.2269000000000005</v>
      </c>
      <c r="H1348" s="40"/>
      <c r="I1348" s="41"/>
      <c r="J1348" s="41">
        <f t="shared" si="5"/>
        <v>9.1534499999999994</v>
      </c>
      <c r="K1348" s="42" t="s">
        <v>5796</v>
      </c>
      <c r="L1348" s="39">
        <v>3942</v>
      </c>
    </row>
    <row r="1349" spans="1:12" ht="11.25" customHeight="1">
      <c r="A1349" s="39">
        <v>1797</v>
      </c>
      <c r="B1349" s="40" t="s">
        <v>12877</v>
      </c>
      <c r="C1349" s="40" t="s">
        <v>12878</v>
      </c>
      <c r="D1349" s="40" t="s">
        <v>4474</v>
      </c>
      <c r="E1349" s="41">
        <v>272.58</v>
      </c>
      <c r="F1349" s="40" t="s">
        <v>4474</v>
      </c>
      <c r="G1349" s="41">
        <v>272.3279</v>
      </c>
      <c r="H1349" s="40"/>
      <c r="I1349" s="41"/>
      <c r="J1349" s="41">
        <f t="shared" si="5"/>
        <v>272.45394999999996</v>
      </c>
      <c r="K1349" s="42" t="s">
        <v>5796</v>
      </c>
      <c r="L1349" s="39">
        <v>1797</v>
      </c>
    </row>
    <row r="1350" spans="1:12" ht="11.25" customHeight="1">
      <c r="A1350" s="43">
        <v>207</v>
      </c>
      <c r="B1350" s="44" t="s">
        <v>12879</v>
      </c>
      <c r="C1350" s="44" t="s">
        <v>12880</v>
      </c>
      <c r="D1350" s="44" t="s">
        <v>632</v>
      </c>
      <c r="E1350" s="45">
        <v>29771.51</v>
      </c>
      <c r="F1350" s="44" t="s">
        <v>632</v>
      </c>
      <c r="G1350" s="45">
        <v>29781.758000000002</v>
      </c>
      <c r="H1350" s="44"/>
      <c r="I1350" s="45"/>
      <c r="J1350" s="45">
        <f t="shared" si="5"/>
        <v>29776.633999999998</v>
      </c>
      <c r="K1350" s="46" t="s">
        <v>5800</v>
      </c>
      <c r="L1350" s="43">
        <v>207</v>
      </c>
    </row>
    <row r="1351" spans="1:12" ht="11.25" customHeight="1">
      <c r="A1351" s="39">
        <v>701</v>
      </c>
      <c r="B1351" s="40" t="s">
        <v>12881</v>
      </c>
      <c r="C1351" s="40" t="s">
        <v>12882</v>
      </c>
      <c r="D1351" s="40" t="s">
        <v>2057</v>
      </c>
      <c r="E1351" s="41">
        <v>3870.76</v>
      </c>
      <c r="F1351" s="40" t="s">
        <v>2057</v>
      </c>
      <c r="G1351" s="41">
        <v>3872.1457</v>
      </c>
      <c r="H1351" s="40"/>
      <c r="I1351" s="41"/>
      <c r="J1351" s="41">
        <f t="shared" si="5"/>
        <v>3871.4528500000001</v>
      </c>
      <c r="K1351" s="42" t="s">
        <v>5796</v>
      </c>
      <c r="L1351" s="39">
        <v>701</v>
      </c>
    </row>
    <row r="1352" spans="1:12" ht="11.25" customHeight="1">
      <c r="A1352" s="39">
        <v>1509</v>
      </c>
      <c r="B1352" s="40" t="s">
        <v>12883</v>
      </c>
      <c r="C1352" s="40" t="s">
        <v>12884</v>
      </c>
      <c r="D1352" s="40" t="s">
        <v>3982</v>
      </c>
      <c r="E1352" s="41">
        <v>497.73</v>
      </c>
      <c r="F1352" s="40" t="s">
        <v>3982</v>
      </c>
      <c r="G1352" s="41">
        <v>497.09109999999998</v>
      </c>
      <c r="H1352" s="40"/>
      <c r="I1352" s="41"/>
      <c r="J1352" s="41">
        <f t="shared" si="5"/>
        <v>497.41055</v>
      </c>
      <c r="K1352" s="42" t="s">
        <v>5796</v>
      </c>
      <c r="L1352" s="39">
        <v>1509</v>
      </c>
    </row>
    <row r="1353" spans="1:12" ht="11.25" customHeight="1">
      <c r="A1353" s="39">
        <v>489</v>
      </c>
      <c r="B1353" s="40" t="s">
        <v>12885</v>
      </c>
      <c r="C1353" s="40" t="s">
        <v>12886</v>
      </c>
      <c r="D1353" s="40" t="s">
        <v>1454</v>
      </c>
      <c r="E1353" s="41">
        <v>7559.1</v>
      </c>
      <c r="F1353" s="40" t="s">
        <v>1454</v>
      </c>
      <c r="G1353" s="41">
        <v>7560.5231999999996</v>
      </c>
      <c r="H1353" s="40"/>
      <c r="I1353" s="41"/>
      <c r="J1353" s="41">
        <f t="shared" si="5"/>
        <v>7559.8116</v>
      </c>
      <c r="K1353" s="42" t="s">
        <v>5796</v>
      </c>
      <c r="L1353" s="39">
        <v>489</v>
      </c>
    </row>
    <row r="1354" spans="1:12" ht="11.25" customHeight="1">
      <c r="A1354" s="39">
        <v>1881</v>
      </c>
      <c r="B1354" s="40" t="s">
        <v>12887</v>
      </c>
      <c r="C1354" s="40" t="s">
        <v>12888</v>
      </c>
      <c r="D1354" s="40"/>
      <c r="E1354" s="41"/>
      <c r="F1354" s="40" t="s">
        <v>4576</v>
      </c>
      <c r="G1354" s="41">
        <v>231.38380000000001</v>
      </c>
      <c r="H1354" s="40"/>
      <c r="I1354" s="41"/>
      <c r="J1354" s="41">
        <f t="shared" si="5"/>
        <v>231.38380000000001</v>
      </c>
      <c r="K1354" s="42" t="s">
        <v>5796</v>
      </c>
      <c r="L1354" s="39">
        <v>1881</v>
      </c>
    </row>
    <row r="1355" spans="1:12" ht="11.25" customHeight="1">
      <c r="A1355" s="39">
        <v>1950</v>
      </c>
      <c r="B1355" s="40" t="s">
        <v>12889</v>
      </c>
      <c r="C1355" s="40" t="s">
        <v>12890</v>
      </c>
      <c r="D1355" s="40" t="s">
        <v>4666</v>
      </c>
      <c r="E1355" s="41">
        <v>203.54</v>
      </c>
      <c r="F1355" s="40" t="s">
        <v>4666</v>
      </c>
      <c r="G1355" s="41">
        <v>202.7483</v>
      </c>
      <c r="H1355" s="40"/>
      <c r="I1355" s="41"/>
      <c r="J1355" s="41">
        <f t="shared" si="5"/>
        <v>203.14415</v>
      </c>
      <c r="K1355" s="42" t="s">
        <v>5796</v>
      </c>
      <c r="L1355" s="39">
        <v>1950</v>
      </c>
    </row>
    <row r="1356" spans="1:12" ht="11.25" customHeight="1">
      <c r="A1356" s="39">
        <v>639</v>
      </c>
      <c r="B1356" s="40" t="s">
        <v>6678</v>
      </c>
      <c r="C1356" s="40" t="s">
        <v>12891</v>
      </c>
      <c r="D1356" s="40" t="s">
        <v>1886</v>
      </c>
      <c r="E1356" s="41">
        <v>4631.3900000000003</v>
      </c>
      <c r="F1356" s="40" t="s">
        <v>1886</v>
      </c>
      <c r="G1356" s="41">
        <v>4632.4746999999998</v>
      </c>
      <c r="H1356" s="40"/>
      <c r="I1356" s="41"/>
      <c r="J1356" s="41">
        <f t="shared" si="5"/>
        <v>4631.93235</v>
      </c>
      <c r="K1356" s="42" t="s">
        <v>5796</v>
      </c>
      <c r="L1356" s="39">
        <v>639</v>
      </c>
    </row>
    <row r="1357" spans="1:12" ht="11.25" customHeight="1">
      <c r="A1357" s="39">
        <v>1538</v>
      </c>
      <c r="B1357" s="40" t="s">
        <v>12892</v>
      </c>
      <c r="C1357" s="40" t="s">
        <v>12893</v>
      </c>
      <c r="D1357" s="40" t="s">
        <v>4033</v>
      </c>
      <c r="E1357" s="41">
        <v>469.43</v>
      </c>
      <c r="F1357" s="40" t="s">
        <v>4033</v>
      </c>
      <c r="G1357" s="41">
        <v>469.32769999999999</v>
      </c>
      <c r="H1357" s="40"/>
      <c r="I1357" s="41"/>
      <c r="J1357" s="41">
        <f t="shared" si="5"/>
        <v>469.37885</v>
      </c>
      <c r="K1357" s="42" t="s">
        <v>5796</v>
      </c>
      <c r="L1357" s="39">
        <v>1538</v>
      </c>
    </row>
    <row r="1358" spans="1:12" ht="11.25" customHeight="1">
      <c r="A1358" s="39">
        <v>506</v>
      </c>
      <c r="B1358" s="40" t="s">
        <v>6681</v>
      </c>
      <c r="C1358" s="40" t="s">
        <v>12894</v>
      </c>
      <c r="D1358" s="40" t="s">
        <v>1505</v>
      </c>
      <c r="E1358" s="41">
        <v>7200.52</v>
      </c>
      <c r="F1358" s="40" t="s">
        <v>1505</v>
      </c>
      <c r="G1358" s="41">
        <v>7203.1949999999997</v>
      </c>
      <c r="H1358" s="40"/>
      <c r="I1358" s="41"/>
      <c r="J1358" s="41">
        <f t="shared" si="5"/>
        <v>7201.8575000000001</v>
      </c>
      <c r="K1358" s="42" t="s">
        <v>5796</v>
      </c>
      <c r="L1358" s="39">
        <v>506</v>
      </c>
    </row>
    <row r="1359" spans="1:12" ht="11.25" customHeight="1">
      <c r="A1359" s="39">
        <v>619</v>
      </c>
      <c r="B1359" s="40" t="s">
        <v>12895</v>
      </c>
      <c r="C1359" s="40" t="s">
        <v>12896</v>
      </c>
      <c r="D1359" s="40" t="s">
        <v>1829</v>
      </c>
      <c r="E1359" s="41">
        <v>4892.6099999999997</v>
      </c>
      <c r="F1359" s="40" t="s">
        <v>1829</v>
      </c>
      <c r="G1359" s="41">
        <v>4892.4263000000001</v>
      </c>
      <c r="H1359" s="40"/>
      <c r="I1359" s="41"/>
      <c r="J1359" s="41">
        <f t="shared" si="5"/>
        <v>4892.5181499999999</v>
      </c>
      <c r="K1359" s="42" t="s">
        <v>5796</v>
      </c>
      <c r="L1359" s="39">
        <v>619</v>
      </c>
    </row>
    <row r="1360" spans="1:12" ht="11.25" customHeight="1">
      <c r="A1360" s="39">
        <v>2721</v>
      </c>
      <c r="B1360" s="40" t="s">
        <v>12897</v>
      </c>
      <c r="C1360" s="40" t="s">
        <v>12898</v>
      </c>
      <c r="D1360" s="40" t="s">
        <v>12899</v>
      </c>
      <c r="E1360" s="41">
        <v>8.5399999999999991</v>
      </c>
      <c r="F1360" s="40" t="s">
        <v>12899</v>
      </c>
      <c r="G1360" s="41">
        <v>106.3348</v>
      </c>
      <c r="H1360" s="40"/>
      <c r="I1360" s="41"/>
      <c r="J1360" s="41">
        <f t="shared" si="5"/>
        <v>57.437399999999997</v>
      </c>
      <c r="K1360" s="42" t="s">
        <v>5796</v>
      </c>
      <c r="L1360" s="39">
        <v>2721</v>
      </c>
    </row>
    <row r="1361" spans="1:12" ht="11.25" customHeight="1">
      <c r="A1361" s="43">
        <v>216</v>
      </c>
      <c r="B1361" s="44" t="s">
        <v>6682</v>
      </c>
      <c r="C1361" s="44" t="s">
        <v>12900</v>
      </c>
      <c r="D1361" s="44" t="s">
        <v>659</v>
      </c>
      <c r="E1361" s="45">
        <v>26707.65</v>
      </c>
      <c r="F1361" s="44" t="s">
        <v>659</v>
      </c>
      <c r="G1361" s="45">
        <v>26708.8514</v>
      </c>
      <c r="H1361" s="44"/>
      <c r="I1361" s="45"/>
      <c r="J1361" s="45">
        <f t="shared" si="5"/>
        <v>26708.250700000001</v>
      </c>
      <c r="K1361" s="46" t="s">
        <v>5800</v>
      </c>
      <c r="L1361" s="43">
        <v>216</v>
      </c>
    </row>
    <row r="1362" spans="1:12" ht="11.25" customHeight="1">
      <c r="A1362" s="39">
        <v>813</v>
      </c>
      <c r="B1362" s="40" t="s">
        <v>12901</v>
      </c>
      <c r="C1362" s="40" t="s">
        <v>12902</v>
      </c>
      <c r="D1362" s="40" t="s">
        <v>2362</v>
      </c>
      <c r="E1362" s="41">
        <v>2782.54</v>
      </c>
      <c r="F1362" s="40" t="s">
        <v>2362</v>
      </c>
      <c r="G1362" s="41">
        <v>2782.6257999999998</v>
      </c>
      <c r="H1362" s="40"/>
      <c r="I1362" s="41"/>
      <c r="J1362" s="41">
        <f t="shared" si="5"/>
        <v>2782.5828999999999</v>
      </c>
      <c r="K1362" s="42" t="s">
        <v>5796</v>
      </c>
      <c r="L1362" s="39">
        <v>813</v>
      </c>
    </row>
    <row r="1363" spans="1:12" ht="11.25" customHeight="1">
      <c r="A1363" s="39">
        <v>671</v>
      </c>
      <c r="B1363" s="40" t="s">
        <v>12903</v>
      </c>
      <c r="C1363" s="40" t="s">
        <v>12904</v>
      </c>
      <c r="D1363" s="40" t="s">
        <v>1970</v>
      </c>
      <c r="E1363" s="41">
        <v>4175.07</v>
      </c>
      <c r="F1363" s="40" t="s">
        <v>1970</v>
      </c>
      <c r="G1363" s="41">
        <v>4176.0806000000002</v>
      </c>
      <c r="H1363" s="40"/>
      <c r="I1363" s="41"/>
      <c r="J1363" s="41">
        <f t="shared" si="5"/>
        <v>4175.5753000000004</v>
      </c>
      <c r="K1363" s="42" t="s">
        <v>5796</v>
      </c>
      <c r="L1363" s="39">
        <v>671</v>
      </c>
    </row>
    <row r="1364" spans="1:12" ht="11.25" customHeight="1">
      <c r="A1364" s="39">
        <v>518</v>
      </c>
      <c r="B1364" s="40" t="s">
        <v>12905</v>
      </c>
      <c r="C1364" s="40" t="s">
        <v>12906</v>
      </c>
      <c r="D1364" s="40" t="s">
        <v>1541</v>
      </c>
      <c r="E1364" s="41">
        <v>7092.85</v>
      </c>
      <c r="F1364" s="40" t="s">
        <v>1541</v>
      </c>
      <c r="G1364" s="41">
        <v>7072.9808999999996</v>
      </c>
      <c r="H1364" s="40"/>
      <c r="I1364" s="41"/>
      <c r="J1364" s="41">
        <f t="shared" si="5"/>
        <v>7082.9154500000004</v>
      </c>
      <c r="K1364" s="42" t="s">
        <v>5796</v>
      </c>
      <c r="L1364" s="39">
        <v>518</v>
      </c>
    </row>
    <row r="1365" spans="1:12" ht="11.25" customHeight="1">
      <c r="A1365" s="39">
        <v>1497</v>
      </c>
      <c r="B1365" s="40" t="s">
        <v>12907</v>
      </c>
      <c r="C1365" s="40" t="s">
        <v>12908</v>
      </c>
      <c r="D1365" s="40" t="s">
        <v>3958</v>
      </c>
      <c r="E1365" s="41">
        <v>513.85</v>
      </c>
      <c r="F1365" s="40" t="s">
        <v>3958</v>
      </c>
      <c r="G1365" s="41">
        <v>513.95370000000003</v>
      </c>
      <c r="H1365" s="40"/>
      <c r="I1365" s="41"/>
      <c r="J1365" s="41">
        <f t="shared" si="5"/>
        <v>513.90184999999997</v>
      </c>
      <c r="K1365" s="42" t="s">
        <v>5796</v>
      </c>
      <c r="L1365" s="39">
        <v>1497</v>
      </c>
    </row>
    <row r="1366" spans="1:12" ht="11.25" customHeight="1">
      <c r="A1366" s="39">
        <v>1093</v>
      </c>
      <c r="B1366" s="40" t="s">
        <v>12909</v>
      </c>
      <c r="C1366" s="40" t="s">
        <v>12910</v>
      </c>
      <c r="D1366" s="40" t="s">
        <v>3097</v>
      </c>
      <c r="E1366" s="41">
        <v>1352.09</v>
      </c>
      <c r="F1366" s="40" t="s">
        <v>3097</v>
      </c>
      <c r="G1366" s="41">
        <v>1352.2065</v>
      </c>
      <c r="H1366" s="40"/>
      <c r="I1366" s="41"/>
      <c r="J1366" s="41">
        <f t="shared" si="5"/>
        <v>1352.14825</v>
      </c>
      <c r="K1366" s="42" t="s">
        <v>5796</v>
      </c>
      <c r="L1366" s="39">
        <v>1093</v>
      </c>
    </row>
    <row r="1367" spans="1:12" ht="11.25" customHeight="1">
      <c r="A1367" s="39">
        <v>775</v>
      </c>
      <c r="B1367" s="40" t="s">
        <v>12911</v>
      </c>
      <c r="C1367" s="40" t="s">
        <v>12912</v>
      </c>
      <c r="D1367" s="40" t="s">
        <v>2269</v>
      </c>
      <c r="E1367" s="41">
        <v>3108.9</v>
      </c>
      <c r="F1367" s="40" t="s">
        <v>2269</v>
      </c>
      <c r="G1367" s="41">
        <v>3108.9081000000001</v>
      </c>
      <c r="H1367" s="40"/>
      <c r="I1367" s="41"/>
      <c r="J1367" s="41">
        <f t="shared" si="5"/>
        <v>3108.9040500000001</v>
      </c>
      <c r="K1367" s="42" t="s">
        <v>5796</v>
      </c>
      <c r="L1367" s="39">
        <v>775</v>
      </c>
    </row>
    <row r="1368" spans="1:12" ht="11.25" customHeight="1">
      <c r="A1368" s="39">
        <v>1740</v>
      </c>
      <c r="B1368" s="40" t="s">
        <v>12913</v>
      </c>
      <c r="C1368" s="40" t="s">
        <v>12914</v>
      </c>
      <c r="D1368" s="40" t="s">
        <v>4393</v>
      </c>
      <c r="E1368" s="41">
        <v>303.81</v>
      </c>
      <c r="F1368" s="40" t="s">
        <v>4393</v>
      </c>
      <c r="G1368" s="41">
        <v>300.99700000000001</v>
      </c>
      <c r="H1368" s="40"/>
      <c r="I1368" s="41"/>
      <c r="J1368" s="41">
        <f t="shared" si="5"/>
        <v>302.40350000000001</v>
      </c>
      <c r="K1368" s="42" t="s">
        <v>5796</v>
      </c>
      <c r="L1368" s="39">
        <v>1740</v>
      </c>
    </row>
    <row r="1369" spans="1:12" ht="11.25" customHeight="1">
      <c r="A1369" s="39">
        <v>301</v>
      </c>
      <c r="B1369" s="40" t="s">
        <v>6688</v>
      </c>
      <c r="C1369" s="40" t="s">
        <v>12915</v>
      </c>
      <c r="D1369" s="40" t="s">
        <v>914</v>
      </c>
      <c r="E1369" s="41">
        <v>16274.3</v>
      </c>
      <c r="F1369" s="40" t="s">
        <v>914</v>
      </c>
      <c r="G1369" s="41">
        <v>16273.9337</v>
      </c>
      <c r="H1369" s="40"/>
      <c r="I1369" s="41"/>
      <c r="J1369" s="41">
        <f t="shared" si="5"/>
        <v>16274.116849999999</v>
      </c>
      <c r="K1369" s="42" t="s">
        <v>5796</v>
      </c>
      <c r="L1369" s="39">
        <v>301</v>
      </c>
    </row>
    <row r="1370" spans="1:12" ht="11.25" customHeight="1">
      <c r="A1370" s="39">
        <v>1360</v>
      </c>
      <c r="B1370" s="40" t="s">
        <v>12916</v>
      </c>
      <c r="C1370" s="40" t="s">
        <v>12917</v>
      </c>
      <c r="D1370" s="40" t="s">
        <v>3682</v>
      </c>
      <c r="E1370" s="41">
        <v>706.23</v>
      </c>
      <c r="F1370" s="40" t="s">
        <v>3682</v>
      </c>
      <c r="G1370" s="41">
        <v>706.40170000000001</v>
      </c>
      <c r="H1370" s="40"/>
      <c r="I1370" s="41"/>
      <c r="J1370" s="41">
        <f t="shared" si="5"/>
        <v>706.31584999999995</v>
      </c>
      <c r="K1370" s="42" t="s">
        <v>5796</v>
      </c>
      <c r="L1370" s="39">
        <v>1360</v>
      </c>
    </row>
    <row r="1371" spans="1:12" ht="11.25" customHeight="1">
      <c r="A1371" s="39">
        <v>537</v>
      </c>
      <c r="B1371" s="40" t="s">
        <v>12918</v>
      </c>
      <c r="C1371" s="40" t="s">
        <v>12919</v>
      </c>
      <c r="D1371" s="40" t="s">
        <v>1592</v>
      </c>
      <c r="E1371" s="41">
        <v>6618.78</v>
      </c>
      <c r="F1371" s="40" t="s">
        <v>1592</v>
      </c>
      <c r="G1371" s="41">
        <v>6615.1587</v>
      </c>
      <c r="H1371" s="40"/>
      <c r="I1371" s="41"/>
      <c r="J1371" s="41">
        <f t="shared" si="5"/>
        <v>6616.9693499999994</v>
      </c>
      <c r="K1371" s="42" t="s">
        <v>5796</v>
      </c>
      <c r="L1371" s="39">
        <v>537</v>
      </c>
    </row>
    <row r="1372" spans="1:12" ht="11.25" customHeight="1">
      <c r="A1372" s="39">
        <v>1069</v>
      </c>
      <c r="B1372" s="40" t="s">
        <v>12920</v>
      </c>
      <c r="C1372" s="40" t="s">
        <v>12921</v>
      </c>
      <c r="D1372" s="40" t="s">
        <v>3040</v>
      </c>
      <c r="E1372" s="41">
        <v>1416.69</v>
      </c>
      <c r="F1372" s="40" t="s">
        <v>3040</v>
      </c>
      <c r="G1372" s="41">
        <v>1415.6129000000001</v>
      </c>
      <c r="H1372" s="40"/>
      <c r="I1372" s="41"/>
      <c r="J1372" s="41">
        <f t="shared" si="5"/>
        <v>1416.1514500000001</v>
      </c>
      <c r="K1372" s="42" t="s">
        <v>5796</v>
      </c>
      <c r="L1372" s="39">
        <v>1069</v>
      </c>
    </row>
    <row r="1373" spans="1:12" ht="11.25" customHeight="1">
      <c r="A1373" s="39">
        <v>4568</v>
      </c>
      <c r="B1373" s="40" t="s">
        <v>12922</v>
      </c>
      <c r="C1373" s="40" t="s">
        <v>12923</v>
      </c>
      <c r="D1373" s="40" t="s">
        <v>6690</v>
      </c>
      <c r="E1373" s="41">
        <v>2.89</v>
      </c>
      <c r="F1373" s="40" t="s">
        <v>6690</v>
      </c>
      <c r="G1373" s="41">
        <v>3.4544000000000001</v>
      </c>
      <c r="H1373" s="40"/>
      <c r="I1373" s="41"/>
      <c r="J1373" s="41">
        <f t="shared" si="5"/>
        <v>3.1722000000000001</v>
      </c>
      <c r="K1373" s="42" t="s">
        <v>5796</v>
      </c>
      <c r="L1373" s="39">
        <v>4568</v>
      </c>
    </row>
    <row r="1374" spans="1:12" ht="11.25" customHeight="1">
      <c r="A1374" s="39">
        <v>1534</v>
      </c>
      <c r="B1374" s="40" t="s">
        <v>6691</v>
      </c>
      <c r="C1374" s="40" t="s">
        <v>12924</v>
      </c>
      <c r="D1374" s="40" t="s">
        <v>4027</v>
      </c>
      <c r="E1374" s="41">
        <v>471.44</v>
      </c>
      <c r="F1374" s="40" t="s">
        <v>4027</v>
      </c>
      <c r="G1374" s="41">
        <v>471.39080000000001</v>
      </c>
      <c r="H1374" s="40"/>
      <c r="I1374" s="41"/>
      <c r="J1374" s="41">
        <f t="shared" si="5"/>
        <v>471.41539999999998</v>
      </c>
      <c r="K1374" s="42" t="s">
        <v>5796</v>
      </c>
      <c r="L1374" s="39">
        <v>1534</v>
      </c>
    </row>
    <row r="1375" spans="1:12" ht="11.25" customHeight="1">
      <c r="A1375" s="39">
        <v>4017</v>
      </c>
      <c r="B1375" s="40" t="s">
        <v>6692</v>
      </c>
      <c r="C1375" s="40" t="s">
        <v>12925</v>
      </c>
      <c r="D1375" s="40" t="s">
        <v>5757</v>
      </c>
      <c r="E1375" s="41">
        <v>7.06</v>
      </c>
      <c r="F1375" s="40" t="s">
        <v>5757</v>
      </c>
      <c r="G1375" s="41">
        <v>9.5045000000000002</v>
      </c>
      <c r="H1375" s="40"/>
      <c r="I1375" s="41"/>
      <c r="J1375" s="41">
        <f t="shared" si="5"/>
        <v>8.2822499999999994</v>
      </c>
      <c r="K1375" s="42" t="s">
        <v>5796</v>
      </c>
      <c r="L1375" s="39">
        <v>4017</v>
      </c>
    </row>
    <row r="1376" spans="1:12" ht="11.25" customHeight="1">
      <c r="A1376" s="39">
        <v>1539</v>
      </c>
      <c r="B1376" s="40" t="s">
        <v>12926</v>
      </c>
      <c r="C1376" s="40" t="s">
        <v>12927</v>
      </c>
      <c r="D1376" s="40" t="s">
        <v>4036</v>
      </c>
      <c r="E1376" s="41">
        <v>468.87</v>
      </c>
      <c r="F1376" s="40" t="s">
        <v>4036</v>
      </c>
      <c r="G1376" s="41">
        <v>468.87400000000002</v>
      </c>
      <c r="H1376" s="40"/>
      <c r="I1376" s="41"/>
      <c r="J1376" s="41">
        <f t="shared" si="5"/>
        <v>468.87200000000001</v>
      </c>
      <c r="K1376" s="42" t="s">
        <v>5796</v>
      </c>
      <c r="L1376" s="39">
        <v>1539</v>
      </c>
    </row>
    <row r="1377" spans="1:12" ht="11.25" customHeight="1">
      <c r="A1377" s="39">
        <v>1214</v>
      </c>
      <c r="B1377" s="40" t="s">
        <v>12928</v>
      </c>
      <c r="C1377" s="40" t="s">
        <v>12929</v>
      </c>
      <c r="D1377" s="40" t="s">
        <v>3388</v>
      </c>
      <c r="E1377" s="41">
        <v>1007.16</v>
      </c>
      <c r="F1377" s="40" t="s">
        <v>3388</v>
      </c>
      <c r="G1377" s="41">
        <v>1006.9225</v>
      </c>
      <c r="H1377" s="40"/>
      <c r="I1377" s="41"/>
      <c r="J1377" s="41">
        <f t="shared" si="5"/>
        <v>1007.04125</v>
      </c>
      <c r="K1377" s="42" t="s">
        <v>5796</v>
      </c>
      <c r="L1377" s="39">
        <v>1214</v>
      </c>
    </row>
    <row r="1378" spans="1:12" ht="11.25" customHeight="1">
      <c r="A1378" s="39">
        <v>287</v>
      </c>
      <c r="B1378" s="40" t="s">
        <v>12930</v>
      </c>
      <c r="C1378" s="40" t="s">
        <v>12931</v>
      </c>
      <c r="D1378" s="40" t="s">
        <v>872</v>
      </c>
      <c r="E1378" s="41">
        <v>18166.23</v>
      </c>
      <c r="F1378" s="40" t="s">
        <v>872</v>
      </c>
      <c r="G1378" s="41">
        <v>18168.3266</v>
      </c>
      <c r="H1378" s="40"/>
      <c r="I1378" s="41"/>
      <c r="J1378" s="41">
        <f t="shared" si="5"/>
        <v>18167.278299999998</v>
      </c>
      <c r="K1378" s="42" t="s">
        <v>5796</v>
      </c>
      <c r="L1378" s="39">
        <v>287</v>
      </c>
    </row>
    <row r="1379" spans="1:12" ht="11.25" customHeight="1">
      <c r="A1379" s="39">
        <v>1507</v>
      </c>
      <c r="B1379" s="40" t="s">
        <v>12932</v>
      </c>
      <c r="C1379" s="40" t="s">
        <v>12933</v>
      </c>
      <c r="D1379" s="40" t="s">
        <v>3976</v>
      </c>
      <c r="E1379" s="41">
        <v>496.96</v>
      </c>
      <c r="F1379" s="40" t="s">
        <v>3976</v>
      </c>
      <c r="G1379" s="41">
        <v>504.9554</v>
      </c>
      <c r="H1379" s="40"/>
      <c r="I1379" s="41"/>
      <c r="J1379" s="41">
        <f t="shared" si="5"/>
        <v>500.95769999999999</v>
      </c>
      <c r="K1379" s="42" t="s">
        <v>5796</v>
      </c>
      <c r="L1379" s="39">
        <v>1507</v>
      </c>
    </row>
    <row r="1380" spans="1:12" ht="11.25" customHeight="1">
      <c r="A1380" s="39">
        <v>520</v>
      </c>
      <c r="B1380" s="40" t="s">
        <v>12934</v>
      </c>
      <c r="C1380" s="40" t="s">
        <v>12935</v>
      </c>
      <c r="D1380" s="40" t="s">
        <v>1547</v>
      </c>
      <c r="E1380" s="41">
        <v>7047.04</v>
      </c>
      <c r="F1380" s="40" t="s">
        <v>1547</v>
      </c>
      <c r="G1380" s="41">
        <v>7047.0826999999999</v>
      </c>
      <c r="H1380" s="40"/>
      <c r="I1380" s="41"/>
      <c r="J1380" s="41">
        <f t="shared" si="5"/>
        <v>7047.0613499999999</v>
      </c>
      <c r="K1380" s="42" t="s">
        <v>5796</v>
      </c>
      <c r="L1380" s="39">
        <v>520</v>
      </c>
    </row>
    <row r="1381" spans="1:12" ht="11.25" customHeight="1">
      <c r="A1381" s="39">
        <v>601</v>
      </c>
      <c r="B1381" s="40" t="s">
        <v>12936</v>
      </c>
      <c r="C1381" s="40" t="s">
        <v>12937</v>
      </c>
      <c r="D1381" s="40" t="s">
        <v>1775</v>
      </c>
      <c r="E1381" s="41">
        <v>5333.64</v>
      </c>
      <c r="F1381" s="40" t="s">
        <v>1775</v>
      </c>
      <c r="G1381" s="41">
        <v>5334.768</v>
      </c>
      <c r="H1381" s="40"/>
      <c r="I1381" s="41"/>
      <c r="J1381" s="41">
        <f t="shared" si="5"/>
        <v>5334.2039999999997</v>
      </c>
      <c r="K1381" s="42" t="s">
        <v>5796</v>
      </c>
      <c r="L1381" s="39">
        <v>601</v>
      </c>
    </row>
    <row r="1382" spans="1:12" ht="11.25" customHeight="1">
      <c r="A1382" s="39">
        <v>386</v>
      </c>
      <c r="B1382" s="40" t="s">
        <v>12938</v>
      </c>
      <c r="C1382" s="40" t="s">
        <v>12939</v>
      </c>
      <c r="D1382" s="40" t="s">
        <v>1163</v>
      </c>
      <c r="E1382" s="41">
        <v>10849.97</v>
      </c>
      <c r="F1382" s="40" t="s">
        <v>1163</v>
      </c>
      <c r="G1382" s="41">
        <v>10853.117</v>
      </c>
      <c r="H1382" s="40"/>
      <c r="I1382" s="41"/>
      <c r="J1382" s="41">
        <f t="shared" si="5"/>
        <v>10851.5435</v>
      </c>
      <c r="K1382" s="42" t="s">
        <v>5796</v>
      </c>
      <c r="L1382" s="39">
        <v>386</v>
      </c>
    </row>
    <row r="1383" spans="1:12" ht="11.25" customHeight="1">
      <c r="A1383" s="39">
        <v>336</v>
      </c>
      <c r="B1383" s="40" t="s">
        <v>12940</v>
      </c>
      <c r="C1383" s="40" t="s">
        <v>12941</v>
      </c>
      <c r="D1383" s="40" t="s">
        <v>1019</v>
      </c>
      <c r="E1383" s="41">
        <v>13645.92</v>
      </c>
      <c r="F1383" s="40" t="s">
        <v>1019</v>
      </c>
      <c r="G1383" s="41">
        <v>13645.129499999999</v>
      </c>
      <c r="H1383" s="40"/>
      <c r="I1383" s="41"/>
      <c r="J1383" s="41">
        <f t="shared" si="5"/>
        <v>13645.52475</v>
      </c>
      <c r="K1383" s="42" t="s">
        <v>5796</v>
      </c>
      <c r="L1383" s="39">
        <v>336</v>
      </c>
    </row>
    <row r="1384" spans="1:12" ht="11.25" customHeight="1">
      <c r="A1384" s="39">
        <v>1822</v>
      </c>
      <c r="B1384" s="40" t="s">
        <v>12942</v>
      </c>
      <c r="C1384" s="40" t="s">
        <v>12943</v>
      </c>
      <c r="D1384" s="40"/>
      <c r="E1384" s="41"/>
      <c r="F1384" s="40" t="s">
        <v>4504</v>
      </c>
      <c r="G1384" s="41">
        <v>260.68270000000001</v>
      </c>
      <c r="H1384" s="40"/>
      <c r="I1384" s="41"/>
      <c r="J1384" s="41">
        <f t="shared" si="5"/>
        <v>260.68270000000001</v>
      </c>
      <c r="K1384" s="42" t="s">
        <v>5796</v>
      </c>
      <c r="L1384" s="39">
        <v>1822</v>
      </c>
    </row>
    <row r="1385" spans="1:12" ht="11.25" customHeight="1">
      <c r="A1385" s="39">
        <v>702</v>
      </c>
      <c r="B1385" s="40" t="s">
        <v>12944</v>
      </c>
      <c r="C1385" s="40" t="s">
        <v>12945</v>
      </c>
      <c r="D1385" s="40" t="s">
        <v>12946</v>
      </c>
      <c r="E1385" s="41">
        <v>3863.28</v>
      </c>
      <c r="F1385" s="40" t="s">
        <v>2060</v>
      </c>
      <c r="G1385" s="41">
        <v>3863.9985999999999</v>
      </c>
      <c r="H1385" s="40"/>
      <c r="I1385" s="41"/>
      <c r="J1385" s="41">
        <f t="shared" si="5"/>
        <v>3863.6392999999998</v>
      </c>
      <c r="K1385" s="42" t="s">
        <v>5796</v>
      </c>
      <c r="L1385" s="39">
        <v>702</v>
      </c>
    </row>
    <row r="1386" spans="1:12" ht="11.25" customHeight="1">
      <c r="A1386" s="39">
        <v>894</v>
      </c>
      <c r="B1386" s="40" t="s">
        <v>12947</v>
      </c>
      <c r="C1386" s="40" t="s">
        <v>12948</v>
      </c>
      <c r="D1386" s="40" t="s">
        <v>12949</v>
      </c>
      <c r="E1386" s="41">
        <v>2176.5500000000002</v>
      </c>
      <c r="F1386" s="40" t="s">
        <v>2593</v>
      </c>
      <c r="G1386" s="41">
        <v>2168.9684000000002</v>
      </c>
      <c r="H1386" s="40"/>
      <c r="I1386" s="41"/>
      <c r="J1386" s="41">
        <f t="shared" si="5"/>
        <v>2172.7592000000004</v>
      </c>
      <c r="K1386" s="42" t="s">
        <v>5796</v>
      </c>
      <c r="L1386" s="39">
        <v>894</v>
      </c>
    </row>
    <row r="1387" spans="1:12" ht="11.25" customHeight="1">
      <c r="A1387" s="39">
        <v>2056</v>
      </c>
      <c r="B1387" s="40" t="s">
        <v>12950</v>
      </c>
      <c r="C1387" s="40" t="s">
        <v>12951</v>
      </c>
      <c r="D1387" s="40" t="s">
        <v>4813</v>
      </c>
      <c r="E1387" s="41">
        <v>172.08</v>
      </c>
      <c r="F1387" s="40" t="s">
        <v>4813</v>
      </c>
      <c r="G1387" s="41">
        <v>171.6464</v>
      </c>
      <c r="H1387" s="40"/>
      <c r="I1387" s="41"/>
      <c r="J1387" s="41">
        <f t="shared" si="5"/>
        <v>171.86320000000001</v>
      </c>
      <c r="K1387" s="42" t="s">
        <v>5796</v>
      </c>
      <c r="L1387" s="39">
        <v>2056</v>
      </c>
    </row>
    <row r="1388" spans="1:12" ht="11.25" customHeight="1">
      <c r="A1388" s="39">
        <v>1827</v>
      </c>
      <c r="B1388" s="40" t="s">
        <v>12952</v>
      </c>
      <c r="C1388" s="40" t="s">
        <v>12953</v>
      </c>
      <c r="D1388" s="40" t="s">
        <v>4507</v>
      </c>
      <c r="E1388" s="41">
        <v>258.83</v>
      </c>
      <c r="F1388" s="40" t="s">
        <v>4507</v>
      </c>
      <c r="G1388" s="41">
        <v>258.91149999999999</v>
      </c>
      <c r="H1388" s="40"/>
      <c r="I1388" s="41"/>
      <c r="J1388" s="41">
        <f t="shared" si="5"/>
        <v>258.87074999999999</v>
      </c>
      <c r="K1388" s="42" t="s">
        <v>5796</v>
      </c>
      <c r="L1388" s="39">
        <v>1827</v>
      </c>
    </row>
    <row r="1389" spans="1:12" ht="11.25" customHeight="1">
      <c r="A1389" s="39">
        <v>4723</v>
      </c>
      <c r="B1389" s="40" t="s">
        <v>12954</v>
      </c>
      <c r="C1389" s="40" t="s">
        <v>12955</v>
      </c>
      <c r="D1389" s="40" t="s">
        <v>6702</v>
      </c>
      <c r="E1389" s="41">
        <v>2.31</v>
      </c>
      <c r="F1389" s="40" t="s">
        <v>6702</v>
      </c>
      <c r="G1389" s="41">
        <v>1.7532000000000001</v>
      </c>
      <c r="H1389" s="40"/>
      <c r="I1389" s="41"/>
      <c r="J1389" s="41">
        <f t="shared" si="5"/>
        <v>2.0316000000000001</v>
      </c>
      <c r="K1389" s="42" t="s">
        <v>5796</v>
      </c>
      <c r="L1389" s="39">
        <v>4723</v>
      </c>
    </row>
    <row r="1390" spans="1:12" ht="11.25" customHeight="1">
      <c r="A1390" s="39">
        <v>661</v>
      </c>
      <c r="B1390" s="40" t="s">
        <v>12956</v>
      </c>
      <c r="C1390" s="40" t="s">
        <v>12957</v>
      </c>
      <c r="D1390" s="40" t="s">
        <v>1940</v>
      </c>
      <c r="E1390" s="41">
        <v>4368.1000000000004</v>
      </c>
      <c r="F1390" s="40" t="s">
        <v>1940</v>
      </c>
      <c r="G1390" s="41">
        <v>4368.5789000000004</v>
      </c>
      <c r="H1390" s="40"/>
      <c r="I1390" s="41"/>
      <c r="J1390" s="41">
        <f t="shared" si="5"/>
        <v>4368.3394500000004</v>
      </c>
      <c r="K1390" s="42" t="s">
        <v>5796</v>
      </c>
      <c r="L1390" s="39">
        <v>661</v>
      </c>
    </row>
    <row r="1391" spans="1:12" ht="11.25" customHeight="1">
      <c r="A1391" s="39">
        <v>1906</v>
      </c>
      <c r="B1391" s="40" t="s">
        <v>12958</v>
      </c>
      <c r="C1391" s="40" t="s">
        <v>12959</v>
      </c>
      <c r="D1391" s="40" t="s">
        <v>4618</v>
      </c>
      <c r="E1391" s="41">
        <v>217.06</v>
      </c>
      <c r="F1391" s="40" t="s">
        <v>4618</v>
      </c>
      <c r="G1391" s="41">
        <v>216.82169999999999</v>
      </c>
      <c r="H1391" s="40"/>
      <c r="I1391" s="41"/>
      <c r="J1391" s="41">
        <f t="shared" si="5"/>
        <v>216.94085000000001</v>
      </c>
      <c r="K1391" s="42" t="s">
        <v>5796</v>
      </c>
      <c r="L1391" s="39">
        <v>1906</v>
      </c>
    </row>
    <row r="1392" spans="1:12" ht="11.25" customHeight="1">
      <c r="A1392" s="39">
        <v>1605</v>
      </c>
      <c r="B1392" s="40" t="s">
        <v>12960</v>
      </c>
      <c r="C1392" s="40" t="s">
        <v>12961</v>
      </c>
      <c r="D1392" s="40" t="s">
        <v>4156</v>
      </c>
      <c r="E1392" s="41">
        <v>411.38</v>
      </c>
      <c r="F1392" s="40" t="s">
        <v>4156</v>
      </c>
      <c r="G1392" s="41">
        <v>412.24689999999998</v>
      </c>
      <c r="H1392" s="40"/>
      <c r="I1392" s="41"/>
      <c r="J1392" s="41">
        <f t="shared" si="5"/>
        <v>411.81344999999999</v>
      </c>
      <c r="K1392" s="42" t="s">
        <v>5796</v>
      </c>
      <c r="L1392" s="39">
        <v>1605</v>
      </c>
    </row>
    <row r="1393" spans="1:12" ht="11.25" customHeight="1">
      <c r="A1393" s="39">
        <v>978</v>
      </c>
      <c r="B1393" s="40" t="s">
        <v>12962</v>
      </c>
      <c r="C1393" s="40" t="s">
        <v>12963</v>
      </c>
      <c r="D1393" s="40" t="s">
        <v>2806</v>
      </c>
      <c r="E1393" s="41">
        <v>1820.12</v>
      </c>
      <c r="F1393" s="40" t="s">
        <v>2806</v>
      </c>
      <c r="G1393" s="41">
        <v>1799.3079</v>
      </c>
      <c r="H1393" s="40"/>
      <c r="I1393" s="41"/>
      <c r="J1393" s="41">
        <f t="shared" si="5"/>
        <v>1809.7139499999998</v>
      </c>
      <c r="K1393" s="42" t="s">
        <v>5796</v>
      </c>
      <c r="L1393" s="39">
        <v>978</v>
      </c>
    </row>
    <row r="1394" spans="1:12" ht="11.25" customHeight="1">
      <c r="A1394" s="43">
        <v>248</v>
      </c>
      <c r="B1394" s="44" t="s">
        <v>12964</v>
      </c>
      <c r="C1394" s="44" t="s">
        <v>12965</v>
      </c>
      <c r="D1394" s="44" t="s">
        <v>752</v>
      </c>
      <c r="E1394" s="45">
        <v>22247.7</v>
      </c>
      <c r="F1394" s="44" t="s">
        <v>752</v>
      </c>
      <c r="G1394" s="45">
        <v>22253.587599999999</v>
      </c>
      <c r="H1394" s="44"/>
      <c r="I1394" s="45"/>
      <c r="J1394" s="45">
        <f t="shared" si="5"/>
        <v>22250.643799999998</v>
      </c>
      <c r="K1394" s="46" t="s">
        <v>5800</v>
      </c>
      <c r="L1394" s="43">
        <v>248</v>
      </c>
    </row>
    <row r="1395" spans="1:12" ht="11.25" customHeight="1">
      <c r="A1395" s="39">
        <v>1007</v>
      </c>
      <c r="B1395" s="40" t="s">
        <v>12966</v>
      </c>
      <c r="C1395" s="40" t="s">
        <v>12967</v>
      </c>
      <c r="D1395" s="40" t="s">
        <v>2884</v>
      </c>
      <c r="E1395" s="41">
        <v>1676.79</v>
      </c>
      <c r="F1395" s="40" t="s">
        <v>2884</v>
      </c>
      <c r="G1395" s="41">
        <v>1677.1369999999999</v>
      </c>
      <c r="H1395" s="40"/>
      <c r="I1395" s="41"/>
      <c r="J1395" s="41">
        <f t="shared" si="5"/>
        <v>1676.9634999999998</v>
      </c>
      <c r="K1395" s="42" t="s">
        <v>5796</v>
      </c>
      <c r="L1395" s="39">
        <v>1007</v>
      </c>
    </row>
    <row r="1396" spans="1:12" ht="11.25" customHeight="1">
      <c r="A1396" s="39">
        <v>1220</v>
      </c>
      <c r="B1396" s="40" t="s">
        <v>12968</v>
      </c>
      <c r="C1396" s="40" t="s">
        <v>12969</v>
      </c>
      <c r="D1396" s="40" t="s">
        <v>3403</v>
      </c>
      <c r="E1396" s="41">
        <v>993.03</v>
      </c>
      <c r="F1396" s="40" t="s">
        <v>3403</v>
      </c>
      <c r="G1396" s="41">
        <v>993.00609999999995</v>
      </c>
      <c r="H1396" s="40"/>
      <c r="I1396" s="41"/>
      <c r="J1396" s="41">
        <f t="shared" si="5"/>
        <v>993.0180499999999</v>
      </c>
      <c r="K1396" s="42" t="s">
        <v>5796</v>
      </c>
      <c r="L1396" s="39">
        <v>1220</v>
      </c>
    </row>
    <row r="1397" spans="1:12" ht="11.25" customHeight="1">
      <c r="A1397" s="39">
        <v>674</v>
      </c>
      <c r="B1397" s="40" t="s">
        <v>12970</v>
      </c>
      <c r="C1397" s="40" t="s">
        <v>12971</v>
      </c>
      <c r="D1397" s="40" t="s">
        <v>1979</v>
      </c>
      <c r="E1397" s="41">
        <v>4082.58</v>
      </c>
      <c r="F1397" s="40" t="s">
        <v>1979</v>
      </c>
      <c r="G1397" s="41">
        <v>4085.4933999999998</v>
      </c>
      <c r="H1397" s="40"/>
      <c r="I1397" s="41"/>
      <c r="J1397" s="41">
        <f t="shared" si="5"/>
        <v>4084.0366999999997</v>
      </c>
      <c r="K1397" s="42" t="s">
        <v>5796</v>
      </c>
      <c r="L1397" s="39">
        <v>674</v>
      </c>
    </row>
    <row r="1398" spans="1:12" ht="11.25" customHeight="1">
      <c r="A1398" s="39">
        <v>1128</v>
      </c>
      <c r="B1398" s="40" t="s">
        <v>12972</v>
      </c>
      <c r="C1398" s="40" t="s">
        <v>12973</v>
      </c>
      <c r="D1398" s="40" t="s">
        <v>3181</v>
      </c>
      <c r="E1398" s="41">
        <v>1252.8800000000001</v>
      </c>
      <c r="F1398" s="40" t="s">
        <v>3181</v>
      </c>
      <c r="G1398" s="41">
        <v>1252.9460999999999</v>
      </c>
      <c r="H1398" s="40"/>
      <c r="I1398" s="41"/>
      <c r="J1398" s="41">
        <f t="shared" si="5"/>
        <v>1252.9130500000001</v>
      </c>
      <c r="K1398" s="42" t="s">
        <v>5796</v>
      </c>
      <c r="L1398" s="39">
        <v>1128</v>
      </c>
    </row>
    <row r="1399" spans="1:12" ht="11.25" customHeight="1">
      <c r="A1399" s="39">
        <v>1624</v>
      </c>
      <c r="B1399" s="40" t="s">
        <v>12974</v>
      </c>
      <c r="C1399" s="40" t="s">
        <v>12975</v>
      </c>
      <c r="D1399" s="40" t="s">
        <v>4198</v>
      </c>
      <c r="E1399" s="41">
        <v>387.01</v>
      </c>
      <c r="F1399" s="40" t="s">
        <v>4198</v>
      </c>
      <c r="G1399" s="41">
        <v>387.0095</v>
      </c>
      <c r="H1399" s="40"/>
      <c r="I1399" s="41"/>
      <c r="J1399" s="41">
        <f t="shared" si="5"/>
        <v>387.00975</v>
      </c>
      <c r="K1399" s="42" t="s">
        <v>5796</v>
      </c>
      <c r="L1399" s="39">
        <v>1624</v>
      </c>
    </row>
    <row r="1400" spans="1:12" ht="11.25" customHeight="1">
      <c r="A1400" s="39">
        <v>1893</v>
      </c>
      <c r="B1400" s="40" t="s">
        <v>12976</v>
      </c>
      <c r="C1400" s="40" t="s">
        <v>12977</v>
      </c>
      <c r="D1400" s="40" t="s">
        <v>4597</v>
      </c>
      <c r="E1400" s="41">
        <v>225.58</v>
      </c>
      <c r="F1400" s="40" t="s">
        <v>4597</v>
      </c>
      <c r="G1400" s="41">
        <v>223.71680000000001</v>
      </c>
      <c r="H1400" s="40"/>
      <c r="I1400" s="41"/>
      <c r="J1400" s="41">
        <f t="shared" si="5"/>
        <v>224.64840000000001</v>
      </c>
      <c r="K1400" s="42" t="s">
        <v>5796</v>
      </c>
      <c r="L1400" s="39">
        <v>1893</v>
      </c>
    </row>
    <row r="1401" spans="1:12" ht="11.25" customHeight="1">
      <c r="A1401" s="39">
        <v>1021</v>
      </c>
      <c r="B1401" s="40" t="s">
        <v>12978</v>
      </c>
      <c r="C1401" s="40" t="s">
        <v>12979</v>
      </c>
      <c r="D1401" s="40" t="s">
        <v>2923</v>
      </c>
      <c r="E1401" s="41">
        <v>1626.94</v>
      </c>
      <c r="F1401" s="40" t="s">
        <v>2923</v>
      </c>
      <c r="G1401" s="41">
        <v>1627.3235999999999</v>
      </c>
      <c r="H1401" s="40"/>
      <c r="I1401" s="41"/>
      <c r="J1401" s="41">
        <f t="shared" si="5"/>
        <v>1627.1318000000001</v>
      </c>
      <c r="K1401" s="42" t="s">
        <v>5796</v>
      </c>
      <c r="L1401" s="39">
        <v>1021</v>
      </c>
    </row>
    <row r="1402" spans="1:12" ht="11.25" customHeight="1">
      <c r="A1402" s="39">
        <v>545</v>
      </c>
      <c r="B1402" s="40" t="s">
        <v>12980</v>
      </c>
      <c r="C1402" s="40" t="s">
        <v>12981</v>
      </c>
      <c r="D1402" s="40" t="s">
        <v>1616</v>
      </c>
      <c r="E1402" s="41">
        <v>6518.38</v>
      </c>
      <c r="F1402" s="40" t="s">
        <v>1616</v>
      </c>
      <c r="G1402" s="41">
        <v>6496.2142999999996</v>
      </c>
      <c r="H1402" s="40"/>
      <c r="I1402" s="41"/>
      <c r="J1402" s="41">
        <f t="shared" si="5"/>
        <v>6507.2971500000003</v>
      </c>
      <c r="K1402" s="42" t="s">
        <v>5796</v>
      </c>
      <c r="L1402" s="39">
        <v>545</v>
      </c>
    </row>
    <row r="1403" spans="1:12" ht="11.25" customHeight="1">
      <c r="A1403" s="39">
        <v>266</v>
      </c>
      <c r="B1403" s="40" t="s">
        <v>12982</v>
      </c>
      <c r="C1403" s="40" t="s">
        <v>12983</v>
      </c>
      <c r="D1403" s="40" t="s">
        <v>809</v>
      </c>
      <c r="E1403" s="41">
        <v>20141.22</v>
      </c>
      <c r="F1403" s="40" t="s">
        <v>809</v>
      </c>
      <c r="G1403" s="41">
        <v>20150.169699999999</v>
      </c>
      <c r="H1403" s="40"/>
      <c r="I1403" s="41"/>
      <c r="J1403" s="41">
        <f t="shared" si="5"/>
        <v>20145.69485</v>
      </c>
      <c r="K1403" s="42" t="s">
        <v>5796</v>
      </c>
      <c r="L1403" s="39">
        <v>266</v>
      </c>
    </row>
    <row r="1404" spans="1:12" ht="11.25" customHeight="1">
      <c r="A1404" s="39">
        <v>1444</v>
      </c>
      <c r="B1404" s="40" t="s">
        <v>12984</v>
      </c>
      <c r="C1404" s="40" t="s">
        <v>12985</v>
      </c>
      <c r="D1404" s="40" t="s">
        <v>3856</v>
      </c>
      <c r="E1404" s="41">
        <v>578.65</v>
      </c>
      <c r="F1404" s="40" t="s">
        <v>3856</v>
      </c>
      <c r="G1404" s="41">
        <v>578.0471</v>
      </c>
      <c r="H1404" s="40"/>
      <c r="I1404" s="41"/>
      <c r="J1404" s="41">
        <f t="shared" si="5"/>
        <v>578.34854999999993</v>
      </c>
      <c r="K1404" s="42" t="s">
        <v>5796</v>
      </c>
      <c r="L1404" s="39">
        <v>1444</v>
      </c>
    </row>
    <row r="1405" spans="1:12" ht="11.25" customHeight="1">
      <c r="A1405" s="39">
        <v>361</v>
      </c>
      <c r="B1405" s="40" t="s">
        <v>12986</v>
      </c>
      <c r="C1405" s="40" t="s">
        <v>12987</v>
      </c>
      <c r="D1405" s="40" t="s">
        <v>1091</v>
      </c>
      <c r="E1405" s="41">
        <v>12153.66</v>
      </c>
      <c r="F1405" s="40" t="s">
        <v>1091</v>
      </c>
      <c r="G1405" s="41">
        <v>12155.257299999999</v>
      </c>
      <c r="H1405" s="40"/>
      <c r="I1405" s="41"/>
      <c r="J1405" s="41">
        <f t="shared" si="5"/>
        <v>12154.45865</v>
      </c>
      <c r="K1405" s="42" t="s">
        <v>5796</v>
      </c>
      <c r="L1405" s="39">
        <v>361</v>
      </c>
    </row>
    <row r="1406" spans="1:12" ht="11.25" customHeight="1">
      <c r="A1406" s="39">
        <v>583</v>
      </c>
      <c r="B1406" s="40" t="s">
        <v>12988</v>
      </c>
      <c r="C1406" s="40" t="s">
        <v>12989</v>
      </c>
      <c r="D1406" s="40" t="s">
        <v>1724</v>
      </c>
      <c r="E1406" s="41">
        <v>5775.91</v>
      </c>
      <c r="F1406" s="40" t="s">
        <v>1724</v>
      </c>
      <c r="G1406" s="41">
        <v>5772.6970000000001</v>
      </c>
      <c r="H1406" s="40"/>
      <c r="I1406" s="41"/>
      <c r="J1406" s="41">
        <f t="shared" si="5"/>
        <v>5774.3035</v>
      </c>
      <c r="K1406" s="42" t="s">
        <v>5796</v>
      </c>
      <c r="L1406" s="39">
        <v>583</v>
      </c>
    </row>
    <row r="1407" spans="1:12" ht="11.25" customHeight="1">
      <c r="A1407" s="39">
        <v>1411</v>
      </c>
      <c r="B1407" s="40" t="s">
        <v>12990</v>
      </c>
      <c r="C1407" s="40" t="s">
        <v>12991</v>
      </c>
      <c r="D1407" s="40" t="s">
        <v>3799</v>
      </c>
      <c r="E1407" s="41">
        <v>628.83000000000004</v>
      </c>
      <c r="F1407" s="40" t="s">
        <v>3799</v>
      </c>
      <c r="G1407" s="41">
        <v>629.12829999999997</v>
      </c>
      <c r="H1407" s="40"/>
      <c r="I1407" s="41"/>
      <c r="J1407" s="41">
        <f t="shared" si="5"/>
        <v>628.97915</v>
      </c>
      <c r="K1407" s="42" t="s">
        <v>5796</v>
      </c>
      <c r="L1407" s="39">
        <v>1411</v>
      </c>
    </row>
    <row r="1408" spans="1:12" ht="11.25" customHeight="1">
      <c r="A1408" s="39">
        <v>329</v>
      </c>
      <c r="B1408" s="40" t="s">
        <v>12992</v>
      </c>
      <c r="C1408" s="40" t="s">
        <v>12993</v>
      </c>
      <c r="D1408" s="40" t="s">
        <v>998</v>
      </c>
      <c r="E1408" s="41">
        <v>14121.53</v>
      </c>
      <c r="F1408" s="40" t="s">
        <v>998</v>
      </c>
      <c r="G1408" s="41">
        <v>14104.562099999999</v>
      </c>
      <c r="H1408" s="40"/>
      <c r="I1408" s="41"/>
      <c r="J1408" s="41">
        <f t="shared" si="5"/>
        <v>14113.046050000001</v>
      </c>
      <c r="K1408" s="42" t="s">
        <v>5796</v>
      </c>
      <c r="L1408" s="39">
        <v>329</v>
      </c>
    </row>
    <row r="1409" spans="1:12" ht="11.25" customHeight="1">
      <c r="A1409" s="39">
        <v>1567</v>
      </c>
      <c r="B1409" s="40" t="s">
        <v>12994</v>
      </c>
      <c r="C1409" s="40" t="s">
        <v>12995</v>
      </c>
      <c r="D1409" s="40" t="s">
        <v>12996</v>
      </c>
      <c r="E1409" s="41">
        <v>441.28</v>
      </c>
      <c r="F1409" s="40" t="s">
        <v>12996</v>
      </c>
      <c r="G1409" s="41">
        <v>441.33330000000001</v>
      </c>
      <c r="H1409" s="40"/>
      <c r="I1409" s="41"/>
      <c r="J1409" s="41">
        <f t="shared" si="5"/>
        <v>441.30664999999999</v>
      </c>
      <c r="K1409" s="42" t="s">
        <v>5796</v>
      </c>
      <c r="L1409" s="39">
        <v>1567</v>
      </c>
    </row>
    <row r="1410" spans="1:12" ht="11.25" customHeight="1">
      <c r="A1410" s="39">
        <v>523</v>
      </c>
      <c r="B1410" s="40" t="s">
        <v>12997</v>
      </c>
      <c r="C1410" s="40" t="s">
        <v>12998</v>
      </c>
      <c r="D1410" s="40" t="s">
        <v>1556</v>
      </c>
      <c r="E1410" s="41">
        <v>6996.56</v>
      </c>
      <c r="F1410" s="40" t="s">
        <v>1556</v>
      </c>
      <c r="G1410" s="41">
        <v>6997.4739</v>
      </c>
      <c r="H1410" s="40"/>
      <c r="I1410" s="41"/>
      <c r="J1410" s="41">
        <f t="shared" si="5"/>
        <v>6997.0169500000002</v>
      </c>
      <c r="K1410" s="42" t="s">
        <v>5796</v>
      </c>
      <c r="L1410" s="39">
        <v>523</v>
      </c>
    </row>
    <row r="1411" spans="1:12" ht="11.25" customHeight="1">
      <c r="A1411" s="39">
        <v>1554</v>
      </c>
      <c r="B1411" s="40" t="s">
        <v>12999</v>
      </c>
      <c r="C1411" s="40" t="s">
        <v>13000</v>
      </c>
      <c r="D1411" s="40" t="s">
        <v>4066</v>
      </c>
      <c r="E1411" s="41">
        <v>458.52</v>
      </c>
      <c r="F1411" s="40" t="s">
        <v>4066</v>
      </c>
      <c r="G1411" s="41">
        <v>449.17610000000002</v>
      </c>
      <c r="H1411" s="40"/>
      <c r="I1411" s="41"/>
      <c r="J1411" s="41">
        <f t="shared" si="5"/>
        <v>453.84805</v>
      </c>
      <c r="K1411" s="42" t="s">
        <v>5796</v>
      </c>
      <c r="L1411" s="39">
        <v>1554</v>
      </c>
    </row>
    <row r="1412" spans="1:12" ht="11.25" customHeight="1">
      <c r="A1412" s="47">
        <v>88</v>
      </c>
      <c r="B1412" s="48" t="s">
        <v>6713</v>
      </c>
      <c r="C1412" s="48" t="s">
        <v>13001</v>
      </c>
      <c r="D1412" s="48" t="s">
        <v>278</v>
      </c>
      <c r="E1412" s="49">
        <v>73238.98</v>
      </c>
      <c r="F1412" s="48" t="s">
        <v>278</v>
      </c>
      <c r="G1412" s="49">
        <v>73243.231700000004</v>
      </c>
      <c r="H1412" s="48"/>
      <c r="I1412" s="49"/>
      <c r="J1412" s="49">
        <f t="shared" si="5"/>
        <v>73241.105849999993</v>
      </c>
      <c r="K1412" s="50" t="s">
        <v>5815</v>
      </c>
      <c r="L1412" s="47">
        <v>88</v>
      </c>
    </row>
    <row r="1413" spans="1:12" ht="11.25" customHeight="1">
      <c r="A1413" s="39">
        <v>343</v>
      </c>
      <c r="B1413" s="40" t="s">
        <v>13002</v>
      </c>
      <c r="C1413" s="40" t="s">
        <v>13003</v>
      </c>
      <c r="D1413" s="40" t="s">
        <v>1040</v>
      </c>
      <c r="E1413" s="41">
        <v>12742.6</v>
      </c>
      <c r="F1413" s="40" t="s">
        <v>1040</v>
      </c>
      <c r="G1413" s="41">
        <v>12744.2826</v>
      </c>
      <c r="H1413" s="40"/>
      <c r="I1413" s="41"/>
      <c r="J1413" s="41">
        <f t="shared" si="5"/>
        <v>12743.4413</v>
      </c>
      <c r="K1413" s="42" t="s">
        <v>5796</v>
      </c>
      <c r="L1413" s="39">
        <v>343</v>
      </c>
    </row>
    <row r="1414" spans="1:12" ht="11.25" customHeight="1">
      <c r="A1414" s="39">
        <v>540</v>
      </c>
      <c r="B1414" s="40" t="s">
        <v>13004</v>
      </c>
      <c r="C1414" s="40" t="s">
        <v>13005</v>
      </c>
      <c r="D1414" s="40" t="s">
        <v>1601</v>
      </c>
      <c r="E1414" s="41">
        <v>6579.22</v>
      </c>
      <c r="F1414" s="40" t="s">
        <v>1601</v>
      </c>
      <c r="G1414" s="41">
        <v>6583.4075000000003</v>
      </c>
      <c r="H1414" s="40"/>
      <c r="I1414" s="41"/>
      <c r="J1414" s="41">
        <f t="shared" si="5"/>
        <v>6581.3137500000003</v>
      </c>
      <c r="K1414" s="42" t="s">
        <v>5796</v>
      </c>
      <c r="L1414" s="39">
        <v>540</v>
      </c>
    </row>
    <row r="1415" spans="1:12" ht="11.25" customHeight="1">
      <c r="A1415" s="39">
        <v>1071</v>
      </c>
      <c r="B1415" s="40" t="s">
        <v>13006</v>
      </c>
      <c r="C1415" s="40" t="s">
        <v>13007</v>
      </c>
      <c r="D1415" s="40" t="s">
        <v>3043</v>
      </c>
      <c r="E1415" s="41">
        <v>1409.33</v>
      </c>
      <c r="F1415" s="40" t="s">
        <v>3043</v>
      </c>
      <c r="G1415" s="41">
        <v>1409.5041000000001</v>
      </c>
      <c r="H1415" s="40"/>
      <c r="I1415" s="41"/>
      <c r="J1415" s="41">
        <f t="shared" si="5"/>
        <v>1409.41705</v>
      </c>
      <c r="K1415" s="42" t="s">
        <v>5796</v>
      </c>
      <c r="L1415" s="39">
        <v>1071</v>
      </c>
    </row>
    <row r="1416" spans="1:12" ht="11.25" customHeight="1">
      <c r="A1416" s="39">
        <v>2451</v>
      </c>
      <c r="B1416" s="40" t="s">
        <v>13008</v>
      </c>
      <c r="C1416" s="40" t="s">
        <v>13009</v>
      </c>
      <c r="D1416" s="40" t="s">
        <v>5259</v>
      </c>
      <c r="E1416" s="41">
        <v>91.33</v>
      </c>
      <c r="F1416" s="40" t="s">
        <v>5259</v>
      </c>
      <c r="G1416" s="41">
        <v>89.104900000000001</v>
      </c>
      <c r="H1416" s="40"/>
      <c r="I1416" s="41"/>
      <c r="J1416" s="41">
        <f t="shared" si="5"/>
        <v>90.217449999999999</v>
      </c>
      <c r="K1416" s="42" t="s">
        <v>5796</v>
      </c>
      <c r="L1416" s="39">
        <v>2451</v>
      </c>
    </row>
    <row r="1417" spans="1:12" ht="11.25" customHeight="1">
      <c r="A1417" s="43">
        <v>243</v>
      </c>
      <c r="B1417" s="44" t="s">
        <v>13010</v>
      </c>
      <c r="C1417" s="44" t="s">
        <v>13011</v>
      </c>
      <c r="D1417" s="44" t="s">
        <v>737</v>
      </c>
      <c r="E1417" s="45">
        <v>22749</v>
      </c>
      <c r="F1417" s="44" t="s">
        <v>737</v>
      </c>
      <c r="G1417" s="45">
        <v>22768.7562</v>
      </c>
      <c r="H1417" s="44"/>
      <c r="I1417" s="45"/>
      <c r="J1417" s="45">
        <f t="shared" si="5"/>
        <v>22758.878100000002</v>
      </c>
      <c r="K1417" s="46" t="s">
        <v>5800</v>
      </c>
      <c r="L1417" s="43">
        <v>243</v>
      </c>
    </row>
    <row r="1418" spans="1:12" ht="11.25" customHeight="1">
      <c r="A1418" s="39">
        <v>1795</v>
      </c>
      <c r="B1418" s="40" t="s">
        <v>13012</v>
      </c>
      <c r="C1418" s="40" t="s">
        <v>13013</v>
      </c>
      <c r="D1418" s="40" t="s">
        <v>6717</v>
      </c>
      <c r="E1418" s="41">
        <v>273.38</v>
      </c>
      <c r="F1418" s="40" t="s">
        <v>6717</v>
      </c>
      <c r="G1418" s="41">
        <v>271.79450000000003</v>
      </c>
      <c r="H1418" s="40"/>
      <c r="I1418" s="41"/>
      <c r="J1418" s="41">
        <f t="shared" si="5"/>
        <v>272.58725000000004</v>
      </c>
      <c r="K1418" s="42" t="s">
        <v>5796</v>
      </c>
      <c r="L1418" s="39">
        <v>1795</v>
      </c>
    </row>
    <row r="1419" spans="1:12" ht="11.25" customHeight="1">
      <c r="A1419" s="39">
        <v>2065</v>
      </c>
      <c r="B1419" s="40" t="s">
        <v>13014</v>
      </c>
      <c r="C1419" s="40" t="s">
        <v>13015</v>
      </c>
      <c r="D1419" s="40" t="s">
        <v>4831</v>
      </c>
      <c r="E1419" s="41">
        <v>170.68</v>
      </c>
      <c r="F1419" s="40" t="s">
        <v>4831</v>
      </c>
      <c r="G1419" s="41">
        <v>170.84350000000001</v>
      </c>
      <c r="H1419" s="40"/>
      <c r="I1419" s="41"/>
      <c r="J1419" s="41">
        <f t="shared" si="5"/>
        <v>170.76175000000001</v>
      </c>
      <c r="K1419" s="42" t="s">
        <v>5796</v>
      </c>
      <c r="L1419" s="39">
        <v>2065</v>
      </c>
    </row>
    <row r="1420" spans="1:12" ht="11.25" customHeight="1">
      <c r="A1420" s="47">
        <v>1</v>
      </c>
      <c r="B1420" s="48" t="s">
        <v>13016</v>
      </c>
      <c r="C1420" s="48" t="s">
        <v>13017</v>
      </c>
      <c r="D1420" s="48" t="s">
        <v>9</v>
      </c>
      <c r="E1420" s="49">
        <v>1639079.85</v>
      </c>
      <c r="F1420" s="48" t="s">
        <v>9</v>
      </c>
      <c r="G1420" s="49">
        <v>1639099.1514000001</v>
      </c>
      <c r="H1420" s="48"/>
      <c r="I1420" s="49"/>
      <c r="J1420" s="49">
        <f t="shared" si="5"/>
        <v>1639089.5007000002</v>
      </c>
      <c r="K1420" s="50" t="s">
        <v>5815</v>
      </c>
      <c r="L1420" s="47">
        <v>1</v>
      </c>
    </row>
    <row r="1421" spans="1:12" ht="11.25" customHeight="1">
      <c r="A1421" s="39">
        <v>517</v>
      </c>
      <c r="B1421" s="40" t="s">
        <v>13018</v>
      </c>
      <c r="C1421" s="40" t="s">
        <v>13019</v>
      </c>
      <c r="D1421" s="40" t="s">
        <v>1538</v>
      </c>
      <c r="E1421" s="41">
        <v>7102.31</v>
      </c>
      <c r="F1421" s="40" t="s">
        <v>1538</v>
      </c>
      <c r="G1421" s="41">
        <v>7067.0829000000003</v>
      </c>
      <c r="H1421" s="40"/>
      <c r="I1421" s="41"/>
      <c r="J1421" s="41">
        <f t="shared" si="5"/>
        <v>7084.6964500000004</v>
      </c>
      <c r="K1421" s="42" t="s">
        <v>5796</v>
      </c>
      <c r="L1421" s="39">
        <v>517</v>
      </c>
    </row>
    <row r="1422" spans="1:12" ht="11.25" customHeight="1">
      <c r="A1422" s="39">
        <v>535</v>
      </c>
      <c r="B1422" s="40" t="s">
        <v>13020</v>
      </c>
      <c r="C1422" s="40" t="s">
        <v>13021</v>
      </c>
      <c r="D1422" s="40" t="s">
        <v>1586</v>
      </c>
      <c r="E1422" s="41">
        <v>6670.12</v>
      </c>
      <c r="F1422" s="40" t="s">
        <v>1586</v>
      </c>
      <c r="G1422" s="41">
        <v>6652.2416999999996</v>
      </c>
      <c r="H1422" s="40"/>
      <c r="I1422" s="41"/>
      <c r="J1422" s="41">
        <f t="shared" si="5"/>
        <v>6661.1808499999997</v>
      </c>
      <c r="K1422" s="42" t="s">
        <v>5796</v>
      </c>
      <c r="L1422" s="39">
        <v>535</v>
      </c>
    </row>
    <row r="1423" spans="1:12" ht="11.25" customHeight="1">
      <c r="A1423" s="39">
        <v>1833</v>
      </c>
      <c r="B1423" s="40" t="s">
        <v>13022</v>
      </c>
      <c r="C1423" s="40" t="s">
        <v>13023</v>
      </c>
      <c r="D1423" s="40" t="s">
        <v>4516</v>
      </c>
      <c r="E1423" s="41">
        <v>256.39</v>
      </c>
      <c r="F1423" s="40" t="s">
        <v>4516</v>
      </c>
      <c r="G1423" s="41">
        <v>256.47579999999999</v>
      </c>
      <c r="H1423" s="40"/>
      <c r="I1423" s="41"/>
      <c r="J1423" s="41">
        <f t="shared" si="5"/>
        <v>256.43290000000002</v>
      </c>
      <c r="K1423" s="42" t="s">
        <v>5796</v>
      </c>
      <c r="L1423" s="39">
        <v>1833</v>
      </c>
    </row>
    <row r="1424" spans="1:12" ht="11.25" customHeight="1">
      <c r="A1424" s="39">
        <v>395</v>
      </c>
      <c r="B1424" s="40" t="s">
        <v>13024</v>
      </c>
      <c r="C1424" s="40" t="s">
        <v>13025</v>
      </c>
      <c r="D1424" s="40" t="s">
        <v>1193</v>
      </c>
      <c r="E1424" s="41">
        <v>10412.42</v>
      </c>
      <c r="F1424" s="40" t="s">
        <v>1193</v>
      </c>
      <c r="G1424" s="41">
        <v>10412.778</v>
      </c>
      <c r="H1424" s="40"/>
      <c r="I1424" s="41"/>
      <c r="J1424" s="41">
        <f t="shared" si="5"/>
        <v>10412.599</v>
      </c>
      <c r="K1424" s="42" t="s">
        <v>5796</v>
      </c>
      <c r="L1424" s="39">
        <v>395</v>
      </c>
    </row>
    <row r="1425" spans="1:12" ht="11.25" customHeight="1">
      <c r="A1425" s="39">
        <v>870</v>
      </c>
      <c r="B1425" s="40" t="s">
        <v>13026</v>
      </c>
      <c r="C1425" s="40" t="s">
        <v>13027</v>
      </c>
      <c r="D1425" s="40" t="s">
        <v>2524</v>
      </c>
      <c r="E1425" s="41">
        <v>2375.3200000000002</v>
      </c>
      <c r="F1425" s="40" t="s">
        <v>2524</v>
      </c>
      <c r="G1425" s="41">
        <v>2376.0502999999999</v>
      </c>
      <c r="H1425" s="40"/>
      <c r="I1425" s="41"/>
      <c r="J1425" s="41">
        <f t="shared" si="5"/>
        <v>2375.6851500000002</v>
      </c>
      <c r="K1425" s="42" t="s">
        <v>5796</v>
      </c>
      <c r="L1425" s="39">
        <v>870</v>
      </c>
    </row>
    <row r="1426" spans="1:12" ht="11.25" customHeight="1">
      <c r="A1426" s="39">
        <v>1679</v>
      </c>
      <c r="B1426" s="40" t="s">
        <v>13028</v>
      </c>
      <c r="C1426" s="40" t="s">
        <v>13029</v>
      </c>
      <c r="D1426" s="40"/>
      <c r="E1426" s="41"/>
      <c r="F1426" s="40" t="s">
        <v>4297</v>
      </c>
      <c r="G1426" s="41">
        <v>342.55</v>
      </c>
      <c r="H1426" s="40"/>
      <c r="I1426" s="41"/>
      <c r="J1426" s="41">
        <f t="shared" si="5"/>
        <v>342.55</v>
      </c>
      <c r="K1426" s="42" t="s">
        <v>5796</v>
      </c>
      <c r="L1426" s="39">
        <v>1679</v>
      </c>
    </row>
    <row r="1427" spans="1:12" ht="11.25" customHeight="1">
      <c r="A1427" s="39">
        <v>1190</v>
      </c>
      <c r="B1427" s="40" t="s">
        <v>13030</v>
      </c>
      <c r="C1427" s="40" t="s">
        <v>13031</v>
      </c>
      <c r="D1427" s="40" t="s">
        <v>3325</v>
      </c>
      <c r="E1427" s="41">
        <v>1075.53</v>
      </c>
      <c r="F1427" s="40" t="s">
        <v>3325</v>
      </c>
      <c r="G1427" s="41">
        <v>1067.9512</v>
      </c>
      <c r="H1427" s="40"/>
      <c r="I1427" s="41"/>
      <c r="J1427" s="41">
        <f t="shared" si="5"/>
        <v>1071.7406000000001</v>
      </c>
      <c r="K1427" s="42" t="s">
        <v>5796</v>
      </c>
      <c r="L1427" s="39">
        <v>1190</v>
      </c>
    </row>
    <row r="1428" spans="1:12" ht="11.25" customHeight="1">
      <c r="A1428" s="39">
        <v>492</v>
      </c>
      <c r="B1428" s="40" t="s">
        <v>13032</v>
      </c>
      <c r="C1428" s="40" t="s">
        <v>13033</v>
      </c>
      <c r="D1428" s="40" t="s">
        <v>1463</v>
      </c>
      <c r="E1428" s="41">
        <v>7467.46</v>
      </c>
      <c r="F1428" s="40" t="s">
        <v>1463</v>
      </c>
      <c r="G1428" s="41">
        <v>7471.3923000000004</v>
      </c>
      <c r="H1428" s="40"/>
      <c r="I1428" s="41"/>
      <c r="J1428" s="41">
        <f t="shared" si="5"/>
        <v>7469.4261500000002</v>
      </c>
      <c r="K1428" s="42" t="s">
        <v>5796</v>
      </c>
      <c r="L1428" s="39">
        <v>492</v>
      </c>
    </row>
    <row r="1429" spans="1:12" ht="11.25" customHeight="1">
      <c r="A1429" s="39">
        <v>1222</v>
      </c>
      <c r="B1429" s="40" t="s">
        <v>6729</v>
      </c>
      <c r="C1429" s="40" t="s">
        <v>13034</v>
      </c>
      <c r="D1429" s="40" t="s">
        <v>3406</v>
      </c>
      <c r="E1429" s="41">
        <v>991.83</v>
      </c>
      <c r="F1429" s="40" t="s">
        <v>3406</v>
      </c>
      <c r="G1429" s="41">
        <v>984.69560000000001</v>
      </c>
      <c r="H1429" s="40"/>
      <c r="I1429" s="41"/>
      <c r="J1429" s="41">
        <f t="shared" si="5"/>
        <v>988.26279999999997</v>
      </c>
      <c r="K1429" s="42" t="s">
        <v>5796</v>
      </c>
      <c r="L1429" s="39">
        <v>1222</v>
      </c>
    </row>
    <row r="1430" spans="1:12" ht="11.25" customHeight="1">
      <c r="A1430" s="39">
        <v>2271</v>
      </c>
      <c r="B1430" s="40" t="s">
        <v>13035</v>
      </c>
      <c r="C1430" s="40" t="s">
        <v>13036</v>
      </c>
      <c r="D1430" s="40" t="s">
        <v>13037</v>
      </c>
      <c r="E1430" s="41">
        <v>118.16</v>
      </c>
      <c r="F1430" s="40" t="s">
        <v>5095</v>
      </c>
      <c r="G1430" s="41">
        <v>116.50830000000001</v>
      </c>
      <c r="H1430" s="40"/>
      <c r="I1430" s="41"/>
      <c r="J1430" s="41">
        <f t="shared" si="5"/>
        <v>117.33414999999999</v>
      </c>
      <c r="K1430" s="42" t="s">
        <v>5796</v>
      </c>
      <c r="L1430" s="39">
        <v>2271</v>
      </c>
    </row>
    <row r="1431" spans="1:12" ht="11.25" customHeight="1">
      <c r="A1431" s="39">
        <v>321</v>
      </c>
      <c r="B1431" s="40" t="s">
        <v>972</v>
      </c>
      <c r="C1431" s="40" t="s">
        <v>13038</v>
      </c>
      <c r="D1431" s="40" t="s">
        <v>974</v>
      </c>
      <c r="E1431" s="41">
        <v>14571.22</v>
      </c>
      <c r="F1431" s="40" t="s">
        <v>974</v>
      </c>
      <c r="G1431" s="41">
        <v>14516.6137</v>
      </c>
      <c r="H1431" s="40"/>
      <c r="I1431" s="41"/>
      <c r="J1431" s="41">
        <f t="shared" si="5"/>
        <v>14543.91685</v>
      </c>
      <c r="K1431" s="42" t="s">
        <v>5796</v>
      </c>
      <c r="L1431" s="39">
        <v>321</v>
      </c>
    </row>
    <row r="1432" spans="1:12" ht="11.25" customHeight="1">
      <c r="A1432" s="39">
        <v>1983</v>
      </c>
      <c r="B1432" s="40" t="s">
        <v>6730</v>
      </c>
      <c r="C1432" s="40" t="s">
        <v>13039</v>
      </c>
      <c r="D1432" s="40" t="s">
        <v>4705</v>
      </c>
      <c r="E1432" s="41">
        <v>192.47</v>
      </c>
      <c r="F1432" s="40" t="s">
        <v>4705</v>
      </c>
      <c r="G1432" s="41">
        <v>192.75360000000001</v>
      </c>
      <c r="H1432" s="40"/>
      <c r="I1432" s="41"/>
      <c r="J1432" s="41">
        <f t="shared" si="5"/>
        <v>192.61180000000002</v>
      </c>
      <c r="K1432" s="42" t="s">
        <v>5796</v>
      </c>
      <c r="L1432" s="39">
        <v>1983</v>
      </c>
    </row>
    <row r="1433" spans="1:12" ht="11.25" customHeight="1">
      <c r="A1433" s="39">
        <v>1141</v>
      </c>
      <c r="B1433" s="40" t="s">
        <v>13040</v>
      </c>
      <c r="C1433" s="40" t="s">
        <v>13041</v>
      </c>
      <c r="D1433" s="40" t="s">
        <v>3208</v>
      </c>
      <c r="E1433" s="41">
        <v>1226.18</v>
      </c>
      <c r="F1433" s="40" t="s">
        <v>3208</v>
      </c>
      <c r="G1433" s="41">
        <v>1226.3203000000001</v>
      </c>
      <c r="H1433" s="40"/>
      <c r="I1433" s="41"/>
      <c r="J1433" s="41">
        <f t="shared" si="5"/>
        <v>1226.2501500000001</v>
      </c>
      <c r="K1433" s="42" t="s">
        <v>5796</v>
      </c>
      <c r="L1433" s="39">
        <v>1141</v>
      </c>
    </row>
    <row r="1434" spans="1:12" ht="11.25" customHeight="1">
      <c r="A1434" s="39">
        <v>1032</v>
      </c>
      <c r="B1434" s="40" t="s">
        <v>13042</v>
      </c>
      <c r="C1434" s="40" t="s">
        <v>13043</v>
      </c>
      <c r="D1434" s="40" t="s">
        <v>2950</v>
      </c>
      <c r="E1434" s="41">
        <v>1572.69</v>
      </c>
      <c r="F1434" s="40" t="s">
        <v>2950</v>
      </c>
      <c r="G1434" s="41">
        <v>1573.0418999999999</v>
      </c>
      <c r="H1434" s="40"/>
      <c r="I1434" s="41"/>
      <c r="J1434" s="41">
        <f t="shared" si="5"/>
        <v>1572.8659499999999</v>
      </c>
      <c r="K1434" s="42" t="s">
        <v>5796</v>
      </c>
      <c r="L1434" s="39">
        <v>1032</v>
      </c>
    </row>
    <row r="1435" spans="1:12" ht="11.25" customHeight="1">
      <c r="A1435" s="39">
        <v>958</v>
      </c>
      <c r="B1435" s="40" t="s">
        <v>13044</v>
      </c>
      <c r="C1435" s="40" t="s">
        <v>13045</v>
      </c>
      <c r="D1435" s="40" t="s">
        <v>2752</v>
      </c>
      <c r="E1435" s="41">
        <v>1910.68</v>
      </c>
      <c r="F1435" s="40" t="s">
        <v>2752</v>
      </c>
      <c r="G1435" s="41">
        <v>1910.4914000000001</v>
      </c>
      <c r="H1435" s="40"/>
      <c r="I1435" s="41"/>
      <c r="J1435" s="41">
        <f t="shared" si="5"/>
        <v>1910.5857000000001</v>
      </c>
      <c r="K1435" s="42" t="s">
        <v>5796</v>
      </c>
      <c r="L1435" s="39">
        <v>958</v>
      </c>
    </row>
    <row r="1436" spans="1:12" ht="11.25" customHeight="1">
      <c r="A1436" s="39">
        <v>1432</v>
      </c>
      <c r="B1436" s="40" t="s">
        <v>13046</v>
      </c>
      <c r="C1436" s="40" t="s">
        <v>13047</v>
      </c>
      <c r="D1436" s="40" t="s">
        <v>3835</v>
      </c>
      <c r="E1436" s="41">
        <v>597.76</v>
      </c>
      <c r="F1436" s="40" t="s">
        <v>3835</v>
      </c>
      <c r="G1436" s="41">
        <v>595.78949999999998</v>
      </c>
      <c r="H1436" s="40"/>
      <c r="I1436" s="41"/>
      <c r="J1436" s="41">
        <f t="shared" si="5"/>
        <v>596.77475000000004</v>
      </c>
      <c r="K1436" s="42" t="s">
        <v>5796</v>
      </c>
      <c r="L1436" s="39">
        <v>1432</v>
      </c>
    </row>
    <row r="1437" spans="1:12" ht="11.25" customHeight="1">
      <c r="A1437" s="39">
        <v>378</v>
      </c>
      <c r="B1437" s="40" t="s">
        <v>13048</v>
      </c>
      <c r="C1437" s="40" t="s">
        <v>13049</v>
      </c>
      <c r="D1437" s="40" t="s">
        <v>1142</v>
      </c>
      <c r="E1437" s="41">
        <v>11319.15</v>
      </c>
      <c r="F1437" s="40" t="s">
        <v>1142</v>
      </c>
      <c r="G1437" s="41">
        <v>11319.0231</v>
      </c>
      <c r="H1437" s="40"/>
      <c r="I1437" s="41"/>
      <c r="J1437" s="41">
        <f t="shared" si="5"/>
        <v>11319.08655</v>
      </c>
      <c r="K1437" s="42" t="s">
        <v>5796</v>
      </c>
      <c r="L1437" s="39">
        <v>378</v>
      </c>
    </row>
    <row r="1438" spans="1:12" ht="11.25" customHeight="1">
      <c r="A1438" s="39">
        <v>2887</v>
      </c>
      <c r="B1438" s="40" t="s">
        <v>13050</v>
      </c>
      <c r="C1438" s="40" t="s">
        <v>13051</v>
      </c>
      <c r="D1438" s="40" t="s">
        <v>5496</v>
      </c>
      <c r="E1438" s="41">
        <v>45.35</v>
      </c>
      <c r="F1438" s="40" t="s">
        <v>5496</v>
      </c>
      <c r="G1438" s="41">
        <v>45.121000000000002</v>
      </c>
      <c r="H1438" s="40"/>
      <c r="I1438" s="41"/>
      <c r="J1438" s="41">
        <f t="shared" si="5"/>
        <v>45.235500000000002</v>
      </c>
      <c r="K1438" s="42" t="s">
        <v>5796</v>
      </c>
      <c r="L1438" s="39">
        <v>2887</v>
      </c>
    </row>
    <row r="1439" spans="1:12" ht="11.25" customHeight="1">
      <c r="A1439" s="39">
        <v>2089</v>
      </c>
      <c r="B1439" s="40" t="s">
        <v>13052</v>
      </c>
      <c r="C1439" s="40" t="s">
        <v>13053</v>
      </c>
      <c r="D1439" s="40"/>
      <c r="E1439" s="41"/>
      <c r="F1439" s="40" t="s">
        <v>4864</v>
      </c>
      <c r="G1439" s="41">
        <v>164.91220000000001</v>
      </c>
      <c r="H1439" s="40"/>
      <c r="I1439" s="41"/>
      <c r="J1439" s="41">
        <f t="shared" si="5"/>
        <v>164.91220000000001</v>
      </c>
      <c r="K1439" s="42" t="s">
        <v>5796</v>
      </c>
      <c r="L1439" s="39">
        <v>2089</v>
      </c>
    </row>
    <row r="1440" spans="1:12" ht="11.25" customHeight="1">
      <c r="A1440" s="39">
        <v>391</v>
      </c>
      <c r="B1440" s="40" t="s">
        <v>13054</v>
      </c>
      <c r="C1440" s="40" t="s">
        <v>13055</v>
      </c>
      <c r="D1440" s="40" t="s">
        <v>1181</v>
      </c>
      <c r="E1440" s="41">
        <v>10729.08</v>
      </c>
      <c r="F1440" s="40" t="s">
        <v>1181</v>
      </c>
      <c r="G1440" s="41">
        <v>10621.476699999999</v>
      </c>
      <c r="H1440" s="40"/>
      <c r="I1440" s="41"/>
      <c r="J1440" s="41">
        <f t="shared" si="5"/>
        <v>10675.278350000001</v>
      </c>
      <c r="K1440" s="42" t="s">
        <v>5796</v>
      </c>
      <c r="L1440" s="39">
        <v>391</v>
      </c>
    </row>
    <row r="1441" spans="1:12" ht="11.25" customHeight="1">
      <c r="A1441" s="39">
        <v>1132</v>
      </c>
      <c r="B1441" s="40" t="s">
        <v>13056</v>
      </c>
      <c r="C1441" s="40" t="s">
        <v>13057</v>
      </c>
      <c r="D1441" s="40" t="s">
        <v>3190</v>
      </c>
      <c r="E1441" s="41">
        <v>1246.2</v>
      </c>
      <c r="F1441" s="40" t="s">
        <v>3190</v>
      </c>
      <c r="G1441" s="41">
        <v>1246.6396</v>
      </c>
      <c r="H1441" s="40"/>
      <c r="I1441" s="41"/>
      <c r="J1441" s="41">
        <f t="shared" si="5"/>
        <v>1246.4198000000001</v>
      </c>
      <c r="K1441" s="42" t="s">
        <v>5796</v>
      </c>
      <c r="L1441" s="39">
        <v>1132</v>
      </c>
    </row>
    <row r="1442" spans="1:12" ht="11.25" customHeight="1">
      <c r="A1442" s="39">
        <v>1278</v>
      </c>
      <c r="B1442" s="40" t="s">
        <v>13058</v>
      </c>
      <c r="C1442" s="40" t="s">
        <v>13059</v>
      </c>
      <c r="D1442" s="40" t="s">
        <v>3514</v>
      </c>
      <c r="E1442" s="41">
        <v>856.74</v>
      </c>
      <c r="F1442" s="40" t="s">
        <v>3514</v>
      </c>
      <c r="G1442" s="41">
        <v>856.68849999999998</v>
      </c>
      <c r="H1442" s="40"/>
      <c r="I1442" s="41"/>
      <c r="J1442" s="41">
        <f t="shared" si="5"/>
        <v>856.71424999999999</v>
      </c>
      <c r="K1442" s="42" t="s">
        <v>5796</v>
      </c>
      <c r="L1442" s="39">
        <v>1278</v>
      </c>
    </row>
    <row r="1443" spans="1:12" ht="11.25" customHeight="1">
      <c r="A1443" s="39">
        <v>562</v>
      </c>
      <c r="B1443" s="40" t="s">
        <v>13060</v>
      </c>
      <c r="C1443" s="40" t="s">
        <v>13061</v>
      </c>
      <c r="D1443" s="40" t="s">
        <v>1667</v>
      </c>
      <c r="E1443" s="41">
        <v>6125.93</v>
      </c>
      <c r="F1443" s="40" t="s">
        <v>1667</v>
      </c>
      <c r="G1443" s="41">
        <v>6128.3221000000003</v>
      </c>
      <c r="H1443" s="40"/>
      <c r="I1443" s="41"/>
      <c r="J1443" s="41">
        <f t="shared" si="5"/>
        <v>6127.1260500000008</v>
      </c>
      <c r="K1443" s="42" t="s">
        <v>5796</v>
      </c>
      <c r="L1443" s="39">
        <v>562</v>
      </c>
    </row>
    <row r="1444" spans="1:12" ht="11.25" customHeight="1">
      <c r="A1444" s="39">
        <v>3165</v>
      </c>
      <c r="B1444" s="40" t="s">
        <v>13062</v>
      </c>
      <c r="C1444" s="40" t="s">
        <v>13063</v>
      </c>
      <c r="D1444" s="40" t="s">
        <v>5601</v>
      </c>
      <c r="E1444" s="41">
        <v>30.25</v>
      </c>
      <c r="F1444" s="40" t="s">
        <v>5601</v>
      </c>
      <c r="G1444" s="41">
        <v>29.561699999999998</v>
      </c>
      <c r="H1444" s="40"/>
      <c r="I1444" s="41"/>
      <c r="J1444" s="41">
        <f t="shared" si="5"/>
        <v>29.905850000000001</v>
      </c>
      <c r="K1444" s="42" t="s">
        <v>5796</v>
      </c>
      <c r="L1444" s="39">
        <v>3165</v>
      </c>
    </row>
    <row r="1445" spans="1:12" ht="11.25" customHeight="1">
      <c r="A1445" s="39">
        <v>2989</v>
      </c>
      <c r="B1445" s="40" t="s">
        <v>13064</v>
      </c>
      <c r="C1445" s="40" t="s">
        <v>13065</v>
      </c>
      <c r="D1445" s="40" t="s">
        <v>6742</v>
      </c>
      <c r="E1445" s="41">
        <v>40.46</v>
      </c>
      <c r="F1445" s="40" t="s">
        <v>6742</v>
      </c>
      <c r="G1445" s="41">
        <v>36.843899999999998</v>
      </c>
      <c r="H1445" s="40"/>
      <c r="I1445" s="41"/>
      <c r="J1445" s="41">
        <f t="shared" si="5"/>
        <v>38.651949999999999</v>
      </c>
      <c r="K1445" s="42" t="s">
        <v>5796</v>
      </c>
      <c r="L1445" s="39">
        <v>2989</v>
      </c>
    </row>
    <row r="1446" spans="1:12" ht="11.25" customHeight="1">
      <c r="A1446" s="39">
        <v>2360</v>
      </c>
      <c r="B1446" s="40" t="s">
        <v>6743</v>
      </c>
      <c r="C1446" s="40" t="s">
        <v>13066</v>
      </c>
      <c r="D1446" s="40" t="s">
        <v>13067</v>
      </c>
      <c r="E1446" s="41">
        <v>68.650000000000006</v>
      </c>
      <c r="F1446" s="40" t="s">
        <v>5182</v>
      </c>
      <c r="G1446" s="41">
        <v>136.69499999999999</v>
      </c>
      <c r="H1446" s="40"/>
      <c r="I1446" s="41"/>
      <c r="J1446" s="41">
        <f t="shared" si="5"/>
        <v>102.6725</v>
      </c>
      <c r="K1446" s="42" t="s">
        <v>5796</v>
      </c>
      <c r="L1446" s="39">
        <v>2360</v>
      </c>
    </row>
    <row r="1447" spans="1:12" ht="11.25" customHeight="1">
      <c r="A1447" s="39">
        <v>647</v>
      </c>
      <c r="B1447" s="40" t="s">
        <v>6744</v>
      </c>
      <c r="C1447" s="40" t="s">
        <v>13068</v>
      </c>
      <c r="D1447" s="40" t="s">
        <v>1901</v>
      </c>
      <c r="E1447" s="41">
        <v>4473.83</v>
      </c>
      <c r="F1447" s="40" t="s">
        <v>1901</v>
      </c>
      <c r="G1447" s="41">
        <v>4472.1752999999999</v>
      </c>
      <c r="H1447" s="40"/>
      <c r="I1447" s="41"/>
      <c r="J1447" s="41">
        <f t="shared" si="5"/>
        <v>4473.0026500000004</v>
      </c>
      <c r="K1447" s="42" t="s">
        <v>5796</v>
      </c>
      <c r="L1447" s="39">
        <v>647</v>
      </c>
    </row>
    <row r="1448" spans="1:12" ht="11.25" customHeight="1">
      <c r="A1448" s="39">
        <v>995</v>
      </c>
      <c r="B1448" s="40" t="s">
        <v>13069</v>
      </c>
      <c r="C1448" s="40" t="s">
        <v>13070</v>
      </c>
      <c r="D1448" s="40" t="s">
        <v>2851</v>
      </c>
      <c r="E1448" s="41">
        <v>1730.1</v>
      </c>
      <c r="F1448" s="40" t="s">
        <v>2851</v>
      </c>
      <c r="G1448" s="41">
        <v>1730.2331999999999</v>
      </c>
      <c r="H1448" s="40"/>
      <c r="I1448" s="41"/>
      <c r="J1448" s="41">
        <f t="shared" si="5"/>
        <v>1730.1666</v>
      </c>
      <c r="K1448" s="42" t="s">
        <v>5796</v>
      </c>
      <c r="L1448" s="39">
        <v>995</v>
      </c>
    </row>
    <row r="1449" spans="1:12" ht="11.25" customHeight="1">
      <c r="A1449" s="39">
        <v>1155</v>
      </c>
      <c r="B1449" s="40" t="s">
        <v>13071</v>
      </c>
      <c r="C1449" s="40" t="s">
        <v>13072</v>
      </c>
      <c r="D1449" s="40" t="s">
        <v>3241</v>
      </c>
      <c r="E1449" s="41">
        <v>1163.48</v>
      </c>
      <c r="F1449" s="40" t="s">
        <v>3241</v>
      </c>
      <c r="G1449" s="41">
        <v>1163.8019999999999</v>
      </c>
      <c r="H1449" s="40"/>
      <c r="I1449" s="41"/>
      <c r="J1449" s="41">
        <f t="shared" si="5"/>
        <v>1163.6410000000001</v>
      </c>
      <c r="K1449" s="42" t="s">
        <v>5796</v>
      </c>
      <c r="L1449" s="39">
        <v>1155</v>
      </c>
    </row>
    <row r="1450" spans="1:12" ht="11.25" customHeight="1">
      <c r="A1450" s="39">
        <v>418</v>
      </c>
      <c r="B1450" s="40" t="s">
        <v>1254</v>
      </c>
      <c r="C1450" s="40" t="s">
        <v>13073</v>
      </c>
      <c r="D1450" s="40" t="s">
        <v>1256</v>
      </c>
      <c r="E1450" s="41">
        <v>9729.64</v>
      </c>
      <c r="F1450" s="40" t="s">
        <v>1256</v>
      </c>
      <c r="G1450" s="41">
        <v>9729.1857999999993</v>
      </c>
      <c r="H1450" s="40"/>
      <c r="I1450" s="41"/>
      <c r="J1450" s="41">
        <f t="shared" si="5"/>
        <v>9729.4128999999994</v>
      </c>
      <c r="K1450" s="42" t="s">
        <v>5796</v>
      </c>
      <c r="L1450" s="39">
        <v>418</v>
      </c>
    </row>
    <row r="1451" spans="1:12" ht="11.25" customHeight="1">
      <c r="A1451" s="39">
        <v>924</v>
      </c>
      <c r="B1451" s="40" t="s">
        <v>13074</v>
      </c>
      <c r="C1451" s="40" t="s">
        <v>13075</v>
      </c>
      <c r="D1451" s="40" t="s">
        <v>2671</v>
      </c>
      <c r="E1451" s="41">
        <v>2078</v>
      </c>
      <c r="F1451" s="40" t="s">
        <v>2671</v>
      </c>
      <c r="G1451" s="41">
        <v>2078.6367</v>
      </c>
      <c r="H1451" s="40"/>
      <c r="I1451" s="41"/>
      <c r="J1451" s="41">
        <f t="shared" si="5"/>
        <v>2078.31835</v>
      </c>
      <c r="K1451" s="42" t="s">
        <v>5796</v>
      </c>
      <c r="L1451" s="39">
        <v>924</v>
      </c>
    </row>
    <row r="1452" spans="1:12" ht="11.25" customHeight="1">
      <c r="A1452" s="39">
        <v>508</v>
      </c>
      <c r="B1452" s="40" t="s">
        <v>13076</v>
      </c>
      <c r="C1452" s="40" t="s">
        <v>13077</v>
      </c>
      <c r="D1452" s="40" t="s">
        <v>1511</v>
      </c>
      <c r="E1452" s="41">
        <v>7186.3</v>
      </c>
      <c r="F1452" s="40" t="s">
        <v>1511</v>
      </c>
      <c r="G1452" s="41">
        <v>7179.5348000000004</v>
      </c>
      <c r="H1452" s="40"/>
      <c r="I1452" s="41"/>
      <c r="J1452" s="41">
        <f t="shared" si="5"/>
        <v>7182.9174000000003</v>
      </c>
      <c r="K1452" s="42" t="s">
        <v>5796</v>
      </c>
      <c r="L1452" s="39">
        <v>508</v>
      </c>
    </row>
    <row r="1453" spans="1:12" ht="11.25" customHeight="1">
      <c r="A1453" s="39">
        <v>1769</v>
      </c>
      <c r="B1453" s="40" t="s">
        <v>6747</v>
      </c>
      <c r="C1453" s="40" t="s">
        <v>13078</v>
      </c>
      <c r="D1453" s="40" t="s">
        <v>4438</v>
      </c>
      <c r="E1453" s="41">
        <v>287.88</v>
      </c>
      <c r="F1453" s="40" t="s">
        <v>4438</v>
      </c>
      <c r="G1453" s="41">
        <v>286.00810000000001</v>
      </c>
      <c r="H1453" s="40"/>
      <c r="I1453" s="41"/>
      <c r="J1453" s="41">
        <f t="shared" si="5"/>
        <v>286.94405</v>
      </c>
      <c r="K1453" s="42" t="s">
        <v>5796</v>
      </c>
      <c r="L1453" s="39">
        <v>1769</v>
      </c>
    </row>
    <row r="1454" spans="1:12" ht="11.25" customHeight="1">
      <c r="A1454" s="39">
        <v>1913</v>
      </c>
      <c r="B1454" s="40" t="s">
        <v>13079</v>
      </c>
      <c r="C1454" s="40" t="s">
        <v>13080</v>
      </c>
      <c r="D1454" s="40"/>
      <c r="E1454" s="41"/>
      <c r="F1454" s="40" t="s">
        <v>4621</v>
      </c>
      <c r="G1454" s="41">
        <v>213.0617</v>
      </c>
      <c r="H1454" s="40"/>
      <c r="I1454" s="41"/>
      <c r="J1454" s="41">
        <f t="shared" si="5"/>
        <v>213.0617</v>
      </c>
      <c r="K1454" s="42" t="s">
        <v>5796</v>
      </c>
      <c r="L1454" s="39">
        <v>1913</v>
      </c>
    </row>
    <row r="1455" spans="1:12" ht="11.25" customHeight="1">
      <c r="A1455" s="39">
        <v>988</v>
      </c>
      <c r="B1455" s="40" t="s">
        <v>2828</v>
      </c>
      <c r="C1455" s="40" t="s">
        <v>13081</v>
      </c>
      <c r="D1455" s="40" t="s">
        <v>2830</v>
      </c>
      <c r="E1455" s="41">
        <v>1764.51</v>
      </c>
      <c r="F1455" s="40" t="s">
        <v>2830</v>
      </c>
      <c r="G1455" s="41">
        <v>1765.2166</v>
      </c>
      <c r="H1455" s="40"/>
      <c r="I1455" s="41"/>
      <c r="J1455" s="41">
        <f t="shared" si="5"/>
        <v>1764.8633</v>
      </c>
      <c r="K1455" s="42" t="s">
        <v>5796</v>
      </c>
      <c r="L1455" s="39">
        <v>988</v>
      </c>
    </row>
    <row r="1456" spans="1:12" ht="11.25" customHeight="1">
      <c r="A1456" s="39">
        <v>295</v>
      </c>
      <c r="B1456" s="40" t="s">
        <v>13082</v>
      </c>
      <c r="C1456" s="40" t="s">
        <v>13083</v>
      </c>
      <c r="D1456" s="40" t="s">
        <v>896</v>
      </c>
      <c r="E1456" s="41">
        <v>17101.89</v>
      </c>
      <c r="F1456" s="40" t="s">
        <v>896</v>
      </c>
      <c r="G1456" s="41">
        <v>17105.425200000001</v>
      </c>
      <c r="H1456" s="40"/>
      <c r="I1456" s="41"/>
      <c r="J1456" s="41">
        <f t="shared" si="5"/>
        <v>17103.657599999999</v>
      </c>
      <c r="K1456" s="42" t="s">
        <v>5796</v>
      </c>
      <c r="L1456" s="39">
        <v>295</v>
      </c>
    </row>
    <row r="1457" spans="1:12" ht="11.25" customHeight="1">
      <c r="A1457" s="39">
        <v>2194</v>
      </c>
      <c r="B1457" s="40" t="s">
        <v>13084</v>
      </c>
      <c r="C1457" s="40" t="s">
        <v>13085</v>
      </c>
      <c r="D1457" s="40" t="s">
        <v>5008</v>
      </c>
      <c r="E1457" s="41">
        <v>134.36000000000001</v>
      </c>
      <c r="F1457" s="40" t="s">
        <v>5008</v>
      </c>
      <c r="G1457" s="41">
        <v>134.072</v>
      </c>
      <c r="H1457" s="40"/>
      <c r="I1457" s="41"/>
      <c r="J1457" s="41">
        <f t="shared" si="5"/>
        <v>134.21600000000001</v>
      </c>
      <c r="K1457" s="42" t="s">
        <v>5796</v>
      </c>
      <c r="L1457" s="39">
        <v>2194</v>
      </c>
    </row>
    <row r="1458" spans="1:12" ht="11.25" customHeight="1">
      <c r="A1458" s="39">
        <v>1251</v>
      </c>
      <c r="B1458" s="40" t="s">
        <v>13086</v>
      </c>
      <c r="C1458" s="40" t="s">
        <v>13087</v>
      </c>
      <c r="D1458" s="40" t="s">
        <v>3460</v>
      </c>
      <c r="E1458" s="41">
        <v>916.14</v>
      </c>
      <c r="F1458" s="40" t="s">
        <v>3460</v>
      </c>
      <c r="G1458" s="41">
        <v>915.6662</v>
      </c>
      <c r="H1458" s="40"/>
      <c r="I1458" s="41"/>
      <c r="J1458" s="41">
        <f t="shared" si="5"/>
        <v>915.90309999999999</v>
      </c>
      <c r="K1458" s="42" t="s">
        <v>5796</v>
      </c>
      <c r="L1458" s="39">
        <v>1251</v>
      </c>
    </row>
    <row r="1459" spans="1:12" ht="11.25" customHeight="1">
      <c r="A1459" s="39">
        <v>582</v>
      </c>
      <c r="B1459" s="40" t="s">
        <v>13088</v>
      </c>
      <c r="C1459" s="40" t="s">
        <v>13089</v>
      </c>
      <c r="D1459" s="40" t="s">
        <v>13090</v>
      </c>
      <c r="E1459" s="41">
        <v>5778.49</v>
      </c>
      <c r="F1459" s="40" t="s">
        <v>1721</v>
      </c>
      <c r="G1459" s="41">
        <v>5783.5739999999996</v>
      </c>
      <c r="H1459" s="40"/>
      <c r="I1459" s="41"/>
      <c r="J1459" s="41">
        <f t="shared" si="5"/>
        <v>5781.0319999999992</v>
      </c>
      <c r="K1459" s="42" t="s">
        <v>5796</v>
      </c>
      <c r="L1459" s="39">
        <v>582</v>
      </c>
    </row>
    <row r="1460" spans="1:12" ht="11.25" customHeight="1">
      <c r="A1460" s="39">
        <v>470</v>
      </c>
      <c r="B1460" s="40" t="s">
        <v>6750</v>
      </c>
      <c r="C1460" s="40" t="s">
        <v>13091</v>
      </c>
      <c r="D1460" s="40" t="s">
        <v>1400</v>
      </c>
      <c r="E1460" s="41">
        <v>8064.03</v>
      </c>
      <c r="F1460" s="40" t="s">
        <v>1400</v>
      </c>
      <c r="G1460" s="41">
        <v>8065.0414000000001</v>
      </c>
      <c r="H1460" s="40"/>
      <c r="I1460" s="41"/>
      <c r="J1460" s="41">
        <f t="shared" si="5"/>
        <v>8064.5357000000004</v>
      </c>
      <c r="K1460" s="42" t="s">
        <v>5796</v>
      </c>
      <c r="L1460" s="39">
        <v>470</v>
      </c>
    </row>
    <row r="1461" spans="1:12" ht="11.25" customHeight="1">
      <c r="A1461" s="39">
        <v>709</v>
      </c>
      <c r="B1461" s="40" t="s">
        <v>13092</v>
      </c>
      <c r="C1461" s="40" t="s">
        <v>13093</v>
      </c>
      <c r="D1461" s="40" t="s">
        <v>2080</v>
      </c>
      <c r="E1461" s="41">
        <v>3742.36</v>
      </c>
      <c r="F1461" s="40" t="s">
        <v>2080</v>
      </c>
      <c r="G1461" s="41">
        <v>3737.8535000000002</v>
      </c>
      <c r="H1461" s="40"/>
      <c r="I1461" s="41"/>
      <c r="J1461" s="41">
        <f t="shared" si="5"/>
        <v>3740.1067499999999</v>
      </c>
      <c r="K1461" s="42" t="s">
        <v>5796</v>
      </c>
      <c r="L1461" s="39">
        <v>709</v>
      </c>
    </row>
    <row r="1462" spans="1:12" ht="11.25" customHeight="1">
      <c r="A1462" s="39">
        <v>1324</v>
      </c>
      <c r="B1462" s="40" t="s">
        <v>13094</v>
      </c>
      <c r="C1462" s="40" t="s">
        <v>13095</v>
      </c>
      <c r="D1462" s="40" t="s">
        <v>3625</v>
      </c>
      <c r="E1462" s="41">
        <v>761.94</v>
      </c>
      <c r="F1462" s="40" t="s">
        <v>3625</v>
      </c>
      <c r="G1462" s="41">
        <v>761.88459999999998</v>
      </c>
      <c r="H1462" s="40"/>
      <c r="I1462" s="41"/>
      <c r="J1462" s="41">
        <f t="shared" si="5"/>
        <v>761.91229999999996</v>
      </c>
      <c r="K1462" s="42" t="s">
        <v>5796</v>
      </c>
      <c r="L1462" s="39">
        <v>1324</v>
      </c>
    </row>
    <row r="1463" spans="1:12" ht="11.25" customHeight="1">
      <c r="A1463" s="39">
        <v>1853</v>
      </c>
      <c r="B1463" s="40" t="s">
        <v>13096</v>
      </c>
      <c r="C1463" s="40" t="s">
        <v>13097</v>
      </c>
      <c r="D1463" s="40" t="s">
        <v>4540</v>
      </c>
      <c r="E1463" s="41">
        <v>247.76</v>
      </c>
      <c r="F1463" s="40" t="s">
        <v>4540</v>
      </c>
      <c r="G1463" s="41">
        <v>246.22829999999999</v>
      </c>
      <c r="H1463" s="40"/>
      <c r="I1463" s="41"/>
      <c r="J1463" s="41">
        <f t="shared" si="5"/>
        <v>246.99414999999999</v>
      </c>
      <c r="K1463" s="42" t="s">
        <v>5796</v>
      </c>
      <c r="L1463" s="39">
        <v>1853</v>
      </c>
    </row>
    <row r="1464" spans="1:12" ht="11.25" customHeight="1">
      <c r="A1464" s="39">
        <v>1620</v>
      </c>
      <c r="B1464" s="40" t="s">
        <v>13098</v>
      </c>
      <c r="C1464" s="40" t="s">
        <v>13099</v>
      </c>
      <c r="D1464" s="40" t="s">
        <v>4189</v>
      </c>
      <c r="E1464" s="41">
        <v>391.32</v>
      </c>
      <c r="F1464" s="40" t="s">
        <v>4189</v>
      </c>
      <c r="G1464" s="41">
        <v>391.26889999999997</v>
      </c>
      <c r="H1464" s="40"/>
      <c r="I1464" s="41"/>
      <c r="J1464" s="41">
        <f t="shared" si="5"/>
        <v>391.29444999999998</v>
      </c>
      <c r="K1464" s="42" t="s">
        <v>5796</v>
      </c>
      <c r="L1464" s="39">
        <v>1620</v>
      </c>
    </row>
    <row r="1465" spans="1:12" ht="11.25" customHeight="1">
      <c r="A1465" s="39">
        <v>907</v>
      </c>
      <c r="B1465" s="40" t="s">
        <v>6754</v>
      </c>
      <c r="C1465" s="40" t="s">
        <v>13100</v>
      </c>
      <c r="D1465" s="40" t="s">
        <v>2629</v>
      </c>
      <c r="E1465" s="41">
        <v>2131.85</v>
      </c>
      <c r="F1465" s="40" t="s">
        <v>2629</v>
      </c>
      <c r="G1465" s="41">
        <v>2132.1336000000001</v>
      </c>
      <c r="H1465" s="40"/>
      <c r="I1465" s="41"/>
      <c r="J1465" s="41">
        <f t="shared" si="5"/>
        <v>2131.9917999999998</v>
      </c>
      <c r="K1465" s="42" t="s">
        <v>5796</v>
      </c>
      <c r="L1465" s="39">
        <v>907</v>
      </c>
    </row>
    <row r="1466" spans="1:12" ht="11.25" customHeight="1">
      <c r="A1466" s="39">
        <v>1270</v>
      </c>
      <c r="B1466" s="40" t="s">
        <v>13101</v>
      </c>
      <c r="C1466" s="40" t="s">
        <v>13102</v>
      </c>
      <c r="D1466" s="40" t="s">
        <v>3496</v>
      </c>
      <c r="E1466" s="41">
        <v>896.64780889999986</v>
      </c>
      <c r="F1466" s="40" t="s">
        <v>3496</v>
      </c>
      <c r="G1466" s="41">
        <v>842.56140000000005</v>
      </c>
      <c r="H1466" s="40"/>
      <c r="I1466" s="41"/>
      <c r="J1466" s="41">
        <f t="shared" si="5"/>
        <v>869.6046044499999</v>
      </c>
      <c r="K1466" s="42" t="s">
        <v>5796</v>
      </c>
      <c r="L1466" s="39">
        <v>1270</v>
      </c>
    </row>
    <row r="1467" spans="1:12" ht="11.25" customHeight="1">
      <c r="A1467" s="39">
        <v>539</v>
      </c>
      <c r="B1467" s="40" t="s">
        <v>13103</v>
      </c>
      <c r="C1467" s="40" t="s">
        <v>13104</v>
      </c>
      <c r="D1467" s="40" t="s">
        <v>1598</v>
      </c>
      <c r="E1467" s="41">
        <v>6591.22</v>
      </c>
      <c r="F1467" s="40" t="s">
        <v>1598</v>
      </c>
      <c r="G1467" s="41">
        <v>6594.2712000000001</v>
      </c>
      <c r="H1467" s="40"/>
      <c r="I1467" s="41"/>
      <c r="J1467" s="41">
        <f t="shared" si="5"/>
        <v>6592.7456000000002</v>
      </c>
      <c r="K1467" s="42" t="s">
        <v>5796</v>
      </c>
      <c r="L1467" s="39">
        <v>539</v>
      </c>
    </row>
    <row r="1468" spans="1:12" ht="11.25" customHeight="1">
      <c r="A1468" s="39">
        <v>1937</v>
      </c>
      <c r="B1468" s="40" t="s">
        <v>13105</v>
      </c>
      <c r="C1468" s="40" t="s">
        <v>13106</v>
      </c>
      <c r="D1468" s="40" t="s">
        <v>4648</v>
      </c>
      <c r="E1468" s="41">
        <v>206.05</v>
      </c>
      <c r="F1468" s="40" t="s">
        <v>4648</v>
      </c>
      <c r="G1468" s="41">
        <v>205.86670000000001</v>
      </c>
      <c r="H1468" s="40"/>
      <c r="I1468" s="41"/>
      <c r="J1468" s="41">
        <f t="shared" si="5"/>
        <v>205.95835</v>
      </c>
      <c r="K1468" s="42" t="s">
        <v>5796</v>
      </c>
      <c r="L1468" s="39">
        <v>1937</v>
      </c>
    </row>
    <row r="1469" spans="1:12" ht="11.25" customHeight="1">
      <c r="A1469" s="43">
        <v>196</v>
      </c>
      <c r="B1469" s="44" t="s">
        <v>13107</v>
      </c>
      <c r="C1469" s="44" t="s">
        <v>13108</v>
      </c>
      <c r="D1469" s="44" t="s">
        <v>599</v>
      </c>
      <c r="E1469" s="45">
        <v>31652.79</v>
      </c>
      <c r="F1469" s="44" t="s">
        <v>599</v>
      </c>
      <c r="G1469" s="45">
        <v>31654.976900000001</v>
      </c>
      <c r="H1469" s="44"/>
      <c r="I1469" s="45"/>
      <c r="J1469" s="45">
        <f t="shared" si="5"/>
        <v>31653.883450000001</v>
      </c>
      <c r="K1469" s="46" t="s">
        <v>5800</v>
      </c>
      <c r="L1469" s="43">
        <v>196</v>
      </c>
    </row>
    <row r="1470" spans="1:12" ht="11.25" customHeight="1">
      <c r="A1470" s="39">
        <v>2656</v>
      </c>
      <c r="B1470" s="40" t="s">
        <v>13109</v>
      </c>
      <c r="C1470" s="40" t="s">
        <v>13110</v>
      </c>
      <c r="D1470" s="40" t="s">
        <v>5421</v>
      </c>
      <c r="E1470" s="41">
        <v>61.9</v>
      </c>
      <c r="F1470" s="40" t="s">
        <v>5421</v>
      </c>
      <c r="G1470" s="41">
        <v>62.375500000000002</v>
      </c>
      <c r="H1470" s="40"/>
      <c r="I1470" s="41"/>
      <c r="J1470" s="41">
        <f t="shared" si="5"/>
        <v>62.137749999999997</v>
      </c>
      <c r="K1470" s="42" t="s">
        <v>5796</v>
      </c>
      <c r="L1470" s="39">
        <v>2656</v>
      </c>
    </row>
    <row r="1471" spans="1:12" ht="11.25" customHeight="1">
      <c r="A1471" s="39">
        <v>4380</v>
      </c>
      <c r="B1471" s="40" t="s">
        <v>13111</v>
      </c>
      <c r="C1471" s="40" t="s">
        <v>13112</v>
      </c>
      <c r="D1471" s="40" t="s">
        <v>13113</v>
      </c>
      <c r="E1471" s="41">
        <v>4.6500000000000004</v>
      </c>
      <c r="F1471" s="40" t="s">
        <v>5781</v>
      </c>
      <c r="G1471" s="41">
        <v>4.5655000000000001</v>
      </c>
      <c r="H1471" s="40"/>
      <c r="I1471" s="41"/>
      <c r="J1471" s="41">
        <f t="shared" si="5"/>
        <v>4.6077500000000002</v>
      </c>
      <c r="K1471" s="42" t="s">
        <v>5796</v>
      </c>
      <c r="L1471" s="39">
        <v>4380</v>
      </c>
    </row>
    <row r="1472" spans="1:12" ht="11.25" customHeight="1">
      <c r="A1472" s="39">
        <v>4237</v>
      </c>
      <c r="B1472" s="40" t="s">
        <v>13114</v>
      </c>
      <c r="C1472" s="40" t="s">
        <v>13115</v>
      </c>
      <c r="D1472" s="40" t="s">
        <v>6757</v>
      </c>
      <c r="E1472" s="41">
        <v>6.29</v>
      </c>
      <c r="F1472" s="40" t="s">
        <v>6757</v>
      </c>
      <c r="G1472" s="41">
        <v>5.4108000000000001</v>
      </c>
      <c r="H1472" s="40"/>
      <c r="I1472" s="41"/>
      <c r="J1472" s="41">
        <f t="shared" si="5"/>
        <v>5.8504000000000005</v>
      </c>
      <c r="K1472" s="42" t="s">
        <v>5796</v>
      </c>
      <c r="L1472" s="39">
        <v>4237</v>
      </c>
    </row>
    <row r="1473" spans="1:12" ht="11.25" customHeight="1">
      <c r="A1473" s="39">
        <v>1810</v>
      </c>
      <c r="B1473" s="40" t="s">
        <v>13116</v>
      </c>
      <c r="C1473" s="40" t="s">
        <v>13117</v>
      </c>
      <c r="D1473" s="40" t="s">
        <v>4486</v>
      </c>
      <c r="E1473" s="41">
        <v>266.43</v>
      </c>
      <c r="F1473" s="40" t="s">
        <v>4486</v>
      </c>
      <c r="G1473" s="41">
        <v>264.82089999999999</v>
      </c>
      <c r="H1473" s="40"/>
      <c r="I1473" s="41"/>
      <c r="J1473" s="41">
        <f t="shared" si="5"/>
        <v>265.62545</v>
      </c>
      <c r="K1473" s="42" t="s">
        <v>5796</v>
      </c>
      <c r="L1473" s="39">
        <v>1810</v>
      </c>
    </row>
    <row r="1474" spans="1:12" ht="11.25" customHeight="1">
      <c r="A1474" s="39">
        <v>2132</v>
      </c>
      <c r="B1474" s="40" t="s">
        <v>13118</v>
      </c>
      <c r="C1474" s="40" t="s">
        <v>13119</v>
      </c>
      <c r="D1474" s="40" t="s">
        <v>4930</v>
      </c>
      <c r="E1474" s="41">
        <v>151.05000000000001</v>
      </c>
      <c r="F1474" s="40" t="s">
        <v>4930</v>
      </c>
      <c r="G1474" s="41">
        <v>150.136</v>
      </c>
      <c r="H1474" s="40"/>
      <c r="I1474" s="41"/>
      <c r="J1474" s="41">
        <f t="shared" si="5"/>
        <v>150.59300000000002</v>
      </c>
      <c r="K1474" s="42" t="s">
        <v>5796</v>
      </c>
      <c r="L1474" s="39">
        <v>2132</v>
      </c>
    </row>
    <row r="1475" spans="1:12" ht="11.25" customHeight="1">
      <c r="A1475" s="39">
        <v>888</v>
      </c>
      <c r="B1475" s="40" t="s">
        <v>13120</v>
      </c>
      <c r="C1475" s="40" t="s">
        <v>13121</v>
      </c>
      <c r="D1475" s="40" t="s">
        <v>2575</v>
      </c>
      <c r="E1475" s="41">
        <v>2209.0700000000002</v>
      </c>
      <c r="F1475" s="40" t="s">
        <v>2575</v>
      </c>
      <c r="G1475" s="41">
        <v>2208.9488999999999</v>
      </c>
      <c r="H1475" s="40"/>
      <c r="I1475" s="41"/>
      <c r="J1475" s="41">
        <f t="shared" si="5"/>
        <v>2209.00945</v>
      </c>
      <c r="K1475" s="42" t="s">
        <v>5796</v>
      </c>
      <c r="L1475" s="39">
        <v>888</v>
      </c>
    </row>
    <row r="1476" spans="1:12" ht="11.25" customHeight="1">
      <c r="A1476" s="39">
        <v>442</v>
      </c>
      <c r="B1476" s="40" t="s">
        <v>13122</v>
      </c>
      <c r="C1476" s="40" t="s">
        <v>13123</v>
      </c>
      <c r="D1476" s="40" t="s">
        <v>13124</v>
      </c>
      <c r="E1476" s="41">
        <v>9019.5499999999993</v>
      </c>
      <c r="F1476" s="40" t="s">
        <v>1319</v>
      </c>
      <c r="G1476" s="41">
        <v>9013.8147000000008</v>
      </c>
      <c r="H1476" s="40"/>
      <c r="I1476" s="41"/>
      <c r="J1476" s="41">
        <f t="shared" si="5"/>
        <v>9016.6823499999991</v>
      </c>
      <c r="K1476" s="42" t="s">
        <v>5796</v>
      </c>
      <c r="L1476" s="39">
        <v>442</v>
      </c>
    </row>
    <row r="1477" spans="1:12" ht="11.25" customHeight="1">
      <c r="A1477" s="39">
        <v>2943</v>
      </c>
      <c r="B1477" s="40" t="s">
        <v>13125</v>
      </c>
      <c r="C1477" s="40" t="s">
        <v>13126</v>
      </c>
      <c r="D1477" s="40"/>
      <c r="E1477" s="41"/>
      <c r="F1477" s="40" t="s">
        <v>5526</v>
      </c>
      <c r="G1477" s="41">
        <v>41.524500000000003</v>
      </c>
      <c r="H1477" s="40"/>
      <c r="I1477" s="41"/>
      <c r="J1477" s="41">
        <f t="shared" si="5"/>
        <v>41.524500000000003</v>
      </c>
      <c r="K1477" s="42" t="s">
        <v>5796</v>
      </c>
      <c r="L1477" s="39">
        <v>2943</v>
      </c>
    </row>
    <row r="1478" spans="1:12" ht="11.25" customHeight="1">
      <c r="A1478" s="39">
        <v>771</v>
      </c>
      <c r="B1478" s="40" t="s">
        <v>13127</v>
      </c>
      <c r="C1478" s="40" t="s">
        <v>13128</v>
      </c>
      <c r="D1478" s="40" t="s">
        <v>2257</v>
      </c>
      <c r="E1478" s="41">
        <v>3117.52</v>
      </c>
      <c r="F1478" s="40" t="s">
        <v>2257</v>
      </c>
      <c r="G1478" s="41">
        <v>3118.2973999999999</v>
      </c>
      <c r="H1478" s="40"/>
      <c r="I1478" s="41"/>
      <c r="J1478" s="41">
        <f t="shared" si="5"/>
        <v>3117.9087</v>
      </c>
      <c r="K1478" s="42" t="s">
        <v>5796</v>
      </c>
      <c r="L1478" s="39">
        <v>771</v>
      </c>
    </row>
    <row r="1479" spans="1:12" ht="11.25" customHeight="1">
      <c r="A1479" s="39">
        <v>1800</v>
      </c>
      <c r="B1479" s="40" t="s">
        <v>13129</v>
      </c>
      <c r="C1479" s="40" t="s">
        <v>13130</v>
      </c>
      <c r="D1479" s="40" t="s">
        <v>4483</v>
      </c>
      <c r="E1479" s="41">
        <v>271.55</v>
      </c>
      <c r="F1479" s="40" t="s">
        <v>4483</v>
      </c>
      <c r="G1479" s="41">
        <v>271.45609999999999</v>
      </c>
      <c r="H1479" s="40"/>
      <c r="I1479" s="41"/>
      <c r="J1479" s="41">
        <f t="shared" si="5"/>
        <v>271.50305000000003</v>
      </c>
      <c r="K1479" s="42" t="s">
        <v>5796</v>
      </c>
      <c r="L1479" s="39">
        <v>1800</v>
      </c>
    </row>
    <row r="1480" spans="1:12" ht="11.25" customHeight="1">
      <c r="A1480" s="39">
        <v>1558</v>
      </c>
      <c r="B1480" s="40" t="s">
        <v>6763</v>
      </c>
      <c r="C1480" s="40" t="s">
        <v>13131</v>
      </c>
      <c r="D1480" s="40" t="s">
        <v>4078</v>
      </c>
      <c r="E1480" s="41">
        <v>448.83</v>
      </c>
      <c r="F1480" s="40" t="s">
        <v>4078</v>
      </c>
      <c r="G1480" s="41">
        <v>448.75330000000002</v>
      </c>
      <c r="H1480" s="40"/>
      <c r="I1480" s="41"/>
      <c r="J1480" s="41">
        <f t="shared" si="5"/>
        <v>448.79165</v>
      </c>
      <c r="K1480" s="42" t="s">
        <v>5796</v>
      </c>
      <c r="L1480" s="39">
        <v>1558</v>
      </c>
    </row>
    <row r="1481" spans="1:12" ht="11.25" customHeight="1">
      <c r="A1481" s="43">
        <v>166</v>
      </c>
      <c r="B1481" s="44" t="s">
        <v>13132</v>
      </c>
      <c r="C1481" s="44" t="s">
        <v>13133</v>
      </c>
      <c r="D1481" s="44" t="s">
        <v>509</v>
      </c>
      <c r="E1481" s="45">
        <v>38377.68</v>
      </c>
      <c r="F1481" s="44" t="s">
        <v>509</v>
      </c>
      <c r="G1481" s="45">
        <v>38383.739000000001</v>
      </c>
      <c r="H1481" s="44"/>
      <c r="I1481" s="45"/>
      <c r="J1481" s="45">
        <f t="shared" si="5"/>
        <v>38380.709499999997</v>
      </c>
      <c r="K1481" s="46" t="s">
        <v>5800</v>
      </c>
      <c r="L1481" s="43">
        <v>166</v>
      </c>
    </row>
    <row r="1482" spans="1:12" ht="11.25" customHeight="1">
      <c r="A1482" s="39">
        <v>1379</v>
      </c>
      <c r="B1482" s="40" t="s">
        <v>13134</v>
      </c>
      <c r="C1482" s="40" t="s">
        <v>13135</v>
      </c>
      <c r="D1482" s="40"/>
      <c r="E1482" s="41"/>
      <c r="F1482" s="40" t="s">
        <v>3727</v>
      </c>
      <c r="G1482" s="41">
        <v>673.47299999999996</v>
      </c>
      <c r="H1482" s="40"/>
      <c r="I1482" s="41"/>
      <c r="J1482" s="41">
        <f t="shared" si="5"/>
        <v>673.47299999999996</v>
      </c>
      <c r="K1482" s="42" t="s">
        <v>5796</v>
      </c>
      <c r="L1482" s="39">
        <v>1379</v>
      </c>
    </row>
    <row r="1483" spans="1:12" ht="11.25" customHeight="1">
      <c r="A1483" s="39">
        <v>1678</v>
      </c>
      <c r="B1483" s="40" t="s">
        <v>13136</v>
      </c>
      <c r="C1483" s="40" t="s">
        <v>13137</v>
      </c>
      <c r="D1483" s="40" t="s">
        <v>4294</v>
      </c>
      <c r="E1483" s="41">
        <v>343.81</v>
      </c>
      <c r="F1483" s="40" t="s">
        <v>4294</v>
      </c>
      <c r="G1483" s="41">
        <v>343.85230000000001</v>
      </c>
      <c r="H1483" s="40"/>
      <c r="I1483" s="41"/>
      <c r="J1483" s="41">
        <f t="shared" si="5"/>
        <v>343.83114999999998</v>
      </c>
      <c r="K1483" s="42" t="s">
        <v>5796</v>
      </c>
      <c r="L1483" s="39">
        <v>1678</v>
      </c>
    </row>
    <row r="1484" spans="1:12" ht="11.25" customHeight="1">
      <c r="A1484" s="39">
        <v>740</v>
      </c>
      <c r="B1484" s="40" t="s">
        <v>13138</v>
      </c>
      <c r="C1484" s="40" t="s">
        <v>13139</v>
      </c>
      <c r="D1484" s="40" t="s">
        <v>2167</v>
      </c>
      <c r="E1484" s="41">
        <v>3339.11</v>
      </c>
      <c r="F1484" s="40" t="s">
        <v>2167</v>
      </c>
      <c r="G1484" s="41">
        <v>3529.3413999999998</v>
      </c>
      <c r="H1484" s="40"/>
      <c r="I1484" s="41"/>
      <c r="J1484" s="41">
        <f t="shared" si="5"/>
        <v>3434.2257</v>
      </c>
      <c r="K1484" s="42" t="s">
        <v>5796</v>
      </c>
      <c r="L1484" s="39">
        <v>740</v>
      </c>
    </row>
    <row r="1485" spans="1:12" ht="11.25" customHeight="1">
      <c r="A1485" s="39">
        <v>1633</v>
      </c>
      <c r="B1485" s="40" t="s">
        <v>13140</v>
      </c>
      <c r="C1485" s="40" t="s">
        <v>13141</v>
      </c>
      <c r="D1485" s="40" t="s">
        <v>4216</v>
      </c>
      <c r="E1485" s="41">
        <v>383.35</v>
      </c>
      <c r="F1485" s="40" t="s">
        <v>4216</v>
      </c>
      <c r="G1485" s="41">
        <v>382.91829999999999</v>
      </c>
      <c r="H1485" s="40"/>
      <c r="I1485" s="41"/>
      <c r="J1485" s="41">
        <f t="shared" si="5"/>
        <v>383.13414999999998</v>
      </c>
      <c r="K1485" s="42" t="s">
        <v>5796</v>
      </c>
      <c r="L1485" s="39">
        <v>1633</v>
      </c>
    </row>
    <row r="1486" spans="1:12" ht="11.25" customHeight="1">
      <c r="A1486" s="39">
        <v>1018</v>
      </c>
      <c r="B1486" s="40" t="s">
        <v>13142</v>
      </c>
      <c r="C1486" s="40" t="s">
        <v>13143</v>
      </c>
      <c r="D1486" s="40" t="s">
        <v>2917</v>
      </c>
      <c r="E1486" s="41">
        <v>1629.85</v>
      </c>
      <c r="F1486" s="40" t="s">
        <v>2917</v>
      </c>
      <c r="G1486" s="41">
        <v>1629.8922</v>
      </c>
      <c r="H1486" s="40"/>
      <c r="I1486" s="41"/>
      <c r="J1486" s="41">
        <f t="shared" si="5"/>
        <v>1629.8710999999998</v>
      </c>
      <c r="K1486" s="42" t="s">
        <v>5796</v>
      </c>
      <c r="L1486" s="39">
        <v>1018</v>
      </c>
    </row>
    <row r="1487" spans="1:12" ht="11.25" customHeight="1">
      <c r="A1487" s="39">
        <v>2144</v>
      </c>
      <c r="B1487" s="40" t="s">
        <v>13144</v>
      </c>
      <c r="C1487" s="40" t="s">
        <v>13145</v>
      </c>
      <c r="D1487" s="40" t="s">
        <v>13146</v>
      </c>
      <c r="E1487" s="41">
        <v>148.35</v>
      </c>
      <c r="F1487" s="40" t="s">
        <v>4945</v>
      </c>
      <c r="G1487" s="41">
        <v>145.96940000000001</v>
      </c>
      <c r="H1487" s="40"/>
      <c r="I1487" s="41"/>
      <c r="J1487" s="41">
        <f t="shared" si="5"/>
        <v>147.15969999999999</v>
      </c>
      <c r="K1487" s="42" t="s">
        <v>5796</v>
      </c>
      <c r="L1487" s="39">
        <v>2144</v>
      </c>
    </row>
    <row r="1488" spans="1:12" ht="11.25" customHeight="1">
      <c r="A1488" s="39">
        <v>2145</v>
      </c>
      <c r="B1488" s="40" t="s">
        <v>13147</v>
      </c>
      <c r="C1488" s="40" t="s">
        <v>13148</v>
      </c>
      <c r="D1488" s="40" t="s">
        <v>4948</v>
      </c>
      <c r="E1488" s="41">
        <v>147.01</v>
      </c>
      <c r="F1488" s="40" t="s">
        <v>4948</v>
      </c>
      <c r="G1488" s="41">
        <v>146.9958</v>
      </c>
      <c r="H1488" s="40"/>
      <c r="I1488" s="41"/>
      <c r="J1488" s="41">
        <f t="shared" si="5"/>
        <v>147.00290000000001</v>
      </c>
      <c r="K1488" s="42" t="s">
        <v>5796</v>
      </c>
      <c r="L1488" s="39">
        <v>2145</v>
      </c>
    </row>
    <row r="1489" spans="1:12" ht="11.25" customHeight="1">
      <c r="A1489" s="39">
        <v>1418</v>
      </c>
      <c r="B1489" s="40" t="s">
        <v>13149</v>
      </c>
      <c r="C1489" s="40" t="s">
        <v>13150</v>
      </c>
      <c r="D1489" s="40" t="s">
        <v>13151</v>
      </c>
      <c r="E1489" s="41">
        <v>626.13</v>
      </c>
      <c r="F1489" s="40" t="s">
        <v>3811</v>
      </c>
      <c r="G1489" s="41">
        <v>620.84580000000005</v>
      </c>
      <c r="H1489" s="40"/>
      <c r="I1489" s="41"/>
      <c r="J1489" s="41">
        <f t="shared" si="5"/>
        <v>623.48790000000008</v>
      </c>
      <c r="K1489" s="42" t="s">
        <v>5796</v>
      </c>
      <c r="L1489" s="39">
        <v>1418</v>
      </c>
    </row>
    <row r="1490" spans="1:12" ht="11.25" customHeight="1">
      <c r="A1490" s="39">
        <v>2634</v>
      </c>
      <c r="B1490" s="40" t="s">
        <v>13152</v>
      </c>
      <c r="C1490" s="40" t="s">
        <v>13153</v>
      </c>
      <c r="D1490" s="40" t="s">
        <v>5403</v>
      </c>
      <c r="E1490" s="41">
        <v>64.62</v>
      </c>
      <c r="F1490" s="40" t="s">
        <v>5403</v>
      </c>
      <c r="G1490" s="41">
        <v>64.415099999999995</v>
      </c>
      <c r="H1490" s="40"/>
      <c r="I1490" s="41"/>
      <c r="J1490" s="41">
        <f t="shared" si="5"/>
        <v>64.51755</v>
      </c>
      <c r="K1490" s="42" t="s">
        <v>5796</v>
      </c>
      <c r="L1490" s="39">
        <v>2634</v>
      </c>
    </row>
    <row r="1491" spans="1:12" ht="11.25" customHeight="1">
      <c r="A1491" s="39">
        <v>733</v>
      </c>
      <c r="B1491" s="40" t="s">
        <v>13154</v>
      </c>
      <c r="C1491" s="40" t="s">
        <v>13155</v>
      </c>
      <c r="D1491" s="40" t="s">
        <v>2146</v>
      </c>
      <c r="E1491" s="41">
        <v>3494.15</v>
      </c>
      <c r="F1491" s="40" t="s">
        <v>2146</v>
      </c>
      <c r="G1491" s="41">
        <v>3492.4866000000002</v>
      </c>
      <c r="H1491" s="40"/>
      <c r="I1491" s="41"/>
      <c r="J1491" s="41">
        <f t="shared" si="5"/>
        <v>3493.3182999999999</v>
      </c>
      <c r="K1491" s="42" t="s">
        <v>5796</v>
      </c>
      <c r="L1491" s="39">
        <v>733</v>
      </c>
    </row>
    <row r="1492" spans="1:12" ht="11.25" customHeight="1">
      <c r="A1492" s="39">
        <v>2564</v>
      </c>
      <c r="B1492" s="40" t="s">
        <v>13156</v>
      </c>
      <c r="C1492" s="40" t="s">
        <v>13157</v>
      </c>
      <c r="D1492" s="40" t="s">
        <v>5349</v>
      </c>
      <c r="E1492" s="41">
        <v>73.22</v>
      </c>
      <c r="F1492" s="40" t="s">
        <v>5349</v>
      </c>
      <c r="G1492" s="41">
        <v>73.016099999999994</v>
      </c>
      <c r="H1492" s="40"/>
      <c r="I1492" s="41"/>
      <c r="J1492" s="41">
        <f t="shared" si="5"/>
        <v>73.118049999999997</v>
      </c>
      <c r="K1492" s="42" t="s">
        <v>5796</v>
      </c>
      <c r="L1492" s="39">
        <v>2564</v>
      </c>
    </row>
    <row r="1493" spans="1:12" ht="11.25" customHeight="1">
      <c r="A1493" s="39">
        <v>3963</v>
      </c>
      <c r="B1493" s="40" t="s">
        <v>13158</v>
      </c>
      <c r="C1493" s="40" t="s">
        <v>13159</v>
      </c>
      <c r="D1493" s="40"/>
      <c r="E1493" s="41"/>
      <c r="F1493" s="40" t="s">
        <v>5748</v>
      </c>
      <c r="G1493" s="41">
        <v>8.9621999999999993</v>
      </c>
      <c r="H1493" s="40"/>
      <c r="I1493" s="41"/>
      <c r="J1493" s="41">
        <f t="shared" si="5"/>
        <v>8.9621999999999993</v>
      </c>
      <c r="K1493" s="42" t="s">
        <v>5796</v>
      </c>
      <c r="L1493" s="39">
        <v>3963</v>
      </c>
    </row>
    <row r="1494" spans="1:12" ht="11.25" customHeight="1">
      <c r="A1494" s="39">
        <v>1320</v>
      </c>
      <c r="B1494" s="40" t="s">
        <v>13160</v>
      </c>
      <c r="C1494" s="40" t="s">
        <v>13161</v>
      </c>
      <c r="D1494" s="40" t="s">
        <v>3619</v>
      </c>
      <c r="E1494" s="41">
        <v>773.77</v>
      </c>
      <c r="F1494" s="40" t="s">
        <v>3619</v>
      </c>
      <c r="G1494" s="41">
        <v>773.68610000000001</v>
      </c>
      <c r="H1494" s="40"/>
      <c r="I1494" s="41"/>
      <c r="J1494" s="41">
        <f t="shared" si="5"/>
        <v>773.72804999999994</v>
      </c>
      <c r="K1494" s="42" t="s">
        <v>5796</v>
      </c>
      <c r="L1494" s="39">
        <v>1320</v>
      </c>
    </row>
    <row r="1495" spans="1:12" ht="11.25" customHeight="1">
      <c r="A1495" s="39">
        <v>860</v>
      </c>
      <c r="B1495" s="40" t="s">
        <v>13162</v>
      </c>
      <c r="C1495" s="40" t="s">
        <v>13163</v>
      </c>
      <c r="D1495" s="40" t="s">
        <v>2494</v>
      </c>
      <c r="E1495" s="41">
        <v>2462.06</v>
      </c>
      <c r="F1495" s="40" t="s">
        <v>2494</v>
      </c>
      <c r="G1495" s="41">
        <v>2463.2707</v>
      </c>
      <c r="H1495" s="40"/>
      <c r="I1495" s="41"/>
      <c r="J1495" s="41">
        <f t="shared" si="5"/>
        <v>2462.6653500000002</v>
      </c>
      <c r="K1495" s="42" t="s">
        <v>5796</v>
      </c>
      <c r="L1495" s="39">
        <v>860</v>
      </c>
    </row>
    <row r="1496" spans="1:12" ht="11.25" customHeight="1">
      <c r="A1496" s="39">
        <v>648</v>
      </c>
      <c r="B1496" s="40" t="s">
        <v>13164</v>
      </c>
      <c r="C1496" s="40" t="s">
        <v>13165</v>
      </c>
      <c r="D1496" s="40" t="s">
        <v>1904</v>
      </c>
      <c r="E1496" s="41">
        <v>4220.7299999999996</v>
      </c>
      <c r="F1496" s="40" t="s">
        <v>1904</v>
      </c>
      <c r="G1496" s="41">
        <v>4685.0491000000002</v>
      </c>
      <c r="H1496" s="40"/>
      <c r="I1496" s="41"/>
      <c r="J1496" s="41">
        <f t="shared" si="5"/>
        <v>4452.8895499999999</v>
      </c>
      <c r="K1496" s="42" t="s">
        <v>5796</v>
      </c>
      <c r="L1496" s="39">
        <v>648</v>
      </c>
    </row>
    <row r="1497" spans="1:12" ht="11.25" customHeight="1">
      <c r="A1497" s="39">
        <v>1011</v>
      </c>
      <c r="B1497" s="40" t="s">
        <v>13166</v>
      </c>
      <c r="C1497" s="40" t="s">
        <v>13167</v>
      </c>
      <c r="D1497" s="40" t="s">
        <v>2896</v>
      </c>
      <c r="E1497" s="41">
        <v>1668.3</v>
      </c>
      <c r="F1497" s="40" t="s">
        <v>2896</v>
      </c>
      <c r="G1497" s="41">
        <v>1651.5776000000001</v>
      </c>
      <c r="H1497" s="40"/>
      <c r="I1497" s="41"/>
      <c r="J1497" s="41">
        <f t="shared" si="5"/>
        <v>1659.9387999999999</v>
      </c>
      <c r="K1497" s="42" t="s">
        <v>5796</v>
      </c>
      <c r="L1497" s="39">
        <v>1011</v>
      </c>
    </row>
    <row r="1498" spans="1:12" ht="11.25" customHeight="1">
      <c r="A1498" s="39">
        <v>799</v>
      </c>
      <c r="B1498" s="40" t="s">
        <v>13168</v>
      </c>
      <c r="C1498" s="40" t="s">
        <v>13169</v>
      </c>
      <c r="D1498" s="40" t="s">
        <v>2326</v>
      </c>
      <c r="E1498" s="41">
        <v>2869.26</v>
      </c>
      <c r="F1498" s="40" t="s">
        <v>2326</v>
      </c>
      <c r="G1498" s="41">
        <v>2871.0852</v>
      </c>
      <c r="H1498" s="40"/>
      <c r="I1498" s="41"/>
      <c r="J1498" s="41">
        <f t="shared" si="5"/>
        <v>2870.1725999999999</v>
      </c>
      <c r="K1498" s="42" t="s">
        <v>5796</v>
      </c>
      <c r="L1498" s="39">
        <v>799</v>
      </c>
    </row>
    <row r="1499" spans="1:12" ht="11.25" customHeight="1">
      <c r="A1499" s="39">
        <v>785</v>
      </c>
      <c r="B1499" s="40" t="s">
        <v>13170</v>
      </c>
      <c r="C1499" s="40" t="s">
        <v>13171</v>
      </c>
      <c r="D1499" s="40" t="s">
        <v>2287</v>
      </c>
      <c r="E1499" s="41">
        <v>3015.37</v>
      </c>
      <c r="F1499" s="40" t="s">
        <v>2287</v>
      </c>
      <c r="G1499" s="41">
        <v>3014.7247000000002</v>
      </c>
      <c r="H1499" s="40"/>
      <c r="I1499" s="41"/>
      <c r="J1499" s="41">
        <f t="shared" si="5"/>
        <v>3015.0473499999998</v>
      </c>
      <c r="K1499" s="42" t="s">
        <v>5796</v>
      </c>
      <c r="L1499" s="39">
        <v>785</v>
      </c>
    </row>
    <row r="1500" spans="1:12" ht="11.25" customHeight="1">
      <c r="A1500" s="39">
        <v>2985</v>
      </c>
      <c r="B1500" s="40" t="s">
        <v>13172</v>
      </c>
      <c r="C1500" s="40" t="s">
        <v>13173</v>
      </c>
      <c r="D1500" s="40"/>
      <c r="E1500" s="41"/>
      <c r="F1500" s="40" t="s">
        <v>5547</v>
      </c>
      <c r="G1500" s="41">
        <v>39.020800000000001</v>
      </c>
      <c r="H1500" s="40"/>
      <c r="I1500" s="41"/>
      <c r="J1500" s="41">
        <f t="shared" si="5"/>
        <v>39.020800000000001</v>
      </c>
      <c r="K1500" s="42" t="s">
        <v>5796</v>
      </c>
      <c r="L1500" s="39">
        <v>2985</v>
      </c>
    </row>
    <row r="1501" spans="1:12" ht="11.25" customHeight="1">
      <c r="A1501" s="39">
        <v>296</v>
      </c>
      <c r="B1501" s="40" t="s">
        <v>13174</v>
      </c>
      <c r="C1501" s="40" t="s">
        <v>13175</v>
      </c>
      <c r="D1501" s="40" t="s">
        <v>899</v>
      </c>
      <c r="E1501" s="41">
        <v>17066.97</v>
      </c>
      <c r="F1501" s="40" t="s">
        <v>899</v>
      </c>
      <c r="G1501" s="41">
        <v>17072.775600000001</v>
      </c>
      <c r="H1501" s="40"/>
      <c r="I1501" s="41"/>
      <c r="J1501" s="41">
        <f t="shared" si="5"/>
        <v>17069.872800000001</v>
      </c>
      <c r="K1501" s="42" t="s">
        <v>5796</v>
      </c>
      <c r="L1501" s="39">
        <v>296</v>
      </c>
    </row>
    <row r="1502" spans="1:12" ht="11.25" customHeight="1">
      <c r="A1502" s="39">
        <v>620</v>
      </c>
      <c r="B1502" s="40" t="s">
        <v>13176</v>
      </c>
      <c r="C1502" s="40" t="s">
        <v>13177</v>
      </c>
      <c r="D1502" s="40" t="s">
        <v>1832</v>
      </c>
      <c r="E1502" s="41">
        <v>4891.12</v>
      </c>
      <c r="F1502" s="40" t="s">
        <v>1832</v>
      </c>
      <c r="G1502" s="41">
        <v>4890.6054000000004</v>
      </c>
      <c r="H1502" s="40"/>
      <c r="I1502" s="41"/>
      <c r="J1502" s="41">
        <f t="shared" si="5"/>
        <v>4890.8626999999997</v>
      </c>
      <c r="K1502" s="42" t="s">
        <v>5796</v>
      </c>
      <c r="L1502" s="39">
        <v>620</v>
      </c>
    </row>
    <row r="1503" spans="1:12" ht="11.25" customHeight="1">
      <c r="A1503" s="39">
        <v>3118</v>
      </c>
      <c r="B1503" s="40" t="s">
        <v>6779</v>
      </c>
      <c r="C1503" s="40" t="s">
        <v>13178</v>
      </c>
      <c r="D1503" s="40" t="s">
        <v>6780</v>
      </c>
      <c r="E1503" s="41">
        <v>34.67</v>
      </c>
      <c r="F1503" s="40" t="s">
        <v>6780</v>
      </c>
      <c r="G1503" s="41">
        <v>29.473700000000001</v>
      </c>
      <c r="H1503" s="40"/>
      <c r="I1503" s="41"/>
      <c r="J1503" s="41">
        <f t="shared" si="5"/>
        <v>32.071849999999998</v>
      </c>
      <c r="K1503" s="42" t="s">
        <v>5796</v>
      </c>
      <c r="L1503" s="39">
        <v>3118</v>
      </c>
    </row>
    <row r="1504" spans="1:12" ht="11.25" customHeight="1">
      <c r="A1504" s="39">
        <v>447</v>
      </c>
      <c r="B1504" s="40" t="s">
        <v>13179</v>
      </c>
      <c r="C1504" s="40" t="s">
        <v>13180</v>
      </c>
      <c r="D1504" s="40" t="s">
        <v>1334</v>
      </c>
      <c r="E1504" s="41">
        <v>8876.36</v>
      </c>
      <c r="F1504" s="40" t="s">
        <v>1334</v>
      </c>
      <c r="G1504" s="41">
        <v>8875.5008999999991</v>
      </c>
      <c r="H1504" s="40"/>
      <c r="I1504" s="41"/>
      <c r="J1504" s="41">
        <f t="shared" si="5"/>
        <v>8875.9304499999998</v>
      </c>
      <c r="K1504" s="42" t="s">
        <v>5796</v>
      </c>
      <c r="L1504" s="39">
        <v>447</v>
      </c>
    </row>
    <row r="1505" spans="1:12" ht="11.25" customHeight="1">
      <c r="A1505" s="39">
        <v>490</v>
      </c>
      <c r="B1505" s="40" t="s">
        <v>13181</v>
      </c>
      <c r="C1505" s="40" t="s">
        <v>13182</v>
      </c>
      <c r="D1505" s="40" t="s">
        <v>1457</v>
      </c>
      <c r="E1505" s="41">
        <v>7516.23</v>
      </c>
      <c r="F1505" s="40" t="s">
        <v>1457</v>
      </c>
      <c r="G1505" s="41">
        <v>7519.3076000000001</v>
      </c>
      <c r="H1505" s="40"/>
      <c r="I1505" s="41"/>
      <c r="J1505" s="41">
        <f t="shared" si="5"/>
        <v>7517.7687999999998</v>
      </c>
      <c r="K1505" s="42" t="s">
        <v>5796</v>
      </c>
      <c r="L1505" s="39">
        <v>490</v>
      </c>
    </row>
    <row r="1506" spans="1:12" ht="11.25" customHeight="1">
      <c r="A1506" s="39">
        <v>504</v>
      </c>
      <c r="B1506" s="40" t="s">
        <v>13183</v>
      </c>
      <c r="C1506" s="40" t="s">
        <v>13184</v>
      </c>
      <c r="D1506" s="40" t="s">
        <v>1499</v>
      </c>
      <c r="E1506" s="41">
        <v>7300.77</v>
      </c>
      <c r="F1506" s="40" t="s">
        <v>1499</v>
      </c>
      <c r="G1506" s="41">
        <v>7158.3252000000002</v>
      </c>
      <c r="H1506" s="40"/>
      <c r="I1506" s="41"/>
      <c r="J1506" s="41">
        <f t="shared" si="5"/>
        <v>7229.5475999999999</v>
      </c>
      <c r="K1506" s="42" t="s">
        <v>5796</v>
      </c>
      <c r="L1506" s="39">
        <v>504</v>
      </c>
    </row>
    <row r="1507" spans="1:12" ht="11.25" customHeight="1">
      <c r="A1507" s="39">
        <v>1599</v>
      </c>
      <c r="B1507" s="40" t="s">
        <v>13185</v>
      </c>
      <c r="C1507" s="40" t="s">
        <v>13186</v>
      </c>
      <c r="D1507" s="40" t="s">
        <v>4144</v>
      </c>
      <c r="E1507" s="41">
        <v>414.01</v>
      </c>
      <c r="F1507" s="40" t="s">
        <v>4144</v>
      </c>
      <c r="G1507" s="41">
        <v>413.69</v>
      </c>
      <c r="H1507" s="40"/>
      <c r="I1507" s="41"/>
      <c r="J1507" s="41">
        <f t="shared" si="5"/>
        <v>413.85</v>
      </c>
      <c r="K1507" s="42" t="s">
        <v>5796</v>
      </c>
      <c r="L1507" s="39">
        <v>1599</v>
      </c>
    </row>
    <row r="1508" spans="1:12" ht="11.25" customHeight="1">
      <c r="A1508" s="39">
        <v>1589</v>
      </c>
      <c r="B1508" s="40" t="s">
        <v>13187</v>
      </c>
      <c r="C1508" s="40" t="s">
        <v>13188</v>
      </c>
      <c r="D1508" s="40" t="s">
        <v>4129</v>
      </c>
      <c r="E1508" s="41">
        <v>422.33</v>
      </c>
      <c r="F1508" s="40" t="s">
        <v>4129</v>
      </c>
      <c r="G1508" s="41">
        <v>417.96940000000001</v>
      </c>
      <c r="H1508" s="40"/>
      <c r="I1508" s="41"/>
      <c r="J1508" s="41">
        <f t="shared" si="5"/>
        <v>420.1497</v>
      </c>
      <c r="K1508" s="42" t="s">
        <v>5796</v>
      </c>
      <c r="L1508" s="39">
        <v>1589</v>
      </c>
    </row>
    <row r="1509" spans="1:12" ht="11.25" customHeight="1">
      <c r="A1509" s="39">
        <v>1009</v>
      </c>
      <c r="B1509" s="40" t="s">
        <v>13189</v>
      </c>
      <c r="C1509" s="40" t="s">
        <v>13190</v>
      </c>
      <c r="D1509" s="40" t="s">
        <v>2890</v>
      </c>
      <c r="E1509" s="41">
        <v>1669</v>
      </c>
      <c r="F1509" s="40" t="s">
        <v>2890</v>
      </c>
      <c r="G1509" s="41">
        <v>1669.4293</v>
      </c>
      <c r="H1509" s="40"/>
      <c r="I1509" s="41"/>
      <c r="J1509" s="41">
        <f t="shared" si="5"/>
        <v>1669.2146499999999</v>
      </c>
      <c r="K1509" s="42" t="s">
        <v>5796</v>
      </c>
      <c r="L1509" s="39">
        <v>1009</v>
      </c>
    </row>
    <row r="1510" spans="1:12" ht="11.25" customHeight="1">
      <c r="A1510" s="39">
        <v>1198</v>
      </c>
      <c r="B1510" s="40" t="s">
        <v>13191</v>
      </c>
      <c r="C1510" s="40" t="s">
        <v>13192</v>
      </c>
      <c r="D1510" s="40" t="s">
        <v>3346</v>
      </c>
      <c r="E1510" s="41">
        <v>1051.28</v>
      </c>
      <c r="F1510" s="40" t="s">
        <v>3346</v>
      </c>
      <c r="G1510" s="41">
        <v>1051.0663999999999</v>
      </c>
      <c r="H1510" s="40"/>
      <c r="I1510" s="41"/>
      <c r="J1510" s="41">
        <f t="shared" si="5"/>
        <v>1051.1732</v>
      </c>
      <c r="K1510" s="42" t="s">
        <v>5796</v>
      </c>
      <c r="L1510" s="39">
        <v>1198</v>
      </c>
    </row>
    <row r="1511" spans="1:12" ht="11.25" customHeight="1">
      <c r="A1511" s="39">
        <v>1127</v>
      </c>
      <c r="B1511" s="40" t="s">
        <v>6784</v>
      </c>
      <c r="C1511" s="40" t="s">
        <v>13193</v>
      </c>
      <c r="D1511" s="40" t="s">
        <v>3178</v>
      </c>
      <c r="E1511" s="41">
        <v>1252.8900000000001</v>
      </c>
      <c r="F1511" s="40" t="s">
        <v>3178</v>
      </c>
      <c r="G1511" s="41">
        <v>1253.0806</v>
      </c>
      <c r="H1511" s="40"/>
      <c r="I1511" s="41"/>
      <c r="J1511" s="41">
        <f t="shared" si="5"/>
        <v>1252.9853000000001</v>
      </c>
      <c r="K1511" s="42" t="s">
        <v>5796</v>
      </c>
      <c r="L1511" s="39">
        <v>1127</v>
      </c>
    </row>
    <row r="1512" spans="1:12" ht="11.25" customHeight="1">
      <c r="A1512" s="39">
        <v>893</v>
      </c>
      <c r="B1512" s="40" t="s">
        <v>6785</v>
      </c>
      <c r="C1512" s="40" t="s">
        <v>13194</v>
      </c>
      <c r="D1512" s="40" t="s">
        <v>2590</v>
      </c>
      <c r="E1512" s="41">
        <v>2196.6799999999998</v>
      </c>
      <c r="F1512" s="40" t="s">
        <v>2590</v>
      </c>
      <c r="G1512" s="41">
        <v>2151.0358000000001</v>
      </c>
      <c r="H1512" s="40"/>
      <c r="I1512" s="41"/>
      <c r="J1512" s="41">
        <f t="shared" si="5"/>
        <v>2173.8579</v>
      </c>
      <c r="K1512" s="42" t="s">
        <v>5796</v>
      </c>
      <c r="L1512" s="39">
        <v>893</v>
      </c>
    </row>
    <row r="1513" spans="1:12" ht="11.25" customHeight="1">
      <c r="A1513" s="39">
        <v>1144</v>
      </c>
      <c r="B1513" s="40" t="s">
        <v>13195</v>
      </c>
      <c r="C1513" s="40" t="s">
        <v>13196</v>
      </c>
      <c r="D1513" s="40" t="s">
        <v>3217</v>
      </c>
      <c r="E1513" s="41">
        <v>1210.01</v>
      </c>
      <c r="F1513" s="40" t="s">
        <v>3217</v>
      </c>
      <c r="G1513" s="41">
        <v>1209.7997</v>
      </c>
      <c r="H1513" s="40"/>
      <c r="I1513" s="41"/>
      <c r="J1513" s="41">
        <f t="shared" si="5"/>
        <v>1209.9048499999999</v>
      </c>
      <c r="K1513" s="42" t="s">
        <v>5796</v>
      </c>
      <c r="L1513" s="39">
        <v>1144</v>
      </c>
    </row>
    <row r="1514" spans="1:12" ht="11.25" customHeight="1">
      <c r="A1514" s="39">
        <v>1489</v>
      </c>
      <c r="B1514" s="40" t="s">
        <v>6787</v>
      </c>
      <c r="C1514" s="40" t="s">
        <v>13197</v>
      </c>
      <c r="D1514" s="40" t="s">
        <v>3940</v>
      </c>
      <c r="E1514" s="41">
        <v>525.59</v>
      </c>
      <c r="F1514" s="40" t="s">
        <v>3940</v>
      </c>
      <c r="G1514" s="41">
        <v>525.76329999999996</v>
      </c>
      <c r="H1514" s="40"/>
      <c r="I1514" s="41"/>
      <c r="J1514" s="41">
        <f t="shared" si="5"/>
        <v>525.67665</v>
      </c>
      <c r="K1514" s="42" t="s">
        <v>5796</v>
      </c>
      <c r="L1514" s="39">
        <v>1489</v>
      </c>
    </row>
    <row r="1515" spans="1:12" ht="11.25" customHeight="1">
      <c r="A1515" s="39">
        <v>756</v>
      </c>
      <c r="B1515" s="40" t="s">
        <v>13198</v>
      </c>
      <c r="C1515" s="40" t="s">
        <v>13199</v>
      </c>
      <c r="D1515" s="40" t="s">
        <v>13200</v>
      </c>
      <c r="E1515" s="41">
        <v>3282.53</v>
      </c>
      <c r="F1515" s="40" t="s">
        <v>2215</v>
      </c>
      <c r="G1515" s="41">
        <v>3282.0387999999998</v>
      </c>
      <c r="H1515" s="40"/>
      <c r="I1515" s="41"/>
      <c r="J1515" s="41">
        <f t="shared" si="5"/>
        <v>3282.2844</v>
      </c>
      <c r="K1515" s="42" t="s">
        <v>5796</v>
      </c>
      <c r="L1515" s="39">
        <v>756</v>
      </c>
    </row>
    <row r="1516" spans="1:12" ht="11.25" customHeight="1">
      <c r="A1516" s="39">
        <v>434</v>
      </c>
      <c r="B1516" s="40" t="s">
        <v>13201</v>
      </c>
      <c r="C1516" s="40" t="s">
        <v>13202</v>
      </c>
      <c r="D1516" s="40" t="s">
        <v>1298</v>
      </c>
      <c r="E1516" s="41">
        <v>9256.4</v>
      </c>
      <c r="F1516" s="40" t="s">
        <v>1298</v>
      </c>
      <c r="G1516" s="41">
        <v>9241.9264000000003</v>
      </c>
      <c r="H1516" s="40"/>
      <c r="I1516" s="41"/>
      <c r="J1516" s="41">
        <f t="shared" si="5"/>
        <v>9249.1631999999991</v>
      </c>
      <c r="K1516" s="42" t="s">
        <v>5796</v>
      </c>
      <c r="L1516" s="39">
        <v>434</v>
      </c>
    </row>
    <row r="1517" spans="1:12" ht="11.25" customHeight="1">
      <c r="A1517" s="39">
        <v>1408</v>
      </c>
      <c r="B1517" s="40" t="s">
        <v>6789</v>
      </c>
      <c r="C1517" s="40" t="s">
        <v>13203</v>
      </c>
      <c r="D1517" s="40" t="s">
        <v>3793</v>
      </c>
      <c r="E1517" s="41">
        <v>635.02</v>
      </c>
      <c r="F1517" s="40" t="s">
        <v>3793</v>
      </c>
      <c r="G1517" s="41">
        <v>634.53150000000005</v>
      </c>
      <c r="H1517" s="40"/>
      <c r="I1517" s="41"/>
      <c r="J1517" s="41">
        <f t="shared" si="5"/>
        <v>634.77575000000002</v>
      </c>
      <c r="K1517" s="42" t="s">
        <v>5796</v>
      </c>
      <c r="L1517" s="39">
        <v>1408</v>
      </c>
    </row>
    <row r="1518" spans="1:12" ht="11.25" customHeight="1">
      <c r="A1518" s="47">
        <v>82</v>
      </c>
      <c r="B1518" s="48" t="s">
        <v>6790</v>
      </c>
      <c r="C1518" s="48" t="s">
        <v>13204</v>
      </c>
      <c r="D1518" s="48" t="s">
        <v>260</v>
      </c>
      <c r="E1518" s="49">
        <v>76081.8</v>
      </c>
      <c r="F1518" s="48" t="s">
        <v>260</v>
      </c>
      <c r="G1518" s="49">
        <v>75972.599300000002</v>
      </c>
      <c r="H1518" s="48"/>
      <c r="I1518" s="49"/>
      <c r="J1518" s="49">
        <f t="shared" si="5"/>
        <v>76027.199649999995</v>
      </c>
      <c r="K1518" s="50" t="s">
        <v>5815</v>
      </c>
      <c r="L1518" s="47">
        <v>82</v>
      </c>
    </row>
    <row r="1519" spans="1:12" ht="11.25" customHeight="1">
      <c r="A1519" s="47">
        <v>44</v>
      </c>
      <c r="B1519" s="48" t="s">
        <v>13205</v>
      </c>
      <c r="C1519" s="48" t="s">
        <v>13206</v>
      </c>
      <c r="D1519" s="48" t="s">
        <v>143</v>
      </c>
      <c r="E1519" s="49">
        <v>134324.15</v>
      </c>
      <c r="F1519" s="48" t="s">
        <v>143</v>
      </c>
      <c r="G1519" s="49">
        <v>134329.06099999999</v>
      </c>
      <c r="H1519" s="48"/>
      <c r="I1519" s="49"/>
      <c r="J1519" s="49">
        <f t="shared" si="5"/>
        <v>134326.60550000001</v>
      </c>
      <c r="K1519" s="50" t="s">
        <v>5815</v>
      </c>
      <c r="L1519" s="47">
        <v>44</v>
      </c>
    </row>
    <row r="1520" spans="1:12" ht="11.25" customHeight="1">
      <c r="A1520" s="47">
        <v>9</v>
      </c>
      <c r="B1520" s="48" t="s">
        <v>13207</v>
      </c>
      <c r="C1520" s="48" t="s">
        <v>13208</v>
      </c>
      <c r="D1520" s="48" t="s">
        <v>33</v>
      </c>
      <c r="E1520" s="49">
        <v>525974.16</v>
      </c>
      <c r="F1520" s="48" t="s">
        <v>33</v>
      </c>
      <c r="G1520" s="49">
        <v>525988.9179</v>
      </c>
      <c r="H1520" s="48"/>
      <c r="I1520" s="49"/>
      <c r="J1520" s="49">
        <f t="shared" si="5"/>
        <v>525981.53894999996</v>
      </c>
      <c r="K1520" s="50" t="s">
        <v>5815</v>
      </c>
      <c r="L1520" s="47">
        <v>9</v>
      </c>
    </row>
    <row r="1521" spans="1:12" ht="11.25" customHeight="1">
      <c r="A1521" s="43">
        <v>139</v>
      </c>
      <c r="B1521" s="44" t="s">
        <v>13209</v>
      </c>
      <c r="C1521" s="44" t="s">
        <v>13210</v>
      </c>
      <c r="D1521" s="44" t="s">
        <v>428</v>
      </c>
      <c r="E1521" s="45">
        <v>47744.09</v>
      </c>
      <c r="F1521" s="44" t="s">
        <v>428</v>
      </c>
      <c r="G1521" s="45">
        <v>47749.038</v>
      </c>
      <c r="H1521" s="44"/>
      <c r="I1521" s="45"/>
      <c r="J1521" s="45">
        <f t="shared" si="5"/>
        <v>47746.563999999998</v>
      </c>
      <c r="K1521" s="46" t="s">
        <v>5800</v>
      </c>
      <c r="L1521" s="43">
        <v>139</v>
      </c>
    </row>
    <row r="1522" spans="1:12" ht="11.25" customHeight="1">
      <c r="A1522" s="39">
        <v>1274</v>
      </c>
      <c r="B1522" s="40" t="s">
        <v>13211</v>
      </c>
      <c r="C1522" s="40" t="s">
        <v>13212</v>
      </c>
      <c r="D1522" s="40" t="s">
        <v>3505</v>
      </c>
      <c r="E1522" s="41">
        <v>860.35</v>
      </c>
      <c r="F1522" s="40" t="s">
        <v>3505</v>
      </c>
      <c r="G1522" s="41">
        <v>860.42340000000002</v>
      </c>
      <c r="H1522" s="40"/>
      <c r="I1522" s="41"/>
      <c r="J1522" s="41">
        <f t="shared" si="5"/>
        <v>860.38670000000002</v>
      </c>
      <c r="K1522" s="42" t="s">
        <v>5796</v>
      </c>
      <c r="L1522" s="39">
        <v>1274</v>
      </c>
    </row>
    <row r="1523" spans="1:12" ht="11.25" customHeight="1">
      <c r="A1523" s="39">
        <v>471</v>
      </c>
      <c r="B1523" s="40" t="s">
        <v>6792</v>
      </c>
      <c r="C1523" s="40" t="s">
        <v>13213</v>
      </c>
      <c r="D1523" s="40" t="s">
        <v>1403</v>
      </c>
      <c r="E1523" s="41">
        <v>8004.48</v>
      </c>
      <c r="F1523" s="40" t="s">
        <v>1403</v>
      </c>
      <c r="G1523" s="41">
        <v>8005.6176999999998</v>
      </c>
      <c r="H1523" s="40"/>
      <c r="I1523" s="41"/>
      <c r="J1523" s="41">
        <f t="shared" si="5"/>
        <v>8005.0488499999992</v>
      </c>
      <c r="K1523" s="42" t="s">
        <v>5796</v>
      </c>
      <c r="L1523" s="39">
        <v>471</v>
      </c>
    </row>
    <row r="1524" spans="1:12" ht="11.25" customHeight="1">
      <c r="A1524" s="39">
        <v>560</v>
      </c>
      <c r="B1524" s="40" t="s">
        <v>13214</v>
      </c>
      <c r="C1524" s="40" t="s">
        <v>13215</v>
      </c>
      <c r="D1524" s="40" t="s">
        <v>1661</v>
      </c>
      <c r="E1524" s="41">
        <v>6171.99</v>
      </c>
      <c r="F1524" s="40" t="s">
        <v>1661</v>
      </c>
      <c r="G1524" s="41">
        <v>6171.8932000000004</v>
      </c>
      <c r="H1524" s="40"/>
      <c r="I1524" s="41"/>
      <c r="J1524" s="41">
        <f t="shared" si="5"/>
        <v>6171.9416000000001</v>
      </c>
      <c r="K1524" s="42" t="s">
        <v>5796</v>
      </c>
      <c r="L1524" s="39">
        <v>560</v>
      </c>
    </row>
    <row r="1525" spans="1:12" ht="11.25" customHeight="1">
      <c r="A1525" s="39">
        <v>1597</v>
      </c>
      <c r="B1525" s="40" t="s">
        <v>6794</v>
      </c>
      <c r="C1525" s="40" t="s">
        <v>13216</v>
      </c>
      <c r="D1525" s="40" t="s">
        <v>4141</v>
      </c>
      <c r="E1525" s="41">
        <v>415.32</v>
      </c>
      <c r="F1525" s="40" t="s">
        <v>4141</v>
      </c>
      <c r="G1525" s="41">
        <v>415.14080000000001</v>
      </c>
      <c r="H1525" s="40"/>
      <c r="I1525" s="41"/>
      <c r="J1525" s="41">
        <f t="shared" si="5"/>
        <v>415.23040000000003</v>
      </c>
      <c r="K1525" s="42" t="s">
        <v>5796</v>
      </c>
      <c r="L1525" s="39">
        <v>1597</v>
      </c>
    </row>
    <row r="1526" spans="1:12" ht="11.25" customHeight="1">
      <c r="A1526" s="39">
        <v>863</v>
      </c>
      <c r="B1526" s="40" t="s">
        <v>13217</v>
      </c>
      <c r="C1526" s="40" t="s">
        <v>13218</v>
      </c>
      <c r="D1526" s="40" t="s">
        <v>2503</v>
      </c>
      <c r="E1526" s="41">
        <v>2443.5700000000002</v>
      </c>
      <c r="F1526" s="40" t="s">
        <v>2503</v>
      </c>
      <c r="G1526" s="41">
        <v>2443.9694</v>
      </c>
      <c r="H1526" s="40"/>
      <c r="I1526" s="41"/>
      <c r="J1526" s="41">
        <f t="shared" si="5"/>
        <v>2443.7696999999998</v>
      </c>
      <c r="K1526" s="42" t="s">
        <v>5796</v>
      </c>
      <c r="L1526" s="39">
        <v>863</v>
      </c>
    </row>
    <row r="1527" spans="1:12" ht="11.25" customHeight="1">
      <c r="A1527" s="39">
        <v>960</v>
      </c>
      <c r="B1527" s="40" t="s">
        <v>13219</v>
      </c>
      <c r="C1527" s="40" t="s">
        <v>13220</v>
      </c>
      <c r="D1527" s="40" t="s">
        <v>2758</v>
      </c>
      <c r="E1527" s="41">
        <v>1900</v>
      </c>
      <c r="F1527" s="40" t="s">
        <v>2758</v>
      </c>
      <c r="G1527" s="41">
        <v>1900.7012</v>
      </c>
      <c r="H1527" s="40"/>
      <c r="I1527" s="41"/>
      <c r="J1527" s="41">
        <f t="shared" si="5"/>
        <v>1900.3506</v>
      </c>
      <c r="K1527" s="42" t="s">
        <v>5796</v>
      </c>
      <c r="L1527" s="39">
        <v>960</v>
      </c>
    </row>
    <row r="1528" spans="1:12" ht="11.25" customHeight="1">
      <c r="A1528" s="39">
        <v>2438</v>
      </c>
      <c r="B1528" s="40" t="s">
        <v>13221</v>
      </c>
      <c r="C1528" s="40" t="s">
        <v>13222</v>
      </c>
      <c r="D1528" s="40" t="s">
        <v>5247</v>
      </c>
      <c r="E1528" s="41">
        <v>89.83</v>
      </c>
      <c r="F1528" s="40" t="s">
        <v>5247</v>
      </c>
      <c r="G1528" s="41">
        <v>93.594800000000006</v>
      </c>
      <c r="H1528" s="40"/>
      <c r="I1528" s="41"/>
      <c r="J1528" s="41">
        <f t="shared" si="5"/>
        <v>91.712400000000002</v>
      </c>
      <c r="K1528" s="42" t="s">
        <v>5796</v>
      </c>
      <c r="L1528" s="39">
        <v>2438</v>
      </c>
    </row>
    <row r="1529" spans="1:12" ht="11.25" customHeight="1">
      <c r="A1529" s="39">
        <v>2520</v>
      </c>
      <c r="B1529" s="40" t="s">
        <v>13223</v>
      </c>
      <c r="C1529" s="40" t="s">
        <v>13224</v>
      </c>
      <c r="D1529" s="40" t="s">
        <v>5307</v>
      </c>
      <c r="E1529" s="41">
        <v>78.510000000000005</v>
      </c>
      <c r="F1529" s="40" t="s">
        <v>5307</v>
      </c>
      <c r="G1529" s="41">
        <v>78.479500000000002</v>
      </c>
      <c r="H1529" s="40"/>
      <c r="I1529" s="41"/>
      <c r="J1529" s="41">
        <f t="shared" si="5"/>
        <v>78.49475000000001</v>
      </c>
      <c r="K1529" s="42" t="s">
        <v>5796</v>
      </c>
      <c r="L1529" s="39">
        <v>2520</v>
      </c>
    </row>
    <row r="1530" spans="1:12" ht="11.25" customHeight="1">
      <c r="A1530" s="39">
        <v>2184</v>
      </c>
      <c r="B1530" s="40" t="s">
        <v>4997</v>
      </c>
      <c r="C1530" s="40" t="s">
        <v>13225</v>
      </c>
      <c r="D1530" s="40" t="s">
        <v>4999</v>
      </c>
      <c r="E1530" s="41">
        <v>136.66</v>
      </c>
      <c r="F1530" s="40" t="s">
        <v>4999</v>
      </c>
      <c r="G1530" s="41">
        <v>136.53219999999999</v>
      </c>
      <c r="H1530" s="40"/>
      <c r="I1530" s="41"/>
      <c r="J1530" s="41">
        <f t="shared" si="5"/>
        <v>136.59609999999998</v>
      </c>
      <c r="K1530" s="42" t="s">
        <v>5796</v>
      </c>
      <c r="L1530" s="39">
        <v>2184</v>
      </c>
    </row>
    <row r="1531" spans="1:12" ht="11.25" customHeight="1">
      <c r="A1531" s="39">
        <v>1855</v>
      </c>
      <c r="B1531" s="40" t="s">
        <v>6797</v>
      </c>
      <c r="C1531" s="40" t="s">
        <v>13226</v>
      </c>
      <c r="D1531" s="40" t="s">
        <v>13227</v>
      </c>
      <c r="E1531" s="41">
        <v>247.26</v>
      </c>
      <c r="F1531" s="40" t="s">
        <v>4546</v>
      </c>
      <c r="G1531" s="41">
        <v>245.56319999999999</v>
      </c>
      <c r="H1531" s="40"/>
      <c r="I1531" s="41"/>
      <c r="J1531" s="41">
        <f t="shared" si="5"/>
        <v>246.41159999999999</v>
      </c>
      <c r="K1531" s="42" t="s">
        <v>5796</v>
      </c>
      <c r="L1531" s="39">
        <v>1855</v>
      </c>
    </row>
    <row r="1532" spans="1:12" ht="11.25" customHeight="1">
      <c r="A1532" s="39">
        <v>1417</v>
      </c>
      <c r="B1532" s="40" t="s">
        <v>13228</v>
      </c>
      <c r="C1532" s="40" t="s">
        <v>13229</v>
      </c>
      <c r="D1532" s="40" t="s">
        <v>3808</v>
      </c>
      <c r="E1532" s="41">
        <v>623.85</v>
      </c>
      <c r="F1532" s="40" t="s">
        <v>3808</v>
      </c>
      <c r="G1532" s="41">
        <v>623.6934</v>
      </c>
      <c r="H1532" s="40"/>
      <c r="I1532" s="41"/>
      <c r="J1532" s="41">
        <f t="shared" si="5"/>
        <v>623.77170000000001</v>
      </c>
      <c r="K1532" s="42" t="s">
        <v>5796</v>
      </c>
      <c r="L1532" s="39">
        <v>1417</v>
      </c>
    </row>
    <row r="1533" spans="1:12" ht="11.25" customHeight="1">
      <c r="A1533" s="39">
        <v>1663</v>
      </c>
      <c r="B1533" s="40" t="s">
        <v>13230</v>
      </c>
      <c r="C1533" s="40" t="s">
        <v>13231</v>
      </c>
      <c r="D1533" s="40" t="s">
        <v>13232</v>
      </c>
      <c r="E1533" s="41">
        <v>356.21</v>
      </c>
      <c r="F1533" s="40" t="s">
        <v>4267</v>
      </c>
      <c r="G1533" s="41">
        <v>356.72179999999997</v>
      </c>
      <c r="H1533" s="40"/>
      <c r="I1533" s="41"/>
      <c r="J1533" s="41">
        <f t="shared" ref="J1533:J1787" si="6">AVERAGE(E1533,G1533,I1533)</f>
        <v>356.46589999999998</v>
      </c>
      <c r="K1533" s="42" t="s">
        <v>5796</v>
      </c>
      <c r="L1533" s="39">
        <v>1663</v>
      </c>
    </row>
    <row r="1534" spans="1:12" ht="11.25" customHeight="1">
      <c r="A1534" s="39">
        <v>1431</v>
      </c>
      <c r="B1534" s="40" t="s">
        <v>3830</v>
      </c>
      <c r="C1534" s="40" t="s">
        <v>13233</v>
      </c>
      <c r="D1534" s="40" t="s">
        <v>3832</v>
      </c>
      <c r="E1534" s="41">
        <v>596.23</v>
      </c>
      <c r="F1534" s="40" t="s">
        <v>3832</v>
      </c>
      <c r="G1534" s="41">
        <v>597.65729999999996</v>
      </c>
      <c r="H1534" s="40"/>
      <c r="I1534" s="41"/>
      <c r="J1534" s="41">
        <f t="shared" si="6"/>
        <v>596.94364999999993</v>
      </c>
      <c r="K1534" s="42" t="s">
        <v>5796</v>
      </c>
      <c r="L1534" s="39">
        <v>1431</v>
      </c>
    </row>
    <row r="1535" spans="1:12" ht="11.25" customHeight="1">
      <c r="A1535" s="39">
        <v>654</v>
      </c>
      <c r="B1535" s="40" t="s">
        <v>13234</v>
      </c>
      <c r="C1535" s="40" t="s">
        <v>13235</v>
      </c>
      <c r="D1535" s="40" t="s">
        <v>1916</v>
      </c>
      <c r="E1535" s="41">
        <v>4410.8100000000004</v>
      </c>
      <c r="F1535" s="40" t="s">
        <v>1916</v>
      </c>
      <c r="G1535" s="41">
        <v>4411.3854000000001</v>
      </c>
      <c r="H1535" s="40"/>
      <c r="I1535" s="41"/>
      <c r="J1535" s="41">
        <f t="shared" si="6"/>
        <v>4411.0977000000003</v>
      </c>
      <c r="K1535" s="42" t="s">
        <v>5796</v>
      </c>
      <c r="L1535" s="39">
        <v>654</v>
      </c>
    </row>
    <row r="1536" spans="1:12" ht="11.25" customHeight="1">
      <c r="A1536" s="39">
        <v>878</v>
      </c>
      <c r="B1536" s="40" t="s">
        <v>6799</v>
      </c>
      <c r="C1536" s="40" t="s">
        <v>13236</v>
      </c>
      <c r="D1536" s="40" t="s">
        <v>2548</v>
      </c>
      <c r="E1536" s="41">
        <v>2282.92</v>
      </c>
      <c r="F1536" s="40" t="s">
        <v>2548</v>
      </c>
      <c r="G1536" s="41">
        <v>2278.9731000000002</v>
      </c>
      <c r="H1536" s="40"/>
      <c r="I1536" s="41"/>
      <c r="J1536" s="41">
        <f t="shared" si="6"/>
        <v>2280.9465500000001</v>
      </c>
      <c r="K1536" s="42" t="s">
        <v>5796</v>
      </c>
      <c r="L1536" s="39">
        <v>878</v>
      </c>
    </row>
    <row r="1537" spans="1:12" ht="11.25" customHeight="1">
      <c r="A1537" s="39">
        <v>858</v>
      </c>
      <c r="B1537" s="40" t="s">
        <v>13237</v>
      </c>
      <c r="C1537" s="40" t="s">
        <v>13238</v>
      </c>
      <c r="D1537" s="40" t="s">
        <v>2488</v>
      </c>
      <c r="E1537" s="41">
        <v>2474.65</v>
      </c>
      <c r="F1537" s="40" t="s">
        <v>2488</v>
      </c>
      <c r="G1537" s="41">
        <v>2474.8227999999999</v>
      </c>
      <c r="H1537" s="40"/>
      <c r="I1537" s="41"/>
      <c r="J1537" s="41">
        <f t="shared" si="6"/>
        <v>2474.7363999999998</v>
      </c>
      <c r="K1537" s="42" t="s">
        <v>5796</v>
      </c>
      <c r="L1537" s="39">
        <v>858</v>
      </c>
    </row>
    <row r="1538" spans="1:12" ht="11.25" customHeight="1">
      <c r="A1538" s="39">
        <v>1004</v>
      </c>
      <c r="B1538" s="40" t="s">
        <v>13239</v>
      </c>
      <c r="C1538" s="40" t="s">
        <v>13240</v>
      </c>
      <c r="D1538" s="40"/>
      <c r="E1538" s="41"/>
      <c r="F1538" s="40" t="s">
        <v>2875</v>
      </c>
      <c r="G1538" s="41">
        <v>1705.2729999999999</v>
      </c>
      <c r="H1538" s="40"/>
      <c r="I1538" s="41"/>
      <c r="J1538" s="41">
        <f t="shared" si="6"/>
        <v>1705.2729999999999</v>
      </c>
      <c r="K1538" s="42" t="s">
        <v>5796</v>
      </c>
      <c r="L1538" s="39">
        <v>1004</v>
      </c>
    </row>
    <row r="1539" spans="1:12" ht="11.25" customHeight="1">
      <c r="A1539" s="39">
        <v>919</v>
      </c>
      <c r="B1539" s="40" t="s">
        <v>13241</v>
      </c>
      <c r="C1539" s="40" t="s">
        <v>13242</v>
      </c>
      <c r="D1539" s="40" t="s">
        <v>2656</v>
      </c>
      <c r="E1539" s="41">
        <v>2088.9</v>
      </c>
      <c r="F1539" s="40" t="s">
        <v>2656</v>
      </c>
      <c r="G1539" s="41">
        <v>2088.8676999999998</v>
      </c>
      <c r="H1539" s="40"/>
      <c r="I1539" s="41"/>
      <c r="J1539" s="41">
        <f t="shared" si="6"/>
        <v>2088.8838500000002</v>
      </c>
      <c r="K1539" s="42" t="s">
        <v>5796</v>
      </c>
      <c r="L1539" s="39">
        <v>919</v>
      </c>
    </row>
    <row r="1540" spans="1:12" ht="11.25" customHeight="1">
      <c r="A1540" s="39">
        <v>2417</v>
      </c>
      <c r="B1540" s="40" t="s">
        <v>13243</v>
      </c>
      <c r="C1540" s="40" t="s">
        <v>13244</v>
      </c>
      <c r="D1540" s="40" t="s">
        <v>5218</v>
      </c>
      <c r="E1540" s="41">
        <v>94.93</v>
      </c>
      <c r="F1540" s="40" t="s">
        <v>5218</v>
      </c>
      <c r="G1540" s="41">
        <v>94.845299999999995</v>
      </c>
      <c r="H1540" s="40"/>
      <c r="I1540" s="41"/>
      <c r="J1540" s="41">
        <f t="shared" si="6"/>
        <v>94.887650000000008</v>
      </c>
      <c r="K1540" s="42" t="s">
        <v>5796</v>
      </c>
      <c r="L1540" s="39">
        <v>2417</v>
      </c>
    </row>
    <row r="1541" spans="1:12" ht="11.25" customHeight="1">
      <c r="A1541" s="39">
        <v>3900</v>
      </c>
      <c r="B1541" s="40" t="s">
        <v>6804</v>
      </c>
      <c r="C1541" s="40" t="s">
        <v>13245</v>
      </c>
      <c r="D1541" s="40" t="s">
        <v>6805</v>
      </c>
      <c r="E1541" s="41">
        <v>9.98</v>
      </c>
      <c r="F1541" s="40" t="s">
        <v>6805</v>
      </c>
      <c r="G1541" s="41">
        <v>9.6134000000000004</v>
      </c>
      <c r="H1541" s="40"/>
      <c r="I1541" s="41"/>
      <c r="J1541" s="41">
        <f t="shared" si="6"/>
        <v>9.7967000000000013</v>
      </c>
      <c r="K1541" s="42" t="s">
        <v>5796</v>
      </c>
      <c r="L1541" s="39">
        <v>3900</v>
      </c>
    </row>
    <row r="1542" spans="1:12" ht="11.25" customHeight="1">
      <c r="A1542" s="39">
        <v>2646</v>
      </c>
      <c r="B1542" s="40" t="s">
        <v>13246</v>
      </c>
      <c r="C1542" s="40" t="s">
        <v>13247</v>
      </c>
      <c r="D1542" s="40" t="s">
        <v>5415</v>
      </c>
      <c r="E1542" s="41">
        <v>62.98</v>
      </c>
      <c r="F1542" s="40" t="s">
        <v>5415</v>
      </c>
      <c r="G1542" s="41">
        <v>63.128599999999999</v>
      </c>
      <c r="H1542" s="40"/>
      <c r="I1542" s="41"/>
      <c r="J1542" s="41">
        <f t="shared" si="6"/>
        <v>63.054299999999998</v>
      </c>
      <c r="K1542" s="42" t="s">
        <v>5796</v>
      </c>
      <c r="L1542" s="39">
        <v>2646</v>
      </c>
    </row>
    <row r="1543" spans="1:12" ht="11.25" customHeight="1">
      <c r="A1543" s="39">
        <v>370</v>
      </c>
      <c r="B1543" s="40" t="s">
        <v>13248</v>
      </c>
      <c r="C1543" s="40" t="s">
        <v>13249</v>
      </c>
      <c r="D1543" s="40" t="s">
        <v>1118</v>
      </c>
      <c r="E1543" s="41">
        <v>11825.76</v>
      </c>
      <c r="F1543" s="40" t="s">
        <v>1118</v>
      </c>
      <c r="G1543" s="41">
        <v>11648.4627</v>
      </c>
      <c r="H1543" s="40"/>
      <c r="I1543" s="41"/>
      <c r="J1543" s="41">
        <f t="shared" si="6"/>
        <v>11737.111349999999</v>
      </c>
      <c r="K1543" s="42" t="s">
        <v>5796</v>
      </c>
      <c r="L1543" s="39">
        <v>370</v>
      </c>
    </row>
    <row r="1544" spans="1:12" ht="11.25" customHeight="1">
      <c r="A1544" s="39">
        <v>1685</v>
      </c>
      <c r="B1544" s="40" t="s">
        <v>13250</v>
      </c>
      <c r="C1544" s="40" t="s">
        <v>13251</v>
      </c>
      <c r="D1544" s="40" t="s">
        <v>4309</v>
      </c>
      <c r="E1544" s="41">
        <v>336.77</v>
      </c>
      <c r="F1544" s="40" t="s">
        <v>4309</v>
      </c>
      <c r="G1544" s="41">
        <v>336.84440000000001</v>
      </c>
      <c r="H1544" s="40"/>
      <c r="I1544" s="41"/>
      <c r="J1544" s="41">
        <f t="shared" si="6"/>
        <v>336.80719999999997</v>
      </c>
      <c r="K1544" s="42" t="s">
        <v>5796</v>
      </c>
      <c r="L1544" s="39">
        <v>1685</v>
      </c>
    </row>
    <row r="1545" spans="1:12" ht="11.25" customHeight="1">
      <c r="A1545" s="39">
        <v>2960</v>
      </c>
      <c r="B1545" s="40" t="s">
        <v>13252</v>
      </c>
      <c r="C1545" s="40" t="s">
        <v>13253</v>
      </c>
      <c r="D1545" s="40" t="s">
        <v>5535</v>
      </c>
      <c r="E1545" s="41">
        <v>40.869999999999997</v>
      </c>
      <c r="F1545" s="40" t="s">
        <v>5535</v>
      </c>
      <c r="G1545" s="41">
        <v>40.120699999999999</v>
      </c>
      <c r="H1545" s="40"/>
      <c r="I1545" s="41"/>
      <c r="J1545" s="41">
        <f t="shared" si="6"/>
        <v>40.495350000000002</v>
      </c>
      <c r="K1545" s="42" t="s">
        <v>5796</v>
      </c>
      <c r="L1545" s="39">
        <v>2960</v>
      </c>
    </row>
    <row r="1546" spans="1:12" ht="11.25" customHeight="1">
      <c r="A1546" s="39">
        <v>2277</v>
      </c>
      <c r="B1546" s="40" t="s">
        <v>13254</v>
      </c>
      <c r="C1546" s="40" t="s">
        <v>13255</v>
      </c>
      <c r="D1546" s="40" t="s">
        <v>5101</v>
      </c>
      <c r="E1546" s="41">
        <v>116.54</v>
      </c>
      <c r="F1546" s="40" t="s">
        <v>5101</v>
      </c>
      <c r="G1546" s="41">
        <v>114.536</v>
      </c>
      <c r="H1546" s="40"/>
      <c r="I1546" s="41"/>
      <c r="J1546" s="41">
        <f t="shared" si="6"/>
        <v>115.53800000000001</v>
      </c>
      <c r="K1546" s="42" t="s">
        <v>5796</v>
      </c>
      <c r="L1546" s="39">
        <v>2277</v>
      </c>
    </row>
    <row r="1547" spans="1:12" ht="11.25" customHeight="1">
      <c r="A1547" s="39">
        <v>2319</v>
      </c>
      <c r="B1547" s="40" t="s">
        <v>13256</v>
      </c>
      <c r="C1547" s="40" t="s">
        <v>13257</v>
      </c>
      <c r="D1547" s="40" t="s">
        <v>5152</v>
      </c>
      <c r="E1547" s="41">
        <v>108.76</v>
      </c>
      <c r="F1547" s="40" t="s">
        <v>5152</v>
      </c>
      <c r="G1547" s="41">
        <v>108.91840000000001</v>
      </c>
      <c r="H1547" s="40"/>
      <c r="I1547" s="41"/>
      <c r="J1547" s="41">
        <f t="shared" si="6"/>
        <v>108.83920000000001</v>
      </c>
      <c r="K1547" s="42" t="s">
        <v>5796</v>
      </c>
      <c r="L1547" s="39">
        <v>2319</v>
      </c>
    </row>
    <row r="1548" spans="1:12" ht="11.25" customHeight="1">
      <c r="A1548" s="39">
        <v>1039</v>
      </c>
      <c r="B1548" s="40" t="s">
        <v>13258</v>
      </c>
      <c r="C1548" s="40" t="s">
        <v>13259</v>
      </c>
      <c r="D1548" s="40" t="s">
        <v>2968</v>
      </c>
      <c r="E1548" s="41">
        <v>1520.24</v>
      </c>
      <c r="F1548" s="40" t="s">
        <v>2968</v>
      </c>
      <c r="G1548" s="41">
        <v>1521.1712</v>
      </c>
      <c r="H1548" s="40"/>
      <c r="I1548" s="41"/>
      <c r="J1548" s="41">
        <f t="shared" si="6"/>
        <v>1520.7056</v>
      </c>
      <c r="K1548" s="42" t="s">
        <v>5796</v>
      </c>
      <c r="L1548" s="39">
        <v>1039</v>
      </c>
    </row>
    <row r="1549" spans="1:12" ht="11.25" customHeight="1">
      <c r="A1549" s="39">
        <v>1027</v>
      </c>
      <c r="B1549" s="40" t="s">
        <v>13260</v>
      </c>
      <c r="C1549" s="40" t="s">
        <v>13261</v>
      </c>
      <c r="D1549" s="40" t="s">
        <v>2935</v>
      </c>
      <c r="E1549" s="41">
        <v>1589.7</v>
      </c>
      <c r="F1549" s="40" t="s">
        <v>2935</v>
      </c>
      <c r="G1549" s="41">
        <v>1589.7003999999999</v>
      </c>
      <c r="H1549" s="40"/>
      <c r="I1549" s="41"/>
      <c r="J1549" s="41">
        <f t="shared" si="6"/>
        <v>1589.7002</v>
      </c>
      <c r="K1549" s="42" t="s">
        <v>5796</v>
      </c>
      <c r="L1549" s="39">
        <v>1027</v>
      </c>
    </row>
    <row r="1550" spans="1:12" ht="11.25" customHeight="1">
      <c r="A1550" s="39">
        <v>826</v>
      </c>
      <c r="B1550" s="40" t="s">
        <v>13262</v>
      </c>
      <c r="C1550" s="40" t="s">
        <v>13263</v>
      </c>
      <c r="D1550" s="40" t="s">
        <v>2401</v>
      </c>
      <c r="E1550" s="41">
        <v>2676.06</v>
      </c>
      <c r="F1550" s="40" t="s">
        <v>2401</v>
      </c>
      <c r="G1550" s="41">
        <v>2676.3732</v>
      </c>
      <c r="H1550" s="40"/>
      <c r="I1550" s="41"/>
      <c r="J1550" s="41">
        <f t="shared" si="6"/>
        <v>2676.2165999999997</v>
      </c>
      <c r="K1550" s="42" t="s">
        <v>5796</v>
      </c>
      <c r="L1550" s="39">
        <v>826</v>
      </c>
    </row>
    <row r="1551" spans="1:12" ht="11.25" customHeight="1">
      <c r="A1551" s="39">
        <v>1145</v>
      </c>
      <c r="B1551" s="40" t="s">
        <v>13264</v>
      </c>
      <c r="C1551" s="40" t="s">
        <v>13265</v>
      </c>
      <c r="D1551" s="40" t="s">
        <v>3220</v>
      </c>
      <c r="E1551" s="41">
        <v>1207.71</v>
      </c>
      <c r="F1551" s="40" t="s">
        <v>3220</v>
      </c>
      <c r="G1551" s="41">
        <v>1207.6708000000001</v>
      </c>
      <c r="H1551" s="40"/>
      <c r="I1551" s="41"/>
      <c r="J1551" s="41">
        <f t="shared" si="6"/>
        <v>1207.6904</v>
      </c>
      <c r="K1551" s="42" t="s">
        <v>5796</v>
      </c>
      <c r="L1551" s="39">
        <v>1145</v>
      </c>
    </row>
    <row r="1552" spans="1:12" ht="11.25" customHeight="1">
      <c r="A1552" s="39">
        <v>1001</v>
      </c>
      <c r="B1552" s="40" t="s">
        <v>13266</v>
      </c>
      <c r="C1552" s="40" t="s">
        <v>13267</v>
      </c>
      <c r="D1552" s="40" t="s">
        <v>2866</v>
      </c>
      <c r="E1552" s="41">
        <v>1713.56</v>
      </c>
      <c r="F1552" s="40" t="s">
        <v>2866</v>
      </c>
      <c r="G1552" s="41">
        <v>1713.74</v>
      </c>
      <c r="H1552" s="40"/>
      <c r="I1552" s="41"/>
      <c r="J1552" s="41">
        <f t="shared" si="6"/>
        <v>1713.65</v>
      </c>
      <c r="K1552" s="42" t="s">
        <v>5796</v>
      </c>
      <c r="L1552" s="39">
        <v>1001</v>
      </c>
    </row>
    <row r="1553" spans="1:12" ht="11.25" customHeight="1">
      <c r="A1553" s="39">
        <v>3450</v>
      </c>
      <c r="B1553" s="40" t="s">
        <v>13268</v>
      </c>
      <c r="C1553" s="40" t="s">
        <v>13269</v>
      </c>
      <c r="D1553" s="40"/>
      <c r="E1553" s="41"/>
      <c r="F1553" s="40" t="s">
        <v>5688</v>
      </c>
      <c r="G1553" s="41">
        <v>19.319500000000001</v>
      </c>
      <c r="H1553" s="40"/>
      <c r="I1553" s="41"/>
      <c r="J1553" s="41">
        <f t="shared" si="6"/>
        <v>19.319500000000001</v>
      </c>
      <c r="K1553" s="42" t="s">
        <v>5796</v>
      </c>
      <c r="L1553" s="39">
        <v>3450</v>
      </c>
    </row>
    <row r="1554" spans="1:12" ht="11.25" customHeight="1">
      <c r="A1554" s="39">
        <v>719</v>
      </c>
      <c r="B1554" s="40" t="s">
        <v>13270</v>
      </c>
      <c r="C1554" s="40" t="s">
        <v>13271</v>
      </c>
      <c r="D1554" s="40" t="s">
        <v>2104</v>
      </c>
      <c r="E1554" s="41">
        <v>3630.54</v>
      </c>
      <c r="F1554" s="40" t="s">
        <v>2104</v>
      </c>
      <c r="G1554" s="41">
        <v>3631.1747999999998</v>
      </c>
      <c r="H1554" s="40"/>
      <c r="I1554" s="41"/>
      <c r="J1554" s="41">
        <f t="shared" si="6"/>
        <v>3630.8573999999999</v>
      </c>
      <c r="K1554" s="42" t="s">
        <v>5796</v>
      </c>
      <c r="L1554" s="39">
        <v>719</v>
      </c>
    </row>
    <row r="1555" spans="1:12" ht="11.25" customHeight="1">
      <c r="A1555" s="39">
        <v>685</v>
      </c>
      <c r="B1555" s="40" t="s">
        <v>13272</v>
      </c>
      <c r="C1555" s="40" t="s">
        <v>13273</v>
      </c>
      <c r="D1555" s="40" t="s">
        <v>2009</v>
      </c>
      <c r="E1555" s="41">
        <v>4000.68</v>
      </c>
      <c r="F1555" s="40" t="s">
        <v>2009</v>
      </c>
      <c r="G1555" s="41">
        <v>4000.6896000000002</v>
      </c>
      <c r="H1555" s="40"/>
      <c r="I1555" s="41"/>
      <c r="J1555" s="41">
        <f t="shared" si="6"/>
        <v>4000.6848</v>
      </c>
      <c r="K1555" s="42" t="s">
        <v>5796</v>
      </c>
      <c r="L1555" s="39">
        <v>685</v>
      </c>
    </row>
    <row r="1556" spans="1:12" ht="11.25" customHeight="1">
      <c r="A1556" s="39">
        <v>788</v>
      </c>
      <c r="B1556" s="40" t="s">
        <v>13274</v>
      </c>
      <c r="C1556" s="40" t="s">
        <v>13275</v>
      </c>
      <c r="D1556" s="40" t="s">
        <v>13276</v>
      </c>
      <c r="E1556" s="41">
        <v>3000.16</v>
      </c>
      <c r="F1556" s="40" t="s">
        <v>2293</v>
      </c>
      <c r="G1556" s="41">
        <v>3000.6192000000001</v>
      </c>
      <c r="H1556" s="40"/>
      <c r="I1556" s="41"/>
      <c r="J1556" s="41">
        <f t="shared" si="6"/>
        <v>3000.3896</v>
      </c>
      <c r="K1556" s="42" t="s">
        <v>5796</v>
      </c>
      <c r="L1556" s="39">
        <v>788</v>
      </c>
    </row>
    <row r="1557" spans="1:12" ht="11.25" customHeight="1">
      <c r="A1557" s="39">
        <v>630</v>
      </c>
      <c r="B1557" s="40" t="s">
        <v>13277</v>
      </c>
      <c r="C1557" s="40" t="s">
        <v>13278</v>
      </c>
      <c r="D1557" s="40" t="s">
        <v>1862</v>
      </c>
      <c r="E1557" s="41">
        <v>4744.29</v>
      </c>
      <c r="F1557" s="40" t="s">
        <v>1862</v>
      </c>
      <c r="G1557" s="41">
        <v>4744.7304000000004</v>
      </c>
      <c r="H1557" s="40"/>
      <c r="I1557" s="41"/>
      <c r="J1557" s="41">
        <f t="shared" si="6"/>
        <v>4744.5102000000006</v>
      </c>
      <c r="K1557" s="42" t="s">
        <v>5796</v>
      </c>
      <c r="L1557" s="39">
        <v>630</v>
      </c>
    </row>
    <row r="1558" spans="1:12" ht="11.25" customHeight="1">
      <c r="A1558" s="39">
        <v>1614</v>
      </c>
      <c r="B1558" s="40" t="s">
        <v>6814</v>
      </c>
      <c r="C1558" s="40" t="s">
        <v>13279</v>
      </c>
      <c r="D1558" s="40" t="s">
        <v>4180</v>
      </c>
      <c r="E1558" s="41">
        <v>398.9</v>
      </c>
      <c r="F1558" s="40" t="s">
        <v>4180</v>
      </c>
      <c r="G1558" s="41">
        <v>398.88709999999998</v>
      </c>
      <c r="H1558" s="40"/>
      <c r="I1558" s="41"/>
      <c r="J1558" s="41">
        <f t="shared" si="6"/>
        <v>398.89355</v>
      </c>
      <c r="K1558" s="42" t="s">
        <v>5796</v>
      </c>
      <c r="L1558" s="39">
        <v>1614</v>
      </c>
    </row>
    <row r="1559" spans="1:12" ht="11.25" customHeight="1">
      <c r="A1559" s="39">
        <v>782</v>
      </c>
      <c r="B1559" s="40" t="s">
        <v>13280</v>
      </c>
      <c r="C1559" s="40" t="s">
        <v>13281</v>
      </c>
      <c r="D1559" s="40" t="s">
        <v>2278</v>
      </c>
      <c r="E1559" s="41">
        <v>3042.21</v>
      </c>
      <c r="F1559" s="40" t="s">
        <v>2278</v>
      </c>
      <c r="G1559" s="41">
        <v>3042.2840000000001</v>
      </c>
      <c r="H1559" s="40"/>
      <c r="I1559" s="41"/>
      <c r="J1559" s="41">
        <f t="shared" si="6"/>
        <v>3042.2470000000003</v>
      </c>
      <c r="K1559" s="42" t="s">
        <v>5796</v>
      </c>
      <c r="L1559" s="39">
        <v>782</v>
      </c>
    </row>
    <row r="1560" spans="1:12" ht="11.25" customHeight="1">
      <c r="A1560" s="39">
        <v>1183</v>
      </c>
      <c r="B1560" s="40" t="s">
        <v>13282</v>
      </c>
      <c r="C1560" s="40" t="s">
        <v>13283</v>
      </c>
      <c r="D1560" s="40" t="s">
        <v>3307</v>
      </c>
      <c r="E1560" s="41">
        <v>1085.2</v>
      </c>
      <c r="F1560" s="40" t="s">
        <v>3307</v>
      </c>
      <c r="G1560" s="41">
        <v>1075.2084</v>
      </c>
      <c r="H1560" s="40"/>
      <c r="I1560" s="41"/>
      <c r="J1560" s="41">
        <f t="shared" si="6"/>
        <v>1080.2042000000001</v>
      </c>
      <c r="K1560" s="42" t="s">
        <v>5796</v>
      </c>
      <c r="L1560" s="39">
        <v>1183</v>
      </c>
    </row>
    <row r="1561" spans="1:12" ht="11.25" customHeight="1">
      <c r="A1561" s="39">
        <v>1625</v>
      </c>
      <c r="B1561" s="40" t="s">
        <v>6817</v>
      </c>
      <c r="C1561" s="40" t="s">
        <v>13284</v>
      </c>
      <c r="D1561" s="40" t="s">
        <v>4201</v>
      </c>
      <c r="E1561" s="41">
        <v>387.08</v>
      </c>
      <c r="F1561" s="40" t="s">
        <v>4201</v>
      </c>
      <c r="G1561" s="41">
        <v>386.60169999999999</v>
      </c>
      <c r="H1561" s="40"/>
      <c r="I1561" s="41"/>
      <c r="J1561" s="41">
        <f t="shared" si="6"/>
        <v>386.84084999999999</v>
      </c>
      <c r="K1561" s="42" t="s">
        <v>5796</v>
      </c>
      <c r="L1561" s="39">
        <v>1625</v>
      </c>
    </row>
    <row r="1562" spans="1:12" ht="11.25" customHeight="1">
      <c r="A1562" s="39">
        <v>2614</v>
      </c>
      <c r="B1562" s="40" t="s">
        <v>13285</v>
      </c>
      <c r="C1562" s="40" t="s">
        <v>13286</v>
      </c>
      <c r="D1562" s="40" t="s">
        <v>5388</v>
      </c>
      <c r="E1562" s="41">
        <v>67.16</v>
      </c>
      <c r="F1562" s="40" t="s">
        <v>5388</v>
      </c>
      <c r="G1562" s="41">
        <v>67.155600000000007</v>
      </c>
      <c r="H1562" s="40"/>
      <c r="I1562" s="41"/>
      <c r="J1562" s="41">
        <f t="shared" si="6"/>
        <v>67.157800000000009</v>
      </c>
      <c r="K1562" s="42" t="s">
        <v>5796</v>
      </c>
      <c r="L1562" s="39">
        <v>2614</v>
      </c>
    </row>
    <row r="1563" spans="1:12" ht="11.25" customHeight="1">
      <c r="A1563" s="39">
        <v>2031</v>
      </c>
      <c r="B1563" s="40" t="s">
        <v>13287</v>
      </c>
      <c r="C1563" s="40" t="s">
        <v>13288</v>
      </c>
      <c r="D1563" s="40" t="s">
        <v>13289</v>
      </c>
      <c r="E1563" s="41">
        <v>180.46</v>
      </c>
      <c r="F1563" s="40" t="s">
        <v>4786</v>
      </c>
      <c r="G1563" s="41">
        <v>180.2868</v>
      </c>
      <c r="H1563" s="40"/>
      <c r="I1563" s="41"/>
      <c r="J1563" s="41">
        <f t="shared" si="6"/>
        <v>180.3734</v>
      </c>
      <c r="K1563" s="42" t="s">
        <v>5796</v>
      </c>
      <c r="L1563" s="39">
        <v>2031</v>
      </c>
    </row>
    <row r="1564" spans="1:12" ht="11.25" customHeight="1">
      <c r="A1564" s="39">
        <v>938</v>
      </c>
      <c r="B1564" s="40" t="s">
        <v>13290</v>
      </c>
      <c r="C1564" s="40" t="s">
        <v>13291</v>
      </c>
      <c r="D1564" s="40" t="s">
        <v>2707</v>
      </c>
      <c r="E1564" s="41">
        <v>2013.88</v>
      </c>
      <c r="F1564" s="40" t="s">
        <v>2707</v>
      </c>
      <c r="G1564" s="41">
        <v>2013.8607999999999</v>
      </c>
      <c r="H1564" s="40"/>
      <c r="I1564" s="41"/>
      <c r="J1564" s="41">
        <f t="shared" si="6"/>
        <v>2013.8704</v>
      </c>
      <c r="K1564" s="42" t="s">
        <v>5796</v>
      </c>
      <c r="L1564" s="39">
        <v>938</v>
      </c>
    </row>
    <row r="1565" spans="1:12" ht="11.25" customHeight="1">
      <c r="A1565" s="39">
        <v>475</v>
      </c>
      <c r="B1565" s="40" t="s">
        <v>13292</v>
      </c>
      <c r="C1565" s="40" t="s">
        <v>13293</v>
      </c>
      <c r="D1565" s="40" t="s">
        <v>1415</v>
      </c>
      <c r="E1565" s="41">
        <v>7891.54</v>
      </c>
      <c r="F1565" s="40" t="s">
        <v>1415</v>
      </c>
      <c r="G1565" s="41">
        <v>7892.4359999999997</v>
      </c>
      <c r="H1565" s="40"/>
      <c r="I1565" s="41"/>
      <c r="J1565" s="41">
        <f t="shared" si="6"/>
        <v>7891.9879999999994</v>
      </c>
      <c r="K1565" s="42" t="s">
        <v>5796</v>
      </c>
      <c r="L1565" s="39">
        <v>475</v>
      </c>
    </row>
    <row r="1566" spans="1:12" ht="11.25" customHeight="1">
      <c r="A1566" s="39">
        <v>2362</v>
      </c>
      <c r="B1566" s="40" t="s">
        <v>13294</v>
      </c>
      <c r="C1566" s="40" t="s">
        <v>13295</v>
      </c>
      <c r="D1566" s="40"/>
      <c r="E1566" s="41"/>
      <c r="F1566" s="40" t="s">
        <v>5185</v>
      </c>
      <c r="G1566" s="41">
        <v>102.4815</v>
      </c>
      <c r="H1566" s="40"/>
      <c r="I1566" s="41"/>
      <c r="J1566" s="41">
        <f t="shared" si="6"/>
        <v>102.4815</v>
      </c>
      <c r="K1566" s="42" t="s">
        <v>5796</v>
      </c>
      <c r="L1566" s="39">
        <v>2362</v>
      </c>
    </row>
    <row r="1567" spans="1:12" ht="11.25" customHeight="1">
      <c r="A1567" s="39">
        <v>1110</v>
      </c>
      <c r="B1567" s="40" t="s">
        <v>13296</v>
      </c>
      <c r="C1567" s="40" t="s">
        <v>13297</v>
      </c>
      <c r="D1567" s="40" t="s">
        <v>3139</v>
      </c>
      <c r="E1567" s="41">
        <v>1302.1400000000001</v>
      </c>
      <c r="F1567" s="40" t="s">
        <v>3139</v>
      </c>
      <c r="G1567" s="41">
        <v>1301.5679</v>
      </c>
      <c r="H1567" s="40"/>
      <c r="I1567" s="41"/>
      <c r="J1567" s="41">
        <f t="shared" si="6"/>
        <v>1301.8539500000002</v>
      </c>
      <c r="K1567" s="42" t="s">
        <v>5796</v>
      </c>
      <c r="L1567" s="39">
        <v>1110</v>
      </c>
    </row>
    <row r="1568" spans="1:12" ht="11.25" customHeight="1">
      <c r="A1568" s="47">
        <v>65</v>
      </c>
      <c r="B1568" s="48" t="s">
        <v>13298</v>
      </c>
      <c r="C1568" s="48" t="s">
        <v>13299</v>
      </c>
      <c r="D1568" s="48" t="s">
        <v>206</v>
      </c>
      <c r="E1568" s="49">
        <v>92615.52</v>
      </c>
      <c r="F1568" s="48" t="s">
        <v>206</v>
      </c>
      <c r="G1568" s="49">
        <v>92643.976500000004</v>
      </c>
      <c r="H1568" s="48"/>
      <c r="I1568" s="49"/>
      <c r="J1568" s="49">
        <f t="shared" si="6"/>
        <v>92629.748250000004</v>
      </c>
      <c r="K1568" s="50" t="s">
        <v>5815</v>
      </c>
      <c r="L1568" s="47">
        <v>65</v>
      </c>
    </row>
    <row r="1569" spans="1:12" ht="11.25" customHeight="1">
      <c r="A1569" s="39">
        <v>1410</v>
      </c>
      <c r="B1569" s="40" t="s">
        <v>13300</v>
      </c>
      <c r="C1569" s="40" t="s">
        <v>13301</v>
      </c>
      <c r="D1569" s="40" t="s">
        <v>3796</v>
      </c>
      <c r="E1569" s="41">
        <v>634.20000000000005</v>
      </c>
      <c r="F1569" s="40" t="s">
        <v>3796</v>
      </c>
      <c r="G1569" s="41">
        <v>634.24040000000002</v>
      </c>
      <c r="H1569" s="40"/>
      <c r="I1569" s="41"/>
      <c r="J1569" s="41">
        <f t="shared" si="6"/>
        <v>634.22019999999998</v>
      </c>
      <c r="K1569" s="42" t="s">
        <v>5796</v>
      </c>
      <c r="L1569" s="39">
        <v>1410</v>
      </c>
    </row>
    <row r="1570" spans="1:12" ht="11.25" customHeight="1">
      <c r="A1570" s="39">
        <v>1723</v>
      </c>
      <c r="B1570" s="40" t="s">
        <v>13302</v>
      </c>
      <c r="C1570" s="40" t="s">
        <v>13303</v>
      </c>
      <c r="D1570" s="40" t="s">
        <v>4366</v>
      </c>
      <c r="E1570" s="41">
        <v>319.66000000000003</v>
      </c>
      <c r="F1570" s="40" t="s">
        <v>4366</v>
      </c>
      <c r="G1570" s="41">
        <v>316.67489999999998</v>
      </c>
      <c r="H1570" s="40"/>
      <c r="I1570" s="41"/>
      <c r="J1570" s="41">
        <f t="shared" si="6"/>
        <v>318.16745000000003</v>
      </c>
      <c r="K1570" s="42" t="s">
        <v>5796</v>
      </c>
      <c r="L1570" s="39">
        <v>1723</v>
      </c>
    </row>
    <row r="1571" spans="1:12" ht="11.25" customHeight="1">
      <c r="A1571" s="39">
        <v>2644</v>
      </c>
      <c r="B1571" s="40" t="s">
        <v>13304</v>
      </c>
      <c r="C1571" s="40" t="s">
        <v>13305</v>
      </c>
      <c r="D1571" s="40"/>
      <c r="E1571" s="41"/>
      <c r="F1571" s="40" t="s">
        <v>5412</v>
      </c>
      <c r="G1571" s="41">
        <v>63.1248</v>
      </c>
      <c r="H1571" s="40"/>
      <c r="I1571" s="41"/>
      <c r="J1571" s="41">
        <f t="shared" si="6"/>
        <v>63.1248</v>
      </c>
      <c r="K1571" s="42" t="s">
        <v>5796</v>
      </c>
      <c r="L1571" s="39">
        <v>2644</v>
      </c>
    </row>
    <row r="1572" spans="1:12" ht="11.25" customHeight="1">
      <c r="A1572" s="39">
        <v>1684</v>
      </c>
      <c r="B1572" s="40" t="s">
        <v>13306</v>
      </c>
      <c r="C1572" s="40" t="s">
        <v>13307</v>
      </c>
      <c r="D1572" s="40" t="s">
        <v>4306</v>
      </c>
      <c r="E1572" s="41">
        <v>337.14</v>
      </c>
      <c r="F1572" s="40" t="s">
        <v>4306</v>
      </c>
      <c r="G1572" s="41">
        <v>336.77030000000002</v>
      </c>
      <c r="H1572" s="40"/>
      <c r="I1572" s="41"/>
      <c r="J1572" s="41">
        <f t="shared" si="6"/>
        <v>336.95515</v>
      </c>
      <c r="K1572" s="42" t="s">
        <v>5796</v>
      </c>
      <c r="L1572" s="39">
        <v>1684</v>
      </c>
    </row>
    <row r="1573" spans="1:12" ht="11.25" customHeight="1">
      <c r="A1573" s="39">
        <v>1346</v>
      </c>
      <c r="B1573" s="40" t="s">
        <v>13308</v>
      </c>
      <c r="C1573" s="40" t="s">
        <v>13309</v>
      </c>
      <c r="D1573" s="40" t="s">
        <v>3661</v>
      </c>
      <c r="E1573" s="41">
        <v>733.32</v>
      </c>
      <c r="F1573" s="40" t="s">
        <v>3661</v>
      </c>
      <c r="G1573" s="41">
        <v>733.31169999999997</v>
      </c>
      <c r="H1573" s="40"/>
      <c r="I1573" s="41"/>
      <c r="J1573" s="41">
        <f t="shared" si="6"/>
        <v>733.31584999999995</v>
      </c>
      <c r="K1573" s="42" t="s">
        <v>5796</v>
      </c>
      <c r="L1573" s="39">
        <v>1346</v>
      </c>
    </row>
    <row r="1574" spans="1:12" ht="11.25" customHeight="1">
      <c r="A1574" s="39">
        <v>616</v>
      </c>
      <c r="B1574" s="40" t="s">
        <v>13310</v>
      </c>
      <c r="C1574" s="40" t="s">
        <v>13311</v>
      </c>
      <c r="D1574" s="40"/>
      <c r="E1574" s="41"/>
      <c r="F1574" s="40" t="s">
        <v>1820</v>
      </c>
      <c r="G1574" s="41">
        <v>4944.9480000000003</v>
      </c>
      <c r="H1574" s="40"/>
      <c r="I1574" s="41"/>
      <c r="J1574" s="41">
        <f t="shared" si="6"/>
        <v>4944.9480000000003</v>
      </c>
      <c r="K1574" s="42" t="s">
        <v>5796</v>
      </c>
      <c r="L1574" s="39">
        <v>616</v>
      </c>
    </row>
    <row r="1575" spans="1:12" ht="11.25" customHeight="1">
      <c r="A1575" s="47">
        <v>90</v>
      </c>
      <c r="B1575" s="48" t="s">
        <v>13312</v>
      </c>
      <c r="C1575" s="48" t="s">
        <v>13313</v>
      </c>
      <c r="D1575" s="48" t="s">
        <v>284</v>
      </c>
      <c r="E1575" s="49">
        <v>71511.679999999993</v>
      </c>
      <c r="F1575" s="48" t="s">
        <v>284</v>
      </c>
      <c r="G1575" s="49">
        <v>71492.104399999997</v>
      </c>
      <c r="H1575" s="48"/>
      <c r="I1575" s="49"/>
      <c r="J1575" s="49">
        <f t="shared" si="6"/>
        <v>71501.892200000002</v>
      </c>
      <c r="K1575" s="50" t="s">
        <v>5815</v>
      </c>
      <c r="L1575" s="47">
        <v>90</v>
      </c>
    </row>
    <row r="1576" spans="1:12" ht="11.25" customHeight="1">
      <c r="A1576" s="39">
        <v>1033</v>
      </c>
      <c r="B1576" s="40" t="s">
        <v>13314</v>
      </c>
      <c r="C1576" s="40" t="s">
        <v>13315</v>
      </c>
      <c r="D1576" s="40" t="s">
        <v>2953</v>
      </c>
      <c r="E1576" s="41">
        <v>1548.92</v>
      </c>
      <c r="F1576" s="40" t="s">
        <v>2953</v>
      </c>
      <c r="G1576" s="41">
        <v>1548.7792999999999</v>
      </c>
      <c r="H1576" s="40"/>
      <c r="I1576" s="41"/>
      <c r="J1576" s="41">
        <f t="shared" si="6"/>
        <v>1548.8496500000001</v>
      </c>
      <c r="K1576" s="42" t="s">
        <v>5796</v>
      </c>
      <c r="L1576" s="39">
        <v>1033</v>
      </c>
    </row>
    <row r="1577" spans="1:12" ht="11.25" customHeight="1">
      <c r="A1577" s="39">
        <v>1570</v>
      </c>
      <c r="B1577" s="40" t="s">
        <v>13316</v>
      </c>
      <c r="C1577" s="40" t="s">
        <v>13317</v>
      </c>
      <c r="D1577" s="40" t="s">
        <v>13318</v>
      </c>
      <c r="E1577" s="41">
        <v>448.02</v>
      </c>
      <c r="F1577" s="40" t="s">
        <v>4099</v>
      </c>
      <c r="G1577" s="41">
        <v>427.63119999999998</v>
      </c>
      <c r="H1577" s="40"/>
      <c r="I1577" s="41"/>
      <c r="J1577" s="41">
        <f t="shared" si="6"/>
        <v>437.82560000000001</v>
      </c>
      <c r="K1577" s="42" t="s">
        <v>5796</v>
      </c>
      <c r="L1577" s="39">
        <v>1570</v>
      </c>
    </row>
    <row r="1578" spans="1:12" ht="11.25" customHeight="1">
      <c r="A1578" s="39">
        <v>374</v>
      </c>
      <c r="B1578" s="40" t="s">
        <v>13319</v>
      </c>
      <c r="C1578" s="40" t="s">
        <v>13320</v>
      </c>
      <c r="D1578" s="40" t="s">
        <v>1130</v>
      </c>
      <c r="E1578" s="41">
        <v>11529.68</v>
      </c>
      <c r="F1578" s="40" t="s">
        <v>1130</v>
      </c>
      <c r="G1578" s="41">
        <v>11532.290499999999</v>
      </c>
      <c r="H1578" s="40"/>
      <c r="I1578" s="41"/>
      <c r="J1578" s="41">
        <f t="shared" si="6"/>
        <v>11530.98525</v>
      </c>
      <c r="K1578" s="42" t="s">
        <v>5796</v>
      </c>
      <c r="L1578" s="39">
        <v>374</v>
      </c>
    </row>
    <row r="1579" spans="1:12" ht="11.25" customHeight="1">
      <c r="A1579" s="39">
        <v>4008</v>
      </c>
      <c r="B1579" s="40" t="s">
        <v>13321</v>
      </c>
      <c r="C1579" s="40" t="s">
        <v>13322</v>
      </c>
      <c r="D1579" s="40" t="s">
        <v>5754</v>
      </c>
      <c r="E1579" s="41">
        <v>8.36</v>
      </c>
      <c r="F1579" s="40" t="s">
        <v>5754</v>
      </c>
      <c r="G1579" s="41">
        <v>8.4733999999999998</v>
      </c>
      <c r="H1579" s="40"/>
      <c r="I1579" s="41"/>
      <c r="J1579" s="41">
        <f t="shared" si="6"/>
        <v>8.4166999999999987</v>
      </c>
      <c r="K1579" s="42" t="s">
        <v>5796</v>
      </c>
      <c r="L1579" s="39">
        <v>4008</v>
      </c>
    </row>
    <row r="1580" spans="1:12" ht="11.25" customHeight="1">
      <c r="A1580" s="39">
        <v>2122</v>
      </c>
      <c r="B1580" s="40" t="s">
        <v>13323</v>
      </c>
      <c r="C1580" s="40" t="s">
        <v>13324</v>
      </c>
      <c r="D1580" s="40" t="s">
        <v>4915</v>
      </c>
      <c r="E1580" s="41">
        <v>202.7</v>
      </c>
      <c r="F1580" s="40" t="s">
        <v>4915</v>
      </c>
      <c r="G1580" s="41">
        <v>104.6157</v>
      </c>
      <c r="H1580" s="40"/>
      <c r="I1580" s="41"/>
      <c r="J1580" s="41">
        <f t="shared" si="6"/>
        <v>153.65785</v>
      </c>
      <c r="K1580" s="42" t="s">
        <v>5796</v>
      </c>
      <c r="L1580" s="39">
        <v>2122</v>
      </c>
    </row>
    <row r="1581" spans="1:12" ht="11.25" customHeight="1">
      <c r="A1581" s="47">
        <v>46</v>
      </c>
      <c r="B1581" s="48" t="s">
        <v>13325</v>
      </c>
      <c r="C1581" s="48" t="s">
        <v>13326</v>
      </c>
      <c r="D1581" s="48" t="s">
        <v>149</v>
      </c>
      <c r="E1581" s="49">
        <v>131712.25</v>
      </c>
      <c r="F1581" s="48" t="s">
        <v>149</v>
      </c>
      <c r="G1581" s="49">
        <v>131740.05420000001</v>
      </c>
      <c r="H1581" s="48"/>
      <c r="I1581" s="49"/>
      <c r="J1581" s="49">
        <f t="shared" si="6"/>
        <v>131726.15210000001</v>
      </c>
      <c r="K1581" s="50" t="s">
        <v>5815</v>
      </c>
      <c r="L1581" s="47">
        <v>46</v>
      </c>
    </row>
    <row r="1582" spans="1:12" ht="11.25" customHeight="1">
      <c r="A1582" s="39">
        <v>1131</v>
      </c>
      <c r="B1582" s="40" t="s">
        <v>13327</v>
      </c>
      <c r="C1582" s="40" t="s">
        <v>13328</v>
      </c>
      <c r="D1582" s="40" t="s">
        <v>3187</v>
      </c>
      <c r="E1582" s="41">
        <v>1247.3699999999999</v>
      </c>
      <c r="F1582" s="40" t="s">
        <v>3187</v>
      </c>
      <c r="G1582" s="41">
        <v>1247.3397</v>
      </c>
      <c r="H1582" s="40"/>
      <c r="I1582" s="41"/>
      <c r="J1582" s="41">
        <f t="shared" si="6"/>
        <v>1247.3548499999999</v>
      </c>
      <c r="K1582" s="42" t="s">
        <v>5796</v>
      </c>
      <c r="L1582" s="39">
        <v>1131</v>
      </c>
    </row>
    <row r="1583" spans="1:12" ht="11.25" customHeight="1">
      <c r="A1583" s="39">
        <v>2088</v>
      </c>
      <c r="B1583" s="40" t="s">
        <v>13329</v>
      </c>
      <c r="C1583" s="40" t="s">
        <v>13330</v>
      </c>
      <c r="D1583" s="40" t="s">
        <v>13331</v>
      </c>
      <c r="E1583" s="41">
        <v>165.06</v>
      </c>
      <c r="F1583" s="40" t="s">
        <v>4861</v>
      </c>
      <c r="G1583" s="41">
        <v>164.8947</v>
      </c>
      <c r="H1583" s="40"/>
      <c r="I1583" s="41"/>
      <c r="J1583" s="41">
        <f t="shared" si="6"/>
        <v>164.97735</v>
      </c>
      <c r="K1583" s="42" t="s">
        <v>5796</v>
      </c>
      <c r="L1583" s="39">
        <v>2088</v>
      </c>
    </row>
    <row r="1584" spans="1:12" ht="11.25" customHeight="1">
      <c r="A1584" s="39">
        <v>1548</v>
      </c>
      <c r="B1584" s="40" t="s">
        <v>6830</v>
      </c>
      <c r="C1584" s="40" t="s">
        <v>13332</v>
      </c>
      <c r="D1584" s="40" t="s">
        <v>4057</v>
      </c>
      <c r="E1584" s="41">
        <v>456.59</v>
      </c>
      <c r="F1584" s="40" t="s">
        <v>4057</v>
      </c>
      <c r="G1584" s="41">
        <v>456.51780000000002</v>
      </c>
      <c r="H1584" s="40"/>
      <c r="I1584" s="41"/>
      <c r="J1584" s="41">
        <f t="shared" si="6"/>
        <v>456.5539</v>
      </c>
      <c r="K1584" s="42" t="s">
        <v>5796</v>
      </c>
      <c r="L1584" s="39">
        <v>1548</v>
      </c>
    </row>
    <row r="1585" spans="1:12" ht="11.25" customHeight="1">
      <c r="A1585" s="39">
        <v>432</v>
      </c>
      <c r="B1585" s="40" t="s">
        <v>13333</v>
      </c>
      <c r="C1585" s="40" t="s">
        <v>13334</v>
      </c>
      <c r="D1585" s="40" t="s">
        <v>1292</v>
      </c>
      <c r="E1585" s="41">
        <v>9327.92</v>
      </c>
      <c r="F1585" s="40" t="s">
        <v>1292</v>
      </c>
      <c r="G1585" s="41">
        <v>9328.7572999999993</v>
      </c>
      <c r="H1585" s="40"/>
      <c r="I1585" s="41"/>
      <c r="J1585" s="41">
        <f t="shared" si="6"/>
        <v>9328.3386499999997</v>
      </c>
      <c r="K1585" s="42" t="s">
        <v>5796</v>
      </c>
      <c r="L1585" s="39">
        <v>432</v>
      </c>
    </row>
    <row r="1586" spans="1:12" ht="11.25" customHeight="1">
      <c r="A1586" s="39">
        <v>2333</v>
      </c>
      <c r="B1586" s="40" t="s">
        <v>13335</v>
      </c>
      <c r="C1586" s="40" t="s">
        <v>13336</v>
      </c>
      <c r="D1586" s="40"/>
      <c r="E1586" s="41"/>
      <c r="F1586" s="40" t="s">
        <v>5164</v>
      </c>
      <c r="G1586" s="41">
        <v>107.0925</v>
      </c>
      <c r="H1586" s="40"/>
      <c r="I1586" s="41"/>
      <c r="J1586" s="41">
        <f t="shared" si="6"/>
        <v>107.0925</v>
      </c>
      <c r="K1586" s="42" t="s">
        <v>5796</v>
      </c>
      <c r="L1586" s="39">
        <v>2333</v>
      </c>
    </row>
    <row r="1587" spans="1:12" ht="11.25" customHeight="1">
      <c r="A1587" s="39">
        <v>2141</v>
      </c>
      <c r="B1587" s="40" t="s">
        <v>13337</v>
      </c>
      <c r="C1587" s="40" t="s">
        <v>13338</v>
      </c>
      <c r="D1587" s="40" t="s">
        <v>4942</v>
      </c>
      <c r="E1587" s="41">
        <v>147.94</v>
      </c>
      <c r="F1587" s="40" t="s">
        <v>4942</v>
      </c>
      <c r="G1587" s="41">
        <v>147.8372</v>
      </c>
      <c r="H1587" s="40"/>
      <c r="I1587" s="41"/>
      <c r="J1587" s="41">
        <f t="shared" si="6"/>
        <v>147.8886</v>
      </c>
      <c r="K1587" s="42" t="s">
        <v>5796</v>
      </c>
      <c r="L1587" s="39">
        <v>2141</v>
      </c>
    </row>
    <row r="1588" spans="1:12" ht="11.25" customHeight="1">
      <c r="A1588" s="39">
        <v>3267</v>
      </c>
      <c r="B1588" s="40" t="s">
        <v>13339</v>
      </c>
      <c r="C1588" s="40" t="s">
        <v>13340</v>
      </c>
      <c r="D1588" s="40"/>
      <c r="E1588" s="41"/>
      <c r="F1588" s="40" t="s">
        <v>5637</v>
      </c>
      <c r="G1588" s="41">
        <v>25.265899999999998</v>
      </c>
      <c r="H1588" s="40"/>
      <c r="I1588" s="41"/>
      <c r="J1588" s="41">
        <f t="shared" si="6"/>
        <v>25.265899999999998</v>
      </c>
      <c r="K1588" s="42" t="s">
        <v>5796</v>
      </c>
      <c r="L1588" s="39">
        <v>3267</v>
      </c>
    </row>
    <row r="1589" spans="1:12" ht="11.25" customHeight="1">
      <c r="A1589" s="39">
        <v>1646</v>
      </c>
      <c r="B1589" s="40" t="s">
        <v>13341</v>
      </c>
      <c r="C1589" s="40" t="s">
        <v>13342</v>
      </c>
      <c r="D1589" s="40" t="s">
        <v>4237</v>
      </c>
      <c r="E1589" s="41">
        <v>370.26</v>
      </c>
      <c r="F1589" s="40" t="s">
        <v>4237</v>
      </c>
      <c r="G1589" s="41">
        <v>370.51119999999997</v>
      </c>
      <c r="H1589" s="40"/>
      <c r="I1589" s="41"/>
      <c r="J1589" s="41">
        <f t="shared" si="6"/>
        <v>370.38559999999995</v>
      </c>
      <c r="K1589" s="42" t="s">
        <v>5796</v>
      </c>
      <c r="L1589" s="39">
        <v>1646</v>
      </c>
    </row>
    <row r="1590" spans="1:12" ht="11.25" customHeight="1">
      <c r="A1590" s="39">
        <v>3512</v>
      </c>
      <c r="B1590" s="40" t="s">
        <v>13343</v>
      </c>
      <c r="C1590" s="40" t="s">
        <v>13344</v>
      </c>
      <c r="D1590" s="40"/>
      <c r="E1590" s="41"/>
      <c r="F1590" s="40" t="s">
        <v>5700</v>
      </c>
      <c r="G1590" s="41">
        <v>17.6693</v>
      </c>
      <c r="H1590" s="40"/>
      <c r="I1590" s="41"/>
      <c r="J1590" s="41">
        <f t="shared" si="6"/>
        <v>17.6693</v>
      </c>
      <c r="K1590" s="42" t="s">
        <v>5796</v>
      </c>
      <c r="L1590" s="39">
        <v>3512</v>
      </c>
    </row>
    <row r="1591" spans="1:12" ht="11.25" customHeight="1">
      <c r="A1591" s="39">
        <v>1371</v>
      </c>
      <c r="B1591" s="40" t="s">
        <v>13345</v>
      </c>
      <c r="C1591" s="40" t="s">
        <v>13346</v>
      </c>
      <c r="D1591" s="40" t="s">
        <v>3706</v>
      </c>
      <c r="E1591" s="41">
        <v>683.99</v>
      </c>
      <c r="F1591" s="40" t="s">
        <v>3706</v>
      </c>
      <c r="G1591" s="41">
        <v>684.37059999999997</v>
      </c>
      <c r="H1591" s="40"/>
      <c r="I1591" s="41"/>
      <c r="J1591" s="41">
        <f t="shared" si="6"/>
        <v>684.18029999999999</v>
      </c>
      <c r="K1591" s="42" t="s">
        <v>5796</v>
      </c>
      <c r="L1591" s="39">
        <v>1371</v>
      </c>
    </row>
    <row r="1592" spans="1:12" ht="11.25" customHeight="1">
      <c r="A1592" s="39">
        <v>2279</v>
      </c>
      <c r="B1592" s="40" t="s">
        <v>13347</v>
      </c>
      <c r="C1592" s="40" t="s">
        <v>13348</v>
      </c>
      <c r="D1592" s="40" t="s">
        <v>5104</v>
      </c>
      <c r="E1592" s="41">
        <v>115.43</v>
      </c>
      <c r="F1592" s="40" t="s">
        <v>5104</v>
      </c>
      <c r="G1592" s="41">
        <v>115.4032</v>
      </c>
      <c r="H1592" s="40"/>
      <c r="I1592" s="41"/>
      <c r="J1592" s="41">
        <f t="shared" si="6"/>
        <v>115.4166</v>
      </c>
      <c r="K1592" s="42" t="s">
        <v>5796</v>
      </c>
      <c r="L1592" s="39">
        <v>2279</v>
      </c>
    </row>
    <row r="1593" spans="1:12" ht="11.25" customHeight="1">
      <c r="A1593" s="39">
        <v>1689</v>
      </c>
      <c r="B1593" s="40" t="s">
        <v>13349</v>
      </c>
      <c r="C1593" s="40" t="s">
        <v>13350</v>
      </c>
      <c r="D1593" s="40" t="s">
        <v>4321</v>
      </c>
      <c r="E1593" s="41">
        <v>335.25</v>
      </c>
      <c r="F1593" s="40" t="s">
        <v>4321</v>
      </c>
      <c r="G1593" s="41">
        <v>335.39150000000001</v>
      </c>
      <c r="H1593" s="40"/>
      <c r="I1593" s="41"/>
      <c r="J1593" s="41">
        <f t="shared" si="6"/>
        <v>335.32074999999998</v>
      </c>
      <c r="K1593" s="42" t="s">
        <v>5796</v>
      </c>
      <c r="L1593" s="39">
        <v>1689</v>
      </c>
    </row>
    <row r="1594" spans="1:12" ht="11.25" customHeight="1">
      <c r="A1594" s="39">
        <v>673</v>
      </c>
      <c r="B1594" s="40" t="s">
        <v>13351</v>
      </c>
      <c r="C1594" s="40" t="s">
        <v>13352</v>
      </c>
      <c r="D1594" s="40" t="s">
        <v>1976</v>
      </c>
      <c r="E1594" s="41">
        <v>4102.54</v>
      </c>
      <c r="F1594" s="40" t="s">
        <v>1976</v>
      </c>
      <c r="G1594" s="41">
        <v>4104.8257999999996</v>
      </c>
      <c r="H1594" s="40"/>
      <c r="I1594" s="41"/>
      <c r="J1594" s="41">
        <f t="shared" si="6"/>
        <v>4103.6828999999998</v>
      </c>
      <c r="K1594" s="42" t="s">
        <v>5796</v>
      </c>
      <c r="L1594" s="39">
        <v>673</v>
      </c>
    </row>
    <row r="1595" spans="1:12" ht="11.25" customHeight="1">
      <c r="A1595" s="39">
        <v>1673</v>
      </c>
      <c r="B1595" s="40" t="s">
        <v>13353</v>
      </c>
      <c r="C1595" s="40" t="s">
        <v>13354</v>
      </c>
      <c r="D1595" s="40"/>
      <c r="E1595" s="41"/>
      <c r="F1595" s="40" t="s">
        <v>4288</v>
      </c>
      <c r="G1595" s="41">
        <v>350.43029999999999</v>
      </c>
      <c r="H1595" s="40"/>
      <c r="I1595" s="41"/>
      <c r="J1595" s="41">
        <f t="shared" si="6"/>
        <v>350.43029999999999</v>
      </c>
      <c r="K1595" s="42" t="s">
        <v>5796</v>
      </c>
      <c r="L1595" s="39">
        <v>1673</v>
      </c>
    </row>
    <row r="1596" spans="1:12" ht="11.25" customHeight="1">
      <c r="A1596" s="39">
        <v>913</v>
      </c>
      <c r="B1596" s="40" t="s">
        <v>13355</v>
      </c>
      <c r="C1596" s="40" t="s">
        <v>13356</v>
      </c>
      <c r="D1596" s="40" t="s">
        <v>2647</v>
      </c>
      <c r="E1596" s="41">
        <v>2104.83</v>
      </c>
      <c r="F1596" s="40" t="s">
        <v>2647</v>
      </c>
      <c r="G1596" s="41">
        <v>2104.3573999999999</v>
      </c>
      <c r="H1596" s="40"/>
      <c r="I1596" s="41"/>
      <c r="J1596" s="41">
        <f t="shared" si="6"/>
        <v>2104.5936999999999</v>
      </c>
      <c r="K1596" s="42" t="s">
        <v>5796</v>
      </c>
      <c r="L1596" s="39">
        <v>913</v>
      </c>
    </row>
    <row r="1597" spans="1:12" ht="11.25" customHeight="1">
      <c r="A1597" s="39">
        <v>546</v>
      </c>
      <c r="B1597" s="40" t="s">
        <v>1617</v>
      </c>
      <c r="C1597" s="40" t="s">
        <v>13357</v>
      </c>
      <c r="D1597" s="40" t="s">
        <v>1619</v>
      </c>
      <c r="E1597" s="41">
        <v>6496.1</v>
      </c>
      <c r="F1597" s="40" t="s">
        <v>1619</v>
      </c>
      <c r="G1597" s="41">
        <v>6500.0497999999998</v>
      </c>
      <c r="H1597" s="40"/>
      <c r="I1597" s="41"/>
      <c r="J1597" s="41">
        <f t="shared" si="6"/>
        <v>6498.0748999999996</v>
      </c>
      <c r="K1597" s="42" t="s">
        <v>5796</v>
      </c>
      <c r="L1597" s="39">
        <v>546</v>
      </c>
    </row>
    <row r="1598" spans="1:12" ht="11.25" customHeight="1">
      <c r="A1598" s="39">
        <v>2587</v>
      </c>
      <c r="B1598" s="40" t="s">
        <v>13358</v>
      </c>
      <c r="C1598" s="40" t="s">
        <v>13359</v>
      </c>
      <c r="D1598" s="40" t="s">
        <v>5370</v>
      </c>
      <c r="E1598" s="41">
        <v>71.459999999999994</v>
      </c>
      <c r="F1598" s="40" t="s">
        <v>5370</v>
      </c>
      <c r="G1598" s="41">
        <v>69.729100000000003</v>
      </c>
      <c r="H1598" s="40"/>
      <c r="I1598" s="41"/>
      <c r="J1598" s="41">
        <f t="shared" si="6"/>
        <v>70.594549999999998</v>
      </c>
      <c r="K1598" s="42" t="s">
        <v>5796</v>
      </c>
      <c r="L1598" s="39">
        <v>2587</v>
      </c>
    </row>
    <row r="1599" spans="1:12" ht="11.25" customHeight="1">
      <c r="A1599" s="39">
        <v>840</v>
      </c>
      <c r="B1599" s="40" t="s">
        <v>13360</v>
      </c>
      <c r="C1599" s="40" t="s">
        <v>13361</v>
      </c>
      <c r="D1599" s="40" t="s">
        <v>2440</v>
      </c>
      <c r="E1599" s="41">
        <v>2569.2199999999998</v>
      </c>
      <c r="F1599" s="40" t="s">
        <v>2440</v>
      </c>
      <c r="G1599" s="41">
        <v>2568.5481</v>
      </c>
      <c r="H1599" s="40"/>
      <c r="I1599" s="41"/>
      <c r="J1599" s="41">
        <f t="shared" si="6"/>
        <v>2568.8840499999997</v>
      </c>
      <c r="K1599" s="42" t="s">
        <v>5796</v>
      </c>
      <c r="L1599" s="39">
        <v>840</v>
      </c>
    </row>
    <row r="1600" spans="1:12" ht="11.25" customHeight="1">
      <c r="A1600" s="39">
        <v>943</v>
      </c>
      <c r="B1600" s="40" t="s">
        <v>13362</v>
      </c>
      <c r="C1600" s="40" t="s">
        <v>13363</v>
      </c>
      <c r="D1600" s="40" t="s">
        <v>2722</v>
      </c>
      <c r="E1600" s="41">
        <v>2000.53</v>
      </c>
      <c r="F1600" s="40" t="s">
        <v>2722</v>
      </c>
      <c r="G1600" s="41">
        <v>1989.5425</v>
      </c>
      <c r="H1600" s="40"/>
      <c r="I1600" s="41"/>
      <c r="J1600" s="41">
        <f t="shared" si="6"/>
        <v>1995.0362500000001</v>
      </c>
      <c r="K1600" s="42" t="s">
        <v>5796</v>
      </c>
      <c r="L1600" s="39">
        <v>943</v>
      </c>
    </row>
    <row r="1601" spans="1:12" ht="11.25" customHeight="1">
      <c r="A1601" s="43">
        <v>214</v>
      </c>
      <c r="B1601" s="44" t="s">
        <v>6839</v>
      </c>
      <c r="C1601" s="44" t="s">
        <v>13364</v>
      </c>
      <c r="D1601" s="44" t="s">
        <v>653</v>
      </c>
      <c r="E1601" s="45">
        <v>27220.58</v>
      </c>
      <c r="F1601" s="44" t="s">
        <v>653</v>
      </c>
      <c r="G1601" s="45">
        <v>27216.6839</v>
      </c>
      <c r="H1601" s="44"/>
      <c r="I1601" s="45"/>
      <c r="J1601" s="45">
        <f t="shared" si="6"/>
        <v>27218.631950000003</v>
      </c>
      <c r="K1601" s="46" t="s">
        <v>5800</v>
      </c>
      <c r="L1601" s="43">
        <v>214</v>
      </c>
    </row>
    <row r="1602" spans="1:12" ht="11.25" customHeight="1">
      <c r="A1602" s="43">
        <v>229</v>
      </c>
      <c r="B1602" s="44" t="s">
        <v>13365</v>
      </c>
      <c r="C1602" s="44" t="s">
        <v>13366</v>
      </c>
      <c r="D1602" s="44" t="s">
        <v>698</v>
      </c>
      <c r="E1602" s="45">
        <v>24677.56</v>
      </c>
      <c r="F1602" s="44" t="s">
        <v>698</v>
      </c>
      <c r="G1602" s="45">
        <v>24682.833999999999</v>
      </c>
      <c r="H1602" s="44"/>
      <c r="I1602" s="45"/>
      <c r="J1602" s="45">
        <f t="shared" si="6"/>
        <v>24680.197</v>
      </c>
      <c r="K1602" s="46" t="s">
        <v>5800</v>
      </c>
      <c r="L1602" s="43">
        <v>229</v>
      </c>
    </row>
    <row r="1603" spans="1:12" ht="11.25" customHeight="1">
      <c r="A1603" s="39">
        <v>2376</v>
      </c>
      <c r="B1603" s="40" t="s">
        <v>13367</v>
      </c>
      <c r="C1603" s="40" t="s">
        <v>13368</v>
      </c>
      <c r="D1603" s="40" t="s">
        <v>6842</v>
      </c>
      <c r="E1603" s="41">
        <v>101.02</v>
      </c>
      <c r="F1603" s="40" t="s">
        <v>6842</v>
      </c>
      <c r="G1603" s="41">
        <v>99.8673</v>
      </c>
      <c r="H1603" s="40"/>
      <c r="I1603" s="41"/>
      <c r="J1603" s="41">
        <f t="shared" si="6"/>
        <v>100.44364999999999</v>
      </c>
      <c r="K1603" s="42" t="s">
        <v>5796</v>
      </c>
      <c r="L1603" s="39">
        <v>2376</v>
      </c>
    </row>
    <row r="1604" spans="1:12" ht="11.25" customHeight="1">
      <c r="A1604" s="39">
        <v>890</v>
      </c>
      <c r="B1604" s="40" t="s">
        <v>13369</v>
      </c>
      <c r="C1604" s="40" t="s">
        <v>13370</v>
      </c>
      <c r="D1604" s="40" t="s">
        <v>2581</v>
      </c>
      <c r="E1604" s="41">
        <v>2203.73</v>
      </c>
      <c r="F1604" s="40" t="s">
        <v>2581</v>
      </c>
      <c r="G1604" s="41">
        <v>2203.7456999999999</v>
      </c>
      <c r="H1604" s="40"/>
      <c r="I1604" s="41"/>
      <c r="J1604" s="41">
        <f t="shared" si="6"/>
        <v>2203.73785</v>
      </c>
      <c r="K1604" s="42" t="s">
        <v>5796</v>
      </c>
      <c r="L1604" s="39">
        <v>890</v>
      </c>
    </row>
    <row r="1605" spans="1:12" ht="11.25" customHeight="1">
      <c r="A1605" s="39">
        <v>1225</v>
      </c>
      <c r="B1605" s="40" t="s">
        <v>13371</v>
      </c>
      <c r="C1605" s="40" t="s">
        <v>13372</v>
      </c>
      <c r="D1605" s="40" t="s">
        <v>3412</v>
      </c>
      <c r="E1605" s="41">
        <v>983.47</v>
      </c>
      <c r="F1605" s="40" t="s">
        <v>3412</v>
      </c>
      <c r="G1605" s="41">
        <v>983.29600000000005</v>
      </c>
      <c r="H1605" s="40"/>
      <c r="I1605" s="41"/>
      <c r="J1605" s="41">
        <f t="shared" si="6"/>
        <v>983.38300000000004</v>
      </c>
      <c r="K1605" s="42" t="s">
        <v>5796</v>
      </c>
      <c r="L1605" s="39">
        <v>1225</v>
      </c>
    </row>
    <row r="1606" spans="1:12" ht="11.25" customHeight="1">
      <c r="A1606" s="39">
        <v>1433</v>
      </c>
      <c r="B1606" s="40" t="s">
        <v>6844</v>
      </c>
      <c r="C1606" s="40" t="s">
        <v>13373</v>
      </c>
      <c r="D1606" s="40" t="s">
        <v>3838</v>
      </c>
      <c r="E1606" s="41">
        <v>594.52</v>
      </c>
      <c r="F1606" s="40" t="s">
        <v>3838</v>
      </c>
      <c r="G1606" s="41">
        <v>594.72490000000005</v>
      </c>
      <c r="H1606" s="40"/>
      <c r="I1606" s="41"/>
      <c r="J1606" s="41">
        <f t="shared" si="6"/>
        <v>594.62245000000007</v>
      </c>
      <c r="K1606" s="42" t="s">
        <v>5796</v>
      </c>
      <c r="L1606" s="39">
        <v>1433</v>
      </c>
    </row>
    <row r="1607" spans="1:12" ht="11.25" customHeight="1">
      <c r="A1607" s="39">
        <v>2052</v>
      </c>
      <c r="B1607" s="40" t="s">
        <v>13374</v>
      </c>
      <c r="C1607" s="40" t="s">
        <v>13375</v>
      </c>
      <c r="D1607" s="40" t="s">
        <v>4804</v>
      </c>
      <c r="E1607" s="41">
        <v>172.93</v>
      </c>
      <c r="F1607" s="40" t="s">
        <v>4804</v>
      </c>
      <c r="G1607" s="41">
        <v>173.01439999999999</v>
      </c>
      <c r="H1607" s="40"/>
      <c r="I1607" s="41"/>
      <c r="J1607" s="41">
        <f t="shared" si="6"/>
        <v>172.97219999999999</v>
      </c>
      <c r="K1607" s="42" t="s">
        <v>5796</v>
      </c>
      <c r="L1607" s="39">
        <v>2052</v>
      </c>
    </row>
    <row r="1608" spans="1:12" ht="11.25" customHeight="1">
      <c r="A1608" s="39">
        <v>1244</v>
      </c>
      <c r="B1608" s="40" t="s">
        <v>13376</v>
      </c>
      <c r="C1608" s="40" t="s">
        <v>13377</v>
      </c>
      <c r="D1608" s="40" t="s">
        <v>3445</v>
      </c>
      <c r="E1608" s="41">
        <v>967.08</v>
      </c>
      <c r="F1608" s="40" t="s">
        <v>3445</v>
      </c>
      <c r="G1608" s="41">
        <v>895.43830000000003</v>
      </c>
      <c r="H1608" s="40"/>
      <c r="I1608" s="41"/>
      <c r="J1608" s="41">
        <f t="shared" si="6"/>
        <v>931.25915000000009</v>
      </c>
      <c r="K1608" s="42" t="s">
        <v>5796</v>
      </c>
      <c r="L1608" s="39">
        <v>1244</v>
      </c>
    </row>
    <row r="1609" spans="1:12" ht="11.25" customHeight="1">
      <c r="A1609" s="39">
        <v>974</v>
      </c>
      <c r="B1609" s="40" t="s">
        <v>6845</v>
      </c>
      <c r="C1609" s="40" t="s">
        <v>13378</v>
      </c>
      <c r="D1609" s="40" t="s">
        <v>2794</v>
      </c>
      <c r="E1609" s="41">
        <v>1826.74</v>
      </c>
      <c r="F1609" s="40" t="s">
        <v>2794</v>
      </c>
      <c r="G1609" s="41">
        <v>1827.7152000000001</v>
      </c>
      <c r="H1609" s="40"/>
      <c r="I1609" s="41"/>
      <c r="J1609" s="41">
        <f t="shared" si="6"/>
        <v>1827.2276000000002</v>
      </c>
      <c r="K1609" s="42" t="s">
        <v>5796</v>
      </c>
      <c r="L1609" s="39">
        <v>974</v>
      </c>
    </row>
    <row r="1610" spans="1:12" ht="11.25" customHeight="1">
      <c r="A1610" s="39">
        <v>1692</v>
      </c>
      <c r="B1610" s="40" t="s">
        <v>13379</v>
      </c>
      <c r="C1610" s="40" t="s">
        <v>13380</v>
      </c>
      <c r="D1610" s="40" t="s">
        <v>4327</v>
      </c>
      <c r="E1610" s="41">
        <v>334.9</v>
      </c>
      <c r="F1610" s="40" t="s">
        <v>4327</v>
      </c>
      <c r="G1610" s="41">
        <v>334.4273</v>
      </c>
      <c r="H1610" s="40"/>
      <c r="I1610" s="41"/>
      <c r="J1610" s="41">
        <f t="shared" si="6"/>
        <v>334.66364999999996</v>
      </c>
      <c r="K1610" s="42" t="s">
        <v>5796</v>
      </c>
      <c r="L1610" s="39">
        <v>1692</v>
      </c>
    </row>
    <row r="1611" spans="1:12" ht="11.25" customHeight="1">
      <c r="A1611" s="39">
        <v>2110</v>
      </c>
      <c r="B1611" s="40" t="s">
        <v>13381</v>
      </c>
      <c r="C1611" s="40" t="s">
        <v>13382</v>
      </c>
      <c r="D1611" s="40" t="s">
        <v>4894</v>
      </c>
      <c r="E1611" s="41">
        <v>155.65</v>
      </c>
      <c r="F1611" s="40" t="s">
        <v>4894</v>
      </c>
      <c r="G1611" s="41">
        <v>155.76840000000001</v>
      </c>
      <c r="H1611" s="40"/>
      <c r="I1611" s="41"/>
      <c r="J1611" s="41">
        <f t="shared" si="6"/>
        <v>155.70920000000001</v>
      </c>
      <c r="K1611" s="42" t="s">
        <v>5796</v>
      </c>
      <c r="L1611" s="39">
        <v>2110</v>
      </c>
    </row>
    <row r="1612" spans="1:12" ht="11.25" customHeight="1">
      <c r="A1612" s="39">
        <v>1215</v>
      </c>
      <c r="B1612" s="40" t="s">
        <v>13383</v>
      </c>
      <c r="C1612" s="40" t="s">
        <v>13384</v>
      </c>
      <c r="D1612" s="40" t="s">
        <v>3391</v>
      </c>
      <c r="E1612" s="41">
        <v>1007.08</v>
      </c>
      <c r="F1612" s="40" t="s">
        <v>3391</v>
      </c>
      <c r="G1612" s="41">
        <v>1006.8574</v>
      </c>
      <c r="H1612" s="40"/>
      <c r="I1612" s="41"/>
      <c r="J1612" s="41">
        <f t="shared" si="6"/>
        <v>1006.9687</v>
      </c>
      <c r="K1612" s="42" t="s">
        <v>5796</v>
      </c>
      <c r="L1612" s="39">
        <v>1215</v>
      </c>
    </row>
    <row r="1613" spans="1:12" ht="11.25" customHeight="1">
      <c r="A1613" s="39">
        <v>1263</v>
      </c>
      <c r="B1613" s="40" t="s">
        <v>6848</v>
      </c>
      <c r="C1613" s="40" t="s">
        <v>13385</v>
      </c>
      <c r="D1613" s="40" t="s">
        <v>3487</v>
      </c>
      <c r="E1613" s="41">
        <v>880.83</v>
      </c>
      <c r="F1613" s="40" t="s">
        <v>3487</v>
      </c>
      <c r="G1613" s="41">
        <v>880.8098</v>
      </c>
      <c r="H1613" s="40"/>
      <c r="I1613" s="41"/>
      <c r="J1613" s="41">
        <f t="shared" si="6"/>
        <v>880.81989999999996</v>
      </c>
      <c r="K1613" s="42" t="s">
        <v>5796</v>
      </c>
      <c r="L1613" s="39">
        <v>1263</v>
      </c>
    </row>
    <row r="1614" spans="1:12" ht="11.25" customHeight="1">
      <c r="A1614" s="39">
        <v>526</v>
      </c>
      <c r="B1614" s="40" t="s">
        <v>13386</v>
      </c>
      <c r="C1614" s="40" t="s">
        <v>13387</v>
      </c>
      <c r="D1614" s="40" t="s">
        <v>1562</v>
      </c>
      <c r="E1614" s="41">
        <v>6902.51</v>
      </c>
      <c r="F1614" s="40" t="s">
        <v>1562</v>
      </c>
      <c r="G1614" s="41">
        <v>6902.6058000000003</v>
      </c>
      <c r="H1614" s="40"/>
      <c r="I1614" s="41"/>
      <c r="J1614" s="41">
        <f t="shared" si="6"/>
        <v>6902.5578999999998</v>
      </c>
      <c r="K1614" s="42" t="s">
        <v>5796</v>
      </c>
      <c r="L1614" s="39">
        <v>526</v>
      </c>
    </row>
    <row r="1615" spans="1:12" ht="11.25" customHeight="1">
      <c r="A1615" s="39">
        <v>1978</v>
      </c>
      <c r="B1615" s="40" t="s">
        <v>13388</v>
      </c>
      <c r="C1615" s="40" t="s">
        <v>13389</v>
      </c>
      <c r="D1615" s="40" t="s">
        <v>4693</v>
      </c>
      <c r="E1615" s="41">
        <v>194.48</v>
      </c>
      <c r="F1615" s="40" t="s">
        <v>4693</v>
      </c>
      <c r="G1615" s="41">
        <v>193.85390000000001</v>
      </c>
      <c r="H1615" s="40"/>
      <c r="I1615" s="41"/>
      <c r="J1615" s="41">
        <f t="shared" si="6"/>
        <v>194.16694999999999</v>
      </c>
      <c r="K1615" s="42" t="s">
        <v>5796</v>
      </c>
      <c r="L1615" s="39">
        <v>1978</v>
      </c>
    </row>
    <row r="1616" spans="1:12" ht="11.25" customHeight="1">
      <c r="A1616" s="39">
        <v>1119</v>
      </c>
      <c r="B1616" s="40" t="s">
        <v>6850</v>
      </c>
      <c r="C1616" s="40" t="s">
        <v>13390</v>
      </c>
      <c r="D1616" s="40" t="s">
        <v>3160</v>
      </c>
      <c r="E1616" s="41">
        <v>1279.54</v>
      </c>
      <c r="F1616" s="40" t="s">
        <v>3160</v>
      </c>
      <c r="G1616" s="41">
        <v>1279.5309</v>
      </c>
      <c r="H1616" s="40"/>
      <c r="I1616" s="41"/>
      <c r="J1616" s="41">
        <f t="shared" si="6"/>
        <v>1279.5354499999999</v>
      </c>
      <c r="K1616" s="42" t="s">
        <v>5796</v>
      </c>
      <c r="L1616" s="39">
        <v>1119</v>
      </c>
    </row>
    <row r="1617" spans="1:12" ht="11.25" customHeight="1">
      <c r="A1617" s="43">
        <v>146</v>
      </c>
      <c r="B1617" s="44" t="s">
        <v>13391</v>
      </c>
      <c r="C1617" s="44" t="s">
        <v>13392</v>
      </c>
      <c r="D1617" s="44" t="s">
        <v>449</v>
      </c>
      <c r="E1617" s="45">
        <v>46156.55</v>
      </c>
      <c r="F1617" s="44" t="s">
        <v>449</v>
      </c>
      <c r="G1617" s="45">
        <v>46162.706100000003</v>
      </c>
      <c r="H1617" s="44"/>
      <c r="I1617" s="45"/>
      <c r="J1617" s="45">
        <f t="shared" si="6"/>
        <v>46159.628049999999</v>
      </c>
      <c r="K1617" s="46" t="s">
        <v>5800</v>
      </c>
      <c r="L1617" s="43">
        <v>146</v>
      </c>
    </row>
    <row r="1618" spans="1:12" ht="11.25" customHeight="1">
      <c r="A1618" s="39">
        <v>790</v>
      </c>
      <c r="B1618" s="40" t="s">
        <v>13393</v>
      </c>
      <c r="C1618" s="40" t="s">
        <v>13394</v>
      </c>
      <c r="D1618" s="40" t="s">
        <v>2299</v>
      </c>
      <c r="E1618" s="41">
        <v>2993.44</v>
      </c>
      <c r="F1618" s="40" t="s">
        <v>2299</v>
      </c>
      <c r="G1618" s="41">
        <v>2994.1867999999999</v>
      </c>
      <c r="H1618" s="40"/>
      <c r="I1618" s="41"/>
      <c r="J1618" s="41">
        <f t="shared" si="6"/>
        <v>2993.8134</v>
      </c>
      <c r="K1618" s="42" t="s">
        <v>5796</v>
      </c>
      <c r="L1618" s="39">
        <v>790</v>
      </c>
    </row>
    <row r="1619" spans="1:12" ht="11.25" customHeight="1">
      <c r="A1619" s="39">
        <v>2581</v>
      </c>
      <c r="B1619" s="40" t="s">
        <v>13395</v>
      </c>
      <c r="C1619" s="40" t="s">
        <v>13396</v>
      </c>
      <c r="D1619" s="40" t="s">
        <v>5364</v>
      </c>
      <c r="E1619" s="41">
        <v>71.489999999999995</v>
      </c>
      <c r="F1619" s="40" t="s">
        <v>5364</v>
      </c>
      <c r="G1619" s="41">
        <v>71.222099999999998</v>
      </c>
      <c r="H1619" s="40"/>
      <c r="I1619" s="41"/>
      <c r="J1619" s="41">
        <f t="shared" si="6"/>
        <v>71.356049999999996</v>
      </c>
      <c r="K1619" s="42" t="s">
        <v>5796</v>
      </c>
      <c r="L1619" s="39">
        <v>2581</v>
      </c>
    </row>
    <row r="1620" spans="1:12" ht="11.25" customHeight="1">
      <c r="A1620" s="39">
        <v>2472</v>
      </c>
      <c r="B1620" s="40" t="s">
        <v>6852</v>
      </c>
      <c r="C1620" s="40" t="s">
        <v>13397</v>
      </c>
      <c r="D1620" s="40" t="s">
        <v>13398</v>
      </c>
      <c r="E1620" s="41">
        <v>86.5</v>
      </c>
      <c r="F1620" s="40" t="s">
        <v>5277</v>
      </c>
      <c r="G1620" s="41">
        <v>86.284999999999997</v>
      </c>
      <c r="H1620" s="40"/>
      <c r="I1620" s="41"/>
      <c r="J1620" s="41">
        <f t="shared" si="6"/>
        <v>86.392499999999998</v>
      </c>
      <c r="K1620" s="42" t="s">
        <v>5796</v>
      </c>
      <c r="L1620" s="39">
        <v>2472</v>
      </c>
    </row>
    <row r="1621" spans="1:12" ht="11.25" customHeight="1">
      <c r="A1621" s="43">
        <v>188</v>
      </c>
      <c r="B1621" s="44" t="s">
        <v>13399</v>
      </c>
      <c r="C1621" s="44" t="s">
        <v>13400</v>
      </c>
      <c r="D1621" s="44" t="s">
        <v>575</v>
      </c>
      <c r="E1621" s="45">
        <v>33223.629999999997</v>
      </c>
      <c r="F1621" s="44" t="s">
        <v>575</v>
      </c>
      <c r="G1621" s="45">
        <v>33205.281600000002</v>
      </c>
      <c r="H1621" s="44"/>
      <c r="I1621" s="45"/>
      <c r="J1621" s="45">
        <f t="shared" si="6"/>
        <v>33214.455799999996</v>
      </c>
      <c r="K1621" s="46" t="s">
        <v>5800</v>
      </c>
      <c r="L1621" s="43">
        <v>188</v>
      </c>
    </row>
    <row r="1622" spans="1:12" ht="11.25" customHeight="1">
      <c r="A1622" s="39">
        <v>2206</v>
      </c>
      <c r="B1622" s="40" t="s">
        <v>13401</v>
      </c>
      <c r="C1622" s="40" t="s">
        <v>13402</v>
      </c>
      <c r="D1622" s="40"/>
      <c r="E1622" s="41"/>
      <c r="F1622" s="40" t="s">
        <v>5029</v>
      </c>
      <c r="G1622" s="41">
        <v>130.63589999999999</v>
      </c>
      <c r="H1622" s="40"/>
      <c r="I1622" s="41"/>
      <c r="J1622" s="41">
        <f t="shared" si="6"/>
        <v>130.63589999999999</v>
      </c>
      <c r="K1622" s="42" t="s">
        <v>5796</v>
      </c>
      <c r="L1622" s="39">
        <v>2206</v>
      </c>
    </row>
    <row r="1623" spans="1:12" ht="11.25" customHeight="1">
      <c r="A1623" s="39">
        <v>300</v>
      </c>
      <c r="B1623" s="40" t="s">
        <v>13403</v>
      </c>
      <c r="C1623" s="40" t="s">
        <v>13404</v>
      </c>
      <c r="D1623" s="40" t="s">
        <v>911</v>
      </c>
      <c r="E1623" s="41">
        <v>16310.58</v>
      </c>
      <c r="F1623" s="40" t="s">
        <v>911</v>
      </c>
      <c r="G1623" s="41">
        <v>16319.8027</v>
      </c>
      <c r="H1623" s="40"/>
      <c r="I1623" s="41"/>
      <c r="J1623" s="41">
        <f t="shared" si="6"/>
        <v>16315.191350000001</v>
      </c>
      <c r="K1623" s="42" t="s">
        <v>5796</v>
      </c>
      <c r="L1623" s="39">
        <v>300</v>
      </c>
    </row>
    <row r="1624" spans="1:12" ht="11.25" customHeight="1">
      <c r="A1624" s="39">
        <v>884</v>
      </c>
      <c r="B1624" s="40" t="s">
        <v>13405</v>
      </c>
      <c r="C1624" s="40" t="s">
        <v>13406</v>
      </c>
      <c r="D1624" s="40" t="s">
        <v>2566</v>
      </c>
      <c r="E1624" s="41">
        <v>2241.66</v>
      </c>
      <c r="F1624" s="40" t="s">
        <v>2566</v>
      </c>
      <c r="G1624" s="41">
        <v>2241.6898999999999</v>
      </c>
      <c r="H1624" s="40"/>
      <c r="I1624" s="41"/>
      <c r="J1624" s="41">
        <f t="shared" si="6"/>
        <v>2241.6749499999996</v>
      </c>
      <c r="K1624" s="42" t="s">
        <v>5796</v>
      </c>
      <c r="L1624" s="39">
        <v>884</v>
      </c>
    </row>
    <row r="1625" spans="1:12" ht="11.25" customHeight="1">
      <c r="A1625" s="39">
        <v>613</v>
      </c>
      <c r="B1625" s="40" t="s">
        <v>13407</v>
      </c>
      <c r="C1625" s="40" t="s">
        <v>13408</v>
      </c>
      <c r="D1625" s="40" t="s">
        <v>1811</v>
      </c>
      <c r="E1625" s="41">
        <v>5027.57</v>
      </c>
      <c r="F1625" s="40" t="s">
        <v>1811</v>
      </c>
      <c r="G1625" s="41">
        <v>5027.7259000000004</v>
      </c>
      <c r="H1625" s="40"/>
      <c r="I1625" s="41"/>
      <c r="J1625" s="41">
        <f t="shared" si="6"/>
        <v>5027.6479500000005</v>
      </c>
      <c r="K1625" s="42" t="s">
        <v>5796</v>
      </c>
      <c r="L1625" s="39">
        <v>613</v>
      </c>
    </row>
    <row r="1626" spans="1:12" ht="11.25" customHeight="1">
      <c r="A1626" s="39">
        <v>1568</v>
      </c>
      <c r="B1626" s="40" t="s">
        <v>13409</v>
      </c>
      <c r="C1626" s="40" t="s">
        <v>13410</v>
      </c>
      <c r="D1626" s="40" t="s">
        <v>4093</v>
      </c>
      <c r="E1626" s="41">
        <v>464.7</v>
      </c>
      <c r="F1626" s="40" t="s">
        <v>4093</v>
      </c>
      <c r="G1626" s="41">
        <v>415.3981</v>
      </c>
      <c r="H1626" s="40"/>
      <c r="I1626" s="41"/>
      <c r="J1626" s="41">
        <f t="shared" si="6"/>
        <v>440.04904999999997</v>
      </c>
      <c r="K1626" s="42" t="s">
        <v>5796</v>
      </c>
      <c r="L1626" s="39">
        <v>1568</v>
      </c>
    </row>
    <row r="1627" spans="1:12" ht="11.25" customHeight="1">
      <c r="A1627" s="39">
        <v>1090</v>
      </c>
      <c r="B1627" s="40" t="s">
        <v>13411</v>
      </c>
      <c r="C1627" s="40" t="s">
        <v>13412</v>
      </c>
      <c r="D1627" s="40" t="s">
        <v>3091</v>
      </c>
      <c r="E1627" s="41">
        <v>1361.76</v>
      </c>
      <c r="F1627" s="40" t="s">
        <v>3091</v>
      </c>
      <c r="G1627" s="41">
        <v>1362.0445</v>
      </c>
      <c r="H1627" s="40"/>
      <c r="I1627" s="41"/>
      <c r="J1627" s="41">
        <f t="shared" si="6"/>
        <v>1361.9022500000001</v>
      </c>
      <c r="K1627" s="42" t="s">
        <v>5796</v>
      </c>
      <c r="L1627" s="39">
        <v>1090</v>
      </c>
    </row>
    <row r="1628" spans="1:12" ht="11.25" customHeight="1">
      <c r="A1628" s="39">
        <v>564</v>
      </c>
      <c r="B1628" s="40" t="s">
        <v>13413</v>
      </c>
      <c r="C1628" s="40" t="s">
        <v>13414</v>
      </c>
      <c r="D1628" s="40" t="s">
        <v>1673</v>
      </c>
      <c r="E1628" s="41">
        <v>6112.89</v>
      </c>
      <c r="F1628" s="40" t="s">
        <v>1673</v>
      </c>
      <c r="G1628" s="41">
        <v>6109.6352999999999</v>
      </c>
      <c r="H1628" s="40"/>
      <c r="I1628" s="41"/>
      <c r="J1628" s="41">
        <f t="shared" si="6"/>
        <v>6111.2626500000006</v>
      </c>
      <c r="K1628" s="42" t="s">
        <v>5796</v>
      </c>
      <c r="L1628" s="39">
        <v>564</v>
      </c>
    </row>
    <row r="1629" spans="1:12" ht="11.25" customHeight="1">
      <c r="A1629" s="39">
        <v>479</v>
      </c>
      <c r="B1629" s="40" t="s">
        <v>13415</v>
      </c>
      <c r="C1629" s="40" t="s">
        <v>13416</v>
      </c>
      <c r="D1629" s="40" t="s">
        <v>1424</v>
      </c>
      <c r="E1629" s="41">
        <v>7822.41</v>
      </c>
      <c r="F1629" s="40" t="s">
        <v>1424</v>
      </c>
      <c r="G1629" s="41">
        <v>7822.7815000000001</v>
      </c>
      <c r="H1629" s="40"/>
      <c r="I1629" s="41"/>
      <c r="J1629" s="41">
        <f t="shared" si="6"/>
        <v>7822.5957500000004</v>
      </c>
      <c r="K1629" s="42" t="s">
        <v>5796</v>
      </c>
      <c r="L1629" s="39">
        <v>479</v>
      </c>
    </row>
    <row r="1630" spans="1:12" ht="11.25" customHeight="1">
      <c r="A1630" s="39">
        <v>1133</v>
      </c>
      <c r="B1630" s="40" t="s">
        <v>13417</v>
      </c>
      <c r="C1630" s="40" t="s">
        <v>13418</v>
      </c>
      <c r="D1630" s="40"/>
      <c r="E1630" s="41"/>
      <c r="F1630" s="40" t="s">
        <v>3193</v>
      </c>
      <c r="G1630" s="41">
        <v>1244.0823</v>
      </c>
      <c r="H1630" s="40"/>
      <c r="I1630" s="41"/>
      <c r="J1630" s="41">
        <f t="shared" si="6"/>
        <v>1244.0823</v>
      </c>
      <c r="K1630" s="42" t="s">
        <v>5796</v>
      </c>
      <c r="L1630" s="39">
        <v>1133</v>
      </c>
    </row>
    <row r="1631" spans="1:12" ht="11.25" customHeight="1">
      <c r="A1631" s="39">
        <v>1235</v>
      </c>
      <c r="B1631" s="40" t="s">
        <v>13419</v>
      </c>
      <c r="C1631" s="40" t="s">
        <v>13420</v>
      </c>
      <c r="D1631" s="40" t="s">
        <v>3433</v>
      </c>
      <c r="E1631" s="41">
        <v>959.97</v>
      </c>
      <c r="F1631" s="40" t="s">
        <v>3433</v>
      </c>
      <c r="G1631" s="41">
        <v>959.18169999999998</v>
      </c>
      <c r="H1631" s="40"/>
      <c r="I1631" s="41"/>
      <c r="J1631" s="41">
        <f t="shared" si="6"/>
        <v>959.57584999999995</v>
      </c>
      <c r="K1631" s="42" t="s">
        <v>5796</v>
      </c>
      <c r="L1631" s="39">
        <v>1235</v>
      </c>
    </row>
    <row r="1632" spans="1:12" ht="11.25" customHeight="1">
      <c r="A1632" s="39">
        <v>1390</v>
      </c>
      <c r="B1632" s="40" t="s">
        <v>13421</v>
      </c>
      <c r="C1632" s="40" t="s">
        <v>13422</v>
      </c>
      <c r="D1632" s="40" t="s">
        <v>13423</v>
      </c>
      <c r="E1632" s="41">
        <v>653.71</v>
      </c>
      <c r="F1632" s="40" t="s">
        <v>3757</v>
      </c>
      <c r="G1632" s="41">
        <v>653.48440000000005</v>
      </c>
      <c r="H1632" s="40"/>
      <c r="I1632" s="41"/>
      <c r="J1632" s="41">
        <f t="shared" si="6"/>
        <v>653.59720000000004</v>
      </c>
      <c r="K1632" s="42" t="s">
        <v>5796</v>
      </c>
      <c r="L1632" s="39">
        <v>1390</v>
      </c>
    </row>
    <row r="1633" spans="1:12" ht="11.25" customHeight="1">
      <c r="A1633" s="39">
        <v>3397</v>
      </c>
      <c r="B1633" s="40" t="s">
        <v>13424</v>
      </c>
      <c r="C1633" s="40" t="s">
        <v>13425</v>
      </c>
      <c r="D1633" s="40" t="s">
        <v>5670</v>
      </c>
      <c r="E1633" s="41">
        <v>21.89</v>
      </c>
      <c r="F1633" s="40" t="s">
        <v>5670</v>
      </c>
      <c r="G1633" s="41">
        <v>20.734400000000001</v>
      </c>
      <c r="H1633" s="40"/>
      <c r="I1633" s="41"/>
      <c r="J1633" s="41">
        <f t="shared" si="6"/>
        <v>21.312200000000001</v>
      </c>
      <c r="K1633" s="42" t="s">
        <v>5796</v>
      </c>
      <c r="L1633" s="39">
        <v>3397</v>
      </c>
    </row>
    <row r="1634" spans="1:12" ht="11.25" customHeight="1">
      <c r="A1634" s="39">
        <v>1063</v>
      </c>
      <c r="B1634" s="40" t="s">
        <v>13426</v>
      </c>
      <c r="C1634" s="40" t="s">
        <v>13427</v>
      </c>
      <c r="D1634" s="40" t="s">
        <v>3028</v>
      </c>
      <c r="E1634" s="41">
        <v>1434.91</v>
      </c>
      <c r="F1634" s="40" t="s">
        <v>3028</v>
      </c>
      <c r="G1634" s="41">
        <v>1434.7774999999999</v>
      </c>
      <c r="H1634" s="40"/>
      <c r="I1634" s="41"/>
      <c r="J1634" s="41">
        <f t="shared" si="6"/>
        <v>1434.84375</v>
      </c>
      <c r="K1634" s="42" t="s">
        <v>5796</v>
      </c>
      <c r="L1634" s="39">
        <v>1063</v>
      </c>
    </row>
    <row r="1635" spans="1:12" ht="11.25" customHeight="1">
      <c r="A1635" s="39">
        <v>1984</v>
      </c>
      <c r="B1635" s="40" t="s">
        <v>6863</v>
      </c>
      <c r="C1635" s="40" t="s">
        <v>13428</v>
      </c>
      <c r="D1635" s="40" t="s">
        <v>4708</v>
      </c>
      <c r="E1635" s="41">
        <v>192.13</v>
      </c>
      <c r="F1635" s="40" t="s">
        <v>4708</v>
      </c>
      <c r="G1635" s="41">
        <v>192.1309</v>
      </c>
      <c r="H1635" s="40"/>
      <c r="I1635" s="41"/>
      <c r="J1635" s="41">
        <f t="shared" si="6"/>
        <v>192.13045</v>
      </c>
      <c r="K1635" s="42" t="s">
        <v>5796</v>
      </c>
      <c r="L1635" s="39">
        <v>1984</v>
      </c>
    </row>
    <row r="1636" spans="1:12" ht="11.25" customHeight="1">
      <c r="A1636" s="39">
        <v>426</v>
      </c>
      <c r="B1636" s="40" t="s">
        <v>13429</v>
      </c>
      <c r="C1636" s="40" t="s">
        <v>13430</v>
      </c>
      <c r="D1636" s="40" t="s">
        <v>1277</v>
      </c>
      <c r="E1636" s="41">
        <v>9519.82</v>
      </c>
      <c r="F1636" s="40" t="s">
        <v>1277</v>
      </c>
      <c r="G1636" s="41">
        <v>9521.3065000000006</v>
      </c>
      <c r="H1636" s="40"/>
      <c r="I1636" s="41"/>
      <c r="J1636" s="41">
        <f t="shared" si="6"/>
        <v>9520.5632499999992</v>
      </c>
      <c r="K1636" s="42" t="s">
        <v>5796</v>
      </c>
      <c r="L1636" s="39">
        <v>426</v>
      </c>
    </row>
    <row r="1637" spans="1:12" ht="11.25" customHeight="1">
      <c r="A1637" s="39">
        <v>1798</v>
      </c>
      <c r="B1637" s="40" t="s">
        <v>13431</v>
      </c>
      <c r="C1637" s="40" t="s">
        <v>13432</v>
      </c>
      <c r="D1637" s="40" t="s">
        <v>4477</v>
      </c>
      <c r="E1637" s="41">
        <v>273.27999999999997</v>
      </c>
      <c r="F1637" s="40" t="s">
        <v>4477</v>
      </c>
      <c r="G1637" s="41">
        <v>271.24549999999999</v>
      </c>
      <c r="H1637" s="40"/>
      <c r="I1637" s="41"/>
      <c r="J1637" s="41">
        <f t="shared" si="6"/>
        <v>272.26274999999998</v>
      </c>
      <c r="K1637" s="42" t="s">
        <v>5796</v>
      </c>
      <c r="L1637" s="39">
        <v>1798</v>
      </c>
    </row>
    <row r="1638" spans="1:12" ht="11.25" customHeight="1">
      <c r="A1638" s="39">
        <v>1200</v>
      </c>
      <c r="B1638" s="40" t="s">
        <v>13433</v>
      </c>
      <c r="C1638" s="40" t="s">
        <v>13434</v>
      </c>
      <c r="D1638" s="40" t="s">
        <v>3352</v>
      </c>
      <c r="E1638" s="41">
        <v>1026.19</v>
      </c>
      <c r="F1638" s="40" t="s">
        <v>3352</v>
      </c>
      <c r="G1638" s="41">
        <v>1072.4875999999999</v>
      </c>
      <c r="H1638" s="40"/>
      <c r="I1638" s="41"/>
      <c r="J1638" s="41">
        <f t="shared" si="6"/>
        <v>1049.3388</v>
      </c>
      <c r="K1638" s="42" t="s">
        <v>5796</v>
      </c>
      <c r="L1638" s="39">
        <v>1200</v>
      </c>
    </row>
    <row r="1639" spans="1:12" ht="11.25" customHeight="1">
      <c r="A1639" s="39">
        <v>2503</v>
      </c>
      <c r="B1639" s="40" t="s">
        <v>13435</v>
      </c>
      <c r="C1639" s="40" t="s">
        <v>13436</v>
      </c>
      <c r="D1639" s="40" t="s">
        <v>13437</v>
      </c>
      <c r="E1639" s="41">
        <v>81.31</v>
      </c>
      <c r="F1639" s="40" t="s">
        <v>6867</v>
      </c>
      <c r="G1639" s="41">
        <v>80.5441</v>
      </c>
      <c r="H1639" s="40"/>
      <c r="I1639" s="41"/>
      <c r="J1639" s="41">
        <f t="shared" si="6"/>
        <v>80.927050000000008</v>
      </c>
      <c r="K1639" s="42" t="s">
        <v>5796</v>
      </c>
      <c r="L1639" s="39">
        <v>2503</v>
      </c>
    </row>
    <row r="1640" spans="1:12" ht="11.25" customHeight="1">
      <c r="A1640" s="39">
        <v>3345</v>
      </c>
      <c r="B1640" s="40" t="s">
        <v>13438</v>
      </c>
      <c r="C1640" s="40" t="s">
        <v>13439</v>
      </c>
      <c r="D1640" s="40" t="s">
        <v>5658</v>
      </c>
      <c r="E1640" s="41">
        <v>22.23</v>
      </c>
      <c r="F1640" s="40" t="s">
        <v>5658</v>
      </c>
      <c r="G1640" s="41">
        <v>23.489599999999999</v>
      </c>
      <c r="H1640" s="40"/>
      <c r="I1640" s="41"/>
      <c r="J1640" s="41">
        <f t="shared" si="6"/>
        <v>22.8598</v>
      </c>
      <c r="K1640" s="42" t="s">
        <v>5796</v>
      </c>
      <c r="L1640" s="39">
        <v>3345</v>
      </c>
    </row>
    <row r="1641" spans="1:12" ht="11.25" customHeight="1">
      <c r="A1641" s="39">
        <v>1436</v>
      </c>
      <c r="B1641" s="40" t="s">
        <v>13440</v>
      </c>
      <c r="C1641" s="40" t="s">
        <v>13441</v>
      </c>
      <c r="D1641" s="40" t="s">
        <v>3841</v>
      </c>
      <c r="E1641" s="41">
        <v>590.92999999999995</v>
      </c>
      <c r="F1641" s="40" t="s">
        <v>3841</v>
      </c>
      <c r="G1641" s="41">
        <v>589.87109999999996</v>
      </c>
      <c r="H1641" s="40"/>
      <c r="I1641" s="41"/>
      <c r="J1641" s="41">
        <f t="shared" si="6"/>
        <v>590.40054999999995</v>
      </c>
      <c r="K1641" s="42" t="s">
        <v>5796</v>
      </c>
      <c r="L1641" s="39">
        <v>1436</v>
      </c>
    </row>
    <row r="1642" spans="1:12" ht="11.25" customHeight="1">
      <c r="A1642" s="47">
        <v>95</v>
      </c>
      <c r="B1642" s="48" t="s">
        <v>13442</v>
      </c>
      <c r="C1642" s="48" t="s">
        <v>13443</v>
      </c>
      <c r="D1642" s="48" t="s">
        <v>299</v>
      </c>
      <c r="E1642" s="49">
        <v>68378.490000000005</v>
      </c>
      <c r="F1642" s="48" t="s">
        <v>299</v>
      </c>
      <c r="G1642" s="49">
        <v>68388.601699999999</v>
      </c>
      <c r="H1642" s="48"/>
      <c r="I1642" s="49"/>
      <c r="J1642" s="49">
        <f t="shared" si="6"/>
        <v>68383.545849999995</v>
      </c>
      <c r="K1642" s="50" t="s">
        <v>5815</v>
      </c>
      <c r="L1642" s="47">
        <v>95</v>
      </c>
    </row>
    <row r="1643" spans="1:12" ht="11.25" customHeight="1">
      <c r="A1643" s="39">
        <v>1688</v>
      </c>
      <c r="B1643" s="40" t="s">
        <v>13444</v>
      </c>
      <c r="C1643" s="40" t="s">
        <v>13445</v>
      </c>
      <c r="D1643" s="40" t="s">
        <v>4318</v>
      </c>
      <c r="E1643" s="41">
        <v>330.67</v>
      </c>
      <c r="F1643" s="40" t="s">
        <v>4318</v>
      </c>
      <c r="G1643" s="41">
        <v>341.17989999999998</v>
      </c>
      <c r="H1643" s="40"/>
      <c r="I1643" s="41"/>
      <c r="J1643" s="41">
        <f t="shared" si="6"/>
        <v>335.92494999999997</v>
      </c>
      <c r="K1643" s="42" t="s">
        <v>5796</v>
      </c>
      <c r="L1643" s="39">
        <v>1688</v>
      </c>
    </row>
    <row r="1644" spans="1:12" ht="11.25" customHeight="1">
      <c r="A1644" s="39">
        <v>1193</v>
      </c>
      <c r="B1644" s="40" t="s">
        <v>13446</v>
      </c>
      <c r="C1644" s="40" t="s">
        <v>13447</v>
      </c>
      <c r="D1644" s="40" t="s">
        <v>3331</v>
      </c>
      <c r="E1644" s="41">
        <v>1068.75</v>
      </c>
      <c r="F1644" s="40" t="s">
        <v>3331</v>
      </c>
      <c r="G1644" s="41">
        <v>1068.7143000000001</v>
      </c>
      <c r="H1644" s="40"/>
      <c r="I1644" s="41"/>
      <c r="J1644" s="41">
        <f t="shared" si="6"/>
        <v>1068.73215</v>
      </c>
      <c r="K1644" s="42" t="s">
        <v>5796</v>
      </c>
      <c r="L1644" s="39">
        <v>1193</v>
      </c>
    </row>
    <row r="1645" spans="1:12" ht="11.25" customHeight="1">
      <c r="A1645" s="39">
        <v>2584</v>
      </c>
      <c r="B1645" s="40" t="s">
        <v>13448</v>
      </c>
      <c r="C1645" s="40" t="s">
        <v>13449</v>
      </c>
      <c r="D1645" s="40"/>
      <c r="E1645" s="41"/>
      <c r="F1645" s="40" t="s">
        <v>5367</v>
      </c>
      <c r="G1645" s="41">
        <v>70.901899999999998</v>
      </c>
      <c r="H1645" s="40"/>
      <c r="I1645" s="41"/>
      <c r="J1645" s="41">
        <f t="shared" si="6"/>
        <v>70.901899999999998</v>
      </c>
      <c r="K1645" s="42" t="s">
        <v>5796</v>
      </c>
      <c r="L1645" s="39">
        <v>2584</v>
      </c>
    </row>
    <row r="1646" spans="1:12" ht="11.25" customHeight="1">
      <c r="A1646" s="39">
        <v>679</v>
      </c>
      <c r="B1646" s="40" t="s">
        <v>13450</v>
      </c>
      <c r="C1646" s="40" t="s">
        <v>13451</v>
      </c>
      <c r="D1646" s="40" t="s">
        <v>1994</v>
      </c>
      <c r="E1646" s="41">
        <v>4052.47</v>
      </c>
      <c r="F1646" s="40" t="s">
        <v>1994</v>
      </c>
      <c r="G1646" s="41">
        <v>4053.4191000000001</v>
      </c>
      <c r="H1646" s="40"/>
      <c r="I1646" s="41"/>
      <c r="J1646" s="41">
        <f t="shared" si="6"/>
        <v>4052.9445500000002</v>
      </c>
      <c r="K1646" s="42" t="s">
        <v>5796</v>
      </c>
      <c r="L1646" s="39">
        <v>679</v>
      </c>
    </row>
    <row r="1647" spans="1:12" ht="11.25" customHeight="1">
      <c r="A1647" s="39">
        <v>655</v>
      </c>
      <c r="B1647" s="40" t="s">
        <v>6875</v>
      </c>
      <c r="C1647" s="40" t="s">
        <v>13452</v>
      </c>
      <c r="D1647" s="40" t="s">
        <v>1919</v>
      </c>
      <c r="E1647" s="41">
        <v>4403.1400000000003</v>
      </c>
      <c r="F1647" s="40" t="s">
        <v>1919</v>
      </c>
      <c r="G1647" s="41">
        <v>4392.8125</v>
      </c>
      <c r="H1647" s="40"/>
      <c r="I1647" s="41"/>
      <c r="J1647" s="41">
        <f t="shared" si="6"/>
        <v>4397.9762499999997</v>
      </c>
      <c r="K1647" s="42" t="s">
        <v>5796</v>
      </c>
      <c r="L1647" s="39">
        <v>655</v>
      </c>
    </row>
    <row r="1648" spans="1:12" ht="11.25" customHeight="1">
      <c r="A1648" s="39">
        <v>544</v>
      </c>
      <c r="B1648" s="40" t="s">
        <v>13453</v>
      </c>
      <c r="C1648" s="40" t="s">
        <v>13454</v>
      </c>
      <c r="D1648" s="40" t="s">
        <v>1613</v>
      </c>
      <c r="E1648" s="41">
        <v>6449.64</v>
      </c>
      <c r="F1648" s="40" t="s">
        <v>1613</v>
      </c>
      <c r="G1648" s="41">
        <v>6582.1671999999999</v>
      </c>
      <c r="H1648" s="40"/>
      <c r="I1648" s="41"/>
      <c r="J1648" s="41">
        <f t="shared" si="6"/>
        <v>6515.9035999999996</v>
      </c>
      <c r="K1648" s="42" t="s">
        <v>5796</v>
      </c>
      <c r="L1648" s="39">
        <v>544</v>
      </c>
    </row>
    <row r="1649" spans="1:12" ht="11.25" customHeight="1">
      <c r="A1649" s="43">
        <v>177</v>
      </c>
      <c r="B1649" s="44" t="s">
        <v>13455</v>
      </c>
      <c r="C1649" s="44" t="s">
        <v>13456</v>
      </c>
      <c r="D1649" s="44" t="s">
        <v>542</v>
      </c>
      <c r="E1649" s="45">
        <v>34670.980000000003</v>
      </c>
      <c r="F1649" s="44" t="s">
        <v>542</v>
      </c>
      <c r="G1649" s="45">
        <v>34621.4444</v>
      </c>
      <c r="H1649" s="44"/>
      <c r="I1649" s="45"/>
      <c r="J1649" s="45">
        <f t="shared" si="6"/>
        <v>34646.212200000002</v>
      </c>
      <c r="K1649" s="46" t="s">
        <v>5800</v>
      </c>
      <c r="L1649" s="43">
        <v>177</v>
      </c>
    </row>
    <row r="1650" spans="1:12" ht="11.25" customHeight="1">
      <c r="A1650" s="39">
        <v>1712</v>
      </c>
      <c r="B1650" s="40" t="s">
        <v>13457</v>
      </c>
      <c r="C1650" s="40" t="s">
        <v>13458</v>
      </c>
      <c r="D1650" s="40" t="s">
        <v>4357</v>
      </c>
      <c r="E1650" s="41">
        <v>325.27</v>
      </c>
      <c r="F1650" s="40" t="s">
        <v>4357</v>
      </c>
      <c r="G1650" s="41">
        <v>325.24779999999998</v>
      </c>
      <c r="H1650" s="40"/>
      <c r="I1650" s="41"/>
      <c r="J1650" s="41">
        <f t="shared" si="6"/>
        <v>325.25889999999998</v>
      </c>
      <c r="K1650" s="42" t="s">
        <v>5796</v>
      </c>
      <c r="L1650" s="39">
        <v>1712</v>
      </c>
    </row>
    <row r="1651" spans="1:12" ht="11.25" customHeight="1">
      <c r="A1651" s="39">
        <v>2020</v>
      </c>
      <c r="B1651" s="40" t="s">
        <v>6877</v>
      </c>
      <c r="C1651" s="40" t="s">
        <v>13459</v>
      </c>
      <c r="D1651" s="40" t="s">
        <v>4774</v>
      </c>
      <c r="E1651" s="41">
        <v>182.66</v>
      </c>
      <c r="F1651" s="40" t="s">
        <v>4774</v>
      </c>
      <c r="G1651" s="41">
        <v>183.47980000000001</v>
      </c>
      <c r="H1651" s="40"/>
      <c r="I1651" s="41"/>
      <c r="J1651" s="41">
        <f t="shared" si="6"/>
        <v>183.06990000000002</v>
      </c>
      <c r="K1651" s="42" t="s">
        <v>5796</v>
      </c>
      <c r="L1651" s="39">
        <v>2020</v>
      </c>
    </row>
    <row r="1652" spans="1:12" ht="11.25" customHeight="1">
      <c r="A1652" s="39">
        <v>1374</v>
      </c>
      <c r="B1652" s="40" t="s">
        <v>13460</v>
      </c>
      <c r="C1652" s="40" t="s">
        <v>13461</v>
      </c>
      <c r="D1652" s="40" t="s">
        <v>3715</v>
      </c>
      <c r="E1652" s="41">
        <v>677.81</v>
      </c>
      <c r="F1652" s="40" t="s">
        <v>3715</v>
      </c>
      <c r="G1652" s="41">
        <v>677.40729999999996</v>
      </c>
      <c r="H1652" s="40"/>
      <c r="I1652" s="41"/>
      <c r="J1652" s="41">
        <f t="shared" si="6"/>
        <v>677.6086499999999</v>
      </c>
      <c r="K1652" s="42" t="s">
        <v>5796</v>
      </c>
      <c r="L1652" s="39">
        <v>1374</v>
      </c>
    </row>
    <row r="1653" spans="1:12" ht="11.25" customHeight="1">
      <c r="A1653" s="39">
        <v>1134</v>
      </c>
      <c r="B1653" s="40" t="s">
        <v>13462</v>
      </c>
      <c r="C1653" s="40" t="s">
        <v>13463</v>
      </c>
      <c r="D1653" s="40" t="s">
        <v>3196</v>
      </c>
      <c r="E1653" s="41">
        <v>1240.78</v>
      </c>
      <c r="F1653" s="40" t="s">
        <v>3196</v>
      </c>
      <c r="G1653" s="41">
        <v>1240.9421</v>
      </c>
      <c r="H1653" s="40"/>
      <c r="I1653" s="41"/>
      <c r="J1653" s="41">
        <f t="shared" si="6"/>
        <v>1240.86105</v>
      </c>
      <c r="K1653" s="42" t="s">
        <v>5796</v>
      </c>
      <c r="L1653" s="39">
        <v>1134</v>
      </c>
    </row>
    <row r="1654" spans="1:12" ht="11.25" customHeight="1">
      <c r="A1654" s="39">
        <v>2388</v>
      </c>
      <c r="B1654" s="40" t="s">
        <v>13464</v>
      </c>
      <c r="C1654" s="40" t="s">
        <v>13465</v>
      </c>
      <c r="D1654" s="40"/>
      <c r="E1654" s="41"/>
      <c r="F1654" s="40" t="s">
        <v>5203</v>
      </c>
      <c r="G1654" s="41">
        <v>98.663300000000007</v>
      </c>
      <c r="H1654" s="40"/>
      <c r="I1654" s="41"/>
      <c r="J1654" s="41">
        <f t="shared" si="6"/>
        <v>98.663300000000007</v>
      </c>
      <c r="K1654" s="42" t="s">
        <v>5796</v>
      </c>
      <c r="L1654" s="39">
        <v>2388</v>
      </c>
    </row>
    <row r="1655" spans="1:12" ht="11.25" customHeight="1">
      <c r="A1655" s="39">
        <v>1210</v>
      </c>
      <c r="B1655" s="40" t="s">
        <v>13466</v>
      </c>
      <c r="C1655" s="40" t="s">
        <v>13467</v>
      </c>
      <c r="D1655" s="40" t="s">
        <v>3379</v>
      </c>
      <c r="E1655" s="41">
        <v>1022.61</v>
      </c>
      <c r="F1655" s="40" t="s">
        <v>3379</v>
      </c>
      <c r="G1655" s="41">
        <v>1022.171</v>
      </c>
      <c r="H1655" s="40"/>
      <c r="I1655" s="41"/>
      <c r="J1655" s="41">
        <f t="shared" si="6"/>
        <v>1022.3905</v>
      </c>
      <c r="K1655" s="42" t="s">
        <v>5796</v>
      </c>
      <c r="L1655" s="39">
        <v>1210</v>
      </c>
    </row>
    <row r="1656" spans="1:12" ht="11.25" customHeight="1">
      <c r="A1656" s="39">
        <v>1592</v>
      </c>
      <c r="B1656" s="40" t="s">
        <v>13468</v>
      </c>
      <c r="C1656" s="40" t="s">
        <v>13469</v>
      </c>
      <c r="D1656" s="40" t="s">
        <v>4132</v>
      </c>
      <c r="E1656" s="41">
        <v>417.91</v>
      </c>
      <c r="F1656" s="40" t="s">
        <v>4132</v>
      </c>
      <c r="G1656" s="41">
        <v>418.01639999999998</v>
      </c>
      <c r="H1656" s="40"/>
      <c r="I1656" s="41"/>
      <c r="J1656" s="41">
        <f t="shared" si="6"/>
        <v>417.96320000000003</v>
      </c>
      <c r="K1656" s="42" t="s">
        <v>5796</v>
      </c>
      <c r="L1656" s="39">
        <v>1592</v>
      </c>
    </row>
    <row r="1657" spans="1:12" ht="11.25" customHeight="1">
      <c r="A1657" s="39">
        <v>1120</v>
      </c>
      <c r="B1657" s="40" t="s">
        <v>13470</v>
      </c>
      <c r="C1657" s="40" t="s">
        <v>13471</v>
      </c>
      <c r="D1657" s="40" t="s">
        <v>3163</v>
      </c>
      <c r="E1657" s="41">
        <v>1279.28</v>
      </c>
      <c r="F1657" s="40" t="s">
        <v>3163</v>
      </c>
      <c r="G1657" s="41">
        <v>1278.8914</v>
      </c>
      <c r="H1657" s="40"/>
      <c r="I1657" s="41"/>
      <c r="J1657" s="41">
        <f t="shared" si="6"/>
        <v>1279.0857000000001</v>
      </c>
      <c r="K1657" s="42" t="s">
        <v>5796</v>
      </c>
      <c r="L1657" s="39">
        <v>1120</v>
      </c>
    </row>
    <row r="1658" spans="1:12" ht="11.25" customHeight="1">
      <c r="A1658" s="39">
        <v>569</v>
      </c>
      <c r="B1658" s="40" t="s">
        <v>13472</v>
      </c>
      <c r="C1658" s="40" t="s">
        <v>13473</v>
      </c>
      <c r="D1658" s="40" t="s">
        <v>1688</v>
      </c>
      <c r="E1658" s="41">
        <v>6081.15</v>
      </c>
      <c r="F1658" s="40" t="s">
        <v>1688</v>
      </c>
      <c r="G1658" s="41">
        <v>6080.2347</v>
      </c>
      <c r="H1658" s="40"/>
      <c r="I1658" s="41"/>
      <c r="J1658" s="41">
        <f t="shared" si="6"/>
        <v>6080.6923499999994</v>
      </c>
      <c r="K1658" s="42" t="s">
        <v>5796</v>
      </c>
      <c r="L1658" s="39">
        <v>569</v>
      </c>
    </row>
    <row r="1659" spans="1:12" ht="11.25" customHeight="1">
      <c r="A1659" s="39">
        <v>1010</v>
      </c>
      <c r="B1659" s="40" t="s">
        <v>6885</v>
      </c>
      <c r="C1659" s="40" t="s">
        <v>13474</v>
      </c>
      <c r="D1659" s="40" t="s">
        <v>2893</v>
      </c>
      <c r="E1659" s="41">
        <v>1667.83</v>
      </c>
      <c r="F1659" s="40" t="s">
        <v>2893</v>
      </c>
      <c r="G1659" s="41">
        <v>1667.9041999999999</v>
      </c>
      <c r="H1659" s="40"/>
      <c r="I1659" s="41"/>
      <c r="J1659" s="41">
        <f t="shared" si="6"/>
        <v>1667.8670999999999</v>
      </c>
      <c r="K1659" s="42" t="s">
        <v>5796</v>
      </c>
      <c r="L1659" s="39">
        <v>1010</v>
      </c>
    </row>
    <row r="1660" spans="1:12" ht="11.25" customHeight="1">
      <c r="A1660" s="39">
        <v>798</v>
      </c>
      <c r="B1660" s="40" t="s">
        <v>13475</v>
      </c>
      <c r="C1660" s="40" t="s">
        <v>13476</v>
      </c>
      <c r="D1660" s="40" t="s">
        <v>2323</v>
      </c>
      <c r="E1660" s="41">
        <v>2878.76</v>
      </c>
      <c r="F1660" s="40" t="s">
        <v>2323</v>
      </c>
      <c r="G1660" s="41">
        <v>2879.1828999999998</v>
      </c>
      <c r="H1660" s="40"/>
      <c r="I1660" s="41"/>
      <c r="J1660" s="41">
        <f t="shared" si="6"/>
        <v>2878.97145</v>
      </c>
      <c r="K1660" s="42" t="s">
        <v>5796</v>
      </c>
      <c r="L1660" s="39">
        <v>798</v>
      </c>
    </row>
    <row r="1661" spans="1:12" ht="11.25" customHeight="1">
      <c r="A1661" s="39">
        <v>892</v>
      </c>
      <c r="B1661" s="40" t="s">
        <v>13477</v>
      </c>
      <c r="C1661" s="40" t="s">
        <v>13478</v>
      </c>
      <c r="D1661" s="40" t="s">
        <v>2587</v>
      </c>
      <c r="E1661" s="41">
        <v>2173.7199999999998</v>
      </c>
      <c r="F1661" s="40" t="s">
        <v>2587</v>
      </c>
      <c r="G1661" s="41">
        <v>2174.0988000000002</v>
      </c>
      <c r="H1661" s="40"/>
      <c r="I1661" s="41"/>
      <c r="J1661" s="41">
        <f t="shared" si="6"/>
        <v>2173.9094</v>
      </c>
      <c r="K1661" s="42" t="s">
        <v>5796</v>
      </c>
      <c r="L1661" s="39">
        <v>892</v>
      </c>
    </row>
    <row r="1662" spans="1:12" ht="11.25" customHeight="1">
      <c r="A1662" s="39">
        <v>973</v>
      </c>
      <c r="B1662" s="40" t="s">
        <v>13479</v>
      </c>
      <c r="C1662" s="40" t="s">
        <v>13480</v>
      </c>
      <c r="D1662" s="40" t="s">
        <v>13481</v>
      </c>
      <c r="E1662" s="41">
        <v>1840.9</v>
      </c>
      <c r="F1662" s="40" t="s">
        <v>2791</v>
      </c>
      <c r="G1662" s="41">
        <v>1840.2424000000001</v>
      </c>
      <c r="H1662" s="40"/>
      <c r="I1662" s="41"/>
      <c r="J1662" s="41">
        <f t="shared" si="6"/>
        <v>1840.5712000000001</v>
      </c>
      <c r="K1662" s="42" t="s">
        <v>5796</v>
      </c>
      <c r="L1662" s="39">
        <v>973</v>
      </c>
    </row>
    <row r="1663" spans="1:12" ht="11.25" customHeight="1">
      <c r="A1663" s="39">
        <v>815</v>
      </c>
      <c r="B1663" s="40" t="s">
        <v>13482</v>
      </c>
      <c r="C1663" s="40" t="s">
        <v>13483</v>
      </c>
      <c r="D1663" s="40" t="s">
        <v>2368</v>
      </c>
      <c r="E1663" s="41">
        <v>2757.65</v>
      </c>
      <c r="F1663" s="40" t="s">
        <v>2368</v>
      </c>
      <c r="G1663" s="41">
        <v>2757.5599000000002</v>
      </c>
      <c r="H1663" s="40"/>
      <c r="I1663" s="41"/>
      <c r="J1663" s="41">
        <f t="shared" si="6"/>
        <v>2757.6049499999999</v>
      </c>
      <c r="K1663" s="42" t="s">
        <v>5796</v>
      </c>
      <c r="L1663" s="39">
        <v>815</v>
      </c>
    </row>
    <row r="1664" spans="1:12" ht="11.25" customHeight="1">
      <c r="A1664" s="39">
        <v>744</v>
      </c>
      <c r="B1664" s="40" t="s">
        <v>13484</v>
      </c>
      <c r="C1664" s="40" t="s">
        <v>13485</v>
      </c>
      <c r="D1664" s="40" t="s">
        <v>2179</v>
      </c>
      <c r="E1664" s="41">
        <v>3396.38</v>
      </c>
      <c r="F1664" s="40" t="s">
        <v>2179</v>
      </c>
      <c r="G1664" s="41">
        <v>3396.8416000000002</v>
      </c>
      <c r="H1664" s="40"/>
      <c r="I1664" s="41"/>
      <c r="J1664" s="41">
        <f t="shared" si="6"/>
        <v>3396.6108000000004</v>
      </c>
      <c r="K1664" s="42" t="s">
        <v>5796</v>
      </c>
      <c r="L1664" s="39">
        <v>744</v>
      </c>
    </row>
    <row r="1665" spans="1:12" ht="11.25" customHeight="1">
      <c r="A1665" s="39">
        <v>1380</v>
      </c>
      <c r="B1665" s="40" t="s">
        <v>13486</v>
      </c>
      <c r="C1665" s="40" t="s">
        <v>13487</v>
      </c>
      <c r="D1665" s="40" t="s">
        <v>3730</v>
      </c>
      <c r="E1665" s="41">
        <v>669.33</v>
      </c>
      <c r="F1665" s="40" t="s">
        <v>3730</v>
      </c>
      <c r="G1665" s="41">
        <v>669.35289999999998</v>
      </c>
      <c r="H1665" s="40"/>
      <c r="I1665" s="41"/>
      <c r="J1665" s="41">
        <f t="shared" si="6"/>
        <v>669.34145000000001</v>
      </c>
      <c r="K1665" s="42" t="s">
        <v>5796</v>
      </c>
      <c r="L1665" s="39">
        <v>1380</v>
      </c>
    </row>
    <row r="1666" spans="1:12" ht="11.25" customHeight="1">
      <c r="A1666" s="39">
        <v>683</v>
      </c>
      <c r="B1666" s="40" t="s">
        <v>13488</v>
      </c>
      <c r="C1666" s="40" t="s">
        <v>13489</v>
      </c>
      <c r="D1666" s="40" t="s">
        <v>2003</v>
      </c>
      <c r="E1666" s="41">
        <v>4038.2</v>
      </c>
      <c r="F1666" s="40" t="s">
        <v>2003</v>
      </c>
      <c r="G1666" s="41">
        <v>4036.1635000000001</v>
      </c>
      <c r="H1666" s="40"/>
      <c r="I1666" s="41"/>
      <c r="J1666" s="41">
        <f t="shared" si="6"/>
        <v>4037.1817499999997</v>
      </c>
      <c r="K1666" s="42" t="s">
        <v>5796</v>
      </c>
      <c r="L1666" s="39">
        <v>683</v>
      </c>
    </row>
    <row r="1667" spans="1:12" ht="11.25" customHeight="1">
      <c r="A1667" s="39">
        <v>3096</v>
      </c>
      <c r="B1667" s="40" t="s">
        <v>13490</v>
      </c>
      <c r="C1667" s="40" t="s">
        <v>13491</v>
      </c>
      <c r="D1667" s="40" t="s">
        <v>5580</v>
      </c>
      <c r="E1667" s="41">
        <v>32.96</v>
      </c>
      <c r="F1667" s="40" t="s">
        <v>5580</v>
      </c>
      <c r="G1667" s="41">
        <v>32.8688</v>
      </c>
      <c r="H1667" s="40"/>
      <c r="I1667" s="41"/>
      <c r="J1667" s="41">
        <f t="shared" si="6"/>
        <v>32.914400000000001</v>
      </c>
      <c r="K1667" s="42" t="s">
        <v>5796</v>
      </c>
      <c r="L1667" s="39">
        <v>3096</v>
      </c>
    </row>
    <row r="1668" spans="1:12" ht="11.25" customHeight="1">
      <c r="A1668" s="39">
        <v>262</v>
      </c>
      <c r="B1668" s="40" t="s">
        <v>6891</v>
      </c>
      <c r="C1668" s="40" t="s">
        <v>13492</v>
      </c>
      <c r="D1668" s="40" t="s">
        <v>797</v>
      </c>
      <c r="E1668" s="41">
        <v>20546.13</v>
      </c>
      <c r="F1668" s="40" t="s">
        <v>797</v>
      </c>
      <c r="G1668" s="41">
        <v>20552.426299999999</v>
      </c>
      <c r="H1668" s="40"/>
      <c r="I1668" s="41"/>
      <c r="J1668" s="41">
        <f t="shared" si="6"/>
        <v>20549.278149999998</v>
      </c>
      <c r="K1668" s="42" t="s">
        <v>5796</v>
      </c>
      <c r="L1668" s="39">
        <v>262</v>
      </c>
    </row>
    <row r="1669" spans="1:12" ht="11.25" customHeight="1">
      <c r="A1669" s="39">
        <v>2343</v>
      </c>
      <c r="B1669" s="40" t="s">
        <v>13493</v>
      </c>
      <c r="C1669" s="40" t="s">
        <v>13494</v>
      </c>
      <c r="D1669" s="40"/>
      <c r="E1669" s="41"/>
      <c r="F1669" s="40" t="s">
        <v>5167</v>
      </c>
      <c r="G1669" s="41">
        <v>105.6634</v>
      </c>
      <c r="H1669" s="40"/>
      <c r="I1669" s="41"/>
      <c r="J1669" s="41">
        <f t="shared" si="6"/>
        <v>105.6634</v>
      </c>
      <c r="K1669" s="42" t="s">
        <v>5796</v>
      </c>
      <c r="L1669" s="39">
        <v>2343</v>
      </c>
    </row>
    <row r="1670" spans="1:12" ht="11.25" customHeight="1">
      <c r="A1670" s="39">
        <v>1163</v>
      </c>
      <c r="B1670" s="40" t="s">
        <v>6893</v>
      </c>
      <c r="C1670" s="40" t="s">
        <v>13495</v>
      </c>
      <c r="D1670" s="40" t="s">
        <v>3259</v>
      </c>
      <c r="E1670" s="41">
        <v>1126.06</v>
      </c>
      <c r="F1670" s="40" t="s">
        <v>3259</v>
      </c>
      <c r="G1670" s="41">
        <v>1126.6002000000001</v>
      </c>
      <c r="H1670" s="40"/>
      <c r="I1670" s="41"/>
      <c r="J1670" s="41">
        <f t="shared" si="6"/>
        <v>1126.3301000000001</v>
      </c>
      <c r="K1670" s="42" t="s">
        <v>5796</v>
      </c>
      <c r="L1670" s="39">
        <v>1163</v>
      </c>
    </row>
    <row r="1671" spans="1:12" ht="11.25" customHeight="1">
      <c r="A1671" s="39">
        <v>777</v>
      </c>
      <c r="B1671" s="40" t="s">
        <v>13496</v>
      </c>
      <c r="C1671" s="40" t="s">
        <v>13497</v>
      </c>
      <c r="D1671" s="40" t="s">
        <v>13498</v>
      </c>
      <c r="E1671" s="41">
        <v>3101.48</v>
      </c>
      <c r="F1671" s="40" t="s">
        <v>13498</v>
      </c>
      <c r="G1671" s="41">
        <v>3058.5882999999999</v>
      </c>
      <c r="H1671" s="40"/>
      <c r="I1671" s="41"/>
      <c r="J1671" s="41">
        <f t="shared" si="6"/>
        <v>3080.03415</v>
      </c>
      <c r="K1671" s="42" t="s">
        <v>5796</v>
      </c>
      <c r="L1671" s="39">
        <v>777</v>
      </c>
    </row>
    <row r="1672" spans="1:12" ht="11.25" customHeight="1">
      <c r="A1672" s="39">
        <v>2208</v>
      </c>
      <c r="B1672" s="40" t="s">
        <v>13499</v>
      </c>
      <c r="C1672" s="40" t="s">
        <v>13500</v>
      </c>
      <c r="D1672" s="40" t="s">
        <v>5032</v>
      </c>
      <c r="E1672" s="41">
        <v>130.49</v>
      </c>
      <c r="F1672" s="40" t="s">
        <v>5032</v>
      </c>
      <c r="G1672" s="41">
        <v>130.4119</v>
      </c>
      <c r="H1672" s="40"/>
      <c r="I1672" s="41"/>
      <c r="J1672" s="41">
        <f t="shared" si="6"/>
        <v>130.45095000000001</v>
      </c>
      <c r="K1672" s="42" t="s">
        <v>5796</v>
      </c>
      <c r="L1672" s="39">
        <v>2208</v>
      </c>
    </row>
    <row r="1673" spans="1:12" ht="11.25" customHeight="1">
      <c r="A1673" s="43">
        <v>189</v>
      </c>
      <c r="B1673" s="44" t="s">
        <v>6897</v>
      </c>
      <c r="C1673" s="44" t="s">
        <v>13501</v>
      </c>
      <c r="D1673" s="44" t="s">
        <v>578</v>
      </c>
      <c r="E1673" s="45">
        <v>33155.17</v>
      </c>
      <c r="F1673" s="44" t="s">
        <v>578</v>
      </c>
      <c r="G1673" s="45">
        <v>33171.267</v>
      </c>
      <c r="H1673" s="44"/>
      <c r="I1673" s="45"/>
      <c r="J1673" s="45">
        <f t="shared" si="6"/>
        <v>33163.218500000003</v>
      </c>
      <c r="K1673" s="46" t="s">
        <v>5800</v>
      </c>
      <c r="L1673" s="43">
        <v>189</v>
      </c>
    </row>
    <row r="1674" spans="1:12" ht="11.25" customHeight="1">
      <c r="A1674" s="39">
        <v>800</v>
      </c>
      <c r="B1674" s="40" t="s">
        <v>13502</v>
      </c>
      <c r="C1674" s="40" t="s">
        <v>13503</v>
      </c>
      <c r="D1674" s="40"/>
      <c r="E1674" s="41"/>
      <c r="F1674" s="40" t="s">
        <v>2329</v>
      </c>
      <c r="G1674" s="41">
        <v>2867.1100999999999</v>
      </c>
      <c r="H1674" s="40"/>
      <c r="I1674" s="41"/>
      <c r="J1674" s="41">
        <f t="shared" si="6"/>
        <v>2867.1100999999999</v>
      </c>
      <c r="K1674" s="42" t="s">
        <v>5796</v>
      </c>
      <c r="L1674" s="39">
        <v>800</v>
      </c>
    </row>
    <row r="1675" spans="1:12" ht="11.25" customHeight="1">
      <c r="A1675" s="39">
        <v>1915</v>
      </c>
      <c r="B1675" s="40" t="s">
        <v>6899</v>
      </c>
      <c r="C1675" s="40" t="s">
        <v>13504</v>
      </c>
      <c r="D1675" s="40" t="s">
        <v>4624</v>
      </c>
      <c r="E1675" s="41">
        <v>212.13</v>
      </c>
      <c r="F1675" s="40" t="s">
        <v>4624</v>
      </c>
      <c r="G1675" s="41">
        <v>212.5521</v>
      </c>
      <c r="H1675" s="40"/>
      <c r="I1675" s="41"/>
      <c r="J1675" s="41">
        <f t="shared" si="6"/>
        <v>212.34105</v>
      </c>
      <c r="K1675" s="42" t="s">
        <v>5796</v>
      </c>
      <c r="L1675" s="39">
        <v>1915</v>
      </c>
    </row>
    <row r="1676" spans="1:12" ht="11.25" customHeight="1">
      <c r="A1676" s="43">
        <v>218</v>
      </c>
      <c r="B1676" s="44" t="s">
        <v>13505</v>
      </c>
      <c r="C1676" s="44" t="s">
        <v>13506</v>
      </c>
      <c r="D1676" s="44" t="s">
        <v>665</v>
      </c>
      <c r="E1676" s="45">
        <v>26212.49</v>
      </c>
      <c r="F1676" s="44" t="s">
        <v>665</v>
      </c>
      <c r="G1676" s="45">
        <v>26223.7156</v>
      </c>
      <c r="H1676" s="44"/>
      <c r="I1676" s="45"/>
      <c r="J1676" s="45">
        <f t="shared" si="6"/>
        <v>26218.102800000001</v>
      </c>
      <c r="K1676" s="46" t="s">
        <v>5800</v>
      </c>
      <c r="L1676" s="43">
        <v>218</v>
      </c>
    </row>
    <row r="1677" spans="1:12" ht="11.25" customHeight="1">
      <c r="A1677" s="39">
        <v>717</v>
      </c>
      <c r="B1677" s="40" t="s">
        <v>13507</v>
      </c>
      <c r="C1677" s="40" t="s">
        <v>13508</v>
      </c>
      <c r="D1677" s="40" t="s">
        <v>2098</v>
      </c>
      <c r="E1677" s="41">
        <v>3638.2</v>
      </c>
      <c r="F1677" s="40" t="s">
        <v>2098</v>
      </c>
      <c r="G1677" s="41">
        <v>3637.7150000000001</v>
      </c>
      <c r="H1677" s="40"/>
      <c r="I1677" s="41"/>
      <c r="J1677" s="41">
        <f t="shared" si="6"/>
        <v>3637.9575</v>
      </c>
      <c r="K1677" s="42" t="s">
        <v>5796</v>
      </c>
      <c r="L1677" s="39">
        <v>717</v>
      </c>
    </row>
    <row r="1678" spans="1:12" ht="11.25" customHeight="1">
      <c r="A1678" s="47">
        <v>20</v>
      </c>
      <c r="B1678" s="48" t="s">
        <v>13509</v>
      </c>
      <c r="C1678" s="48" t="s">
        <v>13510</v>
      </c>
      <c r="D1678" s="48" t="s">
        <v>66</v>
      </c>
      <c r="E1678" s="49">
        <v>275665.51</v>
      </c>
      <c r="F1678" s="48" t="s">
        <v>66</v>
      </c>
      <c r="G1678" s="49">
        <v>275711.35460000002</v>
      </c>
      <c r="H1678" s="48"/>
      <c r="I1678" s="49"/>
      <c r="J1678" s="49">
        <f t="shared" si="6"/>
        <v>275688.43229999999</v>
      </c>
      <c r="K1678" s="50" t="s">
        <v>5815</v>
      </c>
      <c r="L1678" s="47">
        <v>20</v>
      </c>
    </row>
    <row r="1679" spans="1:12" ht="11.25" customHeight="1">
      <c r="A1679" s="39">
        <v>566</v>
      </c>
      <c r="B1679" s="40" t="s">
        <v>13511</v>
      </c>
      <c r="C1679" s="40" t="s">
        <v>13512</v>
      </c>
      <c r="D1679" s="40" t="s">
        <v>1679</v>
      </c>
      <c r="E1679" s="41">
        <v>6087.23</v>
      </c>
      <c r="F1679" s="40" t="s">
        <v>1679</v>
      </c>
      <c r="G1679" s="41">
        <v>6089.5478999999996</v>
      </c>
      <c r="H1679" s="40"/>
      <c r="I1679" s="41"/>
      <c r="J1679" s="41">
        <f t="shared" si="6"/>
        <v>6088.3889499999996</v>
      </c>
      <c r="K1679" s="42" t="s">
        <v>5796</v>
      </c>
      <c r="L1679" s="39">
        <v>566</v>
      </c>
    </row>
    <row r="1680" spans="1:12" ht="11.25" customHeight="1">
      <c r="A1680" s="43">
        <v>235</v>
      </c>
      <c r="B1680" s="44" t="s">
        <v>6904</v>
      </c>
      <c r="C1680" s="44" t="s">
        <v>13513</v>
      </c>
      <c r="D1680" s="44" t="s">
        <v>716</v>
      </c>
      <c r="E1680" s="45">
        <v>23884.77</v>
      </c>
      <c r="F1680" s="44" t="s">
        <v>716</v>
      </c>
      <c r="G1680" s="45">
        <v>23887.8842</v>
      </c>
      <c r="H1680" s="44"/>
      <c r="I1680" s="45"/>
      <c r="J1680" s="45">
        <f t="shared" si="6"/>
        <v>23886.327100000002</v>
      </c>
      <c r="K1680" s="46" t="s">
        <v>5800</v>
      </c>
      <c r="L1680" s="43">
        <v>235</v>
      </c>
    </row>
    <row r="1681" spans="1:12" ht="11.25" customHeight="1">
      <c r="A1681" s="39">
        <v>1854</v>
      </c>
      <c r="B1681" s="40" t="s">
        <v>13514</v>
      </c>
      <c r="C1681" s="40" t="s">
        <v>13515</v>
      </c>
      <c r="D1681" s="40" t="s">
        <v>4543</v>
      </c>
      <c r="E1681" s="41">
        <v>246.44</v>
      </c>
      <c r="F1681" s="40" t="s">
        <v>4543</v>
      </c>
      <c r="G1681" s="41">
        <v>246.4701</v>
      </c>
      <c r="H1681" s="40"/>
      <c r="I1681" s="41"/>
      <c r="J1681" s="41">
        <f t="shared" si="6"/>
        <v>246.45505</v>
      </c>
      <c r="K1681" s="42" t="s">
        <v>5796</v>
      </c>
      <c r="L1681" s="39">
        <v>1854</v>
      </c>
    </row>
    <row r="1682" spans="1:12" ht="11.25" customHeight="1">
      <c r="A1682" s="39">
        <v>2890</v>
      </c>
      <c r="B1682" s="40" t="s">
        <v>13516</v>
      </c>
      <c r="C1682" s="40" t="s">
        <v>13517</v>
      </c>
      <c r="D1682" s="40" t="s">
        <v>5502</v>
      </c>
      <c r="E1682" s="41">
        <v>44.92</v>
      </c>
      <c r="F1682" s="40" t="s">
        <v>5502</v>
      </c>
      <c r="G1682" s="41">
        <v>44.805</v>
      </c>
      <c r="H1682" s="40"/>
      <c r="I1682" s="41"/>
      <c r="J1682" s="41">
        <f t="shared" si="6"/>
        <v>44.862499999999997</v>
      </c>
      <c r="K1682" s="42" t="s">
        <v>5796</v>
      </c>
      <c r="L1682" s="39">
        <v>2890</v>
      </c>
    </row>
    <row r="1683" spans="1:12" ht="11.25" customHeight="1">
      <c r="A1683" s="39">
        <v>594</v>
      </c>
      <c r="B1683" s="40" t="s">
        <v>13518</v>
      </c>
      <c r="C1683" s="40" t="s">
        <v>13519</v>
      </c>
      <c r="D1683" s="40" t="s">
        <v>1754</v>
      </c>
      <c r="E1683" s="41">
        <v>5482.36</v>
      </c>
      <c r="F1683" s="40" t="s">
        <v>1754</v>
      </c>
      <c r="G1683" s="41">
        <v>5481.5268999999998</v>
      </c>
      <c r="H1683" s="40"/>
      <c r="I1683" s="41"/>
      <c r="J1683" s="41">
        <f t="shared" si="6"/>
        <v>5481.9434499999998</v>
      </c>
      <c r="K1683" s="42" t="s">
        <v>5796</v>
      </c>
      <c r="L1683" s="39">
        <v>594</v>
      </c>
    </row>
    <row r="1684" spans="1:12" ht="11.25" customHeight="1">
      <c r="A1684" s="39">
        <v>3439</v>
      </c>
      <c r="B1684" s="40" t="s">
        <v>13520</v>
      </c>
      <c r="C1684" s="40" t="s">
        <v>13521</v>
      </c>
      <c r="D1684" s="40"/>
      <c r="E1684" s="41"/>
      <c r="F1684" s="40" t="s">
        <v>5682</v>
      </c>
      <c r="G1684" s="41">
        <v>19.663399999999999</v>
      </c>
      <c r="H1684" s="40"/>
      <c r="I1684" s="41"/>
      <c r="J1684" s="41">
        <f t="shared" si="6"/>
        <v>19.663399999999999</v>
      </c>
      <c r="K1684" s="42" t="s">
        <v>5796</v>
      </c>
      <c r="L1684" s="39">
        <v>3439</v>
      </c>
    </row>
    <row r="1685" spans="1:12" ht="11.25" customHeight="1">
      <c r="A1685" s="43">
        <v>121</v>
      </c>
      <c r="B1685" s="44" t="s">
        <v>13522</v>
      </c>
      <c r="C1685" s="44" t="s">
        <v>13523</v>
      </c>
      <c r="D1685" s="44" t="s">
        <v>377</v>
      </c>
      <c r="E1685" s="45">
        <v>52526.34</v>
      </c>
      <c r="F1685" s="44" t="s">
        <v>377</v>
      </c>
      <c r="G1685" s="45">
        <v>52530.425499999998</v>
      </c>
      <c r="H1685" s="44"/>
      <c r="I1685" s="45"/>
      <c r="J1685" s="45">
        <f t="shared" si="6"/>
        <v>52528.382749999997</v>
      </c>
      <c r="K1685" s="46" t="s">
        <v>5800</v>
      </c>
      <c r="L1685" s="43">
        <v>121</v>
      </c>
    </row>
    <row r="1686" spans="1:12" ht="11.25" customHeight="1">
      <c r="A1686" s="39">
        <v>2548</v>
      </c>
      <c r="B1686" s="40" t="s">
        <v>13524</v>
      </c>
      <c r="C1686" s="40" t="s">
        <v>13525</v>
      </c>
      <c r="D1686" s="40" t="s">
        <v>5337</v>
      </c>
      <c r="E1686" s="41">
        <v>74.41</v>
      </c>
      <c r="F1686" s="40" t="s">
        <v>5337</v>
      </c>
      <c r="G1686" s="41">
        <v>74.631</v>
      </c>
      <c r="H1686" s="40"/>
      <c r="I1686" s="41"/>
      <c r="J1686" s="41">
        <f t="shared" si="6"/>
        <v>74.520499999999998</v>
      </c>
      <c r="K1686" s="42" t="s">
        <v>5796</v>
      </c>
      <c r="L1686" s="39">
        <v>2548</v>
      </c>
    </row>
    <row r="1687" spans="1:12" ht="11.25" customHeight="1">
      <c r="A1687" s="39">
        <v>905</v>
      </c>
      <c r="B1687" s="40" t="s">
        <v>13526</v>
      </c>
      <c r="C1687" s="40" t="s">
        <v>13527</v>
      </c>
      <c r="D1687" s="40" t="s">
        <v>2623</v>
      </c>
      <c r="E1687" s="41">
        <v>2140.15</v>
      </c>
      <c r="F1687" s="40" t="s">
        <v>2623</v>
      </c>
      <c r="G1687" s="41">
        <v>2140.3492000000001</v>
      </c>
      <c r="H1687" s="40"/>
      <c r="I1687" s="41"/>
      <c r="J1687" s="41">
        <f t="shared" si="6"/>
        <v>2140.2496000000001</v>
      </c>
      <c r="K1687" s="42" t="s">
        <v>5796</v>
      </c>
      <c r="L1687" s="39">
        <v>905</v>
      </c>
    </row>
    <row r="1688" spans="1:12" ht="11.25" customHeight="1">
      <c r="A1688" s="39">
        <v>1054</v>
      </c>
      <c r="B1688" s="40" t="s">
        <v>13528</v>
      </c>
      <c r="C1688" s="40" t="s">
        <v>13529</v>
      </c>
      <c r="D1688" s="40" t="s">
        <v>13530</v>
      </c>
      <c r="E1688" s="41">
        <v>1480.44</v>
      </c>
      <c r="F1688" s="40" t="s">
        <v>13530</v>
      </c>
      <c r="G1688" s="41">
        <v>1480.7738999999999</v>
      </c>
      <c r="H1688" s="40"/>
      <c r="I1688" s="41"/>
      <c r="J1688" s="41">
        <f t="shared" si="6"/>
        <v>1480.6069499999999</v>
      </c>
      <c r="K1688" s="42" t="s">
        <v>5796</v>
      </c>
      <c r="L1688" s="39">
        <v>1054</v>
      </c>
    </row>
    <row r="1689" spans="1:12" ht="11.25" customHeight="1">
      <c r="A1689" s="39">
        <v>2224</v>
      </c>
      <c r="B1689" s="40" t="s">
        <v>13531</v>
      </c>
      <c r="C1689" s="40" t="s">
        <v>13532</v>
      </c>
      <c r="D1689" s="40" t="s">
        <v>5050</v>
      </c>
      <c r="E1689" s="41">
        <v>126.46</v>
      </c>
      <c r="F1689" s="40" t="s">
        <v>5050</v>
      </c>
      <c r="G1689" s="41">
        <v>126.3399</v>
      </c>
      <c r="H1689" s="40"/>
      <c r="I1689" s="41"/>
      <c r="J1689" s="41">
        <f t="shared" si="6"/>
        <v>126.39994999999999</v>
      </c>
      <c r="K1689" s="42" t="s">
        <v>5796</v>
      </c>
      <c r="L1689" s="39">
        <v>2224</v>
      </c>
    </row>
    <row r="1690" spans="1:12" ht="11.25" customHeight="1">
      <c r="A1690" s="39">
        <v>2123</v>
      </c>
      <c r="B1690" s="40" t="s">
        <v>13533</v>
      </c>
      <c r="C1690" s="40" t="s">
        <v>13534</v>
      </c>
      <c r="D1690" s="40" t="s">
        <v>4918</v>
      </c>
      <c r="E1690" s="41">
        <v>153.34</v>
      </c>
      <c r="F1690" s="40" t="s">
        <v>4918</v>
      </c>
      <c r="G1690" s="41">
        <v>153.3869</v>
      </c>
      <c r="H1690" s="40"/>
      <c r="I1690" s="41"/>
      <c r="J1690" s="41">
        <f t="shared" si="6"/>
        <v>153.36345</v>
      </c>
      <c r="K1690" s="42" t="s">
        <v>5796</v>
      </c>
      <c r="L1690" s="39">
        <v>2123</v>
      </c>
    </row>
    <row r="1691" spans="1:12" ht="11.25" customHeight="1">
      <c r="A1691" s="39">
        <v>2249</v>
      </c>
      <c r="B1691" s="40" t="s">
        <v>13535</v>
      </c>
      <c r="C1691" s="40" t="s">
        <v>13536</v>
      </c>
      <c r="D1691" s="40" t="s">
        <v>5074</v>
      </c>
      <c r="E1691" s="41">
        <v>122.06</v>
      </c>
      <c r="F1691" s="40" t="s">
        <v>5074</v>
      </c>
      <c r="G1691" s="41">
        <v>121.8788</v>
      </c>
      <c r="H1691" s="40"/>
      <c r="I1691" s="41"/>
      <c r="J1691" s="41">
        <f t="shared" si="6"/>
        <v>121.96940000000001</v>
      </c>
      <c r="K1691" s="42" t="s">
        <v>5796</v>
      </c>
      <c r="L1691" s="39">
        <v>2249</v>
      </c>
    </row>
    <row r="1692" spans="1:12" ht="11.25" customHeight="1">
      <c r="A1692" s="39">
        <v>605</v>
      </c>
      <c r="B1692" s="40" t="s">
        <v>13537</v>
      </c>
      <c r="C1692" s="40" t="s">
        <v>13538</v>
      </c>
      <c r="D1692" s="40" t="s">
        <v>1787</v>
      </c>
      <c r="E1692" s="41">
        <v>5273.48</v>
      </c>
      <c r="F1692" s="40" t="s">
        <v>1787</v>
      </c>
      <c r="G1692" s="41">
        <v>5273.7785000000003</v>
      </c>
      <c r="H1692" s="40"/>
      <c r="I1692" s="41"/>
      <c r="J1692" s="41">
        <f t="shared" si="6"/>
        <v>5273.62925</v>
      </c>
      <c r="K1692" s="42" t="s">
        <v>5796</v>
      </c>
      <c r="L1692" s="39">
        <v>605</v>
      </c>
    </row>
    <row r="1693" spans="1:12" ht="11.25" customHeight="1">
      <c r="A1693" s="39">
        <v>985</v>
      </c>
      <c r="B1693" s="40" t="s">
        <v>13539</v>
      </c>
      <c r="C1693" s="40" t="s">
        <v>13540</v>
      </c>
      <c r="D1693" s="40" t="s">
        <v>2824</v>
      </c>
      <c r="E1693" s="41">
        <v>1771.38</v>
      </c>
      <c r="F1693" s="40" t="s">
        <v>2824</v>
      </c>
      <c r="G1693" s="41">
        <v>1771.2302</v>
      </c>
      <c r="H1693" s="40"/>
      <c r="I1693" s="41"/>
      <c r="J1693" s="41">
        <f t="shared" si="6"/>
        <v>1771.3051</v>
      </c>
      <c r="K1693" s="42" t="s">
        <v>5796</v>
      </c>
      <c r="L1693" s="39">
        <v>985</v>
      </c>
    </row>
    <row r="1694" spans="1:12" ht="11.25" customHeight="1">
      <c r="A1694" s="39">
        <v>1258</v>
      </c>
      <c r="B1694" s="40" t="s">
        <v>6913</v>
      </c>
      <c r="C1694" s="40" t="s">
        <v>13541</v>
      </c>
      <c r="D1694" s="40" t="s">
        <v>3478</v>
      </c>
      <c r="E1694" s="41">
        <v>892.71</v>
      </c>
      <c r="F1694" s="40" t="s">
        <v>3478</v>
      </c>
      <c r="G1694" s="41">
        <v>892.42340000000002</v>
      </c>
      <c r="H1694" s="40"/>
      <c r="I1694" s="41"/>
      <c r="J1694" s="41">
        <f t="shared" si="6"/>
        <v>892.56670000000008</v>
      </c>
      <c r="K1694" s="42" t="s">
        <v>5796</v>
      </c>
      <c r="L1694" s="39">
        <v>1258</v>
      </c>
    </row>
    <row r="1695" spans="1:12" ht="11.25" customHeight="1">
      <c r="A1695" s="39">
        <v>2823</v>
      </c>
      <c r="B1695" s="40" t="s">
        <v>13542</v>
      </c>
      <c r="C1695" s="40" t="s">
        <v>13543</v>
      </c>
      <c r="D1695" s="40"/>
      <c r="E1695" s="41"/>
      <c r="F1695" s="40" t="s">
        <v>5478</v>
      </c>
      <c r="G1695" s="41">
        <v>49.668300000000002</v>
      </c>
      <c r="H1695" s="40"/>
      <c r="I1695" s="41"/>
      <c r="J1695" s="41">
        <f t="shared" si="6"/>
        <v>49.668300000000002</v>
      </c>
      <c r="K1695" s="42" t="s">
        <v>5796</v>
      </c>
      <c r="L1695" s="39">
        <v>2823</v>
      </c>
    </row>
    <row r="1696" spans="1:12" ht="11.25" customHeight="1">
      <c r="A1696" s="39">
        <v>1031</v>
      </c>
      <c r="B1696" s="40" t="s">
        <v>13544</v>
      </c>
      <c r="C1696" s="40" t="s">
        <v>13545</v>
      </c>
      <c r="D1696" s="40" t="s">
        <v>2947</v>
      </c>
      <c r="E1696" s="41">
        <v>1574.69</v>
      </c>
      <c r="F1696" s="40" t="s">
        <v>2947</v>
      </c>
      <c r="G1696" s="41">
        <v>1574.8703</v>
      </c>
      <c r="H1696" s="40"/>
      <c r="I1696" s="41"/>
      <c r="J1696" s="41">
        <f t="shared" si="6"/>
        <v>1574.78015</v>
      </c>
      <c r="K1696" s="42" t="s">
        <v>5796</v>
      </c>
      <c r="L1696" s="39">
        <v>1031</v>
      </c>
    </row>
    <row r="1697" spans="1:12" ht="11.25" customHeight="1">
      <c r="A1697" s="39">
        <v>325</v>
      </c>
      <c r="B1697" s="40" t="s">
        <v>6916</v>
      </c>
      <c r="C1697" s="40" t="s">
        <v>13546</v>
      </c>
      <c r="D1697" s="40" t="s">
        <v>986</v>
      </c>
      <c r="E1697" s="41">
        <v>14286.57</v>
      </c>
      <c r="F1697" s="40" t="s">
        <v>986</v>
      </c>
      <c r="G1697" s="41">
        <v>14293.8223</v>
      </c>
      <c r="H1697" s="40"/>
      <c r="I1697" s="41"/>
      <c r="J1697" s="41">
        <f t="shared" si="6"/>
        <v>14290.19615</v>
      </c>
      <c r="K1697" s="42" t="s">
        <v>5796</v>
      </c>
      <c r="L1697" s="39">
        <v>325</v>
      </c>
    </row>
    <row r="1698" spans="1:12" ht="11.25" customHeight="1">
      <c r="A1698" s="39">
        <v>2354</v>
      </c>
      <c r="B1698" s="40" t="s">
        <v>13547</v>
      </c>
      <c r="C1698" s="40" t="s">
        <v>13548</v>
      </c>
      <c r="D1698" s="40" t="s">
        <v>5176</v>
      </c>
      <c r="E1698" s="41">
        <v>104.03</v>
      </c>
      <c r="F1698" s="40" t="s">
        <v>5176</v>
      </c>
      <c r="G1698" s="41">
        <v>103.7076</v>
      </c>
      <c r="H1698" s="40"/>
      <c r="I1698" s="41"/>
      <c r="J1698" s="41">
        <f t="shared" si="6"/>
        <v>103.86879999999999</v>
      </c>
      <c r="K1698" s="42" t="s">
        <v>5796</v>
      </c>
      <c r="L1698" s="39">
        <v>2354</v>
      </c>
    </row>
    <row r="1699" spans="1:12" ht="11.25" customHeight="1">
      <c r="A1699" s="43">
        <v>168</v>
      </c>
      <c r="B1699" s="44" t="s">
        <v>6917</v>
      </c>
      <c r="C1699" s="44" t="s">
        <v>13549</v>
      </c>
      <c r="D1699" s="44" t="s">
        <v>515</v>
      </c>
      <c r="E1699" s="45">
        <v>37651.619999999995</v>
      </c>
      <c r="F1699" s="44" t="s">
        <v>515</v>
      </c>
      <c r="G1699" s="45">
        <v>37386.673000000003</v>
      </c>
      <c r="H1699" s="44"/>
      <c r="I1699" s="45"/>
      <c r="J1699" s="45">
        <f t="shared" si="6"/>
        <v>37519.146500000003</v>
      </c>
      <c r="K1699" s="46" t="s">
        <v>5800</v>
      </c>
      <c r="L1699" s="43">
        <v>168</v>
      </c>
    </row>
    <row r="1700" spans="1:12" ht="11.25" customHeight="1">
      <c r="A1700" s="39">
        <v>1965</v>
      </c>
      <c r="B1700" s="40" t="s">
        <v>13550</v>
      </c>
      <c r="C1700" s="40" t="s">
        <v>13551</v>
      </c>
      <c r="D1700" s="40"/>
      <c r="E1700" s="41"/>
      <c r="F1700" s="40" t="s">
        <v>4681</v>
      </c>
      <c r="G1700" s="41">
        <v>198.04230000000001</v>
      </c>
      <c r="H1700" s="40"/>
      <c r="I1700" s="41"/>
      <c r="J1700" s="41">
        <f t="shared" si="6"/>
        <v>198.04230000000001</v>
      </c>
      <c r="K1700" s="42" t="s">
        <v>5796</v>
      </c>
      <c r="L1700" s="39">
        <v>1965</v>
      </c>
    </row>
    <row r="1701" spans="1:12" ht="11.25" customHeight="1">
      <c r="A1701" s="39">
        <v>2293</v>
      </c>
      <c r="B1701" s="40" t="s">
        <v>5120</v>
      </c>
      <c r="C1701" s="40" t="s">
        <v>13552</v>
      </c>
      <c r="D1701" s="40" t="s">
        <v>5122</v>
      </c>
      <c r="E1701" s="41">
        <v>112.76</v>
      </c>
      <c r="F1701" s="40" t="s">
        <v>5122</v>
      </c>
      <c r="G1701" s="41">
        <v>112.3096</v>
      </c>
      <c r="H1701" s="40"/>
      <c r="I1701" s="41"/>
      <c r="J1701" s="41">
        <f t="shared" si="6"/>
        <v>112.5348</v>
      </c>
      <c r="K1701" s="42" t="s">
        <v>5796</v>
      </c>
      <c r="L1701" s="39">
        <v>2293</v>
      </c>
    </row>
    <row r="1702" spans="1:12" ht="11.25" customHeight="1">
      <c r="A1702" s="39">
        <v>451</v>
      </c>
      <c r="B1702" s="40" t="s">
        <v>13553</v>
      </c>
      <c r="C1702" s="40" t="s">
        <v>13554</v>
      </c>
      <c r="D1702" s="40" t="s">
        <v>1346</v>
      </c>
      <c r="E1702" s="41">
        <v>8834.1</v>
      </c>
      <c r="F1702" s="40" t="s">
        <v>1346</v>
      </c>
      <c r="G1702" s="41">
        <v>8835.8135000000002</v>
      </c>
      <c r="H1702" s="40"/>
      <c r="I1702" s="41"/>
      <c r="J1702" s="41">
        <f t="shared" si="6"/>
        <v>8834.9567500000012</v>
      </c>
      <c r="K1702" s="42" t="s">
        <v>5796</v>
      </c>
      <c r="L1702" s="39">
        <v>451</v>
      </c>
    </row>
    <row r="1703" spans="1:12" ht="11.25" customHeight="1">
      <c r="A1703" s="39">
        <v>844</v>
      </c>
      <c r="B1703" s="40" t="s">
        <v>13555</v>
      </c>
      <c r="C1703" s="40" t="s">
        <v>13556</v>
      </c>
      <c r="D1703" s="40" t="s">
        <v>2452</v>
      </c>
      <c r="E1703" s="41">
        <v>2544.9699999999998</v>
      </c>
      <c r="F1703" s="40" t="s">
        <v>2452</v>
      </c>
      <c r="G1703" s="41">
        <v>2545.7554</v>
      </c>
      <c r="H1703" s="40"/>
      <c r="I1703" s="41"/>
      <c r="J1703" s="41">
        <f t="shared" si="6"/>
        <v>2545.3626999999997</v>
      </c>
      <c r="K1703" s="42" t="s">
        <v>5796</v>
      </c>
      <c r="L1703" s="39">
        <v>844</v>
      </c>
    </row>
    <row r="1704" spans="1:12" ht="11.25" customHeight="1">
      <c r="A1704" s="39">
        <v>1283</v>
      </c>
      <c r="B1704" s="40" t="s">
        <v>13557</v>
      </c>
      <c r="C1704" s="40" t="s">
        <v>13558</v>
      </c>
      <c r="D1704" s="40" t="s">
        <v>3529</v>
      </c>
      <c r="E1704" s="41">
        <v>836.23</v>
      </c>
      <c r="F1704" s="40" t="s">
        <v>3529</v>
      </c>
      <c r="G1704" s="41">
        <v>836.50990000000002</v>
      </c>
      <c r="H1704" s="40"/>
      <c r="I1704" s="41"/>
      <c r="J1704" s="41">
        <f t="shared" si="6"/>
        <v>836.36995000000002</v>
      </c>
      <c r="K1704" s="42" t="s">
        <v>5796</v>
      </c>
      <c r="L1704" s="39">
        <v>1283</v>
      </c>
    </row>
    <row r="1705" spans="1:12" ht="11.25" customHeight="1">
      <c r="A1705" s="39">
        <v>536</v>
      </c>
      <c r="B1705" s="40" t="s">
        <v>6921</v>
      </c>
      <c r="C1705" s="40" t="s">
        <v>13559</v>
      </c>
      <c r="D1705" s="40" t="s">
        <v>1589</v>
      </c>
      <c r="E1705" s="41">
        <v>6715.5</v>
      </c>
      <c r="F1705" s="40" t="s">
        <v>1589</v>
      </c>
      <c r="G1705" s="41">
        <v>6603.5861999999997</v>
      </c>
      <c r="H1705" s="40"/>
      <c r="I1705" s="41"/>
      <c r="J1705" s="41">
        <f t="shared" si="6"/>
        <v>6659.5430999999999</v>
      </c>
      <c r="K1705" s="42" t="s">
        <v>5796</v>
      </c>
      <c r="L1705" s="39">
        <v>536</v>
      </c>
    </row>
    <row r="1706" spans="1:12" ht="11.25" customHeight="1">
      <c r="A1706" s="39">
        <v>567</v>
      </c>
      <c r="B1706" s="40" t="s">
        <v>13560</v>
      </c>
      <c r="C1706" s="40" t="s">
        <v>13561</v>
      </c>
      <c r="D1706" s="40" t="s">
        <v>1682</v>
      </c>
      <c r="E1706" s="41">
        <v>6042.29</v>
      </c>
      <c r="F1706" s="40" t="s">
        <v>1682</v>
      </c>
      <c r="G1706" s="41">
        <v>6129.5816000000004</v>
      </c>
      <c r="H1706" s="40"/>
      <c r="I1706" s="41"/>
      <c r="J1706" s="41">
        <f t="shared" si="6"/>
        <v>6085.9358000000002</v>
      </c>
      <c r="K1706" s="42" t="s">
        <v>5796</v>
      </c>
      <c r="L1706" s="39">
        <v>567</v>
      </c>
    </row>
    <row r="1707" spans="1:12" ht="11.25" customHeight="1">
      <c r="A1707" s="39">
        <v>1264</v>
      </c>
      <c r="B1707" s="40" t="s">
        <v>13562</v>
      </c>
      <c r="C1707" s="40" t="s">
        <v>13563</v>
      </c>
      <c r="D1707" s="40" t="s">
        <v>3490</v>
      </c>
      <c r="E1707" s="41">
        <v>878.44</v>
      </c>
      <c r="F1707" s="40" t="s">
        <v>3490</v>
      </c>
      <c r="G1707" s="41">
        <v>877.80079999999998</v>
      </c>
      <c r="H1707" s="40"/>
      <c r="I1707" s="41"/>
      <c r="J1707" s="41">
        <f t="shared" si="6"/>
        <v>878.12040000000002</v>
      </c>
      <c r="K1707" s="42" t="s">
        <v>5796</v>
      </c>
      <c r="L1707" s="39">
        <v>1264</v>
      </c>
    </row>
    <row r="1708" spans="1:12" ht="11.25" customHeight="1">
      <c r="A1708" s="43">
        <v>202</v>
      </c>
      <c r="B1708" s="44" t="s">
        <v>13564</v>
      </c>
      <c r="C1708" s="44" t="s">
        <v>13565</v>
      </c>
      <c r="D1708" s="44" t="s">
        <v>617</v>
      </c>
      <c r="E1708" s="45">
        <v>30550.27</v>
      </c>
      <c r="F1708" s="44" t="s">
        <v>617</v>
      </c>
      <c r="G1708" s="45">
        <v>30556.0416</v>
      </c>
      <c r="H1708" s="44"/>
      <c r="I1708" s="45"/>
      <c r="J1708" s="45">
        <f t="shared" si="6"/>
        <v>30553.1558</v>
      </c>
      <c r="K1708" s="46" t="s">
        <v>5800</v>
      </c>
      <c r="L1708" s="43">
        <v>202</v>
      </c>
    </row>
    <row r="1709" spans="1:12" ht="11.25" customHeight="1">
      <c r="A1709" s="39">
        <v>417</v>
      </c>
      <c r="B1709" s="40" t="s">
        <v>13566</v>
      </c>
      <c r="C1709" s="40" t="s">
        <v>13567</v>
      </c>
      <c r="D1709" s="40" t="s">
        <v>1253</v>
      </c>
      <c r="E1709" s="41">
        <v>9741.32</v>
      </c>
      <c r="F1709" s="40" t="s">
        <v>1253</v>
      </c>
      <c r="G1709" s="41">
        <v>9730.5815000000002</v>
      </c>
      <c r="H1709" s="40"/>
      <c r="I1709" s="41"/>
      <c r="J1709" s="41">
        <f t="shared" si="6"/>
        <v>9735.95075</v>
      </c>
      <c r="K1709" s="42" t="s">
        <v>5796</v>
      </c>
      <c r="L1709" s="39">
        <v>417</v>
      </c>
    </row>
    <row r="1710" spans="1:12" ht="11.25" customHeight="1">
      <c r="A1710" s="39">
        <v>2244</v>
      </c>
      <c r="B1710" s="40" t="s">
        <v>13568</v>
      </c>
      <c r="C1710" s="40" t="s">
        <v>13569</v>
      </c>
      <c r="D1710" s="40" t="s">
        <v>5068</v>
      </c>
      <c r="E1710" s="41">
        <v>122.63</v>
      </c>
      <c r="F1710" s="40" t="s">
        <v>5068</v>
      </c>
      <c r="G1710" s="41">
        <v>122.6069</v>
      </c>
      <c r="H1710" s="40"/>
      <c r="I1710" s="41"/>
      <c r="J1710" s="41">
        <f t="shared" si="6"/>
        <v>122.61845</v>
      </c>
      <c r="K1710" s="42" t="s">
        <v>5796</v>
      </c>
      <c r="L1710" s="39">
        <v>2244</v>
      </c>
    </row>
    <row r="1711" spans="1:12" ht="11.25" customHeight="1">
      <c r="A1711" s="39">
        <v>1049</v>
      </c>
      <c r="B1711" s="40" t="s">
        <v>13570</v>
      </c>
      <c r="C1711" s="40" t="s">
        <v>13571</v>
      </c>
      <c r="D1711" s="40" t="s">
        <v>2995</v>
      </c>
      <c r="E1711" s="41">
        <v>1492.39</v>
      </c>
      <c r="F1711" s="40" t="s">
        <v>2995</v>
      </c>
      <c r="G1711" s="41">
        <v>1492.6141</v>
      </c>
      <c r="H1711" s="40"/>
      <c r="I1711" s="41"/>
      <c r="J1711" s="41">
        <f t="shared" si="6"/>
        <v>1492.5020500000001</v>
      </c>
      <c r="K1711" s="42" t="s">
        <v>5796</v>
      </c>
      <c r="L1711" s="39">
        <v>1049</v>
      </c>
    </row>
    <row r="1712" spans="1:12" ht="11.25" customHeight="1">
      <c r="A1712" s="39">
        <v>1741</v>
      </c>
      <c r="B1712" s="40" t="s">
        <v>13572</v>
      </c>
      <c r="C1712" s="40" t="s">
        <v>13573</v>
      </c>
      <c r="D1712" s="40" t="s">
        <v>4396</v>
      </c>
      <c r="E1712" s="41">
        <v>302.37</v>
      </c>
      <c r="F1712" s="40" t="s">
        <v>4396</v>
      </c>
      <c r="G1712" s="41">
        <v>302.23270000000002</v>
      </c>
      <c r="H1712" s="40"/>
      <c r="I1712" s="41"/>
      <c r="J1712" s="41">
        <f t="shared" si="6"/>
        <v>302.30135000000001</v>
      </c>
      <c r="K1712" s="42" t="s">
        <v>5796</v>
      </c>
      <c r="L1712" s="39">
        <v>1741</v>
      </c>
    </row>
    <row r="1713" spans="1:12" ht="11.25" customHeight="1">
      <c r="A1713" s="39">
        <v>1082</v>
      </c>
      <c r="B1713" s="40" t="s">
        <v>13574</v>
      </c>
      <c r="C1713" s="40" t="s">
        <v>13575</v>
      </c>
      <c r="D1713" s="40" t="s">
        <v>3073</v>
      </c>
      <c r="E1713" s="41">
        <v>1378.72</v>
      </c>
      <c r="F1713" s="40" t="s">
        <v>3073</v>
      </c>
      <c r="G1713" s="41">
        <v>1378.7555</v>
      </c>
      <c r="H1713" s="40"/>
      <c r="I1713" s="41"/>
      <c r="J1713" s="41">
        <f t="shared" si="6"/>
        <v>1378.73775</v>
      </c>
      <c r="K1713" s="42" t="s">
        <v>5796</v>
      </c>
      <c r="L1713" s="39">
        <v>1082</v>
      </c>
    </row>
    <row r="1714" spans="1:12" ht="11.25" customHeight="1">
      <c r="A1714" s="39">
        <v>334</v>
      </c>
      <c r="B1714" s="40" t="s">
        <v>6927</v>
      </c>
      <c r="C1714" s="40" t="s">
        <v>13576</v>
      </c>
      <c r="D1714" s="40" t="s">
        <v>1013</v>
      </c>
      <c r="E1714" s="41">
        <v>13927.04</v>
      </c>
      <c r="F1714" s="40" t="s">
        <v>1013</v>
      </c>
      <c r="G1714" s="41">
        <v>13925.1546</v>
      </c>
      <c r="H1714" s="40"/>
      <c r="I1714" s="41"/>
      <c r="J1714" s="41">
        <f t="shared" si="6"/>
        <v>13926.097300000001</v>
      </c>
      <c r="K1714" s="42" t="s">
        <v>5796</v>
      </c>
      <c r="L1714" s="39">
        <v>334</v>
      </c>
    </row>
    <row r="1715" spans="1:12" ht="11.25" customHeight="1">
      <c r="A1715" s="39">
        <v>3904</v>
      </c>
      <c r="B1715" s="40" t="s">
        <v>6929</v>
      </c>
      <c r="C1715" s="40" t="s">
        <v>13577</v>
      </c>
      <c r="D1715" s="40" t="s">
        <v>5742</v>
      </c>
      <c r="E1715" s="41">
        <v>9.7100000000000009</v>
      </c>
      <c r="F1715" s="40" t="s">
        <v>5742</v>
      </c>
      <c r="G1715" s="41">
        <v>9.7138000000000009</v>
      </c>
      <c r="H1715" s="40"/>
      <c r="I1715" s="41"/>
      <c r="J1715" s="41">
        <f t="shared" si="6"/>
        <v>9.7119</v>
      </c>
      <c r="K1715" s="42" t="s">
        <v>5796</v>
      </c>
      <c r="L1715" s="39">
        <v>3904</v>
      </c>
    </row>
    <row r="1716" spans="1:12" ht="11.25" customHeight="1">
      <c r="A1716" s="39">
        <v>809</v>
      </c>
      <c r="B1716" s="40" t="s">
        <v>6930</v>
      </c>
      <c r="C1716" s="40" t="s">
        <v>13578</v>
      </c>
      <c r="D1716" s="40" t="s">
        <v>2353</v>
      </c>
      <c r="E1716" s="41">
        <v>2798.31</v>
      </c>
      <c r="F1716" s="40" t="s">
        <v>2353</v>
      </c>
      <c r="G1716" s="41">
        <v>2798.4771000000001</v>
      </c>
      <c r="H1716" s="40"/>
      <c r="I1716" s="41"/>
      <c r="J1716" s="41">
        <f t="shared" si="6"/>
        <v>2798.3935499999998</v>
      </c>
      <c r="K1716" s="42" t="s">
        <v>5796</v>
      </c>
      <c r="L1716" s="39">
        <v>809</v>
      </c>
    </row>
    <row r="1717" spans="1:12" ht="11.25" customHeight="1">
      <c r="A1717" s="39">
        <v>2098</v>
      </c>
      <c r="B1717" s="40" t="s">
        <v>13579</v>
      </c>
      <c r="C1717" s="40" t="s">
        <v>13580</v>
      </c>
      <c r="D1717" s="40" t="s">
        <v>4876</v>
      </c>
      <c r="E1717" s="41">
        <v>162.36000000000001</v>
      </c>
      <c r="F1717" s="40" t="s">
        <v>4876</v>
      </c>
      <c r="G1717" s="41">
        <v>162.3399</v>
      </c>
      <c r="H1717" s="40"/>
      <c r="I1717" s="41"/>
      <c r="J1717" s="41">
        <f t="shared" si="6"/>
        <v>162.34995000000001</v>
      </c>
      <c r="K1717" s="42" t="s">
        <v>5796</v>
      </c>
      <c r="L1717" s="39">
        <v>2098</v>
      </c>
    </row>
    <row r="1718" spans="1:12" ht="11.25" customHeight="1">
      <c r="A1718" s="39">
        <v>805</v>
      </c>
      <c r="B1718" s="40" t="s">
        <v>13581</v>
      </c>
      <c r="C1718" s="40" t="s">
        <v>13582</v>
      </c>
      <c r="D1718" s="40" t="s">
        <v>2341</v>
      </c>
      <c r="E1718" s="41">
        <v>2815.38</v>
      </c>
      <c r="F1718" s="40" t="s">
        <v>2341</v>
      </c>
      <c r="G1718" s="41">
        <v>2815.7257</v>
      </c>
      <c r="H1718" s="40"/>
      <c r="I1718" s="41"/>
      <c r="J1718" s="41">
        <f t="shared" si="6"/>
        <v>2815.55285</v>
      </c>
      <c r="K1718" s="42" t="s">
        <v>5796</v>
      </c>
      <c r="L1718" s="39">
        <v>805</v>
      </c>
    </row>
    <row r="1719" spans="1:12" ht="11.25" customHeight="1">
      <c r="A1719" s="39">
        <v>689</v>
      </c>
      <c r="B1719" s="40" t="s">
        <v>13583</v>
      </c>
      <c r="C1719" s="40" t="s">
        <v>13584</v>
      </c>
      <c r="D1719" s="40" t="s">
        <v>13585</v>
      </c>
      <c r="E1719" s="41">
        <v>3986.2</v>
      </c>
      <c r="F1719" s="40" t="s">
        <v>2021</v>
      </c>
      <c r="G1719" s="41">
        <v>3988.3411000000001</v>
      </c>
      <c r="H1719" s="40"/>
      <c r="I1719" s="41"/>
      <c r="J1719" s="41">
        <f t="shared" si="6"/>
        <v>3987.2705500000002</v>
      </c>
      <c r="K1719" s="42" t="s">
        <v>5796</v>
      </c>
      <c r="L1719" s="39">
        <v>689</v>
      </c>
    </row>
    <row r="1720" spans="1:12" ht="11.25" customHeight="1">
      <c r="A1720" s="43">
        <v>224</v>
      </c>
      <c r="B1720" s="44" t="s">
        <v>13586</v>
      </c>
      <c r="C1720" s="44" t="s">
        <v>13587</v>
      </c>
      <c r="D1720" s="44" t="s">
        <v>683</v>
      </c>
      <c r="E1720" s="45">
        <v>25783.599999999999</v>
      </c>
      <c r="F1720" s="44" t="s">
        <v>683</v>
      </c>
      <c r="G1720" s="45">
        <v>25785.927100000001</v>
      </c>
      <c r="H1720" s="44"/>
      <c r="I1720" s="45"/>
      <c r="J1720" s="45">
        <f t="shared" si="6"/>
        <v>25784.76355</v>
      </c>
      <c r="K1720" s="46" t="s">
        <v>5800</v>
      </c>
      <c r="L1720" s="43">
        <v>224</v>
      </c>
    </row>
    <row r="1721" spans="1:12" ht="11.25" customHeight="1">
      <c r="A1721" s="39">
        <v>621</v>
      </c>
      <c r="B1721" s="40" t="s">
        <v>13588</v>
      </c>
      <c r="C1721" s="40" t="s">
        <v>13589</v>
      </c>
      <c r="D1721" s="40" t="s">
        <v>1835</v>
      </c>
      <c r="E1721" s="41">
        <v>4882.5200000000004</v>
      </c>
      <c r="F1721" s="40" t="s">
        <v>1835</v>
      </c>
      <c r="G1721" s="41">
        <v>4884.4292999999998</v>
      </c>
      <c r="H1721" s="40"/>
      <c r="I1721" s="41"/>
      <c r="J1721" s="41">
        <f t="shared" si="6"/>
        <v>4883.4746500000001</v>
      </c>
      <c r="K1721" s="42" t="s">
        <v>5796</v>
      </c>
      <c r="L1721" s="39">
        <v>621</v>
      </c>
    </row>
    <row r="1722" spans="1:12" ht="11.25" customHeight="1">
      <c r="A1722" s="43">
        <v>128</v>
      </c>
      <c r="B1722" s="44" t="s">
        <v>13590</v>
      </c>
      <c r="C1722" s="44" t="s">
        <v>13591</v>
      </c>
      <c r="D1722" s="44" t="s">
        <v>398</v>
      </c>
      <c r="E1722" s="45">
        <v>49520.34</v>
      </c>
      <c r="F1722" s="44" t="s">
        <v>398</v>
      </c>
      <c r="G1722" s="45">
        <v>49526.9208</v>
      </c>
      <c r="H1722" s="44"/>
      <c r="I1722" s="45"/>
      <c r="J1722" s="45">
        <f t="shared" si="6"/>
        <v>49523.630399999995</v>
      </c>
      <c r="K1722" s="46" t="s">
        <v>5800</v>
      </c>
      <c r="L1722" s="43">
        <v>128</v>
      </c>
    </row>
    <row r="1723" spans="1:12" ht="11.25" customHeight="1">
      <c r="A1723" s="47">
        <v>73</v>
      </c>
      <c r="B1723" s="48" t="s">
        <v>231</v>
      </c>
      <c r="C1723" s="48" t="s">
        <v>13592</v>
      </c>
      <c r="D1723" s="48" t="s">
        <v>233</v>
      </c>
      <c r="E1723" s="49">
        <v>82796.850000000006</v>
      </c>
      <c r="F1723" s="48" t="s">
        <v>233</v>
      </c>
      <c r="G1723" s="49">
        <v>82813.072400000005</v>
      </c>
      <c r="H1723" s="48"/>
      <c r="I1723" s="49"/>
      <c r="J1723" s="49">
        <f t="shared" si="6"/>
        <v>82804.961200000005</v>
      </c>
      <c r="K1723" s="50" t="s">
        <v>5815</v>
      </c>
      <c r="L1723" s="47">
        <v>73</v>
      </c>
    </row>
    <row r="1724" spans="1:12" ht="11.25" customHeight="1">
      <c r="A1724" s="43">
        <v>138</v>
      </c>
      <c r="B1724" s="44" t="s">
        <v>13593</v>
      </c>
      <c r="C1724" s="44" t="s">
        <v>13594</v>
      </c>
      <c r="D1724" s="44" t="s">
        <v>425</v>
      </c>
      <c r="E1724" s="45">
        <v>47904.18</v>
      </c>
      <c r="F1724" s="44" t="s">
        <v>425</v>
      </c>
      <c r="G1724" s="45">
        <v>47915.9349</v>
      </c>
      <c r="H1724" s="44"/>
      <c r="I1724" s="45"/>
      <c r="J1724" s="45">
        <f t="shared" si="6"/>
        <v>47910.05745</v>
      </c>
      <c r="K1724" s="46" t="s">
        <v>5800</v>
      </c>
      <c r="L1724" s="43">
        <v>138</v>
      </c>
    </row>
    <row r="1725" spans="1:12" ht="11.25" customHeight="1">
      <c r="A1725" s="39">
        <v>308</v>
      </c>
      <c r="B1725" s="40" t="s">
        <v>13595</v>
      </c>
      <c r="C1725" s="40" t="s">
        <v>13596</v>
      </c>
      <c r="D1725" s="40" t="s">
        <v>935</v>
      </c>
      <c r="E1725" s="41">
        <v>15606.98</v>
      </c>
      <c r="F1725" s="40" t="s">
        <v>935</v>
      </c>
      <c r="G1725" s="41">
        <v>15607.7634</v>
      </c>
      <c r="H1725" s="40"/>
      <c r="I1725" s="41"/>
      <c r="J1725" s="41">
        <f t="shared" si="6"/>
        <v>15607.3717</v>
      </c>
      <c r="K1725" s="42" t="s">
        <v>5796</v>
      </c>
      <c r="L1725" s="39">
        <v>308</v>
      </c>
    </row>
    <row r="1726" spans="1:12" ht="11.25" customHeight="1">
      <c r="A1726" s="39">
        <v>793</v>
      </c>
      <c r="B1726" s="40" t="s">
        <v>13597</v>
      </c>
      <c r="C1726" s="40" t="s">
        <v>13598</v>
      </c>
      <c r="D1726" s="40" t="s">
        <v>2308</v>
      </c>
      <c r="E1726" s="41">
        <v>2933.16</v>
      </c>
      <c r="F1726" s="40" t="s">
        <v>2308</v>
      </c>
      <c r="G1726" s="41">
        <v>2933.8566000000001</v>
      </c>
      <c r="H1726" s="40"/>
      <c r="I1726" s="41"/>
      <c r="J1726" s="41">
        <f t="shared" si="6"/>
        <v>2933.5083</v>
      </c>
      <c r="K1726" s="42" t="s">
        <v>5796</v>
      </c>
      <c r="L1726" s="39">
        <v>793</v>
      </c>
    </row>
    <row r="1727" spans="1:12" ht="11.25" customHeight="1">
      <c r="A1727" s="47">
        <v>24</v>
      </c>
      <c r="B1727" s="48" t="s">
        <v>13599</v>
      </c>
      <c r="C1727" s="48" t="s">
        <v>13600</v>
      </c>
      <c r="D1727" s="48" t="s">
        <v>78</v>
      </c>
      <c r="E1727" s="49">
        <v>236478.54</v>
      </c>
      <c r="F1727" s="48" t="s">
        <v>78</v>
      </c>
      <c r="G1727" s="49">
        <v>236488.37360000002</v>
      </c>
      <c r="H1727" s="48"/>
      <c r="I1727" s="49"/>
      <c r="J1727" s="49">
        <f t="shared" si="6"/>
        <v>236483.45680000001</v>
      </c>
      <c r="K1727" s="50" t="s">
        <v>5815</v>
      </c>
      <c r="L1727" s="47">
        <v>24</v>
      </c>
    </row>
    <row r="1728" spans="1:12" ht="11.25" customHeight="1">
      <c r="A1728" s="47">
        <v>75</v>
      </c>
      <c r="B1728" s="48" t="s">
        <v>13601</v>
      </c>
      <c r="C1728" s="48" t="s">
        <v>13602</v>
      </c>
      <c r="D1728" s="48" t="s">
        <v>239</v>
      </c>
      <c r="E1728" s="49">
        <v>82405.100000000006</v>
      </c>
      <c r="F1728" s="48" t="s">
        <v>239</v>
      </c>
      <c r="G1728" s="49">
        <v>82420.820200000002</v>
      </c>
      <c r="H1728" s="48"/>
      <c r="I1728" s="49"/>
      <c r="J1728" s="49">
        <f t="shared" si="6"/>
        <v>82412.960099999997</v>
      </c>
      <c r="K1728" s="50" t="s">
        <v>5815</v>
      </c>
      <c r="L1728" s="47">
        <v>75</v>
      </c>
    </row>
    <row r="1729" spans="1:12" ht="11.25" customHeight="1">
      <c r="A1729" s="47">
        <v>36</v>
      </c>
      <c r="B1729" s="48" t="s">
        <v>6939</v>
      </c>
      <c r="C1729" s="48" t="s">
        <v>13603</v>
      </c>
      <c r="D1729" s="48" t="s">
        <v>116</v>
      </c>
      <c r="E1729" s="49">
        <v>151509.45000000001</v>
      </c>
      <c r="F1729" s="48" t="s">
        <v>116</v>
      </c>
      <c r="G1729" s="49">
        <v>151616.0036</v>
      </c>
      <c r="H1729" s="48"/>
      <c r="I1729" s="49"/>
      <c r="J1729" s="49">
        <f t="shared" si="6"/>
        <v>151562.7268</v>
      </c>
      <c r="K1729" s="50" t="s">
        <v>5815</v>
      </c>
      <c r="L1729" s="47">
        <v>36</v>
      </c>
    </row>
    <row r="1730" spans="1:12" ht="11.25" customHeight="1">
      <c r="A1730" s="43">
        <v>130</v>
      </c>
      <c r="B1730" s="44" t="s">
        <v>13604</v>
      </c>
      <c r="C1730" s="44" t="s">
        <v>13605</v>
      </c>
      <c r="D1730" s="44" t="s">
        <v>404</v>
      </c>
      <c r="E1730" s="45">
        <v>49340.5</v>
      </c>
      <c r="F1730" s="44" t="s">
        <v>404</v>
      </c>
      <c r="G1730" s="45">
        <v>49335.764600000002</v>
      </c>
      <c r="H1730" s="44"/>
      <c r="I1730" s="45"/>
      <c r="J1730" s="45">
        <f t="shared" si="6"/>
        <v>49338.132299999997</v>
      </c>
      <c r="K1730" s="46" t="s">
        <v>5800</v>
      </c>
      <c r="L1730" s="43">
        <v>130</v>
      </c>
    </row>
    <row r="1731" spans="1:12" ht="11.25" customHeight="1">
      <c r="A1731" s="39">
        <v>712</v>
      </c>
      <c r="B1731" s="40" t="s">
        <v>13606</v>
      </c>
      <c r="C1731" s="40" t="s">
        <v>13607</v>
      </c>
      <c r="D1731" s="40" t="s">
        <v>2083</v>
      </c>
      <c r="E1731" s="41">
        <v>3696.39</v>
      </c>
      <c r="F1731" s="40" t="s">
        <v>2083</v>
      </c>
      <c r="G1731" s="41">
        <v>3664.4027999999998</v>
      </c>
      <c r="H1731" s="40"/>
      <c r="I1731" s="41"/>
      <c r="J1731" s="41">
        <f t="shared" si="6"/>
        <v>3680.3963999999996</v>
      </c>
      <c r="K1731" s="42" t="s">
        <v>5796</v>
      </c>
      <c r="L1731" s="39">
        <v>712</v>
      </c>
    </row>
    <row r="1732" spans="1:12" ht="11.25" customHeight="1">
      <c r="A1732" s="39">
        <v>1330</v>
      </c>
      <c r="B1732" s="40" t="s">
        <v>13608</v>
      </c>
      <c r="C1732" s="40" t="s">
        <v>13609</v>
      </c>
      <c r="D1732" s="40" t="s">
        <v>3631</v>
      </c>
      <c r="E1732" s="41">
        <v>749.23</v>
      </c>
      <c r="F1732" s="40" t="s">
        <v>3631</v>
      </c>
      <c r="G1732" s="41">
        <v>749.23419999999999</v>
      </c>
      <c r="H1732" s="40"/>
      <c r="I1732" s="41"/>
      <c r="J1732" s="41">
        <f t="shared" si="6"/>
        <v>749.23209999999995</v>
      </c>
      <c r="K1732" s="42" t="s">
        <v>5796</v>
      </c>
      <c r="L1732" s="39">
        <v>1330</v>
      </c>
    </row>
    <row r="1733" spans="1:12" ht="11.25" customHeight="1">
      <c r="A1733" s="39">
        <v>555</v>
      </c>
      <c r="B1733" s="40" t="s">
        <v>13610</v>
      </c>
      <c r="C1733" s="40" t="s">
        <v>13611</v>
      </c>
      <c r="D1733" s="40" t="s">
        <v>1646</v>
      </c>
      <c r="E1733" s="41">
        <v>6216.87</v>
      </c>
      <c r="F1733" s="40" t="s">
        <v>1646</v>
      </c>
      <c r="G1733" s="41">
        <v>6214.6008000000002</v>
      </c>
      <c r="H1733" s="40"/>
      <c r="I1733" s="41"/>
      <c r="J1733" s="41">
        <f t="shared" si="6"/>
        <v>6215.7353999999996</v>
      </c>
      <c r="K1733" s="42" t="s">
        <v>5796</v>
      </c>
      <c r="L1733" s="39">
        <v>555</v>
      </c>
    </row>
    <row r="1734" spans="1:12" ht="11.25" customHeight="1">
      <c r="A1734" s="39">
        <v>593</v>
      </c>
      <c r="B1734" s="40" t="s">
        <v>13612</v>
      </c>
      <c r="C1734" s="40" t="s">
        <v>13613</v>
      </c>
      <c r="D1734" s="40" t="s">
        <v>1751</v>
      </c>
      <c r="E1734" s="41">
        <v>5486.1</v>
      </c>
      <c r="F1734" s="40" t="s">
        <v>1751</v>
      </c>
      <c r="G1734" s="41">
        <v>5485.4461000000001</v>
      </c>
      <c r="H1734" s="40"/>
      <c r="I1734" s="41"/>
      <c r="J1734" s="41">
        <f t="shared" si="6"/>
        <v>5485.7730499999998</v>
      </c>
      <c r="K1734" s="42" t="s">
        <v>5796</v>
      </c>
      <c r="L1734" s="39">
        <v>593</v>
      </c>
    </row>
    <row r="1735" spans="1:12" ht="11.25" customHeight="1">
      <c r="A1735" s="39">
        <v>4419</v>
      </c>
      <c r="B1735" s="40" t="s">
        <v>13614</v>
      </c>
      <c r="C1735" s="40" t="s">
        <v>13615</v>
      </c>
      <c r="D1735" s="40" t="s">
        <v>6944</v>
      </c>
      <c r="E1735" s="41">
        <v>4.37</v>
      </c>
      <c r="F1735" s="40" t="s">
        <v>6944</v>
      </c>
      <c r="G1735" s="41">
        <v>4.0948000000000002</v>
      </c>
      <c r="H1735" s="40"/>
      <c r="I1735" s="41"/>
      <c r="J1735" s="41">
        <f t="shared" si="6"/>
        <v>4.2324000000000002</v>
      </c>
      <c r="K1735" s="42" t="s">
        <v>5796</v>
      </c>
      <c r="L1735" s="39">
        <v>4419</v>
      </c>
    </row>
    <row r="1736" spans="1:12" ht="11.25" customHeight="1">
      <c r="A1736" s="39">
        <v>2925</v>
      </c>
      <c r="B1736" s="40" t="s">
        <v>13616</v>
      </c>
      <c r="C1736" s="40" t="s">
        <v>13617</v>
      </c>
      <c r="D1736" s="40" t="s">
        <v>5520</v>
      </c>
      <c r="E1736" s="41">
        <v>38.67</v>
      </c>
      <c r="F1736" s="40" t="s">
        <v>5520</v>
      </c>
      <c r="G1736" s="41">
        <v>46.673999999999999</v>
      </c>
      <c r="H1736" s="40"/>
      <c r="I1736" s="41"/>
      <c r="J1736" s="41">
        <f t="shared" si="6"/>
        <v>42.671999999999997</v>
      </c>
      <c r="K1736" s="42" t="s">
        <v>5796</v>
      </c>
      <c r="L1736" s="39">
        <v>2925</v>
      </c>
    </row>
    <row r="1737" spans="1:12" ht="11.25" customHeight="1">
      <c r="A1737" s="39">
        <v>861</v>
      </c>
      <c r="B1737" s="40" t="s">
        <v>13618</v>
      </c>
      <c r="C1737" s="40" t="s">
        <v>13619</v>
      </c>
      <c r="D1737" s="40" t="s">
        <v>2497</v>
      </c>
      <c r="E1737" s="41">
        <v>2457.9899999999998</v>
      </c>
      <c r="F1737" s="40" t="s">
        <v>2497</v>
      </c>
      <c r="G1737" s="41">
        <v>2457.9654</v>
      </c>
      <c r="H1737" s="40"/>
      <c r="I1737" s="41"/>
      <c r="J1737" s="41">
        <f t="shared" si="6"/>
        <v>2457.9776999999999</v>
      </c>
      <c r="K1737" s="42" t="s">
        <v>5796</v>
      </c>
      <c r="L1737" s="39">
        <v>861</v>
      </c>
    </row>
    <row r="1738" spans="1:12" ht="11.25" customHeight="1">
      <c r="A1738" s="39">
        <v>980</v>
      </c>
      <c r="B1738" s="40" t="s">
        <v>13620</v>
      </c>
      <c r="C1738" s="40" t="s">
        <v>13621</v>
      </c>
      <c r="D1738" s="40" t="s">
        <v>2812</v>
      </c>
      <c r="E1738" s="41">
        <v>1804.58</v>
      </c>
      <c r="F1738" s="40" t="s">
        <v>2812</v>
      </c>
      <c r="G1738" s="41">
        <v>1805.3878999999999</v>
      </c>
      <c r="H1738" s="40"/>
      <c r="I1738" s="41"/>
      <c r="J1738" s="41">
        <f t="shared" si="6"/>
        <v>1804.9839499999998</v>
      </c>
      <c r="K1738" s="42" t="s">
        <v>5796</v>
      </c>
      <c r="L1738" s="39">
        <v>980</v>
      </c>
    </row>
    <row r="1739" spans="1:12" ht="11.25" customHeight="1">
      <c r="A1739" s="47">
        <v>2</v>
      </c>
      <c r="B1739" s="48" t="s">
        <v>13622</v>
      </c>
      <c r="C1739" s="48" t="s">
        <v>13623</v>
      </c>
      <c r="D1739" s="48" t="s">
        <v>12</v>
      </c>
      <c r="E1739" s="49">
        <v>1276599.3500000001</v>
      </c>
      <c r="F1739" s="48" t="s">
        <v>12</v>
      </c>
      <c r="G1739" s="49">
        <v>1276506.1994</v>
      </c>
      <c r="H1739" s="48"/>
      <c r="I1739" s="49"/>
      <c r="J1739" s="49">
        <f t="shared" si="6"/>
        <v>1276552.7747</v>
      </c>
      <c r="K1739" s="50" t="s">
        <v>5815</v>
      </c>
      <c r="L1739" s="47">
        <v>2</v>
      </c>
    </row>
    <row r="1740" spans="1:12" ht="11.25" customHeight="1">
      <c r="A1740" s="39">
        <v>681</v>
      </c>
      <c r="B1740" s="40" t="s">
        <v>13624</v>
      </c>
      <c r="C1740" s="40" t="s">
        <v>13625</v>
      </c>
      <c r="D1740" s="40" t="s">
        <v>2000</v>
      </c>
      <c r="E1740" s="41">
        <v>4047.93</v>
      </c>
      <c r="F1740" s="40" t="s">
        <v>2000</v>
      </c>
      <c r="G1740" s="41">
        <v>4049.1277</v>
      </c>
      <c r="H1740" s="40"/>
      <c r="I1740" s="41"/>
      <c r="J1740" s="41">
        <f t="shared" si="6"/>
        <v>4048.5288499999997</v>
      </c>
      <c r="K1740" s="42" t="s">
        <v>5796</v>
      </c>
      <c r="L1740" s="39">
        <v>681</v>
      </c>
    </row>
    <row r="1741" spans="1:12" ht="11.25" customHeight="1">
      <c r="A1741" s="39">
        <v>667</v>
      </c>
      <c r="B1741" s="40" t="s">
        <v>13626</v>
      </c>
      <c r="C1741" s="40" t="s">
        <v>13627</v>
      </c>
      <c r="D1741" s="40" t="s">
        <v>1958</v>
      </c>
      <c r="E1741" s="41">
        <v>4220.87</v>
      </c>
      <c r="F1741" s="40" t="s">
        <v>1958</v>
      </c>
      <c r="G1741" s="41">
        <v>4256.3091000000004</v>
      </c>
      <c r="H1741" s="40"/>
      <c r="I1741" s="41"/>
      <c r="J1741" s="41">
        <f t="shared" si="6"/>
        <v>4238.5895500000006</v>
      </c>
      <c r="K1741" s="42" t="s">
        <v>5796</v>
      </c>
      <c r="L1741" s="39">
        <v>667</v>
      </c>
    </row>
    <row r="1742" spans="1:12" ht="11.25" customHeight="1">
      <c r="A1742" s="39">
        <v>3485</v>
      </c>
      <c r="B1742" s="40" t="s">
        <v>6948</v>
      </c>
      <c r="C1742" s="40" t="s">
        <v>13628</v>
      </c>
      <c r="D1742" s="40" t="s">
        <v>5694</v>
      </c>
      <c r="E1742" s="41">
        <v>18.329999999999998</v>
      </c>
      <c r="F1742" s="40" t="s">
        <v>5694</v>
      </c>
      <c r="G1742" s="41">
        <v>18.476500000000001</v>
      </c>
      <c r="H1742" s="40"/>
      <c r="I1742" s="41"/>
      <c r="J1742" s="41">
        <f t="shared" si="6"/>
        <v>18.40325</v>
      </c>
      <c r="K1742" s="42" t="s">
        <v>5796</v>
      </c>
      <c r="L1742" s="39">
        <v>3485</v>
      </c>
    </row>
    <row r="1743" spans="1:12" ht="11.25" customHeight="1">
      <c r="A1743" s="47">
        <v>50</v>
      </c>
      <c r="B1743" s="48" t="s">
        <v>13629</v>
      </c>
      <c r="C1743" s="48" t="s">
        <v>13630</v>
      </c>
      <c r="D1743" s="48" t="s">
        <v>161</v>
      </c>
      <c r="E1743" s="49">
        <v>117675.65</v>
      </c>
      <c r="F1743" s="48" t="s">
        <v>161</v>
      </c>
      <c r="G1743" s="49">
        <v>117650.5465</v>
      </c>
      <c r="H1743" s="48"/>
      <c r="I1743" s="49"/>
      <c r="J1743" s="49">
        <f t="shared" si="6"/>
        <v>117663.09825</v>
      </c>
      <c r="K1743" s="50" t="s">
        <v>5815</v>
      </c>
      <c r="L1743" s="47">
        <v>50</v>
      </c>
    </row>
    <row r="1744" spans="1:12" ht="11.25" customHeight="1">
      <c r="A1744" s="39">
        <v>573</v>
      </c>
      <c r="B1744" s="40" t="s">
        <v>13631</v>
      </c>
      <c r="C1744" s="40" t="s">
        <v>13632</v>
      </c>
      <c r="D1744" s="40" t="s">
        <v>1700</v>
      </c>
      <c r="E1744" s="41">
        <v>6077.3</v>
      </c>
      <c r="F1744" s="40" t="s">
        <v>1700</v>
      </c>
      <c r="G1744" s="41">
        <v>5946.3283000000001</v>
      </c>
      <c r="H1744" s="40"/>
      <c r="I1744" s="41"/>
      <c r="J1744" s="41">
        <f t="shared" si="6"/>
        <v>6011.8141500000002</v>
      </c>
      <c r="K1744" s="42" t="s">
        <v>5796</v>
      </c>
      <c r="L1744" s="39">
        <v>573</v>
      </c>
    </row>
    <row r="1745" spans="1:12" ht="11.25" customHeight="1">
      <c r="A1745" s="39">
        <v>3037</v>
      </c>
      <c r="B1745" s="40" t="s">
        <v>13633</v>
      </c>
      <c r="C1745" s="40" t="s">
        <v>13634</v>
      </c>
      <c r="D1745" s="40" t="s">
        <v>13635</v>
      </c>
      <c r="E1745" s="41">
        <v>36.340000000000003</v>
      </c>
      <c r="F1745" s="40" t="s">
        <v>5559</v>
      </c>
      <c r="G1745" s="41">
        <v>35.673900000000003</v>
      </c>
      <c r="H1745" s="40"/>
      <c r="I1745" s="41"/>
      <c r="J1745" s="41">
        <f t="shared" si="6"/>
        <v>36.006950000000003</v>
      </c>
      <c r="K1745" s="42" t="s">
        <v>5796</v>
      </c>
      <c r="L1745" s="39">
        <v>3037</v>
      </c>
    </row>
    <row r="1746" spans="1:12" ht="11.25" customHeight="1">
      <c r="A1746" s="39">
        <v>543</v>
      </c>
      <c r="B1746" s="40" t="s">
        <v>13636</v>
      </c>
      <c r="C1746" s="40" t="s">
        <v>13637</v>
      </c>
      <c r="D1746" s="40" t="s">
        <v>1610</v>
      </c>
      <c r="E1746" s="41">
        <v>6546.11</v>
      </c>
      <c r="F1746" s="40" t="s">
        <v>1610</v>
      </c>
      <c r="G1746" s="41">
        <v>6542.7664999999997</v>
      </c>
      <c r="H1746" s="40"/>
      <c r="I1746" s="41"/>
      <c r="J1746" s="41">
        <f t="shared" si="6"/>
        <v>6544.4382499999992</v>
      </c>
      <c r="K1746" s="42" t="s">
        <v>5796</v>
      </c>
      <c r="L1746" s="39">
        <v>543</v>
      </c>
    </row>
    <row r="1747" spans="1:12" ht="11.25" customHeight="1">
      <c r="A1747" s="39">
        <v>328</v>
      </c>
      <c r="B1747" s="40" t="s">
        <v>13638</v>
      </c>
      <c r="C1747" s="40" t="s">
        <v>13639</v>
      </c>
      <c r="D1747" s="40" t="s">
        <v>995</v>
      </c>
      <c r="E1747" s="41">
        <v>14184.07</v>
      </c>
      <c r="F1747" s="40" t="s">
        <v>995</v>
      </c>
      <c r="G1747" s="41">
        <v>14167.406999999999</v>
      </c>
      <c r="H1747" s="40"/>
      <c r="I1747" s="41"/>
      <c r="J1747" s="41">
        <f t="shared" si="6"/>
        <v>14175.738499999999</v>
      </c>
      <c r="K1747" s="42" t="s">
        <v>5796</v>
      </c>
      <c r="L1747" s="39">
        <v>328</v>
      </c>
    </row>
    <row r="1748" spans="1:12" ht="11.25" customHeight="1">
      <c r="A1748" s="39">
        <v>1813</v>
      </c>
      <c r="B1748" s="40" t="s">
        <v>13640</v>
      </c>
      <c r="C1748" s="40" t="s">
        <v>13641</v>
      </c>
      <c r="D1748" s="40"/>
      <c r="E1748" s="41"/>
      <c r="F1748" s="40" t="s">
        <v>4489</v>
      </c>
      <c r="G1748" s="41">
        <v>265.13240000000002</v>
      </c>
      <c r="H1748" s="40"/>
      <c r="I1748" s="41"/>
      <c r="J1748" s="41">
        <f t="shared" si="6"/>
        <v>265.13240000000002</v>
      </c>
      <c r="K1748" s="42" t="s">
        <v>5796</v>
      </c>
      <c r="L1748" s="39">
        <v>1813</v>
      </c>
    </row>
    <row r="1749" spans="1:12" ht="11.25" customHeight="1">
      <c r="A1749" s="39">
        <v>2716</v>
      </c>
      <c r="B1749" s="40" t="s">
        <v>13642</v>
      </c>
      <c r="C1749" s="40" t="s">
        <v>13643</v>
      </c>
      <c r="D1749" s="40" t="s">
        <v>5436</v>
      </c>
      <c r="E1749" s="41">
        <v>57.76</v>
      </c>
      <c r="F1749" s="40" t="s">
        <v>5436</v>
      </c>
      <c r="G1749" s="41">
        <v>57.704999999999998</v>
      </c>
      <c r="H1749" s="40"/>
      <c r="I1749" s="41"/>
      <c r="J1749" s="41">
        <f t="shared" si="6"/>
        <v>57.732500000000002</v>
      </c>
      <c r="K1749" s="42" t="s">
        <v>5796</v>
      </c>
      <c r="L1749" s="39">
        <v>2716</v>
      </c>
    </row>
    <row r="1750" spans="1:12" ht="11.25" customHeight="1">
      <c r="A1750" s="39">
        <v>1188</v>
      </c>
      <c r="B1750" s="40" t="s">
        <v>13644</v>
      </c>
      <c r="C1750" s="40" t="s">
        <v>13645</v>
      </c>
      <c r="D1750" s="40" t="s">
        <v>3319</v>
      </c>
      <c r="E1750" s="41">
        <v>1073.77</v>
      </c>
      <c r="F1750" s="40" t="s">
        <v>3319</v>
      </c>
      <c r="G1750" s="41">
        <v>1074.1342</v>
      </c>
      <c r="H1750" s="40"/>
      <c r="I1750" s="41"/>
      <c r="J1750" s="41">
        <f t="shared" si="6"/>
        <v>1073.9521</v>
      </c>
      <c r="K1750" s="42" t="s">
        <v>5796</v>
      </c>
      <c r="L1750" s="39">
        <v>1188</v>
      </c>
    </row>
    <row r="1751" spans="1:12" ht="11.25" customHeight="1">
      <c r="A1751" s="39">
        <v>1949</v>
      </c>
      <c r="B1751" s="40" t="s">
        <v>13646</v>
      </c>
      <c r="C1751" s="40" t="s">
        <v>13647</v>
      </c>
      <c r="D1751" s="40" t="s">
        <v>4663</v>
      </c>
      <c r="E1751" s="41">
        <v>203.83</v>
      </c>
      <c r="F1751" s="40" t="s">
        <v>4663</v>
      </c>
      <c r="G1751" s="41">
        <v>203.59389999999999</v>
      </c>
      <c r="H1751" s="40"/>
      <c r="I1751" s="41"/>
      <c r="J1751" s="41">
        <f t="shared" si="6"/>
        <v>203.71195</v>
      </c>
      <c r="K1751" s="42" t="s">
        <v>5796</v>
      </c>
      <c r="L1751" s="39">
        <v>1949</v>
      </c>
    </row>
    <row r="1752" spans="1:12" ht="11.25" customHeight="1">
      <c r="A1752" s="39">
        <v>666</v>
      </c>
      <c r="B1752" s="40" t="s">
        <v>13648</v>
      </c>
      <c r="C1752" s="40" t="s">
        <v>13649</v>
      </c>
      <c r="D1752" s="40" t="s">
        <v>1955</v>
      </c>
      <c r="E1752" s="41">
        <v>4334.45</v>
      </c>
      <c r="F1752" s="40" t="s">
        <v>1955</v>
      </c>
      <c r="G1752" s="41">
        <v>4163.3962000000001</v>
      </c>
      <c r="H1752" s="40"/>
      <c r="I1752" s="41"/>
      <c r="J1752" s="41">
        <f t="shared" si="6"/>
        <v>4248.9231</v>
      </c>
      <c r="K1752" s="42" t="s">
        <v>5796</v>
      </c>
      <c r="L1752" s="39">
        <v>666</v>
      </c>
    </row>
    <row r="1753" spans="1:12" ht="11.25" customHeight="1">
      <c r="A1753" s="39">
        <v>1245</v>
      </c>
      <c r="B1753" s="40" t="s">
        <v>13650</v>
      </c>
      <c r="C1753" s="40" t="s">
        <v>13651</v>
      </c>
      <c r="D1753" s="40" t="s">
        <v>3448</v>
      </c>
      <c r="E1753" s="41">
        <v>927.91</v>
      </c>
      <c r="F1753" s="40" t="s">
        <v>3448</v>
      </c>
      <c r="G1753" s="41">
        <v>928.19060000000002</v>
      </c>
      <c r="H1753" s="40"/>
      <c r="I1753" s="41"/>
      <c r="J1753" s="41">
        <f t="shared" si="6"/>
        <v>928.05029999999999</v>
      </c>
      <c r="K1753" s="42" t="s">
        <v>5796</v>
      </c>
      <c r="L1753" s="39">
        <v>1245</v>
      </c>
    </row>
    <row r="1754" spans="1:12" ht="11.25" customHeight="1">
      <c r="A1754" s="39">
        <v>2760</v>
      </c>
      <c r="B1754" s="40" t="s">
        <v>13652</v>
      </c>
      <c r="C1754" s="40" t="s">
        <v>13653</v>
      </c>
      <c r="D1754" s="40" t="s">
        <v>5454</v>
      </c>
      <c r="E1754" s="41">
        <v>57.071324959999991</v>
      </c>
      <c r="F1754" s="40" t="s">
        <v>5454</v>
      </c>
      <c r="G1754" s="41">
        <v>51.245899999999999</v>
      </c>
      <c r="H1754" s="40"/>
      <c r="I1754" s="41"/>
      <c r="J1754" s="41">
        <f t="shared" si="6"/>
        <v>54.158612479999995</v>
      </c>
      <c r="K1754" s="42" t="s">
        <v>5796</v>
      </c>
      <c r="L1754" s="39">
        <v>2760</v>
      </c>
    </row>
    <row r="1755" spans="1:12" ht="11.25" customHeight="1">
      <c r="A1755" s="39">
        <v>3051</v>
      </c>
      <c r="B1755" s="40" t="s">
        <v>13654</v>
      </c>
      <c r="C1755" s="40" t="s">
        <v>13655</v>
      </c>
      <c r="D1755" s="40" t="s">
        <v>5571</v>
      </c>
      <c r="E1755" s="41">
        <v>35.049999999999997</v>
      </c>
      <c r="F1755" s="40" t="s">
        <v>5571</v>
      </c>
      <c r="G1755" s="41">
        <v>34.934699999999999</v>
      </c>
      <c r="H1755" s="40"/>
      <c r="I1755" s="41"/>
      <c r="J1755" s="41">
        <f t="shared" si="6"/>
        <v>34.992350000000002</v>
      </c>
      <c r="K1755" s="42" t="s">
        <v>5796</v>
      </c>
      <c r="L1755" s="39">
        <v>3051</v>
      </c>
    </row>
    <row r="1756" spans="1:12" ht="11.25" customHeight="1">
      <c r="A1756" s="39">
        <v>739</v>
      </c>
      <c r="B1756" s="40" t="s">
        <v>13656</v>
      </c>
      <c r="C1756" s="40" t="s">
        <v>13657</v>
      </c>
      <c r="D1756" s="40" t="s">
        <v>2164</v>
      </c>
      <c r="E1756" s="41">
        <v>3445.07</v>
      </c>
      <c r="F1756" s="40" t="s">
        <v>2164</v>
      </c>
      <c r="G1756" s="41">
        <v>3444.8869</v>
      </c>
      <c r="H1756" s="40"/>
      <c r="I1756" s="41"/>
      <c r="J1756" s="41">
        <f t="shared" si="6"/>
        <v>3444.9784500000001</v>
      </c>
      <c r="K1756" s="42" t="s">
        <v>5796</v>
      </c>
      <c r="L1756" s="39">
        <v>739</v>
      </c>
    </row>
    <row r="1757" spans="1:12" ht="11.25" customHeight="1">
      <c r="A1757" s="39">
        <v>1545</v>
      </c>
      <c r="B1757" s="40" t="s">
        <v>6955</v>
      </c>
      <c r="C1757" s="40" t="s">
        <v>13658</v>
      </c>
      <c r="D1757" s="40" t="s">
        <v>4051</v>
      </c>
      <c r="E1757" s="41">
        <v>461.94</v>
      </c>
      <c r="F1757" s="40" t="s">
        <v>4051</v>
      </c>
      <c r="G1757" s="41">
        <v>460.96170000000001</v>
      </c>
      <c r="H1757" s="40"/>
      <c r="I1757" s="41"/>
      <c r="J1757" s="41">
        <f t="shared" si="6"/>
        <v>461.45085</v>
      </c>
      <c r="K1757" s="42" t="s">
        <v>5796</v>
      </c>
      <c r="L1757" s="39">
        <v>1545</v>
      </c>
    </row>
    <row r="1758" spans="1:12" ht="11.25" customHeight="1">
      <c r="A1758" s="39">
        <v>931</v>
      </c>
      <c r="B1758" s="40" t="s">
        <v>13659</v>
      </c>
      <c r="C1758" s="40" t="s">
        <v>13660</v>
      </c>
      <c r="D1758" s="40"/>
      <c r="E1758" s="41"/>
      <c r="F1758" s="40" t="s">
        <v>2689</v>
      </c>
      <c r="G1758" s="41">
        <v>2034.115</v>
      </c>
      <c r="H1758" s="40"/>
      <c r="I1758" s="41"/>
      <c r="J1758" s="41">
        <f t="shared" si="6"/>
        <v>2034.115</v>
      </c>
      <c r="K1758" s="42" t="s">
        <v>5796</v>
      </c>
      <c r="L1758" s="39">
        <v>931</v>
      </c>
    </row>
    <row r="1759" spans="1:12" ht="11.25" customHeight="1">
      <c r="A1759" s="39">
        <v>1041</v>
      </c>
      <c r="B1759" s="40" t="s">
        <v>13661</v>
      </c>
      <c r="C1759" s="40" t="s">
        <v>13662</v>
      </c>
      <c r="D1759" s="40" t="s">
        <v>2974</v>
      </c>
      <c r="E1759" s="41">
        <v>1518.24</v>
      </c>
      <c r="F1759" s="40" t="s">
        <v>2974</v>
      </c>
      <c r="G1759" s="41">
        <v>1518.2596000000001</v>
      </c>
      <c r="H1759" s="40"/>
      <c r="I1759" s="41"/>
      <c r="J1759" s="41">
        <f t="shared" si="6"/>
        <v>1518.2498000000001</v>
      </c>
      <c r="K1759" s="42" t="s">
        <v>5796</v>
      </c>
      <c r="L1759" s="39">
        <v>1041</v>
      </c>
    </row>
    <row r="1760" spans="1:12" ht="11.25" customHeight="1">
      <c r="A1760" s="43">
        <v>191</v>
      </c>
      <c r="B1760" s="44" t="s">
        <v>13663</v>
      </c>
      <c r="C1760" s="44" t="s">
        <v>13664</v>
      </c>
      <c r="D1760" s="44" t="s">
        <v>584</v>
      </c>
      <c r="E1760" s="45">
        <v>32804.620000000003</v>
      </c>
      <c r="F1760" s="44" t="s">
        <v>584</v>
      </c>
      <c r="G1760" s="45">
        <v>32802.883800000003</v>
      </c>
      <c r="H1760" s="44"/>
      <c r="I1760" s="45"/>
      <c r="J1760" s="45">
        <f t="shared" si="6"/>
        <v>32803.751900000003</v>
      </c>
      <c r="K1760" s="46" t="s">
        <v>5800</v>
      </c>
      <c r="L1760" s="43">
        <v>191</v>
      </c>
    </row>
    <row r="1761" spans="1:12" ht="11.25" customHeight="1">
      <c r="A1761" s="39">
        <v>586</v>
      </c>
      <c r="B1761" s="40" t="s">
        <v>13665</v>
      </c>
      <c r="C1761" s="40" t="s">
        <v>13666</v>
      </c>
      <c r="D1761" s="40" t="s">
        <v>1733</v>
      </c>
      <c r="E1761" s="41">
        <v>5678.88</v>
      </c>
      <c r="F1761" s="40" t="s">
        <v>1733</v>
      </c>
      <c r="G1761" s="41">
        <v>5682.6714000000002</v>
      </c>
      <c r="H1761" s="40"/>
      <c r="I1761" s="41"/>
      <c r="J1761" s="41">
        <f t="shared" si="6"/>
        <v>5680.7757000000001</v>
      </c>
      <c r="K1761" s="42" t="s">
        <v>5796</v>
      </c>
      <c r="L1761" s="39">
        <v>586</v>
      </c>
    </row>
    <row r="1762" spans="1:12" ht="11.25" customHeight="1">
      <c r="A1762" s="39">
        <v>2483</v>
      </c>
      <c r="B1762" s="40" t="s">
        <v>6959</v>
      </c>
      <c r="C1762" s="40" t="s">
        <v>13667</v>
      </c>
      <c r="D1762" s="40" t="s">
        <v>5283</v>
      </c>
      <c r="E1762" s="41">
        <v>86.54</v>
      </c>
      <c r="F1762" s="40" t="s">
        <v>5283</v>
      </c>
      <c r="G1762" s="41">
        <v>83.126800000000003</v>
      </c>
      <c r="H1762" s="40"/>
      <c r="I1762" s="41"/>
      <c r="J1762" s="41">
        <f t="shared" si="6"/>
        <v>84.833400000000012</v>
      </c>
      <c r="K1762" s="42" t="s">
        <v>5796</v>
      </c>
      <c r="L1762" s="39">
        <v>2483</v>
      </c>
    </row>
    <row r="1763" spans="1:12" ht="11.25" customHeight="1">
      <c r="A1763" s="39">
        <v>789</v>
      </c>
      <c r="B1763" s="40" t="s">
        <v>13668</v>
      </c>
      <c r="C1763" s="40" t="s">
        <v>13669</v>
      </c>
      <c r="D1763" s="40" t="s">
        <v>2296</v>
      </c>
      <c r="E1763" s="41">
        <v>2998.75</v>
      </c>
      <c r="F1763" s="40" t="s">
        <v>2296</v>
      </c>
      <c r="G1763" s="41">
        <v>2999.9308000000001</v>
      </c>
      <c r="H1763" s="40"/>
      <c r="I1763" s="41"/>
      <c r="J1763" s="41">
        <f t="shared" si="6"/>
        <v>2999.3404</v>
      </c>
      <c r="K1763" s="42" t="s">
        <v>5796</v>
      </c>
      <c r="L1763" s="39">
        <v>789</v>
      </c>
    </row>
    <row r="1764" spans="1:12" ht="11.25" customHeight="1">
      <c r="A1764" s="39">
        <v>675</v>
      </c>
      <c r="B1764" s="40" t="s">
        <v>13670</v>
      </c>
      <c r="C1764" s="40" t="s">
        <v>13671</v>
      </c>
      <c r="D1764" s="40" t="s">
        <v>1982</v>
      </c>
      <c r="E1764" s="41">
        <v>4079.93</v>
      </c>
      <c r="F1764" s="40" t="s">
        <v>1982</v>
      </c>
      <c r="G1764" s="41">
        <v>4073.1559999999999</v>
      </c>
      <c r="H1764" s="40"/>
      <c r="I1764" s="41"/>
      <c r="J1764" s="41">
        <f t="shared" si="6"/>
        <v>4076.5429999999997</v>
      </c>
      <c r="K1764" s="42" t="s">
        <v>5796</v>
      </c>
      <c r="L1764" s="39">
        <v>675</v>
      </c>
    </row>
    <row r="1765" spans="1:12" ht="11.25" customHeight="1">
      <c r="A1765" s="39">
        <v>920</v>
      </c>
      <c r="B1765" s="40" t="s">
        <v>13672</v>
      </c>
      <c r="C1765" s="40" t="s">
        <v>13673</v>
      </c>
      <c r="D1765" s="40" t="s">
        <v>2659</v>
      </c>
      <c r="E1765" s="41">
        <v>2087.96</v>
      </c>
      <c r="F1765" s="40" t="s">
        <v>2659</v>
      </c>
      <c r="G1765" s="41">
        <v>2088.6086</v>
      </c>
      <c r="H1765" s="40"/>
      <c r="I1765" s="41"/>
      <c r="J1765" s="41">
        <f t="shared" si="6"/>
        <v>2088.2843000000003</v>
      </c>
      <c r="K1765" s="42" t="s">
        <v>5796</v>
      </c>
      <c r="L1765" s="39">
        <v>920</v>
      </c>
    </row>
    <row r="1766" spans="1:12" ht="11.25" customHeight="1">
      <c r="A1766" s="39">
        <v>635</v>
      </c>
      <c r="B1766" s="40" t="s">
        <v>13674</v>
      </c>
      <c r="C1766" s="40" t="s">
        <v>13675</v>
      </c>
      <c r="D1766" s="40" t="s">
        <v>1877</v>
      </c>
      <c r="E1766" s="41">
        <v>4699.28</v>
      </c>
      <c r="F1766" s="40" t="s">
        <v>1877</v>
      </c>
      <c r="G1766" s="41">
        <v>4696.3742000000002</v>
      </c>
      <c r="H1766" s="40"/>
      <c r="I1766" s="41"/>
      <c r="J1766" s="41">
        <f t="shared" si="6"/>
        <v>4697.8271000000004</v>
      </c>
      <c r="K1766" s="42" t="s">
        <v>5796</v>
      </c>
      <c r="L1766" s="39">
        <v>635</v>
      </c>
    </row>
    <row r="1767" spans="1:12" ht="11.25" customHeight="1">
      <c r="A1767" s="43">
        <v>106</v>
      </c>
      <c r="B1767" s="44" t="s">
        <v>13676</v>
      </c>
      <c r="C1767" s="44" t="s">
        <v>13677</v>
      </c>
      <c r="D1767" s="44" t="s">
        <v>332</v>
      </c>
      <c r="E1767" s="45">
        <v>61590.45</v>
      </c>
      <c r="F1767" s="44" t="s">
        <v>332</v>
      </c>
      <c r="G1767" s="45">
        <v>61589.559399999998</v>
      </c>
      <c r="H1767" s="44"/>
      <c r="I1767" s="45"/>
      <c r="J1767" s="45">
        <f t="shared" si="6"/>
        <v>61590.004699999998</v>
      </c>
      <c r="K1767" s="46" t="s">
        <v>5800</v>
      </c>
      <c r="L1767" s="43">
        <v>106</v>
      </c>
    </row>
    <row r="1768" spans="1:12" ht="11.25" customHeight="1">
      <c r="A1768" s="39">
        <v>3519</v>
      </c>
      <c r="B1768" s="40" t="s">
        <v>6964</v>
      </c>
      <c r="C1768" s="40" t="s">
        <v>13678</v>
      </c>
      <c r="D1768" s="40" t="s">
        <v>5703</v>
      </c>
      <c r="E1768" s="41">
        <v>17.27</v>
      </c>
      <c r="F1768" s="40" t="s">
        <v>5703</v>
      </c>
      <c r="G1768" s="41">
        <v>17.271799999999999</v>
      </c>
      <c r="H1768" s="40"/>
      <c r="I1768" s="41"/>
      <c r="J1768" s="41">
        <f t="shared" si="6"/>
        <v>17.270899999999997</v>
      </c>
      <c r="K1768" s="42" t="s">
        <v>5796</v>
      </c>
      <c r="L1768" s="39">
        <v>3519</v>
      </c>
    </row>
    <row r="1769" spans="1:12" ht="11.25" customHeight="1">
      <c r="A1769" s="39">
        <v>1755</v>
      </c>
      <c r="B1769" s="40" t="s">
        <v>13679</v>
      </c>
      <c r="C1769" s="40" t="s">
        <v>13680</v>
      </c>
      <c r="D1769" s="40" t="s">
        <v>4420</v>
      </c>
      <c r="E1769" s="41">
        <v>294.07</v>
      </c>
      <c r="F1769" s="40" t="s">
        <v>4420</v>
      </c>
      <c r="G1769" s="41">
        <v>298.97430000000003</v>
      </c>
      <c r="H1769" s="40"/>
      <c r="I1769" s="41"/>
      <c r="J1769" s="41">
        <f t="shared" si="6"/>
        <v>296.52215000000001</v>
      </c>
      <c r="K1769" s="42" t="s">
        <v>5796</v>
      </c>
      <c r="L1769" s="39">
        <v>1755</v>
      </c>
    </row>
    <row r="1770" spans="1:12" ht="11.25" customHeight="1">
      <c r="A1770" s="39">
        <v>2639</v>
      </c>
      <c r="B1770" s="40" t="s">
        <v>13681</v>
      </c>
      <c r="C1770" s="40" t="s">
        <v>13682</v>
      </c>
      <c r="D1770" s="40" t="s">
        <v>5406</v>
      </c>
      <c r="E1770" s="41">
        <v>63.64</v>
      </c>
      <c r="F1770" s="40" t="s">
        <v>5406</v>
      </c>
      <c r="G1770" s="41">
        <v>63.471299999999999</v>
      </c>
      <c r="H1770" s="40"/>
      <c r="I1770" s="41"/>
      <c r="J1770" s="41">
        <f t="shared" si="6"/>
        <v>63.55565</v>
      </c>
      <c r="K1770" s="42" t="s">
        <v>5796</v>
      </c>
      <c r="L1770" s="39">
        <v>2639</v>
      </c>
    </row>
    <row r="1771" spans="1:12" ht="11.25" customHeight="1">
      <c r="A1771" s="39">
        <v>734</v>
      </c>
      <c r="B1771" s="40" t="s">
        <v>13683</v>
      </c>
      <c r="C1771" s="40" t="s">
        <v>13684</v>
      </c>
      <c r="D1771" s="40" t="s">
        <v>2149</v>
      </c>
      <c r="E1771" s="41">
        <v>3484.49</v>
      </c>
      <c r="F1771" s="40" t="s">
        <v>2149</v>
      </c>
      <c r="G1771" s="41">
        <v>3483.0724</v>
      </c>
      <c r="H1771" s="40"/>
      <c r="I1771" s="41"/>
      <c r="J1771" s="41">
        <f t="shared" si="6"/>
        <v>3483.7811999999999</v>
      </c>
      <c r="K1771" s="42" t="s">
        <v>5796</v>
      </c>
      <c r="L1771" s="39">
        <v>734</v>
      </c>
    </row>
    <row r="1772" spans="1:12" ht="11.25" customHeight="1">
      <c r="A1772" s="43">
        <v>236</v>
      </c>
      <c r="B1772" s="44" t="s">
        <v>13685</v>
      </c>
      <c r="C1772" s="44" t="s">
        <v>13686</v>
      </c>
      <c r="D1772" s="44" t="s">
        <v>719</v>
      </c>
      <c r="E1772" s="45">
        <v>23732.22</v>
      </c>
      <c r="F1772" s="44" t="s">
        <v>719</v>
      </c>
      <c r="G1772" s="45">
        <v>23739.4692</v>
      </c>
      <c r="H1772" s="44"/>
      <c r="I1772" s="45"/>
      <c r="J1772" s="45">
        <f t="shared" si="6"/>
        <v>23735.8446</v>
      </c>
      <c r="K1772" s="46" t="s">
        <v>5800</v>
      </c>
      <c r="L1772" s="43">
        <v>236</v>
      </c>
    </row>
    <row r="1773" spans="1:12" ht="11.25" customHeight="1">
      <c r="A1773" s="39">
        <v>678</v>
      </c>
      <c r="B1773" s="40" t="s">
        <v>13687</v>
      </c>
      <c r="C1773" s="40" t="s">
        <v>13688</v>
      </c>
      <c r="D1773" s="40" t="s">
        <v>1991</v>
      </c>
      <c r="E1773" s="41">
        <v>4061.9</v>
      </c>
      <c r="F1773" s="40" t="s">
        <v>1991</v>
      </c>
      <c r="G1773" s="41">
        <v>4062.7377000000001</v>
      </c>
      <c r="H1773" s="40"/>
      <c r="I1773" s="41"/>
      <c r="J1773" s="41">
        <f t="shared" si="6"/>
        <v>4062.3188500000001</v>
      </c>
      <c r="K1773" s="42" t="s">
        <v>5796</v>
      </c>
      <c r="L1773" s="39">
        <v>678</v>
      </c>
    </row>
    <row r="1774" spans="1:12" ht="11.25" customHeight="1">
      <c r="A1774" s="39">
        <v>1844</v>
      </c>
      <c r="B1774" s="40" t="s">
        <v>13689</v>
      </c>
      <c r="C1774" s="40" t="s">
        <v>13690</v>
      </c>
      <c r="D1774" s="40" t="s">
        <v>4531</v>
      </c>
      <c r="E1774" s="41">
        <v>252.19</v>
      </c>
      <c r="F1774" s="40" t="s">
        <v>4531</v>
      </c>
      <c r="G1774" s="41">
        <v>252.8432</v>
      </c>
      <c r="H1774" s="40"/>
      <c r="I1774" s="41"/>
      <c r="J1774" s="41">
        <f t="shared" si="6"/>
        <v>252.51659999999998</v>
      </c>
      <c r="K1774" s="42" t="s">
        <v>5796</v>
      </c>
      <c r="L1774" s="39">
        <v>1844</v>
      </c>
    </row>
    <row r="1775" spans="1:12" ht="11.25" customHeight="1">
      <c r="A1775" s="39">
        <v>670</v>
      </c>
      <c r="B1775" s="40" t="s">
        <v>13691</v>
      </c>
      <c r="C1775" s="40" t="s">
        <v>13692</v>
      </c>
      <c r="D1775" s="40" t="s">
        <v>1967</v>
      </c>
      <c r="E1775" s="41">
        <v>4182.46</v>
      </c>
      <c r="F1775" s="40" t="s">
        <v>1967</v>
      </c>
      <c r="G1775" s="41">
        <v>4185.3500999999997</v>
      </c>
      <c r="H1775" s="40"/>
      <c r="I1775" s="41"/>
      <c r="J1775" s="41">
        <f t="shared" si="6"/>
        <v>4183.9050499999994</v>
      </c>
      <c r="K1775" s="42" t="s">
        <v>5796</v>
      </c>
      <c r="L1775" s="39">
        <v>670</v>
      </c>
    </row>
    <row r="1776" spans="1:12" ht="11.25" customHeight="1">
      <c r="A1776" s="39">
        <v>911</v>
      </c>
      <c r="B1776" s="40" t="s">
        <v>13693</v>
      </c>
      <c r="C1776" s="40" t="s">
        <v>13694</v>
      </c>
      <c r="D1776" s="40" t="s">
        <v>2641</v>
      </c>
      <c r="E1776" s="41">
        <v>2116.71</v>
      </c>
      <c r="F1776" s="40" t="s">
        <v>2641</v>
      </c>
      <c r="G1776" s="41">
        <v>2116.8290000000002</v>
      </c>
      <c r="H1776" s="40"/>
      <c r="I1776" s="41"/>
      <c r="J1776" s="41">
        <f t="shared" si="6"/>
        <v>2116.7695000000003</v>
      </c>
      <c r="K1776" s="42" t="s">
        <v>5796</v>
      </c>
      <c r="L1776" s="39">
        <v>911</v>
      </c>
    </row>
    <row r="1777" spans="1:12" ht="11.25" customHeight="1">
      <c r="A1777" s="39">
        <v>2369</v>
      </c>
      <c r="B1777" s="40" t="s">
        <v>13695</v>
      </c>
      <c r="C1777" s="40" t="s">
        <v>13696</v>
      </c>
      <c r="D1777" s="40"/>
      <c r="E1777" s="41"/>
      <c r="F1777" s="40" t="s">
        <v>5188</v>
      </c>
      <c r="G1777" s="41">
        <v>101.6948</v>
      </c>
      <c r="H1777" s="40"/>
      <c r="I1777" s="41"/>
      <c r="J1777" s="41">
        <f t="shared" si="6"/>
        <v>101.6948</v>
      </c>
      <c r="K1777" s="42" t="s">
        <v>5796</v>
      </c>
      <c r="L1777" s="39">
        <v>2369</v>
      </c>
    </row>
    <row r="1778" spans="1:12" ht="11.25" customHeight="1">
      <c r="A1778" s="39">
        <v>408</v>
      </c>
      <c r="B1778" s="40" t="s">
        <v>1227</v>
      </c>
      <c r="C1778" s="40" t="s">
        <v>13697</v>
      </c>
      <c r="D1778" s="40" t="s">
        <v>1229</v>
      </c>
      <c r="E1778" s="41">
        <v>9978.49</v>
      </c>
      <c r="F1778" s="40" t="s">
        <v>1229</v>
      </c>
      <c r="G1778" s="41">
        <v>9909.6033000000007</v>
      </c>
      <c r="H1778" s="40"/>
      <c r="I1778" s="41"/>
      <c r="J1778" s="41">
        <f t="shared" si="6"/>
        <v>9944.0466500000002</v>
      </c>
      <c r="K1778" s="42" t="s">
        <v>5796</v>
      </c>
      <c r="L1778" s="39">
        <v>408</v>
      </c>
    </row>
    <row r="1779" spans="1:12" ht="11.25" customHeight="1">
      <c r="A1779" s="47">
        <v>18</v>
      </c>
      <c r="B1779" s="48" t="s">
        <v>13698</v>
      </c>
      <c r="C1779" s="48" t="s">
        <v>13699</v>
      </c>
      <c r="D1779" s="48" t="s">
        <v>60</v>
      </c>
      <c r="E1779" s="49">
        <v>287183.61</v>
      </c>
      <c r="F1779" s="48" t="s">
        <v>60</v>
      </c>
      <c r="G1779" s="49">
        <v>287201.90139999997</v>
      </c>
      <c r="H1779" s="48"/>
      <c r="I1779" s="49"/>
      <c r="J1779" s="49">
        <f t="shared" si="6"/>
        <v>287192.75569999998</v>
      </c>
      <c r="K1779" s="50" t="s">
        <v>5815</v>
      </c>
      <c r="L1779" s="47">
        <v>18</v>
      </c>
    </row>
    <row r="1780" spans="1:12" ht="11.25" customHeight="1">
      <c r="A1780" s="39">
        <v>466</v>
      </c>
      <c r="B1780" s="40" t="s">
        <v>13700</v>
      </c>
      <c r="C1780" s="40" t="s">
        <v>13701</v>
      </c>
      <c r="D1780" s="40" t="s">
        <v>1388</v>
      </c>
      <c r="E1780" s="41">
        <v>8132.34</v>
      </c>
      <c r="F1780" s="40" t="s">
        <v>1388</v>
      </c>
      <c r="G1780" s="41">
        <v>8133.6841000000004</v>
      </c>
      <c r="H1780" s="40"/>
      <c r="I1780" s="41"/>
      <c r="J1780" s="41">
        <f t="shared" si="6"/>
        <v>8133.0120500000003</v>
      </c>
      <c r="K1780" s="42" t="s">
        <v>5796</v>
      </c>
      <c r="L1780" s="39">
        <v>466</v>
      </c>
    </row>
    <row r="1781" spans="1:12" ht="11.25" customHeight="1">
      <c r="A1781" s="39">
        <v>1305</v>
      </c>
      <c r="B1781" s="40" t="s">
        <v>13702</v>
      </c>
      <c r="C1781" s="40" t="s">
        <v>13703</v>
      </c>
      <c r="D1781" s="40" t="s">
        <v>3586</v>
      </c>
      <c r="E1781" s="41">
        <v>794.62</v>
      </c>
      <c r="F1781" s="40" t="s">
        <v>3586</v>
      </c>
      <c r="G1781" s="41">
        <v>794.71659999999997</v>
      </c>
      <c r="H1781" s="40"/>
      <c r="I1781" s="41"/>
      <c r="J1781" s="41">
        <f t="shared" si="6"/>
        <v>794.66830000000004</v>
      </c>
      <c r="K1781" s="42" t="s">
        <v>5796</v>
      </c>
      <c r="L1781" s="39">
        <v>1305</v>
      </c>
    </row>
    <row r="1782" spans="1:12" ht="11.25" customHeight="1">
      <c r="A1782" s="39">
        <v>983</v>
      </c>
      <c r="B1782" s="40" t="s">
        <v>13704</v>
      </c>
      <c r="C1782" s="40" t="s">
        <v>13705</v>
      </c>
      <c r="D1782" s="40" t="s">
        <v>2818</v>
      </c>
      <c r="E1782" s="41">
        <v>1784.34</v>
      </c>
      <c r="F1782" s="40" t="s">
        <v>2818</v>
      </c>
      <c r="G1782" s="41">
        <v>1784.3552999999999</v>
      </c>
      <c r="H1782" s="40"/>
      <c r="I1782" s="41"/>
      <c r="J1782" s="41">
        <f t="shared" si="6"/>
        <v>1784.3476499999999</v>
      </c>
      <c r="K1782" s="42" t="s">
        <v>5796</v>
      </c>
      <c r="L1782" s="39">
        <v>983</v>
      </c>
    </row>
    <row r="1783" spans="1:12" ht="11.25" customHeight="1">
      <c r="A1783" s="39">
        <v>3049</v>
      </c>
      <c r="B1783" s="40" t="s">
        <v>13706</v>
      </c>
      <c r="C1783" s="40" t="s">
        <v>13707</v>
      </c>
      <c r="D1783" s="40" t="s">
        <v>5568</v>
      </c>
      <c r="E1783" s="41">
        <v>35.07</v>
      </c>
      <c r="F1783" s="40" t="s">
        <v>5568</v>
      </c>
      <c r="G1783" s="41">
        <v>34.979100000000003</v>
      </c>
      <c r="H1783" s="40"/>
      <c r="I1783" s="41"/>
      <c r="J1783" s="41">
        <f t="shared" si="6"/>
        <v>35.024550000000005</v>
      </c>
      <c r="K1783" s="42" t="s">
        <v>5796</v>
      </c>
      <c r="L1783" s="39">
        <v>3049</v>
      </c>
    </row>
    <row r="1784" spans="1:12" ht="11.25" customHeight="1">
      <c r="A1784" s="39">
        <v>2383</v>
      </c>
      <c r="B1784" s="40" t="s">
        <v>13708</v>
      </c>
      <c r="C1784" s="40" t="s">
        <v>13709</v>
      </c>
      <c r="D1784" s="40" t="s">
        <v>5197</v>
      </c>
      <c r="E1784" s="41">
        <v>100.02</v>
      </c>
      <c r="F1784" s="40" t="s">
        <v>5197</v>
      </c>
      <c r="G1784" s="41">
        <v>99.902199999999993</v>
      </c>
      <c r="H1784" s="40"/>
      <c r="I1784" s="41"/>
      <c r="J1784" s="41">
        <f t="shared" si="6"/>
        <v>99.961099999999988</v>
      </c>
      <c r="K1784" s="42" t="s">
        <v>5796</v>
      </c>
      <c r="L1784" s="39">
        <v>2383</v>
      </c>
    </row>
    <row r="1785" spans="1:12" ht="11.25" customHeight="1">
      <c r="A1785" s="47">
        <v>100</v>
      </c>
      <c r="B1785" s="48" t="s">
        <v>13710</v>
      </c>
      <c r="C1785" s="48" t="s">
        <v>13711</v>
      </c>
      <c r="D1785" s="48" t="s">
        <v>314</v>
      </c>
      <c r="E1785" s="49">
        <v>67011.14</v>
      </c>
      <c r="F1785" s="48" t="s">
        <v>314</v>
      </c>
      <c r="G1785" s="49">
        <v>67024.247399999993</v>
      </c>
      <c r="H1785" s="48"/>
      <c r="I1785" s="49"/>
      <c r="J1785" s="49">
        <f t="shared" si="6"/>
        <v>67017.693700000003</v>
      </c>
      <c r="K1785" s="50" t="s">
        <v>5815</v>
      </c>
      <c r="L1785" s="47">
        <v>100</v>
      </c>
    </row>
    <row r="1786" spans="1:12" ht="11.25" customHeight="1">
      <c r="A1786" s="43">
        <v>173</v>
      </c>
      <c r="B1786" s="44" t="s">
        <v>6977</v>
      </c>
      <c r="C1786" s="44" t="s">
        <v>13712</v>
      </c>
      <c r="D1786" s="44" t="s">
        <v>530</v>
      </c>
      <c r="E1786" s="45">
        <v>35645.120000000003</v>
      </c>
      <c r="F1786" s="44" t="s">
        <v>530</v>
      </c>
      <c r="G1786" s="45">
        <v>35647.114300000001</v>
      </c>
      <c r="H1786" s="44"/>
      <c r="I1786" s="45"/>
      <c r="J1786" s="45">
        <f t="shared" si="6"/>
        <v>35646.117150000005</v>
      </c>
      <c r="K1786" s="46" t="s">
        <v>5800</v>
      </c>
      <c r="L1786" s="43">
        <v>173</v>
      </c>
    </row>
    <row r="1787" spans="1:12" ht="11.25" customHeight="1">
      <c r="A1787" s="39">
        <v>1929</v>
      </c>
      <c r="B1787" s="40" t="s">
        <v>13713</v>
      </c>
      <c r="C1787" s="40" t="s">
        <v>13714</v>
      </c>
      <c r="D1787" s="40"/>
      <c r="E1787" s="41"/>
      <c r="F1787" s="40" t="s">
        <v>4642</v>
      </c>
      <c r="G1787" s="41">
        <v>208.66220000000001</v>
      </c>
      <c r="H1787" s="40"/>
      <c r="I1787" s="41"/>
      <c r="J1787" s="41">
        <f t="shared" si="6"/>
        <v>208.66220000000001</v>
      </c>
      <c r="K1787" s="42" t="s">
        <v>5796</v>
      </c>
      <c r="L1787" s="39">
        <v>1929</v>
      </c>
    </row>
    <row r="1788" spans="1:12" ht="11.25" customHeight="1">
      <c r="A1788" s="39">
        <v>2039</v>
      </c>
      <c r="B1788" s="40" t="s">
        <v>13715</v>
      </c>
      <c r="C1788" s="40" t="s">
        <v>13716</v>
      </c>
      <c r="D1788" s="40"/>
      <c r="E1788" s="41"/>
      <c r="F1788" s="40" t="s">
        <v>4795</v>
      </c>
      <c r="G1788" s="41">
        <v>176.99270000000001</v>
      </c>
      <c r="H1788" s="40"/>
      <c r="I1788" s="41"/>
      <c r="J1788" s="41">
        <f t="shared" ref="J1788:J2042" si="7">AVERAGE(E1788,G1788,I1788)</f>
        <v>176.99270000000001</v>
      </c>
      <c r="K1788" s="42" t="s">
        <v>5796</v>
      </c>
      <c r="L1788" s="39">
        <v>2039</v>
      </c>
    </row>
    <row r="1789" spans="1:12" ht="11.25" customHeight="1">
      <c r="A1789" s="39">
        <v>2406</v>
      </c>
      <c r="B1789" s="40" t="s">
        <v>13717</v>
      </c>
      <c r="C1789" s="40" t="s">
        <v>13718</v>
      </c>
      <c r="D1789" s="40" t="s">
        <v>5212</v>
      </c>
      <c r="E1789" s="41">
        <v>95.95</v>
      </c>
      <c r="F1789" s="40" t="s">
        <v>5212</v>
      </c>
      <c r="G1789" s="41">
        <v>95.588399999999993</v>
      </c>
      <c r="H1789" s="40"/>
      <c r="I1789" s="41"/>
      <c r="J1789" s="41">
        <f t="shared" si="7"/>
        <v>95.769199999999998</v>
      </c>
      <c r="K1789" s="42" t="s">
        <v>5796</v>
      </c>
      <c r="L1789" s="39">
        <v>2406</v>
      </c>
    </row>
    <row r="1790" spans="1:12" ht="11.25" customHeight="1">
      <c r="A1790" s="39">
        <v>1652</v>
      </c>
      <c r="B1790" s="40" t="s">
        <v>13719</v>
      </c>
      <c r="C1790" s="40" t="s">
        <v>13720</v>
      </c>
      <c r="D1790" s="40" t="s">
        <v>13721</v>
      </c>
      <c r="E1790" s="41">
        <v>363.89</v>
      </c>
      <c r="F1790" s="40" t="s">
        <v>4246</v>
      </c>
      <c r="G1790" s="41">
        <v>363.47829999999999</v>
      </c>
      <c r="H1790" s="40"/>
      <c r="I1790" s="41"/>
      <c r="J1790" s="41">
        <f t="shared" si="7"/>
        <v>363.68414999999999</v>
      </c>
      <c r="K1790" s="42" t="s">
        <v>5796</v>
      </c>
      <c r="L1790" s="39">
        <v>1652</v>
      </c>
    </row>
    <row r="1791" spans="1:12" ht="11.25" customHeight="1">
      <c r="A1791" s="39">
        <v>1281</v>
      </c>
      <c r="B1791" s="40" t="s">
        <v>13722</v>
      </c>
      <c r="C1791" s="40" t="s">
        <v>13723</v>
      </c>
      <c r="D1791" s="40" t="s">
        <v>3523</v>
      </c>
      <c r="E1791" s="41">
        <v>850</v>
      </c>
      <c r="F1791" s="40" t="s">
        <v>3523</v>
      </c>
      <c r="G1791" s="41">
        <v>843.3116</v>
      </c>
      <c r="H1791" s="40"/>
      <c r="I1791" s="41"/>
      <c r="J1791" s="41">
        <f t="shared" si="7"/>
        <v>846.6558</v>
      </c>
      <c r="K1791" s="42" t="s">
        <v>5796</v>
      </c>
      <c r="L1791" s="39">
        <v>1281</v>
      </c>
    </row>
    <row r="1792" spans="1:12" ht="11.25" customHeight="1">
      <c r="A1792" s="39">
        <v>2528</v>
      </c>
      <c r="B1792" s="40" t="s">
        <v>13724</v>
      </c>
      <c r="C1792" s="40" t="s">
        <v>13725</v>
      </c>
      <c r="D1792" s="40" t="s">
        <v>5316</v>
      </c>
      <c r="E1792" s="41">
        <v>77.31</v>
      </c>
      <c r="F1792" s="40" t="s">
        <v>5316</v>
      </c>
      <c r="G1792" s="41">
        <v>77.215400000000002</v>
      </c>
      <c r="H1792" s="40"/>
      <c r="I1792" s="41"/>
      <c r="J1792" s="41">
        <f t="shared" si="7"/>
        <v>77.262699999999995</v>
      </c>
      <c r="K1792" s="42" t="s">
        <v>5796</v>
      </c>
      <c r="L1792" s="39">
        <v>2528</v>
      </c>
    </row>
    <row r="1793" spans="1:12" ht="11.25" customHeight="1">
      <c r="A1793" s="39">
        <v>2150</v>
      </c>
      <c r="B1793" s="40" t="s">
        <v>4952</v>
      </c>
      <c r="C1793" s="40" t="s">
        <v>13726</v>
      </c>
      <c r="D1793" s="40" t="s">
        <v>13727</v>
      </c>
      <c r="E1793" s="41">
        <v>146.26</v>
      </c>
      <c r="F1793" s="40" t="s">
        <v>4954</v>
      </c>
      <c r="G1793" s="41">
        <v>146.4906</v>
      </c>
      <c r="H1793" s="40"/>
      <c r="I1793" s="41"/>
      <c r="J1793" s="41">
        <f t="shared" si="7"/>
        <v>146.37529999999998</v>
      </c>
      <c r="K1793" s="42" t="s">
        <v>5796</v>
      </c>
      <c r="L1793" s="39">
        <v>2150</v>
      </c>
    </row>
    <row r="1794" spans="1:12" ht="11.25" customHeight="1">
      <c r="A1794" s="39">
        <v>1209</v>
      </c>
      <c r="B1794" s="40" t="s">
        <v>13728</v>
      </c>
      <c r="C1794" s="40" t="s">
        <v>13729</v>
      </c>
      <c r="D1794" s="40" t="s">
        <v>3376</v>
      </c>
      <c r="E1794" s="41">
        <v>1029.1500000000001</v>
      </c>
      <c r="F1794" s="40" t="s">
        <v>3376</v>
      </c>
      <c r="G1794" s="41">
        <v>1028.9268</v>
      </c>
      <c r="H1794" s="40"/>
      <c r="I1794" s="41"/>
      <c r="J1794" s="41">
        <f t="shared" si="7"/>
        <v>1029.0383999999999</v>
      </c>
      <c r="K1794" s="42" t="s">
        <v>5796</v>
      </c>
      <c r="L1794" s="39">
        <v>1209</v>
      </c>
    </row>
    <row r="1795" spans="1:12" ht="11.25" customHeight="1">
      <c r="A1795" s="47">
        <v>80</v>
      </c>
      <c r="B1795" s="48" t="s">
        <v>13730</v>
      </c>
      <c r="C1795" s="48" t="s">
        <v>13731</v>
      </c>
      <c r="D1795" s="48" t="s">
        <v>254</v>
      </c>
      <c r="E1795" s="49">
        <v>77998.78</v>
      </c>
      <c r="F1795" s="48" t="s">
        <v>254</v>
      </c>
      <c r="G1795" s="49">
        <v>78006.376699999993</v>
      </c>
      <c r="H1795" s="48"/>
      <c r="I1795" s="49"/>
      <c r="J1795" s="49">
        <f t="shared" si="7"/>
        <v>78002.578349999996</v>
      </c>
      <c r="K1795" s="50" t="s">
        <v>5815</v>
      </c>
      <c r="L1795" s="47">
        <v>80</v>
      </c>
    </row>
    <row r="1796" spans="1:12" ht="11.25" customHeight="1">
      <c r="A1796" s="39">
        <v>1839</v>
      </c>
      <c r="B1796" s="40" t="s">
        <v>13732</v>
      </c>
      <c r="C1796" s="40" t="s">
        <v>13733</v>
      </c>
      <c r="D1796" s="40" t="s">
        <v>4522</v>
      </c>
      <c r="E1796" s="41">
        <v>254.26</v>
      </c>
      <c r="F1796" s="40" t="s">
        <v>4522</v>
      </c>
      <c r="G1796" s="41">
        <v>254.22319999999999</v>
      </c>
      <c r="H1796" s="40"/>
      <c r="I1796" s="41"/>
      <c r="J1796" s="41">
        <f t="shared" si="7"/>
        <v>254.24160000000001</v>
      </c>
      <c r="K1796" s="42" t="s">
        <v>5796</v>
      </c>
      <c r="L1796" s="39">
        <v>1839</v>
      </c>
    </row>
    <row r="1797" spans="1:12" ht="11.25" customHeight="1">
      <c r="A1797" s="39">
        <v>284</v>
      </c>
      <c r="B1797" s="40" t="s">
        <v>13734</v>
      </c>
      <c r="C1797" s="40" t="s">
        <v>13735</v>
      </c>
      <c r="D1797" s="40" t="s">
        <v>863</v>
      </c>
      <c r="E1797" s="41">
        <v>18268.3</v>
      </c>
      <c r="F1797" s="40" t="s">
        <v>863</v>
      </c>
      <c r="G1797" s="41">
        <v>18266.7408</v>
      </c>
      <c r="H1797" s="40"/>
      <c r="I1797" s="41"/>
      <c r="J1797" s="41">
        <f t="shared" si="7"/>
        <v>18267.520400000001</v>
      </c>
      <c r="K1797" s="42" t="s">
        <v>5796</v>
      </c>
      <c r="L1797" s="39">
        <v>284</v>
      </c>
    </row>
    <row r="1798" spans="1:12" ht="11.25" customHeight="1">
      <c r="A1798" s="39">
        <v>1630</v>
      </c>
      <c r="B1798" s="40" t="s">
        <v>13736</v>
      </c>
      <c r="C1798" s="40" t="s">
        <v>13737</v>
      </c>
      <c r="D1798" s="40" t="s">
        <v>4210</v>
      </c>
      <c r="E1798" s="41">
        <v>384.65</v>
      </c>
      <c r="F1798" s="40" t="s">
        <v>4210</v>
      </c>
      <c r="G1798" s="41">
        <v>384.81180000000001</v>
      </c>
      <c r="H1798" s="40"/>
      <c r="I1798" s="41"/>
      <c r="J1798" s="41">
        <f t="shared" si="7"/>
        <v>384.73090000000002</v>
      </c>
      <c r="K1798" s="42" t="s">
        <v>5796</v>
      </c>
      <c r="L1798" s="39">
        <v>1630</v>
      </c>
    </row>
    <row r="1799" spans="1:12" ht="11.25" customHeight="1">
      <c r="A1799" s="39">
        <v>942</v>
      </c>
      <c r="B1799" s="40" t="s">
        <v>13738</v>
      </c>
      <c r="C1799" s="40" t="s">
        <v>13739</v>
      </c>
      <c r="D1799" s="40" t="s">
        <v>2719</v>
      </c>
      <c r="E1799" s="41">
        <v>2017.52</v>
      </c>
      <c r="F1799" s="40" t="s">
        <v>2719</v>
      </c>
      <c r="G1799" s="41">
        <v>1986.0725</v>
      </c>
      <c r="H1799" s="40"/>
      <c r="I1799" s="41"/>
      <c r="J1799" s="41">
        <f t="shared" si="7"/>
        <v>2001.7962499999999</v>
      </c>
      <c r="K1799" s="42" t="s">
        <v>5796</v>
      </c>
      <c r="L1799" s="39">
        <v>942</v>
      </c>
    </row>
    <row r="1800" spans="1:12" ht="11.25" customHeight="1">
      <c r="A1800" s="39">
        <v>347</v>
      </c>
      <c r="B1800" s="40" t="s">
        <v>13740</v>
      </c>
      <c r="C1800" s="40" t="s">
        <v>13741</v>
      </c>
      <c r="D1800" s="40" t="s">
        <v>1052</v>
      </c>
      <c r="E1800" s="41">
        <v>12680.21</v>
      </c>
      <c r="F1800" s="40" t="s">
        <v>1052</v>
      </c>
      <c r="G1800" s="41">
        <v>12680.840700000001</v>
      </c>
      <c r="H1800" s="40"/>
      <c r="I1800" s="41"/>
      <c r="J1800" s="41">
        <f t="shared" si="7"/>
        <v>12680.52535</v>
      </c>
      <c r="K1800" s="42" t="s">
        <v>5796</v>
      </c>
      <c r="L1800" s="39">
        <v>347</v>
      </c>
    </row>
    <row r="1801" spans="1:12" ht="11.25" customHeight="1">
      <c r="A1801" s="39">
        <v>495</v>
      </c>
      <c r="B1801" s="40" t="s">
        <v>13742</v>
      </c>
      <c r="C1801" s="40" t="s">
        <v>13743</v>
      </c>
      <c r="D1801" s="40" t="s">
        <v>1472</v>
      </c>
      <c r="E1801" s="41">
        <v>7447.88</v>
      </c>
      <c r="F1801" s="40" t="s">
        <v>1472</v>
      </c>
      <c r="G1801" s="41">
        <v>7447.9768999999997</v>
      </c>
      <c r="H1801" s="40"/>
      <c r="I1801" s="41"/>
      <c r="J1801" s="41">
        <f t="shared" si="7"/>
        <v>7447.9284499999994</v>
      </c>
      <c r="K1801" s="42" t="s">
        <v>5796</v>
      </c>
      <c r="L1801" s="39">
        <v>495</v>
      </c>
    </row>
    <row r="1802" spans="1:12" ht="11.25" customHeight="1">
      <c r="A1802" s="39">
        <v>1339</v>
      </c>
      <c r="B1802" s="40" t="s">
        <v>13744</v>
      </c>
      <c r="C1802" s="40" t="s">
        <v>13745</v>
      </c>
      <c r="D1802" s="40" t="s">
        <v>3646</v>
      </c>
      <c r="E1802" s="41">
        <v>737.41</v>
      </c>
      <c r="F1802" s="40" t="s">
        <v>3646</v>
      </c>
      <c r="G1802" s="41">
        <v>735.46799999999996</v>
      </c>
      <c r="H1802" s="40"/>
      <c r="I1802" s="41"/>
      <c r="J1802" s="41">
        <f t="shared" si="7"/>
        <v>736.43899999999996</v>
      </c>
      <c r="K1802" s="42" t="s">
        <v>5796</v>
      </c>
      <c r="L1802" s="39">
        <v>1339</v>
      </c>
    </row>
    <row r="1803" spans="1:12" ht="11.25" customHeight="1">
      <c r="A1803" s="39">
        <v>989</v>
      </c>
      <c r="B1803" s="40" t="s">
        <v>13746</v>
      </c>
      <c r="C1803" s="40" t="s">
        <v>13747</v>
      </c>
      <c r="D1803" s="40" t="s">
        <v>13748</v>
      </c>
      <c r="E1803" s="41">
        <v>1763.84</v>
      </c>
      <c r="F1803" s="40" t="s">
        <v>2833</v>
      </c>
      <c r="G1803" s="41">
        <v>1764.8</v>
      </c>
      <c r="H1803" s="40"/>
      <c r="I1803" s="41"/>
      <c r="J1803" s="41">
        <f t="shared" si="7"/>
        <v>1764.32</v>
      </c>
      <c r="K1803" s="42" t="s">
        <v>5796</v>
      </c>
      <c r="L1803" s="39">
        <v>989</v>
      </c>
    </row>
    <row r="1804" spans="1:12" ht="11.25" customHeight="1">
      <c r="A1804" s="39">
        <v>387</v>
      </c>
      <c r="B1804" s="40" t="s">
        <v>13749</v>
      </c>
      <c r="C1804" s="40" t="s">
        <v>13750</v>
      </c>
      <c r="D1804" s="40" t="s">
        <v>1166</v>
      </c>
      <c r="E1804" s="41">
        <v>10792.86</v>
      </c>
      <c r="F1804" s="40" t="s">
        <v>1166</v>
      </c>
      <c r="G1804" s="41">
        <v>10795.086600000001</v>
      </c>
      <c r="H1804" s="40"/>
      <c r="I1804" s="41"/>
      <c r="J1804" s="41">
        <f t="shared" si="7"/>
        <v>10793.973300000001</v>
      </c>
      <c r="K1804" s="42" t="s">
        <v>5796</v>
      </c>
      <c r="L1804" s="39">
        <v>387</v>
      </c>
    </row>
    <row r="1805" spans="1:12" ht="11.25" customHeight="1">
      <c r="A1805" s="39">
        <v>1976</v>
      </c>
      <c r="B1805" s="40" t="s">
        <v>13751</v>
      </c>
      <c r="C1805" s="40" t="s">
        <v>13752</v>
      </c>
      <c r="D1805" s="40" t="s">
        <v>4690</v>
      </c>
      <c r="E1805" s="41">
        <v>195.11</v>
      </c>
      <c r="F1805" s="40" t="s">
        <v>4690</v>
      </c>
      <c r="G1805" s="41">
        <v>195.15459999999999</v>
      </c>
      <c r="H1805" s="40"/>
      <c r="I1805" s="41"/>
      <c r="J1805" s="41">
        <f t="shared" si="7"/>
        <v>195.13229999999999</v>
      </c>
      <c r="K1805" s="42" t="s">
        <v>5796</v>
      </c>
      <c r="L1805" s="39">
        <v>1976</v>
      </c>
    </row>
    <row r="1806" spans="1:12" ht="11.25" customHeight="1">
      <c r="A1806" s="39">
        <v>293</v>
      </c>
      <c r="B1806" s="40" t="s">
        <v>13753</v>
      </c>
      <c r="C1806" s="40" t="s">
        <v>13754</v>
      </c>
      <c r="D1806" s="40" t="s">
        <v>890</v>
      </c>
      <c r="E1806" s="41">
        <v>17235.490000000002</v>
      </c>
      <c r="F1806" s="40" t="s">
        <v>890</v>
      </c>
      <c r="G1806" s="41">
        <v>17236.944599999999</v>
      </c>
      <c r="H1806" s="40"/>
      <c r="I1806" s="41"/>
      <c r="J1806" s="41">
        <f t="shared" si="7"/>
        <v>17236.2173</v>
      </c>
      <c r="K1806" s="42" t="s">
        <v>5796</v>
      </c>
      <c r="L1806" s="39">
        <v>293</v>
      </c>
    </row>
    <row r="1807" spans="1:12" ht="11.25" customHeight="1">
      <c r="A1807" s="39">
        <v>485</v>
      </c>
      <c r="B1807" s="40" t="s">
        <v>13755</v>
      </c>
      <c r="C1807" s="40" t="s">
        <v>13756</v>
      </c>
      <c r="D1807" s="40" t="s">
        <v>1442</v>
      </c>
      <c r="E1807" s="41">
        <v>7656.39</v>
      </c>
      <c r="F1807" s="40" t="s">
        <v>1442</v>
      </c>
      <c r="G1807" s="41">
        <v>7656.5537000000004</v>
      </c>
      <c r="H1807" s="40"/>
      <c r="I1807" s="41"/>
      <c r="J1807" s="41">
        <f t="shared" si="7"/>
        <v>7656.4718499999999</v>
      </c>
      <c r="K1807" s="42" t="s">
        <v>5796</v>
      </c>
      <c r="L1807" s="39">
        <v>485</v>
      </c>
    </row>
    <row r="1808" spans="1:12" ht="11.25" customHeight="1">
      <c r="A1808" s="39">
        <v>1376</v>
      </c>
      <c r="B1808" s="40" t="s">
        <v>13757</v>
      </c>
      <c r="C1808" s="40" t="s">
        <v>13758</v>
      </c>
      <c r="D1808" s="40" t="s">
        <v>3718</v>
      </c>
      <c r="E1808" s="41">
        <v>677.11</v>
      </c>
      <c r="F1808" s="40" t="s">
        <v>3718</v>
      </c>
      <c r="G1808" s="41">
        <v>677.09680000000003</v>
      </c>
      <c r="H1808" s="40"/>
      <c r="I1808" s="41"/>
      <c r="J1808" s="41">
        <f t="shared" si="7"/>
        <v>677.10339999999997</v>
      </c>
      <c r="K1808" s="42" t="s">
        <v>5796</v>
      </c>
      <c r="L1808" s="39">
        <v>1376</v>
      </c>
    </row>
    <row r="1809" spans="1:12" ht="11.25" customHeight="1">
      <c r="A1809" s="39">
        <v>372</v>
      </c>
      <c r="B1809" s="40" t="s">
        <v>13759</v>
      </c>
      <c r="C1809" s="40" t="s">
        <v>13760</v>
      </c>
      <c r="D1809" s="40" t="s">
        <v>1124</v>
      </c>
      <c r="E1809" s="41">
        <v>11476.92</v>
      </c>
      <c r="F1809" s="40" t="s">
        <v>1124</v>
      </c>
      <c r="G1809" s="41">
        <v>11951.186900000001</v>
      </c>
      <c r="H1809" s="40"/>
      <c r="I1809" s="41"/>
      <c r="J1809" s="41">
        <f t="shared" si="7"/>
        <v>11714.053449999999</v>
      </c>
      <c r="K1809" s="42" t="s">
        <v>5796</v>
      </c>
      <c r="L1809" s="39">
        <v>372</v>
      </c>
    </row>
    <row r="1810" spans="1:12" ht="11.25" customHeight="1">
      <c r="A1810" s="47">
        <v>86</v>
      </c>
      <c r="B1810" s="48" t="s">
        <v>13761</v>
      </c>
      <c r="C1810" s="48" t="s">
        <v>13762</v>
      </c>
      <c r="D1810" s="48" t="s">
        <v>272</v>
      </c>
      <c r="E1810" s="49">
        <v>74340.62</v>
      </c>
      <c r="F1810" s="48" t="s">
        <v>272</v>
      </c>
      <c r="G1810" s="49">
        <v>74342.991699999999</v>
      </c>
      <c r="H1810" s="48"/>
      <c r="I1810" s="49"/>
      <c r="J1810" s="49">
        <f t="shared" si="7"/>
        <v>74341.805850000004</v>
      </c>
      <c r="K1810" s="50" t="s">
        <v>5815</v>
      </c>
      <c r="L1810" s="47">
        <v>86</v>
      </c>
    </row>
    <row r="1811" spans="1:12" ht="11.25" customHeight="1">
      <c r="A1811" s="39">
        <v>435</v>
      </c>
      <c r="B1811" s="40" t="s">
        <v>13763</v>
      </c>
      <c r="C1811" s="40" t="s">
        <v>13764</v>
      </c>
      <c r="D1811" s="40" t="s">
        <v>1301</v>
      </c>
      <c r="E1811" s="41">
        <v>9244.34</v>
      </c>
      <c r="F1811" s="40" t="s">
        <v>1301</v>
      </c>
      <c r="G1811" s="41">
        <v>9231.0879000000004</v>
      </c>
      <c r="H1811" s="40"/>
      <c r="I1811" s="41"/>
      <c r="J1811" s="41">
        <f t="shared" si="7"/>
        <v>9237.7139500000012</v>
      </c>
      <c r="K1811" s="42" t="s">
        <v>5796</v>
      </c>
      <c r="L1811" s="39">
        <v>435</v>
      </c>
    </row>
    <row r="1812" spans="1:12" ht="11.25" customHeight="1">
      <c r="A1812" s="39">
        <v>810</v>
      </c>
      <c r="B1812" s="40" t="s">
        <v>13765</v>
      </c>
      <c r="C1812" s="40" t="s">
        <v>13766</v>
      </c>
      <c r="D1812" s="40" t="s">
        <v>2356</v>
      </c>
      <c r="E1812" s="41">
        <v>2796.53</v>
      </c>
      <c r="F1812" s="40" t="s">
        <v>2356</v>
      </c>
      <c r="G1812" s="41">
        <v>2796.48</v>
      </c>
      <c r="H1812" s="40"/>
      <c r="I1812" s="41"/>
      <c r="J1812" s="41">
        <f t="shared" si="7"/>
        <v>2796.5050000000001</v>
      </c>
      <c r="K1812" s="42" t="s">
        <v>5796</v>
      </c>
      <c r="L1812" s="39">
        <v>810</v>
      </c>
    </row>
    <row r="1813" spans="1:12" ht="11.25" customHeight="1">
      <c r="A1813" s="39">
        <v>1125</v>
      </c>
      <c r="B1813" s="40" t="s">
        <v>13767</v>
      </c>
      <c r="C1813" s="40" t="s">
        <v>13768</v>
      </c>
      <c r="D1813" s="40" t="s">
        <v>3172</v>
      </c>
      <c r="E1813" s="41">
        <v>1262.01</v>
      </c>
      <c r="F1813" s="40" t="s">
        <v>3172</v>
      </c>
      <c r="G1813" s="41">
        <v>1262.4772</v>
      </c>
      <c r="H1813" s="40"/>
      <c r="I1813" s="41"/>
      <c r="J1813" s="41">
        <f t="shared" si="7"/>
        <v>1262.2436</v>
      </c>
      <c r="K1813" s="42" t="s">
        <v>5796</v>
      </c>
      <c r="L1813" s="39">
        <v>1125</v>
      </c>
    </row>
    <row r="1814" spans="1:12" ht="11.25" customHeight="1">
      <c r="A1814" s="39">
        <v>3716</v>
      </c>
      <c r="B1814" s="40" t="s">
        <v>6996</v>
      </c>
      <c r="C1814" s="40" t="s">
        <v>13769</v>
      </c>
      <c r="D1814" s="40" t="s">
        <v>5724</v>
      </c>
      <c r="E1814" s="41">
        <v>12.8</v>
      </c>
      <c r="F1814" s="40" t="s">
        <v>5724</v>
      </c>
      <c r="G1814" s="41">
        <v>12.8035</v>
      </c>
      <c r="H1814" s="40"/>
      <c r="I1814" s="41"/>
      <c r="J1814" s="41">
        <f t="shared" si="7"/>
        <v>12.80175</v>
      </c>
      <c r="K1814" s="42" t="s">
        <v>5796</v>
      </c>
      <c r="L1814" s="39">
        <v>3716</v>
      </c>
    </row>
    <row r="1815" spans="1:12" ht="11.25" customHeight="1">
      <c r="A1815" s="43">
        <v>158</v>
      </c>
      <c r="B1815" s="44" t="s">
        <v>13770</v>
      </c>
      <c r="C1815" s="44" t="s">
        <v>13771</v>
      </c>
      <c r="D1815" s="44" t="s">
        <v>485</v>
      </c>
      <c r="E1815" s="45">
        <v>41999.77</v>
      </c>
      <c r="F1815" s="44" t="s">
        <v>485</v>
      </c>
      <c r="G1815" s="45">
        <v>42005.6515</v>
      </c>
      <c r="H1815" s="44"/>
      <c r="I1815" s="45"/>
      <c r="J1815" s="45">
        <f t="shared" si="7"/>
        <v>42002.710749999998</v>
      </c>
      <c r="K1815" s="46" t="s">
        <v>5800</v>
      </c>
      <c r="L1815" s="43">
        <v>158</v>
      </c>
    </row>
    <row r="1816" spans="1:12" ht="11.25" customHeight="1">
      <c r="A1816" s="39">
        <v>1738</v>
      </c>
      <c r="B1816" s="40" t="s">
        <v>4388</v>
      </c>
      <c r="C1816" s="40" t="s">
        <v>13772</v>
      </c>
      <c r="D1816" s="40" t="s">
        <v>4390</v>
      </c>
      <c r="E1816" s="41">
        <v>305.38</v>
      </c>
      <c r="F1816" s="40" t="s">
        <v>4390</v>
      </c>
      <c r="G1816" s="41">
        <v>304.69369999999998</v>
      </c>
      <c r="H1816" s="40"/>
      <c r="I1816" s="41"/>
      <c r="J1816" s="41">
        <f t="shared" si="7"/>
        <v>305.03684999999996</v>
      </c>
      <c r="K1816" s="42" t="s">
        <v>5796</v>
      </c>
      <c r="L1816" s="39">
        <v>1738</v>
      </c>
    </row>
    <row r="1817" spans="1:12" ht="11.25" customHeight="1">
      <c r="A1817" s="43">
        <v>157</v>
      </c>
      <c r="B1817" s="44" t="s">
        <v>13773</v>
      </c>
      <c r="C1817" s="44" t="s">
        <v>13774</v>
      </c>
      <c r="D1817" s="44" t="s">
        <v>482</v>
      </c>
      <c r="E1817" s="45">
        <v>42751.81</v>
      </c>
      <c r="F1817" s="44" t="s">
        <v>482</v>
      </c>
      <c r="G1817" s="45">
        <v>42745.9251</v>
      </c>
      <c r="H1817" s="44"/>
      <c r="I1817" s="45"/>
      <c r="J1817" s="45">
        <f t="shared" si="7"/>
        <v>42748.867549999995</v>
      </c>
      <c r="K1817" s="46" t="s">
        <v>5800</v>
      </c>
      <c r="L1817" s="43">
        <v>157</v>
      </c>
    </row>
    <row r="1818" spans="1:12" ht="11.25" customHeight="1">
      <c r="A1818" s="39">
        <v>962</v>
      </c>
      <c r="B1818" s="40" t="s">
        <v>13775</v>
      </c>
      <c r="C1818" s="40" t="s">
        <v>13776</v>
      </c>
      <c r="D1818" s="40" t="s">
        <v>2764</v>
      </c>
      <c r="E1818" s="41">
        <v>1892.16</v>
      </c>
      <c r="F1818" s="40" t="s">
        <v>2764</v>
      </c>
      <c r="G1818" s="41">
        <v>1893.2835</v>
      </c>
      <c r="H1818" s="40"/>
      <c r="I1818" s="41"/>
      <c r="J1818" s="41">
        <f t="shared" si="7"/>
        <v>1892.7217500000002</v>
      </c>
      <c r="K1818" s="42" t="s">
        <v>5796</v>
      </c>
      <c r="L1818" s="39">
        <v>962</v>
      </c>
    </row>
    <row r="1819" spans="1:12" ht="11.25" customHeight="1">
      <c r="A1819" s="39">
        <v>764</v>
      </c>
      <c r="B1819" s="40" t="s">
        <v>13777</v>
      </c>
      <c r="C1819" s="40" t="s">
        <v>13778</v>
      </c>
      <c r="D1819" s="40" t="s">
        <v>2239</v>
      </c>
      <c r="E1819" s="41">
        <v>3172.15</v>
      </c>
      <c r="F1819" s="40" t="s">
        <v>2239</v>
      </c>
      <c r="G1819" s="41">
        <v>3172.0875000000001</v>
      </c>
      <c r="H1819" s="40"/>
      <c r="I1819" s="41"/>
      <c r="J1819" s="41">
        <f t="shared" si="7"/>
        <v>3172.1187500000001</v>
      </c>
      <c r="K1819" s="42" t="s">
        <v>5796</v>
      </c>
      <c r="L1819" s="39">
        <v>764</v>
      </c>
    </row>
    <row r="1820" spans="1:12" ht="11.25" customHeight="1">
      <c r="A1820" s="39">
        <v>1613</v>
      </c>
      <c r="B1820" s="40" t="s">
        <v>13779</v>
      </c>
      <c r="C1820" s="40" t="s">
        <v>13780</v>
      </c>
      <c r="D1820" s="40" t="s">
        <v>4177</v>
      </c>
      <c r="E1820" s="41">
        <v>403.41</v>
      </c>
      <c r="F1820" s="40" t="s">
        <v>4177</v>
      </c>
      <c r="G1820" s="41">
        <v>403.1318</v>
      </c>
      <c r="H1820" s="40"/>
      <c r="I1820" s="41"/>
      <c r="J1820" s="41">
        <f t="shared" si="7"/>
        <v>403.27089999999998</v>
      </c>
      <c r="K1820" s="42" t="s">
        <v>5796</v>
      </c>
      <c r="L1820" s="39">
        <v>1613</v>
      </c>
    </row>
    <row r="1821" spans="1:12" ht="11.25" customHeight="1">
      <c r="A1821" s="39">
        <v>1149</v>
      </c>
      <c r="B1821" s="40" t="s">
        <v>13781</v>
      </c>
      <c r="C1821" s="40" t="s">
        <v>13782</v>
      </c>
      <c r="D1821" s="40" t="s">
        <v>3229</v>
      </c>
      <c r="E1821" s="41">
        <v>1185.03</v>
      </c>
      <c r="F1821" s="40" t="s">
        <v>3229</v>
      </c>
      <c r="G1821" s="41">
        <v>1184.9698000000001</v>
      </c>
      <c r="H1821" s="40"/>
      <c r="I1821" s="41"/>
      <c r="J1821" s="41">
        <f t="shared" si="7"/>
        <v>1184.9999</v>
      </c>
      <c r="K1821" s="42" t="s">
        <v>5796</v>
      </c>
      <c r="L1821" s="39">
        <v>1149</v>
      </c>
    </row>
    <row r="1822" spans="1:12" ht="11.25" customHeight="1">
      <c r="A1822" s="39">
        <v>842</v>
      </c>
      <c r="B1822" s="40" t="s">
        <v>7002</v>
      </c>
      <c r="C1822" s="40" t="s">
        <v>13783</v>
      </c>
      <c r="D1822" s="40" t="s">
        <v>2446</v>
      </c>
      <c r="E1822" s="41">
        <v>2557.2800000000002</v>
      </c>
      <c r="F1822" s="40" t="s">
        <v>2446</v>
      </c>
      <c r="G1822" s="41">
        <v>2557.1426999999999</v>
      </c>
      <c r="H1822" s="40"/>
      <c r="I1822" s="41"/>
      <c r="J1822" s="41">
        <f t="shared" si="7"/>
        <v>2557.21135</v>
      </c>
      <c r="K1822" s="42" t="s">
        <v>5796</v>
      </c>
      <c r="L1822" s="39">
        <v>842</v>
      </c>
    </row>
    <row r="1823" spans="1:12" ht="11.25" customHeight="1">
      <c r="A1823" s="39">
        <v>551</v>
      </c>
      <c r="B1823" s="40" t="s">
        <v>13784</v>
      </c>
      <c r="C1823" s="40" t="s">
        <v>13785</v>
      </c>
      <c r="D1823" s="40" t="s">
        <v>1634</v>
      </c>
      <c r="E1823" s="41">
        <v>6305.49</v>
      </c>
      <c r="F1823" s="40" t="s">
        <v>1634</v>
      </c>
      <c r="G1823" s="41">
        <v>6305.7897999999996</v>
      </c>
      <c r="H1823" s="40"/>
      <c r="I1823" s="41"/>
      <c r="J1823" s="41">
        <f t="shared" si="7"/>
        <v>6305.6399000000001</v>
      </c>
      <c r="K1823" s="42" t="s">
        <v>5796</v>
      </c>
      <c r="L1823" s="39">
        <v>551</v>
      </c>
    </row>
    <row r="1824" spans="1:12" ht="11.25" customHeight="1">
      <c r="A1824" s="39">
        <v>400</v>
      </c>
      <c r="B1824" s="40" t="s">
        <v>13786</v>
      </c>
      <c r="C1824" s="40" t="s">
        <v>13787</v>
      </c>
      <c r="D1824" s="40" t="s">
        <v>1208</v>
      </c>
      <c r="E1824" s="41">
        <v>10150.790000000001</v>
      </c>
      <c r="F1824" s="40" t="s">
        <v>1208</v>
      </c>
      <c r="G1824" s="41">
        <v>10148.739600000001</v>
      </c>
      <c r="H1824" s="40"/>
      <c r="I1824" s="41"/>
      <c r="J1824" s="41">
        <f t="shared" si="7"/>
        <v>10149.764800000001</v>
      </c>
      <c r="K1824" s="42" t="s">
        <v>5796</v>
      </c>
      <c r="L1824" s="39">
        <v>400</v>
      </c>
    </row>
    <row r="1825" spans="1:12" ht="11.25" customHeight="1">
      <c r="A1825" s="47">
        <v>22</v>
      </c>
      <c r="B1825" s="48" t="s">
        <v>13788</v>
      </c>
      <c r="C1825" s="48" t="s">
        <v>13789</v>
      </c>
      <c r="D1825" s="48" t="s">
        <v>72</v>
      </c>
      <c r="E1825" s="49">
        <v>248381.72</v>
      </c>
      <c r="F1825" s="48" t="s">
        <v>72</v>
      </c>
      <c r="G1825" s="49">
        <v>248403.0668</v>
      </c>
      <c r="H1825" s="48"/>
      <c r="I1825" s="49"/>
      <c r="J1825" s="49">
        <f t="shared" si="7"/>
        <v>248392.3934</v>
      </c>
      <c r="K1825" s="50" t="s">
        <v>5815</v>
      </c>
      <c r="L1825" s="47">
        <v>22</v>
      </c>
    </row>
    <row r="1826" spans="1:12" ht="11.25" customHeight="1">
      <c r="A1826" s="39">
        <v>2067</v>
      </c>
      <c r="B1826" s="40" t="s">
        <v>13790</v>
      </c>
      <c r="C1826" s="40" t="s">
        <v>13791</v>
      </c>
      <c r="D1826" s="40" t="s">
        <v>4834</v>
      </c>
      <c r="E1826" s="41">
        <v>170.53</v>
      </c>
      <c r="F1826" s="40" t="s">
        <v>4834</v>
      </c>
      <c r="G1826" s="41">
        <v>170.43289999999999</v>
      </c>
      <c r="H1826" s="40"/>
      <c r="I1826" s="41"/>
      <c r="J1826" s="41">
        <f t="shared" si="7"/>
        <v>170.48145</v>
      </c>
      <c r="K1826" s="42" t="s">
        <v>5796</v>
      </c>
      <c r="L1826" s="39">
        <v>2067</v>
      </c>
    </row>
    <row r="1827" spans="1:12" ht="11.25" customHeight="1">
      <c r="A1827" s="39">
        <v>2121</v>
      </c>
      <c r="B1827" s="40" t="s">
        <v>13792</v>
      </c>
      <c r="C1827" s="40" t="s">
        <v>13793</v>
      </c>
      <c r="D1827" s="40" t="s">
        <v>13794</v>
      </c>
      <c r="E1827" s="41">
        <v>153.88999999999999</v>
      </c>
      <c r="F1827" s="40" t="s">
        <v>4912</v>
      </c>
      <c r="G1827" s="41">
        <v>153.7944</v>
      </c>
      <c r="H1827" s="40"/>
      <c r="I1827" s="41"/>
      <c r="J1827" s="41">
        <f t="shared" si="7"/>
        <v>153.84219999999999</v>
      </c>
      <c r="K1827" s="42" t="s">
        <v>5796</v>
      </c>
      <c r="L1827" s="39">
        <v>2121</v>
      </c>
    </row>
    <row r="1828" spans="1:12" ht="11.25" customHeight="1">
      <c r="A1828" s="39">
        <v>3688</v>
      </c>
      <c r="B1828" s="40" t="s">
        <v>13795</v>
      </c>
      <c r="C1828" s="40" t="s">
        <v>13796</v>
      </c>
      <c r="D1828" s="40" t="s">
        <v>5721</v>
      </c>
      <c r="E1828" s="41">
        <v>13.37</v>
      </c>
      <c r="F1828" s="40" t="s">
        <v>5721</v>
      </c>
      <c r="G1828" s="41">
        <v>13.349600000000001</v>
      </c>
      <c r="H1828" s="40"/>
      <c r="I1828" s="41"/>
      <c r="J1828" s="41">
        <f t="shared" si="7"/>
        <v>13.3598</v>
      </c>
      <c r="K1828" s="42" t="s">
        <v>5796</v>
      </c>
      <c r="L1828" s="39">
        <v>3688</v>
      </c>
    </row>
    <row r="1829" spans="1:12" ht="11.25" customHeight="1">
      <c r="A1829" s="39">
        <v>797</v>
      </c>
      <c r="B1829" s="40" t="s">
        <v>13797</v>
      </c>
      <c r="C1829" s="40" t="s">
        <v>13798</v>
      </c>
      <c r="D1829" s="40" t="s">
        <v>2320</v>
      </c>
      <c r="E1829" s="41">
        <v>2885.59</v>
      </c>
      <c r="F1829" s="40" t="s">
        <v>2320</v>
      </c>
      <c r="G1829" s="41">
        <v>2886.2411000000002</v>
      </c>
      <c r="H1829" s="40"/>
      <c r="I1829" s="41"/>
      <c r="J1829" s="41">
        <f t="shared" si="7"/>
        <v>2885.9155500000002</v>
      </c>
      <c r="K1829" s="42" t="s">
        <v>5796</v>
      </c>
      <c r="L1829" s="39">
        <v>797</v>
      </c>
    </row>
    <row r="1830" spans="1:12" ht="11.25" customHeight="1">
      <c r="A1830" s="39">
        <v>1532</v>
      </c>
      <c r="B1830" s="40" t="s">
        <v>13799</v>
      </c>
      <c r="C1830" s="40" t="s">
        <v>13800</v>
      </c>
      <c r="D1830" s="40" t="s">
        <v>4021</v>
      </c>
      <c r="E1830" s="41">
        <v>472.27</v>
      </c>
      <c r="F1830" s="40" t="s">
        <v>4021</v>
      </c>
      <c r="G1830" s="41">
        <v>472.09269999999998</v>
      </c>
      <c r="H1830" s="40"/>
      <c r="I1830" s="41"/>
      <c r="J1830" s="41">
        <f t="shared" si="7"/>
        <v>472.18134999999995</v>
      </c>
      <c r="K1830" s="42" t="s">
        <v>5796</v>
      </c>
      <c r="L1830" s="39">
        <v>1532</v>
      </c>
    </row>
    <row r="1831" spans="1:12" ht="11.25" customHeight="1">
      <c r="A1831" s="39">
        <v>1165</v>
      </c>
      <c r="B1831" s="40" t="s">
        <v>13801</v>
      </c>
      <c r="C1831" s="40" t="s">
        <v>13802</v>
      </c>
      <c r="D1831" s="40" t="s">
        <v>13803</v>
      </c>
      <c r="E1831" s="41">
        <v>1119.3499999999999</v>
      </c>
      <c r="F1831" s="40" t="s">
        <v>3265</v>
      </c>
      <c r="G1831" s="41">
        <v>1119.0627999999999</v>
      </c>
      <c r="H1831" s="40"/>
      <c r="I1831" s="41"/>
      <c r="J1831" s="41">
        <f t="shared" si="7"/>
        <v>1119.2064</v>
      </c>
      <c r="K1831" s="42" t="s">
        <v>5796</v>
      </c>
      <c r="L1831" s="39">
        <v>1165</v>
      </c>
    </row>
    <row r="1832" spans="1:12" ht="11.25" customHeight="1">
      <c r="A1832" s="39">
        <v>3199</v>
      </c>
      <c r="B1832" s="40" t="s">
        <v>13804</v>
      </c>
      <c r="C1832" s="40" t="s">
        <v>13805</v>
      </c>
      <c r="D1832" s="40"/>
      <c r="E1832" s="41"/>
      <c r="F1832" s="40" t="s">
        <v>5616</v>
      </c>
      <c r="G1832" s="41">
        <v>27.911200000000001</v>
      </c>
      <c r="H1832" s="40"/>
      <c r="I1832" s="41"/>
      <c r="J1832" s="41">
        <f t="shared" si="7"/>
        <v>27.911200000000001</v>
      </c>
      <c r="K1832" s="42" t="s">
        <v>5796</v>
      </c>
      <c r="L1832" s="39">
        <v>3199</v>
      </c>
    </row>
    <row r="1833" spans="1:12" ht="11.25" customHeight="1">
      <c r="A1833" s="47">
        <v>91</v>
      </c>
      <c r="B1833" s="48" t="s">
        <v>13806</v>
      </c>
      <c r="C1833" s="48" t="s">
        <v>13807</v>
      </c>
      <c r="D1833" s="48" t="s">
        <v>287</v>
      </c>
      <c r="E1833" s="49">
        <v>71972.47</v>
      </c>
      <c r="F1833" s="48" t="s">
        <v>287</v>
      </c>
      <c r="G1833" s="49">
        <v>71024.228400000007</v>
      </c>
      <c r="H1833" s="48"/>
      <c r="I1833" s="49"/>
      <c r="J1833" s="49">
        <f t="shared" si="7"/>
        <v>71498.349199999997</v>
      </c>
      <c r="K1833" s="50" t="s">
        <v>5815</v>
      </c>
      <c r="L1833" s="47">
        <v>91</v>
      </c>
    </row>
    <row r="1834" spans="1:12" ht="11.25" customHeight="1">
      <c r="A1834" s="39">
        <v>832</v>
      </c>
      <c r="B1834" s="40" t="s">
        <v>13808</v>
      </c>
      <c r="C1834" s="40" t="s">
        <v>13809</v>
      </c>
      <c r="D1834" s="40" t="s">
        <v>2419</v>
      </c>
      <c r="E1834" s="41">
        <v>2646.21</v>
      </c>
      <c r="F1834" s="40" t="s">
        <v>2419</v>
      </c>
      <c r="G1834" s="41">
        <v>2645.5533999999998</v>
      </c>
      <c r="H1834" s="40"/>
      <c r="I1834" s="41"/>
      <c r="J1834" s="41">
        <f t="shared" si="7"/>
        <v>2645.8816999999999</v>
      </c>
      <c r="K1834" s="42" t="s">
        <v>5796</v>
      </c>
      <c r="L1834" s="39">
        <v>832</v>
      </c>
    </row>
    <row r="1835" spans="1:12" ht="11.25" customHeight="1">
      <c r="A1835" s="39">
        <v>1282</v>
      </c>
      <c r="B1835" s="40" t="s">
        <v>13810</v>
      </c>
      <c r="C1835" s="40" t="s">
        <v>13811</v>
      </c>
      <c r="D1835" s="40" t="s">
        <v>3526</v>
      </c>
      <c r="E1835" s="41">
        <v>863.88</v>
      </c>
      <c r="F1835" s="40" t="s">
        <v>3526</v>
      </c>
      <c r="G1835" s="41">
        <v>814.64020000000005</v>
      </c>
      <c r="H1835" s="40"/>
      <c r="I1835" s="41"/>
      <c r="J1835" s="41">
        <f t="shared" si="7"/>
        <v>839.26009999999997</v>
      </c>
      <c r="K1835" s="42" t="s">
        <v>5796</v>
      </c>
      <c r="L1835" s="39">
        <v>1282</v>
      </c>
    </row>
    <row r="1836" spans="1:12" ht="11.25" customHeight="1">
      <c r="A1836" s="39">
        <v>1946</v>
      </c>
      <c r="B1836" s="40" t="s">
        <v>13812</v>
      </c>
      <c r="C1836" s="40" t="s">
        <v>13813</v>
      </c>
      <c r="D1836" s="40"/>
      <c r="E1836" s="41"/>
      <c r="F1836" s="40" t="s">
        <v>4660</v>
      </c>
      <c r="G1836" s="41">
        <v>204.49299999999999</v>
      </c>
      <c r="H1836" s="40"/>
      <c r="I1836" s="41"/>
      <c r="J1836" s="41">
        <f t="shared" si="7"/>
        <v>204.49299999999999</v>
      </c>
      <c r="K1836" s="42" t="s">
        <v>5796</v>
      </c>
      <c r="L1836" s="39">
        <v>1946</v>
      </c>
    </row>
    <row r="1837" spans="1:12" ht="11.25" customHeight="1">
      <c r="A1837" s="39">
        <v>2112</v>
      </c>
      <c r="B1837" s="40" t="s">
        <v>13814</v>
      </c>
      <c r="C1837" s="40" t="s">
        <v>13815</v>
      </c>
      <c r="D1837" s="40"/>
      <c r="E1837" s="41"/>
      <c r="F1837" s="40" t="s">
        <v>4900</v>
      </c>
      <c r="G1837" s="41">
        <v>155.25020000000001</v>
      </c>
      <c r="H1837" s="40"/>
      <c r="I1837" s="41"/>
      <c r="J1837" s="41">
        <f t="shared" si="7"/>
        <v>155.25020000000001</v>
      </c>
      <c r="K1837" s="42" t="s">
        <v>5796</v>
      </c>
      <c r="L1837" s="39">
        <v>2112</v>
      </c>
    </row>
    <row r="1838" spans="1:12" ht="11.25" customHeight="1">
      <c r="A1838" s="39">
        <v>4086</v>
      </c>
      <c r="B1838" s="40" t="s">
        <v>13816</v>
      </c>
      <c r="C1838" s="40" t="s">
        <v>13817</v>
      </c>
      <c r="D1838" s="40" t="s">
        <v>5766</v>
      </c>
      <c r="E1838" s="41">
        <v>7.51</v>
      </c>
      <c r="F1838" s="40" t="s">
        <v>5766</v>
      </c>
      <c r="G1838" s="41">
        <v>7.3578000000000001</v>
      </c>
      <c r="H1838" s="40"/>
      <c r="I1838" s="41"/>
      <c r="J1838" s="41">
        <f t="shared" si="7"/>
        <v>7.4338999999999995</v>
      </c>
      <c r="K1838" s="42" t="s">
        <v>5796</v>
      </c>
      <c r="L1838" s="39">
        <v>4086</v>
      </c>
    </row>
    <row r="1839" spans="1:12" ht="11.25" customHeight="1">
      <c r="A1839" s="39">
        <v>2264</v>
      </c>
      <c r="B1839" s="40" t="s">
        <v>13818</v>
      </c>
      <c r="C1839" s="40" t="s">
        <v>13819</v>
      </c>
      <c r="D1839" s="40"/>
      <c r="E1839" s="41"/>
      <c r="F1839" s="40" t="s">
        <v>5092</v>
      </c>
      <c r="G1839" s="41">
        <v>118.5951</v>
      </c>
      <c r="H1839" s="40"/>
      <c r="I1839" s="41"/>
      <c r="J1839" s="41">
        <f t="shared" si="7"/>
        <v>118.5951</v>
      </c>
      <c r="K1839" s="42" t="s">
        <v>5796</v>
      </c>
      <c r="L1839" s="39">
        <v>2264</v>
      </c>
    </row>
    <row r="1840" spans="1:12" ht="11.25" customHeight="1">
      <c r="A1840" s="39">
        <v>1029</v>
      </c>
      <c r="B1840" s="40" t="s">
        <v>13820</v>
      </c>
      <c r="C1840" s="40" t="s">
        <v>13821</v>
      </c>
      <c r="D1840" s="40" t="s">
        <v>2941</v>
      </c>
      <c r="E1840" s="41">
        <v>1648.62</v>
      </c>
      <c r="F1840" s="40" t="s">
        <v>2941</v>
      </c>
      <c r="G1840" s="41">
        <v>1520.3771999999999</v>
      </c>
      <c r="H1840" s="40"/>
      <c r="I1840" s="41"/>
      <c r="J1840" s="41">
        <f t="shared" si="7"/>
        <v>1584.4985999999999</v>
      </c>
      <c r="K1840" s="42" t="s">
        <v>5796</v>
      </c>
      <c r="L1840" s="39">
        <v>1029</v>
      </c>
    </row>
    <row r="1841" spans="1:12" ht="11.25" customHeight="1">
      <c r="A1841" s="39">
        <v>1561</v>
      </c>
      <c r="B1841" s="40" t="s">
        <v>7015</v>
      </c>
      <c r="C1841" s="40" t="s">
        <v>13822</v>
      </c>
      <c r="D1841" s="40" t="s">
        <v>4081</v>
      </c>
      <c r="E1841" s="41">
        <v>447.26</v>
      </c>
      <c r="F1841" s="40" t="s">
        <v>4081</v>
      </c>
      <c r="G1841" s="41">
        <v>447.30650000000003</v>
      </c>
      <c r="H1841" s="40"/>
      <c r="I1841" s="41"/>
      <c r="J1841" s="41">
        <f t="shared" si="7"/>
        <v>447.28325000000001</v>
      </c>
      <c r="K1841" s="42" t="s">
        <v>5796</v>
      </c>
      <c r="L1841" s="39">
        <v>1561</v>
      </c>
    </row>
    <row r="1842" spans="1:12" ht="11.25" customHeight="1">
      <c r="A1842" s="43">
        <v>174</v>
      </c>
      <c r="B1842" s="44" t="s">
        <v>13823</v>
      </c>
      <c r="C1842" s="44" t="s">
        <v>13824</v>
      </c>
      <c r="D1842" s="44" t="s">
        <v>533</v>
      </c>
      <c r="E1842" s="45">
        <v>35060.17</v>
      </c>
      <c r="F1842" s="44" t="s">
        <v>533</v>
      </c>
      <c r="G1842" s="45">
        <v>35066.863799999999</v>
      </c>
      <c r="H1842" s="44"/>
      <c r="I1842" s="45"/>
      <c r="J1842" s="45">
        <f t="shared" si="7"/>
        <v>35063.516900000002</v>
      </c>
      <c r="K1842" s="46" t="s">
        <v>5800</v>
      </c>
      <c r="L1842" s="43">
        <v>174</v>
      </c>
    </row>
    <row r="1843" spans="1:12" ht="11.25" customHeight="1">
      <c r="A1843" s="43">
        <v>147</v>
      </c>
      <c r="B1843" s="44" t="s">
        <v>13825</v>
      </c>
      <c r="C1843" s="44" t="s">
        <v>13826</v>
      </c>
      <c r="D1843" s="44" t="s">
        <v>452</v>
      </c>
      <c r="E1843" s="45">
        <v>45870.12</v>
      </c>
      <c r="F1843" s="44" t="s">
        <v>452</v>
      </c>
      <c r="G1843" s="45">
        <v>45064.394399999997</v>
      </c>
      <c r="H1843" s="44"/>
      <c r="I1843" s="45"/>
      <c r="J1843" s="45">
        <f t="shared" si="7"/>
        <v>45467.2572</v>
      </c>
      <c r="K1843" s="46" t="s">
        <v>5800</v>
      </c>
      <c r="L1843" s="43">
        <v>147</v>
      </c>
    </row>
    <row r="1844" spans="1:12" ht="11.25" customHeight="1">
      <c r="A1844" s="39">
        <v>1744</v>
      </c>
      <c r="B1844" s="40" t="s">
        <v>13827</v>
      </c>
      <c r="C1844" s="40" t="s">
        <v>13828</v>
      </c>
      <c r="D1844" s="40" t="s">
        <v>4405</v>
      </c>
      <c r="E1844" s="41">
        <v>302.23</v>
      </c>
      <c r="F1844" s="40" t="s">
        <v>4405</v>
      </c>
      <c r="G1844" s="41">
        <v>300.5831</v>
      </c>
      <c r="H1844" s="40"/>
      <c r="I1844" s="41"/>
      <c r="J1844" s="41">
        <f t="shared" si="7"/>
        <v>301.40655000000004</v>
      </c>
      <c r="K1844" s="42" t="s">
        <v>5796</v>
      </c>
      <c r="L1844" s="39">
        <v>1744</v>
      </c>
    </row>
    <row r="1845" spans="1:12" ht="11.25" customHeight="1">
      <c r="A1845" s="39">
        <v>1454</v>
      </c>
      <c r="B1845" s="40" t="s">
        <v>13829</v>
      </c>
      <c r="C1845" s="40" t="s">
        <v>13830</v>
      </c>
      <c r="D1845" s="40" t="s">
        <v>13831</v>
      </c>
      <c r="E1845" s="41">
        <v>579.56813230400007</v>
      </c>
      <c r="F1845" s="40" t="s">
        <v>3871</v>
      </c>
      <c r="G1845" s="41">
        <v>565.34969999999998</v>
      </c>
      <c r="H1845" s="40"/>
      <c r="I1845" s="41"/>
      <c r="J1845" s="41">
        <f t="shared" si="7"/>
        <v>572.45891615200003</v>
      </c>
      <c r="K1845" s="42" t="s">
        <v>5796</v>
      </c>
      <c r="L1845" s="39">
        <v>1454</v>
      </c>
    </row>
    <row r="1846" spans="1:12" ht="11.25" customHeight="1">
      <c r="A1846" s="39">
        <v>413</v>
      </c>
      <c r="B1846" s="40" t="s">
        <v>13832</v>
      </c>
      <c r="C1846" s="40" t="s">
        <v>13833</v>
      </c>
      <c r="D1846" s="40" t="s">
        <v>1241</v>
      </c>
      <c r="E1846" s="41">
        <v>9831.93</v>
      </c>
      <c r="F1846" s="40" t="s">
        <v>1241</v>
      </c>
      <c r="G1846" s="41">
        <v>9833.1201999999994</v>
      </c>
      <c r="H1846" s="40"/>
      <c r="I1846" s="41"/>
      <c r="J1846" s="41">
        <f t="shared" si="7"/>
        <v>9832.5250999999989</v>
      </c>
      <c r="K1846" s="42" t="s">
        <v>5796</v>
      </c>
      <c r="L1846" s="39">
        <v>413</v>
      </c>
    </row>
    <row r="1847" spans="1:12" ht="11.25" customHeight="1">
      <c r="A1847" s="39">
        <v>1982</v>
      </c>
      <c r="B1847" s="40" t="s">
        <v>13834</v>
      </c>
      <c r="C1847" s="40" t="s">
        <v>13835</v>
      </c>
      <c r="D1847" s="40" t="s">
        <v>4702</v>
      </c>
      <c r="E1847" s="41">
        <v>192.71</v>
      </c>
      <c r="F1847" s="40" t="s">
        <v>4702</v>
      </c>
      <c r="G1847" s="41">
        <v>192.75890000000001</v>
      </c>
      <c r="H1847" s="40"/>
      <c r="I1847" s="41"/>
      <c r="J1847" s="41">
        <f t="shared" si="7"/>
        <v>192.73445000000001</v>
      </c>
      <c r="K1847" s="42" t="s">
        <v>5796</v>
      </c>
      <c r="L1847" s="39">
        <v>1982</v>
      </c>
    </row>
    <row r="1848" spans="1:12" ht="11.25" customHeight="1">
      <c r="A1848" s="39">
        <v>403</v>
      </c>
      <c r="B1848" s="40" t="s">
        <v>13836</v>
      </c>
      <c r="C1848" s="40" t="s">
        <v>13837</v>
      </c>
      <c r="D1848" s="40" t="s">
        <v>1217</v>
      </c>
      <c r="E1848" s="41">
        <v>10067.26</v>
      </c>
      <c r="F1848" s="40" t="s">
        <v>1217</v>
      </c>
      <c r="G1848" s="41">
        <v>10065.4645</v>
      </c>
      <c r="H1848" s="40"/>
      <c r="I1848" s="41"/>
      <c r="J1848" s="41">
        <f t="shared" si="7"/>
        <v>10066.36225</v>
      </c>
      <c r="K1848" s="42" t="s">
        <v>5796</v>
      </c>
      <c r="L1848" s="39">
        <v>403</v>
      </c>
    </row>
    <row r="1849" spans="1:12" ht="11.25" customHeight="1">
      <c r="A1849" s="39">
        <v>592</v>
      </c>
      <c r="B1849" s="40" t="s">
        <v>13838</v>
      </c>
      <c r="C1849" s="40" t="s">
        <v>13839</v>
      </c>
      <c r="D1849" s="40" t="s">
        <v>1748</v>
      </c>
      <c r="E1849" s="41">
        <v>5589.46</v>
      </c>
      <c r="F1849" s="40" t="s">
        <v>1748</v>
      </c>
      <c r="G1849" s="41">
        <v>5585.7682000000004</v>
      </c>
      <c r="H1849" s="40"/>
      <c r="I1849" s="41"/>
      <c r="J1849" s="41">
        <f t="shared" si="7"/>
        <v>5587.6141000000007</v>
      </c>
      <c r="K1849" s="42" t="s">
        <v>5796</v>
      </c>
      <c r="L1849" s="39">
        <v>592</v>
      </c>
    </row>
    <row r="1850" spans="1:12" ht="11.25" customHeight="1">
      <c r="A1850" s="39">
        <v>1036</v>
      </c>
      <c r="B1850" s="40" t="s">
        <v>13840</v>
      </c>
      <c r="C1850" s="40" t="s">
        <v>13841</v>
      </c>
      <c r="D1850" s="40" t="s">
        <v>2962</v>
      </c>
      <c r="E1850" s="41">
        <v>1540.74</v>
      </c>
      <c r="F1850" s="40" t="s">
        <v>2962</v>
      </c>
      <c r="G1850" s="41">
        <v>1540.7077999999999</v>
      </c>
      <c r="H1850" s="40"/>
      <c r="I1850" s="41"/>
      <c r="J1850" s="41">
        <f t="shared" si="7"/>
        <v>1540.7239</v>
      </c>
      <c r="K1850" s="42" t="s">
        <v>5796</v>
      </c>
      <c r="L1850" s="39">
        <v>1036</v>
      </c>
    </row>
    <row r="1851" spans="1:12" ht="11.25" customHeight="1">
      <c r="A1851" s="39">
        <v>1419</v>
      </c>
      <c r="B1851" s="40" t="s">
        <v>13842</v>
      </c>
      <c r="C1851" s="40" t="s">
        <v>13843</v>
      </c>
      <c r="D1851" s="40" t="s">
        <v>3814</v>
      </c>
      <c r="E1851" s="41">
        <v>622.27</v>
      </c>
      <c r="F1851" s="40" t="s">
        <v>3814</v>
      </c>
      <c r="G1851" s="41">
        <v>623.07820000000004</v>
      </c>
      <c r="H1851" s="40"/>
      <c r="I1851" s="41"/>
      <c r="J1851" s="41">
        <f t="shared" si="7"/>
        <v>622.67409999999995</v>
      </c>
      <c r="K1851" s="42" t="s">
        <v>5796</v>
      </c>
      <c r="L1851" s="39">
        <v>1419</v>
      </c>
    </row>
    <row r="1852" spans="1:12" ht="11.25" customHeight="1">
      <c r="A1852" s="39">
        <v>968</v>
      </c>
      <c r="B1852" s="40" t="s">
        <v>13844</v>
      </c>
      <c r="C1852" s="40" t="s">
        <v>13845</v>
      </c>
      <c r="D1852" s="40" t="s">
        <v>2779</v>
      </c>
      <c r="E1852" s="41">
        <v>1868.89</v>
      </c>
      <c r="F1852" s="40" t="s">
        <v>2779</v>
      </c>
      <c r="G1852" s="41">
        <v>1869.3246999999999</v>
      </c>
      <c r="H1852" s="40"/>
      <c r="I1852" s="41"/>
      <c r="J1852" s="41">
        <f t="shared" si="7"/>
        <v>1869.10735</v>
      </c>
      <c r="K1852" s="42" t="s">
        <v>5796</v>
      </c>
      <c r="L1852" s="39">
        <v>968</v>
      </c>
    </row>
    <row r="1853" spans="1:12" ht="11.25" customHeight="1">
      <c r="A1853" s="39">
        <v>538</v>
      </c>
      <c r="B1853" s="40" t="s">
        <v>13846</v>
      </c>
      <c r="C1853" s="40" t="s">
        <v>13847</v>
      </c>
      <c r="D1853" s="40" t="s">
        <v>1595</v>
      </c>
      <c r="E1853" s="41">
        <v>6614.48</v>
      </c>
      <c r="F1853" s="40" t="s">
        <v>1595</v>
      </c>
      <c r="G1853" s="41">
        <v>6610.2920000000004</v>
      </c>
      <c r="H1853" s="40"/>
      <c r="I1853" s="41"/>
      <c r="J1853" s="41">
        <f t="shared" si="7"/>
        <v>6612.3860000000004</v>
      </c>
      <c r="K1853" s="42" t="s">
        <v>5796</v>
      </c>
      <c r="L1853" s="39">
        <v>538</v>
      </c>
    </row>
    <row r="1854" spans="1:12" ht="11.25" customHeight="1">
      <c r="A1854" s="39">
        <v>2153</v>
      </c>
      <c r="B1854" s="40" t="s">
        <v>13848</v>
      </c>
      <c r="C1854" s="40" t="s">
        <v>13849</v>
      </c>
      <c r="D1854" s="40"/>
      <c r="E1854" s="41"/>
      <c r="F1854" s="40" t="s">
        <v>4957</v>
      </c>
      <c r="G1854" s="41">
        <v>145.43049999999999</v>
      </c>
      <c r="H1854" s="40"/>
      <c r="I1854" s="41"/>
      <c r="J1854" s="41">
        <f t="shared" si="7"/>
        <v>145.43049999999999</v>
      </c>
      <c r="K1854" s="42" t="s">
        <v>5796</v>
      </c>
      <c r="L1854" s="39">
        <v>2153</v>
      </c>
    </row>
    <row r="1855" spans="1:12" ht="11.25" customHeight="1">
      <c r="A1855" s="39">
        <v>972</v>
      </c>
      <c r="B1855" s="40" t="s">
        <v>13850</v>
      </c>
      <c r="C1855" s="40" t="s">
        <v>13851</v>
      </c>
      <c r="D1855" s="40" t="s">
        <v>2788</v>
      </c>
      <c r="E1855" s="41">
        <v>1846.35</v>
      </c>
      <c r="F1855" s="40" t="s">
        <v>2788</v>
      </c>
      <c r="G1855" s="41">
        <v>1845.5183999999999</v>
      </c>
      <c r="H1855" s="40"/>
      <c r="I1855" s="41"/>
      <c r="J1855" s="41">
        <f t="shared" si="7"/>
        <v>1845.9341999999999</v>
      </c>
      <c r="K1855" s="42" t="s">
        <v>5796</v>
      </c>
      <c r="L1855" s="39">
        <v>972</v>
      </c>
    </row>
    <row r="1856" spans="1:12" ht="11.25" customHeight="1">
      <c r="A1856" s="39">
        <v>1313</v>
      </c>
      <c r="B1856" s="40" t="s">
        <v>13852</v>
      </c>
      <c r="C1856" s="40" t="s">
        <v>13853</v>
      </c>
      <c r="D1856" s="40" t="s">
        <v>3607</v>
      </c>
      <c r="E1856" s="41">
        <v>785.92</v>
      </c>
      <c r="F1856" s="40" t="s">
        <v>3607</v>
      </c>
      <c r="G1856" s="41">
        <v>786.2989</v>
      </c>
      <c r="H1856" s="40"/>
      <c r="I1856" s="41"/>
      <c r="J1856" s="41">
        <f t="shared" si="7"/>
        <v>786.10944999999992</v>
      </c>
      <c r="K1856" s="42" t="s">
        <v>5796</v>
      </c>
      <c r="L1856" s="39">
        <v>1313</v>
      </c>
    </row>
    <row r="1857" spans="1:12" ht="11.25" customHeight="1">
      <c r="A1857" s="39">
        <v>1105</v>
      </c>
      <c r="B1857" s="40" t="s">
        <v>13854</v>
      </c>
      <c r="C1857" s="40" t="s">
        <v>13855</v>
      </c>
      <c r="D1857" s="40" t="s">
        <v>3124</v>
      </c>
      <c r="E1857" s="41">
        <v>1311.36</v>
      </c>
      <c r="F1857" s="40" t="s">
        <v>3124</v>
      </c>
      <c r="G1857" s="41">
        <v>1311.2275</v>
      </c>
      <c r="H1857" s="40"/>
      <c r="I1857" s="41"/>
      <c r="J1857" s="41">
        <f t="shared" si="7"/>
        <v>1311.2937499999998</v>
      </c>
      <c r="K1857" s="42" t="s">
        <v>5796</v>
      </c>
      <c r="L1857" s="39">
        <v>1105</v>
      </c>
    </row>
    <row r="1858" spans="1:12" ht="11.25" customHeight="1">
      <c r="A1858" s="39">
        <v>1566</v>
      </c>
      <c r="B1858" s="40" t="s">
        <v>13856</v>
      </c>
      <c r="C1858" s="40" t="s">
        <v>13857</v>
      </c>
      <c r="D1858" s="40"/>
      <c r="E1858" s="41"/>
      <c r="F1858" s="40" t="s">
        <v>4090</v>
      </c>
      <c r="G1858" s="41">
        <v>444.71940000000001</v>
      </c>
      <c r="H1858" s="40"/>
      <c r="I1858" s="41"/>
      <c r="J1858" s="41">
        <f t="shared" si="7"/>
        <v>444.71940000000001</v>
      </c>
      <c r="K1858" s="42" t="s">
        <v>5796</v>
      </c>
      <c r="L1858" s="39">
        <v>1566</v>
      </c>
    </row>
    <row r="1859" spans="1:12" ht="11.25" customHeight="1">
      <c r="A1859" s="39">
        <v>2172</v>
      </c>
      <c r="B1859" s="40" t="s">
        <v>13858</v>
      </c>
      <c r="C1859" s="40" t="s">
        <v>13859</v>
      </c>
      <c r="D1859" s="40" t="s">
        <v>4981</v>
      </c>
      <c r="E1859" s="41">
        <v>142.22999999999999</v>
      </c>
      <c r="F1859" s="40" t="s">
        <v>4981</v>
      </c>
      <c r="G1859" s="41">
        <v>138.02670000000001</v>
      </c>
      <c r="H1859" s="40"/>
      <c r="I1859" s="41"/>
      <c r="J1859" s="41">
        <f t="shared" si="7"/>
        <v>140.12835000000001</v>
      </c>
      <c r="K1859" s="42" t="s">
        <v>5796</v>
      </c>
      <c r="L1859" s="39">
        <v>2172</v>
      </c>
    </row>
    <row r="1860" spans="1:12" ht="11.25" customHeight="1">
      <c r="A1860" s="39">
        <v>527</v>
      </c>
      <c r="B1860" s="40" t="s">
        <v>13860</v>
      </c>
      <c r="C1860" s="40" t="s">
        <v>13861</v>
      </c>
      <c r="D1860" s="40" t="s">
        <v>1565</v>
      </c>
      <c r="E1860" s="41">
        <v>6880.9</v>
      </c>
      <c r="F1860" s="40" t="s">
        <v>1565</v>
      </c>
      <c r="G1860" s="41">
        <v>6881.0866999999998</v>
      </c>
      <c r="H1860" s="40"/>
      <c r="I1860" s="41"/>
      <c r="J1860" s="41">
        <f t="shared" si="7"/>
        <v>6880.9933499999997</v>
      </c>
      <c r="K1860" s="42" t="s">
        <v>5796</v>
      </c>
      <c r="L1860" s="39">
        <v>527</v>
      </c>
    </row>
    <row r="1861" spans="1:12" ht="11.25" customHeight="1">
      <c r="A1861" s="39">
        <v>1084</v>
      </c>
      <c r="B1861" s="40" t="s">
        <v>13862</v>
      </c>
      <c r="C1861" s="40" t="s">
        <v>13863</v>
      </c>
      <c r="D1861" s="40" t="s">
        <v>3079</v>
      </c>
      <c r="E1861" s="41">
        <v>1381.23</v>
      </c>
      <c r="F1861" s="40" t="s">
        <v>3079</v>
      </c>
      <c r="G1861" s="41">
        <v>1373.1971000000001</v>
      </c>
      <c r="H1861" s="40"/>
      <c r="I1861" s="41"/>
      <c r="J1861" s="41">
        <f t="shared" si="7"/>
        <v>1377.2135499999999</v>
      </c>
      <c r="K1861" s="42" t="s">
        <v>5796</v>
      </c>
      <c r="L1861" s="39">
        <v>1084</v>
      </c>
    </row>
    <row r="1862" spans="1:12" ht="11.25" customHeight="1">
      <c r="A1862" s="39">
        <v>2554</v>
      </c>
      <c r="B1862" s="40" t="s">
        <v>13864</v>
      </c>
      <c r="C1862" s="40" t="s">
        <v>13865</v>
      </c>
      <c r="D1862" s="40" t="s">
        <v>5343</v>
      </c>
      <c r="E1862" s="41">
        <v>74.319999999999993</v>
      </c>
      <c r="F1862" s="40" t="s">
        <v>5343</v>
      </c>
      <c r="G1862" s="41">
        <v>74.167699999999996</v>
      </c>
      <c r="H1862" s="40"/>
      <c r="I1862" s="41"/>
      <c r="J1862" s="41">
        <f t="shared" si="7"/>
        <v>74.243849999999995</v>
      </c>
      <c r="K1862" s="42" t="s">
        <v>5796</v>
      </c>
      <c r="L1862" s="39">
        <v>2554</v>
      </c>
    </row>
    <row r="1863" spans="1:12" ht="11.25" customHeight="1">
      <c r="A1863" s="47">
        <v>49</v>
      </c>
      <c r="B1863" s="48" t="s">
        <v>13866</v>
      </c>
      <c r="C1863" s="48" t="s">
        <v>13867</v>
      </c>
      <c r="D1863" s="48" t="s">
        <v>158</v>
      </c>
      <c r="E1863" s="49">
        <v>122891.52</v>
      </c>
      <c r="F1863" s="48" t="s">
        <v>158</v>
      </c>
      <c r="G1863" s="49">
        <v>122914.6351</v>
      </c>
      <c r="H1863" s="48"/>
      <c r="I1863" s="49"/>
      <c r="J1863" s="49">
        <f t="shared" si="7"/>
        <v>122903.07755</v>
      </c>
      <c r="K1863" s="50" t="s">
        <v>5815</v>
      </c>
      <c r="L1863" s="47">
        <v>49</v>
      </c>
    </row>
    <row r="1864" spans="1:12" ht="11.25" customHeight="1">
      <c r="A1864" s="39">
        <v>3075</v>
      </c>
      <c r="B1864" s="40" t="s">
        <v>13868</v>
      </c>
      <c r="C1864" s="40" t="s">
        <v>13869</v>
      </c>
      <c r="D1864" s="40"/>
      <c r="E1864" s="41"/>
      <c r="F1864" s="40" t="s">
        <v>5577</v>
      </c>
      <c r="G1864" s="41">
        <v>34.019100000000002</v>
      </c>
      <c r="H1864" s="40"/>
      <c r="I1864" s="41"/>
      <c r="J1864" s="41">
        <f t="shared" si="7"/>
        <v>34.019100000000002</v>
      </c>
      <c r="K1864" s="42" t="s">
        <v>5796</v>
      </c>
      <c r="L1864" s="39">
        <v>3075</v>
      </c>
    </row>
    <row r="1865" spans="1:12" ht="11.25" customHeight="1">
      <c r="A1865" s="47">
        <v>67</v>
      </c>
      <c r="B1865" s="48" t="s">
        <v>13870</v>
      </c>
      <c r="C1865" s="48" t="s">
        <v>13871</v>
      </c>
      <c r="D1865" s="48" t="s">
        <v>215</v>
      </c>
      <c r="E1865" s="49">
        <v>90717.28</v>
      </c>
      <c r="F1865" s="48" t="s">
        <v>215</v>
      </c>
      <c r="G1865" s="49">
        <v>90718.327799999999</v>
      </c>
      <c r="H1865" s="48"/>
      <c r="I1865" s="49"/>
      <c r="J1865" s="49">
        <f t="shared" si="7"/>
        <v>90717.803899999999</v>
      </c>
      <c r="K1865" s="50" t="s">
        <v>5815</v>
      </c>
      <c r="L1865" s="47">
        <v>67</v>
      </c>
    </row>
    <row r="1866" spans="1:12" ht="11.25" customHeight="1">
      <c r="A1866" s="39">
        <v>816</v>
      </c>
      <c r="B1866" s="40" t="s">
        <v>13872</v>
      </c>
      <c r="C1866" s="40" t="s">
        <v>13873</v>
      </c>
      <c r="D1866" s="40" t="s">
        <v>13874</v>
      </c>
      <c r="E1866" s="41">
        <v>2754.59</v>
      </c>
      <c r="F1866" s="40" t="s">
        <v>2371</v>
      </c>
      <c r="G1866" s="41">
        <v>2754.7487999999998</v>
      </c>
      <c r="H1866" s="40"/>
      <c r="I1866" s="41"/>
      <c r="J1866" s="41">
        <f t="shared" si="7"/>
        <v>2754.6693999999998</v>
      </c>
      <c r="K1866" s="42" t="s">
        <v>5796</v>
      </c>
      <c r="L1866" s="39">
        <v>816</v>
      </c>
    </row>
    <row r="1867" spans="1:12" ht="11.25" customHeight="1">
      <c r="A1867" s="39">
        <v>817</v>
      </c>
      <c r="B1867" s="40" t="s">
        <v>13875</v>
      </c>
      <c r="C1867" s="40" t="s">
        <v>13876</v>
      </c>
      <c r="D1867" s="40" t="s">
        <v>2374</v>
      </c>
      <c r="E1867" s="41">
        <v>2747.03</v>
      </c>
      <c r="F1867" s="40" t="s">
        <v>2374</v>
      </c>
      <c r="G1867" s="41">
        <v>2747.6046999999999</v>
      </c>
      <c r="H1867" s="40"/>
      <c r="I1867" s="41"/>
      <c r="J1867" s="41">
        <f t="shared" si="7"/>
        <v>2747.3173500000003</v>
      </c>
      <c r="K1867" s="42" t="s">
        <v>5796</v>
      </c>
      <c r="L1867" s="39">
        <v>817</v>
      </c>
    </row>
    <row r="1868" spans="1:12" ht="11.25" customHeight="1">
      <c r="A1868" s="39">
        <v>1627</v>
      </c>
      <c r="B1868" s="40" t="s">
        <v>13877</v>
      </c>
      <c r="C1868" s="40" t="s">
        <v>13878</v>
      </c>
      <c r="D1868" s="40" t="s">
        <v>4204</v>
      </c>
      <c r="E1868" s="41">
        <v>385.38</v>
      </c>
      <c r="F1868" s="40" t="s">
        <v>4204</v>
      </c>
      <c r="G1868" s="41">
        <v>385.69099999999997</v>
      </c>
      <c r="H1868" s="40"/>
      <c r="I1868" s="41"/>
      <c r="J1868" s="41">
        <f t="shared" si="7"/>
        <v>385.53549999999996</v>
      </c>
      <c r="K1868" s="42" t="s">
        <v>5796</v>
      </c>
      <c r="L1868" s="39">
        <v>1627</v>
      </c>
    </row>
    <row r="1869" spans="1:12" ht="11.25" customHeight="1">
      <c r="A1869" s="39">
        <v>1066</v>
      </c>
      <c r="B1869" s="40" t="s">
        <v>13879</v>
      </c>
      <c r="C1869" s="40" t="s">
        <v>13880</v>
      </c>
      <c r="D1869" s="40" t="s">
        <v>3034</v>
      </c>
      <c r="E1869" s="41">
        <v>1434.12</v>
      </c>
      <c r="F1869" s="40" t="s">
        <v>3034</v>
      </c>
      <c r="G1869" s="41">
        <v>1413.4594</v>
      </c>
      <c r="H1869" s="40"/>
      <c r="I1869" s="41"/>
      <c r="J1869" s="41">
        <f t="shared" si="7"/>
        <v>1423.7896999999998</v>
      </c>
      <c r="K1869" s="42" t="s">
        <v>5796</v>
      </c>
      <c r="L1869" s="39">
        <v>1066</v>
      </c>
    </row>
    <row r="1870" spans="1:12" ht="11.25" customHeight="1">
      <c r="A1870" s="39">
        <v>1622</v>
      </c>
      <c r="B1870" s="40" t="s">
        <v>13881</v>
      </c>
      <c r="C1870" s="40" t="s">
        <v>13882</v>
      </c>
      <c r="D1870" s="40"/>
      <c r="E1870" s="41"/>
      <c r="F1870" s="40" t="s">
        <v>4195</v>
      </c>
      <c r="G1870" s="41">
        <v>387.68770000000001</v>
      </c>
      <c r="H1870" s="40"/>
      <c r="I1870" s="41"/>
      <c r="J1870" s="41">
        <f t="shared" si="7"/>
        <v>387.68770000000001</v>
      </c>
      <c r="K1870" s="42" t="s">
        <v>5796</v>
      </c>
      <c r="L1870" s="39">
        <v>1622</v>
      </c>
    </row>
    <row r="1871" spans="1:12" ht="11.25" customHeight="1">
      <c r="A1871" s="39">
        <v>534</v>
      </c>
      <c r="B1871" s="40" t="s">
        <v>13883</v>
      </c>
      <c r="C1871" s="40" t="s">
        <v>13884</v>
      </c>
      <c r="D1871" s="40" t="s">
        <v>1583</v>
      </c>
      <c r="E1871" s="41">
        <v>6715.46</v>
      </c>
      <c r="F1871" s="40" t="s">
        <v>1583</v>
      </c>
      <c r="G1871" s="41">
        <v>6718.0138999999999</v>
      </c>
      <c r="H1871" s="40"/>
      <c r="I1871" s="41"/>
      <c r="J1871" s="41">
        <f t="shared" si="7"/>
        <v>6716.7369500000004</v>
      </c>
      <c r="K1871" s="42" t="s">
        <v>5796</v>
      </c>
      <c r="L1871" s="39">
        <v>534</v>
      </c>
    </row>
    <row r="1872" spans="1:12" ht="11.25" customHeight="1">
      <c r="A1872" s="39">
        <v>1884</v>
      </c>
      <c r="B1872" s="40" t="s">
        <v>7029</v>
      </c>
      <c r="C1872" s="40" t="s">
        <v>13885</v>
      </c>
      <c r="D1872" s="40" t="s">
        <v>4585</v>
      </c>
      <c r="E1872" s="41">
        <v>230.33</v>
      </c>
      <c r="F1872" s="40" t="s">
        <v>4585</v>
      </c>
      <c r="G1872" s="41">
        <v>230.3922</v>
      </c>
      <c r="H1872" s="40"/>
      <c r="I1872" s="41"/>
      <c r="J1872" s="41">
        <f t="shared" si="7"/>
        <v>230.36110000000002</v>
      </c>
      <c r="K1872" s="42" t="s">
        <v>5796</v>
      </c>
      <c r="L1872" s="39">
        <v>1884</v>
      </c>
    </row>
    <row r="1873" spans="1:12" ht="11.25" customHeight="1">
      <c r="A1873" s="39">
        <v>341</v>
      </c>
      <c r="B1873" s="40" t="s">
        <v>13886</v>
      </c>
      <c r="C1873" s="40" t="s">
        <v>13887</v>
      </c>
      <c r="D1873" s="40" t="s">
        <v>1034</v>
      </c>
      <c r="E1873" s="41">
        <v>12883.14</v>
      </c>
      <c r="F1873" s="40" t="s">
        <v>1034</v>
      </c>
      <c r="G1873" s="41">
        <v>12883.3228</v>
      </c>
      <c r="H1873" s="40"/>
      <c r="I1873" s="41"/>
      <c r="J1873" s="41">
        <f t="shared" si="7"/>
        <v>12883.231400000001</v>
      </c>
      <c r="K1873" s="42" t="s">
        <v>5796</v>
      </c>
      <c r="L1873" s="39">
        <v>341</v>
      </c>
    </row>
    <row r="1874" spans="1:12" ht="11.25" customHeight="1">
      <c r="A1874" s="39">
        <v>1242</v>
      </c>
      <c r="B1874" s="40" t="s">
        <v>13888</v>
      </c>
      <c r="C1874" s="40" t="s">
        <v>13889</v>
      </c>
      <c r="D1874" s="40" t="s">
        <v>3439</v>
      </c>
      <c r="E1874" s="41">
        <v>936.52</v>
      </c>
      <c r="F1874" s="40" t="s">
        <v>3439</v>
      </c>
      <c r="G1874" s="41">
        <v>934.21010000000001</v>
      </c>
      <c r="H1874" s="40"/>
      <c r="I1874" s="41"/>
      <c r="J1874" s="41">
        <f t="shared" si="7"/>
        <v>935.36505</v>
      </c>
      <c r="K1874" s="42" t="s">
        <v>5796</v>
      </c>
      <c r="L1874" s="39">
        <v>1242</v>
      </c>
    </row>
    <row r="1875" spans="1:12" ht="11.25" customHeight="1">
      <c r="A1875" s="39">
        <v>921</v>
      </c>
      <c r="B1875" s="40" t="s">
        <v>13890</v>
      </c>
      <c r="C1875" s="40" t="s">
        <v>13891</v>
      </c>
      <c r="D1875" s="40" t="s">
        <v>2662</v>
      </c>
      <c r="E1875" s="41">
        <v>2086.6</v>
      </c>
      <c r="F1875" s="40" t="s">
        <v>2662</v>
      </c>
      <c r="G1875" s="41">
        <v>2087.9124999999999</v>
      </c>
      <c r="H1875" s="40"/>
      <c r="I1875" s="41"/>
      <c r="J1875" s="41">
        <f t="shared" si="7"/>
        <v>2087.2562499999999</v>
      </c>
      <c r="K1875" s="42" t="s">
        <v>5796</v>
      </c>
      <c r="L1875" s="39">
        <v>921</v>
      </c>
    </row>
    <row r="1876" spans="1:12" ht="11.25" customHeight="1">
      <c r="A1876" s="39">
        <v>596</v>
      </c>
      <c r="B1876" s="40" t="s">
        <v>13892</v>
      </c>
      <c r="C1876" s="40" t="s">
        <v>13893</v>
      </c>
      <c r="D1876" s="40" t="s">
        <v>1760</v>
      </c>
      <c r="E1876" s="41">
        <v>5444.94</v>
      </c>
      <c r="F1876" s="40" t="s">
        <v>1760</v>
      </c>
      <c r="G1876" s="41">
        <v>5444.5385999999999</v>
      </c>
      <c r="H1876" s="40"/>
      <c r="I1876" s="41"/>
      <c r="J1876" s="41">
        <f t="shared" si="7"/>
        <v>5444.7392999999993</v>
      </c>
      <c r="K1876" s="42" t="s">
        <v>5796</v>
      </c>
      <c r="L1876" s="39">
        <v>596</v>
      </c>
    </row>
    <row r="1877" spans="1:12" ht="11.25" customHeight="1">
      <c r="A1877" s="39">
        <v>3611</v>
      </c>
      <c r="B1877" s="40" t="s">
        <v>7033</v>
      </c>
      <c r="C1877" s="40" t="s">
        <v>13894</v>
      </c>
      <c r="D1877" s="40" t="s">
        <v>13895</v>
      </c>
      <c r="E1877" s="41">
        <v>15.23</v>
      </c>
      <c r="F1877" s="40" t="s">
        <v>5715</v>
      </c>
      <c r="G1877" s="41">
        <v>15.156000000000001</v>
      </c>
      <c r="H1877" s="40"/>
      <c r="I1877" s="41"/>
      <c r="J1877" s="41">
        <f t="shared" si="7"/>
        <v>15.193000000000001</v>
      </c>
      <c r="K1877" s="42" t="s">
        <v>5796</v>
      </c>
      <c r="L1877" s="39">
        <v>3611</v>
      </c>
    </row>
    <row r="1878" spans="1:12" ht="11.25" customHeight="1">
      <c r="A1878" s="39">
        <v>1601</v>
      </c>
      <c r="B1878" s="40" t="s">
        <v>13896</v>
      </c>
      <c r="C1878" s="40" t="s">
        <v>13897</v>
      </c>
      <c r="D1878" s="40" t="s">
        <v>4147</v>
      </c>
      <c r="E1878" s="41">
        <v>419.54</v>
      </c>
      <c r="F1878" s="40" t="s">
        <v>4147</v>
      </c>
      <c r="G1878" s="41">
        <v>407.01549999999997</v>
      </c>
      <c r="H1878" s="40"/>
      <c r="I1878" s="41"/>
      <c r="J1878" s="41">
        <f t="shared" si="7"/>
        <v>413.27774999999997</v>
      </c>
      <c r="K1878" s="42" t="s">
        <v>5796</v>
      </c>
      <c r="L1878" s="39">
        <v>1601</v>
      </c>
    </row>
    <row r="1879" spans="1:12" ht="11.25" customHeight="1">
      <c r="A1879" s="39">
        <v>1386</v>
      </c>
      <c r="B1879" s="40" t="s">
        <v>7034</v>
      </c>
      <c r="C1879" s="40" t="s">
        <v>13898</v>
      </c>
      <c r="D1879" s="40" t="s">
        <v>3745</v>
      </c>
      <c r="E1879" s="41">
        <v>675.83108705999996</v>
      </c>
      <c r="F1879" s="40" t="s">
        <v>3745</v>
      </c>
      <c r="G1879" s="41">
        <v>639.31960000000004</v>
      </c>
      <c r="H1879" s="40"/>
      <c r="I1879" s="41"/>
      <c r="J1879" s="41">
        <f t="shared" si="7"/>
        <v>657.57534353000005</v>
      </c>
      <c r="K1879" s="42" t="s">
        <v>5796</v>
      </c>
      <c r="L1879" s="39">
        <v>1386</v>
      </c>
    </row>
    <row r="1880" spans="1:12" ht="11.25" customHeight="1">
      <c r="A1880" s="39">
        <v>1191</v>
      </c>
      <c r="B1880" s="40" t="s">
        <v>13899</v>
      </c>
      <c r="C1880" s="40" t="s">
        <v>13900</v>
      </c>
      <c r="D1880" s="40" t="s">
        <v>3328</v>
      </c>
      <c r="E1880" s="41">
        <v>1071.55</v>
      </c>
      <c r="F1880" s="40" t="s">
        <v>3328</v>
      </c>
      <c r="G1880" s="41">
        <v>1071.6045999999999</v>
      </c>
      <c r="H1880" s="40"/>
      <c r="I1880" s="41"/>
      <c r="J1880" s="41">
        <f t="shared" si="7"/>
        <v>1071.5772999999999</v>
      </c>
      <c r="K1880" s="42" t="s">
        <v>5796</v>
      </c>
      <c r="L1880" s="39">
        <v>1191</v>
      </c>
    </row>
    <row r="1881" spans="1:12" ht="11.25" customHeight="1">
      <c r="A1881" s="39">
        <v>283</v>
      </c>
      <c r="B1881" s="40" t="s">
        <v>13901</v>
      </c>
      <c r="C1881" s="40" t="s">
        <v>13902</v>
      </c>
      <c r="D1881" s="40" t="s">
        <v>860</v>
      </c>
      <c r="E1881" s="41">
        <v>18497.96</v>
      </c>
      <c r="F1881" s="40" t="s">
        <v>860</v>
      </c>
      <c r="G1881" s="41">
        <v>18499.3433</v>
      </c>
      <c r="H1881" s="40"/>
      <c r="I1881" s="41"/>
      <c r="J1881" s="41">
        <f t="shared" si="7"/>
        <v>18498.65165</v>
      </c>
      <c r="K1881" s="42" t="s">
        <v>5796</v>
      </c>
      <c r="L1881" s="39">
        <v>283</v>
      </c>
    </row>
    <row r="1882" spans="1:12" ht="11.25" customHeight="1">
      <c r="A1882" s="39">
        <v>833</v>
      </c>
      <c r="B1882" s="40" t="s">
        <v>13903</v>
      </c>
      <c r="C1882" s="40" t="s">
        <v>13904</v>
      </c>
      <c r="D1882" s="40" t="s">
        <v>2422</v>
      </c>
      <c r="E1882" s="41">
        <v>2643.08</v>
      </c>
      <c r="F1882" s="40" t="s">
        <v>2422</v>
      </c>
      <c r="G1882" s="41">
        <v>2643.5088999999998</v>
      </c>
      <c r="H1882" s="40"/>
      <c r="I1882" s="41"/>
      <c r="J1882" s="41">
        <f t="shared" si="7"/>
        <v>2643.2944499999999</v>
      </c>
      <c r="K1882" s="42" t="s">
        <v>5796</v>
      </c>
      <c r="L1882" s="39">
        <v>833</v>
      </c>
    </row>
    <row r="1883" spans="1:12" ht="11.25" customHeight="1">
      <c r="A1883" s="39">
        <v>2788</v>
      </c>
      <c r="B1883" s="40" t="s">
        <v>13905</v>
      </c>
      <c r="C1883" s="40" t="s">
        <v>13906</v>
      </c>
      <c r="D1883" s="40" t="s">
        <v>5460</v>
      </c>
      <c r="E1883" s="41">
        <v>52.23</v>
      </c>
      <c r="F1883" s="40" t="s">
        <v>5460</v>
      </c>
      <c r="G1883" s="41">
        <v>52.216000000000001</v>
      </c>
      <c r="H1883" s="40"/>
      <c r="I1883" s="41"/>
      <c r="J1883" s="41">
        <f t="shared" si="7"/>
        <v>52.222999999999999</v>
      </c>
      <c r="K1883" s="42" t="s">
        <v>5796</v>
      </c>
      <c r="L1883" s="39">
        <v>2788</v>
      </c>
    </row>
    <row r="1884" spans="1:12" ht="11.25" customHeight="1">
      <c r="A1884" s="39">
        <v>2496</v>
      </c>
      <c r="B1884" s="40" t="s">
        <v>7038</v>
      </c>
      <c r="C1884" s="40" t="s">
        <v>13907</v>
      </c>
      <c r="D1884" s="40" t="s">
        <v>5292</v>
      </c>
      <c r="E1884" s="41">
        <v>82.56</v>
      </c>
      <c r="F1884" s="40" t="s">
        <v>5292</v>
      </c>
      <c r="G1884" s="41">
        <v>82.055999999999997</v>
      </c>
      <c r="H1884" s="40"/>
      <c r="I1884" s="41"/>
      <c r="J1884" s="41">
        <f t="shared" si="7"/>
        <v>82.307999999999993</v>
      </c>
      <c r="K1884" s="42" t="s">
        <v>5796</v>
      </c>
      <c r="L1884" s="39">
        <v>2496</v>
      </c>
    </row>
    <row r="1885" spans="1:12" ht="11.25" customHeight="1">
      <c r="A1885" s="39">
        <v>1286</v>
      </c>
      <c r="B1885" s="40" t="s">
        <v>13908</v>
      </c>
      <c r="C1885" s="40" t="s">
        <v>13909</v>
      </c>
      <c r="D1885" s="40" t="s">
        <v>3535</v>
      </c>
      <c r="E1885" s="41">
        <v>826.95</v>
      </c>
      <c r="F1885" s="40" t="s">
        <v>3535</v>
      </c>
      <c r="G1885" s="41">
        <v>826.85659999999996</v>
      </c>
      <c r="H1885" s="40"/>
      <c r="I1885" s="41"/>
      <c r="J1885" s="41">
        <f t="shared" si="7"/>
        <v>826.90329999999994</v>
      </c>
      <c r="K1885" s="42" t="s">
        <v>5796</v>
      </c>
      <c r="L1885" s="39">
        <v>1286</v>
      </c>
    </row>
    <row r="1886" spans="1:12" ht="11.25" customHeight="1">
      <c r="A1886" s="39">
        <v>1621</v>
      </c>
      <c r="B1886" s="40" t="s">
        <v>13910</v>
      </c>
      <c r="C1886" s="40" t="s">
        <v>13911</v>
      </c>
      <c r="D1886" s="40" t="s">
        <v>4192</v>
      </c>
      <c r="E1886" s="41">
        <v>390.15</v>
      </c>
      <c r="F1886" s="40" t="s">
        <v>4192</v>
      </c>
      <c r="G1886" s="41">
        <v>389.85559999999998</v>
      </c>
      <c r="H1886" s="40"/>
      <c r="I1886" s="41"/>
      <c r="J1886" s="41">
        <f t="shared" si="7"/>
        <v>390.00279999999998</v>
      </c>
      <c r="K1886" s="42" t="s">
        <v>5796</v>
      </c>
      <c r="L1886" s="39">
        <v>1621</v>
      </c>
    </row>
    <row r="1887" spans="1:12" ht="11.25" customHeight="1">
      <c r="A1887" s="39">
        <v>443</v>
      </c>
      <c r="B1887" s="40" t="s">
        <v>13912</v>
      </c>
      <c r="C1887" s="40" t="s">
        <v>13913</v>
      </c>
      <c r="D1887" s="40" t="s">
        <v>1322</v>
      </c>
      <c r="E1887" s="41">
        <v>8999.15</v>
      </c>
      <c r="F1887" s="40" t="s">
        <v>1322</v>
      </c>
      <c r="G1887" s="41">
        <v>8996.7497999999996</v>
      </c>
      <c r="H1887" s="40"/>
      <c r="I1887" s="41"/>
      <c r="J1887" s="41">
        <f t="shared" si="7"/>
        <v>8997.9498999999996</v>
      </c>
      <c r="K1887" s="42" t="s">
        <v>5796</v>
      </c>
      <c r="L1887" s="39">
        <v>443</v>
      </c>
    </row>
    <row r="1888" spans="1:12" ht="11.25" customHeight="1">
      <c r="A1888" s="39">
        <v>1981</v>
      </c>
      <c r="B1888" s="40" t="s">
        <v>13914</v>
      </c>
      <c r="C1888" s="40" t="s">
        <v>13915</v>
      </c>
      <c r="D1888" s="40" t="s">
        <v>13916</v>
      </c>
      <c r="E1888" s="41">
        <v>192.94</v>
      </c>
      <c r="F1888" s="40" t="s">
        <v>4699</v>
      </c>
      <c r="G1888" s="41">
        <v>192.63800000000001</v>
      </c>
      <c r="H1888" s="40"/>
      <c r="I1888" s="41"/>
      <c r="J1888" s="41">
        <f t="shared" si="7"/>
        <v>192.78899999999999</v>
      </c>
      <c r="K1888" s="42" t="s">
        <v>5796</v>
      </c>
      <c r="L1888" s="39">
        <v>1981</v>
      </c>
    </row>
    <row r="1889" spans="1:12" ht="11.25" customHeight="1">
      <c r="A1889" s="39">
        <v>1742</v>
      </c>
      <c r="B1889" s="40" t="s">
        <v>13917</v>
      </c>
      <c r="C1889" s="40" t="s">
        <v>13918</v>
      </c>
      <c r="D1889" s="40" t="s">
        <v>4399</v>
      </c>
      <c r="E1889" s="41">
        <v>304.83</v>
      </c>
      <c r="F1889" s="40" t="s">
        <v>4399</v>
      </c>
      <c r="G1889" s="41">
        <v>298.63499999999999</v>
      </c>
      <c r="H1889" s="40"/>
      <c r="I1889" s="41"/>
      <c r="J1889" s="41">
        <f t="shared" si="7"/>
        <v>301.73249999999996</v>
      </c>
      <c r="K1889" s="42" t="s">
        <v>5796</v>
      </c>
      <c r="L1889" s="39">
        <v>1742</v>
      </c>
    </row>
    <row r="1890" spans="1:12" ht="11.25" customHeight="1">
      <c r="A1890" s="39">
        <v>1332</v>
      </c>
      <c r="B1890" s="40" t="s">
        <v>13919</v>
      </c>
      <c r="C1890" s="40" t="s">
        <v>13920</v>
      </c>
      <c r="D1890" s="40" t="s">
        <v>3637</v>
      </c>
      <c r="E1890" s="41">
        <v>748.41</v>
      </c>
      <c r="F1890" s="40" t="s">
        <v>3637</v>
      </c>
      <c r="G1890" s="41">
        <v>748.48119999999994</v>
      </c>
      <c r="H1890" s="40"/>
      <c r="I1890" s="41"/>
      <c r="J1890" s="41">
        <f t="shared" si="7"/>
        <v>748.44560000000001</v>
      </c>
      <c r="K1890" s="42" t="s">
        <v>5796</v>
      </c>
      <c r="L1890" s="39">
        <v>1332</v>
      </c>
    </row>
    <row r="1891" spans="1:12" ht="11.25" customHeight="1">
      <c r="A1891" s="39">
        <v>2021</v>
      </c>
      <c r="B1891" s="40" t="s">
        <v>13921</v>
      </c>
      <c r="C1891" s="40" t="s">
        <v>13922</v>
      </c>
      <c r="D1891" s="40" t="s">
        <v>7043</v>
      </c>
      <c r="E1891" s="41">
        <v>182.82</v>
      </c>
      <c r="F1891" s="40" t="s">
        <v>7043</v>
      </c>
      <c r="G1891" s="41">
        <v>183.07810000000001</v>
      </c>
      <c r="H1891" s="40"/>
      <c r="I1891" s="41"/>
      <c r="J1891" s="41">
        <f t="shared" si="7"/>
        <v>182.94905</v>
      </c>
      <c r="K1891" s="42" t="s">
        <v>5796</v>
      </c>
      <c r="L1891" s="39">
        <v>2021</v>
      </c>
    </row>
    <row r="1892" spans="1:12" ht="11.25" customHeight="1">
      <c r="A1892" s="39">
        <v>2072</v>
      </c>
      <c r="B1892" s="40" t="s">
        <v>13923</v>
      </c>
      <c r="C1892" s="40" t="s">
        <v>13924</v>
      </c>
      <c r="D1892" s="40" t="s">
        <v>4843</v>
      </c>
      <c r="E1892" s="41">
        <v>170.79</v>
      </c>
      <c r="F1892" s="40" t="s">
        <v>4843</v>
      </c>
      <c r="G1892" s="41">
        <v>167.71889999999999</v>
      </c>
      <c r="H1892" s="40"/>
      <c r="I1892" s="41"/>
      <c r="J1892" s="41">
        <f t="shared" si="7"/>
        <v>169.25444999999999</v>
      </c>
      <c r="K1892" s="42" t="s">
        <v>5796</v>
      </c>
      <c r="L1892" s="39">
        <v>2072</v>
      </c>
    </row>
    <row r="1893" spans="1:12" ht="11.25" customHeight="1">
      <c r="A1893" s="39">
        <v>906</v>
      </c>
      <c r="B1893" s="40" t="s">
        <v>13925</v>
      </c>
      <c r="C1893" s="40" t="s">
        <v>13926</v>
      </c>
      <c r="D1893" s="40" t="s">
        <v>2626</v>
      </c>
      <c r="E1893" s="41">
        <v>2152.79</v>
      </c>
      <c r="F1893" s="40" t="s">
        <v>2626</v>
      </c>
      <c r="G1893" s="41">
        <v>2123.9160999999999</v>
      </c>
      <c r="H1893" s="40"/>
      <c r="I1893" s="41"/>
      <c r="J1893" s="41">
        <f t="shared" si="7"/>
        <v>2138.3530499999997</v>
      </c>
      <c r="K1893" s="42" t="s">
        <v>5796</v>
      </c>
      <c r="L1893" s="39">
        <v>906</v>
      </c>
    </row>
    <row r="1894" spans="1:12" ht="11.25" customHeight="1">
      <c r="A1894" s="39">
        <v>1716</v>
      </c>
      <c r="B1894" s="40" t="s">
        <v>13927</v>
      </c>
      <c r="C1894" s="40" t="s">
        <v>13928</v>
      </c>
      <c r="D1894" s="40" t="s">
        <v>4363</v>
      </c>
      <c r="E1894" s="41">
        <v>323.61</v>
      </c>
      <c r="F1894" s="40" t="s">
        <v>4363</v>
      </c>
      <c r="G1894" s="41">
        <v>323.54950000000002</v>
      </c>
      <c r="H1894" s="40"/>
      <c r="I1894" s="41"/>
      <c r="J1894" s="41">
        <f t="shared" si="7"/>
        <v>323.57974999999999</v>
      </c>
      <c r="K1894" s="42" t="s">
        <v>5796</v>
      </c>
      <c r="L1894" s="39">
        <v>1716</v>
      </c>
    </row>
    <row r="1895" spans="1:12" ht="11.25" customHeight="1">
      <c r="A1895" s="39">
        <v>3204</v>
      </c>
      <c r="B1895" s="40" t="s">
        <v>13929</v>
      </c>
      <c r="C1895" s="40" t="s">
        <v>13930</v>
      </c>
      <c r="D1895" s="40" t="s">
        <v>5619</v>
      </c>
      <c r="E1895" s="41">
        <v>27.78</v>
      </c>
      <c r="F1895" s="40" t="s">
        <v>5619</v>
      </c>
      <c r="G1895" s="41">
        <v>27.7239</v>
      </c>
      <c r="H1895" s="40"/>
      <c r="I1895" s="41"/>
      <c r="J1895" s="41">
        <f t="shared" si="7"/>
        <v>27.751950000000001</v>
      </c>
      <c r="K1895" s="42" t="s">
        <v>5796</v>
      </c>
      <c r="L1895" s="39">
        <v>3204</v>
      </c>
    </row>
    <row r="1896" spans="1:12" ht="11.25" customHeight="1">
      <c r="A1896" s="39">
        <v>1656</v>
      </c>
      <c r="B1896" s="40" t="s">
        <v>13931</v>
      </c>
      <c r="C1896" s="40" t="s">
        <v>13932</v>
      </c>
      <c r="D1896" s="40" t="s">
        <v>4255</v>
      </c>
      <c r="E1896" s="41">
        <v>363.29</v>
      </c>
      <c r="F1896" s="40" t="s">
        <v>4255</v>
      </c>
      <c r="G1896" s="41">
        <v>361.80119999999999</v>
      </c>
      <c r="H1896" s="40"/>
      <c r="I1896" s="41"/>
      <c r="J1896" s="41">
        <f t="shared" si="7"/>
        <v>362.54560000000004</v>
      </c>
      <c r="K1896" s="42" t="s">
        <v>5796</v>
      </c>
      <c r="L1896" s="39">
        <v>1656</v>
      </c>
    </row>
    <row r="1897" spans="1:12" ht="11.25" customHeight="1">
      <c r="A1897" s="39">
        <v>1356</v>
      </c>
      <c r="B1897" s="40" t="s">
        <v>13933</v>
      </c>
      <c r="C1897" s="40" t="s">
        <v>13934</v>
      </c>
      <c r="D1897" s="40" t="s">
        <v>3676</v>
      </c>
      <c r="E1897" s="41">
        <v>754.66</v>
      </c>
      <c r="F1897" s="40" t="s">
        <v>3676</v>
      </c>
      <c r="G1897" s="41">
        <v>673.13499999999999</v>
      </c>
      <c r="H1897" s="40"/>
      <c r="I1897" s="41"/>
      <c r="J1897" s="41">
        <f t="shared" si="7"/>
        <v>713.89750000000004</v>
      </c>
      <c r="K1897" s="42" t="s">
        <v>5796</v>
      </c>
      <c r="L1897" s="39">
        <v>1356</v>
      </c>
    </row>
    <row r="1898" spans="1:12" ht="11.25" customHeight="1">
      <c r="A1898" s="39">
        <v>690</v>
      </c>
      <c r="B1898" s="40" t="s">
        <v>13935</v>
      </c>
      <c r="C1898" s="40" t="s">
        <v>13936</v>
      </c>
      <c r="D1898" s="40" t="s">
        <v>2024</v>
      </c>
      <c r="E1898" s="41">
        <v>3985.69</v>
      </c>
      <c r="F1898" s="40" t="s">
        <v>2024</v>
      </c>
      <c r="G1898" s="41">
        <v>3987.2055999999998</v>
      </c>
      <c r="H1898" s="40"/>
      <c r="I1898" s="41"/>
      <c r="J1898" s="41">
        <f t="shared" si="7"/>
        <v>3986.4477999999999</v>
      </c>
      <c r="K1898" s="42" t="s">
        <v>5796</v>
      </c>
      <c r="L1898" s="39">
        <v>690</v>
      </c>
    </row>
    <row r="1899" spans="1:12" ht="11.25" customHeight="1">
      <c r="A1899" s="39">
        <v>610</v>
      </c>
      <c r="B1899" s="40" t="s">
        <v>7048</v>
      </c>
      <c r="C1899" s="40" t="s">
        <v>13937</v>
      </c>
      <c r="D1899" s="40" t="s">
        <v>1802</v>
      </c>
      <c r="E1899" s="41">
        <v>5129.76</v>
      </c>
      <c r="F1899" s="40" t="s">
        <v>1802</v>
      </c>
      <c r="G1899" s="41">
        <v>5130.4956000000002</v>
      </c>
      <c r="H1899" s="40"/>
      <c r="I1899" s="41"/>
      <c r="J1899" s="41">
        <f t="shared" si="7"/>
        <v>5130.1278000000002</v>
      </c>
      <c r="K1899" s="42" t="s">
        <v>5796</v>
      </c>
      <c r="L1899" s="39">
        <v>610</v>
      </c>
    </row>
    <row r="1900" spans="1:12" ht="11.25" customHeight="1">
      <c r="A1900" s="43">
        <v>213</v>
      </c>
      <c r="B1900" s="44" t="s">
        <v>13938</v>
      </c>
      <c r="C1900" s="44" t="s">
        <v>13939</v>
      </c>
      <c r="D1900" s="44" t="s">
        <v>650</v>
      </c>
      <c r="E1900" s="45">
        <v>27740.75</v>
      </c>
      <c r="F1900" s="44" t="s">
        <v>650</v>
      </c>
      <c r="G1900" s="45">
        <v>27744.765500000001</v>
      </c>
      <c r="H1900" s="44"/>
      <c r="I1900" s="45"/>
      <c r="J1900" s="45">
        <f t="shared" si="7"/>
        <v>27742.757750000001</v>
      </c>
      <c r="K1900" s="46" t="s">
        <v>5800</v>
      </c>
      <c r="L1900" s="43">
        <v>213</v>
      </c>
    </row>
    <row r="1901" spans="1:12" ht="11.25" customHeight="1">
      <c r="A1901" s="39">
        <v>864</v>
      </c>
      <c r="B1901" s="40" t="s">
        <v>13940</v>
      </c>
      <c r="C1901" s="40" t="s">
        <v>13941</v>
      </c>
      <c r="D1901" s="40" t="s">
        <v>2506</v>
      </c>
      <c r="E1901" s="41">
        <v>2415.64</v>
      </c>
      <c r="F1901" s="40" t="s">
        <v>2506</v>
      </c>
      <c r="G1901" s="41">
        <v>2415.6954000000001</v>
      </c>
      <c r="H1901" s="40"/>
      <c r="I1901" s="41"/>
      <c r="J1901" s="41">
        <f t="shared" si="7"/>
        <v>2415.6677</v>
      </c>
      <c r="K1901" s="42" t="s">
        <v>5796</v>
      </c>
      <c r="L1901" s="39">
        <v>864</v>
      </c>
    </row>
    <row r="1902" spans="1:12" ht="11.25" customHeight="1">
      <c r="A1902" s="39">
        <v>558</v>
      </c>
      <c r="B1902" s="40" t="s">
        <v>13942</v>
      </c>
      <c r="C1902" s="40" t="s">
        <v>13943</v>
      </c>
      <c r="D1902" s="40" t="s">
        <v>1655</v>
      </c>
      <c r="E1902" s="41">
        <v>6156.55</v>
      </c>
      <c r="F1902" s="40" t="s">
        <v>1655</v>
      </c>
      <c r="G1902" s="41">
        <v>6220.6715999999997</v>
      </c>
      <c r="H1902" s="40"/>
      <c r="I1902" s="41"/>
      <c r="J1902" s="41">
        <f t="shared" si="7"/>
        <v>6188.6108000000004</v>
      </c>
      <c r="K1902" s="42" t="s">
        <v>5796</v>
      </c>
      <c r="L1902" s="39">
        <v>558</v>
      </c>
    </row>
    <row r="1903" spans="1:12" ht="11.25" customHeight="1">
      <c r="A1903" s="39">
        <v>1006</v>
      </c>
      <c r="B1903" s="40" t="s">
        <v>13944</v>
      </c>
      <c r="C1903" s="40" t="s">
        <v>13945</v>
      </c>
      <c r="D1903" s="40" t="s">
        <v>2881</v>
      </c>
      <c r="E1903" s="41">
        <v>1684.82</v>
      </c>
      <c r="F1903" s="40" t="s">
        <v>2881</v>
      </c>
      <c r="G1903" s="41">
        <v>1684.5465999999999</v>
      </c>
      <c r="H1903" s="40"/>
      <c r="I1903" s="41"/>
      <c r="J1903" s="41">
        <f t="shared" si="7"/>
        <v>1684.6832999999999</v>
      </c>
      <c r="K1903" s="42" t="s">
        <v>5796</v>
      </c>
      <c r="L1903" s="39">
        <v>1006</v>
      </c>
    </row>
    <row r="1904" spans="1:12" ht="11.25" customHeight="1">
      <c r="A1904" s="39">
        <v>602</v>
      </c>
      <c r="B1904" s="40" t="s">
        <v>13946</v>
      </c>
      <c r="C1904" s="40" t="s">
        <v>13947</v>
      </c>
      <c r="D1904" s="40" t="s">
        <v>1778</v>
      </c>
      <c r="E1904" s="41">
        <v>5300.55</v>
      </c>
      <c r="F1904" s="40" t="s">
        <v>1778</v>
      </c>
      <c r="G1904" s="41">
        <v>5300.1594999999998</v>
      </c>
      <c r="H1904" s="40"/>
      <c r="I1904" s="41"/>
      <c r="J1904" s="41">
        <f t="shared" si="7"/>
        <v>5300.3547500000004</v>
      </c>
      <c r="K1904" s="42" t="s">
        <v>5796</v>
      </c>
      <c r="L1904" s="39">
        <v>602</v>
      </c>
    </row>
    <row r="1905" spans="1:12" ht="11.25" customHeight="1">
      <c r="A1905" s="39">
        <v>780</v>
      </c>
      <c r="B1905" s="40" t="s">
        <v>13948</v>
      </c>
      <c r="C1905" s="40" t="s">
        <v>13949</v>
      </c>
      <c r="D1905" s="40" t="s">
        <v>2275</v>
      </c>
      <c r="E1905" s="41">
        <v>3053.2</v>
      </c>
      <c r="F1905" s="40" t="s">
        <v>2275</v>
      </c>
      <c r="G1905" s="41">
        <v>3054.7863000000002</v>
      </c>
      <c r="H1905" s="40"/>
      <c r="I1905" s="41"/>
      <c r="J1905" s="41">
        <f t="shared" si="7"/>
        <v>3053.9931500000002</v>
      </c>
      <c r="K1905" s="42" t="s">
        <v>5796</v>
      </c>
      <c r="L1905" s="39">
        <v>780</v>
      </c>
    </row>
    <row r="1906" spans="1:12" ht="11.25" customHeight="1">
      <c r="A1906" s="39">
        <v>384</v>
      </c>
      <c r="B1906" s="40" t="s">
        <v>13950</v>
      </c>
      <c r="C1906" s="40" t="s">
        <v>13951</v>
      </c>
      <c r="D1906" s="40" t="s">
        <v>1157</v>
      </c>
      <c r="E1906" s="41">
        <v>10923.19</v>
      </c>
      <c r="F1906" s="40" t="s">
        <v>1157</v>
      </c>
      <c r="G1906" s="41">
        <v>10928.2106</v>
      </c>
      <c r="H1906" s="40"/>
      <c r="I1906" s="41"/>
      <c r="J1906" s="41">
        <f t="shared" si="7"/>
        <v>10925.7003</v>
      </c>
      <c r="K1906" s="42" t="s">
        <v>5796</v>
      </c>
      <c r="L1906" s="39">
        <v>384</v>
      </c>
    </row>
    <row r="1907" spans="1:12" ht="11.25" customHeight="1">
      <c r="A1907" s="39">
        <v>760</v>
      </c>
      <c r="B1907" s="40" t="s">
        <v>13952</v>
      </c>
      <c r="C1907" s="40" t="s">
        <v>13953</v>
      </c>
      <c r="D1907" s="40" t="s">
        <v>2227</v>
      </c>
      <c r="E1907" s="41">
        <v>3241.67</v>
      </c>
      <c r="F1907" s="40" t="s">
        <v>2227</v>
      </c>
      <c r="G1907" s="41">
        <v>3242.1325000000002</v>
      </c>
      <c r="H1907" s="40"/>
      <c r="I1907" s="41"/>
      <c r="J1907" s="41">
        <f t="shared" si="7"/>
        <v>3241.9012499999999</v>
      </c>
      <c r="K1907" s="42" t="s">
        <v>5796</v>
      </c>
      <c r="L1907" s="39">
        <v>760</v>
      </c>
    </row>
    <row r="1908" spans="1:12" ht="11.25" customHeight="1">
      <c r="A1908" s="39">
        <v>1403</v>
      </c>
      <c r="B1908" s="40" t="s">
        <v>13954</v>
      </c>
      <c r="C1908" s="40" t="s">
        <v>13955</v>
      </c>
      <c r="D1908" s="40" t="s">
        <v>3784</v>
      </c>
      <c r="E1908" s="41">
        <v>641.34</v>
      </c>
      <c r="F1908" s="40" t="s">
        <v>3784</v>
      </c>
      <c r="G1908" s="41">
        <v>640.87009999999998</v>
      </c>
      <c r="H1908" s="40"/>
      <c r="I1908" s="41"/>
      <c r="J1908" s="41">
        <f t="shared" si="7"/>
        <v>641.10505000000001</v>
      </c>
      <c r="K1908" s="42" t="s">
        <v>5796</v>
      </c>
      <c r="L1908" s="39">
        <v>1403</v>
      </c>
    </row>
    <row r="1909" spans="1:12" ht="11.25" customHeight="1">
      <c r="A1909" s="39">
        <v>1843</v>
      </c>
      <c r="B1909" s="40" t="s">
        <v>13956</v>
      </c>
      <c r="C1909" s="40" t="s">
        <v>13957</v>
      </c>
      <c r="D1909" s="40" t="s">
        <v>4528</v>
      </c>
      <c r="E1909" s="41">
        <v>254.28</v>
      </c>
      <c r="F1909" s="40" t="s">
        <v>4528</v>
      </c>
      <c r="G1909" s="41">
        <v>252.0437</v>
      </c>
      <c r="H1909" s="40"/>
      <c r="I1909" s="41"/>
      <c r="J1909" s="41">
        <f t="shared" si="7"/>
        <v>253.16185000000002</v>
      </c>
      <c r="K1909" s="42" t="s">
        <v>5796</v>
      </c>
      <c r="L1909" s="39">
        <v>1843</v>
      </c>
    </row>
    <row r="1910" spans="1:12" ht="11.25" customHeight="1">
      <c r="A1910" s="39">
        <v>1634</v>
      </c>
      <c r="B1910" s="40" t="s">
        <v>13958</v>
      </c>
      <c r="C1910" s="40" t="s">
        <v>13959</v>
      </c>
      <c r="D1910" s="40"/>
      <c r="E1910" s="41"/>
      <c r="F1910" s="40" t="s">
        <v>4219</v>
      </c>
      <c r="G1910" s="41">
        <v>380.48230000000001</v>
      </c>
      <c r="H1910" s="40"/>
      <c r="I1910" s="41"/>
      <c r="J1910" s="41">
        <f t="shared" si="7"/>
        <v>380.48230000000001</v>
      </c>
      <c r="K1910" s="42" t="s">
        <v>5796</v>
      </c>
      <c r="L1910" s="39">
        <v>1634</v>
      </c>
    </row>
    <row r="1911" spans="1:12" ht="11.25" customHeight="1">
      <c r="A1911" s="39">
        <v>1426</v>
      </c>
      <c r="B1911" s="40" t="s">
        <v>13960</v>
      </c>
      <c r="C1911" s="40" t="s">
        <v>13961</v>
      </c>
      <c r="D1911" s="40" t="s">
        <v>3826</v>
      </c>
      <c r="E1911" s="41">
        <v>611.99</v>
      </c>
      <c r="F1911" s="40" t="s">
        <v>3826</v>
      </c>
      <c r="G1911" s="41">
        <v>610.40229999999997</v>
      </c>
      <c r="H1911" s="40"/>
      <c r="I1911" s="41"/>
      <c r="J1911" s="41">
        <f t="shared" si="7"/>
        <v>611.19614999999999</v>
      </c>
      <c r="K1911" s="42" t="s">
        <v>5796</v>
      </c>
      <c r="L1911" s="39">
        <v>1426</v>
      </c>
    </row>
    <row r="1912" spans="1:12" ht="11.25" customHeight="1">
      <c r="A1912" s="39">
        <v>2059</v>
      </c>
      <c r="B1912" s="40" t="s">
        <v>13962</v>
      </c>
      <c r="C1912" s="40" t="s">
        <v>13963</v>
      </c>
      <c r="D1912" s="40" t="s">
        <v>4822</v>
      </c>
      <c r="E1912" s="41">
        <v>171.64</v>
      </c>
      <c r="F1912" s="40" t="s">
        <v>4822</v>
      </c>
      <c r="G1912" s="41">
        <v>171.36060000000001</v>
      </c>
      <c r="H1912" s="40"/>
      <c r="I1912" s="41"/>
      <c r="J1912" s="41">
        <f t="shared" si="7"/>
        <v>171.50029999999998</v>
      </c>
      <c r="K1912" s="42" t="s">
        <v>5796</v>
      </c>
      <c r="L1912" s="39">
        <v>2059</v>
      </c>
    </row>
    <row r="1913" spans="1:12" ht="11.25" customHeight="1">
      <c r="A1913" s="39">
        <v>1651</v>
      </c>
      <c r="B1913" s="40" t="s">
        <v>7057</v>
      </c>
      <c r="C1913" s="40" t="s">
        <v>13964</v>
      </c>
      <c r="D1913" s="40" t="s">
        <v>4243</v>
      </c>
      <c r="E1913" s="41">
        <v>367</v>
      </c>
      <c r="F1913" s="40" t="s">
        <v>4243</v>
      </c>
      <c r="G1913" s="41">
        <v>364.19319999999999</v>
      </c>
      <c r="H1913" s="40"/>
      <c r="I1913" s="41"/>
      <c r="J1913" s="41">
        <f t="shared" si="7"/>
        <v>365.59659999999997</v>
      </c>
      <c r="K1913" s="42" t="s">
        <v>5796</v>
      </c>
      <c r="L1913" s="39">
        <v>1651</v>
      </c>
    </row>
    <row r="1914" spans="1:12" ht="11.25" customHeight="1">
      <c r="A1914" s="39">
        <v>390</v>
      </c>
      <c r="B1914" s="40" t="s">
        <v>13965</v>
      </c>
      <c r="C1914" s="40" t="s">
        <v>13966</v>
      </c>
      <c r="D1914" s="40" t="s">
        <v>1175</v>
      </c>
      <c r="E1914" s="41">
        <v>10682.6</v>
      </c>
      <c r="F1914" s="40" t="s">
        <v>1175</v>
      </c>
      <c r="G1914" s="41">
        <v>10688.341899999999</v>
      </c>
      <c r="H1914" s="40"/>
      <c r="I1914" s="41"/>
      <c r="J1914" s="41">
        <f t="shared" si="7"/>
        <v>10685.470949999999</v>
      </c>
      <c r="K1914" s="42" t="s">
        <v>5796</v>
      </c>
      <c r="L1914" s="39">
        <v>390</v>
      </c>
    </row>
    <row r="1915" spans="1:12" ht="11.25" customHeight="1">
      <c r="A1915" s="39">
        <v>695</v>
      </c>
      <c r="B1915" s="40" t="s">
        <v>13967</v>
      </c>
      <c r="C1915" s="40" t="s">
        <v>13968</v>
      </c>
      <c r="D1915" s="40" t="s">
        <v>2039</v>
      </c>
      <c r="E1915" s="41">
        <v>3938.21</v>
      </c>
      <c r="F1915" s="40" t="s">
        <v>2039</v>
      </c>
      <c r="G1915" s="41">
        <v>3937.7963</v>
      </c>
      <c r="H1915" s="40"/>
      <c r="I1915" s="41"/>
      <c r="J1915" s="41">
        <f t="shared" si="7"/>
        <v>3938.00315</v>
      </c>
      <c r="K1915" s="42" t="s">
        <v>5796</v>
      </c>
      <c r="L1915" s="39">
        <v>695</v>
      </c>
    </row>
    <row r="1916" spans="1:12" ht="11.25" customHeight="1">
      <c r="A1916" s="39">
        <v>1993</v>
      </c>
      <c r="B1916" s="40" t="s">
        <v>13969</v>
      </c>
      <c r="C1916" s="40" t="s">
        <v>13970</v>
      </c>
      <c r="D1916" s="40" t="s">
        <v>4726</v>
      </c>
      <c r="E1916" s="41">
        <v>190.11</v>
      </c>
      <c r="F1916" s="40" t="s">
        <v>4726</v>
      </c>
      <c r="G1916" s="41">
        <v>190.678</v>
      </c>
      <c r="H1916" s="40"/>
      <c r="I1916" s="41"/>
      <c r="J1916" s="41">
        <f t="shared" si="7"/>
        <v>190.39400000000001</v>
      </c>
      <c r="K1916" s="42" t="s">
        <v>5796</v>
      </c>
      <c r="L1916" s="39">
        <v>1993</v>
      </c>
    </row>
    <row r="1917" spans="1:12" ht="11.25" customHeight="1">
      <c r="A1917" s="39">
        <v>348</v>
      </c>
      <c r="B1917" s="40" t="s">
        <v>13971</v>
      </c>
      <c r="C1917" s="40" t="s">
        <v>13972</v>
      </c>
      <c r="D1917" s="40" t="s">
        <v>13973</v>
      </c>
      <c r="E1917" s="41">
        <v>12620.85</v>
      </c>
      <c r="F1917" s="40" t="s">
        <v>13973</v>
      </c>
      <c r="G1917" s="41">
        <v>12683.0442</v>
      </c>
      <c r="H1917" s="40"/>
      <c r="I1917" s="41"/>
      <c r="J1917" s="41">
        <f t="shared" si="7"/>
        <v>12651.947100000001</v>
      </c>
      <c r="K1917" s="42" t="s">
        <v>5796</v>
      </c>
      <c r="L1917" s="39">
        <v>348</v>
      </c>
    </row>
    <row r="1918" spans="1:12" ht="11.25" customHeight="1">
      <c r="A1918" s="39">
        <v>829</v>
      </c>
      <c r="B1918" s="40" t="s">
        <v>13974</v>
      </c>
      <c r="C1918" s="40" t="s">
        <v>13975</v>
      </c>
      <c r="D1918" s="40" t="s">
        <v>2410</v>
      </c>
      <c r="E1918" s="41">
        <v>2648.74</v>
      </c>
      <c r="F1918" s="40" t="s">
        <v>2410</v>
      </c>
      <c r="G1918" s="41">
        <v>2650.7141999999999</v>
      </c>
      <c r="H1918" s="40"/>
      <c r="I1918" s="41"/>
      <c r="J1918" s="41">
        <f t="shared" si="7"/>
        <v>2649.7271000000001</v>
      </c>
      <c r="K1918" s="42" t="s">
        <v>5796</v>
      </c>
      <c r="L1918" s="39">
        <v>829</v>
      </c>
    </row>
    <row r="1919" spans="1:12" ht="11.25" customHeight="1">
      <c r="A1919" s="39">
        <v>332</v>
      </c>
      <c r="B1919" s="40" t="s">
        <v>1005</v>
      </c>
      <c r="C1919" s="40" t="s">
        <v>13976</v>
      </c>
      <c r="D1919" s="40" t="s">
        <v>1007</v>
      </c>
      <c r="E1919" s="41">
        <v>13974.18</v>
      </c>
      <c r="F1919" s="40" t="s">
        <v>1007</v>
      </c>
      <c r="G1919" s="41">
        <v>13981.909299999999</v>
      </c>
      <c r="H1919" s="40"/>
      <c r="I1919" s="41"/>
      <c r="J1919" s="41">
        <f t="shared" si="7"/>
        <v>13978.04465</v>
      </c>
      <c r="K1919" s="42" t="s">
        <v>5796</v>
      </c>
      <c r="L1919" s="39">
        <v>332</v>
      </c>
    </row>
    <row r="1920" spans="1:12" ht="11.25" customHeight="1">
      <c r="A1920" s="39">
        <v>2536</v>
      </c>
      <c r="B1920" s="40" t="s">
        <v>5329</v>
      </c>
      <c r="C1920" s="40" t="s">
        <v>13977</v>
      </c>
      <c r="D1920" s="40" t="s">
        <v>5331</v>
      </c>
      <c r="E1920" s="41">
        <v>75.739999999999995</v>
      </c>
      <c r="F1920" s="40" t="s">
        <v>5331</v>
      </c>
      <c r="G1920" s="41">
        <v>75.615499999999997</v>
      </c>
      <c r="H1920" s="40"/>
      <c r="I1920" s="41"/>
      <c r="J1920" s="41">
        <f t="shared" si="7"/>
        <v>75.677750000000003</v>
      </c>
      <c r="K1920" s="42" t="s">
        <v>5796</v>
      </c>
      <c r="L1920" s="39">
        <v>2536</v>
      </c>
    </row>
    <row r="1921" spans="1:12" ht="11.25" customHeight="1">
      <c r="A1921" s="39">
        <v>990</v>
      </c>
      <c r="B1921" s="40" t="s">
        <v>7062</v>
      </c>
      <c r="C1921" s="40" t="s">
        <v>13978</v>
      </c>
      <c r="D1921" s="40" t="s">
        <v>2836</v>
      </c>
      <c r="E1921" s="41">
        <v>1767.43</v>
      </c>
      <c r="F1921" s="40" t="s">
        <v>2836</v>
      </c>
      <c r="G1921" s="41">
        <v>1759.7485999999999</v>
      </c>
      <c r="H1921" s="40"/>
      <c r="I1921" s="41"/>
      <c r="J1921" s="41">
        <f t="shared" si="7"/>
        <v>1763.5893000000001</v>
      </c>
      <c r="K1921" s="42" t="s">
        <v>5796</v>
      </c>
      <c r="L1921" s="39">
        <v>990</v>
      </c>
    </row>
    <row r="1922" spans="1:12" ht="11.25" customHeight="1">
      <c r="A1922" s="39">
        <v>270</v>
      </c>
      <c r="B1922" s="40" t="s">
        <v>13979</v>
      </c>
      <c r="C1922" s="40" t="s">
        <v>13980</v>
      </c>
      <c r="D1922" s="40" t="s">
        <v>821</v>
      </c>
      <c r="E1922" s="41">
        <v>19543.95</v>
      </c>
      <c r="F1922" s="40" t="s">
        <v>821</v>
      </c>
      <c r="G1922" s="41">
        <v>19559.251899999999</v>
      </c>
      <c r="H1922" s="40"/>
      <c r="I1922" s="41"/>
      <c r="J1922" s="41">
        <f t="shared" si="7"/>
        <v>19551.60095</v>
      </c>
      <c r="K1922" s="42" t="s">
        <v>5796</v>
      </c>
      <c r="L1922" s="39">
        <v>270</v>
      </c>
    </row>
    <row r="1923" spans="1:12" ht="11.25" customHeight="1">
      <c r="A1923" s="39">
        <v>3187</v>
      </c>
      <c r="B1923" s="40" t="s">
        <v>13981</v>
      </c>
      <c r="C1923" s="40" t="s">
        <v>13982</v>
      </c>
      <c r="D1923" s="40" t="s">
        <v>5613</v>
      </c>
      <c r="E1923" s="41">
        <v>28.82</v>
      </c>
      <c r="F1923" s="40" t="s">
        <v>5613</v>
      </c>
      <c r="G1923" s="41">
        <v>28.626100000000001</v>
      </c>
      <c r="H1923" s="40"/>
      <c r="I1923" s="41"/>
      <c r="J1923" s="41">
        <f t="shared" si="7"/>
        <v>28.723050000000001</v>
      </c>
      <c r="K1923" s="42" t="s">
        <v>5796</v>
      </c>
      <c r="L1923" s="39">
        <v>3187</v>
      </c>
    </row>
    <row r="1924" spans="1:12" ht="11.25" customHeight="1">
      <c r="A1924" s="39">
        <v>1310</v>
      </c>
      <c r="B1924" s="40" t="s">
        <v>13983</v>
      </c>
      <c r="C1924" s="40" t="s">
        <v>13984</v>
      </c>
      <c r="D1924" s="40" t="s">
        <v>3598</v>
      </c>
      <c r="E1924" s="41">
        <v>808.99</v>
      </c>
      <c r="F1924" s="40" t="s">
        <v>3598</v>
      </c>
      <c r="G1924" s="41">
        <v>774.2998</v>
      </c>
      <c r="H1924" s="40"/>
      <c r="I1924" s="41"/>
      <c r="J1924" s="41">
        <f t="shared" si="7"/>
        <v>791.64490000000001</v>
      </c>
      <c r="K1924" s="42" t="s">
        <v>5796</v>
      </c>
      <c r="L1924" s="39">
        <v>1310</v>
      </c>
    </row>
    <row r="1925" spans="1:12" ht="11.25" customHeight="1">
      <c r="A1925" s="39">
        <v>1537</v>
      </c>
      <c r="B1925" s="40" t="s">
        <v>13985</v>
      </c>
      <c r="C1925" s="40" t="s">
        <v>13986</v>
      </c>
      <c r="D1925" s="40" t="s">
        <v>4030</v>
      </c>
      <c r="E1925" s="41">
        <v>469.48</v>
      </c>
      <c r="F1925" s="40" t="s">
        <v>4030</v>
      </c>
      <c r="G1925" s="41">
        <v>470.11930000000001</v>
      </c>
      <c r="H1925" s="40"/>
      <c r="I1925" s="41"/>
      <c r="J1925" s="41">
        <f t="shared" si="7"/>
        <v>469.79965000000004</v>
      </c>
      <c r="K1925" s="42" t="s">
        <v>5796</v>
      </c>
      <c r="L1925" s="39">
        <v>1537</v>
      </c>
    </row>
    <row r="1926" spans="1:12" ht="11.25" customHeight="1">
      <c r="A1926" s="39">
        <v>3044</v>
      </c>
      <c r="B1926" s="40" t="s">
        <v>13987</v>
      </c>
      <c r="C1926" s="40" t="s">
        <v>13988</v>
      </c>
      <c r="D1926" s="40" t="s">
        <v>5562</v>
      </c>
      <c r="E1926" s="41">
        <v>34.83</v>
      </c>
      <c r="F1926" s="40" t="s">
        <v>5562</v>
      </c>
      <c r="G1926" s="41">
        <v>36.011699999999998</v>
      </c>
      <c r="H1926" s="40"/>
      <c r="I1926" s="41"/>
      <c r="J1926" s="41">
        <f t="shared" si="7"/>
        <v>35.420850000000002</v>
      </c>
      <c r="K1926" s="42" t="s">
        <v>5796</v>
      </c>
      <c r="L1926" s="39">
        <v>3044</v>
      </c>
    </row>
    <row r="1927" spans="1:12" ht="11.25" customHeight="1">
      <c r="A1927" s="39">
        <v>2283</v>
      </c>
      <c r="B1927" s="40" t="s">
        <v>13989</v>
      </c>
      <c r="C1927" s="40" t="s">
        <v>13990</v>
      </c>
      <c r="D1927" s="40"/>
      <c r="E1927" s="41"/>
      <c r="F1927" s="40" t="s">
        <v>5110</v>
      </c>
      <c r="G1927" s="41">
        <v>114.845</v>
      </c>
      <c r="H1927" s="40"/>
      <c r="I1927" s="41"/>
      <c r="J1927" s="41">
        <f t="shared" si="7"/>
        <v>114.845</v>
      </c>
      <c r="K1927" s="42" t="s">
        <v>5796</v>
      </c>
      <c r="L1927" s="39">
        <v>2283</v>
      </c>
    </row>
    <row r="1928" spans="1:12" ht="11.25" customHeight="1">
      <c r="A1928" s="47">
        <v>28</v>
      </c>
      <c r="B1928" s="48" t="s">
        <v>13991</v>
      </c>
      <c r="C1928" s="48" t="s">
        <v>13992</v>
      </c>
      <c r="D1928" s="48" t="s">
        <v>92</v>
      </c>
      <c r="E1928" s="49">
        <v>216508.09</v>
      </c>
      <c r="F1928" s="48" t="s">
        <v>92</v>
      </c>
      <c r="G1928" s="49">
        <v>220061.47039999999</v>
      </c>
      <c r="H1928" s="48"/>
      <c r="I1928" s="49"/>
      <c r="J1928" s="49">
        <f t="shared" si="7"/>
        <v>218284.78019999998</v>
      </c>
      <c r="K1928" s="50" t="s">
        <v>5815</v>
      </c>
      <c r="L1928" s="47">
        <v>28</v>
      </c>
    </row>
    <row r="1929" spans="1:12" ht="11.25" customHeight="1">
      <c r="A1929" s="39">
        <v>696</v>
      </c>
      <c r="B1929" s="40" t="s">
        <v>13993</v>
      </c>
      <c r="C1929" s="40" t="s">
        <v>13994</v>
      </c>
      <c r="D1929" s="40" t="s">
        <v>2042</v>
      </c>
      <c r="E1929" s="41">
        <v>3923.71</v>
      </c>
      <c r="F1929" s="40" t="s">
        <v>2042</v>
      </c>
      <c r="G1929" s="41">
        <v>3923.5407</v>
      </c>
      <c r="H1929" s="40"/>
      <c r="I1929" s="41"/>
      <c r="J1929" s="41">
        <f t="shared" si="7"/>
        <v>3923.6253500000003</v>
      </c>
      <c r="K1929" s="42" t="s">
        <v>5796</v>
      </c>
      <c r="L1929" s="39">
        <v>696</v>
      </c>
    </row>
    <row r="1930" spans="1:12" ht="11.25" customHeight="1">
      <c r="A1930" s="39">
        <v>669</v>
      </c>
      <c r="B1930" s="40" t="s">
        <v>13995</v>
      </c>
      <c r="C1930" s="40" t="s">
        <v>13996</v>
      </c>
      <c r="D1930" s="40" t="s">
        <v>1964</v>
      </c>
      <c r="E1930" s="41">
        <v>4187.33</v>
      </c>
      <c r="F1930" s="40" t="s">
        <v>1964</v>
      </c>
      <c r="G1930" s="41">
        <v>4187.5547999999999</v>
      </c>
      <c r="H1930" s="40"/>
      <c r="I1930" s="41"/>
      <c r="J1930" s="41">
        <f t="shared" si="7"/>
        <v>4187.4423999999999</v>
      </c>
      <c r="K1930" s="42" t="s">
        <v>5796</v>
      </c>
      <c r="L1930" s="39">
        <v>669</v>
      </c>
    </row>
    <row r="1931" spans="1:12" ht="11.25" customHeight="1">
      <c r="A1931" s="39">
        <v>2068</v>
      </c>
      <c r="B1931" s="40" t="s">
        <v>13997</v>
      </c>
      <c r="C1931" s="40" t="s">
        <v>13998</v>
      </c>
      <c r="D1931" s="40"/>
      <c r="E1931" s="41"/>
      <c r="F1931" s="40" t="s">
        <v>4837</v>
      </c>
      <c r="G1931" s="41">
        <v>170.2867</v>
      </c>
      <c r="H1931" s="40"/>
      <c r="I1931" s="41"/>
      <c r="J1931" s="41">
        <f t="shared" si="7"/>
        <v>170.2867</v>
      </c>
      <c r="K1931" s="42" t="s">
        <v>5796</v>
      </c>
      <c r="L1931" s="39">
        <v>2068</v>
      </c>
    </row>
    <row r="1932" spans="1:12" ht="11.25" customHeight="1">
      <c r="A1932" s="39">
        <v>1515</v>
      </c>
      <c r="B1932" s="40" t="s">
        <v>13999</v>
      </c>
      <c r="C1932" s="40" t="s">
        <v>14000</v>
      </c>
      <c r="D1932" s="40" t="s">
        <v>14001</v>
      </c>
      <c r="E1932" s="41">
        <v>493.21</v>
      </c>
      <c r="F1932" s="40" t="s">
        <v>3994</v>
      </c>
      <c r="G1932" s="41">
        <v>486.2355</v>
      </c>
      <c r="H1932" s="40"/>
      <c r="I1932" s="41"/>
      <c r="J1932" s="41">
        <f t="shared" si="7"/>
        <v>489.72275000000002</v>
      </c>
      <c r="K1932" s="42" t="s">
        <v>5796</v>
      </c>
      <c r="L1932" s="39">
        <v>1515</v>
      </c>
    </row>
    <row r="1933" spans="1:12" ht="11.25" customHeight="1">
      <c r="A1933" s="39">
        <v>668</v>
      </c>
      <c r="B1933" s="40" t="s">
        <v>14002</v>
      </c>
      <c r="C1933" s="40" t="s">
        <v>14003</v>
      </c>
      <c r="D1933" s="40" t="s">
        <v>1961</v>
      </c>
      <c r="E1933" s="41">
        <v>4218.17</v>
      </c>
      <c r="F1933" s="40" t="s">
        <v>1961</v>
      </c>
      <c r="G1933" s="41">
        <v>4218.4798000000001</v>
      </c>
      <c r="H1933" s="40"/>
      <c r="I1933" s="41"/>
      <c r="J1933" s="41">
        <f t="shared" si="7"/>
        <v>4218.3248999999996</v>
      </c>
      <c r="K1933" s="42" t="s">
        <v>5796</v>
      </c>
      <c r="L1933" s="39">
        <v>668</v>
      </c>
    </row>
    <row r="1934" spans="1:12" ht="11.25" customHeight="1">
      <c r="A1934" s="39">
        <v>1177</v>
      </c>
      <c r="B1934" s="40" t="s">
        <v>14004</v>
      </c>
      <c r="C1934" s="40" t="s">
        <v>14005</v>
      </c>
      <c r="D1934" s="40" t="s">
        <v>3289</v>
      </c>
      <c r="E1934" s="41">
        <v>1091.3800000000001</v>
      </c>
      <c r="F1934" s="40" t="s">
        <v>3289</v>
      </c>
      <c r="G1934" s="41">
        <v>1091.5273</v>
      </c>
      <c r="H1934" s="40"/>
      <c r="I1934" s="41"/>
      <c r="J1934" s="41">
        <f t="shared" si="7"/>
        <v>1091.4536499999999</v>
      </c>
      <c r="K1934" s="42" t="s">
        <v>5796</v>
      </c>
      <c r="L1934" s="39">
        <v>1177</v>
      </c>
    </row>
    <row r="1935" spans="1:12" ht="11.25" customHeight="1">
      <c r="A1935" s="39">
        <v>2201</v>
      </c>
      <c r="B1935" s="40" t="s">
        <v>14006</v>
      </c>
      <c r="C1935" s="40" t="s">
        <v>14007</v>
      </c>
      <c r="D1935" s="40" t="s">
        <v>5020</v>
      </c>
      <c r="E1935" s="41">
        <v>131.79</v>
      </c>
      <c r="F1935" s="40" t="s">
        <v>5020</v>
      </c>
      <c r="G1935" s="41">
        <v>131.70769999999999</v>
      </c>
      <c r="H1935" s="40"/>
      <c r="I1935" s="41"/>
      <c r="J1935" s="41">
        <f t="shared" si="7"/>
        <v>131.74885</v>
      </c>
      <c r="K1935" s="42" t="s">
        <v>5796</v>
      </c>
      <c r="L1935" s="39">
        <v>2201</v>
      </c>
    </row>
    <row r="1936" spans="1:12" ht="11.25" customHeight="1">
      <c r="A1936" s="39">
        <v>976</v>
      </c>
      <c r="B1936" s="40" t="s">
        <v>14008</v>
      </c>
      <c r="C1936" s="40" t="s">
        <v>14009</v>
      </c>
      <c r="D1936" s="40" t="s">
        <v>2800</v>
      </c>
      <c r="E1936" s="41">
        <v>1717.94</v>
      </c>
      <c r="F1936" s="40" t="s">
        <v>2800</v>
      </c>
      <c r="G1936" s="41">
        <v>1905.2757999999999</v>
      </c>
      <c r="H1936" s="40"/>
      <c r="I1936" s="41"/>
      <c r="J1936" s="41">
        <f t="shared" si="7"/>
        <v>1811.6079</v>
      </c>
      <c r="K1936" s="42" t="s">
        <v>5796</v>
      </c>
      <c r="L1936" s="39">
        <v>976</v>
      </c>
    </row>
    <row r="1937" spans="1:12" ht="11.25" customHeight="1">
      <c r="A1937" s="39">
        <v>2306</v>
      </c>
      <c r="B1937" s="40" t="s">
        <v>14010</v>
      </c>
      <c r="C1937" s="40" t="s">
        <v>14011</v>
      </c>
      <c r="D1937" s="40" t="s">
        <v>5140</v>
      </c>
      <c r="E1937" s="41">
        <v>110.83</v>
      </c>
      <c r="F1937" s="40" t="s">
        <v>5140</v>
      </c>
      <c r="G1937" s="41">
        <v>110.27589999999999</v>
      </c>
      <c r="H1937" s="40"/>
      <c r="I1937" s="41"/>
      <c r="J1937" s="41">
        <f t="shared" si="7"/>
        <v>110.55295</v>
      </c>
      <c r="K1937" s="42" t="s">
        <v>5796</v>
      </c>
      <c r="L1937" s="39">
        <v>2306</v>
      </c>
    </row>
    <row r="1938" spans="1:12" ht="11.25" customHeight="1">
      <c r="A1938" s="39">
        <v>953</v>
      </c>
      <c r="B1938" s="40" t="s">
        <v>7118</v>
      </c>
      <c r="C1938" s="40" t="s">
        <v>14012</v>
      </c>
      <c r="D1938" s="40" t="s">
        <v>2740</v>
      </c>
      <c r="E1938" s="41">
        <v>1945.49</v>
      </c>
      <c r="F1938" s="40" t="s">
        <v>2740</v>
      </c>
      <c r="G1938" s="41">
        <v>1932.2321999999999</v>
      </c>
      <c r="H1938" s="40"/>
      <c r="I1938" s="41"/>
      <c r="J1938" s="41">
        <f t="shared" si="7"/>
        <v>1938.8611000000001</v>
      </c>
      <c r="K1938" s="42" t="s">
        <v>5796</v>
      </c>
      <c r="L1938" s="39">
        <v>953</v>
      </c>
    </row>
    <row r="1939" spans="1:12" ht="11.25" customHeight="1">
      <c r="A1939" s="39">
        <v>761</v>
      </c>
      <c r="B1939" s="40" t="s">
        <v>14013</v>
      </c>
      <c r="C1939" s="40" t="s">
        <v>14014</v>
      </c>
      <c r="D1939" s="40" t="s">
        <v>2230</v>
      </c>
      <c r="E1939" s="41">
        <v>3231.2</v>
      </c>
      <c r="F1939" s="40" t="s">
        <v>2230</v>
      </c>
      <c r="G1939" s="41">
        <v>3231.819</v>
      </c>
      <c r="H1939" s="40"/>
      <c r="I1939" s="41"/>
      <c r="J1939" s="41">
        <f t="shared" si="7"/>
        <v>3231.5095000000001</v>
      </c>
      <c r="K1939" s="42" t="s">
        <v>5796</v>
      </c>
      <c r="L1939" s="39">
        <v>761</v>
      </c>
    </row>
    <row r="1940" spans="1:12" ht="11.25" customHeight="1">
      <c r="A1940" s="39">
        <v>910</v>
      </c>
      <c r="B1940" s="40" t="s">
        <v>14015</v>
      </c>
      <c r="C1940" s="40" t="s">
        <v>14016</v>
      </c>
      <c r="D1940" s="40" t="s">
        <v>2638</v>
      </c>
      <c r="E1940" s="41">
        <v>2124.98</v>
      </c>
      <c r="F1940" s="40" t="s">
        <v>2638</v>
      </c>
      <c r="G1940" s="41">
        <v>2124.2467000000001</v>
      </c>
      <c r="H1940" s="40"/>
      <c r="I1940" s="41"/>
      <c r="J1940" s="41">
        <f t="shared" si="7"/>
        <v>2124.6133500000001</v>
      </c>
      <c r="K1940" s="42" t="s">
        <v>5796</v>
      </c>
      <c r="L1940" s="39">
        <v>910</v>
      </c>
    </row>
    <row r="1941" spans="1:12" ht="11.25" customHeight="1">
      <c r="A1941" s="43">
        <v>124</v>
      </c>
      <c r="B1941" s="44" t="s">
        <v>14017</v>
      </c>
      <c r="C1941" s="44" t="s">
        <v>14018</v>
      </c>
      <c r="D1941" s="44" t="s">
        <v>386</v>
      </c>
      <c r="E1941" s="45">
        <v>51896.13</v>
      </c>
      <c r="F1941" s="44" t="s">
        <v>386</v>
      </c>
      <c r="G1941" s="45">
        <v>51881.5527</v>
      </c>
      <c r="H1941" s="44"/>
      <c r="I1941" s="45"/>
      <c r="J1941" s="45">
        <f t="shared" si="7"/>
        <v>51888.841350000002</v>
      </c>
      <c r="K1941" s="46" t="s">
        <v>5800</v>
      </c>
      <c r="L1941" s="43">
        <v>124</v>
      </c>
    </row>
    <row r="1942" spans="1:12" ht="11.25" customHeight="1">
      <c r="A1942" s="39">
        <v>1273</v>
      </c>
      <c r="B1942" s="40" t="s">
        <v>14019</v>
      </c>
      <c r="C1942" s="40" t="s">
        <v>14020</v>
      </c>
      <c r="D1942" s="40" t="s">
        <v>3502</v>
      </c>
      <c r="E1942" s="41">
        <v>868.9</v>
      </c>
      <c r="F1942" s="40" t="s">
        <v>3502</v>
      </c>
      <c r="G1942" s="41">
        <v>858.14980000000003</v>
      </c>
      <c r="H1942" s="40"/>
      <c r="I1942" s="41"/>
      <c r="J1942" s="41">
        <f t="shared" si="7"/>
        <v>863.5249</v>
      </c>
      <c r="K1942" s="42" t="s">
        <v>5796</v>
      </c>
      <c r="L1942" s="39">
        <v>1273</v>
      </c>
    </row>
    <row r="1943" spans="1:12" ht="11.25" customHeight="1">
      <c r="A1943" s="39">
        <v>818</v>
      </c>
      <c r="B1943" s="40" t="s">
        <v>14021</v>
      </c>
      <c r="C1943" s="40" t="s">
        <v>14022</v>
      </c>
      <c r="D1943" s="40" t="s">
        <v>2377</v>
      </c>
      <c r="E1943" s="41">
        <v>2745.93</v>
      </c>
      <c r="F1943" s="40" t="s">
        <v>2377</v>
      </c>
      <c r="G1943" s="41">
        <v>2745.8559</v>
      </c>
      <c r="H1943" s="40"/>
      <c r="I1943" s="41"/>
      <c r="J1943" s="41">
        <f t="shared" si="7"/>
        <v>2745.8929499999999</v>
      </c>
      <c r="K1943" s="42" t="s">
        <v>5796</v>
      </c>
      <c r="L1943" s="39">
        <v>818</v>
      </c>
    </row>
    <row r="1944" spans="1:12" ht="11.25" customHeight="1">
      <c r="A1944" s="43">
        <v>231</v>
      </c>
      <c r="B1944" s="44" t="s">
        <v>14023</v>
      </c>
      <c r="C1944" s="44" t="s">
        <v>14024</v>
      </c>
      <c r="D1944" s="44" t="s">
        <v>704</v>
      </c>
      <c r="E1944" s="45">
        <v>24387.63</v>
      </c>
      <c r="F1944" s="44" t="s">
        <v>704</v>
      </c>
      <c r="G1944" s="45">
        <v>24391.577300000001</v>
      </c>
      <c r="H1944" s="44"/>
      <c r="I1944" s="45"/>
      <c r="J1944" s="45">
        <f t="shared" si="7"/>
        <v>24389.603650000001</v>
      </c>
      <c r="K1944" s="46" t="s">
        <v>5800</v>
      </c>
      <c r="L1944" s="43">
        <v>231</v>
      </c>
    </row>
    <row r="1945" spans="1:12" ht="11.25" customHeight="1">
      <c r="A1945" s="39">
        <v>2062</v>
      </c>
      <c r="B1945" s="40" t="s">
        <v>7076</v>
      </c>
      <c r="C1945" s="40" t="s">
        <v>14025</v>
      </c>
      <c r="D1945" s="40" t="s">
        <v>4825</v>
      </c>
      <c r="E1945" s="41">
        <v>174.71</v>
      </c>
      <c r="F1945" s="40" t="s">
        <v>4825</v>
      </c>
      <c r="G1945" s="41">
        <v>167.05680000000001</v>
      </c>
      <c r="H1945" s="40"/>
      <c r="I1945" s="41"/>
      <c r="J1945" s="41">
        <f t="shared" si="7"/>
        <v>170.88339999999999</v>
      </c>
      <c r="K1945" s="42" t="s">
        <v>5796</v>
      </c>
      <c r="L1945" s="39">
        <v>2062</v>
      </c>
    </row>
    <row r="1946" spans="1:12" ht="11.25" customHeight="1">
      <c r="A1946" s="39">
        <v>1290</v>
      </c>
      <c r="B1946" s="40" t="s">
        <v>14026</v>
      </c>
      <c r="C1946" s="40" t="s">
        <v>14027</v>
      </c>
      <c r="D1946" s="40" t="s">
        <v>3547</v>
      </c>
      <c r="E1946" s="41">
        <v>822.47</v>
      </c>
      <c r="F1946" s="40" t="s">
        <v>3547</v>
      </c>
      <c r="G1946" s="41">
        <v>822.06039999999996</v>
      </c>
      <c r="H1946" s="40"/>
      <c r="I1946" s="41"/>
      <c r="J1946" s="41">
        <f t="shared" si="7"/>
        <v>822.26520000000005</v>
      </c>
      <c r="K1946" s="42" t="s">
        <v>5796</v>
      </c>
      <c r="L1946" s="39">
        <v>1290</v>
      </c>
    </row>
    <row r="1947" spans="1:12" ht="11.25" customHeight="1">
      <c r="A1947" s="39">
        <v>2632</v>
      </c>
      <c r="B1947" s="40" t="s">
        <v>14028</v>
      </c>
      <c r="C1947" s="40" t="s">
        <v>14029</v>
      </c>
      <c r="D1947" s="40" t="s">
        <v>5397</v>
      </c>
      <c r="E1947" s="41">
        <v>64.709999999999994</v>
      </c>
      <c r="F1947" s="40" t="s">
        <v>5397</v>
      </c>
      <c r="G1947" s="41">
        <v>64.655799999999999</v>
      </c>
      <c r="H1947" s="40"/>
      <c r="I1947" s="41"/>
      <c r="J1947" s="41">
        <f t="shared" si="7"/>
        <v>64.682899999999989</v>
      </c>
      <c r="K1947" s="42" t="s">
        <v>5796</v>
      </c>
      <c r="L1947" s="39">
        <v>2632</v>
      </c>
    </row>
    <row r="1948" spans="1:12" ht="11.25" customHeight="1">
      <c r="A1948" s="39">
        <v>2580</v>
      </c>
      <c r="B1948" s="40" t="s">
        <v>14030</v>
      </c>
      <c r="C1948" s="40" t="s">
        <v>14031</v>
      </c>
      <c r="D1948" s="40" t="s">
        <v>5361</v>
      </c>
      <c r="E1948" s="41">
        <v>71.56</v>
      </c>
      <c r="F1948" s="40" t="s">
        <v>5361</v>
      </c>
      <c r="G1948" s="41">
        <v>71.272199999999998</v>
      </c>
      <c r="H1948" s="40"/>
      <c r="I1948" s="41"/>
      <c r="J1948" s="41">
        <f t="shared" si="7"/>
        <v>71.4161</v>
      </c>
      <c r="K1948" s="42" t="s">
        <v>5796</v>
      </c>
      <c r="L1948" s="39">
        <v>2580</v>
      </c>
    </row>
    <row r="1949" spans="1:12" ht="11.25" customHeight="1">
      <c r="A1949" s="39">
        <v>373</v>
      </c>
      <c r="B1949" s="40" t="s">
        <v>14032</v>
      </c>
      <c r="C1949" s="40" t="s">
        <v>14033</v>
      </c>
      <c r="D1949" s="40" t="s">
        <v>1127</v>
      </c>
      <c r="E1949" s="41">
        <v>11572.49</v>
      </c>
      <c r="F1949" s="40" t="s">
        <v>1127</v>
      </c>
      <c r="G1949" s="41">
        <v>11574.927</v>
      </c>
      <c r="H1949" s="40"/>
      <c r="I1949" s="41"/>
      <c r="J1949" s="41">
        <f t="shared" si="7"/>
        <v>11573.708500000001</v>
      </c>
      <c r="K1949" s="42" t="s">
        <v>5796</v>
      </c>
      <c r="L1949" s="39">
        <v>373</v>
      </c>
    </row>
    <row r="1950" spans="1:12" ht="11.25" customHeight="1">
      <c r="A1950" s="39">
        <v>571</v>
      </c>
      <c r="B1950" s="40" t="s">
        <v>14034</v>
      </c>
      <c r="C1950" s="40" t="s">
        <v>14035</v>
      </c>
      <c r="D1950" s="40" t="s">
        <v>1694</v>
      </c>
      <c r="E1950" s="41">
        <v>6032.18</v>
      </c>
      <c r="F1950" s="40" t="s">
        <v>1694</v>
      </c>
      <c r="G1950" s="41">
        <v>6013.7407999999996</v>
      </c>
      <c r="H1950" s="40"/>
      <c r="I1950" s="41"/>
      <c r="J1950" s="41">
        <f t="shared" si="7"/>
        <v>6022.9603999999999</v>
      </c>
      <c r="K1950" s="42" t="s">
        <v>5796</v>
      </c>
      <c r="L1950" s="39">
        <v>571</v>
      </c>
    </row>
    <row r="1951" spans="1:12" ht="11.25" customHeight="1">
      <c r="A1951" s="43">
        <v>212</v>
      </c>
      <c r="B1951" s="44" t="s">
        <v>14036</v>
      </c>
      <c r="C1951" s="44" t="s">
        <v>14037</v>
      </c>
      <c r="D1951" s="44" t="s">
        <v>647</v>
      </c>
      <c r="E1951" s="45">
        <v>27896.37</v>
      </c>
      <c r="F1951" s="44" t="s">
        <v>647</v>
      </c>
      <c r="G1951" s="45">
        <v>27918.826700000001</v>
      </c>
      <c r="H1951" s="44"/>
      <c r="I1951" s="45"/>
      <c r="J1951" s="45">
        <f t="shared" si="7"/>
        <v>27907.59835</v>
      </c>
      <c r="K1951" s="46" t="s">
        <v>5800</v>
      </c>
      <c r="L1951" s="43">
        <v>212</v>
      </c>
    </row>
    <row r="1952" spans="1:12" ht="11.25" customHeight="1">
      <c r="A1952" s="39">
        <v>1441</v>
      </c>
      <c r="B1952" s="40" t="s">
        <v>14038</v>
      </c>
      <c r="C1952" s="40" t="s">
        <v>14039</v>
      </c>
      <c r="D1952" s="40" t="s">
        <v>3847</v>
      </c>
      <c r="E1952" s="41">
        <v>581.28</v>
      </c>
      <c r="F1952" s="40" t="s">
        <v>3847</v>
      </c>
      <c r="G1952" s="41">
        <v>581.13589999999999</v>
      </c>
      <c r="H1952" s="40"/>
      <c r="I1952" s="41"/>
      <c r="J1952" s="41">
        <f t="shared" si="7"/>
        <v>581.20794999999998</v>
      </c>
      <c r="K1952" s="42" t="s">
        <v>5796</v>
      </c>
      <c r="L1952" s="39">
        <v>1441</v>
      </c>
    </row>
    <row r="1953" spans="1:12" ht="11.25" customHeight="1">
      <c r="A1953" s="39">
        <v>1944</v>
      </c>
      <c r="B1953" s="40" t="s">
        <v>14040</v>
      </c>
      <c r="C1953" s="40" t="s">
        <v>14041</v>
      </c>
      <c r="D1953" s="40" t="s">
        <v>4654</v>
      </c>
      <c r="E1953" s="41">
        <v>205.05</v>
      </c>
      <c r="F1953" s="40" t="s">
        <v>4654</v>
      </c>
      <c r="G1953" s="41">
        <v>204.78790000000001</v>
      </c>
      <c r="H1953" s="40"/>
      <c r="I1953" s="41"/>
      <c r="J1953" s="41">
        <f t="shared" si="7"/>
        <v>204.91895</v>
      </c>
      <c r="K1953" s="42" t="s">
        <v>5796</v>
      </c>
      <c r="L1953" s="39">
        <v>1944</v>
      </c>
    </row>
    <row r="1954" spans="1:12" ht="11.25" customHeight="1">
      <c r="A1954" s="39">
        <v>1724</v>
      </c>
      <c r="B1954" s="40" t="s">
        <v>14042</v>
      </c>
      <c r="C1954" s="40" t="s">
        <v>14043</v>
      </c>
      <c r="D1954" s="40" t="s">
        <v>4369</v>
      </c>
      <c r="E1954" s="41">
        <v>318.14</v>
      </c>
      <c r="F1954" s="40" t="s">
        <v>4369</v>
      </c>
      <c r="G1954" s="41">
        <v>318.1096</v>
      </c>
      <c r="H1954" s="40"/>
      <c r="I1954" s="41"/>
      <c r="J1954" s="41">
        <f t="shared" si="7"/>
        <v>318.12479999999999</v>
      </c>
      <c r="K1954" s="42" t="s">
        <v>5796</v>
      </c>
      <c r="L1954" s="39">
        <v>1724</v>
      </c>
    </row>
    <row r="1955" spans="1:12" ht="11.25" customHeight="1">
      <c r="A1955" s="47">
        <v>68</v>
      </c>
      <c r="B1955" s="48" t="s">
        <v>14044</v>
      </c>
      <c r="C1955" s="48" t="s">
        <v>14045</v>
      </c>
      <c r="D1955" s="48" t="s">
        <v>218</v>
      </c>
      <c r="E1955" s="49">
        <v>89010.26</v>
      </c>
      <c r="F1955" s="48" t="s">
        <v>218</v>
      </c>
      <c r="G1955" s="49">
        <v>88583.260999999999</v>
      </c>
      <c r="H1955" s="48"/>
      <c r="I1955" s="49"/>
      <c r="J1955" s="49">
        <f t="shared" si="7"/>
        <v>88796.760500000004</v>
      </c>
      <c r="K1955" s="50" t="s">
        <v>5815</v>
      </c>
      <c r="L1955" s="47">
        <v>68</v>
      </c>
    </row>
    <row r="1956" spans="1:12" ht="11.25" customHeight="1">
      <c r="A1956" s="39">
        <v>1179</v>
      </c>
      <c r="B1956" s="40" t="s">
        <v>14046</v>
      </c>
      <c r="C1956" s="40" t="s">
        <v>14047</v>
      </c>
      <c r="D1956" s="40"/>
      <c r="E1956" s="41"/>
      <c r="F1956" s="40" t="s">
        <v>3295</v>
      </c>
      <c r="G1956" s="41">
        <v>1084.7447</v>
      </c>
      <c r="H1956" s="40"/>
      <c r="I1956" s="41"/>
      <c r="J1956" s="41">
        <f t="shared" si="7"/>
        <v>1084.7447</v>
      </c>
      <c r="K1956" s="42" t="s">
        <v>5796</v>
      </c>
      <c r="L1956" s="39">
        <v>1179</v>
      </c>
    </row>
    <row r="1957" spans="1:12" ht="11.25" customHeight="1">
      <c r="A1957" s="39">
        <v>1373</v>
      </c>
      <c r="B1957" s="40" t="s">
        <v>7084</v>
      </c>
      <c r="C1957" s="40" t="s">
        <v>14048</v>
      </c>
      <c r="D1957" s="40" t="s">
        <v>3712</v>
      </c>
      <c r="E1957" s="41">
        <v>678.61</v>
      </c>
      <c r="F1957" s="40" t="s">
        <v>3712</v>
      </c>
      <c r="G1957" s="41">
        <v>678.60249999999996</v>
      </c>
      <c r="H1957" s="40"/>
      <c r="I1957" s="41"/>
      <c r="J1957" s="41">
        <f t="shared" si="7"/>
        <v>678.60625000000005</v>
      </c>
      <c r="K1957" s="42" t="s">
        <v>5796</v>
      </c>
      <c r="L1957" s="39">
        <v>1373</v>
      </c>
    </row>
    <row r="1958" spans="1:12" ht="11.25" customHeight="1">
      <c r="A1958" s="39">
        <v>1542</v>
      </c>
      <c r="B1958" s="40" t="s">
        <v>4043</v>
      </c>
      <c r="C1958" s="40" t="s">
        <v>14049</v>
      </c>
      <c r="D1958" s="40" t="s">
        <v>4045</v>
      </c>
      <c r="E1958" s="41">
        <v>464.42</v>
      </c>
      <c r="F1958" s="40" t="s">
        <v>4045</v>
      </c>
      <c r="G1958" s="41">
        <v>464.43639999999999</v>
      </c>
      <c r="H1958" s="40"/>
      <c r="I1958" s="41"/>
      <c r="J1958" s="41">
        <f t="shared" si="7"/>
        <v>464.4282</v>
      </c>
      <c r="K1958" s="42" t="s">
        <v>5796</v>
      </c>
      <c r="L1958" s="39">
        <v>1542</v>
      </c>
    </row>
    <row r="1959" spans="1:12" ht="11.25" customHeight="1">
      <c r="A1959" s="43">
        <v>104</v>
      </c>
      <c r="B1959" s="44" t="s">
        <v>14050</v>
      </c>
      <c r="C1959" s="44" t="s">
        <v>14051</v>
      </c>
      <c r="D1959" s="44" t="s">
        <v>326</v>
      </c>
      <c r="E1959" s="45">
        <v>63038.81</v>
      </c>
      <c r="F1959" s="44" t="s">
        <v>326</v>
      </c>
      <c r="G1959" s="45">
        <v>63059.950499999999</v>
      </c>
      <c r="H1959" s="44"/>
      <c r="I1959" s="45"/>
      <c r="J1959" s="45">
        <f t="shared" si="7"/>
        <v>63049.380250000002</v>
      </c>
      <c r="K1959" s="46" t="s">
        <v>5800</v>
      </c>
      <c r="L1959" s="43">
        <v>104</v>
      </c>
    </row>
    <row r="1960" spans="1:12" ht="11.25" customHeight="1">
      <c r="A1960" s="39">
        <v>410</v>
      </c>
      <c r="B1960" s="40" t="s">
        <v>14052</v>
      </c>
      <c r="C1960" s="40" t="s">
        <v>14053</v>
      </c>
      <c r="D1960" s="40" t="s">
        <v>1235</v>
      </c>
      <c r="E1960" s="41">
        <v>9857.1</v>
      </c>
      <c r="F1960" s="40" t="s">
        <v>1235</v>
      </c>
      <c r="G1960" s="41">
        <v>9857.4503999999997</v>
      </c>
      <c r="H1960" s="40"/>
      <c r="I1960" s="41"/>
      <c r="J1960" s="41">
        <f t="shared" si="7"/>
        <v>9857.2752</v>
      </c>
      <c r="K1960" s="42" t="s">
        <v>5796</v>
      </c>
      <c r="L1960" s="39">
        <v>410</v>
      </c>
    </row>
    <row r="1961" spans="1:12" ht="11.25" customHeight="1">
      <c r="A1961" s="43">
        <v>131</v>
      </c>
      <c r="B1961" s="44" t="s">
        <v>14054</v>
      </c>
      <c r="C1961" s="44" t="s">
        <v>14055</v>
      </c>
      <c r="D1961" s="44" t="s">
        <v>212</v>
      </c>
      <c r="E1961" s="45">
        <v>49208.08</v>
      </c>
      <c r="F1961" s="44"/>
      <c r="G1961" s="45"/>
      <c r="H1961" s="44"/>
      <c r="I1961" s="45"/>
      <c r="J1961" s="45">
        <f t="shared" si="7"/>
        <v>49208.08</v>
      </c>
      <c r="K1961" s="46" t="s">
        <v>5800</v>
      </c>
      <c r="L1961" s="43">
        <v>131</v>
      </c>
    </row>
    <row r="1962" spans="1:12" ht="11.25" customHeight="1">
      <c r="A1962" s="43">
        <v>242</v>
      </c>
      <c r="B1962" s="44" t="s">
        <v>14056</v>
      </c>
      <c r="C1962" s="44" t="s">
        <v>14057</v>
      </c>
      <c r="D1962" s="44" t="s">
        <v>779</v>
      </c>
      <c r="E1962" s="45">
        <v>22770.17</v>
      </c>
      <c r="F1962" s="44"/>
      <c r="G1962" s="45"/>
      <c r="H1962" s="44"/>
      <c r="I1962" s="45"/>
      <c r="J1962" s="45">
        <f t="shared" si="7"/>
        <v>22770.17</v>
      </c>
      <c r="K1962" s="46" t="s">
        <v>5800</v>
      </c>
      <c r="L1962" s="43">
        <v>242</v>
      </c>
    </row>
    <row r="1963" spans="1:12" ht="11.25" customHeight="1">
      <c r="A1963" s="39">
        <v>381</v>
      </c>
      <c r="B1963" s="40" t="s">
        <v>14058</v>
      </c>
      <c r="C1963" s="40" t="s">
        <v>14059</v>
      </c>
      <c r="D1963" s="40" t="s">
        <v>4609</v>
      </c>
      <c r="E1963" s="41">
        <v>11133.68</v>
      </c>
      <c r="F1963" s="40"/>
      <c r="G1963" s="41"/>
      <c r="H1963" s="40"/>
      <c r="I1963" s="41"/>
      <c r="J1963" s="41">
        <f t="shared" si="7"/>
        <v>11133.68</v>
      </c>
      <c r="K1963" s="42" t="s">
        <v>5796</v>
      </c>
      <c r="L1963" s="39">
        <v>381</v>
      </c>
    </row>
    <row r="1964" spans="1:12" ht="11.25" customHeight="1">
      <c r="A1964" s="39">
        <v>404</v>
      </c>
      <c r="B1964" s="40" t="s">
        <v>14060</v>
      </c>
      <c r="C1964" s="40" t="s">
        <v>14061</v>
      </c>
      <c r="D1964" s="40" t="s">
        <v>14062</v>
      </c>
      <c r="E1964" s="41">
        <v>10040.799999999999</v>
      </c>
      <c r="F1964" s="40"/>
      <c r="G1964" s="41"/>
      <c r="H1964" s="40"/>
      <c r="I1964" s="41"/>
      <c r="J1964" s="41">
        <f t="shared" si="7"/>
        <v>10040.799999999999</v>
      </c>
      <c r="K1964" s="42" t="s">
        <v>5796</v>
      </c>
      <c r="L1964" s="39">
        <v>404</v>
      </c>
    </row>
    <row r="1965" spans="1:12" ht="11.25" customHeight="1">
      <c r="A1965" s="39">
        <v>411</v>
      </c>
      <c r="B1965" s="40" t="s">
        <v>14063</v>
      </c>
      <c r="C1965" s="40" t="s">
        <v>14064</v>
      </c>
      <c r="D1965" s="40" t="s">
        <v>14065</v>
      </c>
      <c r="E1965" s="41">
        <v>9837.5400000000009</v>
      </c>
      <c r="F1965" s="40"/>
      <c r="G1965" s="41"/>
      <c r="H1965" s="40"/>
      <c r="I1965" s="41"/>
      <c r="J1965" s="41">
        <f t="shared" si="7"/>
        <v>9837.5400000000009</v>
      </c>
      <c r="K1965" s="42" t="s">
        <v>5796</v>
      </c>
      <c r="L1965" s="39">
        <v>411</v>
      </c>
    </row>
    <row r="1966" spans="1:12" ht="11.25" customHeight="1">
      <c r="A1966" s="39">
        <v>429</v>
      </c>
      <c r="B1966" s="40" t="s">
        <v>14066</v>
      </c>
      <c r="C1966" s="40" t="s">
        <v>14067</v>
      </c>
      <c r="D1966" s="40" t="s">
        <v>14068</v>
      </c>
      <c r="E1966" s="41">
        <v>9441.6200000000008</v>
      </c>
      <c r="F1966" s="40"/>
      <c r="G1966" s="41"/>
      <c r="H1966" s="40"/>
      <c r="I1966" s="41"/>
      <c r="J1966" s="41">
        <f t="shared" si="7"/>
        <v>9441.6200000000008</v>
      </c>
      <c r="K1966" s="42" t="s">
        <v>5796</v>
      </c>
      <c r="L1966" s="39">
        <v>429</v>
      </c>
    </row>
    <row r="1967" spans="1:12" ht="11.25" customHeight="1">
      <c r="A1967" s="39">
        <v>441</v>
      </c>
      <c r="B1967" s="40" t="s">
        <v>14069</v>
      </c>
      <c r="C1967" s="40" t="s">
        <v>14070</v>
      </c>
      <c r="D1967" s="40" t="s">
        <v>14071</v>
      </c>
      <c r="E1967" s="41">
        <v>9082.86</v>
      </c>
      <c r="F1967" s="40"/>
      <c r="G1967" s="41"/>
      <c r="H1967" s="40"/>
      <c r="I1967" s="41"/>
      <c r="J1967" s="41">
        <f t="shared" si="7"/>
        <v>9082.86</v>
      </c>
      <c r="K1967" s="42" t="s">
        <v>5796</v>
      </c>
      <c r="L1967" s="39">
        <v>441</v>
      </c>
    </row>
    <row r="1968" spans="1:12" ht="11.25" customHeight="1">
      <c r="A1968" s="39">
        <v>525</v>
      </c>
      <c r="B1968" s="40" t="s">
        <v>14072</v>
      </c>
      <c r="C1968" s="40" t="s">
        <v>14073</v>
      </c>
      <c r="D1968" s="40" t="s">
        <v>14074</v>
      </c>
      <c r="E1968" s="41">
        <v>6974.26</v>
      </c>
      <c r="F1968" s="40"/>
      <c r="G1968" s="41"/>
      <c r="H1968" s="40"/>
      <c r="I1968" s="41"/>
      <c r="J1968" s="41">
        <f t="shared" si="7"/>
        <v>6974.26</v>
      </c>
      <c r="K1968" s="42" t="s">
        <v>5796</v>
      </c>
      <c r="L1968" s="39">
        <v>525</v>
      </c>
    </row>
    <row r="1969" spans="1:12" ht="11.25" customHeight="1">
      <c r="A1969" s="39">
        <v>528</v>
      </c>
      <c r="B1969" s="40" t="s">
        <v>14075</v>
      </c>
      <c r="C1969" s="40" t="s">
        <v>14076</v>
      </c>
      <c r="D1969" s="40" t="s">
        <v>14077</v>
      </c>
      <c r="E1969" s="41">
        <v>6861.15</v>
      </c>
      <c r="F1969" s="40"/>
      <c r="G1969" s="41"/>
      <c r="H1969" s="40"/>
      <c r="I1969" s="41"/>
      <c r="J1969" s="41">
        <f t="shared" si="7"/>
        <v>6861.15</v>
      </c>
      <c r="K1969" s="42" t="s">
        <v>5796</v>
      </c>
      <c r="L1969" s="39">
        <v>528</v>
      </c>
    </row>
    <row r="1970" spans="1:12" ht="11.25" customHeight="1">
      <c r="A1970" s="39">
        <v>578</v>
      </c>
      <c r="B1970" s="40" t="s">
        <v>14078</v>
      </c>
      <c r="C1970" s="40" t="s">
        <v>14079</v>
      </c>
      <c r="D1970" s="40" t="s">
        <v>14080</v>
      </c>
      <c r="E1970" s="41">
        <v>5870.42</v>
      </c>
      <c r="F1970" s="40"/>
      <c r="G1970" s="41"/>
      <c r="H1970" s="40"/>
      <c r="I1970" s="41"/>
      <c r="J1970" s="41">
        <f t="shared" si="7"/>
        <v>5870.42</v>
      </c>
      <c r="K1970" s="42" t="s">
        <v>5796</v>
      </c>
      <c r="L1970" s="39">
        <v>578</v>
      </c>
    </row>
    <row r="1971" spans="1:12" ht="11.25" customHeight="1">
      <c r="A1971" s="39">
        <v>587</v>
      </c>
      <c r="B1971" s="40" t="s">
        <v>14081</v>
      </c>
      <c r="C1971" s="40" t="s">
        <v>14082</v>
      </c>
      <c r="D1971" s="40" t="s">
        <v>14083</v>
      </c>
      <c r="E1971" s="41">
        <v>5654.05</v>
      </c>
      <c r="F1971" s="40"/>
      <c r="G1971" s="41"/>
      <c r="H1971" s="40"/>
      <c r="I1971" s="41"/>
      <c r="J1971" s="41">
        <f t="shared" si="7"/>
        <v>5654.05</v>
      </c>
      <c r="K1971" s="42" t="s">
        <v>5796</v>
      </c>
      <c r="L1971" s="39">
        <v>587</v>
      </c>
    </row>
    <row r="1972" spans="1:12" ht="11.25" customHeight="1">
      <c r="A1972" s="39">
        <v>636</v>
      </c>
      <c r="B1972" s="40" t="s">
        <v>7115</v>
      </c>
      <c r="C1972" s="40" t="s">
        <v>14084</v>
      </c>
      <c r="D1972" s="40" t="s">
        <v>14085</v>
      </c>
      <c r="E1972" s="41">
        <v>4694.72</v>
      </c>
      <c r="F1972" s="40"/>
      <c r="G1972" s="41"/>
      <c r="H1972" s="40"/>
      <c r="I1972" s="41"/>
      <c r="J1972" s="41">
        <f t="shared" si="7"/>
        <v>4694.72</v>
      </c>
      <c r="K1972" s="42" t="s">
        <v>5796</v>
      </c>
      <c r="L1972" s="39">
        <v>636</v>
      </c>
    </row>
    <row r="1973" spans="1:12" ht="11.25" customHeight="1">
      <c r="A1973" s="39">
        <v>640</v>
      </c>
      <c r="B1973" s="40" t="s">
        <v>14086</v>
      </c>
      <c r="C1973" s="40" t="s">
        <v>14087</v>
      </c>
      <c r="D1973" s="40" t="s">
        <v>14088</v>
      </c>
      <c r="E1973" s="41">
        <v>4627.6499999999996</v>
      </c>
      <c r="F1973" s="40"/>
      <c r="G1973" s="41"/>
      <c r="H1973" s="40"/>
      <c r="I1973" s="41"/>
      <c r="J1973" s="41">
        <f t="shared" si="7"/>
        <v>4627.6499999999996</v>
      </c>
      <c r="K1973" s="42" t="s">
        <v>5796</v>
      </c>
      <c r="L1973" s="39">
        <v>640</v>
      </c>
    </row>
    <row r="1974" spans="1:12" ht="11.25" customHeight="1">
      <c r="A1974" s="39">
        <v>641</v>
      </c>
      <c r="B1974" s="52" t="s">
        <v>7096</v>
      </c>
      <c r="C1974" s="52" t="s">
        <v>14089</v>
      </c>
      <c r="D1974" s="40"/>
      <c r="E1974" s="41"/>
      <c r="F1974" s="40"/>
      <c r="G1974" s="41"/>
      <c r="H1974" s="52" t="s">
        <v>14090</v>
      </c>
      <c r="I1974" s="53">
        <v>4538.5045725302389</v>
      </c>
      <c r="J1974" s="41">
        <f t="shared" si="7"/>
        <v>4538.5045725302389</v>
      </c>
      <c r="K1974" s="42" t="s">
        <v>5796</v>
      </c>
      <c r="L1974" s="39">
        <v>641</v>
      </c>
    </row>
    <row r="1975" spans="1:12" ht="11.25" customHeight="1">
      <c r="A1975" s="39">
        <v>643</v>
      </c>
      <c r="B1975" s="40" t="s">
        <v>14091</v>
      </c>
      <c r="C1975" s="40" t="s">
        <v>14092</v>
      </c>
      <c r="D1975" s="40" t="s">
        <v>14093</v>
      </c>
      <c r="E1975" s="41">
        <v>4535.4399999999996</v>
      </c>
      <c r="F1975" s="40"/>
      <c r="G1975" s="41"/>
      <c r="H1975" s="40"/>
      <c r="I1975" s="41"/>
      <c r="J1975" s="41">
        <f t="shared" si="7"/>
        <v>4535.4399999999996</v>
      </c>
      <c r="K1975" s="42" t="s">
        <v>5796</v>
      </c>
      <c r="L1975" s="39">
        <v>643</v>
      </c>
    </row>
    <row r="1976" spans="1:12" ht="11.25" customHeight="1">
      <c r="A1976" s="39">
        <v>653</v>
      </c>
      <c r="B1976" s="40" t="s">
        <v>14094</v>
      </c>
      <c r="C1976" s="40" t="s">
        <v>14095</v>
      </c>
      <c r="D1976" s="40" t="s">
        <v>14096</v>
      </c>
      <c r="E1976" s="41">
        <v>4414.4399999999996</v>
      </c>
      <c r="F1976" s="40"/>
      <c r="G1976" s="41"/>
      <c r="H1976" s="40"/>
      <c r="I1976" s="41"/>
      <c r="J1976" s="41">
        <f t="shared" si="7"/>
        <v>4414.4399999999996</v>
      </c>
      <c r="K1976" s="42" t="s">
        <v>5796</v>
      </c>
      <c r="L1976" s="39">
        <v>653</v>
      </c>
    </row>
    <row r="1977" spans="1:12" ht="11.25" customHeight="1">
      <c r="A1977" s="39">
        <v>710</v>
      </c>
      <c r="B1977" s="40" t="s">
        <v>14097</v>
      </c>
      <c r="C1977" s="40" t="s">
        <v>14098</v>
      </c>
      <c r="D1977" s="40" t="s">
        <v>14099</v>
      </c>
      <c r="E1977" s="41">
        <v>3717.01</v>
      </c>
      <c r="F1977" s="40"/>
      <c r="G1977" s="41"/>
      <c r="H1977" s="40"/>
      <c r="I1977" s="41"/>
      <c r="J1977" s="41">
        <f t="shared" si="7"/>
        <v>3717.01</v>
      </c>
      <c r="K1977" s="42" t="s">
        <v>5796</v>
      </c>
      <c r="L1977" s="39">
        <v>710</v>
      </c>
    </row>
    <row r="1978" spans="1:12" ht="11.25" customHeight="1">
      <c r="A1978" s="39">
        <v>711</v>
      </c>
      <c r="B1978" s="40" t="s">
        <v>14100</v>
      </c>
      <c r="C1978" s="40" t="s">
        <v>14101</v>
      </c>
      <c r="D1978" s="40" t="s">
        <v>14102</v>
      </c>
      <c r="E1978" s="41">
        <v>3690.32</v>
      </c>
      <c r="F1978" s="40"/>
      <c r="G1978" s="41"/>
      <c r="H1978" s="40"/>
      <c r="I1978" s="41"/>
      <c r="J1978" s="41">
        <f t="shared" si="7"/>
        <v>3690.32</v>
      </c>
      <c r="K1978" s="42" t="s">
        <v>5796</v>
      </c>
      <c r="L1978" s="39">
        <v>711</v>
      </c>
    </row>
    <row r="1979" spans="1:12" ht="11.25" customHeight="1">
      <c r="A1979" s="39">
        <v>768</v>
      </c>
      <c r="B1979" s="40" t="s">
        <v>14103</v>
      </c>
      <c r="C1979" s="40" t="s">
        <v>14104</v>
      </c>
      <c r="D1979" s="40" t="s">
        <v>14105</v>
      </c>
      <c r="E1979" s="41">
        <v>3140.91</v>
      </c>
      <c r="F1979" s="40"/>
      <c r="G1979" s="41"/>
      <c r="H1979" s="40"/>
      <c r="I1979" s="41"/>
      <c r="J1979" s="41">
        <f t="shared" si="7"/>
        <v>3140.91</v>
      </c>
      <c r="K1979" s="42" t="s">
        <v>5796</v>
      </c>
      <c r="L1979" s="39">
        <v>768</v>
      </c>
    </row>
    <row r="1980" spans="1:12" ht="11.25" customHeight="1">
      <c r="A1980" s="39">
        <v>778</v>
      </c>
      <c r="B1980" s="40" t="s">
        <v>14106</v>
      </c>
      <c r="C1980" s="40" t="s">
        <v>14107</v>
      </c>
      <c r="D1980" s="40" t="s">
        <v>14108</v>
      </c>
      <c r="E1980" s="41">
        <v>3059.72</v>
      </c>
      <c r="F1980" s="40"/>
      <c r="G1980" s="41"/>
      <c r="H1980" s="40"/>
      <c r="I1980" s="41"/>
      <c r="J1980" s="41">
        <f t="shared" si="7"/>
        <v>3059.72</v>
      </c>
      <c r="K1980" s="42" t="s">
        <v>5796</v>
      </c>
      <c r="L1980" s="39">
        <v>778</v>
      </c>
    </row>
    <row r="1981" spans="1:12" ht="11.25" customHeight="1">
      <c r="A1981" s="39">
        <v>781</v>
      </c>
      <c r="B1981" s="40" t="s">
        <v>14109</v>
      </c>
      <c r="C1981" s="40" t="s">
        <v>14110</v>
      </c>
      <c r="D1981" s="40" t="s">
        <v>14111</v>
      </c>
      <c r="E1981" s="41">
        <v>3048.25</v>
      </c>
      <c r="F1981" s="40"/>
      <c r="G1981" s="41"/>
      <c r="H1981" s="40"/>
      <c r="I1981" s="41"/>
      <c r="J1981" s="41">
        <f t="shared" si="7"/>
        <v>3048.25</v>
      </c>
      <c r="K1981" s="42" t="s">
        <v>5796</v>
      </c>
      <c r="L1981" s="39">
        <v>781</v>
      </c>
    </row>
    <row r="1982" spans="1:12" ht="11.25" customHeight="1">
      <c r="A1982" s="39">
        <v>786</v>
      </c>
      <c r="B1982" s="40" t="s">
        <v>14112</v>
      </c>
      <c r="C1982" s="40" t="s">
        <v>14113</v>
      </c>
      <c r="D1982" s="40" t="s">
        <v>14114</v>
      </c>
      <c r="E1982" s="41">
        <v>3014.39</v>
      </c>
      <c r="F1982" s="40"/>
      <c r="G1982" s="41"/>
      <c r="H1982" s="40"/>
      <c r="I1982" s="41"/>
      <c r="J1982" s="41">
        <f t="shared" si="7"/>
        <v>3014.39</v>
      </c>
      <c r="K1982" s="42" t="s">
        <v>5796</v>
      </c>
      <c r="L1982" s="39">
        <v>786</v>
      </c>
    </row>
    <row r="1983" spans="1:12" ht="11.25" customHeight="1">
      <c r="A1983" s="39">
        <v>802</v>
      </c>
      <c r="B1983" s="40" t="s">
        <v>7122</v>
      </c>
      <c r="C1983" s="40" t="s">
        <v>14115</v>
      </c>
      <c r="D1983" s="40" t="s">
        <v>14116</v>
      </c>
      <c r="E1983" s="41">
        <v>2851.36</v>
      </c>
      <c r="F1983" s="40"/>
      <c r="G1983" s="41"/>
      <c r="H1983" s="40"/>
      <c r="I1983" s="41"/>
      <c r="J1983" s="41">
        <f t="shared" si="7"/>
        <v>2851.36</v>
      </c>
      <c r="K1983" s="42" t="s">
        <v>5796</v>
      </c>
      <c r="L1983" s="39">
        <v>802</v>
      </c>
    </row>
    <row r="1984" spans="1:12" ht="11.25" customHeight="1">
      <c r="A1984" s="39">
        <v>812</v>
      </c>
      <c r="B1984" s="40" t="s">
        <v>14117</v>
      </c>
      <c r="C1984" s="40" t="s">
        <v>14118</v>
      </c>
      <c r="D1984" s="40" t="s">
        <v>14119</v>
      </c>
      <c r="E1984" s="41">
        <v>2785.73</v>
      </c>
      <c r="F1984" s="40"/>
      <c r="G1984" s="41"/>
      <c r="H1984" s="40"/>
      <c r="I1984" s="41"/>
      <c r="J1984" s="41">
        <f t="shared" si="7"/>
        <v>2785.73</v>
      </c>
      <c r="K1984" s="42" t="s">
        <v>5796</v>
      </c>
      <c r="L1984" s="39">
        <v>812</v>
      </c>
    </row>
    <row r="1985" spans="1:12" ht="11.25" customHeight="1">
      <c r="A1985" s="39">
        <v>834</v>
      </c>
      <c r="B1985" s="40" t="s">
        <v>7108</v>
      </c>
      <c r="C1985" s="40" t="s">
        <v>14120</v>
      </c>
      <c r="D1985" s="40" t="s">
        <v>14121</v>
      </c>
      <c r="E1985" s="41">
        <v>2631.64</v>
      </c>
      <c r="F1985" s="40"/>
      <c r="G1985" s="41"/>
      <c r="H1985" s="40"/>
      <c r="I1985" s="41"/>
      <c r="J1985" s="41">
        <f t="shared" si="7"/>
        <v>2631.64</v>
      </c>
      <c r="K1985" s="42" t="s">
        <v>5796</v>
      </c>
      <c r="L1985" s="39">
        <v>834</v>
      </c>
    </row>
    <row r="1986" spans="1:12" ht="11.25" customHeight="1">
      <c r="A1986" s="39">
        <v>849</v>
      </c>
      <c r="B1986" s="40" t="s">
        <v>7103</v>
      </c>
      <c r="C1986" s="40" t="s">
        <v>14122</v>
      </c>
      <c r="D1986" s="40" t="s">
        <v>14123</v>
      </c>
      <c r="E1986" s="41">
        <v>2519.09</v>
      </c>
      <c r="F1986" s="40"/>
      <c r="G1986" s="41"/>
      <c r="H1986" s="40"/>
      <c r="I1986" s="41"/>
      <c r="J1986" s="41">
        <f t="shared" si="7"/>
        <v>2519.09</v>
      </c>
      <c r="K1986" s="42" t="s">
        <v>5796</v>
      </c>
      <c r="L1986" s="39">
        <v>849</v>
      </c>
    </row>
    <row r="1987" spans="1:12" ht="11.25" customHeight="1">
      <c r="A1987" s="39">
        <v>855</v>
      </c>
      <c r="B1987" s="40" t="s">
        <v>14124</v>
      </c>
      <c r="C1987" s="40" t="s">
        <v>14125</v>
      </c>
      <c r="D1987" s="40" t="s">
        <v>14126</v>
      </c>
      <c r="E1987" s="41">
        <v>2490.1</v>
      </c>
      <c r="F1987" s="40"/>
      <c r="G1987" s="41"/>
      <c r="H1987" s="40"/>
      <c r="I1987" s="41"/>
      <c r="J1987" s="41">
        <f t="shared" si="7"/>
        <v>2490.1</v>
      </c>
      <c r="K1987" s="42" t="s">
        <v>5796</v>
      </c>
      <c r="L1987" s="39">
        <v>855</v>
      </c>
    </row>
    <row r="1988" spans="1:12" ht="11.25" customHeight="1">
      <c r="A1988" s="39">
        <v>887</v>
      </c>
      <c r="B1988" s="40" t="s">
        <v>14127</v>
      </c>
      <c r="C1988" s="40" t="s">
        <v>14128</v>
      </c>
      <c r="D1988" s="40" t="s">
        <v>14129</v>
      </c>
      <c r="E1988" s="41">
        <v>2209.7399999999998</v>
      </c>
      <c r="F1988" s="40"/>
      <c r="G1988" s="41"/>
      <c r="H1988" s="40"/>
      <c r="I1988" s="41"/>
      <c r="J1988" s="41">
        <f t="shared" si="7"/>
        <v>2209.7399999999998</v>
      </c>
      <c r="K1988" s="42" t="s">
        <v>5796</v>
      </c>
      <c r="L1988" s="39">
        <v>887</v>
      </c>
    </row>
    <row r="1989" spans="1:12" ht="11.25" customHeight="1">
      <c r="A1989" s="39">
        <v>901</v>
      </c>
      <c r="B1989" s="40" t="s">
        <v>14130</v>
      </c>
      <c r="C1989" s="40" t="s">
        <v>14131</v>
      </c>
      <c r="D1989" s="40" t="s">
        <v>14132</v>
      </c>
      <c r="E1989" s="41">
        <v>2158.7800000000002</v>
      </c>
      <c r="F1989" s="40"/>
      <c r="G1989" s="41"/>
      <c r="H1989" s="40"/>
      <c r="I1989" s="41"/>
      <c r="J1989" s="41">
        <f t="shared" si="7"/>
        <v>2158.7800000000002</v>
      </c>
      <c r="K1989" s="42" t="s">
        <v>5796</v>
      </c>
      <c r="L1989" s="39">
        <v>901</v>
      </c>
    </row>
    <row r="1990" spans="1:12" ht="11.25" customHeight="1">
      <c r="A1990" s="39">
        <v>915</v>
      </c>
      <c r="B1990" s="40" t="s">
        <v>14133</v>
      </c>
      <c r="C1990" s="40" t="s">
        <v>14134</v>
      </c>
      <c r="D1990" s="40" t="s">
        <v>14135</v>
      </c>
      <c r="E1990" s="41">
        <v>2096.86</v>
      </c>
      <c r="F1990" s="40"/>
      <c r="G1990" s="41"/>
      <c r="H1990" s="40"/>
      <c r="I1990" s="41"/>
      <c r="J1990" s="41">
        <f t="shared" si="7"/>
        <v>2096.86</v>
      </c>
      <c r="K1990" s="42" t="s">
        <v>5796</v>
      </c>
      <c r="L1990" s="39">
        <v>915</v>
      </c>
    </row>
    <row r="1991" spans="1:12" ht="11.25" customHeight="1">
      <c r="A1991" s="39">
        <v>916</v>
      </c>
      <c r="B1991" s="40" t="s">
        <v>7146</v>
      </c>
      <c r="C1991" s="40" t="s">
        <v>14136</v>
      </c>
      <c r="D1991" s="40" t="s">
        <v>14137</v>
      </c>
      <c r="E1991" s="41">
        <v>2095.44</v>
      </c>
      <c r="F1991" s="40"/>
      <c r="G1991" s="41"/>
      <c r="H1991" s="40"/>
      <c r="I1991" s="41"/>
      <c r="J1991" s="41">
        <f t="shared" si="7"/>
        <v>2095.44</v>
      </c>
      <c r="K1991" s="42" t="s">
        <v>5796</v>
      </c>
      <c r="L1991" s="39">
        <v>916</v>
      </c>
    </row>
    <row r="1992" spans="1:12" ht="11.25" customHeight="1">
      <c r="A1992" s="39">
        <v>918</v>
      </c>
      <c r="B1992" s="40" t="s">
        <v>14138</v>
      </c>
      <c r="C1992" s="40" t="s">
        <v>14139</v>
      </c>
      <c r="D1992" s="40" t="s">
        <v>14140</v>
      </c>
      <c r="E1992" s="41">
        <v>2089.75</v>
      </c>
      <c r="F1992" s="40"/>
      <c r="G1992" s="41"/>
      <c r="H1992" s="40"/>
      <c r="I1992" s="41"/>
      <c r="J1992" s="41">
        <f t="shared" si="7"/>
        <v>2089.75</v>
      </c>
      <c r="K1992" s="42" t="s">
        <v>5796</v>
      </c>
      <c r="L1992" s="39">
        <v>918</v>
      </c>
    </row>
    <row r="1993" spans="1:12" ht="11.25" customHeight="1">
      <c r="A1993" s="39">
        <v>928</v>
      </c>
      <c r="B1993" s="40" t="s">
        <v>7167</v>
      </c>
      <c r="C1993" s="40" t="s">
        <v>14141</v>
      </c>
      <c r="D1993" s="40" t="s">
        <v>14142</v>
      </c>
      <c r="E1993" s="41">
        <v>2049.85</v>
      </c>
      <c r="F1993" s="40"/>
      <c r="G1993" s="41"/>
      <c r="H1993" s="40"/>
      <c r="I1993" s="41"/>
      <c r="J1993" s="41">
        <f t="shared" si="7"/>
        <v>2049.85</v>
      </c>
      <c r="K1993" s="42" t="s">
        <v>5796</v>
      </c>
      <c r="L1993" s="39">
        <v>928</v>
      </c>
    </row>
    <row r="1994" spans="1:12" ht="11.25" customHeight="1">
      <c r="A1994" s="39">
        <v>935</v>
      </c>
      <c r="B1994" s="40" t="s">
        <v>14143</v>
      </c>
      <c r="C1994" s="40" t="s">
        <v>14144</v>
      </c>
      <c r="D1994" s="40" t="s">
        <v>14145</v>
      </c>
      <c r="E1994" s="41">
        <v>2017.95</v>
      </c>
      <c r="F1994" s="40"/>
      <c r="G1994" s="41"/>
      <c r="H1994" s="40"/>
      <c r="I1994" s="41"/>
      <c r="J1994" s="41">
        <f t="shared" si="7"/>
        <v>2017.95</v>
      </c>
      <c r="K1994" s="42" t="s">
        <v>5796</v>
      </c>
      <c r="L1994" s="39">
        <v>935</v>
      </c>
    </row>
    <row r="1995" spans="1:12" ht="11.25" customHeight="1">
      <c r="A1995" s="39">
        <v>946</v>
      </c>
      <c r="B1995" s="40" t="s">
        <v>7150</v>
      </c>
      <c r="C1995" s="40" t="s">
        <v>14146</v>
      </c>
      <c r="D1995" s="40" t="s">
        <v>14147</v>
      </c>
      <c r="E1995" s="41">
        <v>1974.37</v>
      </c>
      <c r="F1995" s="40"/>
      <c r="G1995" s="41"/>
      <c r="H1995" s="40"/>
      <c r="I1995" s="41"/>
      <c r="J1995" s="41">
        <f t="shared" si="7"/>
        <v>1974.37</v>
      </c>
      <c r="K1995" s="42" t="s">
        <v>5796</v>
      </c>
      <c r="L1995" s="39">
        <v>946</v>
      </c>
    </row>
    <row r="1996" spans="1:12" ht="11.25" customHeight="1">
      <c r="A1996" s="39">
        <v>949</v>
      </c>
      <c r="B1996" s="40" t="s">
        <v>14148</v>
      </c>
      <c r="C1996" s="40" t="s">
        <v>14149</v>
      </c>
      <c r="D1996" s="40" t="s">
        <v>14150</v>
      </c>
      <c r="E1996" s="41">
        <v>1954.42</v>
      </c>
      <c r="F1996" s="40"/>
      <c r="G1996" s="41"/>
      <c r="H1996" s="40"/>
      <c r="I1996" s="41"/>
      <c r="J1996" s="41">
        <f t="shared" si="7"/>
        <v>1954.42</v>
      </c>
      <c r="K1996" s="42" t="s">
        <v>5796</v>
      </c>
      <c r="L1996" s="39">
        <v>949</v>
      </c>
    </row>
    <row r="1997" spans="1:12" ht="11.25" customHeight="1">
      <c r="A1997" s="39">
        <v>950</v>
      </c>
      <c r="B1997" s="40" t="s">
        <v>14151</v>
      </c>
      <c r="C1997" s="40" t="s">
        <v>14152</v>
      </c>
      <c r="D1997" s="40" t="s">
        <v>14153</v>
      </c>
      <c r="E1997" s="41">
        <v>1950.42</v>
      </c>
      <c r="F1997" s="40"/>
      <c r="G1997" s="41"/>
      <c r="H1997" s="40"/>
      <c r="I1997" s="41"/>
      <c r="J1997" s="41">
        <f t="shared" si="7"/>
        <v>1950.42</v>
      </c>
      <c r="K1997" s="42" t="s">
        <v>5796</v>
      </c>
      <c r="L1997" s="39">
        <v>950</v>
      </c>
    </row>
    <row r="1998" spans="1:12" ht="11.25" customHeight="1">
      <c r="A1998" s="39">
        <v>951</v>
      </c>
      <c r="B1998" s="52" t="s">
        <v>7114</v>
      </c>
      <c r="C1998" s="52" t="s">
        <v>14154</v>
      </c>
      <c r="D1998" s="40"/>
      <c r="E1998" s="41"/>
      <c r="F1998" s="40"/>
      <c r="G1998" s="41"/>
      <c r="H1998" s="52" t="s">
        <v>14155</v>
      </c>
      <c r="I1998" s="53">
        <v>1948.8680139000044</v>
      </c>
      <c r="J1998" s="41">
        <f t="shared" si="7"/>
        <v>1948.8680139000044</v>
      </c>
      <c r="K1998" s="42" t="s">
        <v>5796</v>
      </c>
      <c r="L1998" s="39">
        <v>951</v>
      </c>
    </row>
    <row r="1999" spans="1:12" ht="11.25" customHeight="1">
      <c r="A1999" s="39">
        <v>967</v>
      </c>
      <c r="B1999" s="40" t="s">
        <v>14156</v>
      </c>
      <c r="C1999" s="40" t="s">
        <v>14157</v>
      </c>
      <c r="D1999" s="40" t="s">
        <v>14158</v>
      </c>
      <c r="E1999" s="41">
        <v>1876.16</v>
      </c>
      <c r="F1999" s="40"/>
      <c r="G1999" s="41"/>
      <c r="H1999" s="40"/>
      <c r="I1999" s="41"/>
      <c r="J1999" s="41">
        <f t="shared" si="7"/>
        <v>1876.16</v>
      </c>
      <c r="K1999" s="42" t="s">
        <v>5796</v>
      </c>
      <c r="L1999" s="39">
        <v>967</v>
      </c>
    </row>
    <row r="2000" spans="1:12" ht="11.25" customHeight="1">
      <c r="A2000" s="39">
        <v>982</v>
      </c>
      <c r="B2000" s="40" t="s">
        <v>14159</v>
      </c>
      <c r="C2000" s="40" t="s">
        <v>14160</v>
      </c>
      <c r="D2000" s="40" t="s">
        <v>14161</v>
      </c>
      <c r="E2000" s="41">
        <v>1802.7</v>
      </c>
      <c r="F2000" s="40"/>
      <c r="G2000" s="41"/>
      <c r="H2000" s="40"/>
      <c r="I2000" s="41"/>
      <c r="J2000" s="41">
        <f t="shared" si="7"/>
        <v>1802.7</v>
      </c>
      <c r="K2000" s="42" t="s">
        <v>5796</v>
      </c>
      <c r="L2000" s="39">
        <v>982</v>
      </c>
    </row>
    <row r="2001" spans="1:12" ht="11.25" customHeight="1">
      <c r="A2001" s="39">
        <v>987</v>
      </c>
      <c r="B2001" s="40" t="s">
        <v>14162</v>
      </c>
      <c r="C2001" s="40" t="s">
        <v>14163</v>
      </c>
      <c r="D2001" s="40" t="s">
        <v>14164</v>
      </c>
      <c r="E2001" s="41">
        <v>1767.56</v>
      </c>
      <c r="F2001" s="40"/>
      <c r="G2001" s="41"/>
      <c r="H2001" s="40"/>
      <c r="I2001" s="41"/>
      <c r="J2001" s="41">
        <f t="shared" si="7"/>
        <v>1767.56</v>
      </c>
      <c r="K2001" s="42" t="s">
        <v>5796</v>
      </c>
      <c r="L2001" s="39">
        <v>987</v>
      </c>
    </row>
    <row r="2002" spans="1:12" ht="11.25" customHeight="1">
      <c r="A2002" s="39">
        <v>996</v>
      </c>
      <c r="B2002" s="40" t="s">
        <v>14165</v>
      </c>
      <c r="C2002" s="40" t="s">
        <v>14166</v>
      </c>
      <c r="D2002" s="40" t="s">
        <v>14167</v>
      </c>
      <c r="E2002" s="41">
        <v>1721.13</v>
      </c>
      <c r="F2002" s="40"/>
      <c r="G2002" s="41"/>
      <c r="H2002" s="40"/>
      <c r="I2002" s="41"/>
      <c r="J2002" s="41">
        <f t="shared" si="7"/>
        <v>1721.13</v>
      </c>
      <c r="K2002" s="42" t="s">
        <v>5796</v>
      </c>
      <c r="L2002" s="39">
        <v>996</v>
      </c>
    </row>
    <row r="2003" spans="1:12" ht="11.25" customHeight="1">
      <c r="A2003" s="39">
        <v>1020</v>
      </c>
      <c r="B2003" s="40" t="s">
        <v>7142</v>
      </c>
      <c r="C2003" s="40" t="s">
        <v>14168</v>
      </c>
      <c r="D2003" s="40" t="s">
        <v>14169</v>
      </c>
      <c r="E2003" s="41">
        <v>1628.72</v>
      </c>
      <c r="F2003" s="40"/>
      <c r="G2003" s="41"/>
      <c r="H2003" s="40"/>
      <c r="I2003" s="41"/>
      <c r="J2003" s="41">
        <f t="shared" si="7"/>
        <v>1628.72</v>
      </c>
      <c r="K2003" s="42" t="s">
        <v>5796</v>
      </c>
      <c r="L2003" s="39">
        <v>1020</v>
      </c>
    </row>
    <row r="2004" spans="1:12" ht="11.25" customHeight="1">
      <c r="A2004" s="39">
        <v>1022</v>
      </c>
      <c r="B2004" s="40" t="s">
        <v>14170</v>
      </c>
      <c r="C2004" s="40" t="s">
        <v>14171</v>
      </c>
      <c r="D2004" s="40" t="s">
        <v>14172</v>
      </c>
      <c r="E2004" s="41">
        <v>1613.14</v>
      </c>
      <c r="F2004" s="40"/>
      <c r="G2004" s="41"/>
      <c r="H2004" s="40"/>
      <c r="I2004" s="41"/>
      <c r="J2004" s="41">
        <f t="shared" si="7"/>
        <v>1613.14</v>
      </c>
      <c r="K2004" s="42" t="s">
        <v>5796</v>
      </c>
      <c r="L2004" s="39">
        <v>1022</v>
      </c>
    </row>
    <row r="2005" spans="1:12" ht="11.25" customHeight="1">
      <c r="A2005" s="39">
        <v>1026</v>
      </c>
      <c r="B2005" s="52" t="s">
        <v>14173</v>
      </c>
      <c r="C2005" s="52" t="s">
        <v>14174</v>
      </c>
      <c r="D2005" s="40"/>
      <c r="E2005" s="41"/>
      <c r="F2005" s="40"/>
      <c r="G2005" s="41"/>
      <c r="H2005" s="52" t="s">
        <v>2929</v>
      </c>
      <c r="I2005" s="53">
        <v>1602.5907406032254</v>
      </c>
      <c r="J2005" s="41">
        <f t="shared" si="7"/>
        <v>1602.5907406032254</v>
      </c>
      <c r="K2005" s="42" t="s">
        <v>5796</v>
      </c>
      <c r="L2005" s="39">
        <v>1026</v>
      </c>
    </row>
    <row r="2006" spans="1:12" ht="11.25" customHeight="1">
      <c r="A2006" s="39">
        <v>1037</v>
      </c>
      <c r="B2006" s="40" t="s">
        <v>14175</v>
      </c>
      <c r="C2006" s="40" t="s">
        <v>14176</v>
      </c>
      <c r="D2006" s="40" t="s">
        <v>14177</v>
      </c>
      <c r="E2006" s="41">
        <v>1536.28</v>
      </c>
      <c r="F2006" s="40"/>
      <c r="G2006" s="41"/>
      <c r="H2006" s="40"/>
      <c r="I2006" s="41"/>
      <c r="J2006" s="41">
        <f t="shared" si="7"/>
        <v>1536.28</v>
      </c>
      <c r="K2006" s="42" t="s">
        <v>5796</v>
      </c>
      <c r="L2006" s="39">
        <v>1037</v>
      </c>
    </row>
    <row r="2007" spans="1:12" ht="11.25" customHeight="1">
      <c r="A2007" s="39">
        <v>1042</v>
      </c>
      <c r="B2007" s="40" t="s">
        <v>14178</v>
      </c>
      <c r="C2007" s="40" t="s">
        <v>14179</v>
      </c>
      <c r="D2007" s="40" t="s">
        <v>14180</v>
      </c>
      <c r="E2007" s="41">
        <v>1514.99</v>
      </c>
      <c r="F2007" s="40"/>
      <c r="G2007" s="41"/>
      <c r="H2007" s="40"/>
      <c r="I2007" s="41"/>
      <c r="J2007" s="41">
        <f t="shared" si="7"/>
        <v>1514.99</v>
      </c>
      <c r="K2007" s="42" t="s">
        <v>5796</v>
      </c>
      <c r="L2007" s="39">
        <v>1042</v>
      </c>
    </row>
    <row r="2008" spans="1:12" ht="11.25" customHeight="1">
      <c r="A2008" s="39">
        <v>1050</v>
      </c>
      <c r="B2008" s="40" t="s">
        <v>14181</v>
      </c>
      <c r="C2008" s="40" t="s">
        <v>14182</v>
      </c>
      <c r="D2008" s="40" t="s">
        <v>14183</v>
      </c>
      <c r="E2008" s="41">
        <v>1492.07</v>
      </c>
      <c r="F2008" s="40"/>
      <c r="G2008" s="41"/>
      <c r="H2008" s="40"/>
      <c r="I2008" s="41"/>
      <c r="J2008" s="41">
        <f t="shared" si="7"/>
        <v>1492.07</v>
      </c>
      <c r="K2008" s="42" t="s">
        <v>5796</v>
      </c>
      <c r="L2008" s="39">
        <v>1050</v>
      </c>
    </row>
    <row r="2009" spans="1:12" ht="11.25" customHeight="1">
      <c r="A2009" s="39">
        <v>1058</v>
      </c>
      <c r="B2009" s="40" t="s">
        <v>14184</v>
      </c>
      <c r="C2009" s="40" t="s">
        <v>14185</v>
      </c>
      <c r="D2009" s="40" t="s">
        <v>14186</v>
      </c>
      <c r="E2009" s="41">
        <v>1450.42</v>
      </c>
      <c r="F2009" s="40"/>
      <c r="G2009" s="41"/>
      <c r="H2009" s="40" t="s">
        <v>14186</v>
      </c>
      <c r="I2009" s="41">
        <v>1452.0781350806458</v>
      </c>
      <c r="J2009" s="41">
        <f t="shared" si="7"/>
        <v>1451.2490675403228</v>
      </c>
      <c r="K2009" s="42" t="s">
        <v>5796</v>
      </c>
      <c r="L2009" s="39">
        <v>1058</v>
      </c>
    </row>
    <row r="2010" spans="1:12" ht="11.25" customHeight="1">
      <c r="A2010" s="39">
        <v>1065</v>
      </c>
      <c r="B2010" s="40" t="s">
        <v>7162</v>
      </c>
      <c r="C2010" s="40" t="s">
        <v>14187</v>
      </c>
      <c r="D2010" s="40" t="s">
        <v>14188</v>
      </c>
      <c r="E2010" s="41">
        <v>1427.75</v>
      </c>
      <c r="F2010" s="40"/>
      <c r="G2010" s="41"/>
      <c r="H2010" s="40"/>
      <c r="I2010" s="41"/>
      <c r="J2010" s="41">
        <f t="shared" si="7"/>
        <v>1427.75</v>
      </c>
      <c r="K2010" s="42" t="s">
        <v>5796</v>
      </c>
      <c r="L2010" s="39">
        <v>1065</v>
      </c>
    </row>
    <row r="2011" spans="1:12" ht="11.25" customHeight="1">
      <c r="A2011" s="39">
        <v>1068</v>
      </c>
      <c r="B2011" s="40" t="s">
        <v>14189</v>
      </c>
      <c r="C2011" s="40" t="s">
        <v>14190</v>
      </c>
      <c r="D2011" s="40" t="s">
        <v>14191</v>
      </c>
      <c r="E2011" s="41">
        <v>1420.24</v>
      </c>
      <c r="F2011" s="40"/>
      <c r="G2011" s="41"/>
      <c r="H2011" s="40"/>
      <c r="I2011" s="41"/>
      <c r="J2011" s="41">
        <f t="shared" si="7"/>
        <v>1420.24</v>
      </c>
      <c r="K2011" s="42" t="s">
        <v>5796</v>
      </c>
      <c r="L2011" s="39">
        <v>1068</v>
      </c>
    </row>
    <row r="2012" spans="1:12" ht="11.25" customHeight="1">
      <c r="A2012" s="39">
        <v>1070</v>
      </c>
      <c r="B2012" s="40" t="s">
        <v>14192</v>
      </c>
      <c r="C2012" s="40" t="s">
        <v>14193</v>
      </c>
      <c r="D2012" s="40" t="s">
        <v>14194</v>
      </c>
      <c r="E2012" s="41">
        <v>1411.9</v>
      </c>
      <c r="F2012" s="40"/>
      <c r="G2012" s="41"/>
      <c r="H2012" s="40"/>
      <c r="I2012" s="41"/>
      <c r="J2012" s="41">
        <f t="shared" si="7"/>
        <v>1411.9</v>
      </c>
      <c r="K2012" s="42" t="s">
        <v>5796</v>
      </c>
      <c r="L2012" s="39">
        <v>1070</v>
      </c>
    </row>
    <row r="2013" spans="1:12" ht="11.25" customHeight="1">
      <c r="A2013" s="39">
        <v>1075</v>
      </c>
      <c r="B2013" s="40" t="s">
        <v>14195</v>
      </c>
      <c r="C2013" s="40" t="s">
        <v>14196</v>
      </c>
      <c r="D2013" s="40" t="s">
        <v>14197</v>
      </c>
      <c r="E2013" s="41">
        <v>1397.63</v>
      </c>
      <c r="F2013" s="40"/>
      <c r="G2013" s="41"/>
      <c r="H2013" s="40"/>
      <c r="I2013" s="41"/>
      <c r="J2013" s="41">
        <f t="shared" si="7"/>
        <v>1397.63</v>
      </c>
      <c r="K2013" s="42" t="s">
        <v>5796</v>
      </c>
      <c r="L2013" s="39">
        <v>1075</v>
      </c>
    </row>
    <row r="2014" spans="1:12" ht="11.25" customHeight="1">
      <c r="A2014" s="39">
        <v>1085</v>
      </c>
      <c r="B2014" s="40" t="s">
        <v>14198</v>
      </c>
      <c r="C2014" s="40" t="s">
        <v>14199</v>
      </c>
      <c r="D2014" s="40" t="s">
        <v>14200</v>
      </c>
      <c r="E2014" s="41">
        <v>1375.1</v>
      </c>
      <c r="F2014" s="40"/>
      <c r="G2014" s="41"/>
      <c r="H2014" s="40" t="s">
        <v>14201</v>
      </c>
      <c r="I2014" s="41">
        <v>1376.25</v>
      </c>
      <c r="J2014" s="41">
        <f t="shared" si="7"/>
        <v>1375.675</v>
      </c>
      <c r="K2014" s="42" t="s">
        <v>5796</v>
      </c>
      <c r="L2014" s="39">
        <v>1085</v>
      </c>
    </row>
    <row r="2015" spans="1:12" ht="11.25" customHeight="1">
      <c r="A2015" s="39">
        <v>1087</v>
      </c>
      <c r="B2015" s="40" t="s">
        <v>7148</v>
      </c>
      <c r="C2015" s="40" t="s">
        <v>14202</v>
      </c>
      <c r="D2015" s="40" t="s">
        <v>14203</v>
      </c>
      <c r="E2015" s="41">
        <v>1373.95</v>
      </c>
      <c r="F2015" s="40"/>
      <c r="G2015" s="41"/>
      <c r="H2015" s="40"/>
      <c r="I2015" s="41"/>
      <c r="J2015" s="41">
        <f t="shared" si="7"/>
        <v>1373.95</v>
      </c>
      <c r="K2015" s="42" t="s">
        <v>5796</v>
      </c>
      <c r="L2015" s="39">
        <v>1087</v>
      </c>
    </row>
    <row r="2016" spans="1:12" ht="11.25" customHeight="1">
      <c r="A2016" s="39">
        <v>1092</v>
      </c>
      <c r="B2016" s="40" t="s">
        <v>14204</v>
      </c>
      <c r="C2016" s="40" t="s">
        <v>14205</v>
      </c>
      <c r="D2016" s="40" t="s">
        <v>14206</v>
      </c>
      <c r="E2016" s="41">
        <v>1354.3</v>
      </c>
      <c r="F2016" s="40"/>
      <c r="G2016" s="41"/>
      <c r="H2016" s="40"/>
      <c r="I2016" s="41"/>
      <c r="J2016" s="41">
        <f t="shared" si="7"/>
        <v>1354.3</v>
      </c>
      <c r="K2016" s="42" t="s">
        <v>5796</v>
      </c>
      <c r="L2016" s="39">
        <v>1092</v>
      </c>
    </row>
    <row r="2017" spans="1:12" ht="11.25" customHeight="1">
      <c r="A2017" s="39">
        <v>1098</v>
      </c>
      <c r="B2017" s="40" t="s">
        <v>14207</v>
      </c>
      <c r="C2017" s="40" t="s">
        <v>14208</v>
      </c>
      <c r="D2017" s="40" t="s">
        <v>14209</v>
      </c>
      <c r="E2017" s="41">
        <v>1328.64</v>
      </c>
      <c r="F2017" s="40"/>
      <c r="G2017" s="41"/>
      <c r="H2017" s="40"/>
      <c r="I2017" s="41"/>
      <c r="J2017" s="41">
        <f t="shared" si="7"/>
        <v>1328.64</v>
      </c>
      <c r="K2017" s="42" t="s">
        <v>5796</v>
      </c>
      <c r="L2017" s="39">
        <v>1098</v>
      </c>
    </row>
    <row r="2018" spans="1:12" ht="11.25" customHeight="1">
      <c r="A2018" s="39">
        <v>1100</v>
      </c>
      <c r="B2018" s="40" t="s">
        <v>14210</v>
      </c>
      <c r="C2018" s="40" t="s">
        <v>14211</v>
      </c>
      <c r="D2018" s="40" t="s">
        <v>14212</v>
      </c>
      <c r="E2018" s="41">
        <v>1321.81</v>
      </c>
      <c r="F2018" s="40"/>
      <c r="G2018" s="41"/>
      <c r="H2018" s="40"/>
      <c r="I2018" s="41"/>
      <c r="J2018" s="41">
        <f t="shared" si="7"/>
        <v>1321.81</v>
      </c>
      <c r="K2018" s="42" t="s">
        <v>5796</v>
      </c>
      <c r="L2018" s="39">
        <v>1100</v>
      </c>
    </row>
    <row r="2019" spans="1:12" ht="11.25" customHeight="1">
      <c r="A2019" s="39">
        <v>1103</v>
      </c>
      <c r="B2019" s="40" t="s">
        <v>7233</v>
      </c>
      <c r="C2019" s="40" t="s">
        <v>14213</v>
      </c>
      <c r="D2019" s="40" t="s">
        <v>14214</v>
      </c>
      <c r="E2019" s="41">
        <v>1314.74</v>
      </c>
      <c r="F2019" s="40"/>
      <c r="G2019" s="41"/>
      <c r="H2019" s="40"/>
      <c r="I2019" s="41"/>
      <c r="J2019" s="41">
        <f t="shared" si="7"/>
        <v>1314.74</v>
      </c>
      <c r="K2019" s="42" t="s">
        <v>5796</v>
      </c>
      <c r="L2019" s="39">
        <v>1103</v>
      </c>
    </row>
    <row r="2020" spans="1:12" ht="11.25" customHeight="1">
      <c r="A2020" s="39">
        <v>1111</v>
      </c>
      <c r="B2020" s="40" t="s">
        <v>14215</v>
      </c>
      <c r="C2020" s="40" t="s">
        <v>14216</v>
      </c>
      <c r="D2020" s="40" t="s">
        <v>14217</v>
      </c>
      <c r="E2020" s="41">
        <v>1300.82</v>
      </c>
      <c r="F2020" s="40"/>
      <c r="G2020" s="41"/>
      <c r="H2020" s="40"/>
      <c r="I2020" s="41"/>
      <c r="J2020" s="41">
        <f t="shared" si="7"/>
        <v>1300.82</v>
      </c>
      <c r="K2020" s="42" t="s">
        <v>5796</v>
      </c>
      <c r="L2020" s="39">
        <v>1111</v>
      </c>
    </row>
    <row r="2021" spans="1:12" ht="11.25" customHeight="1">
      <c r="A2021" s="39">
        <v>1117</v>
      </c>
      <c r="B2021" s="40" t="s">
        <v>7210</v>
      </c>
      <c r="C2021" s="40" t="s">
        <v>14218</v>
      </c>
      <c r="D2021" s="40" t="s">
        <v>14219</v>
      </c>
      <c r="E2021" s="41">
        <v>1285.81</v>
      </c>
      <c r="F2021" s="40"/>
      <c r="G2021" s="41"/>
      <c r="H2021" s="40"/>
      <c r="I2021" s="41"/>
      <c r="J2021" s="41">
        <f t="shared" si="7"/>
        <v>1285.81</v>
      </c>
      <c r="K2021" s="42" t="s">
        <v>5796</v>
      </c>
      <c r="L2021" s="39">
        <v>1117</v>
      </c>
    </row>
    <row r="2022" spans="1:12" ht="11.25" customHeight="1">
      <c r="A2022" s="39">
        <v>1121</v>
      </c>
      <c r="B2022" s="40" t="s">
        <v>14220</v>
      </c>
      <c r="C2022" s="40" t="s">
        <v>14221</v>
      </c>
      <c r="D2022" s="40" t="s">
        <v>14222</v>
      </c>
      <c r="E2022" s="41">
        <v>1278.69</v>
      </c>
      <c r="F2022" s="40"/>
      <c r="G2022" s="41"/>
      <c r="H2022" s="40"/>
      <c r="I2022" s="41"/>
      <c r="J2022" s="41">
        <f t="shared" si="7"/>
        <v>1278.69</v>
      </c>
      <c r="K2022" s="42" t="s">
        <v>5796</v>
      </c>
      <c r="L2022" s="39">
        <v>1121</v>
      </c>
    </row>
    <row r="2023" spans="1:12" ht="11.25" customHeight="1">
      <c r="A2023" s="39">
        <v>1124</v>
      </c>
      <c r="B2023" s="40" t="s">
        <v>14223</v>
      </c>
      <c r="C2023" s="40" t="s">
        <v>14224</v>
      </c>
      <c r="D2023" s="40" t="s">
        <v>14225</v>
      </c>
      <c r="E2023" s="41">
        <v>1273.23</v>
      </c>
      <c r="F2023" s="40"/>
      <c r="G2023" s="41"/>
      <c r="H2023" s="40"/>
      <c r="I2023" s="41"/>
      <c r="J2023" s="41">
        <f t="shared" si="7"/>
        <v>1273.23</v>
      </c>
      <c r="K2023" s="42" t="s">
        <v>5796</v>
      </c>
      <c r="L2023" s="39">
        <v>1124</v>
      </c>
    </row>
    <row r="2024" spans="1:12" ht="11.25" customHeight="1">
      <c r="A2024" s="39">
        <v>1130</v>
      </c>
      <c r="B2024" s="40" t="s">
        <v>14226</v>
      </c>
      <c r="C2024" s="40" t="s">
        <v>14227</v>
      </c>
      <c r="D2024" s="40" t="s">
        <v>14228</v>
      </c>
      <c r="E2024" s="41">
        <v>1247.8499999999999</v>
      </c>
      <c r="F2024" s="40"/>
      <c r="G2024" s="41"/>
      <c r="H2024" s="40"/>
      <c r="I2024" s="41"/>
      <c r="J2024" s="41">
        <f t="shared" si="7"/>
        <v>1247.8499999999999</v>
      </c>
      <c r="K2024" s="42" t="s">
        <v>5796</v>
      </c>
      <c r="L2024" s="39">
        <v>1130</v>
      </c>
    </row>
    <row r="2025" spans="1:12" ht="11.25" customHeight="1">
      <c r="A2025" s="39">
        <v>1137</v>
      </c>
      <c r="B2025" s="40" t="s">
        <v>14229</v>
      </c>
      <c r="C2025" s="40" t="s">
        <v>14230</v>
      </c>
      <c r="D2025" s="40" t="s">
        <v>14231</v>
      </c>
      <c r="E2025" s="41">
        <v>1234.33</v>
      </c>
      <c r="F2025" s="40"/>
      <c r="G2025" s="41"/>
      <c r="H2025" s="40"/>
      <c r="I2025" s="41"/>
      <c r="J2025" s="41">
        <f t="shared" si="7"/>
        <v>1234.33</v>
      </c>
      <c r="K2025" s="42" t="s">
        <v>5796</v>
      </c>
      <c r="L2025" s="39">
        <v>1137</v>
      </c>
    </row>
    <row r="2026" spans="1:12" ht="11.25" customHeight="1">
      <c r="A2026" s="39">
        <v>1138</v>
      </c>
      <c r="B2026" s="40" t="s">
        <v>14232</v>
      </c>
      <c r="C2026" s="40" t="s">
        <v>14233</v>
      </c>
      <c r="D2026" s="40" t="s">
        <v>14234</v>
      </c>
      <c r="E2026" s="41">
        <v>1231.9000000000001</v>
      </c>
      <c r="F2026" s="40"/>
      <c r="G2026" s="41"/>
      <c r="H2026" s="40"/>
      <c r="I2026" s="41"/>
      <c r="J2026" s="41">
        <f t="shared" si="7"/>
        <v>1231.9000000000001</v>
      </c>
      <c r="K2026" s="42" t="s">
        <v>5796</v>
      </c>
      <c r="L2026" s="39">
        <v>1138</v>
      </c>
    </row>
    <row r="2027" spans="1:12" ht="11.25" customHeight="1">
      <c r="A2027" s="39">
        <v>1140</v>
      </c>
      <c r="B2027" s="40" t="s">
        <v>7158</v>
      </c>
      <c r="C2027" s="40" t="s">
        <v>14235</v>
      </c>
      <c r="D2027" s="40" t="s">
        <v>14236</v>
      </c>
      <c r="E2027" s="41">
        <v>1229.57</v>
      </c>
      <c r="F2027" s="40"/>
      <c r="G2027" s="41"/>
      <c r="H2027" s="40"/>
      <c r="I2027" s="41"/>
      <c r="J2027" s="41">
        <f t="shared" si="7"/>
        <v>1229.57</v>
      </c>
      <c r="K2027" s="42" t="s">
        <v>5796</v>
      </c>
      <c r="L2027" s="39">
        <v>1140</v>
      </c>
    </row>
    <row r="2028" spans="1:12" ht="11.25" customHeight="1">
      <c r="A2028" s="39">
        <v>1146</v>
      </c>
      <c r="B2028" s="40" t="s">
        <v>14237</v>
      </c>
      <c r="C2028" s="40" t="s">
        <v>14238</v>
      </c>
      <c r="D2028" s="40" t="s">
        <v>14239</v>
      </c>
      <c r="E2028" s="41">
        <v>1201.73</v>
      </c>
      <c r="F2028" s="40"/>
      <c r="G2028" s="41"/>
      <c r="H2028" s="40"/>
      <c r="I2028" s="41"/>
      <c r="J2028" s="41">
        <f t="shared" si="7"/>
        <v>1201.73</v>
      </c>
      <c r="K2028" s="42" t="s">
        <v>5796</v>
      </c>
      <c r="L2028" s="39">
        <v>1146</v>
      </c>
    </row>
    <row r="2029" spans="1:12" ht="11.25" customHeight="1">
      <c r="A2029" s="39">
        <v>1150</v>
      </c>
      <c r="B2029" s="40" t="s">
        <v>14240</v>
      </c>
      <c r="C2029" s="40" t="s">
        <v>14241</v>
      </c>
      <c r="D2029" s="40" t="s">
        <v>14242</v>
      </c>
      <c r="E2029" s="41">
        <v>1184.93</v>
      </c>
      <c r="F2029" s="40"/>
      <c r="G2029" s="41"/>
      <c r="H2029" s="40"/>
      <c r="I2029" s="41"/>
      <c r="J2029" s="41">
        <f t="shared" si="7"/>
        <v>1184.93</v>
      </c>
      <c r="K2029" s="42" t="s">
        <v>5796</v>
      </c>
      <c r="L2029" s="39">
        <v>1150</v>
      </c>
    </row>
    <row r="2030" spans="1:12" ht="11.25" customHeight="1">
      <c r="A2030" s="39">
        <v>1152</v>
      </c>
      <c r="B2030" s="40" t="s">
        <v>7126</v>
      </c>
      <c r="C2030" s="40" t="s">
        <v>14243</v>
      </c>
      <c r="D2030" s="40" t="s">
        <v>14244</v>
      </c>
      <c r="E2030" s="41">
        <v>1177.0839466310001</v>
      </c>
      <c r="F2030" s="40"/>
      <c r="G2030" s="41"/>
      <c r="H2030" s="40"/>
      <c r="I2030" s="41"/>
      <c r="J2030" s="41">
        <f t="shared" si="7"/>
        <v>1177.0839466310001</v>
      </c>
      <c r="K2030" s="42" t="s">
        <v>5796</v>
      </c>
      <c r="L2030" s="39">
        <v>1152</v>
      </c>
    </row>
    <row r="2031" spans="1:12" ht="11.25" customHeight="1">
      <c r="A2031" s="39">
        <v>1157</v>
      </c>
      <c r="B2031" s="40" t="s">
        <v>14245</v>
      </c>
      <c r="C2031" s="40" t="s">
        <v>14246</v>
      </c>
      <c r="D2031" s="40" t="s">
        <v>14247</v>
      </c>
      <c r="E2031" s="41">
        <v>1155.6400000000001</v>
      </c>
      <c r="F2031" s="40"/>
      <c r="G2031" s="41"/>
      <c r="H2031" s="40"/>
      <c r="I2031" s="41"/>
      <c r="J2031" s="41">
        <f t="shared" si="7"/>
        <v>1155.6400000000001</v>
      </c>
      <c r="K2031" s="42" t="s">
        <v>5796</v>
      </c>
      <c r="L2031" s="39">
        <v>1157</v>
      </c>
    </row>
    <row r="2032" spans="1:12" ht="11.25" customHeight="1">
      <c r="A2032" s="39">
        <v>1162</v>
      </c>
      <c r="B2032" s="40" t="s">
        <v>7135</v>
      </c>
      <c r="C2032" s="40" t="s">
        <v>14248</v>
      </c>
      <c r="D2032" s="40" t="s">
        <v>14249</v>
      </c>
      <c r="E2032" s="41">
        <v>1129.6199999999999</v>
      </c>
      <c r="F2032" s="40"/>
      <c r="G2032" s="41"/>
      <c r="H2032" s="40"/>
      <c r="I2032" s="41"/>
      <c r="J2032" s="41">
        <f t="shared" si="7"/>
        <v>1129.6199999999999</v>
      </c>
      <c r="K2032" s="42" t="s">
        <v>5796</v>
      </c>
      <c r="L2032" s="39">
        <v>1162</v>
      </c>
    </row>
    <row r="2033" spans="1:12" ht="11.25" customHeight="1">
      <c r="A2033" s="39">
        <v>1168</v>
      </c>
      <c r="B2033" s="40" t="s">
        <v>14250</v>
      </c>
      <c r="C2033" s="40" t="s">
        <v>14251</v>
      </c>
      <c r="D2033" s="40" t="s">
        <v>14252</v>
      </c>
      <c r="E2033" s="41">
        <v>1112.74</v>
      </c>
      <c r="F2033" s="40"/>
      <c r="G2033" s="41"/>
      <c r="H2033" s="40"/>
      <c r="I2033" s="41"/>
      <c r="J2033" s="41">
        <f t="shared" si="7"/>
        <v>1112.74</v>
      </c>
      <c r="K2033" s="42" t="s">
        <v>5796</v>
      </c>
      <c r="L2033" s="39">
        <v>1168</v>
      </c>
    </row>
    <row r="2034" spans="1:12" ht="11.25" customHeight="1">
      <c r="A2034" s="39">
        <v>1170</v>
      </c>
      <c r="B2034" s="40" t="s">
        <v>14253</v>
      </c>
      <c r="C2034" s="40" t="s">
        <v>14254</v>
      </c>
      <c r="D2034" s="40" t="s">
        <v>14255</v>
      </c>
      <c r="E2034" s="41">
        <v>1110.29</v>
      </c>
      <c r="F2034" s="40"/>
      <c r="G2034" s="41"/>
      <c r="H2034" s="40"/>
      <c r="I2034" s="41"/>
      <c r="J2034" s="41">
        <f t="shared" si="7"/>
        <v>1110.29</v>
      </c>
      <c r="K2034" s="42" t="s">
        <v>5796</v>
      </c>
      <c r="L2034" s="39">
        <v>1170</v>
      </c>
    </row>
    <row r="2035" spans="1:12" ht="11.25" customHeight="1">
      <c r="A2035" s="39">
        <v>1173</v>
      </c>
      <c r="B2035" s="40" t="s">
        <v>14256</v>
      </c>
      <c r="C2035" s="40" t="s">
        <v>14257</v>
      </c>
      <c r="D2035" s="40" t="s">
        <v>14258</v>
      </c>
      <c r="E2035" s="41">
        <v>1098.76</v>
      </c>
      <c r="F2035" s="40"/>
      <c r="G2035" s="41"/>
      <c r="H2035" s="40"/>
      <c r="I2035" s="41"/>
      <c r="J2035" s="41">
        <f t="shared" si="7"/>
        <v>1098.76</v>
      </c>
      <c r="K2035" s="42" t="s">
        <v>5796</v>
      </c>
      <c r="L2035" s="39">
        <v>1173</v>
      </c>
    </row>
    <row r="2036" spans="1:12" ht="11.25" customHeight="1">
      <c r="A2036" s="39">
        <v>1175</v>
      </c>
      <c r="B2036" s="40" t="s">
        <v>14259</v>
      </c>
      <c r="C2036" s="40" t="s">
        <v>14260</v>
      </c>
      <c r="D2036" s="40" t="s">
        <v>14261</v>
      </c>
      <c r="E2036" s="41">
        <v>1095.01</v>
      </c>
      <c r="F2036" s="40"/>
      <c r="G2036" s="41"/>
      <c r="H2036" s="40"/>
      <c r="I2036" s="41"/>
      <c r="J2036" s="41">
        <f t="shared" si="7"/>
        <v>1095.01</v>
      </c>
      <c r="K2036" s="42" t="s">
        <v>5796</v>
      </c>
      <c r="L2036" s="39">
        <v>1175</v>
      </c>
    </row>
    <row r="2037" spans="1:12" ht="11.25" customHeight="1">
      <c r="A2037" s="39">
        <v>1185</v>
      </c>
      <c r="B2037" s="40" t="s">
        <v>14262</v>
      </c>
      <c r="C2037" s="40" t="s">
        <v>14263</v>
      </c>
      <c r="D2037" s="40" t="s">
        <v>14264</v>
      </c>
      <c r="E2037" s="41">
        <v>1077.3873955680242</v>
      </c>
      <c r="F2037" s="40"/>
      <c r="G2037" s="41"/>
      <c r="H2037" s="40"/>
      <c r="I2037" s="41"/>
      <c r="J2037" s="41">
        <f t="shared" si="7"/>
        <v>1077.3873955680242</v>
      </c>
      <c r="K2037" s="42" t="s">
        <v>5796</v>
      </c>
      <c r="L2037" s="39">
        <v>1185</v>
      </c>
    </row>
    <row r="2038" spans="1:12" ht="11.25" customHeight="1">
      <c r="A2038" s="39">
        <v>1192</v>
      </c>
      <c r="B2038" s="40" t="s">
        <v>14265</v>
      </c>
      <c r="C2038" s="40" t="s">
        <v>14266</v>
      </c>
      <c r="D2038" s="40" t="s">
        <v>14267</v>
      </c>
      <c r="E2038" s="41">
        <v>1070.3599999999999</v>
      </c>
      <c r="F2038" s="40"/>
      <c r="G2038" s="41"/>
      <c r="H2038" s="40"/>
      <c r="I2038" s="41"/>
      <c r="J2038" s="41">
        <f t="shared" si="7"/>
        <v>1070.3599999999999</v>
      </c>
      <c r="K2038" s="42" t="s">
        <v>5796</v>
      </c>
      <c r="L2038" s="39">
        <v>1192</v>
      </c>
    </row>
    <row r="2039" spans="1:12" ht="11.25" customHeight="1">
      <c r="A2039" s="39">
        <v>1201</v>
      </c>
      <c r="B2039" s="40" t="s">
        <v>14268</v>
      </c>
      <c r="C2039" s="40" t="s">
        <v>14269</v>
      </c>
      <c r="D2039" s="40" t="s">
        <v>14270</v>
      </c>
      <c r="E2039" s="41">
        <v>1049.21</v>
      </c>
      <c r="F2039" s="40"/>
      <c r="G2039" s="41"/>
      <c r="H2039" s="40"/>
      <c r="I2039" s="41"/>
      <c r="J2039" s="41">
        <f t="shared" si="7"/>
        <v>1049.21</v>
      </c>
      <c r="K2039" s="42" t="s">
        <v>5796</v>
      </c>
      <c r="L2039" s="39">
        <v>1201</v>
      </c>
    </row>
    <row r="2040" spans="1:12" ht="11.25" customHeight="1">
      <c r="A2040" s="39">
        <v>1206</v>
      </c>
      <c r="B2040" s="40" t="s">
        <v>14271</v>
      </c>
      <c r="C2040" s="40" t="s">
        <v>14272</v>
      </c>
      <c r="D2040" s="40" t="s">
        <v>14273</v>
      </c>
      <c r="E2040" s="41">
        <v>1043.4100000000001</v>
      </c>
      <c r="F2040" s="40"/>
      <c r="G2040" s="41"/>
      <c r="H2040" s="40"/>
      <c r="I2040" s="41"/>
      <c r="J2040" s="41">
        <f t="shared" si="7"/>
        <v>1043.4100000000001</v>
      </c>
      <c r="K2040" s="42" t="s">
        <v>5796</v>
      </c>
      <c r="L2040" s="39">
        <v>1206</v>
      </c>
    </row>
    <row r="2041" spans="1:12" ht="11.25" customHeight="1">
      <c r="A2041" s="39">
        <v>1211</v>
      </c>
      <c r="B2041" s="40" t="s">
        <v>14274</v>
      </c>
      <c r="C2041" s="40" t="s">
        <v>14275</v>
      </c>
      <c r="D2041" s="40" t="s">
        <v>14276</v>
      </c>
      <c r="E2041" s="41">
        <v>1012.03</v>
      </c>
      <c r="F2041" s="40"/>
      <c r="G2041" s="41"/>
      <c r="H2041" s="40"/>
      <c r="I2041" s="41"/>
      <c r="J2041" s="41">
        <f t="shared" si="7"/>
        <v>1012.03</v>
      </c>
      <c r="K2041" s="42" t="s">
        <v>5796</v>
      </c>
      <c r="L2041" s="39">
        <v>1211</v>
      </c>
    </row>
    <row r="2042" spans="1:12" ht="11.25" customHeight="1">
      <c r="A2042" s="39">
        <v>1219</v>
      </c>
      <c r="B2042" s="40" t="s">
        <v>14277</v>
      </c>
      <c r="C2042" s="40" t="s">
        <v>14278</v>
      </c>
      <c r="D2042" s="40" t="s">
        <v>14279</v>
      </c>
      <c r="E2042" s="41">
        <v>999.89</v>
      </c>
      <c r="F2042" s="40"/>
      <c r="G2042" s="41"/>
      <c r="H2042" s="40"/>
      <c r="I2042" s="41"/>
      <c r="J2042" s="41">
        <f t="shared" si="7"/>
        <v>999.89</v>
      </c>
      <c r="K2042" s="42" t="s">
        <v>5796</v>
      </c>
      <c r="L2042" s="39">
        <v>1219</v>
      </c>
    </row>
    <row r="2043" spans="1:12" ht="11.25" customHeight="1">
      <c r="A2043" s="39">
        <v>1221</v>
      </c>
      <c r="B2043" s="40" t="s">
        <v>7205</v>
      </c>
      <c r="C2043" s="40" t="s">
        <v>14280</v>
      </c>
      <c r="D2043" s="40" t="s">
        <v>14281</v>
      </c>
      <c r="E2043" s="41">
        <v>989.94</v>
      </c>
      <c r="F2043" s="40"/>
      <c r="G2043" s="41"/>
      <c r="H2043" s="40"/>
      <c r="I2043" s="41"/>
      <c r="J2043" s="41">
        <f t="shared" ref="J2043:J2297" si="8">AVERAGE(E2043,G2043,I2043)</f>
        <v>989.94</v>
      </c>
      <c r="K2043" s="42" t="s">
        <v>5796</v>
      </c>
      <c r="L2043" s="39">
        <v>1221</v>
      </c>
    </row>
    <row r="2044" spans="1:12" ht="11.25" customHeight="1">
      <c r="A2044" s="39">
        <v>1223</v>
      </c>
      <c r="B2044" s="40" t="s">
        <v>14282</v>
      </c>
      <c r="C2044" s="40" t="s">
        <v>14283</v>
      </c>
      <c r="D2044" s="40" t="s">
        <v>14284</v>
      </c>
      <c r="E2044" s="41">
        <v>988.1</v>
      </c>
      <c r="F2044" s="40"/>
      <c r="G2044" s="41"/>
      <c r="H2044" s="40"/>
      <c r="I2044" s="41"/>
      <c r="J2044" s="41">
        <f t="shared" si="8"/>
        <v>988.1</v>
      </c>
      <c r="K2044" s="42" t="s">
        <v>5796</v>
      </c>
      <c r="L2044" s="39">
        <v>1223</v>
      </c>
    </row>
    <row r="2045" spans="1:12" ht="11.25" customHeight="1">
      <c r="A2045" s="39">
        <v>1230</v>
      </c>
      <c r="B2045" s="40" t="s">
        <v>7175</v>
      </c>
      <c r="C2045" s="40" t="s">
        <v>14285</v>
      </c>
      <c r="D2045" s="40" t="s">
        <v>14286</v>
      </c>
      <c r="E2045" s="41">
        <v>975.8</v>
      </c>
      <c r="F2045" s="40"/>
      <c r="G2045" s="41"/>
      <c r="H2045" s="40"/>
      <c r="I2045" s="41"/>
      <c r="J2045" s="41">
        <f t="shared" si="8"/>
        <v>975.8</v>
      </c>
      <c r="K2045" s="42" t="s">
        <v>5796</v>
      </c>
      <c r="L2045" s="39">
        <v>1230</v>
      </c>
    </row>
    <row r="2046" spans="1:12" ht="11.25" customHeight="1">
      <c r="A2046" s="39">
        <v>1231</v>
      </c>
      <c r="B2046" s="40" t="s">
        <v>7177</v>
      </c>
      <c r="C2046" s="40" t="s">
        <v>14287</v>
      </c>
      <c r="D2046" s="40" t="s">
        <v>14288</v>
      </c>
      <c r="E2046" s="41">
        <v>974.58</v>
      </c>
      <c r="F2046" s="40"/>
      <c r="G2046" s="41"/>
      <c r="H2046" s="40"/>
      <c r="I2046" s="41"/>
      <c r="J2046" s="41">
        <f t="shared" si="8"/>
        <v>974.58</v>
      </c>
      <c r="K2046" s="42" t="s">
        <v>5796</v>
      </c>
      <c r="L2046" s="39">
        <v>1231</v>
      </c>
    </row>
    <row r="2047" spans="1:12" ht="11.25" customHeight="1">
      <c r="A2047" s="39">
        <v>1233</v>
      </c>
      <c r="B2047" s="54" t="s">
        <v>14289</v>
      </c>
      <c r="C2047" s="54" t="s">
        <v>14290</v>
      </c>
      <c r="D2047" s="40"/>
      <c r="E2047" s="41"/>
      <c r="F2047" s="40"/>
      <c r="G2047" s="41"/>
      <c r="H2047" s="54" t="s">
        <v>14291</v>
      </c>
      <c r="I2047" s="41">
        <v>969.83067200000005</v>
      </c>
      <c r="J2047" s="41">
        <f t="shared" si="8"/>
        <v>969.83067200000005</v>
      </c>
      <c r="K2047" s="42" t="s">
        <v>5796</v>
      </c>
      <c r="L2047" s="39">
        <v>1233</v>
      </c>
    </row>
    <row r="2048" spans="1:12" ht="11.25" customHeight="1">
      <c r="A2048" s="39">
        <v>1237</v>
      </c>
      <c r="B2048" s="40" t="s">
        <v>14292</v>
      </c>
      <c r="C2048" s="40" t="s">
        <v>14293</v>
      </c>
      <c r="D2048" s="40" t="s">
        <v>14294</v>
      </c>
      <c r="E2048" s="41">
        <v>957.35</v>
      </c>
      <c r="F2048" s="40"/>
      <c r="G2048" s="41"/>
      <c r="H2048" s="40"/>
      <c r="I2048" s="41"/>
      <c r="J2048" s="41">
        <f t="shared" si="8"/>
        <v>957.35</v>
      </c>
      <c r="K2048" s="42" t="s">
        <v>5796</v>
      </c>
      <c r="L2048" s="39">
        <v>1237</v>
      </c>
    </row>
    <row r="2049" spans="1:12" ht="11.25" customHeight="1">
      <c r="A2049" s="39">
        <v>1238</v>
      </c>
      <c r="B2049" s="40" t="s">
        <v>7179</v>
      </c>
      <c r="C2049" s="40" t="s">
        <v>14295</v>
      </c>
      <c r="D2049" s="40" t="s">
        <v>14296</v>
      </c>
      <c r="E2049" s="41">
        <v>953.98</v>
      </c>
      <c r="F2049" s="40"/>
      <c r="G2049" s="41"/>
      <c r="H2049" s="40"/>
      <c r="I2049" s="41"/>
      <c r="J2049" s="41">
        <f t="shared" si="8"/>
        <v>953.98</v>
      </c>
      <c r="K2049" s="42" t="s">
        <v>5796</v>
      </c>
      <c r="L2049" s="39">
        <v>1238</v>
      </c>
    </row>
    <row r="2050" spans="1:12" ht="11.25" customHeight="1">
      <c r="A2050" s="39">
        <v>1239</v>
      </c>
      <c r="B2050" s="40" t="s">
        <v>14297</v>
      </c>
      <c r="C2050" s="40" t="s">
        <v>14298</v>
      </c>
      <c r="D2050" s="40" t="s">
        <v>14299</v>
      </c>
      <c r="E2050" s="41">
        <v>953.62</v>
      </c>
      <c r="F2050" s="40"/>
      <c r="G2050" s="41"/>
      <c r="H2050" s="40"/>
      <c r="I2050" s="41"/>
      <c r="J2050" s="41">
        <f t="shared" si="8"/>
        <v>953.62</v>
      </c>
      <c r="K2050" s="42" t="s">
        <v>5796</v>
      </c>
      <c r="L2050" s="39">
        <v>1239</v>
      </c>
    </row>
    <row r="2051" spans="1:12" ht="11.25" customHeight="1">
      <c r="A2051" s="39">
        <v>1240</v>
      </c>
      <c r="B2051" s="40" t="s">
        <v>7159</v>
      </c>
      <c r="C2051" s="40" t="s">
        <v>14300</v>
      </c>
      <c r="D2051" s="40" t="s">
        <v>1937</v>
      </c>
      <c r="E2051" s="41">
        <v>949.21</v>
      </c>
      <c r="F2051" s="40"/>
      <c r="G2051" s="41"/>
      <c r="H2051" s="40"/>
      <c r="I2051" s="41"/>
      <c r="J2051" s="41">
        <f t="shared" si="8"/>
        <v>949.21</v>
      </c>
      <c r="K2051" s="42" t="s">
        <v>5796</v>
      </c>
      <c r="L2051" s="39">
        <v>1240</v>
      </c>
    </row>
    <row r="2052" spans="1:12" ht="11.25" customHeight="1">
      <c r="A2052" s="39">
        <v>1246</v>
      </c>
      <c r="B2052" s="40" t="s">
        <v>7300</v>
      </c>
      <c r="C2052" s="40" t="s">
        <v>14301</v>
      </c>
      <c r="D2052" s="40" t="s">
        <v>14302</v>
      </c>
      <c r="E2052" s="41">
        <v>926.17</v>
      </c>
      <c r="F2052" s="40"/>
      <c r="G2052" s="41"/>
      <c r="H2052" s="40"/>
      <c r="I2052" s="41"/>
      <c r="J2052" s="41">
        <f t="shared" si="8"/>
        <v>926.17</v>
      </c>
      <c r="K2052" s="42" t="s">
        <v>5796</v>
      </c>
      <c r="L2052" s="39">
        <v>1246</v>
      </c>
    </row>
    <row r="2053" spans="1:12" ht="11.25" customHeight="1">
      <c r="A2053" s="39">
        <v>1250</v>
      </c>
      <c r="B2053" s="40" t="s">
        <v>14303</v>
      </c>
      <c r="C2053" s="40" t="s">
        <v>14304</v>
      </c>
      <c r="D2053" s="40" t="s">
        <v>14305</v>
      </c>
      <c r="E2053" s="41">
        <v>917.36</v>
      </c>
      <c r="F2053" s="40"/>
      <c r="G2053" s="41"/>
      <c r="H2053" s="40"/>
      <c r="I2053" s="41"/>
      <c r="J2053" s="41">
        <f t="shared" si="8"/>
        <v>917.36</v>
      </c>
      <c r="K2053" s="42" t="s">
        <v>5796</v>
      </c>
      <c r="L2053" s="39">
        <v>1250</v>
      </c>
    </row>
    <row r="2054" spans="1:12" ht="11.25" customHeight="1">
      <c r="A2054" s="39">
        <v>1257</v>
      </c>
      <c r="B2054" s="40" t="s">
        <v>7334</v>
      </c>
      <c r="C2054" s="40" t="s">
        <v>14306</v>
      </c>
      <c r="D2054" s="40" t="s">
        <v>14307</v>
      </c>
      <c r="E2054" s="41">
        <v>898.38</v>
      </c>
      <c r="F2054" s="40"/>
      <c r="G2054" s="41"/>
      <c r="H2054" s="40"/>
      <c r="I2054" s="41"/>
      <c r="J2054" s="41">
        <f t="shared" si="8"/>
        <v>898.38</v>
      </c>
      <c r="K2054" s="42" t="s">
        <v>5796</v>
      </c>
      <c r="L2054" s="39">
        <v>1257</v>
      </c>
    </row>
    <row r="2055" spans="1:12" ht="11.25" customHeight="1">
      <c r="A2055" s="39">
        <v>1259</v>
      </c>
      <c r="B2055" s="40" t="s">
        <v>14308</v>
      </c>
      <c r="C2055" s="40" t="s">
        <v>14309</v>
      </c>
      <c r="D2055" s="40" t="s">
        <v>14310</v>
      </c>
      <c r="E2055" s="41">
        <v>892.01</v>
      </c>
      <c r="F2055" s="40"/>
      <c r="G2055" s="41"/>
      <c r="H2055" s="40"/>
      <c r="I2055" s="41"/>
      <c r="J2055" s="41">
        <f t="shared" si="8"/>
        <v>892.01</v>
      </c>
      <c r="K2055" s="42" t="s">
        <v>5796</v>
      </c>
      <c r="L2055" s="39">
        <v>1259</v>
      </c>
    </row>
    <row r="2056" spans="1:12" ht="11.25" customHeight="1">
      <c r="A2056" s="39">
        <v>1261</v>
      </c>
      <c r="B2056" s="40" t="s">
        <v>14311</v>
      </c>
      <c r="C2056" s="40" t="s">
        <v>14312</v>
      </c>
      <c r="D2056" s="40" t="s">
        <v>14313</v>
      </c>
      <c r="E2056" s="41">
        <v>890.85</v>
      </c>
      <c r="F2056" s="40"/>
      <c r="G2056" s="41"/>
      <c r="H2056" s="40"/>
      <c r="I2056" s="41"/>
      <c r="J2056" s="41">
        <f t="shared" si="8"/>
        <v>890.85</v>
      </c>
      <c r="K2056" s="42" t="s">
        <v>5796</v>
      </c>
      <c r="L2056" s="39">
        <v>1261</v>
      </c>
    </row>
    <row r="2057" spans="1:12" ht="11.25" customHeight="1">
      <c r="A2057" s="39">
        <v>1266</v>
      </c>
      <c r="B2057" s="40" t="s">
        <v>14314</v>
      </c>
      <c r="C2057" s="40" t="s">
        <v>14315</v>
      </c>
      <c r="D2057" s="40" t="s">
        <v>14316</v>
      </c>
      <c r="E2057" s="41">
        <v>875.28</v>
      </c>
      <c r="F2057" s="40"/>
      <c r="G2057" s="41"/>
      <c r="H2057" s="40"/>
      <c r="I2057" s="41"/>
      <c r="J2057" s="41">
        <f t="shared" si="8"/>
        <v>875.28</v>
      </c>
      <c r="K2057" s="42" t="s">
        <v>5796</v>
      </c>
      <c r="L2057" s="39">
        <v>1266</v>
      </c>
    </row>
    <row r="2058" spans="1:12" ht="11.25" customHeight="1">
      <c r="A2058" s="39">
        <v>1267</v>
      </c>
      <c r="B2058" s="40" t="s">
        <v>14317</v>
      </c>
      <c r="C2058" s="40" t="s">
        <v>14318</v>
      </c>
      <c r="D2058" s="40" t="s">
        <v>14319</v>
      </c>
      <c r="E2058" s="41">
        <v>873.57</v>
      </c>
      <c r="F2058" s="40"/>
      <c r="G2058" s="41"/>
      <c r="H2058" s="40"/>
      <c r="I2058" s="41"/>
      <c r="J2058" s="41">
        <f t="shared" si="8"/>
        <v>873.57</v>
      </c>
      <c r="K2058" s="42" t="s">
        <v>5796</v>
      </c>
      <c r="L2058" s="39">
        <v>1267</v>
      </c>
    </row>
    <row r="2059" spans="1:12" ht="11.25" customHeight="1">
      <c r="A2059" s="39">
        <v>1268</v>
      </c>
      <c r="B2059" s="40" t="s">
        <v>14320</v>
      </c>
      <c r="C2059" s="40" t="s">
        <v>14321</v>
      </c>
      <c r="D2059" s="40" t="s">
        <v>14322</v>
      </c>
      <c r="E2059" s="41">
        <v>871.7</v>
      </c>
      <c r="F2059" s="40"/>
      <c r="G2059" s="41"/>
      <c r="H2059" s="40"/>
      <c r="I2059" s="41"/>
      <c r="J2059" s="41">
        <f t="shared" si="8"/>
        <v>871.7</v>
      </c>
      <c r="K2059" s="42" t="s">
        <v>5796</v>
      </c>
      <c r="L2059" s="39">
        <v>1268</v>
      </c>
    </row>
    <row r="2060" spans="1:12" ht="11.25" customHeight="1">
      <c r="A2060" s="39">
        <v>1269</v>
      </c>
      <c r="B2060" s="40" t="s">
        <v>14323</v>
      </c>
      <c r="C2060" s="40" t="s">
        <v>14324</v>
      </c>
      <c r="D2060" s="40" t="s">
        <v>14325</v>
      </c>
      <c r="E2060" s="41">
        <v>871.14</v>
      </c>
      <c r="F2060" s="40"/>
      <c r="G2060" s="41"/>
      <c r="H2060" s="40"/>
      <c r="I2060" s="41"/>
      <c r="J2060" s="41">
        <f t="shared" si="8"/>
        <v>871.14</v>
      </c>
      <c r="K2060" s="42" t="s">
        <v>5796</v>
      </c>
      <c r="L2060" s="39">
        <v>1269</v>
      </c>
    </row>
    <row r="2061" spans="1:12" ht="11.25" customHeight="1">
      <c r="A2061" s="39">
        <v>1272</v>
      </c>
      <c r="B2061" s="40" t="s">
        <v>14326</v>
      </c>
      <c r="C2061" s="40" t="s">
        <v>14327</v>
      </c>
      <c r="D2061" s="40" t="s">
        <v>14328</v>
      </c>
      <c r="E2061" s="41">
        <v>866.63</v>
      </c>
      <c r="F2061" s="40"/>
      <c r="G2061" s="41"/>
      <c r="H2061" s="40"/>
      <c r="I2061" s="41"/>
      <c r="J2061" s="41">
        <f t="shared" si="8"/>
        <v>866.63</v>
      </c>
      <c r="K2061" s="42" t="s">
        <v>5796</v>
      </c>
      <c r="L2061" s="39">
        <v>1272</v>
      </c>
    </row>
    <row r="2062" spans="1:12" ht="11.25" customHeight="1">
      <c r="A2062" s="39">
        <v>1276</v>
      </c>
      <c r="B2062" s="40" t="s">
        <v>14329</v>
      </c>
      <c r="C2062" s="40" t="s">
        <v>14330</v>
      </c>
      <c r="D2062" s="40" t="s">
        <v>14331</v>
      </c>
      <c r="E2062" s="41">
        <v>857.26</v>
      </c>
      <c r="F2062" s="40"/>
      <c r="G2062" s="41"/>
      <c r="H2062" s="40"/>
      <c r="I2062" s="41"/>
      <c r="J2062" s="41">
        <f t="shared" si="8"/>
        <v>857.26</v>
      </c>
      <c r="K2062" s="42" t="s">
        <v>5796</v>
      </c>
      <c r="L2062" s="39">
        <v>1276</v>
      </c>
    </row>
    <row r="2063" spans="1:12" ht="11.25" customHeight="1">
      <c r="A2063" s="39">
        <v>1285</v>
      </c>
      <c r="B2063" s="40" t="s">
        <v>14332</v>
      </c>
      <c r="C2063" s="40" t="s">
        <v>14333</v>
      </c>
      <c r="D2063" s="40" t="s">
        <v>14334</v>
      </c>
      <c r="E2063" s="41">
        <v>831.35</v>
      </c>
      <c r="F2063" s="40"/>
      <c r="G2063" s="41"/>
      <c r="H2063" s="40"/>
      <c r="I2063" s="41"/>
      <c r="J2063" s="41">
        <f t="shared" si="8"/>
        <v>831.35</v>
      </c>
      <c r="K2063" s="42" t="s">
        <v>5796</v>
      </c>
      <c r="L2063" s="39">
        <v>1285</v>
      </c>
    </row>
    <row r="2064" spans="1:12" ht="11.25" customHeight="1">
      <c r="A2064" s="39">
        <v>1297</v>
      </c>
      <c r="B2064" s="40" t="s">
        <v>14335</v>
      </c>
      <c r="C2064" s="40" t="s">
        <v>14336</v>
      </c>
      <c r="D2064" s="40" t="s">
        <v>14337</v>
      </c>
      <c r="E2064" s="41">
        <v>818.53</v>
      </c>
      <c r="F2064" s="40"/>
      <c r="G2064" s="41"/>
      <c r="H2064" s="40"/>
      <c r="I2064" s="41"/>
      <c r="J2064" s="41">
        <f t="shared" si="8"/>
        <v>818.53</v>
      </c>
      <c r="K2064" s="42" t="s">
        <v>5796</v>
      </c>
      <c r="L2064" s="39">
        <v>1297</v>
      </c>
    </row>
    <row r="2065" spans="1:12" ht="11.25" customHeight="1">
      <c r="A2065" s="39">
        <v>1302</v>
      </c>
      <c r="B2065" s="40" t="s">
        <v>7182</v>
      </c>
      <c r="C2065" s="40" t="s">
        <v>14338</v>
      </c>
      <c r="D2065" s="40" t="s">
        <v>14339</v>
      </c>
      <c r="E2065" s="41">
        <v>802.79</v>
      </c>
      <c r="F2065" s="40"/>
      <c r="G2065" s="41"/>
      <c r="H2065" s="40"/>
      <c r="I2065" s="41"/>
      <c r="J2065" s="41">
        <f t="shared" si="8"/>
        <v>802.79</v>
      </c>
      <c r="K2065" s="42" t="s">
        <v>5796</v>
      </c>
      <c r="L2065" s="39">
        <v>1302</v>
      </c>
    </row>
    <row r="2066" spans="1:12" ht="11.25" customHeight="1">
      <c r="A2066" s="39">
        <v>1308</v>
      </c>
      <c r="B2066" s="40" t="s">
        <v>14340</v>
      </c>
      <c r="C2066" s="40" t="s">
        <v>14341</v>
      </c>
      <c r="D2066" s="40" t="s">
        <v>14342</v>
      </c>
      <c r="E2066" s="41">
        <v>792.91</v>
      </c>
      <c r="F2066" s="40"/>
      <c r="G2066" s="41"/>
      <c r="H2066" s="40"/>
      <c r="I2066" s="41"/>
      <c r="J2066" s="41">
        <f t="shared" si="8"/>
        <v>792.91</v>
      </c>
      <c r="K2066" s="42" t="s">
        <v>5796</v>
      </c>
      <c r="L2066" s="39">
        <v>1308</v>
      </c>
    </row>
    <row r="2067" spans="1:12" ht="11.25" customHeight="1">
      <c r="A2067" s="39">
        <v>1317</v>
      </c>
      <c r="B2067" s="40" t="s">
        <v>14343</v>
      </c>
      <c r="C2067" s="40" t="s">
        <v>14344</v>
      </c>
      <c r="D2067" s="40" t="s">
        <v>14345</v>
      </c>
      <c r="E2067" s="41">
        <v>777.57</v>
      </c>
      <c r="F2067" s="40"/>
      <c r="G2067" s="41"/>
      <c r="H2067" s="40"/>
      <c r="I2067" s="41"/>
      <c r="J2067" s="41">
        <f t="shared" si="8"/>
        <v>777.57</v>
      </c>
      <c r="K2067" s="42" t="s">
        <v>5796</v>
      </c>
      <c r="L2067" s="39">
        <v>1317</v>
      </c>
    </row>
    <row r="2068" spans="1:12" ht="11.25" customHeight="1">
      <c r="A2068" s="39">
        <v>1318</v>
      </c>
      <c r="B2068" s="40" t="s">
        <v>14346</v>
      </c>
      <c r="C2068" s="40" t="s">
        <v>14347</v>
      </c>
      <c r="D2068" s="40" t="s">
        <v>14348</v>
      </c>
      <c r="E2068" s="41">
        <v>776.95</v>
      </c>
      <c r="F2068" s="40"/>
      <c r="G2068" s="41"/>
      <c r="H2068" s="40"/>
      <c r="I2068" s="41"/>
      <c r="J2068" s="41">
        <f t="shared" si="8"/>
        <v>776.95</v>
      </c>
      <c r="K2068" s="42" t="s">
        <v>5796</v>
      </c>
      <c r="L2068" s="39">
        <v>1318</v>
      </c>
    </row>
    <row r="2069" spans="1:12" ht="11.25" customHeight="1">
      <c r="A2069" s="39">
        <v>1319</v>
      </c>
      <c r="B2069" s="40" t="s">
        <v>14349</v>
      </c>
      <c r="C2069" s="40" t="s">
        <v>14350</v>
      </c>
      <c r="D2069" s="40" t="s">
        <v>14351</v>
      </c>
      <c r="E2069" s="41">
        <v>776.63</v>
      </c>
      <c r="F2069" s="40"/>
      <c r="G2069" s="41"/>
      <c r="H2069" s="40"/>
      <c r="I2069" s="41"/>
      <c r="J2069" s="41">
        <f t="shared" si="8"/>
        <v>776.63</v>
      </c>
      <c r="K2069" s="42" t="s">
        <v>5796</v>
      </c>
      <c r="L2069" s="39">
        <v>1319</v>
      </c>
    </row>
    <row r="2070" spans="1:12" ht="11.25" customHeight="1">
      <c r="A2070" s="39">
        <v>1322</v>
      </c>
      <c r="B2070" s="40" t="s">
        <v>14352</v>
      </c>
      <c r="C2070" s="40" t="s">
        <v>14353</v>
      </c>
      <c r="D2070" s="40" t="s">
        <v>14354</v>
      </c>
      <c r="E2070" s="41">
        <v>769.09</v>
      </c>
      <c r="F2070" s="40"/>
      <c r="G2070" s="41"/>
      <c r="H2070" s="40"/>
      <c r="I2070" s="41"/>
      <c r="J2070" s="41">
        <f t="shared" si="8"/>
        <v>769.09</v>
      </c>
      <c r="K2070" s="42" t="s">
        <v>5796</v>
      </c>
      <c r="L2070" s="39">
        <v>1322</v>
      </c>
    </row>
    <row r="2071" spans="1:12" ht="11.25" customHeight="1">
      <c r="A2071" s="39">
        <v>1323</v>
      </c>
      <c r="B2071" s="40" t="s">
        <v>14355</v>
      </c>
      <c r="C2071" s="40" t="s">
        <v>14356</v>
      </c>
      <c r="D2071" s="40" t="s">
        <v>14357</v>
      </c>
      <c r="E2071" s="41">
        <v>762.36</v>
      </c>
      <c r="F2071" s="40"/>
      <c r="G2071" s="41"/>
      <c r="H2071" s="40"/>
      <c r="I2071" s="41"/>
      <c r="J2071" s="41">
        <f t="shared" si="8"/>
        <v>762.36</v>
      </c>
      <c r="K2071" s="42" t="s">
        <v>5796</v>
      </c>
      <c r="L2071" s="39">
        <v>1323</v>
      </c>
    </row>
    <row r="2072" spans="1:12" ht="11.25" customHeight="1">
      <c r="A2072" s="39">
        <v>1326</v>
      </c>
      <c r="B2072" s="40" t="s">
        <v>14358</v>
      </c>
      <c r="C2072" s="40" t="s">
        <v>14359</v>
      </c>
      <c r="D2072" s="40" t="s">
        <v>14360</v>
      </c>
      <c r="E2072" s="41">
        <v>755.7</v>
      </c>
      <c r="F2072" s="40"/>
      <c r="G2072" s="41"/>
      <c r="H2072" s="40"/>
      <c r="I2072" s="41"/>
      <c r="J2072" s="41">
        <f t="shared" si="8"/>
        <v>755.7</v>
      </c>
      <c r="K2072" s="42" t="s">
        <v>5796</v>
      </c>
      <c r="L2072" s="39">
        <v>1326</v>
      </c>
    </row>
    <row r="2073" spans="1:12" ht="11.25" customHeight="1">
      <c r="A2073" s="39">
        <v>1327</v>
      </c>
      <c r="B2073" s="40" t="s">
        <v>14361</v>
      </c>
      <c r="C2073" s="40" t="s">
        <v>14362</v>
      </c>
      <c r="D2073" s="40" t="s">
        <v>14363</v>
      </c>
      <c r="E2073" s="41">
        <v>751.9</v>
      </c>
      <c r="F2073" s="40"/>
      <c r="G2073" s="41"/>
      <c r="H2073" s="40"/>
      <c r="I2073" s="41"/>
      <c r="J2073" s="41">
        <f t="shared" si="8"/>
        <v>751.9</v>
      </c>
      <c r="K2073" s="42" t="s">
        <v>5796</v>
      </c>
      <c r="L2073" s="39">
        <v>1327</v>
      </c>
    </row>
    <row r="2074" spans="1:12" ht="11.25" customHeight="1">
      <c r="A2074" s="39">
        <v>1328</v>
      </c>
      <c r="B2074" s="40" t="s">
        <v>14364</v>
      </c>
      <c r="C2074" s="40" t="s">
        <v>14365</v>
      </c>
      <c r="D2074" s="40" t="s">
        <v>14366</v>
      </c>
      <c r="E2074" s="41">
        <v>750.25</v>
      </c>
      <c r="F2074" s="40"/>
      <c r="G2074" s="41"/>
      <c r="H2074" s="40"/>
      <c r="I2074" s="41"/>
      <c r="J2074" s="41">
        <f t="shared" si="8"/>
        <v>750.25</v>
      </c>
      <c r="K2074" s="42" t="s">
        <v>5796</v>
      </c>
      <c r="L2074" s="39">
        <v>1328</v>
      </c>
    </row>
    <row r="2075" spans="1:12" ht="11.25" customHeight="1">
      <c r="A2075" s="39">
        <v>1329</v>
      </c>
      <c r="B2075" s="40" t="s">
        <v>14367</v>
      </c>
      <c r="C2075" s="40" t="s">
        <v>14368</v>
      </c>
      <c r="D2075" s="40" t="s">
        <v>14369</v>
      </c>
      <c r="E2075" s="41">
        <v>750.15</v>
      </c>
      <c r="F2075" s="40"/>
      <c r="G2075" s="41"/>
      <c r="H2075" s="40"/>
      <c r="I2075" s="41"/>
      <c r="J2075" s="41">
        <f t="shared" si="8"/>
        <v>750.15</v>
      </c>
      <c r="K2075" s="42" t="s">
        <v>5796</v>
      </c>
      <c r="L2075" s="39">
        <v>1329</v>
      </c>
    </row>
    <row r="2076" spans="1:12" ht="11.25" customHeight="1">
      <c r="A2076" s="39">
        <v>1334</v>
      </c>
      <c r="B2076" s="40" t="s">
        <v>14370</v>
      </c>
      <c r="C2076" s="40" t="s">
        <v>14371</v>
      </c>
      <c r="D2076" s="40" t="s">
        <v>14372</v>
      </c>
      <c r="E2076" s="41">
        <v>745.5</v>
      </c>
      <c r="F2076" s="40"/>
      <c r="G2076" s="41"/>
      <c r="H2076" s="40"/>
      <c r="I2076" s="41"/>
      <c r="J2076" s="41">
        <f t="shared" si="8"/>
        <v>745.5</v>
      </c>
      <c r="K2076" s="42" t="s">
        <v>5796</v>
      </c>
      <c r="L2076" s="39">
        <v>1334</v>
      </c>
    </row>
    <row r="2077" spans="1:12" ht="11.25" customHeight="1">
      <c r="A2077" s="39">
        <v>1335</v>
      </c>
      <c r="B2077" s="40" t="s">
        <v>14373</v>
      </c>
      <c r="C2077" s="40" t="s">
        <v>14374</v>
      </c>
      <c r="D2077" s="40" t="s">
        <v>14375</v>
      </c>
      <c r="E2077" s="41">
        <v>745.5</v>
      </c>
      <c r="F2077" s="40"/>
      <c r="G2077" s="41"/>
      <c r="H2077" s="40"/>
      <c r="I2077" s="41"/>
      <c r="J2077" s="41">
        <f t="shared" si="8"/>
        <v>745.5</v>
      </c>
      <c r="K2077" s="42" t="s">
        <v>5796</v>
      </c>
      <c r="L2077" s="39">
        <v>1335</v>
      </c>
    </row>
    <row r="2078" spans="1:12" ht="11.25" customHeight="1">
      <c r="A2078" s="39">
        <v>1336</v>
      </c>
      <c r="B2078" s="40" t="s">
        <v>7274</v>
      </c>
      <c r="C2078" s="40" t="s">
        <v>14376</v>
      </c>
      <c r="D2078" s="40" t="s">
        <v>14377</v>
      </c>
      <c r="E2078" s="41">
        <v>743.78</v>
      </c>
      <c r="F2078" s="40"/>
      <c r="G2078" s="41"/>
      <c r="H2078" s="40"/>
      <c r="I2078" s="41"/>
      <c r="J2078" s="41">
        <f t="shared" si="8"/>
        <v>743.78</v>
      </c>
      <c r="K2078" s="42" t="s">
        <v>5796</v>
      </c>
      <c r="L2078" s="39">
        <v>1336</v>
      </c>
    </row>
    <row r="2079" spans="1:12" ht="11.25" customHeight="1">
      <c r="A2079" s="39">
        <v>1337</v>
      </c>
      <c r="B2079" s="40" t="s">
        <v>14378</v>
      </c>
      <c r="C2079" s="40" t="s">
        <v>14379</v>
      </c>
      <c r="D2079" s="40" t="s">
        <v>14380</v>
      </c>
      <c r="E2079" s="41">
        <v>741.28</v>
      </c>
      <c r="F2079" s="40"/>
      <c r="G2079" s="41"/>
      <c r="H2079" s="40"/>
      <c r="I2079" s="41"/>
      <c r="J2079" s="41">
        <f t="shared" si="8"/>
        <v>741.28</v>
      </c>
      <c r="K2079" s="42" t="s">
        <v>5796</v>
      </c>
      <c r="L2079" s="39">
        <v>1337</v>
      </c>
    </row>
    <row r="2080" spans="1:12" ht="11.25" customHeight="1">
      <c r="A2080" s="39">
        <v>1341</v>
      </c>
      <c r="B2080" s="40" t="s">
        <v>14381</v>
      </c>
      <c r="C2080" s="40" t="s">
        <v>14382</v>
      </c>
      <c r="D2080" s="40" t="s">
        <v>14383</v>
      </c>
      <c r="E2080" s="41">
        <v>736.22</v>
      </c>
      <c r="F2080" s="40"/>
      <c r="G2080" s="41"/>
      <c r="H2080" s="40"/>
      <c r="I2080" s="41"/>
      <c r="J2080" s="41">
        <f t="shared" si="8"/>
        <v>736.22</v>
      </c>
      <c r="K2080" s="42" t="s">
        <v>5796</v>
      </c>
      <c r="L2080" s="39">
        <v>1341</v>
      </c>
    </row>
    <row r="2081" spans="1:12" ht="11.25" customHeight="1">
      <c r="A2081" s="39">
        <v>1342</v>
      </c>
      <c r="B2081" s="40" t="s">
        <v>14384</v>
      </c>
      <c r="C2081" s="40" t="s">
        <v>14385</v>
      </c>
      <c r="D2081" s="40" t="s">
        <v>14386</v>
      </c>
      <c r="E2081" s="41">
        <v>735.12</v>
      </c>
      <c r="F2081" s="40"/>
      <c r="G2081" s="41"/>
      <c r="H2081" s="40"/>
      <c r="I2081" s="41"/>
      <c r="J2081" s="41">
        <f t="shared" si="8"/>
        <v>735.12</v>
      </c>
      <c r="K2081" s="42" t="s">
        <v>5796</v>
      </c>
      <c r="L2081" s="39">
        <v>1342</v>
      </c>
    </row>
    <row r="2082" spans="1:12" ht="11.25" customHeight="1">
      <c r="A2082" s="39">
        <v>1347</v>
      </c>
      <c r="B2082" s="40" t="s">
        <v>14387</v>
      </c>
      <c r="C2082" s="40" t="s">
        <v>14388</v>
      </c>
      <c r="D2082" s="40" t="s">
        <v>14389</v>
      </c>
      <c r="E2082" s="41">
        <v>730.23</v>
      </c>
      <c r="F2082" s="40"/>
      <c r="G2082" s="41"/>
      <c r="H2082" s="40"/>
      <c r="I2082" s="41"/>
      <c r="J2082" s="41">
        <f t="shared" si="8"/>
        <v>730.23</v>
      </c>
      <c r="K2082" s="42" t="s">
        <v>5796</v>
      </c>
      <c r="L2082" s="39">
        <v>1347</v>
      </c>
    </row>
    <row r="2083" spans="1:12" ht="11.25" customHeight="1">
      <c r="A2083" s="39">
        <v>1348</v>
      </c>
      <c r="B2083" s="40" t="s">
        <v>14390</v>
      </c>
      <c r="C2083" s="40" t="s">
        <v>14391</v>
      </c>
      <c r="D2083" s="40" t="s">
        <v>14392</v>
      </c>
      <c r="E2083" s="41">
        <v>729.52</v>
      </c>
      <c r="F2083" s="40"/>
      <c r="G2083" s="41"/>
      <c r="H2083" s="40"/>
      <c r="I2083" s="41"/>
      <c r="J2083" s="41">
        <f t="shared" si="8"/>
        <v>729.52</v>
      </c>
      <c r="K2083" s="42" t="s">
        <v>5796</v>
      </c>
      <c r="L2083" s="39">
        <v>1348</v>
      </c>
    </row>
    <row r="2084" spans="1:12" ht="11.25" customHeight="1">
      <c r="A2084" s="39">
        <v>1350</v>
      </c>
      <c r="B2084" s="40" t="s">
        <v>14393</v>
      </c>
      <c r="C2084" s="40" t="s">
        <v>14394</v>
      </c>
      <c r="D2084" s="40" t="s">
        <v>14395</v>
      </c>
      <c r="E2084" s="41">
        <v>725.59</v>
      </c>
      <c r="F2084" s="40"/>
      <c r="G2084" s="41"/>
      <c r="H2084" s="40"/>
      <c r="I2084" s="41"/>
      <c r="J2084" s="41">
        <f t="shared" si="8"/>
        <v>725.59</v>
      </c>
      <c r="K2084" s="42" t="s">
        <v>5796</v>
      </c>
      <c r="L2084" s="39">
        <v>1350</v>
      </c>
    </row>
    <row r="2085" spans="1:12" ht="11.25" customHeight="1">
      <c r="A2085" s="39">
        <v>1352</v>
      </c>
      <c r="B2085" s="40" t="s">
        <v>14396</v>
      </c>
      <c r="C2085" s="40" t="s">
        <v>14397</v>
      </c>
      <c r="D2085" s="40" t="s">
        <v>14398</v>
      </c>
      <c r="E2085" s="41">
        <v>721.82</v>
      </c>
      <c r="F2085" s="40"/>
      <c r="G2085" s="41"/>
      <c r="H2085" s="40"/>
      <c r="I2085" s="41"/>
      <c r="J2085" s="41">
        <f t="shared" si="8"/>
        <v>721.82</v>
      </c>
      <c r="K2085" s="42" t="s">
        <v>5796</v>
      </c>
      <c r="L2085" s="39">
        <v>1352</v>
      </c>
    </row>
    <row r="2086" spans="1:12" ht="11.25" customHeight="1">
      <c r="A2086" s="39">
        <v>1355</v>
      </c>
      <c r="B2086" s="40" t="s">
        <v>14399</v>
      </c>
      <c r="C2086" s="40" t="s">
        <v>14400</v>
      </c>
      <c r="D2086" s="40" t="s">
        <v>14401</v>
      </c>
      <c r="E2086" s="41">
        <v>716.37</v>
      </c>
      <c r="F2086" s="40"/>
      <c r="G2086" s="41"/>
      <c r="H2086" s="40"/>
      <c r="I2086" s="41"/>
      <c r="J2086" s="41">
        <f t="shared" si="8"/>
        <v>716.37</v>
      </c>
      <c r="K2086" s="42" t="s">
        <v>5796</v>
      </c>
      <c r="L2086" s="39">
        <v>1355</v>
      </c>
    </row>
    <row r="2087" spans="1:12" ht="11.25" customHeight="1">
      <c r="A2087" s="39">
        <v>1357</v>
      </c>
      <c r="B2087" s="40" t="s">
        <v>14402</v>
      </c>
      <c r="C2087" s="40" t="s">
        <v>14403</v>
      </c>
      <c r="D2087" s="40" t="s">
        <v>14404</v>
      </c>
      <c r="E2087" s="41">
        <v>709.12</v>
      </c>
      <c r="F2087" s="40"/>
      <c r="G2087" s="41"/>
      <c r="H2087" s="40"/>
      <c r="I2087" s="41"/>
      <c r="J2087" s="41">
        <f t="shared" si="8"/>
        <v>709.12</v>
      </c>
      <c r="K2087" s="42" t="s">
        <v>5796</v>
      </c>
      <c r="L2087" s="39">
        <v>1357</v>
      </c>
    </row>
    <row r="2088" spans="1:12" ht="11.25" customHeight="1">
      <c r="A2088" s="39">
        <v>1359</v>
      </c>
      <c r="B2088" s="54" t="s">
        <v>10239</v>
      </c>
      <c r="C2088" s="54" t="s">
        <v>14405</v>
      </c>
      <c r="D2088" s="40"/>
      <c r="E2088" s="41"/>
      <c r="F2088" s="40"/>
      <c r="G2088" s="41"/>
      <c r="H2088" s="54" t="s">
        <v>14406</v>
      </c>
      <c r="I2088" s="41">
        <v>707.20171200000004</v>
      </c>
      <c r="J2088" s="41">
        <f t="shared" si="8"/>
        <v>707.20171200000004</v>
      </c>
      <c r="K2088" s="42" t="s">
        <v>5796</v>
      </c>
      <c r="L2088" s="39">
        <v>1359</v>
      </c>
    </row>
    <row r="2089" spans="1:12" ht="11.25" customHeight="1">
      <c r="A2089" s="39">
        <v>1365</v>
      </c>
      <c r="B2089" s="40" t="s">
        <v>14407</v>
      </c>
      <c r="C2089" s="40" t="s">
        <v>14408</v>
      </c>
      <c r="D2089" s="40" t="s">
        <v>14409</v>
      </c>
      <c r="E2089" s="41">
        <v>692.43</v>
      </c>
      <c r="F2089" s="40"/>
      <c r="G2089" s="41"/>
      <c r="H2089" s="40"/>
      <c r="I2089" s="41"/>
      <c r="J2089" s="41">
        <f t="shared" si="8"/>
        <v>692.43</v>
      </c>
      <c r="K2089" s="42" t="s">
        <v>5796</v>
      </c>
      <c r="L2089" s="39">
        <v>1365</v>
      </c>
    </row>
    <row r="2090" spans="1:12" ht="11.25" customHeight="1">
      <c r="A2090" s="39">
        <v>1367</v>
      </c>
      <c r="B2090" s="40" t="s">
        <v>14410</v>
      </c>
      <c r="C2090" s="40" t="s">
        <v>14411</v>
      </c>
      <c r="D2090" s="40" t="s">
        <v>14412</v>
      </c>
      <c r="E2090" s="41">
        <v>690.3</v>
      </c>
      <c r="F2090" s="40"/>
      <c r="G2090" s="41"/>
      <c r="H2090" s="40"/>
      <c r="I2090" s="41"/>
      <c r="J2090" s="41">
        <f t="shared" si="8"/>
        <v>690.3</v>
      </c>
      <c r="K2090" s="42" t="s">
        <v>5796</v>
      </c>
      <c r="L2090" s="39">
        <v>1367</v>
      </c>
    </row>
    <row r="2091" spans="1:12" ht="11.25" customHeight="1">
      <c r="A2091" s="39">
        <v>1368</v>
      </c>
      <c r="B2091" s="40" t="s">
        <v>14413</v>
      </c>
      <c r="C2091" s="40" t="s">
        <v>14414</v>
      </c>
      <c r="D2091" s="40" t="s">
        <v>14415</v>
      </c>
      <c r="E2091" s="41">
        <v>687.4</v>
      </c>
      <c r="F2091" s="40"/>
      <c r="G2091" s="41"/>
      <c r="H2091" s="40"/>
      <c r="I2091" s="41"/>
      <c r="J2091" s="41">
        <f t="shared" si="8"/>
        <v>687.4</v>
      </c>
      <c r="K2091" s="42" t="s">
        <v>5796</v>
      </c>
      <c r="L2091" s="39">
        <v>1368</v>
      </c>
    </row>
    <row r="2092" spans="1:12" ht="11.25" customHeight="1">
      <c r="A2092" s="39">
        <v>1375</v>
      </c>
      <c r="B2092" s="40" t="s">
        <v>14416</v>
      </c>
      <c r="C2092" s="40" t="s">
        <v>14417</v>
      </c>
      <c r="D2092" s="40" t="s">
        <v>14418</v>
      </c>
      <c r="E2092" s="41">
        <v>677.34</v>
      </c>
      <c r="F2092" s="40"/>
      <c r="G2092" s="41"/>
      <c r="H2092" s="40"/>
      <c r="I2092" s="41"/>
      <c r="J2092" s="41">
        <f t="shared" si="8"/>
        <v>677.34</v>
      </c>
      <c r="K2092" s="42" t="s">
        <v>5796</v>
      </c>
      <c r="L2092" s="39">
        <v>1375</v>
      </c>
    </row>
    <row r="2093" spans="1:12" ht="11.25" customHeight="1">
      <c r="A2093" s="39">
        <v>1383</v>
      </c>
      <c r="B2093" s="40" t="s">
        <v>14419</v>
      </c>
      <c r="C2093" s="40" t="s">
        <v>14420</v>
      </c>
      <c r="D2093" s="40" t="s">
        <v>14421</v>
      </c>
      <c r="E2093" s="41">
        <v>664.3</v>
      </c>
      <c r="F2093" s="40"/>
      <c r="G2093" s="41"/>
      <c r="H2093" s="40"/>
      <c r="I2093" s="41"/>
      <c r="J2093" s="41">
        <f t="shared" si="8"/>
        <v>664.3</v>
      </c>
      <c r="K2093" s="42" t="s">
        <v>5796</v>
      </c>
      <c r="L2093" s="39">
        <v>1383</v>
      </c>
    </row>
    <row r="2094" spans="1:12" ht="11.25" customHeight="1">
      <c r="A2094" s="39">
        <v>1391</v>
      </c>
      <c r="B2094" s="40" t="s">
        <v>14422</v>
      </c>
      <c r="C2094" s="40" t="s">
        <v>14423</v>
      </c>
      <c r="D2094" s="40" t="s">
        <v>14424</v>
      </c>
      <c r="E2094" s="41">
        <v>653.59</v>
      </c>
      <c r="F2094" s="40"/>
      <c r="G2094" s="41"/>
      <c r="H2094" s="40"/>
      <c r="I2094" s="41"/>
      <c r="J2094" s="41">
        <f t="shared" si="8"/>
        <v>653.59</v>
      </c>
      <c r="K2094" s="42" t="s">
        <v>5796</v>
      </c>
      <c r="L2094" s="39">
        <v>1391</v>
      </c>
    </row>
    <row r="2095" spans="1:12" ht="11.25" customHeight="1">
      <c r="A2095" s="39">
        <v>1396</v>
      </c>
      <c r="B2095" s="40" t="s">
        <v>14425</v>
      </c>
      <c r="C2095" s="40" t="s">
        <v>14426</v>
      </c>
      <c r="D2095" s="40" t="s">
        <v>14427</v>
      </c>
      <c r="E2095" s="41">
        <v>647.96</v>
      </c>
      <c r="F2095" s="40"/>
      <c r="G2095" s="41"/>
      <c r="H2095" s="40"/>
      <c r="I2095" s="41"/>
      <c r="J2095" s="41">
        <f t="shared" si="8"/>
        <v>647.96</v>
      </c>
      <c r="K2095" s="42" t="s">
        <v>5796</v>
      </c>
      <c r="L2095" s="39">
        <v>1396</v>
      </c>
    </row>
    <row r="2096" spans="1:12" ht="11.25" customHeight="1">
      <c r="A2096" s="39">
        <v>1399</v>
      </c>
      <c r="B2096" s="40" t="s">
        <v>14428</v>
      </c>
      <c r="C2096" s="40" t="s">
        <v>14429</v>
      </c>
      <c r="D2096" s="40" t="s">
        <v>14430</v>
      </c>
      <c r="E2096" s="41">
        <v>645.29999999999995</v>
      </c>
      <c r="F2096" s="40"/>
      <c r="G2096" s="41"/>
      <c r="H2096" s="40"/>
      <c r="I2096" s="41"/>
      <c r="J2096" s="41">
        <f t="shared" si="8"/>
        <v>645.29999999999995</v>
      </c>
      <c r="K2096" s="42" t="s">
        <v>5796</v>
      </c>
      <c r="L2096" s="39">
        <v>1399</v>
      </c>
    </row>
    <row r="2097" spans="1:12" ht="11.25" customHeight="1">
      <c r="A2097" s="39">
        <v>1402</v>
      </c>
      <c r="B2097" s="40" t="s">
        <v>14431</v>
      </c>
      <c r="C2097" s="40" t="s">
        <v>14432</v>
      </c>
      <c r="D2097" s="40" t="s">
        <v>14433</v>
      </c>
      <c r="E2097" s="41">
        <v>643.178559481923</v>
      </c>
      <c r="F2097" s="40"/>
      <c r="G2097" s="41"/>
      <c r="H2097" s="40"/>
      <c r="I2097" s="41"/>
      <c r="J2097" s="41">
        <f t="shared" si="8"/>
        <v>643.178559481923</v>
      </c>
      <c r="K2097" s="42" t="s">
        <v>5796</v>
      </c>
      <c r="L2097" s="39">
        <v>1402</v>
      </c>
    </row>
    <row r="2098" spans="1:12" ht="11.25" customHeight="1">
      <c r="A2098" s="39">
        <v>1404</v>
      </c>
      <c r="B2098" s="40" t="s">
        <v>14434</v>
      </c>
      <c r="C2098" s="40" t="s">
        <v>14435</v>
      </c>
      <c r="D2098" s="40" t="s">
        <v>14436</v>
      </c>
      <c r="E2098" s="41">
        <v>640.71</v>
      </c>
      <c r="F2098" s="40"/>
      <c r="G2098" s="41"/>
      <c r="H2098" s="40"/>
      <c r="I2098" s="41"/>
      <c r="J2098" s="41">
        <f t="shared" si="8"/>
        <v>640.71</v>
      </c>
      <c r="K2098" s="42" t="s">
        <v>5796</v>
      </c>
      <c r="L2098" s="39">
        <v>1404</v>
      </c>
    </row>
    <row r="2099" spans="1:12" ht="11.25" customHeight="1">
      <c r="A2099" s="39">
        <v>1405</v>
      </c>
      <c r="B2099" s="40" t="s">
        <v>14437</v>
      </c>
      <c r="C2099" s="40" t="s">
        <v>14438</v>
      </c>
      <c r="D2099" s="40" t="s">
        <v>14439</v>
      </c>
      <c r="E2099" s="41">
        <v>640.17999999999995</v>
      </c>
      <c r="F2099" s="40"/>
      <c r="G2099" s="41"/>
      <c r="H2099" s="40"/>
      <c r="I2099" s="41"/>
      <c r="J2099" s="41">
        <f t="shared" si="8"/>
        <v>640.17999999999995</v>
      </c>
      <c r="K2099" s="42" t="s">
        <v>5796</v>
      </c>
      <c r="L2099" s="39">
        <v>1405</v>
      </c>
    </row>
    <row r="2100" spans="1:12" ht="11.25" customHeight="1">
      <c r="A2100" s="39">
        <v>1409</v>
      </c>
      <c r="B2100" s="40" t="s">
        <v>14440</v>
      </c>
      <c r="C2100" s="40" t="s">
        <v>14441</v>
      </c>
      <c r="D2100" s="40" t="s">
        <v>14442</v>
      </c>
      <c r="E2100" s="41">
        <v>634.36</v>
      </c>
      <c r="F2100" s="40"/>
      <c r="G2100" s="41"/>
      <c r="H2100" s="40"/>
      <c r="I2100" s="41"/>
      <c r="J2100" s="41">
        <f t="shared" si="8"/>
        <v>634.36</v>
      </c>
      <c r="K2100" s="42" t="s">
        <v>5796</v>
      </c>
      <c r="L2100" s="39">
        <v>1409</v>
      </c>
    </row>
    <row r="2101" spans="1:12" ht="11.25" customHeight="1">
      <c r="A2101" s="39">
        <v>1412</v>
      </c>
      <c r="B2101" s="40" t="s">
        <v>14443</v>
      </c>
      <c r="C2101" s="40" t="s">
        <v>14444</v>
      </c>
      <c r="D2101" s="40" t="s">
        <v>14445</v>
      </c>
      <c r="E2101" s="41">
        <v>625.83000000000004</v>
      </c>
      <c r="F2101" s="40"/>
      <c r="G2101" s="41"/>
      <c r="H2101" s="40"/>
      <c r="I2101" s="41"/>
      <c r="J2101" s="41">
        <f t="shared" si="8"/>
        <v>625.83000000000004</v>
      </c>
      <c r="K2101" s="42" t="s">
        <v>5796</v>
      </c>
      <c r="L2101" s="39">
        <v>1412</v>
      </c>
    </row>
    <row r="2102" spans="1:12" ht="11.25" customHeight="1">
      <c r="A2102" s="39">
        <v>1413</v>
      </c>
      <c r="B2102" s="40" t="s">
        <v>7238</v>
      </c>
      <c r="C2102" s="40" t="s">
        <v>14446</v>
      </c>
      <c r="D2102" s="40" t="s">
        <v>14447</v>
      </c>
      <c r="E2102" s="41">
        <v>625.54999999999995</v>
      </c>
      <c r="F2102" s="40"/>
      <c r="G2102" s="41"/>
      <c r="H2102" s="40"/>
      <c r="I2102" s="41"/>
      <c r="J2102" s="41">
        <f t="shared" si="8"/>
        <v>625.54999999999995</v>
      </c>
      <c r="K2102" s="42" t="s">
        <v>5796</v>
      </c>
      <c r="L2102" s="39">
        <v>1413</v>
      </c>
    </row>
    <row r="2103" spans="1:12" ht="11.25" customHeight="1">
      <c r="A2103" s="39">
        <v>1415</v>
      </c>
      <c r="B2103" s="40" t="s">
        <v>14448</v>
      </c>
      <c r="C2103" s="40" t="s">
        <v>14449</v>
      </c>
      <c r="D2103" s="40" t="s">
        <v>14450</v>
      </c>
      <c r="E2103" s="41">
        <v>624.03</v>
      </c>
      <c r="F2103" s="40"/>
      <c r="G2103" s="41"/>
      <c r="H2103" s="40"/>
      <c r="I2103" s="41"/>
      <c r="J2103" s="41">
        <f t="shared" si="8"/>
        <v>624.03</v>
      </c>
      <c r="K2103" s="42" t="s">
        <v>5796</v>
      </c>
      <c r="L2103" s="39">
        <v>1415</v>
      </c>
    </row>
    <row r="2104" spans="1:12" ht="11.25" customHeight="1">
      <c r="A2104" s="39">
        <v>1421</v>
      </c>
      <c r="B2104" s="40" t="s">
        <v>14451</v>
      </c>
      <c r="C2104" s="40" t="s">
        <v>14452</v>
      </c>
      <c r="D2104" s="40" t="s">
        <v>14453</v>
      </c>
      <c r="E2104" s="41">
        <v>620.72</v>
      </c>
      <c r="F2104" s="40"/>
      <c r="G2104" s="41"/>
      <c r="H2104" s="40"/>
      <c r="I2104" s="41"/>
      <c r="J2104" s="41">
        <f t="shared" si="8"/>
        <v>620.72</v>
      </c>
      <c r="K2104" s="42" t="s">
        <v>5796</v>
      </c>
      <c r="L2104" s="39">
        <v>1421</v>
      </c>
    </row>
    <row r="2105" spans="1:12" ht="11.25" customHeight="1">
      <c r="A2105" s="39">
        <v>1422</v>
      </c>
      <c r="B2105" s="40" t="s">
        <v>14454</v>
      </c>
      <c r="C2105" s="40" t="s">
        <v>14455</v>
      </c>
      <c r="D2105" s="40" t="s">
        <v>14456</v>
      </c>
      <c r="E2105" s="41">
        <v>616.73</v>
      </c>
      <c r="F2105" s="40"/>
      <c r="G2105" s="41"/>
      <c r="H2105" s="40"/>
      <c r="I2105" s="41"/>
      <c r="J2105" s="41">
        <f t="shared" si="8"/>
        <v>616.73</v>
      </c>
      <c r="K2105" s="42" t="s">
        <v>5796</v>
      </c>
      <c r="L2105" s="39">
        <v>1422</v>
      </c>
    </row>
    <row r="2106" spans="1:12" ht="11.25" customHeight="1">
      <c r="A2106" s="39">
        <v>1425</v>
      </c>
      <c r="B2106" s="40" t="s">
        <v>14457</v>
      </c>
      <c r="C2106" s="40" t="s">
        <v>14458</v>
      </c>
      <c r="D2106" s="40" t="s">
        <v>14459</v>
      </c>
      <c r="E2106" s="41">
        <v>612.70000000000005</v>
      </c>
      <c r="F2106" s="40"/>
      <c r="G2106" s="41"/>
      <c r="H2106" s="40"/>
      <c r="I2106" s="41"/>
      <c r="J2106" s="41">
        <f t="shared" si="8"/>
        <v>612.70000000000005</v>
      </c>
      <c r="K2106" s="42" t="s">
        <v>5796</v>
      </c>
      <c r="L2106" s="39">
        <v>1425</v>
      </c>
    </row>
    <row r="2107" spans="1:12" ht="11.25" customHeight="1">
      <c r="A2107" s="39">
        <v>1427</v>
      </c>
      <c r="B2107" s="40" t="s">
        <v>14460</v>
      </c>
      <c r="C2107" s="40" t="s">
        <v>14461</v>
      </c>
      <c r="D2107" s="40" t="s">
        <v>14462</v>
      </c>
      <c r="E2107" s="41">
        <v>608.27</v>
      </c>
      <c r="F2107" s="40"/>
      <c r="G2107" s="41"/>
      <c r="H2107" s="40"/>
      <c r="I2107" s="41"/>
      <c r="J2107" s="41">
        <f t="shared" si="8"/>
        <v>608.27</v>
      </c>
      <c r="K2107" s="42" t="s">
        <v>5796</v>
      </c>
      <c r="L2107" s="39">
        <v>1427</v>
      </c>
    </row>
    <row r="2108" spans="1:12" ht="11.25" customHeight="1">
      <c r="A2108" s="39">
        <v>1428</v>
      </c>
      <c r="B2108" s="40" t="s">
        <v>14463</v>
      </c>
      <c r="C2108" s="40" t="s">
        <v>14464</v>
      </c>
      <c r="D2108" s="40" t="s">
        <v>14465</v>
      </c>
      <c r="E2108" s="41">
        <v>608.23</v>
      </c>
      <c r="F2108" s="40"/>
      <c r="G2108" s="41"/>
      <c r="H2108" s="40"/>
      <c r="I2108" s="41"/>
      <c r="J2108" s="41">
        <f t="shared" si="8"/>
        <v>608.23</v>
      </c>
      <c r="K2108" s="42" t="s">
        <v>5796</v>
      </c>
      <c r="L2108" s="39">
        <v>1428</v>
      </c>
    </row>
    <row r="2109" spans="1:12" ht="11.25" customHeight="1">
      <c r="A2109" s="39">
        <v>1430</v>
      </c>
      <c r="B2109" s="40" t="s">
        <v>14466</v>
      </c>
      <c r="C2109" s="40" t="s">
        <v>14467</v>
      </c>
      <c r="D2109" s="40" t="s">
        <v>14468</v>
      </c>
      <c r="E2109" s="41">
        <v>603.5</v>
      </c>
      <c r="F2109" s="40"/>
      <c r="G2109" s="41"/>
      <c r="H2109" s="40"/>
      <c r="I2109" s="41"/>
      <c r="J2109" s="41">
        <f t="shared" si="8"/>
        <v>603.5</v>
      </c>
      <c r="K2109" s="42" t="s">
        <v>5796</v>
      </c>
      <c r="L2109" s="39">
        <v>1430</v>
      </c>
    </row>
    <row r="2110" spans="1:12" ht="11.25" customHeight="1">
      <c r="A2110" s="39">
        <v>1434</v>
      </c>
      <c r="B2110" s="40" t="s">
        <v>7236</v>
      </c>
      <c r="C2110" s="40" t="s">
        <v>14469</v>
      </c>
      <c r="D2110" s="40" t="s">
        <v>14470</v>
      </c>
      <c r="E2110" s="41">
        <v>594.57000000000005</v>
      </c>
      <c r="F2110" s="40"/>
      <c r="G2110" s="41"/>
      <c r="H2110" s="40"/>
      <c r="I2110" s="41"/>
      <c r="J2110" s="41">
        <f t="shared" si="8"/>
        <v>594.57000000000005</v>
      </c>
      <c r="K2110" s="42" t="s">
        <v>5796</v>
      </c>
      <c r="L2110" s="39">
        <v>1434</v>
      </c>
    </row>
    <row r="2111" spans="1:12" ht="11.25" customHeight="1">
      <c r="A2111" s="39">
        <v>1435</v>
      </c>
      <c r="B2111" s="40" t="s">
        <v>14471</v>
      </c>
      <c r="C2111" s="40" t="s">
        <v>14472</v>
      </c>
      <c r="D2111" s="40" t="s">
        <v>14473</v>
      </c>
      <c r="E2111" s="41">
        <v>590.99</v>
      </c>
      <c r="F2111" s="40"/>
      <c r="G2111" s="41"/>
      <c r="H2111" s="40"/>
      <c r="I2111" s="41"/>
      <c r="J2111" s="41">
        <f t="shared" si="8"/>
        <v>590.99</v>
      </c>
      <c r="K2111" s="42" t="s">
        <v>5796</v>
      </c>
      <c r="L2111" s="39">
        <v>1435</v>
      </c>
    </row>
    <row r="2112" spans="1:12" ht="11.25" customHeight="1">
      <c r="A2112" s="39">
        <v>1438</v>
      </c>
      <c r="B2112" s="40" t="s">
        <v>14474</v>
      </c>
      <c r="C2112" s="40" t="s">
        <v>14475</v>
      </c>
      <c r="D2112" s="40" t="s">
        <v>14476</v>
      </c>
      <c r="E2112" s="41">
        <v>589.15</v>
      </c>
      <c r="F2112" s="40"/>
      <c r="G2112" s="41"/>
      <c r="H2112" s="40"/>
      <c r="I2112" s="41"/>
      <c r="J2112" s="41">
        <f t="shared" si="8"/>
        <v>589.15</v>
      </c>
      <c r="K2112" s="42" t="s">
        <v>5796</v>
      </c>
      <c r="L2112" s="39">
        <v>1438</v>
      </c>
    </row>
    <row r="2113" spans="1:12" ht="11.25" customHeight="1">
      <c r="A2113" s="39">
        <v>1439</v>
      </c>
      <c r="B2113" s="40" t="s">
        <v>14477</v>
      </c>
      <c r="C2113" s="40" t="s">
        <v>14478</v>
      </c>
      <c r="D2113" s="40" t="s">
        <v>14479</v>
      </c>
      <c r="E2113" s="41">
        <v>587.88</v>
      </c>
      <c r="F2113" s="40"/>
      <c r="G2113" s="41"/>
      <c r="H2113" s="40"/>
      <c r="I2113" s="41"/>
      <c r="J2113" s="41">
        <f t="shared" si="8"/>
        <v>587.88</v>
      </c>
      <c r="K2113" s="42" t="s">
        <v>5796</v>
      </c>
      <c r="L2113" s="39">
        <v>1439</v>
      </c>
    </row>
    <row r="2114" spans="1:12" ht="11.25" customHeight="1">
      <c r="A2114" s="39">
        <v>1440</v>
      </c>
      <c r="B2114" s="40" t="s">
        <v>7250</v>
      </c>
      <c r="C2114" s="40" t="s">
        <v>14480</v>
      </c>
      <c r="D2114" s="40" t="s">
        <v>14481</v>
      </c>
      <c r="E2114" s="41">
        <v>583.82000000000005</v>
      </c>
      <c r="F2114" s="40"/>
      <c r="G2114" s="41"/>
      <c r="H2114" s="40"/>
      <c r="I2114" s="41"/>
      <c r="J2114" s="41">
        <f t="shared" si="8"/>
        <v>583.82000000000005</v>
      </c>
      <c r="K2114" s="42" t="s">
        <v>5796</v>
      </c>
      <c r="L2114" s="39">
        <v>1440</v>
      </c>
    </row>
    <row r="2115" spans="1:12" ht="11.25" customHeight="1">
      <c r="A2115" s="39">
        <v>1445</v>
      </c>
      <c r="B2115" s="40" t="s">
        <v>14482</v>
      </c>
      <c r="C2115" s="40" t="s">
        <v>14483</v>
      </c>
      <c r="D2115" s="40" t="s">
        <v>14484</v>
      </c>
      <c r="E2115" s="41">
        <v>576.77</v>
      </c>
      <c r="F2115" s="40"/>
      <c r="G2115" s="41"/>
      <c r="H2115" s="40"/>
      <c r="I2115" s="41"/>
      <c r="J2115" s="41">
        <f t="shared" si="8"/>
        <v>576.77</v>
      </c>
      <c r="K2115" s="42" t="s">
        <v>5796</v>
      </c>
      <c r="L2115" s="39">
        <v>1445</v>
      </c>
    </row>
    <row r="2116" spans="1:12" ht="11.25" customHeight="1">
      <c r="A2116" s="39">
        <v>1446</v>
      </c>
      <c r="B2116" s="40" t="s">
        <v>14485</v>
      </c>
      <c r="C2116" s="40" t="s">
        <v>14486</v>
      </c>
      <c r="D2116" s="40" t="s">
        <v>14487</v>
      </c>
      <c r="E2116" s="41">
        <v>576.55999999999995</v>
      </c>
      <c r="F2116" s="40"/>
      <c r="G2116" s="41"/>
      <c r="H2116" s="40"/>
      <c r="I2116" s="41"/>
      <c r="J2116" s="41">
        <f t="shared" si="8"/>
        <v>576.55999999999995</v>
      </c>
      <c r="K2116" s="42" t="s">
        <v>5796</v>
      </c>
      <c r="L2116" s="39">
        <v>1446</v>
      </c>
    </row>
    <row r="2117" spans="1:12" ht="11.25" customHeight="1">
      <c r="A2117" s="39">
        <v>1447</v>
      </c>
      <c r="B2117" s="40" t="s">
        <v>14488</v>
      </c>
      <c r="C2117" s="40" t="s">
        <v>14489</v>
      </c>
      <c r="D2117" s="40" t="s">
        <v>14490</v>
      </c>
      <c r="E2117" s="41">
        <v>576.44000000000005</v>
      </c>
      <c r="F2117" s="40"/>
      <c r="G2117" s="41"/>
      <c r="H2117" s="40"/>
      <c r="I2117" s="41"/>
      <c r="J2117" s="41">
        <f t="shared" si="8"/>
        <v>576.44000000000005</v>
      </c>
      <c r="K2117" s="42" t="s">
        <v>5796</v>
      </c>
      <c r="L2117" s="39">
        <v>1447</v>
      </c>
    </row>
    <row r="2118" spans="1:12" ht="11.25" customHeight="1">
      <c r="A2118" s="39">
        <v>1449</v>
      </c>
      <c r="B2118" s="40" t="s">
        <v>14491</v>
      </c>
      <c r="C2118" s="40" t="s">
        <v>14492</v>
      </c>
      <c r="D2118" s="40" t="s">
        <v>14493</v>
      </c>
      <c r="E2118" s="41">
        <v>575.85</v>
      </c>
      <c r="F2118" s="40"/>
      <c r="G2118" s="41"/>
      <c r="H2118" s="40"/>
      <c r="I2118" s="41"/>
      <c r="J2118" s="41">
        <f t="shared" si="8"/>
        <v>575.85</v>
      </c>
      <c r="K2118" s="42" t="s">
        <v>5796</v>
      </c>
      <c r="L2118" s="39">
        <v>1449</v>
      </c>
    </row>
    <row r="2119" spans="1:12" ht="11.25" customHeight="1">
      <c r="A2119" s="39">
        <v>1453</v>
      </c>
      <c r="B2119" s="40" t="s">
        <v>14494</v>
      </c>
      <c r="C2119" s="40" t="s">
        <v>14495</v>
      </c>
      <c r="D2119" s="40" t="s">
        <v>14496</v>
      </c>
      <c r="E2119" s="41">
        <v>572.87</v>
      </c>
      <c r="F2119" s="40"/>
      <c r="G2119" s="41"/>
      <c r="H2119" s="40"/>
      <c r="I2119" s="41"/>
      <c r="J2119" s="41">
        <f t="shared" si="8"/>
        <v>572.87</v>
      </c>
      <c r="K2119" s="42" t="s">
        <v>5796</v>
      </c>
      <c r="L2119" s="39">
        <v>1453</v>
      </c>
    </row>
    <row r="2120" spans="1:12" ht="11.25" customHeight="1">
      <c r="A2120" s="39">
        <v>1455</v>
      </c>
      <c r="B2120" s="40" t="s">
        <v>14497</v>
      </c>
      <c r="C2120" s="40" t="s">
        <v>14498</v>
      </c>
      <c r="D2120" s="40" t="s">
        <v>14499</v>
      </c>
      <c r="E2120" s="41">
        <v>570.16999999999996</v>
      </c>
      <c r="F2120" s="40"/>
      <c r="G2120" s="41"/>
      <c r="H2120" s="40"/>
      <c r="I2120" s="41"/>
      <c r="J2120" s="41">
        <f t="shared" si="8"/>
        <v>570.16999999999996</v>
      </c>
      <c r="K2120" s="42" t="s">
        <v>5796</v>
      </c>
      <c r="L2120" s="39">
        <v>1455</v>
      </c>
    </row>
    <row r="2121" spans="1:12" ht="11.25" customHeight="1">
      <c r="A2121" s="39">
        <v>1456</v>
      </c>
      <c r="B2121" s="40" t="s">
        <v>14500</v>
      </c>
      <c r="C2121" s="40" t="s">
        <v>14501</v>
      </c>
      <c r="D2121" s="40" t="s">
        <v>14502</v>
      </c>
      <c r="E2121" s="41">
        <v>569.54</v>
      </c>
      <c r="F2121" s="40"/>
      <c r="G2121" s="41"/>
      <c r="H2121" s="40"/>
      <c r="I2121" s="41"/>
      <c r="J2121" s="41">
        <f t="shared" si="8"/>
        <v>569.54</v>
      </c>
      <c r="K2121" s="42" t="s">
        <v>5796</v>
      </c>
      <c r="L2121" s="39">
        <v>1456</v>
      </c>
    </row>
    <row r="2122" spans="1:12" ht="11.25" customHeight="1">
      <c r="A2122" s="39">
        <v>1457</v>
      </c>
      <c r="B2122" s="40" t="s">
        <v>14503</v>
      </c>
      <c r="C2122" s="40" t="s">
        <v>14504</v>
      </c>
      <c r="D2122" s="40" t="s">
        <v>14505</v>
      </c>
      <c r="E2122" s="41">
        <v>567.69000000000005</v>
      </c>
      <c r="F2122" s="40"/>
      <c r="G2122" s="41"/>
      <c r="H2122" s="40"/>
      <c r="I2122" s="41"/>
      <c r="J2122" s="41">
        <f t="shared" si="8"/>
        <v>567.69000000000005</v>
      </c>
      <c r="K2122" s="42" t="s">
        <v>5796</v>
      </c>
      <c r="L2122" s="39">
        <v>1457</v>
      </c>
    </row>
    <row r="2123" spans="1:12" ht="11.25" customHeight="1">
      <c r="A2123" s="39">
        <v>1459</v>
      </c>
      <c r="B2123" s="40" t="s">
        <v>14506</v>
      </c>
      <c r="C2123" s="40" t="s">
        <v>14507</v>
      </c>
      <c r="D2123" s="40" t="s">
        <v>14508</v>
      </c>
      <c r="E2123" s="41">
        <v>564.1</v>
      </c>
      <c r="F2123" s="40"/>
      <c r="G2123" s="41"/>
      <c r="H2123" s="40"/>
      <c r="I2123" s="41"/>
      <c r="J2123" s="41">
        <f t="shared" si="8"/>
        <v>564.1</v>
      </c>
      <c r="K2123" s="42" t="s">
        <v>5796</v>
      </c>
      <c r="L2123" s="39">
        <v>1459</v>
      </c>
    </row>
    <row r="2124" spans="1:12" ht="11.25" customHeight="1">
      <c r="A2124" s="39">
        <v>1462</v>
      </c>
      <c r="B2124" s="40" t="s">
        <v>14509</v>
      </c>
      <c r="C2124" s="40" t="s">
        <v>14510</v>
      </c>
      <c r="D2124" s="40" t="s">
        <v>14511</v>
      </c>
      <c r="E2124" s="41">
        <v>561.61</v>
      </c>
      <c r="F2124" s="40"/>
      <c r="G2124" s="41"/>
      <c r="H2124" s="40"/>
      <c r="I2124" s="41"/>
      <c r="J2124" s="41">
        <f t="shared" si="8"/>
        <v>561.61</v>
      </c>
      <c r="K2124" s="42" t="s">
        <v>5796</v>
      </c>
      <c r="L2124" s="39">
        <v>1462</v>
      </c>
    </row>
    <row r="2125" spans="1:12" ht="11.25" customHeight="1">
      <c r="A2125" s="39">
        <v>1465</v>
      </c>
      <c r="B2125" s="40" t="s">
        <v>14512</v>
      </c>
      <c r="C2125" s="40" t="s">
        <v>14513</v>
      </c>
      <c r="D2125" s="40" t="s">
        <v>14514</v>
      </c>
      <c r="E2125" s="41">
        <v>557.96</v>
      </c>
      <c r="F2125" s="40"/>
      <c r="G2125" s="41"/>
      <c r="H2125" s="40"/>
      <c r="I2125" s="41"/>
      <c r="J2125" s="41">
        <f t="shared" si="8"/>
        <v>557.96</v>
      </c>
      <c r="K2125" s="42" t="s">
        <v>5796</v>
      </c>
      <c r="L2125" s="39">
        <v>1465</v>
      </c>
    </row>
    <row r="2126" spans="1:12" ht="11.25" customHeight="1">
      <c r="A2126" s="39">
        <v>1468</v>
      </c>
      <c r="B2126" s="40" t="s">
        <v>14515</v>
      </c>
      <c r="C2126" s="40" t="s">
        <v>14516</v>
      </c>
      <c r="D2126" s="40" t="s">
        <v>14517</v>
      </c>
      <c r="E2126" s="41">
        <v>555.41999999999996</v>
      </c>
      <c r="F2126" s="40"/>
      <c r="G2126" s="41"/>
      <c r="H2126" s="40"/>
      <c r="I2126" s="41"/>
      <c r="J2126" s="41">
        <f t="shared" si="8"/>
        <v>555.41999999999996</v>
      </c>
      <c r="K2126" s="42" t="s">
        <v>5796</v>
      </c>
      <c r="L2126" s="39">
        <v>1468</v>
      </c>
    </row>
    <row r="2127" spans="1:12" ht="11.25" customHeight="1">
      <c r="A2127" s="39">
        <v>1469</v>
      </c>
      <c r="B2127" s="40" t="s">
        <v>7342</v>
      </c>
      <c r="C2127" s="40" t="s">
        <v>14518</v>
      </c>
      <c r="D2127" s="40" t="s">
        <v>14519</v>
      </c>
      <c r="E2127" s="41">
        <v>554.33000000000004</v>
      </c>
      <c r="F2127" s="40"/>
      <c r="G2127" s="41"/>
      <c r="H2127" s="40"/>
      <c r="I2127" s="41"/>
      <c r="J2127" s="41">
        <f t="shared" si="8"/>
        <v>554.33000000000004</v>
      </c>
      <c r="K2127" s="42" t="s">
        <v>5796</v>
      </c>
      <c r="L2127" s="39">
        <v>1469</v>
      </c>
    </row>
    <row r="2128" spans="1:12" ht="11.25" customHeight="1">
      <c r="A2128" s="39">
        <v>1470</v>
      </c>
      <c r="B2128" s="40" t="s">
        <v>14520</v>
      </c>
      <c r="C2128" s="40" t="s">
        <v>14521</v>
      </c>
      <c r="D2128" s="40" t="s">
        <v>14522</v>
      </c>
      <c r="E2128" s="41">
        <v>552.5</v>
      </c>
      <c r="F2128" s="40"/>
      <c r="G2128" s="41"/>
      <c r="H2128" s="40"/>
      <c r="I2128" s="41"/>
      <c r="J2128" s="41">
        <f t="shared" si="8"/>
        <v>552.5</v>
      </c>
      <c r="K2128" s="42" t="s">
        <v>5796</v>
      </c>
      <c r="L2128" s="39">
        <v>1470</v>
      </c>
    </row>
    <row r="2129" spans="1:12" ht="11.25" customHeight="1">
      <c r="A2129" s="39">
        <v>1475</v>
      </c>
      <c r="B2129" s="40" t="s">
        <v>14523</v>
      </c>
      <c r="C2129" s="40" t="s">
        <v>14524</v>
      </c>
      <c r="D2129" s="40" t="s">
        <v>14525</v>
      </c>
      <c r="E2129" s="41">
        <v>546.80999999999995</v>
      </c>
      <c r="F2129" s="40"/>
      <c r="G2129" s="41"/>
      <c r="H2129" s="40"/>
      <c r="I2129" s="41"/>
      <c r="J2129" s="41">
        <f t="shared" si="8"/>
        <v>546.80999999999995</v>
      </c>
      <c r="K2129" s="42" t="s">
        <v>5796</v>
      </c>
      <c r="L2129" s="39">
        <v>1475</v>
      </c>
    </row>
    <row r="2130" spans="1:12" ht="11.25" customHeight="1">
      <c r="A2130" s="39">
        <v>1482</v>
      </c>
      <c r="B2130" s="40" t="s">
        <v>14526</v>
      </c>
      <c r="C2130" s="40" t="s">
        <v>14527</v>
      </c>
      <c r="D2130" s="40" t="s">
        <v>14528</v>
      </c>
      <c r="E2130" s="41">
        <v>533.05999999999995</v>
      </c>
      <c r="F2130" s="40"/>
      <c r="G2130" s="41"/>
      <c r="H2130" s="40"/>
      <c r="I2130" s="41"/>
      <c r="J2130" s="41">
        <f t="shared" si="8"/>
        <v>533.05999999999995</v>
      </c>
      <c r="K2130" s="42" t="s">
        <v>5796</v>
      </c>
      <c r="L2130" s="39">
        <v>1482</v>
      </c>
    </row>
    <row r="2131" spans="1:12" ht="11.25" customHeight="1">
      <c r="A2131" s="39">
        <v>1484</v>
      </c>
      <c r="B2131" s="40" t="s">
        <v>14529</v>
      </c>
      <c r="C2131" s="40" t="s">
        <v>14530</v>
      </c>
      <c r="D2131" s="40" t="s">
        <v>14531</v>
      </c>
      <c r="E2131" s="41">
        <v>531.22</v>
      </c>
      <c r="F2131" s="40"/>
      <c r="G2131" s="41"/>
      <c r="H2131" s="40"/>
      <c r="I2131" s="41"/>
      <c r="J2131" s="41">
        <f t="shared" si="8"/>
        <v>531.22</v>
      </c>
      <c r="K2131" s="42" t="s">
        <v>5796</v>
      </c>
      <c r="L2131" s="39">
        <v>1484</v>
      </c>
    </row>
    <row r="2132" spans="1:12" ht="11.25" customHeight="1">
      <c r="A2132" s="39">
        <v>1490</v>
      </c>
      <c r="B2132" s="40" t="s">
        <v>14532</v>
      </c>
      <c r="C2132" s="40" t="s">
        <v>14533</v>
      </c>
      <c r="D2132" s="40" t="s">
        <v>14534</v>
      </c>
      <c r="E2132" s="41">
        <v>525.04</v>
      </c>
      <c r="F2132" s="40"/>
      <c r="G2132" s="41"/>
      <c r="H2132" s="40"/>
      <c r="I2132" s="41"/>
      <c r="J2132" s="41">
        <f t="shared" si="8"/>
        <v>525.04</v>
      </c>
      <c r="K2132" s="42" t="s">
        <v>5796</v>
      </c>
      <c r="L2132" s="39">
        <v>1490</v>
      </c>
    </row>
    <row r="2133" spans="1:12" ht="11.25" customHeight="1">
      <c r="A2133" s="39">
        <v>1493</v>
      </c>
      <c r="B2133" s="40" t="s">
        <v>7433</v>
      </c>
      <c r="C2133" s="40" t="s">
        <v>14535</v>
      </c>
      <c r="D2133" s="40" t="s">
        <v>14536</v>
      </c>
      <c r="E2133" s="41">
        <v>519.87</v>
      </c>
      <c r="F2133" s="40"/>
      <c r="G2133" s="41"/>
      <c r="H2133" s="40"/>
      <c r="I2133" s="41"/>
      <c r="J2133" s="41">
        <f t="shared" si="8"/>
        <v>519.87</v>
      </c>
      <c r="K2133" s="42" t="s">
        <v>5796</v>
      </c>
      <c r="L2133" s="39">
        <v>1493</v>
      </c>
    </row>
    <row r="2134" spans="1:12" ht="11.25" customHeight="1">
      <c r="A2134" s="39">
        <v>1501</v>
      </c>
      <c r="B2134" s="40" t="s">
        <v>7305</v>
      </c>
      <c r="C2134" s="40" t="s">
        <v>14537</v>
      </c>
      <c r="D2134" s="40" t="s">
        <v>14538</v>
      </c>
      <c r="E2134" s="41">
        <v>508.4</v>
      </c>
      <c r="F2134" s="40"/>
      <c r="G2134" s="41"/>
      <c r="H2134" s="40"/>
      <c r="I2134" s="41"/>
      <c r="J2134" s="41">
        <f t="shared" si="8"/>
        <v>508.4</v>
      </c>
      <c r="K2134" s="42" t="s">
        <v>5796</v>
      </c>
      <c r="L2134" s="39">
        <v>1501</v>
      </c>
    </row>
    <row r="2135" spans="1:12" ht="11.25" customHeight="1">
      <c r="A2135" s="39">
        <v>1503</v>
      </c>
      <c r="B2135" s="40" t="s">
        <v>7265</v>
      </c>
      <c r="C2135" s="40" t="s">
        <v>14539</v>
      </c>
      <c r="D2135" s="40" t="s">
        <v>14540</v>
      </c>
      <c r="E2135" s="41">
        <v>505.72</v>
      </c>
      <c r="F2135" s="40"/>
      <c r="G2135" s="41"/>
      <c r="H2135" s="40"/>
      <c r="I2135" s="41"/>
      <c r="J2135" s="41">
        <f t="shared" si="8"/>
        <v>505.72</v>
      </c>
      <c r="K2135" s="42" t="s">
        <v>5796</v>
      </c>
      <c r="L2135" s="39">
        <v>1503</v>
      </c>
    </row>
    <row r="2136" spans="1:12" ht="11.25" customHeight="1">
      <c r="A2136" s="39">
        <v>1505</v>
      </c>
      <c r="B2136" s="40" t="s">
        <v>14541</v>
      </c>
      <c r="C2136" s="40" t="s">
        <v>14542</v>
      </c>
      <c r="D2136" s="40" t="s">
        <v>14543</v>
      </c>
      <c r="E2136" s="41">
        <v>502.96</v>
      </c>
      <c r="F2136" s="40"/>
      <c r="G2136" s="41"/>
      <c r="H2136" s="40"/>
      <c r="I2136" s="41"/>
      <c r="J2136" s="41">
        <f t="shared" si="8"/>
        <v>502.96</v>
      </c>
      <c r="K2136" s="42" t="s">
        <v>5796</v>
      </c>
      <c r="L2136" s="39">
        <v>1505</v>
      </c>
    </row>
    <row r="2137" spans="1:12" ht="11.25" customHeight="1">
      <c r="A2137" s="39">
        <v>1506</v>
      </c>
      <c r="B2137" s="40" t="s">
        <v>14544</v>
      </c>
      <c r="C2137" s="40" t="s">
        <v>14545</v>
      </c>
      <c r="D2137" s="40" t="s">
        <v>14546</v>
      </c>
      <c r="E2137" s="41">
        <v>502.23</v>
      </c>
      <c r="F2137" s="40"/>
      <c r="G2137" s="41"/>
      <c r="H2137" s="40"/>
      <c r="I2137" s="41"/>
      <c r="J2137" s="41">
        <f t="shared" si="8"/>
        <v>502.23</v>
      </c>
      <c r="K2137" s="42" t="s">
        <v>5796</v>
      </c>
      <c r="L2137" s="39">
        <v>1506</v>
      </c>
    </row>
    <row r="2138" spans="1:12" ht="11.25" customHeight="1">
      <c r="A2138" s="39">
        <v>1511</v>
      </c>
      <c r="B2138" s="40" t="s">
        <v>7258</v>
      </c>
      <c r="C2138" s="40" t="s">
        <v>14547</v>
      </c>
      <c r="D2138" s="40" t="s">
        <v>14548</v>
      </c>
      <c r="E2138" s="41">
        <v>495.86</v>
      </c>
      <c r="F2138" s="40"/>
      <c r="G2138" s="41"/>
      <c r="H2138" s="40"/>
      <c r="I2138" s="41"/>
      <c r="J2138" s="41">
        <f t="shared" si="8"/>
        <v>495.86</v>
      </c>
      <c r="K2138" s="42" t="s">
        <v>5796</v>
      </c>
      <c r="L2138" s="39">
        <v>1511</v>
      </c>
    </row>
    <row r="2139" spans="1:12" ht="11.25" customHeight="1">
      <c r="A2139" s="39">
        <v>1513</v>
      </c>
      <c r="B2139" s="40" t="s">
        <v>14549</v>
      </c>
      <c r="C2139" s="40" t="s">
        <v>14550</v>
      </c>
      <c r="D2139" s="40" t="s">
        <v>14551</v>
      </c>
      <c r="E2139" s="41">
        <v>492.78</v>
      </c>
      <c r="F2139" s="40"/>
      <c r="G2139" s="41"/>
      <c r="H2139" s="40"/>
      <c r="I2139" s="41"/>
      <c r="J2139" s="41">
        <f t="shared" si="8"/>
        <v>492.78</v>
      </c>
      <c r="K2139" s="42" t="s">
        <v>5796</v>
      </c>
      <c r="L2139" s="39">
        <v>1513</v>
      </c>
    </row>
    <row r="2140" spans="1:12" ht="11.25" customHeight="1">
      <c r="A2140" s="39">
        <v>1516</v>
      </c>
      <c r="B2140" s="40" t="s">
        <v>7356</v>
      </c>
      <c r="C2140" s="40" t="s">
        <v>14552</v>
      </c>
      <c r="D2140" s="40" t="s">
        <v>14553</v>
      </c>
      <c r="E2140" s="41">
        <v>487.74</v>
      </c>
      <c r="F2140" s="40"/>
      <c r="G2140" s="41"/>
      <c r="H2140" s="40"/>
      <c r="I2140" s="41"/>
      <c r="J2140" s="41">
        <f t="shared" si="8"/>
        <v>487.74</v>
      </c>
      <c r="K2140" s="42" t="s">
        <v>5796</v>
      </c>
      <c r="L2140" s="39">
        <v>1516</v>
      </c>
    </row>
    <row r="2141" spans="1:12" ht="11.25" customHeight="1">
      <c r="A2141" s="39">
        <v>1521</v>
      </c>
      <c r="B2141" s="40" t="s">
        <v>14554</v>
      </c>
      <c r="C2141" s="40" t="s">
        <v>14555</v>
      </c>
      <c r="D2141" s="40" t="s">
        <v>14556</v>
      </c>
      <c r="E2141" s="41">
        <v>482.57</v>
      </c>
      <c r="F2141" s="40"/>
      <c r="G2141" s="41"/>
      <c r="H2141" s="40"/>
      <c r="I2141" s="41"/>
      <c r="J2141" s="41">
        <f t="shared" si="8"/>
        <v>482.57</v>
      </c>
      <c r="K2141" s="42" t="s">
        <v>5796</v>
      </c>
      <c r="L2141" s="39">
        <v>1521</v>
      </c>
    </row>
    <row r="2142" spans="1:12" ht="11.25" customHeight="1">
      <c r="A2142" s="39">
        <v>1522</v>
      </c>
      <c r="B2142" s="40" t="s">
        <v>14557</v>
      </c>
      <c r="C2142" s="40" t="s">
        <v>14558</v>
      </c>
      <c r="D2142" s="40" t="s">
        <v>14559</v>
      </c>
      <c r="E2142" s="41">
        <v>481.24</v>
      </c>
      <c r="F2142" s="40"/>
      <c r="G2142" s="41"/>
      <c r="H2142" s="40"/>
      <c r="I2142" s="41"/>
      <c r="J2142" s="41">
        <f t="shared" si="8"/>
        <v>481.24</v>
      </c>
      <c r="K2142" s="42" t="s">
        <v>5796</v>
      </c>
      <c r="L2142" s="39">
        <v>1522</v>
      </c>
    </row>
    <row r="2143" spans="1:12" ht="11.25" customHeight="1">
      <c r="A2143" s="39">
        <v>1523</v>
      </c>
      <c r="B2143" s="40" t="s">
        <v>14560</v>
      </c>
      <c r="C2143" s="40" t="s">
        <v>14561</v>
      </c>
      <c r="D2143" s="40" t="s">
        <v>14562</v>
      </c>
      <c r="E2143" s="41">
        <v>480.68</v>
      </c>
      <c r="F2143" s="40"/>
      <c r="G2143" s="41"/>
      <c r="H2143" s="40"/>
      <c r="I2143" s="41"/>
      <c r="J2143" s="41">
        <f t="shared" si="8"/>
        <v>480.68</v>
      </c>
      <c r="K2143" s="42" t="s">
        <v>5796</v>
      </c>
      <c r="L2143" s="39">
        <v>1523</v>
      </c>
    </row>
    <row r="2144" spans="1:12" ht="11.25" customHeight="1">
      <c r="A2144" s="39">
        <v>1528</v>
      </c>
      <c r="B2144" s="40" t="s">
        <v>14563</v>
      </c>
      <c r="C2144" s="40" t="s">
        <v>14564</v>
      </c>
      <c r="D2144" s="40" t="s">
        <v>14565</v>
      </c>
      <c r="E2144" s="41">
        <v>473.6</v>
      </c>
      <c r="F2144" s="40"/>
      <c r="G2144" s="41"/>
      <c r="H2144" s="40"/>
      <c r="I2144" s="41"/>
      <c r="J2144" s="41">
        <f t="shared" si="8"/>
        <v>473.6</v>
      </c>
      <c r="K2144" s="42" t="s">
        <v>5796</v>
      </c>
      <c r="L2144" s="39">
        <v>1528</v>
      </c>
    </row>
    <row r="2145" spans="1:12" ht="11.25" customHeight="1">
      <c r="A2145" s="39">
        <v>1529</v>
      </c>
      <c r="B2145" s="40" t="s">
        <v>7224</v>
      </c>
      <c r="C2145" s="40" t="s">
        <v>14566</v>
      </c>
      <c r="D2145" s="40" t="s">
        <v>14567</v>
      </c>
      <c r="E2145" s="41">
        <v>472.56</v>
      </c>
      <c r="F2145" s="40"/>
      <c r="G2145" s="41"/>
      <c r="H2145" s="40"/>
      <c r="I2145" s="41"/>
      <c r="J2145" s="41">
        <f t="shared" si="8"/>
        <v>472.56</v>
      </c>
      <c r="K2145" s="42" t="s">
        <v>5796</v>
      </c>
      <c r="L2145" s="39">
        <v>1529</v>
      </c>
    </row>
    <row r="2146" spans="1:12" ht="11.25" customHeight="1">
      <c r="A2146" s="39">
        <v>1530</v>
      </c>
      <c r="B2146" s="40" t="s">
        <v>14568</v>
      </c>
      <c r="C2146" s="40" t="s">
        <v>14569</v>
      </c>
      <c r="D2146" s="40" t="s">
        <v>14570</v>
      </c>
      <c r="E2146" s="41">
        <v>472.23</v>
      </c>
      <c r="F2146" s="40"/>
      <c r="G2146" s="41"/>
      <c r="H2146" s="40"/>
      <c r="I2146" s="41"/>
      <c r="J2146" s="41">
        <f t="shared" si="8"/>
        <v>472.23</v>
      </c>
      <c r="K2146" s="42" t="s">
        <v>5796</v>
      </c>
      <c r="L2146" s="39">
        <v>1530</v>
      </c>
    </row>
    <row r="2147" spans="1:12" ht="11.25" customHeight="1">
      <c r="A2147" s="39">
        <v>1531</v>
      </c>
      <c r="B2147" s="40" t="s">
        <v>14571</v>
      </c>
      <c r="C2147" s="40" t="s">
        <v>14572</v>
      </c>
      <c r="D2147" s="40" t="s">
        <v>14573</v>
      </c>
      <c r="E2147" s="41">
        <v>472.2</v>
      </c>
      <c r="F2147" s="40"/>
      <c r="G2147" s="41"/>
      <c r="H2147" s="40"/>
      <c r="I2147" s="41"/>
      <c r="J2147" s="41">
        <f t="shared" si="8"/>
        <v>472.2</v>
      </c>
      <c r="K2147" s="42" t="s">
        <v>5796</v>
      </c>
      <c r="L2147" s="39">
        <v>1531</v>
      </c>
    </row>
    <row r="2148" spans="1:12" ht="11.25" customHeight="1">
      <c r="A2148" s="39">
        <v>1535</v>
      </c>
      <c r="B2148" s="40" t="s">
        <v>14574</v>
      </c>
      <c r="C2148" s="40" t="s">
        <v>14575</v>
      </c>
      <c r="D2148" s="40" t="s">
        <v>14576</v>
      </c>
      <c r="E2148" s="41">
        <v>470.75</v>
      </c>
      <c r="F2148" s="40"/>
      <c r="G2148" s="41"/>
      <c r="H2148" s="40"/>
      <c r="I2148" s="41"/>
      <c r="J2148" s="41">
        <f t="shared" si="8"/>
        <v>470.75</v>
      </c>
      <c r="K2148" s="42" t="s">
        <v>5796</v>
      </c>
      <c r="L2148" s="39">
        <v>1535</v>
      </c>
    </row>
    <row r="2149" spans="1:12" ht="11.25" customHeight="1">
      <c r="A2149" s="39">
        <v>1536</v>
      </c>
      <c r="B2149" s="40" t="s">
        <v>14577</v>
      </c>
      <c r="C2149" s="40" t="s">
        <v>14578</v>
      </c>
      <c r="D2149" s="40" t="s">
        <v>14579</v>
      </c>
      <c r="E2149" s="41">
        <v>470.37</v>
      </c>
      <c r="F2149" s="40"/>
      <c r="G2149" s="41"/>
      <c r="H2149" s="40"/>
      <c r="I2149" s="41"/>
      <c r="J2149" s="41">
        <f t="shared" si="8"/>
        <v>470.37</v>
      </c>
      <c r="K2149" s="42" t="s">
        <v>5796</v>
      </c>
      <c r="L2149" s="39">
        <v>1536</v>
      </c>
    </row>
    <row r="2150" spans="1:12" ht="11.25" customHeight="1">
      <c r="A2150" s="39">
        <v>1544</v>
      </c>
      <c r="B2150" s="40" t="s">
        <v>14580</v>
      </c>
      <c r="C2150" s="40" t="s">
        <v>14581</v>
      </c>
      <c r="D2150" s="40" t="s">
        <v>14582</v>
      </c>
      <c r="E2150" s="41">
        <v>461.54</v>
      </c>
      <c r="F2150" s="40"/>
      <c r="G2150" s="41"/>
      <c r="H2150" s="40"/>
      <c r="I2150" s="41"/>
      <c r="J2150" s="41">
        <f t="shared" si="8"/>
        <v>461.54</v>
      </c>
      <c r="K2150" s="42" t="s">
        <v>5796</v>
      </c>
      <c r="L2150" s="39">
        <v>1544</v>
      </c>
    </row>
    <row r="2151" spans="1:12" ht="11.25" customHeight="1">
      <c r="A2151" s="39">
        <v>1546</v>
      </c>
      <c r="B2151" s="40" t="s">
        <v>7239</v>
      </c>
      <c r="C2151" s="40" t="s">
        <v>14583</v>
      </c>
      <c r="D2151" s="40" t="s">
        <v>14584</v>
      </c>
      <c r="E2151" s="41">
        <v>459.74</v>
      </c>
      <c r="F2151" s="40"/>
      <c r="G2151" s="41"/>
      <c r="H2151" s="40"/>
      <c r="I2151" s="41"/>
      <c r="J2151" s="41">
        <f t="shared" si="8"/>
        <v>459.74</v>
      </c>
      <c r="K2151" s="42" t="s">
        <v>5796</v>
      </c>
      <c r="L2151" s="39">
        <v>1546</v>
      </c>
    </row>
    <row r="2152" spans="1:12" ht="11.25" customHeight="1">
      <c r="A2152" s="39">
        <v>1549</v>
      </c>
      <c r="B2152" s="40" t="s">
        <v>14585</v>
      </c>
      <c r="C2152" s="40" t="s">
        <v>14586</v>
      </c>
      <c r="D2152" s="40" t="s">
        <v>14587</v>
      </c>
      <c r="E2152" s="41">
        <v>455.99</v>
      </c>
      <c r="F2152" s="40"/>
      <c r="G2152" s="41"/>
      <c r="H2152" s="40"/>
      <c r="I2152" s="41"/>
      <c r="J2152" s="41">
        <f t="shared" si="8"/>
        <v>455.99</v>
      </c>
      <c r="K2152" s="42" t="s">
        <v>5796</v>
      </c>
      <c r="L2152" s="39">
        <v>1549</v>
      </c>
    </row>
    <row r="2153" spans="1:12" ht="11.25" customHeight="1">
      <c r="A2153" s="39">
        <v>1550</v>
      </c>
      <c r="B2153" s="40" t="s">
        <v>14588</v>
      </c>
      <c r="C2153" s="40" t="s">
        <v>14589</v>
      </c>
      <c r="D2153" s="40" t="s">
        <v>14590</v>
      </c>
      <c r="E2153" s="41">
        <v>455.26</v>
      </c>
      <c r="F2153" s="40"/>
      <c r="G2153" s="41"/>
      <c r="H2153" s="40"/>
      <c r="I2153" s="41"/>
      <c r="J2153" s="41">
        <f t="shared" si="8"/>
        <v>455.26</v>
      </c>
      <c r="K2153" s="42" t="s">
        <v>5796</v>
      </c>
      <c r="L2153" s="39">
        <v>1550</v>
      </c>
    </row>
    <row r="2154" spans="1:12" ht="11.25" customHeight="1">
      <c r="A2154" s="39">
        <v>1552</v>
      </c>
      <c r="B2154" s="40" t="s">
        <v>14591</v>
      </c>
      <c r="C2154" s="40" t="s">
        <v>14592</v>
      </c>
      <c r="D2154" s="40" t="s">
        <v>14593</v>
      </c>
      <c r="E2154" s="41">
        <v>454.18</v>
      </c>
      <c r="F2154" s="40"/>
      <c r="G2154" s="41"/>
      <c r="H2154" s="40"/>
      <c r="I2154" s="41"/>
      <c r="J2154" s="41">
        <f t="shared" si="8"/>
        <v>454.18</v>
      </c>
      <c r="K2154" s="42" t="s">
        <v>5796</v>
      </c>
      <c r="L2154" s="39">
        <v>1552</v>
      </c>
    </row>
    <row r="2155" spans="1:12" ht="11.25" customHeight="1">
      <c r="A2155" s="39">
        <v>1559</v>
      </c>
      <c r="B2155" s="40" t="s">
        <v>7120</v>
      </c>
      <c r="C2155" s="40" t="s">
        <v>14594</v>
      </c>
      <c r="D2155" s="40" t="s">
        <v>14595</v>
      </c>
      <c r="E2155" s="41">
        <v>448.08</v>
      </c>
      <c r="F2155" s="40"/>
      <c r="G2155" s="41"/>
      <c r="H2155" s="40"/>
      <c r="I2155" s="41"/>
      <c r="J2155" s="41">
        <f t="shared" si="8"/>
        <v>448.08</v>
      </c>
      <c r="K2155" s="42" t="s">
        <v>5796</v>
      </c>
      <c r="L2155" s="39">
        <v>1559</v>
      </c>
    </row>
    <row r="2156" spans="1:12" ht="11.25" customHeight="1">
      <c r="A2156" s="39">
        <v>1560</v>
      </c>
      <c r="B2156" s="40" t="s">
        <v>14596</v>
      </c>
      <c r="C2156" s="40" t="s">
        <v>14597</v>
      </c>
      <c r="D2156" s="40" t="s">
        <v>14598</v>
      </c>
      <c r="E2156" s="41">
        <v>447.69</v>
      </c>
      <c r="F2156" s="40"/>
      <c r="G2156" s="41"/>
      <c r="H2156" s="40"/>
      <c r="I2156" s="41"/>
      <c r="J2156" s="41">
        <f t="shared" si="8"/>
        <v>447.69</v>
      </c>
      <c r="K2156" s="42" t="s">
        <v>5796</v>
      </c>
      <c r="L2156" s="39">
        <v>1560</v>
      </c>
    </row>
    <row r="2157" spans="1:12" ht="11.25" customHeight="1">
      <c r="A2157" s="39">
        <v>1563</v>
      </c>
      <c r="B2157" s="40" t="s">
        <v>14599</v>
      </c>
      <c r="C2157" s="40" t="s">
        <v>14600</v>
      </c>
      <c r="D2157" s="40" t="s">
        <v>14601</v>
      </c>
      <c r="E2157" s="41">
        <v>446.35</v>
      </c>
      <c r="F2157" s="40"/>
      <c r="G2157" s="41"/>
      <c r="H2157" s="40"/>
      <c r="I2157" s="41"/>
      <c r="J2157" s="41">
        <f t="shared" si="8"/>
        <v>446.35</v>
      </c>
      <c r="K2157" s="42" t="s">
        <v>5796</v>
      </c>
      <c r="L2157" s="39">
        <v>1563</v>
      </c>
    </row>
    <row r="2158" spans="1:12" ht="11.25" customHeight="1">
      <c r="A2158" s="39">
        <v>1565</v>
      </c>
      <c r="B2158" s="40" t="s">
        <v>14602</v>
      </c>
      <c r="C2158" s="40" t="s">
        <v>14603</v>
      </c>
      <c r="D2158" s="40" t="s">
        <v>14604</v>
      </c>
      <c r="E2158" s="41">
        <v>444.76</v>
      </c>
      <c r="F2158" s="40"/>
      <c r="G2158" s="41"/>
      <c r="H2158" s="40"/>
      <c r="I2158" s="41"/>
      <c r="J2158" s="41">
        <f t="shared" si="8"/>
        <v>444.76</v>
      </c>
      <c r="K2158" s="42" t="s">
        <v>5796</v>
      </c>
      <c r="L2158" s="39">
        <v>1565</v>
      </c>
    </row>
    <row r="2159" spans="1:12" ht="11.25" customHeight="1">
      <c r="A2159" s="39">
        <v>1572</v>
      </c>
      <c r="B2159" s="40" t="s">
        <v>14605</v>
      </c>
      <c r="C2159" s="40" t="s">
        <v>14606</v>
      </c>
      <c r="D2159" s="40" t="s">
        <v>14607</v>
      </c>
      <c r="E2159" s="41">
        <v>435.33</v>
      </c>
      <c r="F2159" s="40"/>
      <c r="G2159" s="41"/>
      <c r="H2159" s="40"/>
      <c r="I2159" s="41"/>
      <c r="J2159" s="41">
        <f t="shared" si="8"/>
        <v>435.33</v>
      </c>
      <c r="K2159" s="42" t="s">
        <v>5796</v>
      </c>
      <c r="L2159" s="39">
        <v>1572</v>
      </c>
    </row>
    <row r="2160" spans="1:12" ht="11.25" customHeight="1">
      <c r="A2160" s="39">
        <v>1573</v>
      </c>
      <c r="B2160" s="40" t="s">
        <v>14608</v>
      </c>
      <c r="C2160" s="40" t="s">
        <v>14609</v>
      </c>
      <c r="D2160" s="40" t="s">
        <v>14610</v>
      </c>
      <c r="E2160" s="41">
        <v>435.33</v>
      </c>
      <c r="F2160" s="40"/>
      <c r="G2160" s="41"/>
      <c r="H2160" s="40"/>
      <c r="I2160" s="41"/>
      <c r="J2160" s="41">
        <f t="shared" si="8"/>
        <v>435.33</v>
      </c>
      <c r="K2160" s="42" t="s">
        <v>5796</v>
      </c>
      <c r="L2160" s="39">
        <v>1573</v>
      </c>
    </row>
    <row r="2161" spans="1:12" ht="11.25" customHeight="1">
      <c r="A2161" s="39">
        <v>1575</v>
      </c>
      <c r="B2161" s="40" t="s">
        <v>7194</v>
      </c>
      <c r="C2161" s="40" t="s">
        <v>14611</v>
      </c>
      <c r="D2161" s="40" t="s">
        <v>14612</v>
      </c>
      <c r="E2161" s="41">
        <v>432.55</v>
      </c>
      <c r="F2161" s="40"/>
      <c r="G2161" s="41"/>
      <c r="H2161" s="40"/>
      <c r="I2161" s="41"/>
      <c r="J2161" s="41">
        <f t="shared" si="8"/>
        <v>432.55</v>
      </c>
      <c r="K2161" s="42" t="s">
        <v>5796</v>
      </c>
      <c r="L2161" s="39">
        <v>1575</v>
      </c>
    </row>
    <row r="2162" spans="1:12" ht="11.25" customHeight="1">
      <c r="A2162" s="39">
        <v>1576</v>
      </c>
      <c r="B2162" s="40" t="s">
        <v>14613</v>
      </c>
      <c r="C2162" s="40" t="s">
        <v>14614</v>
      </c>
      <c r="D2162" s="40" t="s">
        <v>14615</v>
      </c>
      <c r="E2162" s="41">
        <v>431.39</v>
      </c>
      <c r="F2162" s="40"/>
      <c r="G2162" s="41"/>
      <c r="H2162" s="40"/>
      <c r="I2162" s="41"/>
      <c r="J2162" s="41">
        <f t="shared" si="8"/>
        <v>431.39</v>
      </c>
      <c r="K2162" s="42" t="s">
        <v>5796</v>
      </c>
      <c r="L2162" s="39">
        <v>1576</v>
      </c>
    </row>
    <row r="2163" spans="1:12" ht="11.25" customHeight="1">
      <c r="A2163" s="39">
        <v>1577</v>
      </c>
      <c r="B2163" s="40" t="s">
        <v>14616</v>
      </c>
      <c r="C2163" s="40" t="s">
        <v>14617</v>
      </c>
      <c r="D2163" s="40" t="s">
        <v>14618</v>
      </c>
      <c r="E2163" s="41">
        <v>430.4</v>
      </c>
      <c r="F2163" s="40"/>
      <c r="G2163" s="41"/>
      <c r="H2163" s="40"/>
      <c r="I2163" s="41"/>
      <c r="J2163" s="41">
        <f t="shared" si="8"/>
        <v>430.4</v>
      </c>
      <c r="K2163" s="42" t="s">
        <v>5796</v>
      </c>
      <c r="L2163" s="39">
        <v>1577</v>
      </c>
    </row>
    <row r="2164" spans="1:12" ht="11.25" customHeight="1">
      <c r="A2164" s="39">
        <v>1579</v>
      </c>
      <c r="B2164" s="40" t="s">
        <v>14619</v>
      </c>
      <c r="C2164" s="40" t="s">
        <v>14620</v>
      </c>
      <c r="D2164" s="40" t="s">
        <v>14621</v>
      </c>
      <c r="E2164" s="41">
        <v>428.87</v>
      </c>
      <c r="F2164" s="40"/>
      <c r="G2164" s="41"/>
      <c r="H2164" s="40"/>
      <c r="I2164" s="41"/>
      <c r="J2164" s="41">
        <f t="shared" si="8"/>
        <v>428.87</v>
      </c>
      <c r="K2164" s="42" t="s">
        <v>5796</v>
      </c>
      <c r="L2164" s="39">
        <v>1579</v>
      </c>
    </row>
    <row r="2165" spans="1:12" ht="11.25" customHeight="1">
      <c r="A2165" s="39">
        <v>1583</v>
      </c>
      <c r="B2165" s="40" t="s">
        <v>14622</v>
      </c>
      <c r="C2165" s="40" t="s">
        <v>14623</v>
      </c>
      <c r="D2165" s="40" t="s">
        <v>14624</v>
      </c>
      <c r="E2165" s="41">
        <v>425.26</v>
      </c>
      <c r="F2165" s="40"/>
      <c r="G2165" s="41"/>
      <c r="H2165" s="40"/>
      <c r="I2165" s="41"/>
      <c r="J2165" s="41">
        <f t="shared" si="8"/>
        <v>425.26</v>
      </c>
      <c r="K2165" s="42" t="s">
        <v>5796</v>
      </c>
      <c r="L2165" s="39">
        <v>1583</v>
      </c>
    </row>
    <row r="2166" spans="1:12" ht="11.25" customHeight="1">
      <c r="A2166" s="39">
        <v>1584</v>
      </c>
      <c r="B2166" s="40" t="s">
        <v>14625</v>
      </c>
      <c r="C2166" s="40" t="s">
        <v>14626</v>
      </c>
      <c r="D2166" s="40" t="s">
        <v>14627</v>
      </c>
      <c r="E2166" s="41">
        <v>424.53</v>
      </c>
      <c r="F2166" s="40"/>
      <c r="G2166" s="41"/>
      <c r="H2166" s="40"/>
      <c r="I2166" s="41"/>
      <c r="J2166" s="41">
        <f t="shared" si="8"/>
        <v>424.53</v>
      </c>
      <c r="K2166" s="42" t="s">
        <v>5796</v>
      </c>
      <c r="L2166" s="39">
        <v>1584</v>
      </c>
    </row>
    <row r="2167" spans="1:12" ht="11.25" customHeight="1">
      <c r="A2167" s="39">
        <v>1587</v>
      </c>
      <c r="B2167" s="40" t="s">
        <v>14628</v>
      </c>
      <c r="C2167" s="40" t="s">
        <v>14629</v>
      </c>
      <c r="D2167" s="40" t="s">
        <v>14630</v>
      </c>
      <c r="E2167" s="41">
        <v>422.99</v>
      </c>
      <c r="F2167" s="40"/>
      <c r="G2167" s="41"/>
      <c r="H2167" s="40"/>
      <c r="I2167" s="41"/>
      <c r="J2167" s="41">
        <f t="shared" si="8"/>
        <v>422.99</v>
      </c>
      <c r="K2167" s="42" t="s">
        <v>5796</v>
      </c>
      <c r="L2167" s="39">
        <v>1587</v>
      </c>
    </row>
    <row r="2168" spans="1:12" ht="11.25" customHeight="1">
      <c r="A2168" s="39">
        <v>1590</v>
      </c>
      <c r="B2168" s="40" t="s">
        <v>14631</v>
      </c>
      <c r="C2168" s="40" t="s">
        <v>14632</v>
      </c>
      <c r="D2168" s="40" t="s">
        <v>14633</v>
      </c>
      <c r="E2168" s="41">
        <v>418.24</v>
      </c>
      <c r="F2168" s="40"/>
      <c r="G2168" s="41"/>
      <c r="H2168" s="40"/>
      <c r="I2168" s="41"/>
      <c r="J2168" s="41">
        <f t="shared" si="8"/>
        <v>418.24</v>
      </c>
      <c r="K2168" s="42" t="s">
        <v>5796</v>
      </c>
      <c r="L2168" s="39">
        <v>1590</v>
      </c>
    </row>
    <row r="2169" spans="1:12" ht="11.25" customHeight="1">
      <c r="A2169" s="39">
        <v>1591</v>
      </c>
      <c r="B2169" s="40" t="s">
        <v>14634</v>
      </c>
      <c r="C2169" s="40" t="s">
        <v>14635</v>
      </c>
      <c r="D2169" s="40" t="s">
        <v>14636</v>
      </c>
      <c r="E2169" s="41">
        <v>418.15</v>
      </c>
      <c r="F2169" s="40"/>
      <c r="G2169" s="41"/>
      <c r="H2169" s="40"/>
      <c r="I2169" s="41"/>
      <c r="J2169" s="41">
        <f t="shared" si="8"/>
        <v>418.15</v>
      </c>
      <c r="K2169" s="42" t="s">
        <v>5796</v>
      </c>
      <c r="L2169" s="39">
        <v>1591</v>
      </c>
    </row>
    <row r="2170" spans="1:12" ht="11.25" customHeight="1">
      <c r="A2170" s="39">
        <v>1593</v>
      </c>
      <c r="B2170" s="40" t="s">
        <v>14637</v>
      </c>
      <c r="C2170" s="40" t="s">
        <v>14638</v>
      </c>
      <c r="D2170" s="40" t="s">
        <v>14639</v>
      </c>
      <c r="E2170" s="41">
        <v>417.55</v>
      </c>
      <c r="F2170" s="40"/>
      <c r="G2170" s="41"/>
      <c r="H2170" s="40"/>
      <c r="I2170" s="41"/>
      <c r="J2170" s="41">
        <f t="shared" si="8"/>
        <v>417.55</v>
      </c>
      <c r="K2170" s="42" t="s">
        <v>5796</v>
      </c>
      <c r="L2170" s="39">
        <v>1593</v>
      </c>
    </row>
    <row r="2171" spans="1:12" ht="11.25" customHeight="1">
      <c r="A2171" s="39">
        <v>1594</v>
      </c>
      <c r="B2171" s="40" t="s">
        <v>7377</v>
      </c>
      <c r="C2171" s="40" t="s">
        <v>14640</v>
      </c>
      <c r="D2171" s="40" t="s">
        <v>14641</v>
      </c>
      <c r="E2171" s="41">
        <v>417.45</v>
      </c>
      <c r="F2171" s="40"/>
      <c r="G2171" s="41"/>
      <c r="H2171" s="40"/>
      <c r="I2171" s="41"/>
      <c r="J2171" s="41">
        <f t="shared" si="8"/>
        <v>417.45</v>
      </c>
      <c r="K2171" s="42" t="s">
        <v>5796</v>
      </c>
      <c r="L2171" s="39">
        <v>1594</v>
      </c>
    </row>
    <row r="2172" spans="1:12" ht="11.25" customHeight="1">
      <c r="A2172" s="39">
        <v>1598</v>
      </c>
      <c r="B2172" s="40" t="s">
        <v>14642</v>
      </c>
      <c r="C2172" s="40" t="s">
        <v>14643</v>
      </c>
      <c r="D2172" s="40" t="s">
        <v>14644</v>
      </c>
      <c r="E2172" s="41">
        <v>414.44</v>
      </c>
      <c r="F2172" s="40"/>
      <c r="G2172" s="41"/>
      <c r="H2172" s="40"/>
      <c r="I2172" s="41"/>
      <c r="J2172" s="41">
        <f t="shared" si="8"/>
        <v>414.44</v>
      </c>
      <c r="K2172" s="42" t="s">
        <v>5796</v>
      </c>
      <c r="L2172" s="39">
        <v>1598</v>
      </c>
    </row>
    <row r="2173" spans="1:12" ht="11.25" customHeight="1">
      <c r="A2173" s="39">
        <v>1600</v>
      </c>
      <c r="B2173" s="40" t="s">
        <v>14645</v>
      </c>
      <c r="C2173" s="40" t="s">
        <v>14646</v>
      </c>
      <c r="D2173" s="40" t="s">
        <v>14647</v>
      </c>
      <c r="E2173" s="41">
        <v>413.59</v>
      </c>
      <c r="F2173" s="40"/>
      <c r="G2173" s="41"/>
      <c r="H2173" s="40"/>
      <c r="I2173" s="41"/>
      <c r="J2173" s="41">
        <f t="shared" si="8"/>
        <v>413.59</v>
      </c>
      <c r="K2173" s="42" t="s">
        <v>5796</v>
      </c>
      <c r="L2173" s="39">
        <v>1600</v>
      </c>
    </row>
    <row r="2174" spans="1:12" ht="11.25" customHeight="1">
      <c r="A2174" s="39">
        <v>1604</v>
      </c>
      <c r="B2174" s="40" t="s">
        <v>14648</v>
      </c>
      <c r="C2174" s="40" t="s">
        <v>14649</v>
      </c>
      <c r="D2174" s="40" t="s">
        <v>14650</v>
      </c>
      <c r="E2174" s="41">
        <v>412.1</v>
      </c>
      <c r="F2174" s="40"/>
      <c r="G2174" s="41"/>
      <c r="H2174" s="40"/>
      <c r="I2174" s="41"/>
      <c r="J2174" s="41">
        <f t="shared" si="8"/>
        <v>412.1</v>
      </c>
      <c r="K2174" s="42" t="s">
        <v>5796</v>
      </c>
      <c r="L2174" s="39">
        <v>1604</v>
      </c>
    </row>
    <row r="2175" spans="1:12" ht="11.25" customHeight="1">
      <c r="A2175" s="39">
        <v>1606</v>
      </c>
      <c r="B2175" s="40" t="s">
        <v>14651</v>
      </c>
      <c r="C2175" s="40" t="s">
        <v>14652</v>
      </c>
      <c r="D2175" s="40" t="s">
        <v>14653</v>
      </c>
      <c r="E2175" s="41">
        <v>410.02</v>
      </c>
      <c r="F2175" s="40"/>
      <c r="G2175" s="41"/>
      <c r="H2175" s="40"/>
      <c r="I2175" s="41"/>
      <c r="J2175" s="41">
        <f t="shared" si="8"/>
        <v>410.02</v>
      </c>
      <c r="K2175" s="42" t="s">
        <v>5796</v>
      </c>
      <c r="L2175" s="39">
        <v>1606</v>
      </c>
    </row>
    <row r="2176" spans="1:12" ht="11.25" customHeight="1">
      <c r="A2176" s="39">
        <v>1616</v>
      </c>
      <c r="B2176" s="40" t="s">
        <v>14654</v>
      </c>
      <c r="C2176" s="40" t="s">
        <v>14655</v>
      </c>
      <c r="D2176" s="40" t="s">
        <v>14656</v>
      </c>
      <c r="E2176" s="41">
        <v>398.48</v>
      </c>
      <c r="F2176" s="40"/>
      <c r="G2176" s="41"/>
      <c r="H2176" s="40"/>
      <c r="I2176" s="41"/>
      <c r="J2176" s="41">
        <f t="shared" si="8"/>
        <v>398.48</v>
      </c>
      <c r="K2176" s="42" t="s">
        <v>5796</v>
      </c>
      <c r="L2176" s="39">
        <v>1616</v>
      </c>
    </row>
    <row r="2177" spans="1:12" ht="11.25" customHeight="1">
      <c r="A2177" s="39">
        <v>1617</v>
      </c>
      <c r="B2177" s="40" t="s">
        <v>14657</v>
      </c>
      <c r="C2177" s="40" t="s">
        <v>14658</v>
      </c>
      <c r="D2177" s="40" t="s">
        <v>14659</v>
      </c>
      <c r="E2177" s="41">
        <v>396.32</v>
      </c>
      <c r="F2177" s="40"/>
      <c r="G2177" s="41"/>
      <c r="H2177" s="40"/>
      <c r="I2177" s="41"/>
      <c r="J2177" s="41">
        <f t="shared" si="8"/>
        <v>396.32</v>
      </c>
      <c r="K2177" s="42" t="s">
        <v>5796</v>
      </c>
      <c r="L2177" s="39">
        <v>1617</v>
      </c>
    </row>
    <row r="2178" spans="1:12" ht="11.25" customHeight="1">
      <c r="A2178" s="39">
        <v>1618</v>
      </c>
      <c r="B2178" s="40" t="s">
        <v>14660</v>
      </c>
      <c r="C2178" s="40" t="s">
        <v>14661</v>
      </c>
      <c r="D2178" s="40" t="s">
        <v>14662</v>
      </c>
      <c r="E2178" s="41">
        <v>394.02</v>
      </c>
      <c r="F2178" s="40"/>
      <c r="G2178" s="41"/>
      <c r="H2178" s="40"/>
      <c r="I2178" s="41"/>
      <c r="J2178" s="41">
        <f t="shared" si="8"/>
        <v>394.02</v>
      </c>
      <c r="K2178" s="42" t="s">
        <v>5796</v>
      </c>
      <c r="L2178" s="39">
        <v>1618</v>
      </c>
    </row>
    <row r="2179" spans="1:12" ht="11.25" customHeight="1">
      <c r="A2179" s="39">
        <v>1623</v>
      </c>
      <c r="B2179" s="40" t="s">
        <v>14663</v>
      </c>
      <c r="C2179" s="40" t="s">
        <v>14664</v>
      </c>
      <c r="D2179" s="40" t="s">
        <v>14665</v>
      </c>
      <c r="E2179" s="41">
        <v>387.63</v>
      </c>
      <c r="F2179" s="40"/>
      <c r="G2179" s="41"/>
      <c r="H2179" s="40"/>
      <c r="I2179" s="41"/>
      <c r="J2179" s="41">
        <f t="shared" si="8"/>
        <v>387.63</v>
      </c>
      <c r="K2179" s="42" t="s">
        <v>5796</v>
      </c>
      <c r="L2179" s="39">
        <v>1623</v>
      </c>
    </row>
    <row r="2180" spans="1:12" ht="11.25" customHeight="1">
      <c r="A2180" s="39">
        <v>1626</v>
      </c>
      <c r="B2180" s="40" t="s">
        <v>14666</v>
      </c>
      <c r="C2180" s="40" t="s">
        <v>14667</v>
      </c>
      <c r="D2180" s="40" t="s">
        <v>4846</v>
      </c>
      <c r="E2180" s="41">
        <v>386.81</v>
      </c>
      <c r="F2180" s="40"/>
      <c r="G2180" s="41"/>
      <c r="H2180" s="40"/>
      <c r="I2180" s="41"/>
      <c r="J2180" s="41">
        <f t="shared" si="8"/>
        <v>386.81</v>
      </c>
      <c r="K2180" s="42" t="s">
        <v>5796</v>
      </c>
      <c r="L2180" s="39">
        <v>1626</v>
      </c>
    </row>
    <row r="2181" spans="1:12" ht="11.25" customHeight="1">
      <c r="A2181" s="39">
        <v>1629</v>
      </c>
      <c r="B2181" s="40" t="s">
        <v>14668</v>
      </c>
      <c r="C2181" s="40" t="s">
        <v>14669</v>
      </c>
      <c r="D2181" s="40" t="s">
        <v>14670</v>
      </c>
      <c r="E2181" s="41">
        <v>385.16</v>
      </c>
      <c r="F2181" s="40"/>
      <c r="G2181" s="41"/>
      <c r="H2181" s="40"/>
      <c r="I2181" s="41"/>
      <c r="J2181" s="41">
        <f t="shared" si="8"/>
        <v>385.16</v>
      </c>
      <c r="K2181" s="42" t="s">
        <v>5796</v>
      </c>
      <c r="L2181" s="39">
        <v>1629</v>
      </c>
    </row>
    <row r="2182" spans="1:12" ht="11.25" customHeight="1">
      <c r="A2182" s="39">
        <v>1632</v>
      </c>
      <c r="B2182" s="40" t="s">
        <v>14671</v>
      </c>
      <c r="C2182" s="40" t="s">
        <v>14672</v>
      </c>
      <c r="D2182" s="40" t="s">
        <v>14673</v>
      </c>
      <c r="E2182" s="41">
        <v>383.93</v>
      </c>
      <c r="F2182" s="40"/>
      <c r="G2182" s="41"/>
      <c r="H2182" s="40"/>
      <c r="I2182" s="41"/>
      <c r="J2182" s="41">
        <f t="shared" si="8"/>
        <v>383.93</v>
      </c>
      <c r="K2182" s="42" t="s">
        <v>5796</v>
      </c>
      <c r="L2182" s="39">
        <v>1632</v>
      </c>
    </row>
    <row r="2183" spans="1:12" ht="11.25" customHeight="1">
      <c r="A2183" s="39">
        <v>1635</v>
      </c>
      <c r="B2183" s="40" t="s">
        <v>14674</v>
      </c>
      <c r="C2183" s="40" t="s">
        <v>14675</v>
      </c>
      <c r="D2183" s="40" t="s">
        <v>14676</v>
      </c>
      <c r="E2183" s="41">
        <v>380.39</v>
      </c>
      <c r="F2183" s="40"/>
      <c r="G2183" s="41"/>
      <c r="H2183" s="40"/>
      <c r="I2183" s="41"/>
      <c r="J2183" s="41">
        <f t="shared" si="8"/>
        <v>380.39</v>
      </c>
      <c r="K2183" s="42" t="s">
        <v>5796</v>
      </c>
      <c r="L2183" s="39">
        <v>1635</v>
      </c>
    </row>
    <row r="2184" spans="1:12" ht="11.25" customHeight="1">
      <c r="A2184" s="39">
        <v>1638</v>
      </c>
      <c r="B2184" s="40" t="s">
        <v>14677</v>
      </c>
      <c r="C2184" s="40" t="s">
        <v>14678</v>
      </c>
      <c r="D2184" s="40" t="s">
        <v>14679</v>
      </c>
      <c r="E2184" s="41">
        <v>375.56</v>
      </c>
      <c r="F2184" s="40"/>
      <c r="G2184" s="41"/>
      <c r="H2184" s="40"/>
      <c r="I2184" s="41"/>
      <c r="J2184" s="41">
        <f t="shared" si="8"/>
        <v>375.56</v>
      </c>
      <c r="K2184" s="42" t="s">
        <v>5796</v>
      </c>
      <c r="L2184" s="39">
        <v>1638</v>
      </c>
    </row>
    <row r="2185" spans="1:12" ht="11.25" customHeight="1">
      <c r="A2185" s="39">
        <v>1640</v>
      </c>
      <c r="B2185" s="40" t="s">
        <v>14680</v>
      </c>
      <c r="C2185" s="40" t="s">
        <v>14681</v>
      </c>
      <c r="D2185" s="40" t="s">
        <v>14682</v>
      </c>
      <c r="E2185" s="41">
        <v>373.04</v>
      </c>
      <c r="F2185" s="40"/>
      <c r="G2185" s="41"/>
      <c r="H2185" s="40"/>
      <c r="I2185" s="41"/>
      <c r="J2185" s="41">
        <f t="shared" si="8"/>
        <v>373.04</v>
      </c>
      <c r="K2185" s="42" t="s">
        <v>5796</v>
      </c>
      <c r="L2185" s="39">
        <v>1640</v>
      </c>
    </row>
    <row r="2186" spans="1:12" ht="11.25" customHeight="1">
      <c r="A2186" s="39">
        <v>1641</v>
      </c>
      <c r="B2186" s="40" t="s">
        <v>14683</v>
      </c>
      <c r="C2186" s="40" t="s">
        <v>14684</v>
      </c>
      <c r="D2186" s="40" t="s">
        <v>14685</v>
      </c>
      <c r="E2186" s="41">
        <v>371.91</v>
      </c>
      <c r="F2186" s="40"/>
      <c r="G2186" s="41"/>
      <c r="H2186" s="40"/>
      <c r="I2186" s="41"/>
      <c r="J2186" s="41">
        <f t="shared" si="8"/>
        <v>371.91</v>
      </c>
      <c r="K2186" s="42" t="s">
        <v>5796</v>
      </c>
      <c r="L2186" s="39">
        <v>1641</v>
      </c>
    </row>
    <row r="2187" spans="1:12" ht="11.25" customHeight="1">
      <c r="A2187" s="39">
        <v>1642</v>
      </c>
      <c r="B2187" s="40" t="s">
        <v>14686</v>
      </c>
      <c r="C2187" s="40" t="s">
        <v>14687</v>
      </c>
      <c r="D2187" s="40" t="s">
        <v>14688</v>
      </c>
      <c r="E2187" s="41">
        <v>371.78</v>
      </c>
      <c r="F2187" s="40"/>
      <c r="G2187" s="41"/>
      <c r="H2187" s="40"/>
      <c r="I2187" s="41"/>
      <c r="J2187" s="41">
        <f t="shared" si="8"/>
        <v>371.78</v>
      </c>
      <c r="K2187" s="42" t="s">
        <v>5796</v>
      </c>
      <c r="L2187" s="39">
        <v>1642</v>
      </c>
    </row>
    <row r="2188" spans="1:12" ht="11.25" customHeight="1">
      <c r="A2188" s="39">
        <v>1645</v>
      </c>
      <c r="B2188" s="40" t="s">
        <v>7345</v>
      </c>
      <c r="C2188" s="40" t="s">
        <v>14689</v>
      </c>
      <c r="D2188" s="40" t="s">
        <v>14690</v>
      </c>
      <c r="E2188" s="41">
        <v>370.39</v>
      </c>
      <c r="F2188" s="40"/>
      <c r="G2188" s="41"/>
      <c r="H2188" s="40"/>
      <c r="I2188" s="41"/>
      <c r="J2188" s="41">
        <f t="shared" si="8"/>
        <v>370.39</v>
      </c>
      <c r="K2188" s="42" t="s">
        <v>5796</v>
      </c>
      <c r="L2188" s="39">
        <v>1645</v>
      </c>
    </row>
    <row r="2189" spans="1:12" ht="11.25" customHeight="1">
      <c r="A2189" s="39">
        <v>1648</v>
      </c>
      <c r="B2189" s="40" t="s">
        <v>14691</v>
      </c>
      <c r="C2189" s="40" t="s">
        <v>14692</v>
      </c>
      <c r="D2189" s="40" t="s">
        <v>14693</v>
      </c>
      <c r="E2189" s="41">
        <v>369.28</v>
      </c>
      <c r="F2189" s="40"/>
      <c r="G2189" s="41"/>
      <c r="H2189" s="40"/>
      <c r="I2189" s="41"/>
      <c r="J2189" s="41">
        <f t="shared" si="8"/>
        <v>369.28</v>
      </c>
      <c r="K2189" s="42" t="s">
        <v>5796</v>
      </c>
      <c r="L2189" s="39">
        <v>1648</v>
      </c>
    </row>
    <row r="2190" spans="1:12" ht="11.25" customHeight="1">
      <c r="A2190" s="39">
        <v>1649</v>
      </c>
      <c r="B2190" s="40" t="s">
        <v>14694</v>
      </c>
      <c r="C2190" s="40" t="s">
        <v>14695</v>
      </c>
      <c r="D2190" s="40" t="s">
        <v>14696</v>
      </c>
      <c r="E2190" s="41">
        <v>368.24</v>
      </c>
      <c r="F2190" s="40"/>
      <c r="G2190" s="41"/>
      <c r="H2190" s="40"/>
      <c r="I2190" s="41"/>
      <c r="J2190" s="41">
        <f t="shared" si="8"/>
        <v>368.24</v>
      </c>
      <c r="K2190" s="42" t="s">
        <v>5796</v>
      </c>
      <c r="L2190" s="39">
        <v>1649</v>
      </c>
    </row>
    <row r="2191" spans="1:12" ht="11.25" customHeight="1">
      <c r="A2191" s="39">
        <v>1650</v>
      </c>
      <c r="B2191" s="40" t="s">
        <v>14697</v>
      </c>
      <c r="C2191" s="40" t="s">
        <v>14698</v>
      </c>
      <c r="D2191" s="40" t="s">
        <v>14699</v>
      </c>
      <c r="E2191" s="41">
        <v>367.7</v>
      </c>
      <c r="F2191" s="40"/>
      <c r="G2191" s="41"/>
      <c r="H2191" s="40"/>
      <c r="I2191" s="41"/>
      <c r="J2191" s="41">
        <f t="shared" si="8"/>
        <v>367.7</v>
      </c>
      <c r="K2191" s="42" t="s">
        <v>5796</v>
      </c>
      <c r="L2191" s="39">
        <v>1650</v>
      </c>
    </row>
    <row r="2192" spans="1:12" ht="11.25" customHeight="1">
      <c r="A2192" s="39">
        <v>1653</v>
      </c>
      <c r="B2192" s="40" t="s">
        <v>14700</v>
      </c>
      <c r="C2192" s="40" t="s">
        <v>14701</v>
      </c>
      <c r="D2192" s="40" t="s">
        <v>14702</v>
      </c>
      <c r="E2192" s="41">
        <v>363.43</v>
      </c>
      <c r="F2192" s="40"/>
      <c r="G2192" s="41"/>
      <c r="H2192" s="40"/>
      <c r="I2192" s="41"/>
      <c r="J2192" s="41">
        <f t="shared" si="8"/>
        <v>363.43</v>
      </c>
      <c r="K2192" s="42" t="s">
        <v>5796</v>
      </c>
      <c r="L2192" s="39">
        <v>1653</v>
      </c>
    </row>
    <row r="2193" spans="1:12" ht="11.25" customHeight="1">
      <c r="A2193" s="39">
        <v>1657</v>
      </c>
      <c r="B2193" s="40" t="s">
        <v>14703</v>
      </c>
      <c r="C2193" s="40" t="s">
        <v>14704</v>
      </c>
      <c r="D2193" s="40" t="s">
        <v>14705</v>
      </c>
      <c r="E2193" s="41">
        <v>362.42</v>
      </c>
      <c r="F2193" s="40"/>
      <c r="G2193" s="41"/>
      <c r="H2193" s="40"/>
      <c r="I2193" s="41"/>
      <c r="J2193" s="41">
        <f t="shared" si="8"/>
        <v>362.42</v>
      </c>
      <c r="K2193" s="42" t="s">
        <v>5796</v>
      </c>
      <c r="L2193" s="39">
        <v>1657</v>
      </c>
    </row>
    <row r="2194" spans="1:12" ht="11.25" customHeight="1">
      <c r="A2194" s="39">
        <v>1659</v>
      </c>
      <c r="B2194" s="40" t="s">
        <v>14706</v>
      </c>
      <c r="C2194" s="40" t="s">
        <v>14707</v>
      </c>
      <c r="D2194" s="40" t="s">
        <v>14708</v>
      </c>
      <c r="E2194" s="41">
        <v>360.69</v>
      </c>
      <c r="F2194" s="40"/>
      <c r="G2194" s="41"/>
      <c r="H2194" s="40"/>
      <c r="I2194" s="41"/>
      <c r="J2194" s="41">
        <f t="shared" si="8"/>
        <v>360.69</v>
      </c>
      <c r="K2194" s="42" t="s">
        <v>5796</v>
      </c>
      <c r="L2194" s="39">
        <v>1659</v>
      </c>
    </row>
    <row r="2195" spans="1:12" ht="11.25" customHeight="1">
      <c r="A2195" s="39">
        <v>1660</v>
      </c>
      <c r="B2195" s="40" t="s">
        <v>14709</v>
      </c>
      <c r="C2195" s="40" t="s">
        <v>14710</v>
      </c>
      <c r="D2195" s="40" t="s">
        <v>14711</v>
      </c>
      <c r="E2195" s="41">
        <v>358.79</v>
      </c>
      <c r="F2195" s="40"/>
      <c r="G2195" s="41"/>
      <c r="H2195" s="40"/>
      <c r="I2195" s="41"/>
      <c r="J2195" s="41">
        <f t="shared" si="8"/>
        <v>358.79</v>
      </c>
      <c r="K2195" s="42" t="s">
        <v>5796</v>
      </c>
      <c r="L2195" s="39">
        <v>1660</v>
      </c>
    </row>
    <row r="2196" spans="1:12" ht="11.25" customHeight="1">
      <c r="A2196" s="39">
        <v>1664</v>
      </c>
      <c r="B2196" s="40" t="s">
        <v>14712</v>
      </c>
      <c r="C2196" s="40" t="s">
        <v>14713</v>
      </c>
      <c r="D2196" s="40" t="s">
        <v>14714</v>
      </c>
      <c r="E2196" s="41">
        <v>355.92</v>
      </c>
      <c r="F2196" s="40"/>
      <c r="G2196" s="41"/>
      <c r="H2196" s="40"/>
      <c r="I2196" s="41"/>
      <c r="J2196" s="41">
        <f t="shared" si="8"/>
        <v>355.92</v>
      </c>
      <c r="K2196" s="42" t="s">
        <v>5796</v>
      </c>
      <c r="L2196" s="39">
        <v>1664</v>
      </c>
    </row>
    <row r="2197" spans="1:12" ht="11.25" customHeight="1">
      <c r="A2197" s="39">
        <v>1665</v>
      </c>
      <c r="B2197" s="40" t="s">
        <v>7326</v>
      </c>
      <c r="C2197" s="40" t="s">
        <v>14715</v>
      </c>
      <c r="D2197" s="40" t="s">
        <v>14716</v>
      </c>
      <c r="E2197" s="41">
        <v>355.05</v>
      </c>
      <c r="F2197" s="40"/>
      <c r="G2197" s="41"/>
      <c r="H2197" s="40"/>
      <c r="I2197" s="41"/>
      <c r="J2197" s="41">
        <f t="shared" si="8"/>
        <v>355.05</v>
      </c>
      <c r="K2197" s="42" t="s">
        <v>5796</v>
      </c>
      <c r="L2197" s="39">
        <v>1665</v>
      </c>
    </row>
    <row r="2198" spans="1:12" ht="11.25" customHeight="1">
      <c r="A2198" s="39">
        <v>1671</v>
      </c>
      <c r="B2198" s="40" t="s">
        <v>14717</v>
      </c>
      <c r="C2198" s="40" t="s">
        <v>14718</v>
      </c>
      <c r="D2198" s="40" t="s">
        <v>14719</v>
      </c>
      <c r="E2198" s="41">
        <v>350.66</v>
      </c>
      <c r="F2198" s="40"/>
      <c r="G2198" s="41"/>
      <c r="H2198" s="40"/>
      <c r="I2198" s="41"/>
      <c r="J2198" s="41">
        <f t="shared" si="8"/>
        <v>350.66</v>
      </c>
      <c r="K2198" s="42" t="s">
        <v>5796</v>
      </c>
      <c r="L2198" s="39">
        <v>1671</v>
      </c>
    </row>
    <row r="2199" spans="1:12" ht="11.25" customHeight="1">
      <c r="A2199" s="39">
        <v>1674</v>
      </c>
      <c r="B2199" s="40" t="s">
        <v>14720</v>
      </c>
      <c r="C2199" s="40" t="s">
        <v>14721</v>
      </c>
      <c r="D2199" s="40" t="s">
        <v>14722</v>
      </c>
      <c r="E2199" s="41">
        <v>347.05</v>
      </c>
      <c r="F2199" s="40"/>
      <c r="G2199" s="41"/>
      <c r="H2199" s="40"/>
      <c r="I2199" s="41"/>
      <c r="J2199" s="41">
        <f t="shared" si="8"/>
        <v>347.05</v>
      </c>
      <c r="K2199" s="42" t="s">
        <v>5796</v>
      </c>
      <c r="L2199" s="39">
        <v>1674</v>
      </c>
    </row>
    <row r="2200" spans="1:12" ht="11.25" customHeight="1">
      <c r="A2200" s="39">
        <v>1675</v>
      </c>
      <c r="B2200" s="40" t="s">
        <v>14723</v>
      </c>
      <c r="C2200" s="40" t="s">
        <v>14724</v>
      </c>
      <c r="D2200" s="40" t="s">
        <v>14725</v>
      </c>
      <c r="E2200" s="41">
        <v>346.44</v>
      </c>
      <c r="F2200" s="40"/>
      <c r="G2200" s="41"/>
      <c r="H2200" s="40"/>
      <c r="I2200" s="41"/>
      <c r="J2200" s="41">
        <f t="shared" si="8"/>
        <v>346.44</v>
      </c>
      <c r="K2200" s="42" t="s">
        <v>5796</v>
      </c>
      <c r="L2200" s="39">
        <v>1675</v>
      </c>
    </row>
    <row r="2201" spans="1:12" ht="11.25" customHeight="1">
      <c r="A2201" s="39">
        <v>1677</v>
      </c>
      <c r="B2201" s="40" t="s">
        <v>14726</v>
      </c>
      <c r="C2201" s="40" t="s">
        <v>14727</v>
      </c>
      <c r="D2201" s="40" t="s">
        <v>14728</v>
      </c>
      <c r="E2201" s="41">
        <v>344.27</v>
      </c>
      <c r="F2201" s="40"/>
      <c r="G2201" s="41"/>
      <c r="H2201" s="40"/>
      <c r="I2201" s="41"/>
      <c r="J2201" s="41">
        <f t="shared" si="8"/>
        <v>344.27</v>
      </c>
      <c r="K2201" s="42" t="s">
        <v>5796</v>
      </c>
      <c r="L2201" s="39">
        <v>1677</v>
      </c>
    </row>
    <row r="2202" spans="1:12" ht="11.25" customHeight="1">
      <c r="A2202" s="39">
        <v>1680</v>
      </c>
      <c r="B2202" s="40" t="s">
        <v>14729</v>
      </c>
      <c r="C2202" s="40" t="s">
        <v>14730</v>
      </c>
      <c r="D2202" s="40" t="s">
        <v>14731</v>
      </c>
      <c r="E2202" s="41">
        <v>342.48</v>
      </c>
      <c r="F2202" s="40"/>
      <c r="G2202" s="41"/>
      <c r="H2202" s="40"/>
      <c r="I2202" s="41"/>
      <c r="J2202" s="41">
        <f t="shared" si="8"/>
        <v>342.48</v>
      </c>
      <c r="K2202" s="42" t="s">
        <v>5796</v>
      </c>
      <c r="L2202" s="39">
        <v>1680</v>
      </c>
    </row>
    <row r="2203" spans="1:12" ht="11.25" customHeight="1">
      <c r="A2203" s="39">
        <v>1681</v>
      </c>
      <c r="B2203" s="40" t="s">
        <v>14732</v>
      </c>
      <c r="C2203" s="40" t="s">
        <v>14733</v>
      </c>
      <c r="D2203" s="40" t="s">
        <v>14734</v>
      </c>
      <c r="E2203" s="41">
        <v>339.68</v>
      </c>
      <c r="F2203" s="40"/>
      <c r="G2203" s="41"/>
      <c r="H2203" s="40"/>
      <c r="I2203" s="41"/>
      <c r="J2203" s="41">
        <f t="shared" si="8"/>
        <v>339.68</v>
      </c>
      <c r="K2203" s="42" t="s">
        <v>5796</v>
      </c>
      <c r="L2203" s="39">
        <v>1681</v>
      </c>
    </row>
    <row r="2204" spans="1:12" ht="11.25" customHeight="1">
      <c r="A2204" s="39">
        <v>1691</v>
      </c>
      <c r="B2204" s="40" t="s">
        <v>7327</v>
      </c>
      <c r="C2204" s="40" t="s">
        <v>14735</v>
      </c>
      <c r="D2204" s="40" t="s">
        <v>14736</v>
      </c>
      <c r="E2204" s="41">
        <v>335.11</v>
      </c>
      <c r="F2204" s="40"/>
      <c r="G2204" s="41"/>
      <c r="H2204" s="40"/>
      <c r="I2204" s="41"/>
      <c r="J2204" s="41">
        <f t="shared" si="8"/>
        <v>335.11</v>
      </c>
      <c r="K2204" s="42" t="s">
        <v>5796</v>
      </c>
      <c r="L2204" s="39">
        <v>1691</v>
      </c>
    </row>
    <row r="2205" spans="1:12" ht="11.25" customHeight="1">
      <c r="A2205" s="39">
        <v>1693</v>
      </c>
      <c r="B2205" s="40" t="s">
        <v>7379</v>
      </c>
      <c r="C2205" s="40" t="s">
        <v>14737</v>
      </c>
      <c r="D2205" s="40" t="s">
        <v>14738</v>
      </c>
      <c r="E2205" s="41">
        <v>334.4</v>
      </c>
      <c r="F2205" s="40"/>
      <c r="G2205" s="41"/>
      <c r="H2205" s="40"/>
      <c r="I2205" s="41"/>
      <c r="J2205" s="41">
        <f t="shared" si="8"/>
        <v>334.4</v>
      </c>
      <c r="K2205" s="42" t="s">
        <v>5796</v>
      </c>
      <c r="L2205" s="39">
        <v>1693</v>
      </c>
    </row>
    <row r="2206" spans="1:12" ht="11.25" customHeight="1">
      <c r="A2206" s="39">
        <v>1696</v>
      </c>
      <c r="B2206" s="40" t="s">
        <v>14739</v>
      </c>
      <c r="C2206" s="40" t="s">
        <v>14740</v>
      </c>
      <c r="D2206" s="40" t="s">
        <v>14741</v>
      </c>
      <c r="E2206" s="41">
        <v>332.68</v>
      </c>
      <c r="F2206" s="40"/>
      <c r="G2206" s="41"/>
      <c r="H2206" s="40"/>
      <c r="I2206" s="41"/>
      <c r="J2206" s="41">
        <f t="shared" si="8"/>
        <v>332.68</v>
      </c>
      <c r="K2206" s="42" t="s">
        <v>5796</v>
      </c>
      <c r="L2206" s="39">
        <v>1696</v>
      </c>
    </row>
    <row r="2207" spans="1:12" ht="11.25" customHeight="1">
      <c r="A2207" s="39">
        <v>1697</v>
      </c>
      <c r="B2207" s="40" t="s">
        <v>14742</v>
      </c>
      <c r="C2207" s="40" t="s">
        <v>14743</v>
      </c>
      <c r="D2207" s="40" t="s">
        <v>14744</v>
      </c>
      <c r="E2207" s="41">
        <v>332.12</v>
      </c>
      <c r="F2207" s="40"/>
      <c r="G2207" s="41"/>
      <c r="H2207" s="40"/>
      <c r="I2207" s="41"/>
      <c r="J2207" s="41">
        <f t="shared" si="8"/>
        <v>332.12</v>
      </c>
      <c r="K2207" s="42" t="s">
        <v>5796</v>
      </c>
      <c r="L2207" s="39">
        <v>1697</v>
      </c>
    </row>
    <row r="2208" spans="1:12" ht="11.25" customHeight="1">
      <c r="A2208" s="39">
        <v>1698</v>
      </c>
      <c r="B2208" s="40" t="s">
        <v>14745</v>
      </c>
      <c r="C2208" s="40" t="s">
        <v>14746</v>
      </c>
      <c r="D2208" s="40" t="s">
        <v>14747</v>
      </c>
      <c r="E2208" s="41">
        <v>330.96</v>
      </c>
      <c r="F2208" s="40"/>
      <c r="G2208" s="41"/>
      <c r="H2208" s="40"/>
      <c r="I2208" s="41"/>
      <c r="J2208" s="41">
        <f t="shared" si="8"/>
        <v>330.96</v>
      </c>
      <c r="K2208" s="42" t="s">
        <v>5796</v>
      </c>
      <c r="L2208" s="39">
        <v>1698</v>
      </c>
    </row>
    <row r="2209" spans="1:12" ht="11.25" customHeight="1">
      <c r="A2209" s="39">
        <v>1699</v>
      </c>
      <c r="B2209" s="40" t="s">
        <v>14748</v>
      </c>
      <c r="C2209" s="40" t="s">
        <v>14749</v>
      </c>
      <c r="D2209" s="40" t="s">
        <v>14750</v>
      </c>
      <c r="E2209" s="41">
        <v>330.86</v>
      </c>
      <c r="F2209" s="40"/>
      <c r="G2209" s="41"/>
      <c r="H2209" s="40"/>
      <c r="I2209" s="41"/>
      <c r="J2209" s="41">
        <f t="shared" si="8"/>
        <v>330.86</v>
      </c>
      <c r="K2209" s="42" t="s">
        <v>5796</v>
      </c>
      <c r="L2209" s="39">
        <v>1699</v>
      </c>
    </row>
    <row r="2210" spans="1:12" ht="11.25" customHeight="1">
      <c r="A2210" s="39">
        <v>1702</v>
      </c>
      <c r="B2210" s="40" t="s">
        <v>14751</v>
      </c>
      <c r="C2210" s="40" t="s">
        <v>14752</v>
      </c>
      <c r="D2210" s="40" t="s">
        <v>14753</v>
      </c>
      <c r="E2210" s="41">
        <v>330.11</v>
      </c>
      <c r="F2210" s="40"/>
      <c r="G2210" s="41"/>
      <c r="H2210" s="40"/>
      <c r="I2210" s="41"/>
      <c r="J2210" s="41">
        <f t="shared" si="8"/>
        <v>330.11</v>
      </c>
      <c r="K2210" s="42" t="s">
        <v>5796</v>
      </c>
      <c r="L2210" s="39">
        <v>1702</v>
      </c>
    </row>
    <row r="2211" spans="1:12" ht="11.25" customHeight="1">
      <c r="A2211" s="39">
        <v>1703</v>
      </c>
      <c r="B2211" s="40" t="s">
        <v>14754</v>
      </c>
      <c r="C2211" s="40" t="s">
        <v>14755</v>
      </c>
      <c r="D2211" s="40" t="s">
        <v>14756</v>
      </c>
      <c r="E2211" s="41">
        <v>329.88</v>
      </c>
      <c r="F2211" s="40"/>
      <c r="G2211" s="41"/>
      <c r="H2211" s="40"/>
      <c r="I2211" s="41"/>
      <c r="J2211" s="41">
        <f t="shared" si="8"/>
        <v>329.88</v>
      </c>
      <c r="K2211" s="42" t="s">
        <v>5796</v>
      </c>
      <c r="L2211" s="39">
        <v>1703</v>
      </c>
    </row>
    <row r="2212" spans="1:12" ht="11.25" customHeight="1">
      <c r="A2212" s="39">
        <v>1706</v>
      </c>
      <c r="B2212" s="40" t="s">
        <v>14757</v>
      </c>
      <c r="C2212" s="40" t="s">
        <v>14758</v>
      </c>
      <c r="D2212" s="40" t="s">
        <v>14759</v>
      </c>
      <c r="E2212" s="41">
        <v>327.78</v>
      </c>
      <c r="F2212" s="40"/>
      <c r="G2212" s="41"/>
      <c r="H2212" s="40"/>
      <c r="I2212" s="41"/>
      <c r="J2212" s="41">
        <f t="shared" si="8"/>
        <v>327.78</v>
      </c>
      <c r="K2212" s="42" t="s">
        <v>5796</v>
      </c>
      <c r="L2212" s="39">
        <v>1706</v>
      </c>
    </row>
    <row r="2213" spans="1:12" ht="11.25" customHeight="1">
      <c r="A2213" s="39">
        <v>1709</v>
      </c>
      <c r="B2213" s="40" t="s">
        <v>14760</v>
      </c>
      <c r="C2213" s="40" t="s">
        <v>14761</v>
      </c>
      <c r="D2213" s="40" t="s">
        <v>14762</v>
      </c>
      <c r="E2213" s="41">
        <v>326.83999999999997</v>
      </c>
      <c r="F2213" s="40"/>
      <c r="G2213" s="41"/>
      <c r="H2213" s="40"/>
      <c r="I2213" s="41"/>
      <c r="J2213" s="41">
        <f t="shared" si="8"/>
        <v>326.83999999999997</v>
      </c>
      <c r="K2213" s="42" t="s">
        <v>5796</v>
      </c>
      <c r="L2213" s="39">
        <v>1709</v>
      </c>
    </row>
    <row r="2214" spans="1:12" ht="11.25" customHeight="1">
      <c r="A2214" s="39">
        <v>1710</v>
      </c>
      <c r="B2214" s="40" t="s">
        <v>14763</v>
      </c>
      <c r="C2214" s="40" t="s">
        <v>14764</v>
      </c>
      <c r="D2214" s="40" t="s">
        <v>14765</v>
      </c>
      <c r="E2214" s="41">
        <v>326.60000000000002</v>
      </c>
      <c r="F2214" s="40"/>
      <c r="G2214" s="41"/>
      <c r="H2214" s="40"/>
      <c r="I2214" s="41"/>
      <c r="J2214" s="41">
        <f t="shared" si="8"/>
        <v>326.60000000000002</v>
      </c>
      <c r="K2214" s="42" t="s">
        <v>5796</v>
      </c>
      <c r="L2214" s="39">
        <v>1710</v>
      </c>
    </row>
    <row r="2215" spans="1:12" ht="11.25" customHeight="1">
      <c r="A2215" s="39">
        <v>1713</v>
      </c>
      <c r="B2215" s="40" t="s">
        <v>14766</v>
      </c>
      <c r="C2215" s="40" t="s">
        <v>14767</v>
      </c>
      <c r="D2215" s="40" t="s">
        <v>14768</v>
      </c>
      <c r="E2215" s="41">
        <v>324.74</v>
      </c>
      <c r="F2215" s="40"/>
      <c r="G2215" s="41"/>
      <c r="H2215" s="40"/>
      <c r="I2215" s="41"/>
      <c r="J2215" s="41">
        <f t="shared" si="8"/>
        <v>324.74</v>
      </c>
      <c r="K2215" s="42" t="s">
        <v>5796</v>
      </c>
      <c r="L2215" s="39">
        <v>1713</v>
      </c>
    </row>
    <row r="2216" spans="1:12" ht="11.25" customHeight="1">
      <c r="A2216" s="39">
        <v>1715</v>
      </c>
      <c r="B2216" s="40" t="s">
        <v>7332</v>
      </c>
      <c r="C2216" s="40" t="s">
        <v>14769</v>
      </c>
      <c r="D2216" s="40" t="s">
        <v>14770</v>
      </c>
      <c r="E2216" s="41">
        <v>324.02</v>
      </c>
      <c r="F2216" s="40"/>
      <c r="G2216" s="41"/>
      <c r="H2216" s="40"/>
      <c r="I2216" s="41"/>
      <c r="J2216" s="41">
        <f t="shared" si="8"/>
        <v>324.02</v>
      </c>
      <c r="K2216" s="42" t="s">
        <v>5796</v>
      </c>
      <c r="L2216" s="39">
        <v>1715</v>
      </c>
    </row>
    <row r="2217" spans="1:12" ht="11.25" customHeight="1">
      <c r="A2217" s="39">
        <v>1717</v>
      </c>
      <c r="B2217" s="40" t="s">
        <v>14771</v>
      </c>
      <c r="C2217" s="40" t="s">
        <v>14772</v>
      </c>
      <c r="D2217" s="40" t="s">
        <v>14773</v>
      </c>
      <c r="E2217" s="41">
        <v>322.76</v>
      </c>
      <c r="F2217" s="40"/>
      <c r="G2217" s="41"/>
      <c r="H2217" s="40"/>
      <c r="I2217" s="41"/>
      <c r="J2217" s="41">
        <f t="shared" si="8"/>
        <v>322.76</v>
      </c>
      <c r="K2217" s="42" t="s">
        <v>5796</v>
      </c>
      <c r="L2217" s="39">
        <v>1717</v>
      </c>
    </row>
    <row r="2218" spans="1:12" ht="11.25" customHeight="1">
      <c r="A2218" s="39">
        <v>1718</v>
      </c>
      <c r="B2218" s="40" t="s">
        <v>14774</v>
      </c>
      <c r="C2218" s="40" t="s">
        <v>14775</v>
      </c>
      <c r="D2218" s="40" t="s">
        <v>14776</v>
      </c>
      <c r="E2218" s="41">
        <v>319.77999999999997</v>
      </c>
      <c r="F2218" s="40"/>
      <c r="G2218" s="41"/>
      <c r="H2218" s="40"/>
      <c r="I2218" s="41"/>
      <c r="J2218" s="41">
        <f t="shared" si="8"/>
        <v>319.77999999999997</v>
      </c>
      <c r="K2218" s="42" t="s">
        <v>5796</v>
      </c>
      <c r="L2218" s="39">
        <v>1718</v>
      </c>
    </row>
    <row r="2219" spans="1:12" ht="11.25" customHeight="1">
      <c r="A2219" s="39">
        <v>1719</v>
      </c>
      <c r="B2219" s="40" t="s">
        <v>7263</v>
      </c>
      <c r="C2219" s="40" t="s">
        <v>14777</v>
      </c>
      <c r="D2219" s="40" t="s">
        <v>14778</v>
      </c>
      <c r="E2219" s="41">
        <v>319.39</v>
      </c>
      <c r="F2219" s="40"/>
      <c r="G2219" s="41"/>
      <c r="H2219" s="40"/>
      <c r="I2219" s="41"/>
      <c r="J2219" s="41">
        <f t="shared" si="8"/>
        <v>319.39</v>
      </c>
      <c r="K2219" s="42" t="s">
        <v>5796</v>
      </c>
      <c r="L2219" s="39">
        <v>1719</v>
      </c>
    </row>
    <row r="2220" spans="1:12" ht="11.25" customHeight="1">
      <c r="A2220" s="39">
        <v>1720</v>
      </c>
      <c r="B2220" s="40" t="s">
        <v>14779</v>
      </c>
      <c r="C2220" s="40" t="s">
        <v>14780</v>
      </c>
      <c r="D2220" s="40" t="s">
        <v>14781</v>
      </c>
      <c r="E2220" s="41">
        <v>319.16000000000003</v>
      </c>
      <c r="F2220" s="40"/>
      <c r="G2220" s="41"/>
      <c r="H2220" s="40"/>
      <c r="I2220" s="41"/>
      <c r="J2220" s="41">
        <f t="shared" si="8"/>
        <v>319.16000000000003</v>
      </c>
      <c r="K2220" s="42" t="s">
        <v>5796</v>
      </c>
      <c r="L2220" s="39">
        <v>1720</v>
      </c>
    </row>
    <row r="2221" spans="1:12" ht="11.25" customHeight="1">
      <c r="A2221" s="39">
        <v>1721</v>
      </c>
      <c r="B2221" s="40" t="s">
        <v>14782</v>
      </c>
      <c r="C2221" s="40" t="s">
        <v>14783</v>
      </c>
      <c r="D2221" s="40" t="s">
        <v>14784</v>
      </c>
      <c r="E2221" s="41">
        <v>318.95</v>
      </c>
      <c r="F2221" s="40"/>
      <c r="G2221" s="41"/>
      <c r="H2221" s="40"/>
      <c r="I2221" s="41"/>
      <c r="J2221" s="41">
        <f t="shared" si="8"/>
        <v>318.95</v>
      </c>
      <c r="K2221" s="42" t="s">
        <v>5796</v>
      </c>
      <c r="L2221" s="39">
        <v>1721</v>
      </c>
    </row>
    <row r="2222" spans="1:12" ht="11.25" customHeight="1">
      <c r="A2222" s="39">
        <v>1722</v>
      </c>
      <c r="B2222" s="40" t="s">
        <v>14785</v>
      </c>
      <c r="C2222" s="40" t="s">
        <v>14786</v>
      </c>
      <c r="D2222" s="40" t="s">
        <v>14787</v>
      </c>
      <c r="E2222" s="41">
        <v>318.57</v>
      </c>
      <c r="F2222" s="40"/>
      <c r="G2222" s="41"/>
      <c r="H2222" s="40"/>
      <c r="I2222" s="41"/>
      <c r="J2222" s="41">
        <f t="shared" si="8"/>
        <v>318.57</v>
      </c>
      <c r="K2222" s="42" t="s">
        <v>5796</v>
      </c>
      <c r="L2222" s="39">
        <v>1722</v>
      </c>
    </row>
    <row r="2223" spans="1:12" ht="11.25" customHeight="1">
      <c r="A2223" s="39">
        <v>1727</v>
      </c>
      <c r="B2223" s="40" t="s">
        <v>14788</v>
      </c>
      <c r="C2223" s="40" t="s">
        <v>14789</v>
      </c>
      <c r="D2223" s="40" t="s">
        <v>14790</v>
      </c>
      <c r="E2223" s="41">
        <v>314.89</v>
      </c>
      <c r="F2223" s="40"/>
      <c r="G2223" s="41"/>
      <c r="H2223" s="40"/>
      <c r="I2223" s="41"/>
      <c r="J2223" s="41">
        <f t="shared" si="8"/>
        <v>314.89</v>
      </c>
      <c r="K2223" s="42" t="s">
        <v>5796</v>
      </c>
      <c r="L2223" s="39">
        <v>1727</v>
      </c>
    </row>
    <row r="2224" spans="1:12" ht="11.25" customHeight="1">
      <c r="A2224" s="39">
        <v>1728</v>
      </c>
      <c r="B2224" s="40" t="s">
        <v>14791</v>
      </c>
      <c r="C2224" s="40" t="s">
        <v>14792</v>
      </c>
      <c r="D2224" s="40" t="s">
        <v>14793</v>
      </c>
      <c r="E2224" s="41">
        <v>314.66000000000003</v>
      </c>
      <c r="F2224" s="40"/>
      <c r="G2224" s="41"/>
      <c r="H2224" s="40"/>
      <c r="I2224" s="41"/>
      <c r="J2224" s="41">
        <f t="shared" si="8"/>
        <v>314.66000000000003</v>
      </c>
      <c r="K2224" s="42" t="s">
        <v>5796</v>
      </c>
      <c r="L2224" s="39">
        <v>1728</v>
      </c>
    </row>
    <row r="2225" spans="1:12" ht="11.25" customHeight="1">
      <c r="A2225" s="39">
        <v>1730</v>
      </c>
      <c r="B2225" s="40" t="s">
        <v>7497</v>
      </c>
      <c r="C2225" s="40" t="s">
        <v>14794</v>
      </c>
      <c r="D2225" s="40" t="s">
        <v>14795</v>
      </c>
      <c r="E2225" s="41">
        <v>313.08</v>
      </c>
      <c r="F2225" s="40"/>
      <c r="G2225" s="41"/>
      <c r="H2225" s="40"/>
      <c r="I2225" s="41"/>
      <c r="J2225" s="41">
        <f t="shared" si="8"/>
        <v>313.08</v>
      </c>
      <c r="K2225" s="42" t="s">
        <v>5796</v>
      </c>
      <c r="L2225" s="39">
        <v>1730</v>
      </c>
    </row>
    <row r="2226" spans="1:12" ht="11.25" customHeight="1">
      <c r="A2226" s="39">
        <v>1731</v>
      </c>
      <c r="B2226" s="40" t="s">
        <v>14796</v>
      </c>
      <c r="C2226" s="40" t="s">
        <v>14797</v>
      </c>
      <c r="D2226" s="40" t="s">
        <v>14798</v>
      </c>
      <c r="E2226" s="41">
        <v>312.08</v>
      </c>
      <c r="F2226" s="40"/>
      <c r="G2226" s="41"/>
      <c r="H2226" s="40"/>
      <c r="I2226" s="41"/>
      <c r="J2226" s="41">
        <f t="shared" si="8"/>
        <v>312.08</v>
      </c>
      <c r="K2226" s="42" t="s">
        <v>5796</v>
      </c>
      <c r="L2226" s="39">
        <v>1731</v>
      </c>
    </row>
    <row r="2227" spans="1:12" ht="11.25" customHeight="1">
      <c r="A2227" s="39">
        <v>1734</v>
      </c>
      <c r="B2227" s="40" t="s">
        <v>14799</v>
      </c>
      <c r="C2227" s="40" t="s">
        <v>14800</v>
      </c>
      <c r="D2227" s="40" t="s">
        <v>14801</v>
      </c>
      <c r="E2227" s="41">
        <v>310.25</v>
      </c>
      <c r="F2227" s="40"/>
      <c r="G2227" s="41"/>
      <c r="H2227" s="40"/>
      <c r="I2227" s="41"/>
      <c r="J2227" s="41">
        <f t="shared" si="8"/>
        <v>310.25</v>
      </c>
      <c r="K2227" s="42" t="s">
        <v>5796</v>
      </c>
      <c r="L2227" s="39">
        <v>1734</v>
      </c>
    </row>
    <row r="2228" spans="1:12" ht="11.25" customHeight="1">
      <c r="A2228" s="39">
        <v>1736</v>
      </c>
      <c r="B2228" s="40" t="s">
        <v>14802</v>
      </c>
      <c r="C2228" s="40" t="s">
        <v>14803</v>
      </c>
      <c r="D2228" s="40" t="s">
        <v>14804</v>
      </c>
      <c r="E2228" s="41">
        <v>308.44</v>
      </c>
      <c r="F2228" s="40"/>
      <c r="G2228" s="41"/>
      <c r="H2228" s="40"/>
      <c r="I2228" s="41"/>
      <c r="J2228" s="41">
        <f t="shared" si="8"/>
        <v>308.44</v>
      </c>
      <c r="K2228" s="42" t="s">
        <v>5796</v>
      </c>
      <c r="L2228" s="39">
        <v>1736</v>
      </c>
    </row>
    <row r="2229" spans="1:12" ht="11.25" customHeight="1">
      <c r="A2229" s="39">
        <v>1737</v>
      </c>
      <c r="B2229" s="40" t="s">
        <v>14805</v>
      </c>
      <c r="C2229" s="40" t="s">
        <v>14806</v>
      </c>
      <c r="D2229" s="40" t="s">
        <v>14807</v>
      </c>
      <c r="E2229" s="41">
        <v>307.38</v>
      </c>
      <c r="F2229" s="40"/>
      <c r="G2229" s="41"/>
      <c r="H2229" s="40"/>
      <c r="I2229" s="41"/>
      <c r="J2229" s="41">
        <f t="shared" si="8"/>
        <v>307.38</v>
      </c>
      <c r="K2229" s="42" t="s">
        <v>5796</v>
      </c>
      <c r="L2229" s="39">
        <v>1737</v>
      </c>
    </row>
    <row r="2230" spans="1:12" ht="11.25" customHeight="1">
      <c r="A2230" s="39">
        <v>1739</v>
      </c>
      <c r="B2230" s="40" t="s">
        <v>14808</v>
      </c>
      <c r="C2230" s="40" t="s">
        <v>14809</v>
      </c>
      <c r="D2230" s="40" t="s">
        <v>14810</v>
      </c>
      <c r="E2230" s="41">
        <v>302.68</v>
      </c>
      <c r="F2230" s="40"/>
      <c r="G2230" s="41"/>
      <c r="H2230" s="40"/>
      <c r="I2230" s="41"/>
      <c r="J2230" s="41">
        <f t="shared" si="8"/>
        <v>302.68</v>
      </c>
      <c r="K2230" s="42" t="s">
        <v>5796</v>
      </c>
      <c r="L2230" s="39">
        <v>1739</v>
      </c>
    </row>
    <row r="2231" spans="1:12" ht="11.25" customHeight="1">
      <c r="A2231" s="39">
        <v>1747</v>
      </c>
      <c r="B2231" s="40" t="s">
        <v>7407</v>
      </c>
      <c r="C2231" s="40" t="s">
        <v>14811</v>
      </c>
      <c r="D2231" s="40" t="s">
        <v>14812</v>
      </c>
      <c r="E2231" s="41">
        <v>300.48</v>
      </c>
      <c r="F2231" s="40"/>
      <c r="G2231" s="41"/>
      <c r="H2231" s="40"/>
      <c r="I2231" s="41"/>
      <c r="J2231" s="41">
        <f t="shared" si="8"/>
        <v>300.48</v>
      </c>
      <c r="K2231" s="42" t="s">
        <v>5796</v>
      </c>
      <c r="L2231" s="39">
        <v>1747</v>
      </c>
    </row>
    <row r="2232" spans="1:12" ht="11.25" customHeight="1">
      <c r="A2232" s="39">
        <v>1749</v>
      </c>
      <c r="B2232" s="40" t="s">
        <v>7510</v>
      </c>
      <c r="C2232" s="40" t="s">
        <v>14813</v>
      </c>
      <c r="D2232" s="40" t="s">
        <v>14814</v>
      </c>
      <c r="E2232" s="41">
        <v>299.20999999999998</v>
      </c>
      <c r="F2232" s="40"/>
      <c r="G2232" s="41"/>
      <c r="H2232" s="40"/>
      <c r="I2232" s="41"/>
      <c r="J2232" s="41">
        <f t="shared" si="8"/>
        <v>299.20999999999998</v>
      </c>
      <c r="K2232" s="42" t="s">
        <v>5796</v>
      </c>
      <c r="L2232" s="39">
        <v>1749</v>
      </c>
    </row>
    <row r="2233" spans="1:12" ht="11.25" customHeight="1">
      <c r="A2233" s="39">
        <v>1750</v>
      </c>
      <c r="B2233" s="40" t="s">
        <v>14815</v>
      </c>
      <c r="C2233" s="40" t="s">
        <v>14816</v>
      </c>
      <c r="D2233" s="40" t="s">
        <v>14817</v>
      </c>
      <c r="E2233" s="41">
        <v>298.81</v>
      </c>
      <c r="F2233" s="40"/>
      <c r="G2233" s="41"/>
      <c r="H2233" s="40"/>
      <c r="I2233" s="41"/>
      <c r="J2233" s="41">
        <f t="shared" si="8"/>
        <v>298.81</v>
      </c>
      <c r="K2233" s="42" t="s">
        <v>5796</v>
      </c>
      <c r="L2233" s="39">
        <v>1750</v>
      </c>
    </row>
    <row r="2234" spans="1:12" ht="11.25" customHeight="1">
      <c r="A2234" s="39">
        <v>1751</v>
      </c>
      <c r="B2234" s="40" t="s">
        <v>14818</v>
      </c>
      <c r="C2234" s="40" t="s">
        <v>14819</v>
      </c>
      <c r="D2234" s="40" t="s">
        <v>14820</v>
      </c>
      <c r="E2234" s="41">
        <v>298.61</v>
      </c>
      <c r="F2234" s="40"/>
      <c r="G2234" s="41"/>
      <c r="H2234" s="40"/>
      <c r="I2234" s="41"/>
      <c r="J2234" s="41">
        <f t="shared" si="8"/>
        <v>298.61</v>
      </c>
      <c r="K2234" s="42" t="s">
        <v>5796</v>
      </c>
      <c r="L2234" s="39">
        <v>1751</v>
      </c>
    </row>
    <row r="2235" spans="1:12" ht="11.25" customHeight="1">
      <c r="A2235" s="39">
        <v>1752</v>
      </c>
      <c r="B2235" s="40" t="s">
        <v>14821</v>
      </c>
      <c r="C2235" s="40" t="s">
        <v>14822</v>
      </c>
      <c r="D2235" s="40" t="s">
        <v>14823</v>
      </c>
      <c r="E2235" s="41">
        <v>298</v>
      </c>
      <c r="F2235" s="40"/>
      <c r="G2235" s="41"/>
      <c r="H2235" s="40"/>
      <c r="I2235" s="41"/>
      <c r="J2235" s="41">
        <f t="shared" si="8"/>
        <v>298</v>
      </c>
      <c r="K2235" s="42" t="s">
        <v>5796</v>
      </c>
      <c r="L2235" s="39">
        <v>1752</v>
      </c>
    </row>
    <row r="2236" spans="1:12" ht="11.25" customHeight="1">
      <c r="A2236" s="39">
        <v>1754</v>
      </c>
      <c r="B2236" s="40" t="s">
        <v>14824</v>
      </c>
      <c r="C2236" s="40" t="s">
        <v>14825</v>
      </c>
      <c r="D2236" s="40" t="s">
        <v>14826</v>
      </c>
      <c r="E2236" s="41">
        <v>297.45999999999998</v>
      </c>
      <c r="F2236" s="40"/>
      <c r="G2236" s="41"/>
      <c r="H2236" s="40"/>
      <c r="I2236" s="41"/>
      <c r="J2236" s="41">
        <f t="shared" si="8"/>
        <v>297.45999999999998</v>
      </c>
      <c r="K2236" s="42" t="s">
        <v>5796</v>
      </c>
      <c r="L2236" s="39">
        <v>1754</v>
      </c>
    </row>
    <row r="2237" spans="1:12" ht="11.25" customHeight="1">
      <c r="A2237" s="39">
        <v>1756</v>
      </c>
      <c r="B2237" s="40" t="s">
        <v>7331</v>
      </c>
      <c r="C2237" s="40" t="s">
        <v>14827</v>
      </c>
      <c r="D2237" s="40" t="s">
        <v>14828</v>
      </c>
      <c r="E2237" s="41">
        <v>296.29000000000002</v>
      </c>
      <c r="F2237" s="40"/>
      <c r="G2237" s="41"/>
      <c r="H2237" s="40"/>
      <c r="I2237" s="41"/>
      <c r="J2237" s="41">
        <f t="shared" si="8"/>
        <v>296.29000000000002</v>
      </c>
      <c r="K2237" s="42" t="s">
        <v>5796</v>
      </c>
      <c r="L2237" s="39">
        <v>1756</v>
      </c>
    </row>
    <row r="2238" spans="1:12" ht="11.25" customHeight="1">
      <c r="A2238" s="39">
        <v>1757</v>
      </c>
      <c r="B2238" s="40" t="s">
        <v>14829</v>
      </c>
      <c r="C2238" s="40" t="s">
        <v>14830</v>
      </c>
      <c r="D2238" s="40" t="s">
        <v>14831</v>
      </c>
      <c r="E2238" s="41">
        <v>295.82</v>
      </c>
      <c r="F2238" s="40"/>
      <c r="G2238" s="41"/>
      <c r="H2238" s="40"/>
      <c r="I2238" s="41"/>
      <c r="J2238" s="41">
        <f t="shared" si="8"/>
        <v>295.82</v>
      </c>
      <c r="K2238" s="42" t="s">
        <v>5796</v>
      </c>
      <c r="L2238" s="39">
        <v>1757</v>
      </c>
    </row>
    <row r="2239" spans="1:12" ht="11.25" customHeight="1">
      <c r="A2239" s="39">
        <v>1758</v>
      </c>
      <c r="B2239" s="40" t="s">
        <v>14832</v>
      </c>
      <c r="C2239" s="40" t="s">
        <v>14833</v>
      </c>
      <c r="D2239" s="40" t="s">
        <v>14834</v>
      </c>
      <c r="E2239" s="41">
        <v>294.72000000000003</v>
      </c>
      <c r="F2239" s="40"/>
      <c r="G2239" s="41"/>
      <c r="H2239" s="40"/>
      <c r="I2239" s="41"/>
      <c r="J2239" s="41">
        <f t="shared" si="8"/>
        <v>294.72000000000003</v>
      </c>
      <c r="K2239" s="42" t="s">
        <v>5796</v>
      </c>
      <c r="L2239" s="39">
        <v>1758</v>
      </c>
    </row>
    <row r="2240" spans="1:12" ht="11.25" customHeight="1">
      <c r="A2240" s="39">
        <v>1759</v>
      </c>
      <c r="B2240" s="40" t="s">
        <v>14835</v>
      </c>
      <c r="C2240" s="40" t="s">
        <v>14836</v>
      </c>
      <c r="D2240" s="40" t="s">
        <v>14837</v>
      </c>
      <c r="E2240" s="41">
        <v>294.33</v>
      </c>
      <c r="F2240" s="40"/>
      <c r="G2240" s="41"/>
      <c r="H2240" s="40"/>
      <c r="I2240" s="41"/>
      <c r="J2240" s="41">
        <f t="shared" si="8"/>
        <v>294.33</v>
      </c>
      <c r="K2240" s="42" t="s">
        <v>5796</v>
      </c>
      <c r="L2240" s="39">
        <v>1759</v>
      </c>
    </row>
    <row r="2241" spans="1:12" ht="11.25" customHeight="1">
      <c r="A2241" s="39">
        <v>1760</v>
      </c>
      <c r="B2241" s="40" t="s">
        <v>14838</v>
      </c>
      <c r="C2241" s="40" t="s">
        <v>14839</v>
      </c>
      <c r="D2241" s="40" t="s">
        <v>14840</v>
      </c>
      <c r="E2241" s="41">
        <v>294.31</v>
      </c>
      <c r="F2241" s="40"/>
      <c r="G2241" s="41"/>
      <c r="H2241" s="40"/>
      <c r="I2241" s="41"/>
      <c r="J2241" s="41">
        <f t="shared" si="8"/>
        <v>294.31</v>
      </c>
      <c r="K2241" s="42" t="s">
        <v>5796</v>
      </c>
      <c r="L2241" s="39">
        <v>1760</v>
      </c>
    </row>
    <row r="2242" spans="1:12" ht="11.25" customHeight="1">
      <c r="A2242" s="39">
        <v>1761</v>
      </c>
      <c r="B2242" s="40" t="s">
        <v>14841</v>
      </c>
      <c r="C2242" s="40" t="s">
        <v>14842</v>
      </c>
      <c r="D2242" s="40" t="s">
        <v>14843</v>
      </c>
      <c r="E2242" s="41">
        <v>294.26</v>
      </c>
      <c r="F2242" s="40"/>
      <c r="G2242" s="41"/>
      <c r="H2242" s="40"/>
      <c r="I2242" s="41"/>
      <c r="J2242" s="41">
        <f t="shared" si="8"/>
        <v>294.26</v>
      </c>
      <c r="K2242" s="42" t="s">
        <v>5796</v>
      </c>
      <c r="L2242" s="39">
        <v>1761</v>
      </c>
    </row>
    <row r="2243" spans="1:12" ht="11.25" customHeight="1">
      <c r="A2243" s="39">
        <v>1763</v>
      </c>
      <c r="B2243" s="40" t="s">
        <v>14844</v>
      </c>
      <c r="C2243" s="40" t="s">
        <v>14845</v>
      </c>
      <c r="D2243" s="40" t="s">
        <v>14846</v>
      </c>
      <c r="E2243" s="41">
        <v>291.94</v>
      </c>
      <c r="F2243" s="40"/>
      <c r="G2243" s="41"/>
      <c r="H2243" s="40"/>
      <c r="I2243" s="41"/>
      <c r="J2243" s="41">
        <f t="shared" si="8"/>
        <v>291.94</v>
      </c>
      <c r="K2243" s="42" t="s">
        <v>5796</v>
      </c>
      <c r="L2243" s="39">
        <v>1763</v>
      </c>
    </row>
    <row r="2244" spans="1:12" ht="11.25" customHeight="1">
      <c r="A2244" s="39">
        <v>1767</v>
      </c>
      <c r="B2244" s="40" t="s">
        <v>14847</v>
      </c>
      <c r="C2244" s="40" t="s">
        <v>14848</v>
      </c>
      <c r="D2244" s="40" t="s">
        <v>14849</v>
      </c>
      <c r="E2244" s="41">
        <v>290.11</v>
      </c>
      <c r="F2244" s="40"/>
      <c r="G2244" s="41"/>
      <c r="H2244" s="40"/>
      <c r="I2244" s="41"/>
      <c r="J2244" s="41">
        <f t="shared" si="8"/>
        <v>290.11</v>
      </c>
      <c r="K2244" s="42" t="s">
        <v>5796</v>
      </c>
      <c r="L2244" s="39">
        <v>1767</v>
      </c>
    </row>
    <row r="2245" spans="1:12" ht="11.25" customHeight="1">
      <c r="A2245" s="39">
        <v>1771</v>
      </c>
      <c r="B2245" s="40" t="s">
        <v>7388</v>
      </c>
      <c r="C2245" s="40" t="s">
        <v>14850</v>
      </c>
      <c r="D2245" s="40" t="s">
        <v>14851</v>
      </c>
      <c r="E2245" s="41">
        <v>286.29000000000002</v>
      </c>
      <c r="F2245" s="40"/>
      <c r="G2245" s="41"/>
      <c r="H2245" s="40"/>
      <c r="I2245" s="41"/>
      <c r="J2245" s="41">
        <f t="shared" si="8"/>
        <v>286.29000000000002</v>
      </c>
      <c r="K2245" s="42" t="s">
        <v>5796</v>
      </c>
      <c r="L2245" s="39">
        <v>1771</v>
      </c>
    </row>
    <row r="2246" spans="1:12" ht="11.25" customHeight="1">
      <c r="A2246" s="39">
        <v>1772</v>
      </c>
      <c r="B2246" s="40" t="s">
        <v>14852</v>
      </c>
      <c r="C2246" s="40" t="s">
        <v>14853</v>
      </c>
      <c r="D2246" s="40" t="s">
        <v>14854</v>
      </c>
      <c r="E2246" s="41">
        <v>286.2</v>
      </c>
      <c r="F2246" s="40"/>
      <c r="G2246" s="41"/>
      <c r="H2246" s="40"/>
      <c r="I2246" s="41"/>
      <c r="J2246" s="41">
        <f t="shared" si="8"/>
        <v>286.2</v>
      </c>
      <c r="K2246" s="42" t="s">
        <v>5796</v>
      </c>
      <c r="L2246" s="39">
        <v>1772</v>
      </c>
    </row>
    <row r="2247" spans="1:12" ht="11.25" customHeight="1">
      <c r="A2247" s="39">
        <v>1773</v>
      </c>
      <c r="B2247" s="40" t="s">
        <v>14855</v>
      </c>
      <c r="C2247" s="40" t="s">
        <v>14856</v>
      </c>
      <c r="D2247" s="40" t="s">
        <v>14857</v>
      </c>
      <c r="E2247" s="41">
        <v>286.19</v>
      </c>
      <c r="F2247" s="40"/>
      <c r="G2247" s="41"/>
      <c r="H2247" s="40"/>
      <c r="I2247" s="41"/>
      <c r="J2247" s="41">
        <f t="shared" si="8"/>
        <v>286.19</v>
      </c>
      <c r="K2247" s="42" t="s">
        <v>5796</v>
      </c>
      <c r="L2247" s="39">
        <v>1773</v>
      </c>
    </row>
    <row r="2248" spans="1:12" ht="11.25" customHeight="1">
      <c r="A2248" s="39">
        <v>1775</v>
      </c>
      <c r="B2248" s="40" t="s">
        <v>14858</v>
      </c>
      <c r="C2248" s="40" t="s">
        <v>14859</v>
      </c>
      <c r="D2248" s="40" t="s">
        <v>5730</v>
      </c>
      <c r="E2248" s="41">
        <v>285.7</v>
      </c>
      <c r="F2248" s="40"/>
      <c r="G2248" s="41"/>
      <c r="H2248" s="40"/>
      <c r="I2248" s="41"/>
      <c r="J2248" s="41">
        <f t="shared" si="8"/>
        <v>285.7</v>
      </c>
      <c r="K2248" s="42" t="s">
        <v>5796</v>
      </c>
      <c r="L2248" s="39">
        <v>1775</v>
      </c>
    </row>
    <row r="2249" spans="1:12" ht="11.25" customHeight="1">
      <c r="A2249" s="39">
        <v>1776</v>
      </c>
      <c r="B2249" s="40" t="s">
        <v>14860</v>
      </c>
      <c r="C2249" s="40" t="s">
        <v>14861</v>
      </c>
      <c r="D2249" s="40" t="s">
        <v>14862</v>
      </c>
      <c r="E2249" s="41">
        <v>285.43</v>
      </c>
      <c r="F2249" s="40"/>
      <c r="G2249" s="41"/>
      <c r="H2249" s="40"/>
      <c r="I2249" s="41"/>
      <c r="J2249" s="41">
        <f t="shared" si="8"/>
        <v>285.43</v>
      </c>
      <c r="K2249" s="42" t="s">
        <v>5796</v>
      </c>
      <c r="L2249" s="39">
        <v>1776</v>
      </c>
    </row>
    <row r="2250" spans="1:12" ht="11.25" customHeight="1">
      <c r="A2250" s="39">
        <v>1777</v>
      </c>
      <c r="B2250" s="40" t="s">
        <v>14863</v>
      </c>
      <c r="C2250" s="40" t="s">
        <v>14864</v>
      </c>
      <c r="D2250" s="40" t="s">
        <v>14865</v>
      </c>
      <c r="E2250" s="41">
        <v>284.32</v>
      </c>
      <c r="F2250" s="40"/>
      <c r="G2250" s="41"/>
      <c r="H2250" s="40"/>
      <c r="I2250" s="41"/>
      <c r="J2250" s="41">
        <f t="shared" si="8"/>
        <v>284.32</v>
      </c>
      <c r="K2250" s="42" t="s">
        <v>5796</v>
      </c>
      <c r="L2250" s="39">
        <v>1777</v>
      </c>
    </row>
    <row r="2251" spans="1:12" ht="11.25" customHeight="1">
      <c r="A2251" s="39">
        <v>1780</v>
      </c>
      <c r="B2251" s="40" t="s">
        <v>7421</v>
      </c>
      <c r="C2251" s="40" t="s">
        <v>14866</v>
      </c>
      <c r="D2251" s="40" t="s">
        <v>14867</v>
      </c>
      <c r="E2251" s="41">
        <v>281.45999999999998</v>
      </c>
      <c r="F2251" s="40"/>
      <c r="G2251" s="41"/>
      <c r="H2251" s="40"/>
      <c r="I2251" s="41"/>
      <c r="J2251" s="41">
        <f t="shared" si="8"/>
        <v>281.45999999999998</v>
      </c>
      <c r="K2251" s="42" t="s">
        <v>5796</v>
      </c>
      <c r="L2251" s="39">
        <v>1780</v>
      </c>
    </row>
    <row r="2252" spans="1:12" ht="11.25" customHeight="1">
      <c r="A2252" s="39">
        <v>1781</v>
      </c>
      <c r="B2252" s="40" t="s">
        <v>14868</v>
      </c>
      <c r="C2252" s="40" t="s">
        <v>14869</v>
      </c>
      <c r="D2252" s="40" t="s">
        <v>14870</v>
      </c>
      <c r="E2252" s="41">
        <v>279.32</v>
      </c>
      <c r="F2252" s="40"/>
      <c r="G2252" s="41"/>
      <c r="H2252" s="40"/>
      <c r="I2252" s="41"/>
      <c r="J2252" s="41">
        <f t="shared" si="8"/>
        <v>279.32</v>
      </c>
      <c r="K2252" s="42" t="s">
        <v>5796</v>
      </c>
      <c r="L2252" s="39">
        <v>1781</v>
      </c>
    </row>
    <row r="2253" spans="1:12" ht="11.25" customHeight="1">
      <c r="A2253" s="39">
        <v>1782</v>
      </c>
      <c r="B2253" s="40" t="s">
        <v>14871</v>
      </c>
      <c r="C2253" s="40" t="s">
        <v>14872</v>
      </c>
      <c r="D2253" s="40" t="s">
        <v>14873</v>
      </c>
      <c r="E2253" s="41">
        <v>279.29000000000002</v>
      </c>
      <c r="F2253" s="40"/>
      <c r="G2253" s="41"/>
      <c r="H2253" s="40"/>
      <c r="I2253" s="41"/>
      <c r="J2253" s="41">
        <f t="shared" si="8"/>
        <v>279.29000000000002</v>
      </c>
      <c r="K2253" s="42" t="s">
        <v>5796</v>
      </c>
      <c r="L2253" s="39">
        <v>1782</v>
      </c>
    </row>
    <row r="2254" spans="1:12" ht="11.25" customHeight="1">
      <c r="A2254" s="39">
        <v>1784</v>
      </c>
      <c r="B2254" s="40" t="s">
        <v>7562</v>
      </c>
      <c r="C2254" s="40" t="s">
        <v>14874</v>
      </c>
      <c r="D2254" s="40" t="s">
        <v>14875</v>
      </c>
      <c r="E2254" s="41">
        <v>278.14999999999998</v>
      </c>
      <c r="F2254" s="40"/>
      <c r="G2254" s="41"/>
      <c r="H2254" s="40"/>
      <c r="I2254" s="41"/>
      <c r="J2254" s="41">
        <f t="shared" si="8"/>
        <v>278.14999999999998</v>
      </c>
      <c r="K2254" s="42" t="s">
        <v>5796</v>
      </c>
      <c r="L2254" s="39">
        <v>1784</v>
      </c>
    </row>
    <row r="2255" spans="1:12" ht="11.25" customHeight="1">
      <c r="A2255" s="39">
        <v>1788</v>
      </c>
      <c r="B2255" s="40" t="s">
        <v>14876</v>
      </c>
      <c r="C2255" s="40" t="s">
        <v>14877</v>
      </c>
      <c r="D2255" s="40" t="s">
        <v>14878</v>
      </c>
      <c r="E2255" s="41">
        <v>275.85000000000002</v>
      </c>
      <c r="F2255" s="40"/>
      <c r="G2255" s="41"/>
      <c r="H2255" s="40"/>
      <c r="I2255" s="41"/>
      <c r="J2255" s="41">
        <f t="shared" si="8"/>
        <v>275.85000000000002</v>
      </c>
      <c r="K2255" s="42" t="s">
        <v>5796</v>
      </c>
      <c r="L2255" s="39">
        <v>1788</v>
      </c>
    </row>
    <row r="2256" spans="1:12" ht="11.25" customHeight="1">
      <c r="A2256" s="39">
        <v>1790</v>
      </c>
      <c r="B2256" s="40" t="s">
        <v>14879</v>
      </c>
      <c r="C2256" s="40" t="s">
        <v>14880</v>
      </c>
      <c r="D2256" s="40" t="s">
        <v>14881</v>
      </c>
      <c r="E2256" s="41">
        <v>274.08999999999997</v>
      </c>
      <c r="F2256" s="40"/>
      <c r="G2256" s="41"/>
      <c r="H2256" s="40"/>
      <c r="I2256" s="41"/>
      <c r="J2256" s="41">
        <f t="shared" si="8"/>
        <v>274.08999999999997</v>
      </c>
      <c r="K2256" s="42" t="s">
        <v>5796</v>
      </c>
      <c r="L2256" s="39">
        <v>1790</v>
      </c>
    </row>
    <row r="2257" spans="1:12" ht="11.25" customHeight="1">
      <c r="A2257" s="39">
        <v>1791</v>
      </c>
      <c r="B2257" s="40" t="s">
        <v>14882</v>
      </c>
      <c r="C2257" s="40" t="s">
        <v>14883</v>
      </c>
      <c r="D2257" s="40" t="s">
        <v>14884</v>
      </c>
      <c r="E2257" s="41">
        <v>273.77999999999997</v>
      </c>
      <c r="F2257" s="40"/>
      <c r="G2257" s="41"/>
      <c r="H2257" s="40"/>
      <c r="I2257" s="41"/>
      <c r="J2257" s="41">
        <f t="shared" si="8"/>
        <v>273.77999999999997</v>
      </c>
      <c r="K2257" s="42" t="s">
        <v>5796</v>
      </c>
      <c r="L2257" s="39">
        <v>1791</v>
      </c>
    </row>
    <row r="2258" spans="1:12" ht="11.25" customHeight="1">
      <c r="A2258" s="39">
        <v>1792</v>
      </c>
      <c r="B2258" s="40" t="s">
        <v>14885</v>
      </c>
      <c r="C2258" s="40" t="s">
        <v>14886</v>
      </c>
      <c r="D2258" s="40" t="s">
        <v>14887</v>
      </c>
      <c r="E2258" s="41">
        <v>272.93</v>
      </c>
      <c r="F2258" s="40"/>
      <c r="G2258" s="41"/>
      <c r="H2258" s="40"/>
      <c r="I2258" s="41"/>
      <c r="J2258" s="41">
        <f t="shared" si="8"/>
        <v>272.93</v>
      </c>
      <c r="K2258" s="42" t="s">
        <v>5796</v>
      </c>
      <c r="L2258" s="39">
        <v>1792</v>
      </c>
    </row>
    <row r="2259" spans="1:12" ht="11.25" customHeight="1">
      <c r="A2259" s="39">
        <v>1793</v>
      </c>
      <c r="B2259" s="40" t="s">
        <v>14888</v>
      </c>
      <c r="C2259" s="40" t="s">
        <v>14889</v>
      </c>
      <c r="D2259" s="40" t="s">
        <v>14890</v>
      </c>
      <c r="E2259" s="41">
        <v>272.74</v>
      </c>
      <c r="F2259" s="40"/>
      <c r="G2259" s="41"/>
      <c r="H2259" s="40"/>
      <c r="I2259" s="41"/>
      <c r="J2259" s="41">
        <f t="shared" si="8"/>
        <v>272.74</v>
      </c>
      <c r="K2259" s="42" t="s">
        <v>5796</v>
      </c>
      <c r="L2259" s="39">
        <v>1793</v>
      </c>
    </row>
    <row r="2260" spans="1:12" ht="11.25" customHeight="1">
      <c r="A2260" s="39">
        <v>1801</v>
      </c>
      <c r="B2260" s="40" t="s">
        <v>14891</v>
      </c>
      <c r="C2260" s="40" t="s">
        <v>14892</v>
      </c>
      <c r="D2260" s="40" t="s">
        <v>14893</v>
      </c>
      <c r="E2260" s="41">
        <v>271.31</v>
      </c>
      <c r="F2260" s="40"/>
      <c r="G2260" s="41"/>
      <c r="H2260" s="40"/>
      <c r="I2260" s="41"/>
      <c r="J2260" s="41">
        <f t="shared" si="8"/>
        <v>271.31</v>
      </c>
      <c r="K2260" s="42" t="s">
        <v>5796</v>
      </c>
      <c r="L2260" s="39">
        <v>1801</v>
      </c>
    </row>
    <row r="2261" spans="1:12" ht="11.25" customHeight="1">
      <c r="A2261" s="39">
        <v>1802</v>
      </c>
      <c r="B2261" s="40" t="s">
        <v>14894</v>
      </c>
      <c r="C2261" s="40" t="s">
        <v>14895</v>
      </c>
      <c r="D2261" s="40" t="s">
        <v>14896</v>
      </c>
      <c r="E2261" s="41">
        <v>271.18</v>
      </c>
      <c r="F2261" s="40"/>
      <c r="G2261" s="41"/>
      <c r="H2261" s="40"/>
      <c r="I2261" s="41"/>
      <c r="J2261" s="41">
        <f t="shared" si="8"/>
        <v>271.18</v>
      </c>
      <c r="K2261" s="42" t="s">
        <v>5796</v>
      </c>
      <c r="L2261" s="39">
        <v>1802</v>
      </c>
    </row>
    <row r="2262" spans="1:12" ht="11.25" customHeight="1">
      <c r="A2262" s="39">
        <v>1803</v>
      </c>
      <c r="B2262" s="40" t="s">
        <v>14897</v>
      </c>
      <c r="C2262" s="40" t="s">
        <v>14898</v>
      </c>
      <c r="D2262" s="40" t="s">
        <v>14899</v>
      </c>
      <c r="E2262" s="41">
        <v>270.19</v>
      </c>
      <c r="F2262" s="40"/>
      <c r="G2262" s="41"/>
      <c r="H2262" s="40"/>
      <c r="I2262" s="41"/>
      <c r="J2262" s="41">
        <f t="shared" si="8"/>
        <v>270.19</v>
      </c>
      <c r="K2262" s="42" t="s">
        <v>5796</v>
      </c>
      <c r="L2262" s="39">
        <v>1803</v>
      </c>
    </row>
    <row r="2263" spans="1:12" ht="11.25" customHeight="1">
      <c r="A2263" s="39">
        <v>1804</v>
      </c>
      <c r="B2263" s="40" t="s">
        <v>7293</v>
      </c>
      <c r="C2263" s="40" t="s">
        <v>14900</v>
      </c>
      <c r="D2263" s="40" t="s">
        <v>14901</v>
      </c>
      <c r="E2263" s="41">
        <v>268.95999999999998</v>
      </c>
      <c r="F2263" s="40"/>
      <c r="G2263" s="41"/>
      <c r="H2263" s="40"/>
      <c r="I2263" s="41"/>
      <c r="J2263" s="41">
        <f t="shared" si="8"/>
        <v>268.95999999999998</v>
      </c>
      <c r="K2263" s="42" t="s">
        <v>5796</v>
      </c>
      <c r="L2263" s="39">
        <v>1804</v>
      </c>
    </row>
    <row r="2264" spans="1:12" ht="11.25" customHeight="1">
      <c r="A2264" s="39">
        <v>1805</v>
      </c>
      <c r="B2264" s="40" t="s">
        <v>14902</v>
      </c>
      <c r="C2264" s="40" t="s">
        <v>14903</v>
      </c>
      <c r="D2264" s="40" t="s">
        <v>14904</v>
      </c>
      <c r="E2264" s="41">
        <v>267.38</v>
      </c>
      <c r="F2264" s="40"/>
      <c r="G2264" s="41"/>
      <c r="H2264" s="40"/>
      <c r="I2264" s="41"/>
      <c r="J2264" s="41">
        <f t="shared" si="8"/>
        <v>267.38</v>
      </c>
      <c r="K2264" s="42" t="s">
        <v>5796</v>
      </c>
      <c r="L2264" s="39">
        <v>1805</v>
      </c>
    </row>
    <row r="2265" spans="1:12" ht="11.25" customHeight="1">
      <c r="A2265" s="39">
        <v>1806</v>
      </c>
      <c r="B2265" s="40" t="s">
        <v>14905</v>
      </c>
      <c r="C2265" s="40" t="s">
        <v>14906</v>
      </c>
      <c r="D2265" s="40" t="s">
        <v>14907</v>
      </c>
      <c r="E2265" s="41">
        <v>266.31</v>
      </c>
      <c r="F2265" s="40"/>
      <c r="G2265" s="41"/>
      <c r="H2265" s="40"/>
      <c r="I2265" s="41"/>
      <c r="J2265" s="41">
        <f t="shared" si="8"/>
        <v>266.31</v>
      </c>
      <c r="K2265" s="42" t="s">
        <v>5796</v>
      </c>
      <c r="L2265" s="39">
        <v>1806</v>
      </c>
    </row>
    <row r="2266" spans="1:12" ht="11.25" customHeight="1">
      <c r="A2266" s="39">
        <v>1807</v>
      </c>
      <c r="B2266" s="40" t="s">
        <v>14908</v>
      </c>
      <c r="C2266" s="40" t="s">
        <v>14909</v>
      </c>
      <c r="D2266" s="40" t="s">
        <v>14910</v>
      </c>
      <c r="E2266" s="41">
        <v>266</v>
      </c>
      <c r="F2266" s="40"/>
      <c r="G2266" s="41"/>
      <c r="H2266" s="40"/>
      <c r="I2266" s="41"/>
      <c r="J2266" s="41">
        <f t="shared" si="8"/>
        <v>266</v>
      </c>
      <c r="K2266" s="42" t="s">
        <v>5796</v>
      </c>
      <c r="L2266" s="39">
        <v>1807</v>
      </c>
    </row>
    <row r="2267" spans="1:12" ht="11.25" customHeight="1">
      <c r="A2267" s="39">
        <v>1808</v>
      </c>
      <c r="B2267" s="40" t="s">
        <v>14911</v>
      </c>
      <c r="C2267" s="40" t="s">
        <v>14912</v>
      </c>
      <c r="D2267" s="40" t="s">
        <v>14913</v>
      </c>
      <c r="E2267" s="41">
        <v>265.77999999999997</v>
      </c>
      <c r="F2267" s="40"/>
      <c r="G2267" s="41"/>
      <c r="H2267" s="40"/>
      <c r="I2267" s="41"/>
      <c r="J2267" s="41">
        <f t="shared" si="8"/>
        <v>265.77999999999997</v>
      </c>
      <c r="K2267" s="42" t="s">
        <v>5796</v>
      </c>
      <c r="L2267" s="39">
        <v>1808</v>
      </c>
    </row>
    <row r="2268" spans="1:12" ht="11.25" customHeight="1">
      <c r="A2268" s="39">
        <v>1809</v>
      </c>
      <c r="B2268" s="40" t="s">
        <v>14914</v>
      </c>
      <c r="C2268" s="40" t="s">
        <v>14915</v>
      </c>
      <c r="D2268" s="40" t="s">
        <v>14916</v>
      </c>
      <c r="E2268" s="41">
        <v>265.74</v>
      </c>
      <c r="F2268" s="40"/>
      <c r="G2268" s="41"/>
      <c r="H2268" s="40"/>
      <c r="I2268" s="41"/>
      <c r="J2268" s="41">
        <f t="shared" si="8"/>
        <v>265.74</v>
      </c>
      <c r="K2268" s="42" t="s">
        <v>5796</v>
      </c>
      <c r="L2268" s="39">
        <v>1809</v>
      </c>
    </row>
    <row r="2269" spans="1:12" ht="11.25" customHeight="1">
      <c r="A2269" s="39">
        <v>1811</v>
      </c>
      <c r="B2269" s="40" t="s">
        <v>14917</v>
      </c>
      <c r="C2269" s="40" t="s">
        <v>14918</v>
      </c>
      <c r="D2269" s="40" t="s">
        <v>14919</v>
      </c>
      <c r="E2269" s="41">
        <v>265.57</v>
      </c>
      <c r="F2269" s="40"/>
      <c r="G2269" s="41"/>
      <c r="H2269" s="40"/>
      <c r="I2269" s="41"/>
      <c r="J2269" s="41">
        <f t="shared" si="8"/>
        <v>265.57</v>
      </c>
      <c r="K2269" s="42" t="s">
        <v>5796</v>
      </c>
      <c r="L2269" s="39">
        <v>1811</v>
      </c>
    </row>
    <row r="2270" spans="1:12" ht="11.25" customHeight="1">
      <c r="A2270" s="39">
        <v>1812</v>
      </c>
      <c r="B2270" s="40" t="s">
        <v>14920</v>
      </c>
      <c r="C2270" s="40" t="s">
        <v>14921</v>
      </c>
      <c r="D2270" s="40" t="s">
        <v>14922</v>
      </c>
      <c r="E2270" s="41">
        <v>265.27999999999997</v>
      </c>
      <c r="F2270" s="40"/>
      <c r="G2270" s="41"/>
      <c r="H2270" s="40"/>
      <c r="I2270" s="41"/>
      <c r="J2270" s="41">
        <f t="shared" si="8"/>
        <v>265.27999999999997</v>
      </c>
      <c r="K2270" s="42" t="s">
        <v>5796</v>
      </c>
      <c r="L2270" s="39">
        <v>1812</v>
      </c>
    </row>
    <row r="2271" spans="1:12" ht="11.25" customHeight="1">
      <c r="A2271" s="39">
        <v>1814</v>
      </c>
      <c r="B2271" s="40" t="s">
        <v>14923</v>
      </c>
      <c r="C2271" s="40" t="s">
        <v>14924</v>
      </c>
      <c r="D2271" s="40" t="s">
        <v>14925</v>
      </c>
      <c r="E2271" s="41">
        <v>264.69</v>
      </c>
      <c r="F2271" s="40"/>
      <c r="G2271" s="41"/>
      <c r="H2271" s="40"/>
      <c r="I2271" s="41"/>
      <c r="J2271" s="41">
        <f t="shared" si="8"/>
        <v>264.69</v>
      </c>
      <c r="K2271" s="42" t="s">
        <v>5796</v>
      </c>
      <c r="L2271" s="39">
        <v>1814</v>
      </c>
    </row>
    <row r="2272" spans="1:12" ht="11.25" customHeight="1">
      <c r="A2272" s="39">
        <v>1815</v>
      </c>
      <c r="B2272" s="40" t="s">
        <v>14926</v>
      </c>
      <c r="C2272" s="40" t="s">
        <v>14927</v>
      </c>
      <c r="D2272" s="40" t="s">
        <v>14928</v>
      </c>
      <c r="E2272" s="41">
        <v>264.61</v>
      </c>
      <c r="F2272" s="40"/>
      <c r="G2272" s="41"/>
      <c r="H2272" s="40"/>
      <c r="I2272" s="41"/>
      <c r="J2272" s="41">
        <f t="shared" si="8"/>
        <v>264.61</v>
      </c>
      <c r="K2272" s="42" t="s">
        <v>5796</v>
      </c>
      <c r="L2272" s="39">
        <v>1815</v>
      </c>
    </row>
    <row r="2273" spans="1:12" ht="11.25" customHeight="1">
      <c r="A2273" s="39">
        <v>1819</v>
      </c>
      <c r="B2273" s="40" t="s">
        <v>14929</v>
      </c>
      <c r="C2273" s="40" t="s">
        <v>14930</v>
      </c>
      <c r="D2273" s="40" t="s">
        <v>14931</v>
      </c>
      <c r="E2273" s="41">
        <v>261.91000000000003</v>
      </c>
      <c r="F2273" s="40"/>
      <c r="G2273" s="41"/>
      <c r="H2273" s="40"/>
      <c r="I2273" s="41"/>
      <c r="J2273" s="41">
        <f t="shared" si="8"/>
        <v>261.91000000000003</v>
      </c>
      <c r="K2273" s="42" t="s">
        <v>5796</v>
      </c>
      <c r="L2273" s="39">
        <v>1819</v>
      </c>
    </row>
    <row r="2274" spans="1:12" ht="11.25" customHeight="1">
      <c r="A2274" s="39">
        <v>1821</v>
      </c>
      <c r="B2274" s="40" t="s">
        <v>14932</v>
      </c>
      <c r="C2274" s="40" t="s">
        <v>14933</v>
      </c>
      <c r="D2274" s="40" t="s">
        <v>14934</v>
      </c>
      <c r="E2274" s="41">
        <v>261.26</v>
      </c>
      <c r="F2274" s="40"/>
      <c r="G2274" s="41"/>
      <c r="H2274" s="40"/>
      <c r="I2274" s="41"/>
      <c r="J2274" s="41">
        <f t="shared" si="8"/>
        <v>261.26</v>
      </c>
      <c r="K2274" s="42" t="s">
        <v>5796</v>
      </c>
      <c r="L2274" s="39">
        <v>1821</v>
      </c>
    </row>
    <row r="2275" spans="1:12" ht="11.25" customHeight="1">
      <c r="A2275" s="39">
        <v>1823</v>
      </c>
      <c r="B2275" s="40" t="s">
        <v>14935</v>
      </c>
      <c r="C2275" s="40" t="s">
        <v>14936</v>
      </c>
      <c r="D2275" s="40" t="s">
        <v>14937</v>
      </c>
      <c r="E2275" s="41">
        <v>260.58</v>
      </c>
      <c r="F2275" s="40"/>
      <c r="G2275" s="41"/>
      <c r="H2275" s="40"/>
      <c r="I2275" s="41"/>
      <c r="J2275" s="41">
        <f t="shared" si="8"/>
        <v>260.58</v>
      </c>
      <c r="K2275" s="42" t="s">
        <v>5796</v>
      </c>
      <c r="L2275" s="39">
        <v>1823</v>
      </c>
    </row>
    <row r="2276" spans="1:12" ht="11.25" customHeight="1">
      <c r="A2276" s="39">
        <v>1824</v>
      </c>
      <c r="B2276" s="40" t="s">
        <v>14938</v>
      </c>
      <c r="C2276" s="40" t="s">
        <v>14939</v>
      </c>
      <c r="D2276" s="40" t="s">
        <v>14940</v>
      </c>
      <c r="E2276" s="41">
        <v>260.01</v>
      </c>
      <c r="F2276" s="40"/>
      <c r="G2276" s="41"/>
      <c r="H2276" s="40"/>
      <c r="I2276" s="41"/>
      <c r="J2276" s="41">
        <f t="shared" si="8"/>
        <v>260.01</v>
      </c>
      <c r="K2276" s="42" t="s">
        <v>5796</v>
      </c>
      <c r="L2276" s="39">
        <v>1824</v>
      </c>
    </row>
    <row r="2277" spans="1:12" ht="11.25" customHeight="1">
      <c r="A2277" s="39">
        <v>1825</v>
      </c>
      <c r="B2277" s="40" t="s">
        <v>14941</v>
      </c>
      <c r="C2277" s="40" t="s">
        <v>14942</v>
      </c>
      <c r="D2277" s="40" t="s">
        <v>14943</v>
      </c>
      <c r="E2277" s="41">
        <v>259.95999999999998</v>
      </c>
      <c r="F2277" s="40"/>
      <c r="G2277" s="41"/>
      <c r="H2277" s="40"/>
      <c r="I2277" s="41"/>
      <c r="J2277" s="41">
        <f t="shared" si="8"/>
        <v>259.95999999999998</v>
      </c>
      <c r="K2277" s="42" t="s">
        <v>5796</v>
      </c>
      <c r="L2277" s="39">
        <v>1825</v>
      </c>
    </row>
    <row r="2278" spans="1:12" ht="11.25" customHeight="1">
      <c r="A2278" s="39">
        <v>1826</v>
      </c>
      <c r="B2278" s="40" t="s">
        <v>14944</v>
      </c>
      <c r="C2278" s="40" t="s">
        <v>14945</v>
      </c>
      <c r="D2278" s="40" t="s">
        <v>14946</v>
      </c>
      <c r="E2278" s="41">
        <v>259.43</v>
      </c>
      <c r="F2278" s="40"/>
      <c r="G2278" s="41"/>
      <c r="H2278" s="40"/>
      <c r="I2278" s="41"/>
      <c r="J2278" s="41">
        <f t="shared" si="8"/>
        <v>259.43</v>
      </c>
      <c r="K2278" s="42" t="s">
        <v>5796</v>
      </c>
      <c r="L2278" s="39">
        <v>1826</v>
      </c>
    </row>
    <row r="2279" spans="1:12" ht="11.25" customHeight="1">
      <c r="A2279" s="39">
        <v>1828</v>
      </c>
      <c r="B2279" s="40" t="s">
        <v>14947</v>
      </c>
      <c r="C2279" s="40" t="s">
        <v>14948</v>
      </c>
      <c r="D2279" s="40" t="s">
        <v>14949</v>
      </c>
      <c r="E2279" s="41">
        <v>258.61</v>
      </c>
      <c r="F2279" s="40"/>
      <c r="G2279" s="41"/>
      <c r="H2279" s="40"/>
      <c r="I2279" s="41"/>
      <c r="J2279" s="41">
        <f t="shared" si="8"/>
        <v>258.61</v>
      </c>
      <c r="K2279" s="42" t="s">
        <v>5796</v>
      </c>
      <c r="L2279" s="39">
        <v>1828</v>
      </c>
    </row>
    <row r="2280" spans="1:12" ht="11.25" customHeight="1">
      <c r="A2280" s="39">
        <v>1830</v>
      </c>
      <c r="B2280" s="40" t="s">
        <v>14950</v>
      </c>
      <c r="C2280" s="40" t="s">
        <v>14951</v>
      </c>
      <c r="D2280" s="40" t="s">
        <v>14952</v>
      </c>
      <c r="E2280" s="41">
        <v>257.85000000000002</v>
      </c>
      <c r="F2280" s="40"/>
      <c r="G2280" s="41"/>
      <c r="H2280" s="40"/>
      <c r="I2280" s="41"/>
      <c r="J2280" s="41">
        <f t="shared" si="8"/>
        <v>257.85000000000002</v>
      </c>
      <c r="K2280" s="42" t="s">
        <v>5796</v>
      </c>
      <c r="L2280" s="39">
        <v>1830</v>
      </c>
    </row>
    <row r="2281" spans="1:12" ht="11.25" customHeight="1">
      <c r="A2281" s="39">
        <v>1832</v>
      </c>
      <c r="B2281" s="40" t="s">
        <v>7320</v>
      </c>
      <c r="C2281" s="40" t="s">
        <v>14953</v>
      </c>
      <c r="D2281" s="40" t="s">
        <v>14954</v>
      </c>
      <c r="E2281" s="41">
        <v>256.47000000000003</v>
      </c>
      <c r="F2281" s="40"/>
      <c r="G2281" s="41"/>
      <c r="H2281" s="40"/>
      <c r="I2281" s="41"/>
      <c r="J2281" s="41">
        <f t="shared" si="8"/>
        <v>256.47000000000003</v>
      </c>
      <c r="K2281" s="42" t="s">
        <v>5796</v>
      </c>
      <c r="L2281" s="39">
        <v>1832</v>
      </c>
    </row>
    <row r="2282" spans="1:12" ht="11.25" customHeight="1">
      <c r="A2282" s="39">
        <v>1834</v>
      </c>
      <c r="B2282" s="40" t="s">
        <v>14955</v>
      </c>
      <c r="C2282" s="40" t="s">
        <v>14956</v>
      </c>
      <c r="D2282" s="40" t="s">
        <v>14957</v>
      </c>
      <c r="E2282" s="41">
        <v>255.96734999999998</v>
      </c>
      <c r="F2282" s="40"/>
      <c r="G2282" s="41"/>
      <c r="H2282" s="40"/>
      <c r="I2282" s="41"/>
      <c r="J2282" s="41">
        <f t="shared" si="8"/>
        <v>255.96734999999998</v>
      </c>
      <c r="K2282" s="42" t="s">
        <v>5796</v>
      </c>
      <c r="L2282" s="39">
        <v>1834</v>
      </c>
    </row>
    <row r="2283" spans="1:12" ht="11.25" customHeight="1">
      <c r="A2283" s="39">
        <v>1835</v>
      </c>
      <c r="B2283" s="40" t="s">
        <v>14958</v>
      </c>
      <c r="C2283" s="40" t="s">
        <v>14959</v>
      </c>
      <c r="D2283" s="40" t="s">
        <v>14960</v>
      </c>
      <c r="E2283" s="41">
        <v>255.53</v>
      </c>
      <c r="F2283" s="40"/>
      <c r="G2283" s="41"/>
      <c r="H2283" s="40"/>
      <c r="I2283" s="41"/>
      <c r="J2283" s="41">
        <f t="shared" si="8"/>
        <v>255.53</v>
      </c>
      <c r="K2283" s="42" t="s">
        <v>5796</v>
      </c>
      <c r="L2283" s="39">
        <v>1835</v>
      </c>
    </row>
    <row r="2284" spans="1:12" ht="11.25" customHeight="1">
      <c r="A2284" s="39">
        <v>1837</v>
      </c>
      <c r="B2284" s="52" t="s">
        <v>7355</v>
      </c>
      <c r="C2284" s="52" t="s">
        <v>14961</v>
      </c>
      <c r="D2284" s="40"/>
      <c r="E2284" s="41"/>
      <c r="F2284" s="40"/>
      <c r="G2284" s="41"/>
      <c r="H2284" s="52" t="s">
        <v>14962</v>
      </c>
      <c r="I2284" s="53">
        <v>254.9174500000006</v>
      </c>
      <c r="J2284" s="41">
        <f t="shared" si="8"/>
        <v>254.9174500000006</v>
      </c>
      <c r="K2284" s="42" t="s">
        <v>5796</v>
      </c>
      <c r="L2284" s="39">
        <v>1837</v>
      </c>
    </row>
    <row r="2285" spans="1:12" ht="11.25" customHeight="1">
      <c r="A2285" s="39">
        <v>1838</v>
      </c>
      <c r="B2285" s="40" t="s">
        <v>14963</v>
      </c>
      <c r="C2285" s="40" t="s">
        <v>14964</v>
      </c>
      <c r="D2285" s="40" t="s">
        <v>14965</v>
      </c>
      <c r="E2285" s="41">
        <v>254.35</v>
      </c>
      <c r="F2285" s="40"/>
      <c r="G2285" s="41"/>
      <c r="H2285" s="40"/>
      <c r="I2285" s="41"/>
      <c r="J2285" s="41">
        <f t="shared" si="8"/>
        <v>254.35</v>
      </c>
      <c r="K2285" s="42" t="s">
        <v>5796</v>
      </c>
      <c r="L2285" s="39">
        <v>1838</v>
      </c>
    </row>
    <row r="2286" spans="1:12" ht="11.25" customHeight="1">
      <c r="A2286" s="39">
        <v>1840</v>
      </c>
      <c r="B2286" s="40" t="s">
        <v>14966</v>
      </c>
      <c r="C2286" s="40" t="s">
        <v>14967</v>
      </c>
      <c r="D2286" s="40" t="s">
        <v>14968</v>
      </c>
      <c r="E2286" s="41">
        <v>254.11</v>
      </c>
      <c r="F2286" s="40"/>
      <c r="G2286" s="41"/>
      <c r="H2286" s="40"/>
      <c r="I2286" s="41"/>
      <c r="J2286" s="41">
        <f t="shared" si="8"/>
        <v>254.11</v>
      </c>
      <c r="K2286" s="42" t="s">
        <v>5796</v>
      </c>
      <c r="L2286" s="39">
        <v>1840</v>
      </c>
    </row>
    <row r="2287" spans="1:12" ht="11.25" customHeight="1">
      <c r="A2287" s="39">
        <v>1842</v>
      </c>
      <c r="B2287" s="40" t="s">
        <v>14969</v>
      </c>
      <c r="C2287" s="40" t="s">
        <v>14970</v>
      </c>
      <c r="D2287" s="40" t="s">
        <v>14971</v>
      </c>
      <c r="E2287" s="41">
        <v>253.27</v>
      </c>
      <c r="F2287" s="40"/>
      <c r="G2287" s="41"/>
      <c r="H2287" s="40"/>
      <c r="I2287" s="41"/>
      <c r="J2287" s="41">
        <f t="shared" si="8"/>
        <v>253.27</v>
      </c>
      <c r="K2287" s="42" t="s">
        <v>5796</v>
      </c>
      <c r="L2287" s="39">
        <v>1842</v>
      </c>
    </row>
    <row r="2288" spans="1:12" ht="11.25" customHeight="1">
      <c r="A2288" s="39">
        <v>1845</v>
      </c>
      <c r="B2288" s="40" t="s">
        <v>14972</v>
      </c>
      <c r="C2288" s="40" t="s">
        <v>14973</v>
      </c>
      <c r="D2288" s="40" t="s">
        <v>14974</v>
      </c>
      <c r="E2288" s="41">
        <v>251.42</v>
      </c>
      <c r="F2288" s="40"/>
      <c r="G2288" s="41"/>
      <c r="H2288" s="40"/>
      <c r="I2288" s="41"/>
      <c r="J2288" s="41">
        <f t="shared" si="8"/>
        <v>251.42</v>
      </c>
      <c r="K2288" s="42" t="s">
        <v>5796</v>
      </c>
      <c r="L2288" s="39">
        <v>1845</v>
      </c>
    </row>
    <row r="2289" spans="1:12" ht="11.25" customHeight="1">
      <c r="A2289" s="39">
        <v>1847</v>
      </c>
      <c r="B2289" s="40" t="s">
        <v>7527</v>
      </c>
      <c r="C2289" s="40" t="s">
        <v>14975</v>
      </c>
      <c r="D2289" s="40" t="s">
        <v>14976</v>
      </c>
      <c r="E2289" s="41">
        <v>250.27</v>
      </c>
      <c r="F2289" s="40"/>
      <c r="G2289" s="41"/>
      <c r="H2289" s="40"/>
      <c r="I2289" s="41"/>
      <c r="J2289" s="41">
        <f t="shared" si="8"/>
        <v>250.27</v>
      </c>
      <c r="K2289" s="42" t="s">
        <v>5796</v>
      </c>
      <c r="L2289" s="39">
        <v>1847</v>
      </c>
    </row>
    <row r="2290" spans="1:12" ht="11.25" customHeight="1">
      <c r="A2290" s="39">
        <v>1848</v>
      </c>
      <c r="B2290" s="40" t="s">
        <v>14977</v>
      </c>
      <c r="C2290" s="40" t="s">
        <v>14978</v>
      </c>
      <c r="D2290" s="40" t="s">
        <v>14979</v>
      </c>
      <c r="E2290" s="41">
        <v>249.82</v>
      </c>
      <c r="F2290" s="40"/>
      <c r="G2290" s="41"/>
      <c r="H2290" s="40"/>
      <c r="I2290" s="41"/>
      <c r="J2290" s="41">
        <f t="shared" si="8"/>
        <v>249.82</v>
      </c>
      <c r="K2290" s="42" t="s">
        <v>5796</v>
      </c>
      <c r="L2290" s="39">
        <v>1848</v>
      </c>
    </row>
    <row r="2291" spans="1:12" ht="11.25" customHeight="1">
      <c r="A2291" s="39">
        <v>1849</v>
      </c>
      <c r="B2291" s="40" t="s">
        <v>7354</v>
      </c>
      <c r="C2291" s="40" t="s">
        <v>14980</v>
      </c>
      <c r="D2291" s="40" t="s">
        <v>14981</v>
      </c>
      <c r="E2291" s="41">
        <v>249.52</v>
      </c>
      <c r="F2291" s="40"/>
      <c r="G2291" s="41"/>
      <c r="H2291" s="40"/>
      <c r="I2291" s="41"/>
      <c r="J2291" s="41">
        <f t="shared" si="8"/>
        <v>249.52</v>
      </c>
      <c r="K2291" s="42" t="s">
        <v>5796</v>
      </c>
      <c r="L2291" s="39">
        <v>1849</v>
      </c>
    </row>
    <row r="2292" spans="1:12" ht="11.25" customHeight="1">
      <c r="A2292" s="39">
        <v>1850</v>
      </c>
      <c r="B2292" s="40" t="s">
        <v>14982</v>
      </c>
      <c r="C2292" s="40" t="s">
        <v>14983</v>
      </c>
      <c r="D2292" s="40" t="s">
        <v>14984</v>
      </c>
      <c r="E2292" s="41">
        <v>249.26</v>
      </c>
      <c r="F2292" s="40"/>
      <c r="G2292" s="41"/>
      <c r="H2292" s="40"/>
      <c r="I2292" s="41"/>
      <c r="J2292" s="41">
        <f t="shared" si="8"/>
        <v>249.26</v>
      </c>
      <c r="K2292" s="42" t="s">
        <v>5796</v>
      </c>
      <c r="L2292" s="39">
        <v>1850</v>
      </c>
    </row>
    <row r="2293" spans="1:12" ht="11.25" customHeight="1">
      <c r="A2293" s="39">
        <v>1852</v>
      </c>
      <c r="B2293" s="40" t="s">
        <v>14985</v>
      </c>
      <c r="C2293" s="40" t="s">
        <v>14986</v>
      </c>
      <c r="D2293" s="40" t="s">
        <v>14987</v>
      </c>
      <c r="E2293" s="41">
        <v>249.2</v>
      </c>
      <c r="F2293" s="40"/>
      <c r="G2293" s="41"/>
      <c r="H2293" s="40"/>
      <c r="I2293" s="41"/>
      <c r="J2293" s="41">
        <f t="shared" si="8"/>
        <v>249.2</v>
      </c>
      <c r="K2293" s="42" t="s">
        <v>5796</v>
      </c>
      <c r="L2293" s="39">
        <v>1852</v>
      </c>
    </row>
    <row r="2294" spans="1:12" ht="11.25" customHeight="1">
      <c r="A2294" s="39">
        <v>1857</v>
      </c>
      <c r="B2294" s="40" t="s">
        <v>14988</v>
      </c>
      <c r="C2294" s="40" t="s">
        <v>14989</v>
      </c>
      <c r="D2294" s="40" t="s">
        <v>14990</v>
      </c>
      <c r="E2294" s="41">
        <v>244.72</v>
      </c>
      <c r="F2294" s="40"/>
      <c r="G2294" s="41"/>
      <c r="H2294" s="40"/>
      <c r="I2294" s="41"/>
      <c r="J2294" s="41">
        <f t="shared" si="8"/>
        <v>244.72</v>
      </c>
      <c r="K2294" s="42" t="s">
        <v>5796</v>
      </c>
      <c r="L2294" s="39">
        <v>1857</v>
      </c>
    </row>
    <row r="2295" spans="1:12" ht="11.25" customHeight="1">
      <c r="A2295" s="39">
        <v>1858</v>
      </c>
      <c r="B2295" s="40" t="s">
        <v>14991</v>
      </c>
      <c r="C2295" s="40" t="s">
        <v>14992</v>
      </c>
      <c r="D2295" s="40" t="s">
        <v>14993</v>
      </c>
      <c r="E2295" s="41">
        <v>244.34</v>
      </c>
      <c r="F2295" s="40"/>
      <c r="G2295" s="41"/>
      <c r="H2295" s="40"/>
      <c r="I2295" s="41"/>
      <c r="J2295" s="41">
        <f t="shared" si="8"/>
        <v>244.34</v>
      </c>
      <c r="K2295" s="42" t="s">
        <v>5796</v>
      </c>
      <c r="L2295" s="39">
        <v>1858</v>
      </c>
    </row>
    <row r="2296" spans="1:12" ht="11.25" customHeight="1">
      <c r="A2296" s="39">
        <v>1859</v>
      </c>
      <c r="B2296" s="40" t="s">
        <v>14994</v>
      </c>
      <c r="C2296" s="40" t="s">
        <v>14995</v>
      </c>
      <c r="D2296" s="40" t="s">
        <v>14996</v>
      </c>
      <c r="E2296" s="41">
        <v>244.11</v>
      </c>
      <c r="F2296" s="40"/>
      <c r="G2296" s="41"/>
      <c r="H2296" s="40"/>
      <c r="I2296" s="41"/>
      <c r="J2296" s="41">
        <f t="shared" si="8"/>
        <v>244.11</v>
      </c>
      <c r="K2296" s="42" t="s">
        <v>5796</v>
      </c>
      <c r="L2296" s="39">
        <v>1859</v>
      </c>
    </row>
    <row r="2297" spans="1:12" ht="11.25" customHeight="1">
      <c r="A2297" s="39">
        <v>1860</v>
      </c>
      <c r="B2297" s="40" t="s">
        <v>14997</v>
      </c>
      <c r="C2297" s="40" t="s">
        <v>14998</v>
      </c>
      <c r="D2297" s="40" t="s">
        <v>14999</v>
      </c>
      <c r="E2297" s="41">
        <v>242.48</v>
      </c>
      <c r="F2297" s="40"/>
      <c r="G2297" s="41"/>
      <c r="H2297" s="40"/>
      <c r="I2297" s="41"/>
      <c r="J2297" s="41">
        <f t="shared" si="8"/>
        <v>242.48</v>
      </c>
      <c r="K2297" s="42" t="s">
        <v>5796</v>
      </c>
      <c r="L2297" s="39">
        <v>1860</v>
      </c>
    </row>
    <row r="2298" spans="1:12" ht="11.25" customHeight="1">
      <c r="A2298" s="39">
        <v>1861</v>
      </c>
      <c r="B2298" s="40" t="s">
        <v>15000</v>
      </c>
      <c r="C2298" s="40" t="s">
        <v>15001</v>
      </c>
      <c r="D2298" s="40" t="s">
        <v>15002</v>
      </c>
      <c r="E2298" s="41">
        <v>241.71</v>
      </c>
      <c r="F2298" s="40"/>
      <c r="G2298" s="41"/>
      <c r="H2298" s="40"/>
      <c r="I2298" s="41"/>
      <c r="J2298" s="41">
        <f t="shared" ref="J2298:J2552" si="9">AVERAGE(E2298,G2298,I2298)</f>
        <v>241.71</v>
      </c>
      <c r="K2298" s="42" t="s">
        <v>5796</v>
      </c>
      <c r="L2298" s="39">
        <v>1861</v>
      </c>
    </row>
    <row r="2299" spans="1:12" ht="11.25" customHeight="1">
      <c r="A2299" s="39">
        <v>1863</v>
      </c>
      <c r="B2299" s="40" t="s">
        <v>15003</v>
      </c>
      <c r="C2299" s="40" t="s">
        <v>15004</v>
      </c>
      <c r="D2299" s="40" t="s">
        <v>15005</v>
      </c>
      <c r="E2299" s="41">
        <v>241.44</v>
      </c>
      <c r="F2299" s="40"/>
      <c r="G2299" s="41"/>
      <c r="H2299" s="40"/>
      <c r="I2299" s="41"/>
      <c r="J2299" s="41">
        <f t="shared" si="9"/>
        <v>241.44</v>
      </c>
      <c r="K2299" s="42" t="s">
        <v>5796</v>
      </c>
      <c r="L2299" s="39">
        <v>1863</v>
      </c>
    </row>
    <row r="2300" spans="1:12" ht="11.25" customHeight="1">
      <c r="A2300" s="39">
        <v>1864</v>
      </c>
      <c r="B2300" s="40" t="s">
        <v>7317</v>
      </c>
      <c r="C2300" s="40" t="s">
        <v>15006</v>
      </c>
      <c r="D2300" s="40" t="s">
        <v>15007</v>
      </c>
      <c r="E2300" s="41">
        <v>241.34</v>
      </c>
      <c r="F2300" s="40"/>
      <c r="G2300" s="41"/>
      <c r="H2300" s="40"/>
      <c r="I2300" s="41"/>
      <c r="J2300" s="41">
        <f t="shared" si="9"/>
        <v>241.34</v>
      </c>
      <c r="K2300" s="42" t="s">
        <v>5796</v>
      </c>
      <c r="L2300" s="39">
        <v>1864</v>
      </c>
    </row>
    <row r="2301" spans="1:12" ht="11.25" customHeight="1">
      <c r="A2301" s="39">
        <v>1865</v>
      </c>
      <c r="B2301" s="40" t="s">
        <v>15008</v>
      </c>
      <c r="C2301" s="40" t="s">
        <v>15009</v>
      </c>
      <c r="D2301" s="40" t="s">
        <v>15010</v>
      </c>
      <c r="E2301" s="41">
        <v>240.52</v>
      </c>
      <c r="F2301" s="40"/>
      <c r="G2301" s="41"/>
      <c r="H2301" s="40"/>
      <c r="I2301" s="41"/>
      <c r="J2301" s="41">
        <f t="shared" si="9"/>
        <v>240.52</v>
      </c>
      <c r="K2301" s="42" t="s">
        <v>5796</v>
      </c>
      <c r="L2301" s="39">
        <v>1865</v>
      </c>
    </row>
    <row r="2302" spans="1:12" ht="11.25" customHeight="1">
      <c r="A2302" s="39">
        <v>1867</v>
      </c>
      <c r="B2302" s="40" t="s">
        <v>15011</v>
      </c>
      <c r="C2302" s="40" t="s">
        <v>15012</v>
      </c>
      <c r="D2302" s="40" t="s">
        <v>15013</v>
      </c>
      <c r="E2302" s="41">
        <v>239.3</v>
      </c>
      <c r="F2302" s="40"/>
      <c r="G2302" s="41"/>
      <c r="H2302" s="40"/>
      <c r="I2302" s="41"/>
      <c r="J2302" s="41">
        <f t="shared" si="9"/>
        <v>239.3</v>
      </c>
      <c r="K2302" s="42" t="s">
        <v>5796</v>
      </c>
      <c r="L2302" s="39">
        <v>1867</v>
      </c>
    </row>
    <row r="2303" spans="1:12" ht="11.25" customHeight="1">
      <c r="A2303" s="39">
        <v>1868</v>
      </c>
      <c r="B2303" s="40" t="s">
        <v>15014</v>
      </c>
      <c r="C2303" s="40" t="s">
        <v>15015</v>
      </c>
      <c r="D2303" s="40" t="s">
        <v>15016</v>
      </c>
      <c r="E2303" s="41">
        <v>237.99</v>
      </c>
      <c r="F2303" s="40"/>
      <c r="G2303" s="41"/>
      <c r="H2303" s="40"/>
      <c r="I2303" s="41"/>
      <c r="J2303" s="41">
        <f t="shared" si="9"/>
        <v>237.99</v>
      </c>
      <c r="K2303" s="42" t="s">
        <v>5796</v>
      </c>
      <c r="L2303" s="39">
        <v>1868</v>
      </c>
    </row>
    <row r="2304" spans="1:12" ht="11.25" customHeight="1">
      <c r="A2304" s="39">
        <v>1869</v>
      </c>
      <c r="B2304" s="40" t="s">
        <v>15017</v>
      </c>
      <c r="C2304" s="40" t="s">
        <v>15018</v>
      </c>
      <c r="D2304" s="40" t="s">
        <v>15019</v>
      </c>
      <c r="E2304" s="41">
        <v>237.41</v>
      </c>
      <c r="F2304" s="40"/>
      <c r="G2304" s="41"/>
      <c r="H2304" s="40"/>
      <c r="I2304" s="41"/>
      <c r="J2304" s="41">
        <f t="shared" si="9"/>
        <v>237.41</v>
      </c>
      <c r="K2304" s="42" t="s">
        <v>5796</v>
      </c>
      <c r="L2304" s="39">
        <v>1869</v>
      </c>
    </row>
    <row r="2305" spans="1:12" ht="11.25" customHeight="1">
      <c r="A2305" s="39">
        <v>1870</v>
      </c>
      <c r="B2305" s="40" t="s">
        <v>15020</v>
      </c>
      <c r="C2305" s="40" t="s">
        <v>15021</v>
      </c>
      <c r="D2305" s="40" t="s">
        <v>15022</v>
      </c>
      <c r="E2305" s="41">
        <v>237.02</v>
      </c>
      <c r="F2305" s="40"/>
      <c r="G2305" s="41"/>
      <c r="H2305" s="40"/>
      <c r="I2305" s="41"/>
      <c r="J2305" s="41">
        <f t="shared" si="9"/>
        <v>237.02</v>
      </c>
      <c r="K2305" s="42" t="s">
        <v>5796</v>
      </c>
      <c r="L2305" s="39">
        <v>1870</v>
      </c>
    </row>
    <row r="2306" spans="1:12" ht="11.25" customHeight="1">
      <c r="A2306" s="39">
        <v>1871</v>
      </c>
      <c r="B2306" s="40" t="s">
        <v>15023</v>
      </c>
      <c r="C2306" s="40" t="s">
        <v>15024</v>
      </c>
      <c r="D2306" s="40" t="s">
        <v>15025</v>
      </c>
      <c r="E2306" s="41">
        <v>236.88</v>
      </c>
      <c r="F2306" s="40"/>
      <c r="G2306" s="41"/>
      <c r="H2306" s="40"/>
      <c r="I2306" s="41"/>
      <c r="J2306" s="41">
        <f t="shared" si="9"/>
        <v>236.88</v>
      </c>
      <c r="K2306" s="42" t="s">
        <v>5796</v>
      </c>
      <c r="L2306" s="39">
        <v>1871</v>
      </c>
    </row>
    <row r="2307" spans="1:12" ht="11.25" customHeight="1">
      <c r="A2307" s="39">
        <v>1874</v>
      </c>
      <c r="B2307" s="40" t="s">
        <v>15026</v>
      </c>
      <c r="C2307" s="40" t="s">
        <v>15027</v>
      </c>
      <c r="D2307" s="40" t="s">
        <v>15028</v>
      </c>
      <c r="E2307" s="41">
        <v>236.05</v>
      </c>
      <c r="F2307" s="40"/>
      <c r="G2307" s="41"/>
      <c r="H2307" s="40"/>
      <c r="I2307" s="41"/>
      <c r="J2307" s="41">
        <f t="shared" si="9"/>
        <v>236.05</v>
      </c>
      <c r="K2307" s="42" t="s">
        <v>5796</v>
      </c>
      <c r="L2307" s="39">
        <v>1874</v>
      </c>
    </row>
    <row r="2308" spans="1:12" ht="11.25" customHeight="1">
      <c r="A2308" s="39">
        <v>1877</v>
      </c>
      <c r="B2308" s="40" t="s">
        <v>15029</v>
      </c>
      <c r="C2308" s="40" t="s">
        <v>15030</v>
      </c>
      <c r="D2308" s="40" t="s">
        <v>15031</v>
      </c>
      <c r="E2308" s="41">
        <v>234.11</v>
      </c>
      <c r="F2308" s="40"/>
      <c r="G2308" s="41"/>
      <c r="H2308" s="40"/>
      <c r="I2308" s="41"/>
      <c r="J2308" s="41">
        <f t="shared" si="9"/>
        <v>234.11</v>
      </c>
      <c r="K2308" s="42" t="s">
        <v>5796</v>
      </c>
      <c r="L2308" s="39">
        <v>1877</v>
      </c>
    </row>
    <row r="2309" spans="1:12" ht="11.25" customHeight="1">
      <c r="A2309" s="39">
        <v>1880</v>
      </c>
      <c r="B2309" s="40" t="s">
        <v>15032</v>
      </c>
      <c r="C2309" s="40" t="s">
        <v>15033</v>
      </c>
      <c r="D2309" s="40" t="s">
        <v>15034</v>
      </c>
      <c r="E2309" s="41">
        <v>233.28</v>
      </c>
      <c r="F2309" s="40"/>
      <c r="G2309" s="41"/>
      <c r="H2309" s="40"/>
      <c r="I2309" s="41"/>
      <c r="J2309" s="41">
        <f t="shared" si="9"/>
        <v>233.28</v>
      </c>
      <c r="K2309" s="42" t="s">
        <v>5796</v>
      </c>
      <c r="L2309" s="39">
        <v>1880</v>
      </c>
    </row>
    <row r="2310" spans="1:12" ht="11.25" customHeight="1">
      <c r="A2310" s="39">
        <v>1888</v>
      </c>
      <c r="B2310" s="40" t="s">
        <v>15035</v>
      </c>
      <c r="C2310" s="40" t="s">
        <v>15036</v>
      </c>
      <c r="D2310" s="40" t="s">
        <v>15037</v>
      </c>
      <c r="E2310" s="41">
        <v>228.99</v>
      </c>
      <c r="F2310" s="40"/>
      <c r="G2310" s="41"/>
      <c r="H2310" s="40" t="s">
        <v>15038</v>
      </c>
      <c r="I2310" s="41">
        <v>228.61995391096775</v>
      </c>
      <c r="J2310" s="41">
        <f t="shared" si="9"/>
        <v>228.80497695548388</v>
      </c>
      <c r="K2310" s="42" t="s">
        <v>5796</v>
      </c>
      <c r="L2310" s="39">
        <v>1888</v>
      </c>
    </row>
    <row r="2311" spans="1:12" ht="11.25" customHeight="1">
      <c r="A2311" s="39">
        <v>1889</v>
      </c>
      <c r="B2311" s="40" t="s">
        <v>15039</v>
      </c>
      <c r="C2311" s="40" t="s">
        <v>15040</v>
      </c>
      <c r="D2311" s="40" t="s">
        <v>15041</v>
      </c>
      <c r="E2311" s="41">
        <v>227.15</v>
      </c>
      <c r="F2311" s="40"/>
      <c r="G2311" s="41"/>
      <c r="H2311" s="40"/>
      <c r="I2311" s="41"/>
      <c r="J2311" s="41">
        <f t="shared" si="9"/>
        <v>227.15</v>
      </c>
      <c r="K2311" s="42" t="s">
        <v>5796</v>
      </c>
      <c r="L2311" s="39">
        <v>1889</v>
      </c>
    </row>
    <row r="2312" spans="1:12" ht="11.25" customHeight="1">
      <c r="A2312" s="39">
        <v>1890</v>
      </c>
      <c r="B2312" s="40" t="s">
        <v>15042</v>
      </c>
      <c r="C2312" s="40" t="s">
        <v>15043</v>
      </c>
      <c r="D2312" s="40" t="s">
        <v>15044</v>
      </c>
      <c r="E2312" s="41">
        <v>225.89</v>
      </c>
      <c r="F2312" s="40"/>
      <c r="G2312" s="41"/>
      <c r="H2312" s="40"/>
      <c r="I2312" s="41"/>
      <c r="J2312" s="41">
        <f t="shared" si="9"/>
        <v>225.89</v>
      </c>
      <c r="K2312" s="42" t="s">
        <v>5796</v>
      </c>
      <c r="L2312" s="39">
        <v>1890</v>
      </c>
    </row>
    <row r="2313" spans="1:12" ht="11.25" customHeight="1">
      <c r="A2313" s="39">
        <v>1891</v>
      </c>
      <c r="B2313" s="40" t="s">
        <v>15045</v>
      </c>
      <c r="C2313" s="40" t="s">
        <v>15046</v>
      </c>
      <c r="D2313" s="40" t="s">
        <v>15047</v>
      </c>
      <c r="E2313" s="41">
        <v>224.93</v>
      </c>
      <c r="F2313" s="40"/>
      <c r="G2313" s="41"/>
      <c r="H2313" s="40"/>
      <c r="I2313" s="41"/>
      <c r="J2313" s="41">
        <f t="shared" si="9"/>
        <v>224.93</v>
      </c>
      <c r="K2313" s="42" t="s">
        <v>5796</v>
      </c>
      <c r="L2313" s="39">
        <v>1891</v>
      </c>
    </row>
    <row r="2314" spans="1:12" ht="11.25" customHeight="1">
      <c r="A2314" s="39">
        <v>1892</v>
      </c>
      <c r="B2314" s="40" t="s">
        <v>15048</v>
      </c>
      <c r="C2314" s="40" t="s">
        <v>15049</v>
      </c>
      <c r="D2314" s="40" t="s">
        <v>15050</v>
      </c>
      <c r="E2314" s="41">
        <v>226.62</v>
      </c>
      <c r="F2314" s="40"/>
      <c r="G2314" s="41"/>
      <c r="H2314" s="40" t="s">
        <v>15050</v>
      </c>
      <c r="I2314" s="41">
        <v>223.07808401419351</v>
      </c>
      <c r="J2314" s="41">
        <f t="shared" si="9"/>
        <v>224.84904200709676</v>
      </c>
      <c r="K2314" s="42" t="s">
        <v>5796</v>
      </c>
      <c r="L2314" s="39">
        <v>1892</v>
      </c>
    </row>
    <row r="2315" spans="1:12" ht="11.25" customHeight="1">
      <c r="A2315" s="39">
        <v>1894</v>
      </c>
      <c r="B2315" s="40" t="s">
        <v>15051</v>
      </c>
      <c r="C2315" s="40" t="s">
        <v>15052</v>
      </c>
      <c r="D2315" s="40" t="s">
        <v>15053</v>
      </c>
      <c r="E2315" s="41">
        <v>224.47</v>
      </c>
      <c r="F2315" s="40"/>
      <c r="G2315" s="41"/>
      <c r="H2315" s="40"/>
      <c r="I2315" s="41"/>
      <c r="J2315" s="41">
        <f t="shared" si="9"/>
        <v>224.47</v>
      </c>
      <c r="K2315" s="42" t="s">
        <v>5796</v>
      </c>
      <c r="L2315" s="39">
        <v>1894</v>
      </c>
    </row>
    <row r="2316" spans="1:12" ht="11.25" customHeight="1">
      <c r="A2316" s="39">
        <v>1897</v>
      </c>
      <c r="B2316" s="40" t="s">
        <v>15054</v>
      </c>
      <c r="C2316" s="40" t="s">
        <v>15055</v>
      </c>
      <c r="D2316" s="40" t="s">
        <v>15056</v>
      </c>
      <c r="E2316" s="41">
        <v>221.67</v>
      </c>
      <c r="F2316" s="40"/>
      <c r="G2316" s="41"/>
      <c r="H2316" s="40"/>
      <c r="I2316" s="41"/>
      <c r="J2316" s="41">
        <f t="shared" si="9"/>
        <v>221.67</v>
      </c>
      <c r="K2316" s="42" t="s">
        <v>5796</v>
      </c>
      <c r="L2316" s="39">
        <v>1897</v>
      </c>
    </row>
    <row r="2317" spans="1:12" ht="11.25" customHeight="1">
      <c r="A2317" s="39">
        <v>1899</v>
      </c>
      <c r="B2317" s="40" t="s">
        <v>7456</v>
      </c>
      <c r="C2317" s="40" t="s">
        <v>15057</v>
      </c>
      <c r="D2317" s="40" t="s">
        <v>15058</v>
      </c>
      <c r="E2317" s="41">
        <v>221.44</v>
      </c>
      <c r="F2317" s="40"/>
      <c r="G2317" s="41"/>
      <c r="H2317" s="40"/>
      <c r="I2317" s="41"/>
      <c r="J2317" s="41">
        <f t="shared" si="9"/>
        <v>221.44</v>
      </c>
      <c r="K2317" s="42" t="s">
        <v>5796</v>
      </c>
      <c r="L2317" s="39">
        <v>1899</v>
      </c>
    </row>
    <row r="2318" spans="1:12" ht="11.25" customHeight="1">
      <c r="A2318" s="39">
        <v>1901</v>
      </c>
      <c r="B2318" s="40" t="s">
        <v>15059</v>
      </c>
      <c r="C2318" s="40" t="s">
        <v>15060</v>
      </c>
      <c r="D2318" s="40" t="s">
        <v>15061</v>
      </c>
      <c r="E2318" s="41">
        <v>220.99</v>
      </c>
      <c r="F2318" s="40"/>
      <c r="G2318" s="41"/>
      <c r="H2318" s="40"/>
      <c r="I2318" s="41"/>
      <c r="J2318" s="41">
        <f t="shared" si="9"/>
        <v>220.99</v>
      </c>
      <c r="K2318" s="42" t="s">
        <v>5796</v>
      </c>
      <c r="L2318" s="39">
        <v>1901</v>
      </c>
    </row>
    <row r="2319" spans="1:12" ht="11.25" customHeight="1">
      <c r="A2319" s="39">
        <v>1903</v>
      </c>
      <c r="B2319" s="40" t="s">
        <v>15062</v>
      </c>
      <c r="C2319" s="40" t="s">
        <v>15063</v>
      </c>
      <c r="D2319" s="40" t="s">
        <v>15064</v>
      </c>
      <c r="E2319" s="41">
        <v>219.27</v>
      </c>
      <c r="F2319" s="40"/>
      <c r="G2319" s="41"/>
      <c r="H2319" s="40"/>
      <c r="I2319" s="41"/>
      <c r="J2319" s="41">
        <f t="shared" si="9"/>
        <v>219.27</v>
      </c>
      <c r="K2319" s="42" t="s">
        <v>5796</v>
      </c>
      <c r="L2319" s="39">
        <v>1903</v>
      </c>
    </row>
    <row r="2320" spans="1:12" ht="11.25" customHeight="1">
      <c r="A2320" s="39">
        <v>1904</v>
      </c>
      <c r="B2320" s="40" t="s">
        <v>15065</v>
      </c>
      <c r="C2320" s="40" t="s">
        <v>15066</v>
      </c>
      <c r="D2320" s="40" t="s">
        <v>15067</v>
      </c>
      <c r="E2320" s="41">
        <v>217.88</v>
      </c>
      <c r="F2320" s="40"/>
      <c r="G2320" s="41"/>
      <c r="H2320" s="40"/>
      <c r="I2320" s="41"/>
      <c r="J2320" s="41">
        <f t="shared" si="9"/>
        <v>217.88</v>
      </c>
      <c r="K2320" s="42" t="s">
        <v>5796</v>
      </c>
      <c r="L2320" s="39">
        <v>1904</v>
      </c>
    </row>
    <row r="2321" spans="1:12" ht="11.25" customHeight="1">
      <c r="A2321" s="39">
        <v>1905</v>
      </c>
      <c r="B2321" s="40" t="s">
        <v>15068</v>
      </c>
      <c r="C2321" s="40" t="s">
        <v>15069</v>
      </c>
      <c r="D2321" s="40" t="s">
        <v>15070</v>
      </c>
      <c r="E2321" s="41">
        <v>217.68</v>
      </c>
      <c r="F2321" s="40"/>
      <c r="G2321" s="41"/>
      <c r="H2321" s="40"/>
      <c r="I2321" s="41"/>
      <c r="J2321" s="41">
        <f t="shared" si="9"/>
        <v>217.68</v>
      </c>
      <c r="K2321" s="42" t="s">
        <v>5796</v>
      </c>
      <c r="L2321" s="39">
        <v>1905</v>
      </c>
    </row>
    <row r="2322" spans="1:12" ht="11.25" customHeight="1">
      <c r="A2322" s="39">
        <v>1907</v>
      </c>
      <c r="B2322" s="40" t="s">
        <v>15071</v>
      </c>
      <c r="C2322" s="40" t="s">
        <v>15072</v>
      </c>
      <c r="D2322" s="40" t="s">
        <v>15073</v>
      </c>
      <c r="E2322" s="41">
        <v>215.76</v>
      </c>
      <c r="F2322" s="40"/>
      <c r="G2322" s="41"/>
      <c r="H2322" s="40"/>
      <c r="I2322" s="41"/>
      <c r="J2322" s="41">
        <f t="shared" si="9"/>
        <v>215.76</v>
      </c>
      <c r="K2322" s="42" t="s">
        <v>5796</v>
      </c>
      <c r="L2322" s="39">
        <v>1907</v>
      </c>
    </row>
    <row r="2323" spans="1:12" ht="11.25" customHeight="1">
      <c r="A2323" s="39">
        <v>1908</v>
      </c>
      <c r="B2323" s="40" t="s">
        <v>15074</v>
      </c>
      <c r="C2323" s="40" t="s">
        <v>15075</v>
      </c>
      <c r="D2323" s="40" t="s">
        <v>15076</v>
      </c>
      <c r="E2323" s="41">
        <v>215.32</v>
      </c>
      <c r="F2323" s="40"/>
      <c r="G2323" s="41"/>
      <c r="H2323" s="40"/>
      <c r="I2323" s="41"/>
      <c r="J2323" s="41">
        <f t="shared" si="9"/>
        <v>215.32</v>
      </c>
      <c r="K2323" s="42" t="s">
        <v>5796</v>
      </c>
      <c r="L2323" s="39">
        <v>1908</v>
      </c>
    </row>
    <row r="2324" spans="1:12" ht="11.25" customHeight="1">
      <c r="A2324" s="39">
        <v>1909</v>
      </c>
      <c r="B2324" s="40" t="s">
        <v>15077</v>
      </c>
      <c r="C2324" s="40" t="s">
        <v>15078</v>
      </c>
      <c r="D2324" s="40" t="s">
        <v>15079</v>
      </c>
      <c r="E2324" s="41">
        <v>215.19</v>
      </c>
      <c r="F2324" s="40"/>
      <c r="G2324" s="41"/>
      <c r="H2324" s="40"/>
      <c r="I2324" s="41"/>
      <c r="J2324" s="41">
        <f t="shared" si="9"/>
        <v>215.19</v>
      </c>
      <c r="K2324" s="42" t="s">
        <v>5796</v>
      </c>
      <c r="L2324" s="39">
        <v>1909</v>
      </c>
    </row>
    <row r="2325" spans="1:12" ht="11.25" customHeight="1">
      <c r="A2325" s="39">
        <v>1910</v>
      </c>
      <c r="B2325" s="40" t="s">
        <v>15080</v>
      </c>
      <c r="C2325" s="40" t="s">
        <v>15081</v>
      </c>
      <c r="D2325" s="40" t="s">
        <v>15082</v>
      </c>
      <c r="E2325" s="41">
        <v>215.17</v>
      </c>
      <c r="F2325" s="40"/>
      <c r="G2325" s="41"/>
      <c r="H2325" s="40"/>
      <c r="I2325" s="41"/>
      <c r="J2325" s="41">
        <f t="shared" si="9"/>
        <v>215.17</v>
      </c>
      <c r="K2325" s="42" t="s">
        <v>5796</v>
      </c>
      <c r="L2325" s="39">
        <v>1910</v>
      </c>
    </row>
    <row r="2326" spans="1:12" ht="11.25" customHeight="1">
      <c r="A2326" s="39">
        <v>1911</v>
      </c>
      <c r="B2326" s="40" t="s">
        <v>7508</v>
      </c>
      <c r="C2326" s="40" t="s">
        <v>15083</v>
      </c>
      <c r="D2326" s="40" t="s">
        <v>15084</v>
      </c>
      <c r="E2326" s="41">
        <v>214.9</v>
      </c>
      <c r="F2326" s="40"/>
      <c r="G2326" s="41"/>
      <c r="H2326" s="40"/>
      <c r="I2326" s="41"/>
      <c r="J2326" s="41">
        <f t="shared" si="9"/>
        <v>214.9</v>
      </c>
      <c r="K2326" s="42" t="s">
        <v>5796</v>
      </c>
      <c r="L2326" s="39">
        <v>1911</v>
      </c>
    </row>
    <row r="2327" spans="1:12" ht="11.25" customHeight="1">
      <c r="A2327" s="39">
        <v>1912</v>
      </c>
      <c r="B2327" s="40" t="s">
        <v>15085</v>
      </c>
      <c r="C2327" s="40" t="s">
        <v>15086</v>
      </c>
      <c r="D2327" s="40" t="s">
        <v>15087</v>
      </c>
      <c r="E2327" s="41">
        <v>214.22</v>
      </c>
      <c r="F2327" s="40"/>
      <c r="G2327" s="41"/>
      <c r="H2327" s="40"/>
      <c r="I2327" s="41"/>
      <c r="J2327" s="41">
        <f t="shared" si="9"/>
        <v>214.22</v>
      </c>
      <c r="K2327" s="42" t="s">
        <v>5796</v>
      </c>
      <c r="L2327" s="39">
        <v>1912</v>
      </c>
    </row>
    <row r="2328" spans="1:12" ht="11.25" customHeight="1">
      <c r="A2328" s="39">
        <v>1914</v>
      </c>
      <c r="B2328" s="54" t="s">
        <v>7398</v>
      </c>
      <c r="C2328" s="54" t="s">
        <v>15088</v>
      </c>
      <c r="D2328" s="40"/>
      <c r="E2328" s="41"/>
      <c r="F2328" s="40"/>
      <c r="G2328" s="41"/>
      <c r="H2328" s="54" t="s">
        <v>15089</v>
      </c>
      <c r="I2328" s="41">
        <v>212.43621438000002</v>
      </c>
      <c r="J2328" s="41">
        <f t="shared" si="9"/>
        <v>212.43621438000002</v>
      </c>
      <c r="K2328" s="42" t="s">
        <v>5796</v>
      </c>
      <c r="L2328" s="39">
        <v>1914</v>
      </c>
    </row>
    <row r="2329" spans="1:12" ht="11.25" customHeight="1">
      <c r="A2329" s="39">
        <v>1916</v>
      </c>
      <c r="B2329" s="40" t="s">
        <v>15090</v>
      </c>
      <c r="C2329" s="40" t="s">
        <v>15091</v>
      </c>
      <c r="D2329" s="40" t="s">
        <v>15092</v>
      </c>
      <c r="E2329" s="41">
        <v>212.27</v>
      </c>
      <c r="F2329" s="40"/>
      <c r="G2329" s="41"/>
      <c r="H2329" s="40"/>
      <c r="I2329" s="41"/>
      <c r="J2329" s="41">
        <f t="shared" si="9"/>
        <v>212.27</v>
      </c>
      <c r="K2329" s="42" t="s">
        <v>5796</v>
      </c>
      <c r="L2329" s="39">
        <v>1916</v>
      </c>
    </row>
    <row r="2330" spans="1:12" ht="11.25" customHeight="1">
      <c r="A2330" s="39">
        <v>1917</v>
      </c>
      <c r="B2330" s="40" t="s">
        <v>15093</v>
      </c>
      <c r="C2330" s="40" t="s">
        <v>15094</v>
      </c>
      <c r="D2330" s="40" t="s">
        <v>15095</v>
      </c>
      <c r="E2330" s="41">
        <v>212.04</v>
      </c>
      <c r="F2330" s="40"/>
      <c r="G2330" s="41"/>
      <c r="H2330" s="40"/>
      <c r="I2330" s="41"/>
      <c r="J2330" s="41">
        <f t="shared" si="9"/>
        <v>212.04</v>
      </c>
      <c r="K2330" s="42" t="s">
        <v>5796</v>
      </c>
      <c r="L2330" s="39">
        <v>1917</v>
      </c>
    </row>
    <row r="2331" spans="1:12" ht="11.25" customHeight="1">
      <c r="A2331" s="39">
        <v>1921</v>
      </c>
      <c r="B2331" s="40" t="s">
        <v>15096</v>
      </c>
      <c r="C2331" s="40" t="s">
        <v>15097</v>
      </c>
      <c r="D2331" s="40" t="s">
        <v>15098</v>
      </c>
      <c r="E2331" s="41">
        <v>210.93</v>
      </c>
      <c r="F2331" s="40"/>
      <c r="G2331" s="41"/>
      <c r="H2331" s="40"/>
      <c r="I2331" s="41"/>
      <c r="J2331" s="41">
        <f t="shared" si="9"/>
        <v>210.93</v>
      </c>
      <c r="K2331" s="42" t="s">
        <v>5796</v>
      </c>
      <c r="L2331" s="39">
        <v>1921</v>
      </c>
    </row>
    <row r="2332" spans="1:12" ht="11.25" customHeight="1">
      <c r="A2332" s="39">
        <v>1922</v>
      </c>
      <c r="B2332" s="40" t="s">
        <v>15099</v>
      </c>
      <c r="C2332" s="40" t="s">
        <v>15100</v>
      </c>
      <c r="D2332" s="40" t="s">
        <v>15101</v>
      </c>
      <c r="E2332" s="41">
        <v>210.45</v>
      </c>
      <c r="F2332" s="40"/>
      <c r="G2332" s="41"/>
      <c r="H2332" s="40"/>
      <c r="I2332" s="41"/>
      <c r="J2332" s="41">
        <f t="shared" si="9"/>
        <v>210.45</v>
      </c>
      <c r="K2332" s="42" t="s">
        <v>5796</v>
      </c>
      <c r="L2332" s="39">
        <v>1922</v>
      </c>
    </row>
    <row r="2333" spans="1:12" ht="11.25" customHeight="1">
      <c r="A2333" s="39">
        <v>1923</v>
      </c>
      <c r="B2333" s="40" t="s">
        <v>15102</v>
      </c>
      <c r="C2333" s="40" t="s">
        <v>15103</v>
      </c>
      <c r="D2333" s="40" t="s">
        <v>15104</v>
      </c>
      <c r="E2333" s="41">
        <v>210.27</v>
      </c>
      <c r="F2333" s="40"/>
      <c r="G2333" s="41"/>
      <c r="H2333" s="40"/>
      <c r="I2333" s="41"/>
      <c r="J2333" s="41">
        <f t="shared" si="9"/>
        <v>210.27</v>
      </c>
      <c r="K2333" s="42" t="s">
        <v>5796</v>
      </c>
      <c r="L2333" s="39">
        <v>1923</v>
      </c>
    </row>
    <row r="2334" spans="1:12" ht="11.25" customHeight="1">
      <c r="A2334" s="39">
        <v>1924</v>
      </c>
      <c r="B2334" s="40" t="s">
        <v>15105</v>
      </c>
      <c r="C2334" s="40" t="s">
        <v>15106</v>
      </c>
      <c r="D2334" s="40" t="s">
        <v>15107</v>
      </c>
      <c r="E2334" s="41">
        <v>210.24</v>
      </c>
      <c r="F2334" s="40"/>
      <c r="G2334" s="41"/>
      <c r="H2334" s="40"/>
      <c r="I2334" s="41"/>
      <c r="J2334" s="41">
        <f t="shared" si="9"/>
        <v>210.24</v>
      </c>
      <c r="K2334" s="42" t="s">
        <v>5796</v>
      </c>
      <c r="L2334" s="39">
        <v>1924</v>
      </c>
    </row>
    <row r="2335" spans="1:12" ht="11.25" customHeight="1">
      <c r="A2335" s="39">
        <v>1925</v>
      </c>
      <c r="B2335" s="40" t="s">
        <v>7343</v>
      </c>
      <c r="C2335" s="40" t="s">
        <v>15108</v>
      </c>
      <c r="D2335" s="40" t="s">
        <v>15109</v>
      </c>
      <c r="E2335" s="41">
        <v>210.11</v>
      </c>
      <c r="F2335" s="40"/>
      <c r="G2335" s="41"/>
      <c r="H2335" s="40"/>
      <c r="I2335" s="41"/>
      <c r="J2335" s="41">
        <f t="shared" si="9"/>
        <v>210.11</v>
      </c>
      <c r="K2335" s="42" t="s">
        <v>5796</v>
      </c>
      <c r="L2335" s="39">
        <v>1925</v>
      </c>
    </row>
    <row r="2336" spans="1:12" ht="11.25" customHeight="1">
      <c r="A2336" s="39">
        <v>1928</v>
      </c>
      <c r="B2336" s="40" t="s">
        <v>15110</v>
      </c>
      <c r="C2336" s="40" t="s">
        <v>15111</v>
      </c>
      <c r="D2336" s="40" t="s">
        <v>15112</v>
      </c>
      <c r="E2336" s="41">
        <v>208.98</v>
      </c>
      <c r="F2336" s="40"/>
      <c r="G2336" s="41"/>
      <c r="H2336" s="40"/>
      <c r="I2336" s="41"/>
      <c r="J2336" s="41">
        <f t="shared" si="9"/>
        <v>208.98</v>
      </c>
      <c r="K2336" s="42" t="s">
        <v>5796</v>
      </c>
      <c r="L2336" s="39">
        <v>1928</v>
      </c>
    </row>
    <row r="2337" spans="1:12" ht="11.25" customHeight="1">
      <c r="A2337" s="39">
        <v>1931</v>
      </c>
      <c r="B2337" s="40" t="s">
        <v>15113</v>
      </c>
      <c r="C2337" s="40" t="s">
        <v>15114</v>
      </c>
      <c r="D2337" s="40" t="s">
        <v>15115</v>
      </c>
      <c r="E2337" s="41">
        <v>208.07</v>
      </c>
      <c r="F2337" s="40"/>
      <c r="G2337" s="41"/>
      <c r="H2337" s="40"/>
      <c r="I2337" s="41"/>
      <c r="J2337" s="41">
        <f t="shared" si="9"/>
        <v>208.07</v>
      </c>
      <c r="K2337" s="42" t="s">
        <v>5796</v>
      </c>
      <c r="L2337" s="39">
        <v>1931</v>
      </c>
    </row>
    <row r="2338" spans="1:12" ht="11.25" customHeight="1">
      <c r="A2338" s="39">
        <v>1932</v>
      </c>
      <c r="B2338" s="40" t="s">
        <v>15116</v>
      </c>
      <c r="C2338" s="40" t="s">
        <v>15117</v>
      </c>
      <c r="D2338" s="40" t="s">
        <v>15118</v>
      </c>
      <c r="E2338" s="41">
        <v>207.62</v>
      </c>
      <c r="F2338" s="40"/>
      <c r="G2338" s="41"/>
      <c r="H2338" s="40"/>
      <c r="I2338" s="41"/>
      <c r="J2338" s="41">
        <f t="shared" si="9"/>
        <v>207.62</v>
      </c>
      <c r="K2338" s="42" t="s">
        <v>5796</v>
      </c>
      <c r="L2338" s="39">
        <v>1932</v>
      </c>
    </row>
    <row r="2339" spans="1:12" ht="11.25" customHeight="1">
      <c r="A2339" s="39">
        <v>1933</v>
      </c>
      <c r="B2339" s="40" t="s">
        <v>15119</v>
      </c>
      <c r="C2339" s="40" t="s">
        <v>15120</v>
      </c>
      <c r="D2339" s="40" t="s">
        <v>15121</v>
      </c>
      <c r="E2339" s="41">
        <v>207.15</v>
      </c>
      <c r="F2339" s="40"/>
      <c r="G2339" s="41"/>
      <c r="H2339" s="40"/>
      <c r="I2339" s="41"/>
      <c r="J2339" s="41">
        <f t="shared" si="9"/>
        <v>207.15</v>
      </c>
      <c r="K2339" s="42" t="s">
        <v>5796</v>
      </c>
      <c r="L2339" s="39">
        <v>1933</v>
      </c>
    </row>
    <row r="2340" spans="1:12" ht="11.25" customHeight="1">
      <c r="A2340" s="39">
        <v>1934</v>
      </c>
      <c r="B2340" s="40" t="s">
        <v>15122</v>
      </c>
      <c r="C2340" s="40" t="s">
        <v>15123</v>
      </c>
      <c r="D2340" s="40" t="s">
        <v>15124</v>
      </c>
      <c r="E2340" s="41">
        <v>207.03</v>
      </c>
      <c r="F2340" s="40"/>
      <c r="G2340" s="41"/>
      <c r="H2340" s="40"/>
      <c r="I2340" s="41"/>
      <c r="J2340" s="41">
        <f t="shared" si="9"/>
        <v>207.03</v>
      </c>
      <c r="K2340" s="42" t="s">
        <v>5796</v>
      </c>
      <c r="L2340" s="39">
        <v>1934</v>
      </c>
    </row>
    <row r="2341" spans="1:12" ht="11.25" customHeight="1">
      <c r="A2341" s="39">
        <v>1935</v>
      </c>
      <c r="B2341" s="40" t="s">
        <v>15125</v>
      </c>
      <c r="C2341" s="40" t="s">
        <v>15126</v>
      </c>
      <c r="D2341" s="40" t="s">
        <v>15127</v>
      </c>
      <c r="E2341" s="41">
        <v>206.76</v>
      </c>
      <c r="F2341" s="40"/>
      <c r="G2341" s="41"/>
      <c r="H2341" s="40"/>
      <c r="I2341" s="41"/>
      <c r="J2341" s="41">
        <f t="shared" si="9"/>
        <v>206.76</v>
      </c>
      <c r="K2341" s="42" t="s">
        <v>5796</v>
      </c>
      <c r="L2341" s="39">
        <v>1935</v>
      </c>
    </row>
    <row r="2342" spans="1:12" ht="11.25" customHeight="1">
      <c r="A2342" s="39">
        <v>1936</v>
      </c>
      <c r="B2342" s="40" t="s">
        <v>15128</v>
      </c>
      <c r="C2342" s="40" t="s">
        <v>15129</v>
      </c>
      <c r="D2342" s="40" t="s">
        <v>15130</v>
      </c>
      <c r="E2342" s="41">
        <v>206.36</v>
      </c>
      <c r="F2342" s="40"/>
      <c r="G2342" s="41"/>
      <c r="H2342" s="40"/>
      <c r="I2342" s="41"/>
      <c r="J2342" s="41">
        <f t="shared" si="9"/>
        <v>206.36</v>
      </c>
      <c r="K2342" s="42" t="s">
        <v>5796</v>
      </c>
      <c r="L2342" s="39">
        <v>1936</v>
      </c>
    </row>
    <row r="2343" spans="1:12" ht="11.25" customHeight="1">
      <c r="A2343" s="39">
        <v>1938</v>
      </c>
      <c r="B2343" s="40" t="s">
        <v>7874</v>
      </c>
      <c r="C2343" s="40" t="s">
        <v>15131</v>
      </c>
      <c r="D2343" s="40" t="s">
        <v>15132</v>
      </c>
      <c r="E2343" s="41">
        <v>205.93</v>
      </c>
      <c r="F2343" s="40"/>
      <c r="G2343" s="41"/>
      <c r="H2343" s="40"/>
      <c r="I2343" s="41"/>
      <c r="J2343" s="41">
        <f t="shared" si="9"/>
        <v>205.93</v>
      </c>
      <c r="K2343" s="42" t="s">
        <v>5796</v>
      </c>
      <c r="L2343" s="39">
        <v>1938</v>
      </c>
    </row>
    <row r="2344" spans="1:12" ht="11.25" customHeight="1">
      <c r="A2344" s="39">
        <v>1939</v>
      </c>
      <c r="B2344" s="40" t="s">
        <v>15133</v>
      </c>
      <c r="C2344" s="40" t="s">
        <v>15134</v>
      </c>
      <c r="D2344" s="40" t="s">
        <v>15135</v>
      </c>
      <c r="E2344" s="41">
        <v>205.69</v>
      </c>
      <c r="F2344" s="40"/>
      <c r="G2344" s="41"/>
      <c r="H2344" s="40"/>
      <c r="I2344" s="41"/>
      <c r="J2344" s="41">
        <f t="shared" si="9"/>
        <v>205.69</v>
      </c>
      <c r="K2344" s="42" t="s">
        <v>5796</v>
      </c>
      <c r="L2344" s="39">
        <v>1939</v>
      </c>
    </row>
    <row r="2345" spans="1:12" ht="11.25" customHeight="1">
      <c r="A2345" s="39">
        <v>1940</v>
      </c>
      <c r="B2345" s="40" t="s">
        <v>15136</v>
      </c>
      <c r="C2345" s="40" t="s">
        <v>15137</v>
      </c>
      <c r="D2345" s="40" t="s">
        <v>15138</v>
      </c>
      <c r="E2345" s="41">
        <v>205.65</v>
      </c>
      <c r="F2345" s="40"/>
      <c r="G2345" s="41"/>
      <c r="H2345" s="40"/>
      <c r="I2345" s="41"/>
      <c r="J2345" s="41">
        <f t="shared" si="9"/>
        <v>205.65</v>
      </c>
      <c r="K2345" s="42" t="s">
        <v>5796</v>
      </c>
      <c r="L2345" s="39">
        <v>1940</v>
      </c>
    </row>
    <row r="2346" spans="1:12" ht="11.25" customHeight="1">
      <c r="A2346" s="39">
        <v>1941</v>
      </c>
      <c r="B2346" s="40" t="s">
        <v>15139</v>
      </c>
      <c r="C2346" s="40" t="s">
        <v>15140</v>
      </c>
      <c r="D2346" s="40" t="s">
        <v>15141</v>
      </c>
      <c r="E2346" s="41">
        <v>205.47</v>
      </c>
      <c r="F2346" s="40"/>
      <c r="G2346" s="41"/>
      <c r="H2346" s="40"/>
      <c r="I2346" s="41"/>
      <c r="J2346" s="41">
        <f t="shared" si="9"/>
        <v>205.47</v>
      </c>
      <c r="K2346" s="42" t="s">
        <v>5796</v>
      </c>
      <c r="L2346" s="39">
        <v>1941</v>
      </c>
    </row>
    <row r="2347" spans="1:12" ht="11.25" customHeight="1">
      <c r="A2347" s="39">
        <v>1942</v>
      </c>
      <c r="B2347" s="40" t="s">
        <v>15142</v>
      </c>
      <c r="C2347" s="40" t="s">
        <v>15143</v>
      </c>
      <c r="D2347" s="40" t="s">
        <v>15144</v>
      </c>
      <c r="E2347" s="41">
        <v>205.35</v>
      </c>
      <c r="F2347" s="40"/>
      <c r="G2347" s="41"/>
      <c r="H2347" s="40"/>
      <c r="I2347" s="41"/>
      <c r="J2347" s="41">
        <f t="shared" si="9"/>
        <v>205.35</v>
      </c>
      <c r="K2347" s="42" t="s">
        <v>5796</v>
      </c>
      <c r="L2347" s="39">
        <v>1942</v>
      </c>
    </row>
    <row r="2348" spans="1:12" ht="11.25" customHeight="1">
      <c r="A2348" s="39">
        <v>1947</v>
      </c>
      <c r="B2348" s="40" t="s">
        <v>15145</v>
      </c>
      <c r="C2348" s="40" t="s">
        <v>15146</v>
      </c>
      <c r="D2348" s="40" t="s">
        <v>15147</v>
      </c>
      <c r="E2348" s="41">
        <v>204.43</v>
      </c>
      <c r="F2348" s="40"/>
      <c r="G2348" s="41"/>
      <c r="H2348" s="40"/>
      <c r="I2348" s="41"/>
      <c r="J2348" s="41">
        <f t="shared" si="9"/>
        <v>204.43</v>
      </c>
      <c r="K2348" s="42" t="s">
        <v>5796</v>
      </c>
      <c r="L2348" s="39">
        <v>1947</v>
      </c>
    </row>
    <row r="2349" spans="1:12" ht="11.25" customHeight="1">
      <c r="A2349" s="39">
        <v>1948</v>
      </c>
      <c r="B2349" s="40" t="s">
        <v>15148</v>
      </c>
      <c r="C2349" s="40" t="s">
        <v>15149</v>
      </c>
      <c r="D2349" s="40" t="s">
        <v>15150</v>
      </c>
      <c r="E2349" s="41">
        <v>203.9294984375</v>
      </c>
      <c r="F2349" s="40"/>
      <c r="G2349" s="41"/>
      <c r="H2349" s="40"/>
      <c r="I2349" s="41"/>
      <c r="J2349" s="41">
        <f t="shared" si="9"/>
        <v>203.9294984375</v>
      </c>
      <c r="K2349" s="42" t="s">
        <v>5796</v>
      </c>
      <c r="L2349" s="39">
        <v>1948</v>
      </c>
    </row>
    <row r="2350" spans="1:12" ht="11.25" customHeight="1">
      <c r="A2350" s="39">
        <v>1952</v>
      </c>
      <c r="B2350" s="40" t="s">
        <v>15151</v>
      </c>
      <c r="C2350" s="40" t="s">
        <v>15152</v>
      </c>
      <c r="D2350" s="40" t="s">
        <v>15153</v>
      </c>
      <c r="E2350" s="41">
        <v>202.9</v>
      </c>
      <c r="F2350" s="40"/>
      <c r="G2350" s="41"/>
      <c r="H2350" s="40"/>
      <c r="I2350" s="41"/>
      <c r="J2350" s="41">
        <f t="shared" si="9"/>
        <v>202.9</v>
      </c>
      <c r="K2350" s="42" t="s">
        <v>5796</v>
      </c>
      <c r="L2350" s="39">
        <v>1952</v>
      </c>
    </row>
    <row r="2351" spans="1:12" ht="11.25" customHeight="1">
      <c r="A2351" s="39">
        <v>1953</v>
      </c>
      <c r="B2351" s="40" t="s">
        <v>15154</v>
      </c>
      <c r="C2351" s="40" t="s">
        <v>15155</v>
      </c>
      <c r="D2351" s="40" t="s">
        <v>15156</v>
      </c>
      <c r="E2351" s="41">
        <v>202.57</v>
      </c>
      <c r="F2351" s="40"/>
      <c r="G2351" s="41"/>
      <c r="H2351" s="40"/>
      <c r="I2351" s="41"/>
      <c r="J2351" s="41">
        <f t="shared" si="9"/>
        <v>202.57</v>
      </c>
      <c r="K2351" s="42" t="s">
        <v>5796</v>
      </c>
      <c r="L2351" s="39">
        <v>1953</v>
      </c>
    </row>
    <row r="2352" spans="1:12" ht="11.25" customHeight="1">
      <c r="A2352" s="39">
        <v>1956</v>
      </c>
      <c r="B2352" s="40" t="s">
        <v>15157</v>
      </c>
      <c r="C2352" s="40" t="s">
        <v>15158</v>
      </c>
      <c r="D2352" s="40" t="s">
        <v>15159</v>
      </c>
      <c r="E2352" s="41">
        <v>200.25</v>
      </c>
      <c r="F2352" s="40"/>
      <c r="G2352" s="41"/>
      <c r="H2352" s="40"/>
      <c r="I2352" s="41"/>
      <c r="J2352" s="41">
        <f t="shared" si="9"/>
        <v>200.25</v>
      </c>
      <c r="K2352" s="42" t="s">
        <v>5796</v>
      </c>
      <c r="L2352" s="39">
        <v>1956</v>
      </c>
    </row>
    <row r="2353" spans="1:12" ht="11.25" customHeight="1">
      <c r="A2353" s="39">
        <v>1957</v>
      </c>
      <c r="B2353" s="40" t="s">
        <v>15160</v>
      </c>
      <c r="C2353" s="40" t="s">
        <v>15161</v>
      </c>
      <c r="D2353" s="40" t="s">
        <v>15162</v>
      </c>
      <c r="E2353" s="41">
        <v>200.23</v>
      </c>
      <c r="F2353" s="40"/>
      <c r="G2353" s="41"/>
      <c r="H2353" s="40"/>
      <c r="I2353" s="41"/>
      <c r="J2353" s="41">
        <f t="shared" si="9"/>
        <v>200.23</v>
      </c>
      <c r="K2353" s="42" t="s">
        <v>5796</v>
      </c>
      <c r="L2353" s="39">
        <v>1957</v>
      </c>
    </row>
    <row r="2354" spans="1:12" ht="11.25" customHeight="1">
      <c r="A2354" s="39">
        <v>1959</v>
      </c>
      <c r="B2354" s="40" t="s">
        <v>15163</v>
      </c>
      <c r="C2354" s="40" t="s">
        <v>15164</v>
      </c>
      <c r="D2354" s="40" t="s">
        <v>15165</v>
      </c>
      <c r="E2354" s="41">
        <v>199.47</v>
      </c>
      <c r="F2354" s="40"/>
      <c r="G2354" s="41"/>
      <c r="H2354" s="40"/>
      <c r="I2354" s="41"/>
      <c r="J2354" s="41">
        <f t="shared" si="9"/>
        <v>199.47</v>
      </c>
      <c r="K2354" s="42" t="s">
        <v>5796</v>
      </c>
      <c r="L2354" s="39">
        <v>1959</v>
      </c>
    </row>
    <row r="2355" spans="1:12" ht="11.25" customHeight="1">
      <c r="A2355" s="39">
        <v>1960</v>
      </c>
      <c r="B2355" s="40" t="s">
        <v>15166</v>
      </c>
      <c r="C2355" s="40" t="s">
        <v>15167</v>
      </c>
      <c r="D2355" s="40" t="s">
        <v>15168</v>
      </c>
      <c r="E2355" s="41">
        <v>199.28</v>
      </c>
      <c r="F2355" s="40"/>
      <c r="G2355" s="41"/>
      <c r="H2355" s="40"/>
      <c r="I2355" s="41"/>
      <c r="J2355" s="41">
        <f t="shared" si="9"/>
        <v>199.28</v>
      </c>
      <c r="K2355" s="42" t="s">
        <v>5796</v>
      </c>
      <c r="L2355" s="39">
        <v>1960</v>
      </c>
    </row>
    <row r="2356" spans="1:12" ht="11.25" customHeight="1">
      <c r="A2356" s="39">
        <v>1961</v>
      </c>
      <c r="B2356" s="40" t="s">
        <v>15169</v>
      </c>
      <c r="C2356" s="40" t="s">
        <v>15170</v>
      </c>
      <c r="D2356" s="40" t="s">
        <v>15171</v>
      </c>
      <c r="E2356" s="41">
        <v>199.15</v>
      </c>
      <c r="F2356" s="40"/>
      <c r="G2356" s="41"/>
      <c r="H2356" s="40"/>
      <c r="I2356" s="41"/>
      <c r="J2356" s="41">
        <f t="shared" si="9"/>
        <v>199.15</v>
      </c>
      <c r="K2356" s="42" t="s">
        <v>5796</v>
      </c>
      <c r="L2356" s="39">
        <v>1961</v>
      </c>
    </row>
    <row r="2357" spans="1:12" ht="11.25" customHeight="1">
      <c r="A2357" s="39">
        <v>1962</v>
      </c>
      <c r="B2357" s="40" t="s">
        <v>15172</v>
      </c>
      <c r="C2357" s="40" t="s">
        <v>15173</v>
      </c>
      <c r="D2357" s="40" t="s">
        <v>15174</v>
      </c>
      <c r="E2357" s="41">
        <v>199.15</v>
      </c>
      <c r="F2357" s="40"/>
      <c r="G2357" s="41"/>
      <c r="H2357" s="40"/>
      <c r="I2357" s="41"/>
      <c r="J2357" s="41">
        <f t="shared" si="9"/>
        <v>199.15</v>
      </c>
      <c r="K2357" s="42" t="s">
        <v>5796</v>
      </c>
      <c r="L2357" s="39">
        <v>1962</v>
      </c>
    </row>
    <row r="2358" spans="1:12" ht="11.25" customHeight="1">
      <c r="A2358" s="39">
        <v>1963</v>
      </c>
      <c r="B2358" s="40" t="s">
        <v>15175</v>
      </c>
      <c r="C2358" s="40" t="s">
        <v>15176</v>
      </c>
      <c r="D2358" s="40" t="s">
        <v>15177</v>
      </c>
      <c r="E2358" s="41">
        <v>198.84</v>
      </c>
      <c r="F2358" s="40"/>
      <c r="G2358" s="41"/>
      <c r="H2358" s="40"/>
      <c r="I2358" s="41"/>
      <c r="J2358" s="41">
        <f t="shared" si="9"/>
        <v>198.84</v>
      </c>
      <c r="K2358" s="42" t="s">
        <v>5796</v>
      </c>
      <c r="L2358" s="39">
        <v>1963</v>
      </c>
    </row>
    <row r="2359" spans="1:12" ht="11.25" customHeight="1">
      <c r="A2359" s="39">
        <v>1964</v>
      </c>
      <c r="B2359" s="40" t="s">
        <v>15178</v>
      </c>
      <c r="C2359" s="40" t="s">
        <v>15179</v>
      </c>
      <c r="D2359" s="40" t="s">
        <v>15180</v>
      </c>
      <c r="E2359" s="41">
        <v>198.55</v>
      </c>
      <c r="F2359" s="40"/>
      <c r="G2359" s="41"/>
      <c r="H2359" s="40"/>
      <c r="I2359" s="41"/>
      <c r="J2359" s="41">
        <f t="shared" si="9"/>
        <v>198.55</v>
      </c>
      <c r="K2359" s="42" t="s">
        <v>5796</v>
      </c>
      <c r="L2359" s="39">
        <v>1964</v>
      </c>
    </row>
    <row r="2360" spans="1:12" ht="11.25" customHeight="1">
      <c r="A2360" s="39">
        <v>1966</v>
      </c>
      <c r="B2360" s="40" t="s">
        <v>15181</v>
      </c>
      <c r="C2360" s="40" t="s">
        <v>15182</v>
      </c>
      <c r="D2360" s="40" t="s">
        <v>15183</v>
      </c>
      <c r="E2360" s="41">
        <v>197.95</v>
      </c>
      <c r="F2360" s="40"/>
      <c r="G2360" s="41"/>
      <c r="H2360" s="40"/>
      <c r="I2360" s="41"/>
      <c r="J2360" s="41">
        <f t="shared" si="9"/>
        <v>197.95</v>
      </c>
      <c r="K2360" s="42" t="s">
        <v>5796</v>
      </c>
      <c r="L2360" s="39">
        <v>1966</v>
      </c>
    </row>
    <row r="2361" spans="1:12" ht="11.25" customHeight="1">
      <c r="A2361" s="39">
        <v>1967</v>
      </c>
      <c r="B2361" s="40" t="s">
        <v>15184</v>
      </c>
      <c r="C2361" s="40" t="s">
        <v>15185</v>
      </c>
      <c r="D2361" s="40" t="s">
        <v>15186</v>
      </c>
      <c r="E2361" s="41">
        <v>197.74</v>
      </c>
      <c r="F2361" s="40"/>
      <c r="G2361" s="41"/>
      <c r="H2361" s="40"/>
      <c r="I2361" s="41"/>
      <c r="J2361" s="41">
        <f t="shared" si="9"/>
        <v>197.74</v>
      </c>
      <c r="K2361" s="42" t="s">
        <v>5796</v>
      </c>
      <c r="L2361" s="39">
        <v>1967</v>
      </c>
    </row>
    <row r="2362" spans="1:12" ht="11.25" customHeight="1">
      <c r="A2362" s="39">
        <v>1968</v>
      </c>
      <c r="B2362" s="40" t="s">
        <v>15187</v>
      </c>
      <c r="C2362" s="40" t="s">
        <v>15188</v>
      </c>
      <c r="D2362" s="40" t="s">
        <v>15189</v>
      </c>
      <c r="E2362" s="41">
        <v>197.55</v>
      </c>
      <c r="F2362" s="40"/>
      <c r="G2362" s="41"/>
      <c r="H2362" s="40"/>
      <c r="I2362" s="41"/>
      <c r="J2362" s="41">
        <f t="shared" si="9"/>
        <v>197.55</v>
      </c>
      <c r="K2362" s="42" t="s">
        <v>5796</v>
      </c>
      <c r="L2362" s="39">
        <v>1968</v>
      </c>
    </row>
    <row r="2363" spans="1:12" ht="11.25" customHeight="1">
      <c r="A2363" s="39">
        <v>1969</v>
      </c>
      <c r="B2363" s="40" t="s">
        <v>15190</v>
      </c>
      <c r="C2363" s="40" t="s">
        <v>15191</v>
      </c>
      <c r="D2363" s="40" t="s">
        <v>15192</v>
      </c>
      <c r="E2363" s="41">
        <v>197.45</v>
      </c>
      <c r="F2363" s="40"/>
      <c r="G2363" s="41"/>
      <c r="H2363" s="40"/>
      <c r="I2363" s="41"/>
      <c r="J2363" s="41">
        <f t="shared" si="9"/>
        <v>197.45</v>
      </c>
      <c r="K2363" s="42" t="s">
        <v>5796</v>
      </c>
      <c r="L2363" s="39">
        <v>1969</v>
      </c>
    </row>
    <row r="2364" spans="1:12" ht="11.25" customHeight="1">
      <c r="A2364" s="39">
        <v>1970</v>
      </c>
      <c r="B2364" s="40" t="s">
        <v>15193</v>
      </c>
      <c r="C2364" s="40" t="s">
        <v>15194</v>
      </c>
      <c r="D2364" s="40" t="s">
        <v>15195</v>
      </c>
      <c r="E2364" s="41">
        <v>197.3</v>
      </c>
      <c r="F2364" s="40"/>
      <c r="G2364" s="41"/>
      <c r="H2364" s="40"/>
      <c r="I2364" s="41"/>
      <c r="J2364" s="41">
        <f t="shared" si="9"/>
        <v>197.3</v>
      </c>
      <c r="K2364" s="42" t="s">
        <v>5796</v>
      </c>
      <c r="L2364" s="39">
        <v>1970</v>
      </c>
    </row>
    <row r="2365" spans="1:12" ht="11.25" customHeight="1">
      <c r="A2365" s="39">
        <v>1972</v>
      </c>
      <c r="B2365" s="40" t="s">
        <v>15196</v>
      </c>
      <c r="C2365" s="40" t="s">
        <v>15197</v>
      </c>
      <c r="D2365" s="40" t="s">
        <v>15198</v>
      </c>
      <c r="E2365" s="41">
        <v>196.84</v>
      </c>
      <c r="F2365" s="40"/>
      <c r="G2365" s="41"/>
      <c r="H2365" s="40"/>
      <c r="I2365" s="41"/>
      <c r="J2365" s="41">
        <f t="shared" si="9"/>
        <v>196.84</v>
      </c>
      <c r="K2365" s="42" t="s">
        <v>5796</v>
      </c>
      <c r="L2365" s="39">
        <v>1972</v>
      </c>
    </row>
    <row r="2366" spans="1:12" ht="11.25" customHeight="1">
      <c r="A2366" s="39">
        <v>1973</v>
      </c>
      <c r="B2366" s="40" t="s">
        <v>15199</v>
      </c>
      <c r="C2366" s="40" t="s">
        <v>15200</v>
      </c>
      <c r="D2366" s="40" t="s">
        <v>15201</v>
      </c>
      <c r="E2366" s="41">
        <v>196.45</v>
      </c>
      <c r="F2366" s="40"/>
      <c r="G2366" s="41"/>
      <c r="H2366" s="40"/>
      <c r="I2366" s="41"/>
      <c r="J2366" s="41">
        <f t="shared" si="9"/>
        <v>196.45</v>
      </c>
      <c r="K2366" s="42" t="s">
        <v>5796</v>
      </c>
      <c r="L2366" s="39">
        <v>1973</v>
      </c>
    </row>
    <row r="2367" spans="1:12" ht="11.25" customHeight="1">
      <c r="A2367" s="39">
        <v>1974</v>
      </c>
      <c r="B2367" s="40" t="s">
        <v>15202</v>
      </c>
      <c r="C2367" s="40" t="s">
        <v>15203</v>
      </c>
      <c r="D2367" s="40" t="s">
        <v>15204</v>
      </c>
      <c r="E2367" s="41">
        <v>196.33</v>
      </c>
      <c r="F2367" s="40"/>
      <c r="G2367" s="41"/>
      <c r="H2367" s="40"/>
      <c r="I2367" s="41"/>
      <c r="J2367" s="41">
        <f t="shared" si="9"/>
        <v>196.33</v>
      </c>
      <c r="K2367" s="42" t="s">
        <v>5796</v>
      </c>
      <c r="L2367" s="39">
        <v>1974</v>
      </c>
    </row>
    <row r="2368" spans="1:12" ht="11.25" customHeight="1">
      <c r="A2368" s="39">
        <v>1977</v>
      </c>
      <c r="B2368" s="40" t="s">
        <v>15205</v>
      </c>
      <c r="C2368" s="40" t="s">
        <v>15206</v>
      </c>
      <c r="D2368" s="40" t="s">
        <v>15207</v>
      </c>
      <c r="E2368" s="41">
        <v>194.81</v>
      </c>
      <c r="F2368" s="40"/>
      <c r="G2368" s="41"/>
      <c r="H2368" s="40"/>
      <c r="I2368" s="41"/>
      <c r="J2368" s="41">
        <f t="shared" si="9"/>
        <v>194.81</v>
      </c>
      <c r="K2368" s="42" t="s">
        <v>5796</v>
      </c>
      <c r="L2368" s="39">
        <v>1977</v>
      </c>
    </row>
    <row r="2369" spans="1:12" ht="11.25" customHeight="1">
      <c r="A2369" s="39">
        <v>1980</v>
      </c>
      <c r="B2369" s="40" t="s">
        <v>15208</v>
      </c>
      <c r="C2369" s="40" t="s">
        <v>15209</v>
      </c>
      <c r="D2369" s="40" t="s">
        <v>15210</v>
      </c>
      <c r="E2369" s="41">
        <v>193.54</v>
      </c>
      <c r="F2369" s="40"/>
      <c r="G2369" s="41"/>
      <c r="H2369" s="40"/>
      <c r="I2369" s="41"/>
      <c r="J2369" s="41">
        <f t="shared" si="9"/>
        <v>193.54</v>
      </c>
      <c r="K2369" s="42" t="s">
        <v>5796</v>
      </c>
      <c r="L2369" s="39">
        <v>1980</v>
      </c>
    </row>
    <row r="2370" spans="1:12" ht="11.25" customHeight="1">
      <c r="A2370" s="39">
        <v>1986</v>
      </c>
      <c r="B2370" s="40" t="s">
        <v>15211</v>
      </c>
      <c r="C2370" s="40" t="s">
        <v>15212</v>
      </c>
      <c r="D2370" s="40" t="s">
        <v>15213</v>
      </c>
      <c r="E2370" s="41">
        <v>191.61</v>
      </c>
      <c r="F2370" s="40"/>
      <c r="G2370" s="41"/>
      <c r="H2370" s="40"/>
      <c r="I2370" s="41"/>
      <c r="J2370" s="41">
        <f t="shared" si="9"/>
        <v>191.61</v>
      </c>
      <c r="K2370" s="42" t="s">
        <v>5796</v>
      </c>
      <c r="L2370" s="39">
        <v>1986</v>
      </c>
    </row>
    <row r="2371" spans="1:12" ht="11.25" customHeight="1">
      <c r="A2371" s="39">
        <v>1987</v>
      </c>
      <c r="B2371" s="40" t="s">
        <v>15214</v>
      </c>
      <c r="C2371" s="40" t="s">
        <v>15215</v>
      </c>
      <c r="D2371" s="40" t="s">
        <v>15216</v>
      </c>
      <c r="E2371" s="41">
        <v>191.57</v>
      </c>
      <c r="F2371" s="40"/>
      <c r="G2371" s="41"/>
      <c r="H2371" s="40"/>
      <c r="I2371" s="41"/>
      <c r="J2371" s="41">
        <f t="shared" si="9"/>
        <v>191.57</v>
      </c>
      <c r="K2371" s="42" t="s">
        <v>5796</v>
      </c>
      <c r="L2371" s="39">
        <v>1987</v>
      </c>
    </row>
    <row r="2372" spans="1:12" ht="11.25" customHeight="1">
      <c r="A2372" s="39">
        <v>1988</v>
      </c>
      <c r="B2372" s="40" t="s">
        <v>15217</v>
      </c>
      <c r="C2372" s="40" t="s">
        <v>15218</v>
      </c>
      <c r="D2372" s="40" t="s">
        <v>15219</v>
      </c>
      <c r="E2372" s="41">
        <v>191.46</v>
      </c>
      <c r="F2372" s="40"/>
      <c r="G2372" s="41"/>
      <c r="H2372" s="40"/>
      <c r="I2372" s="41"/>
      <c r="J2372" s="41">
        <f t="shared" si="9"/>
        <v>191.46</v>
      </c>
      <c r="K2372" s="42" t="s">
        <v>5796</v>
      </c>
      <c r="L2372" s="39">
        <v>1988</v>
      </c>
    </row>
    <row r="2373" spans="1:12" ht="11.25" customHeight="1">
      <c r="A2373" s="39">
        <v>1991</v>
      </c>
      <c r="B2373" s="40" t="s">
        <v>15220</v>
      </c>
      <c r="C2373" s="40" t="s">
        <v>15221</v>
      </c>
      <c r="D2373" s="40" t="s">
        <v>15222</v>
      </c>
      <c r="E2373" s="41">
        <v>190.85</v>
      </c>
      <c r="F2373" s="40"/>
      <c r="G2373" s="41"/>
      <c r="H2373" s="40"/>
      <c r="I2373" s="41"/>
      <c r="J2373" s="41">
        <f t="shared" si="9"/>
        <v>190.85</v>
      </c>
      <c r="K2373" s="42" t="s">
        <v>5796</v>
      </c>
      <c r="L2373" s="39">
        <v>1991</v>
      </c>
    </row>
    <row r="2374" spans="1:12" ht="11.25" customHeight="1">
      <c r="A2374" s="39">
        <v>1999</v>
      </c>
      <c r="B2374" s="40" t="s">
        <v>15223</v>
      </c>
      <c r="C2374" s="40" t="s">
        <v>15224</v>
      </c>
      <c r="D2374" s="40" t="s">
        <v>15225</v>
      </c>
      <c r="E2374" s="41">
        <v>188.79</v>
      </c>
      <c r="F2374" s="40"/>
      <c r="G2374" s="41"/>
      <c r="H2374" s="40"/>
      <c r="I2374" s="41"/>
      <c r="J2374" s="41">
        <f t="shared" si="9"/>
        <v>188.79</v>
      </c>
      <c r="K2374" s="42" t="s">
        <v>5796</v>
      </c>
      <c r="L2374" s="39">
        <v>1999</v>
      </c>
    </row>
    <row r="2375" spans="1:12" ht="11.25" customHeight="1">
      <c r="A2375" s="39">
        <v>2001</v>
      </c>
      <c r="B2375" s="40" t="s">
        <v>15226</v>
      </c>
      <c r="C2375" s="40" t="s">
        <v>15227</v>
      </c>
      <c r="D2375" s="40" t="s">
        <v>15228</v>
      </c>
      <c r="E2375" s="41">
        <v>188.03</v>
      </c>
      <c r="F2375" s="40"/>
      <c r="G2375" s="41"/>
      <c r="H2375" s="40" t="s">
        <v>15229</v>
      </c>
      <c r="I2375" s="41">
        <v>187.58669288588709</v>
      </c>
      <c r="J2375" s="41">
        <f t="shared" si="9"/>
        <v>187.80834644294356</v>
      </c>
      <c r="K2375" s="42" t="s">
        <v>5796</v>
      </c>
      <c r="L2375" s="39">
        <v>2001</v>
      </c>
    </row>
    <row r="2376" spans="1:12" ht="11.25" customHeight="1">
      <c r="A2376" s="39">
        <v>2002</v>
      </c>
      <c r="B2376" s="40" t="s">
        <v>15230</v>
      </c>
      <c r="C2376" s="40" t="s">
        <v>15231</v>
      </c>
      <c r="D2376" s="40" t="s">
        <v>15232</v>
      </c>
      <c r="E2376" s="41">
        <v>187.77</v>
      </c>
      <c r="F2376" s="40"/>
      <c r="G2376" s="41"/>
      <c r="H2376" s="40"/>
      <c r="I2376" s="41"/>
      <c r="J2376" s="41">
        <f t="shared" si="9"/>
        <v>187.77</v>
      </c>
      <c r="K2376" s="42" t="s">
        <v>5796</v>
      </c>
      <c r="L2376" s="39">
        <v>2002</v>
      </c>
    </row>
    <row r="2377" spans="1:12" ht="11.25" customHeight="1">
      <c r="A2377" s="39">
        <v>2004</v>
      </c>
      <c r="B2377" s="40" t="s">
        <v>15233</v>
      </c>
      <c r="C2377" s="40" t="s">
        <v>15234</v>
      </c>
      <c r="D2377" s="40" t="s">
        <v>15235</v>
      </c>
      <c r="E2377" s="41">
        <v>186.37</v>
      </c>
      <c r="F2377" s="40"/>
      <c r="G2377" s="41"/>
      <c r="H2377" s="40"/>
      <c r="I2377" s="41"/>
      <c r="J2377" s="41">
        <f t="shared" si="9"/>
        <v>186.37</v>
      </c>
      <c r="K2377" s="42" t="s">
        <v>5796</v>
      </c>
      <c r="L2377" s="39">
        <v>2004</v>
      </c>
    </row>
    <row r="2378" spans="1:12" ht="11.25" customHeight="1">
      <c r="A2378" s="39">
        <v>2006</v>
      </c>
      <c r="B2378" s="40" t="s">
        <v>15236</v>
      </c>
      <c r="C2378" s="40" t="s">
        <v>15237</v>
      </c>
      <c r="D2378" s="40" t="s">
        <v>15238</v>
      </c>
      <c r="E2378" s="41">
        <v>186.25</v>
      </c>
      <c r="F2378" s="40"/>
      <c r="G2378" s="41"/>
      <c r="H2378" s="40"/>
      <c r="I2378" s="41"/>
      <c r="J2378" s="41">
        <f t="shared" si="9"/>
        <v>186.25</v>
      </c>
      <c r="K2378" s="42" t="s">
        <v>5796</v>
      </c>
      <c r="L2378" s="39">
        <v>2006</v>
      </c>
    </row>
    <row r="2379" spans="1:12" ht="11.25" customHeight="1">
      <c r="A2379" s="39">
        <v>2007</v>
      </c>
      <c r="B2379" s="40" t="s">
        <v>7488</v>
      </c>
      <c r="C2379" s="40" t="s">
        <v>15239</v>
      </c>
      <c r="D2379" s="40" t="s">
        <v>15240</v>
      </c>
      <c r="E2379" s="41">
        <v>186.17</v>
      </c>
      <c r="F2379" s="40"/>
      <c r="G2379" s="41"/>
      <c r="H2379" s="40"/>
      <c r="I2379" s="41"/>
      <c r="J2379" s="41">
        <f t="shared" si="9"/>
        <v>186.17</v>
      </c>
      <c r="K2379" s="42" t="s">
        <v>5796</v>
      </c>
      <c r="L2379" s="39">
        <v>2007</v>
      </c>
    </row>
    <row r="2380" spans="1:12" ht="11.25" customHeight="1">
      <c r="A2380" s="39">
        <v>2012</v>
      </c>
      <c r="B2380" s="40" t="s">
        <v>15241</v>
      </c>
      <c r="C2380" s="40" t="s">
        <v>15242</v>
      </c>
      <c r="D2380" s="40" t="s">
        <v>15243</v>
      </c>
      <c r="E2380" s="41">
        <v>183.7</v>
      </c>
      <c r="F2380" s="40"/>
      <c r="G2380" s="41"/>
      <c r="H2380" s="40"/>
      <c r="I2380" s="41"/>
      <c r="J2380" s="41">
        <f t="shared" si="9"/>
        <v>183.7</v>
      </c>
      <c r="K2380" s="42" t="s">
        <v>5796</v>
      </c>
      <c r="L2380" s="39">
        <v>2012</v>
      </c>
    </row>
    <row r="2381" spans="1:12" ht="11.25" customHeight="1">
      <c r="A2381" s="39">
        <v>2015</v>
      </c>
      <c r="B2381" s="40" t="s">
        <v>15244</v>
      </c>
      <c r="C2381" s="40" t="s">
        <v>15245</v>
      </c>
      <c r="D2381" s="40" t="s">
        <v>15246</v>
      </c>
      <c r="E2381" s="41">
        <v>183.52</v>
      </c>
      <c r="F2381" s="40"/>
      <c r="G2381" s="41"/>
      <c r="H2381" s="40"/>
      <c r="I2381" s="41"/>
      <c r="J2381" s="41">
        <f t="shared" si="9"/>
        <v>183.52</v>
      </c>
      <c r="K2381" s="42" t="s">
        <v>5796</v>
      </c>
      <c r="L2381" s="39">
        <v>2015</v>
      </c>
    </row>
    <row r="2382" spans="1:12" ht="11.25" customHeight="1">
      <c r="A2382" s="39">
        <v>2016</v>
      </c>
      <c r="B2382" s="52" t="s">
        <v>4769</v>
      </c>
      <c r="C2382" s="52" t="s">
        <v>15247</v>
      </c>
      <c r="D2382" s="40"/>
      <c r="E2382" s="41"/>
      <c r="F2382" s="40"/>
      <c r="G2382" s="41"/>
      <c r="H2382" s="52" t="s">
        <v>10829</v>
      </c>
      <c r="I2382" s="53">
        <v>183.3940790564516</v>
      </c>
      <c r="J2382" s="41">
        <f t="shared" si="9"/>
        <v>183.3940790564516</v>
      </c>
      <c r="K2382" s="42" t="s">
        <v>5796</v>
      </c>
      <c r="L2382" s="39">
        <v>2016</v>
      </c>
    </row>
    <row r="2383" spans="1:12" ht="11.25" customHeight="1">
      <c r="A2383" s="39">
        <v>2018</v>
      </c>
      <c r="B2383" s="40" t="s">
        <v>7471</v>
      </c>
      <c r="C2383" s="40" t="s">
        <v>15248</v>
      </c>
      <c r="D2383" s="40" t="s">
        <v>15249</v>
      </c>
      <c r="E2383" s="41">
        <v>183.23</v>
      </c>
      <c r="F2383" s="40"/>
      <c r="G2383" s="41"/>
      <c r="H2383" s="40"/>
      <c r="I2383" s="41"/>
      <c r="J2383" s="41">
        <f t="shared" si="9"/>
        <v>183.23</v>
      </c>
      <c r="K2383" s="42" t="s">
        <v>5796</v>
      </c>
      <c r="L2383" s="39">
        <v>2018</v>
      </c>
    </row>
    <row r="2384" spans="1:12" ht="11.25" customHeight="1">
      <c r="A2384" s="39">
        <v>2019</v>
      </c>
      <c r="B2384" s="40" t="s">
        <v>7591</v>
      </c>
      <c r="C2384" s="40" t="s">
        <v>15250</v>
      </c>
      <c r="D2384" s="40" t="s">
        <v>15251</v>
      </c>
      <c r="E2384" s="41">
        <v>183.08</v>
      </c>
      <c r="F2384" s="40"/>
      <c r="G2384" s="41"/>
      <c r="H2384" s="40"/>
      <c r="I2384" s="41"/>
      <c r="J2384" s="41">
        <f t="shared" si="9"/>
        <v>183.08</v>
      </c>
      <c r="K2384" s="42" t="s">
        <v>5796</v>
      </c>
      <c r="L2384" s="39">
        <v>2019</v>
      </c>
    </row>
    <row r="2385" spans="1:12" ht="11.25" customHeight="1">
      <c r="A2385" s="39">
        <v>2022</v>
      </c>
      <c r="B2385" s="40" t="s">
        <v>15252</v>
      </c>
      <c r="C2385" s="40" t="s">
        <v>15253</v>
      </c>
      <c r="D2385" s="40" t="s">
        <v>15254</v>
      </c>
      <c r="E2385" s="41">
        <v>182.88</v>
      </c>
      <c r="F2385" s="40"/>
      <c r="G2385" s="41"/>
      <c r="H2385" s="40"/>
      <c r="I2385" s="41"/>
      <c r="J2385" s="41">
        <f t="shared" si="9"/>
        <v>182.88</v>
      </c>
      <c r="K2385" s="42" t="s">
        <v>5796</v>
      </c>
      <c r="L2385" s="39">
        <v>2022</v>
      </c>
    </row>
    <row r="2386" spans="1:12" ht="11.25" customHeight="1">
      <c r="A2386" s="39">
        <v>2025</v>
      </c>
      <c r="B2386" s="40" t="s">
        <v>15255</v>
      </c>
      <c r="C2386" s="40" t="s">
        <v>15256</v>
      </c>
      <c r="D2386" s="40" t="s">
        <v>15257</v>
      </c>
      <c r="E2386" s="41">
        <v>182.61</v>
      </c>
      <c r="F2386" s="40"/>
      <c r="G2386" s="41"/>
      <c r="H2386" s="40"/>
      <c r="I2386" s="41"/>
      <c r="J2386" s="41">
        <f t="shared" si="9"/>
        <v>182.61</v>
      </c>
      <c r="K2386" s="42" t="s">
        <v>5796</v>
      </c>
      <c r="L2386" s="39">
        <v>2025</v>
      </c>
    </row>
    <row r="2387" spans="1:12" ht="11.25" customHeight="1">
      <c r="A2387" s="39">
        <v>2026</v>
      </c>
      <c r="B2387" s="40" t="s">
        <v>15258</v>
      </c>
      <c r="C2387" s="40" t="s">
        <v>15259</v>
      </c>
      <c r="D2387" s="40" t="s">
        <v>15260</v>
      </c>
      <c r="E2387" s="41">
        <v>182.6</v>
      </c>
      <c r="F2387" s="40"/>
      <c r="G2387" s="41"/>
      <c r="H2387" s="40"/>
      <c r="I2387" s="41"/>
      <c r="J2387" s="41">
        <f t="shared" si="9"/>
        <v>182.6</v>
      </c>
      <c r="K2387" s="42" t="s">
        <v>5796</v>
      </c>
      <c r="L2387" s="39">
        <v>2026</v>
      </c>
    </row>
    <row r="2388" spans="1:12" ht="11.25" customHeight="1">
      <c r="A2388" s="39">
        <v>2027</v>
      </c>
      <c r="B2388" s="40" t="s">
        <v>15261</v>
      </c>
      <c r="C2388" s="40" t="s">
        <v>15262</v>
      </c>
      <c r="D2388" s="40" t="s">
        <v>15263</v>
      </c>
      <c r="E2388" s="41">
        <v>182.47</v>
      </c>
      <c r="F2388" s="40"/>
      <c r="G2388" s="41"/>
      <c r="H2388" s="40"/>
      <c r="I2388" s="41"/>
      <c r="J2388" s="41">
        <f t="shared" si="9"/>
        <v>182.47</v>
      </c>
      <c r="K2388" s="42" t="s">
        <v>5796</v>
      </c>
      <c r="L2388" s="39">
        <v>2027</v>
      </c>
    </row>
    <row r="2389" spans="1:12" ht="11.25" customHeight="1">
      <c r="A2389" s="39">
        <v>2029</v>
      </c>
      <c r="B2389" s="40" t="s">
        <v>15264</v>
      </c>
      <c r="C2389" s="40" t="s">
        <v>15265</v>
      </c>
      <c r="D2389" s="40" t="s">
        <v>15266</v>
      </c>
      <c r="E2389" s="41">
        <v>181.21</v>
      </c>
      <c r="F2389" s="40"/>
      <c r="G2389" s="41"/>
      <c r="H2389" s="40"/>
      <c r="I2389" s="41"/>
      <c r="J2389" s="41">
        <f t="shared" si="9"/>
        <v>181.21</v>
      </c>
      <c r="K2389" s="42" t="s">
        <v>5796</v>
      </c>
      <c r="L2389" s="39">
        <v>2029</v>
      </c>
    </row>
    <row r="2390" spans="1:12" ht="11.25" customHeight="1">
      <c r="A2390" s="39">
        <v>2030</v>
      </c>
      <c r="B2390" s="40" t="s">
        <v>15267</v>
      </c>
      <c r="C2390" s="40" t="s">
        <v>15268</v>
      </c>
      <c r="D2390" s="40" t="s">
        <v>15269</v>
      </c>
      <c r="E2390" s="41">
        <v>180.58</v>
      </c>
      <c r="F2390" s="40"/>
      <c r="G2390" s="41"/>
      <c r="H2390" s="40"/>
      <c r="I2390" s="41"/>
      <c r="J2390" s="41">
        <f t="shared" si="9"/>
        <v>180.58</v>
      </c>
      <c r="K2390" s="42" t="s">
        <v>5796</v>
      </c>
      <c r="L2390" s="39">
        <v>2030</v>
      </c>
    </row>
    <row r="2391" spans="1:12" ht="11.25" customHeight="1">
      <c r="A2391" s="39">
        <v>2033</v>
      </c>
      <c r="B2391" s="40" t="s">
        <v>15270</v>
      </c>
      <c r="C2391" s="40" t="s">
        <v>15271</v>
      </c>
      <c r="D2391" s="40" t="s">
        <v>15272</v>
      </c>
      <c r="E2391" s="41">
        <v>179.89</v>
      </c>
      <c r="F2391" s="40"/>
      <c r="G2391" s="41"/>
      <c r="H2391" s="40"/>
      <c r="I2391" s="41"/>
      <c r="J2391" s="41">
        <f t="shared" si="9"/>
        <v>179.89</v>
      </c>
      <c r="K2391" s="42" t="s">
        <v>5796</v>
      </c>
      <c r="L2391" s="39">
        <v>2033</v>
      </c>
    </row>
    <row r="2392" spans="1:12" ht="11.25" customHeight="1">
      <c r="A2392" s="39">
        <v>2034</v>
      </c>
      <c r="B2392" s="40" t="s">
        <v>15273</v>
      </c>
      <c r="C2392" s="40" t="s">
        <v>15274</v>
      </c>
      <c r="D2392" s="40" t="s">
        <v>15275</v>
      </c>
      <c r="E2392" s="41">
        <v>179.85</v>
      </c>
      <c r="F2392" s="40"/>
      <c r="G2392" s="41"/>
      <c r="H2392" s="40"/>
      <c r="I2392" s="41"/>
      <c r="J2392" s="41">
        <f t="shared" si="9"/>
        <v>179.85</v>
      </c>
      <c r="K2392" s="42" t="s">
        <v>5796</v>
      </c>
      <c r="L2392" s="39">
        <v>2034</v>
      </c>
    </row>
    <row r="2393" spans="1:12" ht="11.25" customHeight="1">
      <c r="A2393" s="39">
        <v>2035</v>
      </c>
      <c r="B2393" s="40" t="s">
        <v>15276</v>
      </c>
      <c r="C2393" s="40" t="s">
        <v>15277</v>
      </c>
      <c r="D2393" s="40" t="s">
        <v>15278</v>
      </c>
      <c r="E2393" s="41">
        <v>178.84</v>
      </c>
      <c r="F2393" s="40"/>
      <c r="G2393" s="41"/>
      <c r="H2393" s="40"/>
      <c r="I2393" s="41"/>
      <c r="J2393" s="41">
        <f t="shared" si="9"/>
        <v>178.84</v>
      </c>
      <c r="K2393" s="42" t="s">
        <v>5796</v>
      </c>
      <c r="L2393" s="39">
        <v>2035</v>
      </c>
    </row>
    <row r="2394" spans="1:12" ht="11.25" customHeight="1">
      <c r="A2394" s="39">
        <v>2036</v>
      </c>
      <c r="B2394" s="40" t="s">
        <v>15279</v>
      </c>
      <c r="C2394" s="40" t="s">
        <v>15280</v>
      </c>
      <c r="D2394" s="40" t="s">
        <v>15281</v>
      </c>
      <c r="E2394" s="41">
        <v>178.07</v>
      </c>
      <c r="F2394" s="40"/>
      <c r="G2394" s="41"/>
      <c r="H2394" s="40"/>
      <c r="I2394" s="41"/>
      <c r="J2394" s="41">
        <f t="shared" si="9"/>
        <v>178.07</v>
      </c>
      <c r="K2394" s="42" t="s">
        <v>5796</v>
      </c>
      <c r="L2394" s="39">
        <v>2036</v>
      </c>
    </row>
    <row r="2395" spans="1:12" ht="11.25" customHeight="1">
      <c r="A2395" s="39">
        <v>2037</v>
      </c>
      <c r="B2395" s="40" t="s">
        <v>7493</v>
      </c>
      <c r="C2395" s="40" t="s">
        <v>15282</v>
      </c>
      <c r="D2395" s="40" t="s">
        <v>15283</v>
      </c>
      <c r="E2395" s="41">
        <v>177.41</v>
      </c>
      <c r="F2395" s="40"/>
      <c r="G2395" s="41"/>
      <c r="H2395" s="40"/>
      <c r="I2395" s="41"/>
      <c r="J2395" s="41">
        <f t="shared" si="9"/>
        <v>177.41</v>
      </c>
      <c r="K2395" s="42" t="s">
        <v>5796</v>
      </c>
      <c r="L2395" s="39">
        <v>2037</v>
      </c>
    </row>
    <row r="2396" spans="1:12" ht="11.25" customHeight="1">
      <c r="A2396" s="39">
        <v>2040</v>
      </c>
      <c r="B2396" s="40" t="s">
        <v>15284</v>
      </c>
      <c r="C2396" s="40" t="s">
        <v>15285</v>
      </c>
      <c r="D2396" s="40" t="s">
        <v>15286</v>
      </c>
      <c r="E2396" s="41">
        <v>176.99</v>
      </c>
      <c r="F2396" s="40"/>
      <c r="G2396" s="41"/>
      <c r="H2396" s="40"/>
      <c r="I2396" s="41"/>
      <c r="J2396" s="41">
        <f t="shared" si="9"/>
        <v>176.99</v>
      </c>
      <c r="K2396" s="42" t="s">
        <v>5796</v>
      </c>
      <c r="L2396" s="39">
        <v>2040</v>
      </c>
    </row>
    <row r="2397" spans="1:12" ht="11.25" customHeight="1">
      <c r="A2397" s="39">
        <v>2041</v>
      </c>
      <c r="B2397" s="40" t="s">
        <v>15287</v>
      </c>
      <c r="C2397" s="40" t="s">
        <v>15288</v>
      </c>
      <c r="D2397" s="40" t="s">
        <v>15289</v>
      </c>
      <c r="E2397" s="41">
        <v>176.64</v>
      </c>
      <c r="F2397" s="40"/>
      <c r="G2397" s="41"/>
      <c r="H2397" s="40"/>
      <c r="I2397" s="41"/>
      <c r="J2397" s="41">
        <f t="shared" si="9"/>
        <v>176.64</v>
      </c>
      <c r="K2397" s="42" t="s">
        <v>5796</v>
      </c>
      <c r="L2397" s="39">
        <v>2041</v>
      </c>
    </row>
    <row r="2398" spans="1:12" ht="11.25" customHeight="1">
      <c r="A2398" s="39">
        <v>2042</v>
      </c>
      <c r="B2398" s="40" t="s">
        <v>15290</v>
      </c>
      <c r="C2398" s="40" t="s">
        <v>15291</v>
      </c>
      <c r="D2398" s="40" t="s">
        <v>15292</v>
      </c>
      <c r="E2398" s="41">
        <v>176.63</v>
      </c>
      <c r="F2398" s="40"/>
      <c r="G2398" s="41"/>
      <c r="H2398" s="40"/>
      <c r="I2398" s="41"/>
      <c r="J2398" s="41">
        <f t="shared" si="9"/>
        <v>176.63</v>
      </c>
      <c r="K2398" s="42" t="s">
        <v>5796</v>
      </c>
      <c r="L2398" s="39">
        <v>2042</v>
      </c>
    </row>
    <row r="2399" spans="1:12" ht="11.25" customHeight="1">
      <c r="A2399" s="39">
        <v>2043</v>
      </c>
      <c r="B2399" s="40" t="s">
        <v>15293</v>
      </c>
      <c r="C2399" s="40" t="s">
        <v>15294</v>
      </c>
      <c r="D2399" s="40" t="s">
        <v>15295</v>
      </c>
      <c r="E2399" s="41">
        <v>176.46</v>
      </c>
      <c r="F2399" s="40"/>
      <c r="G2399" s="41"/>
      <c r="H2399" s="40"/>
      <c r="I2399" s="41"/>
      <c r="J2399" s="41">
        <f t="shared" si="9"/>
        <v>176.46</v>
      </c>
      <c r="K2399" s="42" t="s">
        <v>5796</v>
      </c>
      <c r="L2399" s="39">
        <v>2043</v>
      </c>
    </row>
    <row r="2400" spans="1:12" ht="11.25" customHeight="1">
      <c r="A2400" s="39">
        <v>2044</v>
      </c>
      <c r="B2400" s="40" t="s">
        <v>15296</v>
      </c>
      <c r="C2400" s="40" t="s">
        <v>15297</v>
      </c>
      <c r="D2400" s="40" t="s">
        <v>15298</v>
      </c>
      <c r="E2400" s="41">
        <v>176.41</v>
      </c>
      <c r="F2400" s="40"/>
      <c r="G2400" s="41"/>
      <c r="H2400" s="40"/>
      <c r="I2400" s="41"/>
      <c r="J2400" s="41">
        <f t="shared" si="9"/>
        <v>176.41</v>
      </c>
      <c r="K2400" s="42" t="s">
        <v>5796</v>
      </c>
      <c r="L2400" s="39">
        <v>2044</v>
      </c>
    </row>
    <row r="2401" spans="1:12" ht="11.25" customHeight="1">
      <c r="A2401" s="39">
        <v>2045</v>
      </c>
      <c r="B2401" s="40" t="s">
        <v>15299</v>
      </c>
      <c r="C2401" s="40" t="s">
        <v>15300</v>
      </c>
      <c r="D2401" s="40" t="s">
        <v>15301</v>
      </c>
      <c r="E2401" s="41">
        <v>176.39</v>
      </c>
      <c r="F2401" s="40"/>
      <c r="G2401" s="41"/>
      <c r="H2401" s="40"/>
      <c r="I2401" s="41"/>
      <c r="J2401" s="41">
        <f t="shared" si="9"/>
        <v>176.39</v>
      </c>
      <c r="K2401" s="42" t="s">
        <v>5796</v>
      </c>
      <c r="L2401" s="39">
        <v>2045</v>
      </c>
    </row>
    <row r="2402" spans="1:12" ht="11.25" customHeight="1">
      <c r="A2402" s="39">
        <v>2046</v>
      </c>
      <c r="B2402" s="40" t="s">
        <v>15302</v>
      </c>
      <c r="C2402" s="40" t="s">
        <v>15303</v>
      </c>
      <c r="D2402" s="40" t="s">
        <v>15304</v>
      </c>
      <c r="E2402" s="41">
        <v>175.91</v>
      </c>
      <c r="F2402" s="40"/>
      <c r="G2402" s="41"/>
      <c r="H2402" s="40"/>
      <c r="I2402" s="41"/>
      <c r="J2402" s="41">
        <f t="shared" si="9"/>
        <v>175.91</v>
      </c>
      <c r="K2402" s="42" t="s">
        <v>5796</v>
      </c>
      <c r="L2402" s="39">
        <v>2046</v>
      </c>
    </row>
    <row r="2403" spans="1:12" ht="11.25" customHeight="1">
      <c r="A2403" s="39">
        <v>2048</v>
      </c>
      <c r="B2403" s="40" t="s">
        <v>15305</v>
      </c>
      <c r="C2403" s="40" t="s">
        <v>15306</v>
      </c>
      <c r="D2403" s="40" t="s">
        <v>15307</v>
      </c>
      <c r="E2403" s="41">
        <v>175.11</v>
      </c>
      <c r="F2403" s="40"/>
      <c r="G2403" s="41"/>
      <c r="H2403" s="40"/>
      <c r="I2403" s="41"/>
      <c r="J2403" s="41">
        <f t="shared" si="9"/>
        <v>175.11</v>
      </c>
      <c r="K2403" s="42" t="s">
        <v>5796</v>
      </c>
      <c r="L2403" s="39">
        <v>2048</v>
      </c>
    </row>
    <row r="2404" spans="1:12" ht="11.25" customHeight="1">
      <c r="A2404" s="39">
        <v>2049</v>
      </c>
      <c r="B2404" s="40" t="s">
        <v>7459</v>
      </c>
      <c r="C2404" s="40" t="s">
        <v>15308</v>
      </c>
      <c r="D2404" s="40" t="s">
        <v>15309</v>
      </c>
      <c r="E2404" s="41">
        <v>174.4</v>
      </c>
      <c r="F2404" s="40"/>
      <c r="G2404" s="41"/>
      <c r="H2404" s="40"/>
      <c r="I2404" s="41"/>
      <c r="J2404" s="41">
        <f t="shared" si="9"/>
        <v>174.4</v>
      </c>
      <c r="K2404" s="42" t="s">
        <v>5796</v>
      </c>
      <c r="L2404" s="39">
        <v>2049</v>
      </c>
    </row>
    <row r="2405" spans="1:12" ht="11.25" customHeight="1">
      <c r="A2405" s="39">
        <v>2050</v>
      </c>
      <c r="B2405" s="40" t="s">
        <v>15310</v>
      </c>
      <c r="C2405" s="40" t="s">
        <v>15311</v>
      </c>
      <c r="D2405" s="40" t="s">
        <v>15312</v>
      </c>
      <c r="E2405" s="41">
        <v>173.32</v>
      </c>
      <c r="F2405" s="40"/>
      <c r="G2405" s="41"/>
      <c r="H2405" s="40"/>
      <c r="I2405" s="41"/>
      <c r="J2405" s="41">
        <f t="shared" si="9"/>
        <v>173.32</v>
      </c>
      <c r="K2405" s="42" t="s">
        <v>5796</v>
      </c>
      <c r="L2405" s="39">
        <v>2050</v>
      </c>
    </row>
    <row r="2406" spans="1:12" ht="11.25" customHeight="1">
      <c r="A2406" s="39">
        <v>2053</v>
      </c>
      <c r="B2406" s="40" t="s">
        <v>15313</v>
      </c>
      <c r="C2406" s="40" t="s">
        <v>15314</v>
      </c>
      <c r="D2406" s="40" t="s">
        <v>15315</v>
      </c>
      <c r="E2406" s="41">
        <v>172.8</v>
      </c>
      <c r="F2406" s="40"/>
      <c r="G2406" s="41"/>
      <c r="H2406" s="40"/>
      <c r="I2406" s="41"/>
      <c r="J2406" s="41">
        <f t="shared" si="9"/>
        <v>172.8</v>
      </c>
      <c r="K2406" s="42" t="s">
        <v>5796</v>
      </c>
      <c r="L2406" s="39">
        <v>2053</v>
      </c>
    </row>
    <row r="2407" spans="1:12" ht="11.25" customHeight="1">
      <c r="A2407" s="39">
        <v>2060</v>
      </c>
      <c r="B2407" s="40" t="s">
        <v>15316</v>
      </c>
      <c r="C2407" s="40" t="s">
        <v>15317</v>
      </c>
      <c r="D2407" s="40" t="s">
        <v>15318</v>
      </c>
      <c r="E2407" s="41">
        <v>170.96</v>
      </c>
      <c r="F2407" s="40"/>
      <c r="G2407" s="41"/>
      <c r="H2407" s="40"/>
      <c r="I2407" s="41"/>
      <c r="J2407" s="41">
        <f t="shared" si="9"/>
        <v>170.96</v>
      </c>
      <c r="K2407" s="42" t="s">
        <v>5796</v>
      </c>
      <c r="L2407" s="39">
        <v>2060</v>
      </c>
    </row>
    <row r="2408" spans="1:12" ht="11.25" customHeight="1">
      <c r="A2408" s="39">
        <v>2064</v>
      </c>
      <c r="B2408" s="40" t="s">
        <v>15319</v>
      </c>
      <c r="C2408" s="40" t="s">
        <v>15320</v>
      </c>
      <c r="D2408" s="40" t="s">
        <v>15321</v>
      </c>
      <c r="E2408" s="41">
        <v>170.82</v>
      </c>
      <c r="F2408" s="40"/>
      <c r="G2408" s="41"/>
      <c r="H2408" s="40"/>
      <c r="I2408" s="41"/>
      <c r="J2408" s="41">
        <f t="shared" si="9"/>
        <v>170.82</v>
      </c>
      <c r="K2408" s="42" t="s">
        <v>5796</v>
      </c>
      <c r="L2408" s="39">
        <v>2064</v>
      </c>
    </row>
    <row r="2409" spans="1:12" ht="11.25" customHeight="1">
      <c r="A2409" s="39">
        <v>2066</v>
      </c>
      <c r="B2409" s="40" t="s">
        <v>15322</v>
      </c>
      <c r="C2409" s="40" t="s">
        <v>15323</v>
      </c>
      <c r="D2409" s="40" t="s">
        <v>15324</v>
      </c>
      <c r="E2409" s="41">
        <v>170.57</v>
      </c>
      <c r="F2409" s="40"/>
      <c r="G2409" s="41"/>
      <c r="H2409" s="40"/>
      <c r="I2409" s="41"/>
      <c r="J2409" s="41">
        <f t="shared" si="9"/>
        <v>170.57</v>
      </c>
      <c r="K2409" s="42" t="s">
        <v>5796</v>
      </c>
      <c r="L2409" s="39">
        <v>2066</v>
      </c>
    </row>
    <row r="2410" spans="1:12" ht="11.25" customHeight="1">
      <c r="A2410" s="39">
        <v>2070</v>
      </c>
      <c r="B2410" s="40" t="s">
        <v>7602</v>
      </c>
      <c r="C2410" s="40" t="s">
        <v>15325</v>
      </c>
      <c r="D2410" s="40" t="s">
        <v>15326</v>
      </c>
      <c r="E2410" s="41">
        <v>169.64</v>
      </c>
      <c r="F2410" s="40"/>
      <c r="G2410" s="41"/>
      <c r="H2410" s="40"/>
      <c r="I2410" s="41"/>
      <c r="J2410" s="41">
        <f t="shared" si="9"/>
        <v>169.64</v>
      </c>
      <c r="K2410" s="42" t="s">
        <v>5796</v>
      </c>
      <c r="L2410" s="39">
        <v>2070</v>
      </c>
    </row>
    <row r="2411" spans="1:12" ht="11.25" customHeight="1">
      <c r="A2411" s="39">
        <v>2071</v>
      </c>
      <c r="B2411" s="40" t="s">
        <v>15327</v>
      </c>
      <c r="C2411" s="40" t="s">
        <v>15328</v>
      </c>
      <c r="D2411" s="40" t="s">
        <v>15329</v>
      </c>
      <c r="E2411" s="41">
        <v>169.28</v>
      </c>
      <c r="F2411" s="40"/>
      <c r="G2411" s="41"/>
      <c r="H2411" s="40"/>
      <c r="I2411" s="41"/>
      <c r="J2411" s="41">
        <f t="shared" si="9"/>
        <v>169.28</v>
      </c>
      <c r="K2411" s="42" t="s">
        <v>5796</v>
      </c>
      <c r="L2411" s="39">
        <v>2071</v>
      </c>
    </row>
    <row r="2412" spans="1:12" ht="11.25" customHeight="1">
      <c r="A2412" s="39">
        <v>2073</v>
      </c>
      <c r="B2412" s="40" t="s">
        <v>7597</v>
      </c>
      <c r="C2412" s="40" t="s">
        <v>15330</v>
      </c>
      <c r="D2412" s="40" t="s">
        <v>15331</v>
      </c>
      <c r="E2412" s="41">
        <v>169.25</v>
      </c>
      <c r="F2412" s="40"/>
      <c r="G2412" s="41"/>
      <c r="H2412" s="40"/>
      <c r="I2412" s="41"/>
      <c r="J2412" s="41">
        <f t="shared" si="9"/>
        <v>169.25</v>
      </c>
      <c r="K2412" s="42" t="s">
        <v>5796</v>
      </c>
      <c r="L2412" s="39">
        <v>2073</v>
      </c>
    </row>
    <row r="2413" spans="1:12" ht="11.25" customHeight="1">
      <c r="A2413" s="39">
        <v>2075</v>
      </c>
      <c r="B2413" s="40" t="s">
        <v>15332</v>
      </c>
      <c r="C2413" s="40" t="s">
        <v>15333</v>
      </c>
      <c r="D2413" s="40" t="s">
        <v>15334</v>
      </c>
      <c r="E2413" s="41">
        <v>168.66</v>
      </c>
      <c r="F2413" s="40"/>
      <c r="G2413" s="41"/>
      <c r="H2413" s="40"/>
      <c r="I2413" s="41"/>
      <c r="J2413" s="41">
        <f t="shared" si="9"/>
        <v>168.66</v>
      </c>
      <c r="K2413" s="42" t="s">
        <v>5796</v>
      </c>
      <c r="L2413" s="39">
        <v>2075</v>
      </c>
    </row>
    <row r="2414" spans="1:12" ht="11.25" customHeight="1">
      <c r="A2414" s="39">
        <v>2076</v>
      </c>
      <c r="B2414" s="40" t="s">
        <v>15335</v>
      </c>
      <c r="C2414" s="40" t="s">
        <v>15336</v>
      </c>
      <c r="D2414" s="40" t="s">
        <v>6738</v>
      </c>
      <c r="E2414" s="41">
        <v>168.62</v>
      </c>
      <c r="F2414" s="40"/>
      <c r="G2414" s="41"/>
      <c r="H2414" s="40"/>
      <c r="I2414" s="41"/>
      <c r="J2414" s="41">
        <f t="shared" si="9"/>
        <v>168.62</v>
      </c>
      <c r="K2414" s="42" t="s">
        <v>5796</v>
      </c>
      <c r="L2414" s="39">
        <v>2076</v>
      </c>
    </row>
    <row r="2415" spans="1:12" ht="11.25" customHeight="1">
      <c r="A2415" s="39">
        <v>2077</v>
      </c>
      <c r="B2415" s="40" t="s">
        <v>15337</v>
      </c>
      <c r="C2415" s="40" t="s">
        <v>15338</v>
      </c>
      <c r="D2415" s="40" t="s">
        <v>15339</v>
      </c>
      <c r="E2415" s="41">
        <v>168.09</v>
      </c>
      <c r="F2415" s="40"/>
      <c r="G2415" s="41"/>
      <c r="H2415" s="40"/>
      <c r="I2415" s="41"/>
      <c r="J2415" s="41">
        <f t="shared" si="9"/>
        <v>168.09</v>
      </c>
      <c r="K2415" s="42" t="s">
        <v>5796</v>
      </c>
      <c r="L2415" s="39">
        <v>2077</v>
      </c>
    </row>
    <row r="2416" spans="1:12" ht="11.25" customHeight="1">
      <c r="A2416" s="39">
        <v>2078</v>
      </c>
      <c r="B2416" s="40" t="s">
        <v>15340</v>
      </c>
      <c r="C2416" s="40" t="s">
        <v>15341</v>
      </c>
      <c r="D2416" s="40" t="s">
        <v>15342</v>
      </c>
      <c r="E2416" s="41">
        <v>167.73</v>
      </c>
      <c r="F2416" s="40"/>
      <c r="G2416" s="41"/>
      <c r="H2416" s="40"/>
      <c r="I2416" s="41"/>
      <c r="J2416" s="41">
        <f t="shared" si="9"/>
        <v>167.73</v>
      </c>
      <c r="K2416" s="42" t="s">
        <v>5796</v>
      </c>
      <c r="L2416" s="39">
        <v>2078</v>
      </c>
    </row>
    <row r="2417" spans="1:12" ht="11.25" customHeight="1">
      <c r="A2417" s="39">
        <v>2079</v>
      </c>
      <c r="B2417" s="40" t="s">
        <v>15343</v>
      </c>
      <c r="C2417" s="40" t="s">
        <v>15344</v>
      </c>
      <c r="D2417" s="40" t="s">
        <v>15345</v>
      </c>
      <c r="E2417" s="41">
        <v>166.89</v>
      </c>
      <c r="F2417" s="40"/>
      <c r="G2417" s="41"/>
      <c r="H2417" s="40"/>
      <c r="I2417" s="41"/>
      <c r="J2417" s="41">
        <f t="shared" si="9"/>
        <v>166.89</v>
      </c>
      <c r="K2417" s="42" t="s">
        <v>5796</v>
      </c>
      <c r="L2417" s="39">
        <v>2079</v>
      </c>
    </row>
    <row r="2418" spans="1:12" ht="11.25" customHeight="1">
      <c r="A2418" s="39">
        <v>2080</v>
      </c>
      <c r="B2418" s="40" t="s">
        <v>15346</v>
      </c>
      <c r="C2418" s="40" t="s">
        <v>15347</v>
      </c>
      <c r="D2418" s="40" t="s">
        <v>15348</v>
      </c>
      <c r="E2418" s="41">
        <v>166.32062500000004</v>
      </c>
      <c r="F2418" s="40"/>
      <c r="G2418" s="41"/>
      <c r="H2418" s="40"/>
      <c r="I2418" s="41"/>
      <c r="J2418" s="41">
        <f t="shared" si="9"/>
        <v>166.32062500000004</v>
      </c>
      <c r="K2418" s="42" t="s">
        <v>5796</v>
      </c>
      <c r="L2418" s="39">
        <v>2080</v>
      </c>
    </row>
    <row r="2419" spans="1:12" ht="11.25" customHeight="1">
      <c r="A2419" s="39">
        <v>2081</v>
      </c>
      <c r="B2419" s="40" t="s">
        <v>15349</v>
      </c>
      <c r="C2419" s="40" t="s">
        <v>15350</v>
      </c>
      <c r="D2419" s="40" t="s">
        <v>15351</v>
      </c>
      <c r="E2419" s="41">
        <v>166.32</v>
      </c>
      <c r="F2419" s="40"/>
      <c r="G2419" s="41"/>
      <c r="H2419" s="40"/>
      <c r="I2419" s="41"/>
      <c r="J2419" s="41">
        <f t="shared" si="9"/>
        <v>166.32</v>
      </c>
      <c r="K2419" s="42" t="s">
        <v>5796</v>
      </c>
      <c r="L2419" s="39">
        <v>2081</v>
      </c>
    </row>
    <row r="2420" spans="1:12" ht="11.25" customHeight="1">
      <c r="A2420" s="39">
        <v>2082</v>
      </c>
      <c r="B2420" s="40" t="s">
        <v>15352</v>
      </c>
      <c r="C2420" s="40" t="s">
        <v>15353</v>
      </c>
      <c r="D2420" s="40" t="s">
        <v>15354</v>
      </c>
      <c r="E2420" s="41">
        <v>166.11</v>
      </c>
      <c r="F2420" s="40"/>
      <c r="G2420" s="41"/>
      <c r="H2420" s="40"/>
      <c r="I2420" s="41"/>
      <c r="J2420" s="41">
        <f t="shared" si="9"/>
        <v>166.11</v>
      </c>
      <c r="K2420" s="42" t="s">
        <v>5796</v>
      </c>
      <c r="L2420" s="39">
        <v>2082</v>
      </c>
    </row>
    <row r="2421" spans="1:12" ht="11.25" customHeight="1">
      <c r="A2421" s="39">
        <v>2083</v>
      </c>
      <c r="B2421" s="40" t="s">
        <v>15355</v>
      </c>
      <c r="C2421" s="40" t="s">
        <v>15356</v>
      </c>
      <c r="D2421" s="40" t="s">
        <v>15357</v>
      </c>
      <c r="E2421" s="41">
        <v>165.96</v>
      </c>
      <c r="F2421" s="40"/>
      <c r="G2421" s="41"/>
      <c r="H2421" s="40"/>
      <c r="I2421" s="41"/>
      <c r="J2421" s="41">
        <f t="shared" si="9"/>
        <v>165.96</v>
      </c>
      <c r="K2421" s="42" t="s">
        <v>5796</v>
      </c>
      <c r="L2421" s="39">
        <v>2083</v>
      </c>
    </row>
    <row r="2422" spans="1:12" ht="11.25" customHeight="1">
      <c r="A2422" s="39">
        <v>2087</v>
      </c>
      <c r="B2422" s="40" t="s">
        <v>15358</v>
      </c>
      <c r="C2422" s="40" t="s">
        <v>15359</v>
      </c>
      <c r="D2422" s="40" t="s">
        <v>15360</v>
      </c>
      <c r="E2422" s="41">
        <v>164.98</v>
      </c>
      <c r="F2422" s="40"/>
      <c r="G2422" s="41"/>
      <c r="H2422" s="40"/>
      <c r="I2422" s="41"/>
      <c r="J2422" s="41">
        <f t="shared" si="9"/>
        <v>164.98</v>
      </c>
      <c r="K2422" s="42" t="s">
        <v>5796</v>
      </c>
      <c r="L2422" s="39">
        <v>2087</v>
      </c>
    </row>
    <row r="2423" spans="1:12" ht="11.25" customHeight="1">
      <c r="A2423" s="39">
        <v>2090</v>
      </c>
      <c r="B2423" s="40" t="s">
        <v>15361</v>
      </c>
      <c r="C2423" s="40" t="s">
        <v>15362</v>
      </c>
      <c r="D2423" s="40" t="s">
        <v>15363</v>
      </c>
      <c r="E2423" s="41">
        <v>164.57</v>
      </c>
      <c r="F2423" s="40"/>
      <c r="G2423" s="41"/>
      <c r="H2423" s="40"/>
      <c r="I2423" s="41"/>
      <c r="J2423" s="41">
        <f t="shared" si="9"/>
        <v>164.57</v>
      </c>
      <c r="K2423" s="42" t="s">
        <v>5796</v>
      </c>
      <c r="L2423" s="39">
        <v>2090</v>
      </c>
    </row>
    <row r="2424" spans="1:12" ht="11.25" customHeight="1">
      <c r="A2424" s="39">
        <v>2091</v>
      </c>
      <c r="B2424" s="40" t="s">
        <v>15364</v>
      </c>
      <c r="C2424" s="40" t="s">
        <v>15365</v>
      </c>
      <c r="D2424" s="40" t="s">
        <v>15366</v>
      </c>
      <c r="E2424" s="41">
        <v>164.36</v>
      </c>
      <c r="F2424" s="40"/>
      <c r="G2424" s="41"/>
      <c r="H2424" s="40"/>
      <c r="I2424" s="41"/>
      <c r="J2424" s="41">
        <f t="shared" si="9"/>
        <v>164.36</v>
      </c>
      <c r="K2424" s="42" t="s">
        <v>5796</v>
      </c>
      <c r="L2424" s="39">
        <v>2091</v>
      </c>
    </row>
    <row r="2425" spans="1:12" ht="11.25" customHeight="1">
      <c r="A2425" s="39">
        <v>2093</v>
      </c>
      <c r="B2425" s="40" t="s">
        <v>15367</v>
      </c>
      <c r="C2425" s="40" t="s">
        <v>15368</v>
      </c>
      <c r="D2425" s="40" t="s">
        <v>15369</v>
      </c>
      <c r="E2425" s="41">
        <v>163.95</v>
      </c>
      <c r="F2425" s="40"/>
      <c r="G2425" s="41"/>
      <c r="H2425" s="40"/>
      <c r="I2425" s="41"/>
      <c r="J2425" s="41">
        <f t="shared" si="9"/>
        <v>163.95</v>
      </c>
      <c r="K2425" s="42" t="s">
        <v>5796</v>
      </c>
      <c r="L2425" s="39">
        <v>2093</v>
      </c>
    </row>
    <row r="2426" spans="1:12" ht="11.25" customHeight="1">
      <c r="A2426" s="39">
        <v>2094</v>
      </c>
      <c r="B2426" s="40" t="s">
        <v>15370</v>
      </c>
      <c r="C2426" s="40" t="s">
        <v>15371</v>
      </c>
      <c r="D2426" s="40" t="s">
        <v>15372</v>
      </c>
      <c r="E2426" s="41">
        <v>163.4</v>
      </c>
      <c r="F2426" s="40"/>
      <c r="G2426" s="41"/>
      <c r="H2426" s="40"/>
      <c r="I2426" s="41"/>
      <c r="J2426" s="41">
        <f t="shared" si="9"/>
        <v>163.4</v>
      </c>
      <c r="K2426" s="42" t="s">
        <v>5796</v>
      </c>
      <c r="L2426" s="39">
        <v>2094</v>
      </c>
    </row>
    <row r="2427" spans="1:12" ht="11.25" customHeight="1">
      <c r="A2427" s="39">
        <v>2095</v>
      </c>
      <c r="B2427" s="40" t="s">
        <v>15373</v>
      </c>
      <c r="C2427" s="40" t="s">
        <v>15374</v>
      </c>
      <c r="D2427" s="40" t="s">
        <v>15375</v>
      </c>
      <c r="E2427" s="41">
        <v>163.27000000000001</v>
      </c>
      <c r="F2427" s="40"/>
      <c r="G2427" s="41"/>
      <c r="H2427" s="40"/>
      <c r="I2427" s="41"/>
      <c r="J2427" s="41">
        <f t="shared" si="9"/>
        <v>163.27000000000001</v>
      </c>
      <c r="K2427" s="42" t="s">
        <v>5796</v>
      </c>
      <c r="L2427" s="39">
        <v>2095</v>
      </c>
    </row>
    <row r="2428" spans="1:12" ht="11.25" customHeight="1">
      <c r="A2428" s="39">
        <v>2099</v>
      </c>
      <c r="B2428" s="40" t="s">
        <v>15376</v>
      </c>
      <c r="C2428" s="40" t="s">
        <v>15377</v>
      </c>
      <c r="D2428" s="40" t="s">
        <v>15378</v>
      </c>
      <c r="E2428" s="41">
        <v>161.61000000000001</v>
      </c>
      <c r="F2428" s="40"/>
      <c r="G2428" s="41"/>
      <c r="H2428" s="40"/>
      <c r="I2428" s="41"/>
      <c r="J2428" s="41">
        <f t="shared" si="9"/>
        <v>161.61000000000001</v>
      </c>
      <c r="K2428" s="42" t="s">
        <v>5796</v>
      </c>
      <c r="L2428" s="39">
        <v>2099</v>
      </c>
    </row>
    <row r="2429" spans="1:12" ht="11.25" customHeight="1">
      <c r="A2429" s="39">
        <v>2101</v>
      </c>
      <c r="B2429" s="40" t="s">
        <v>15379</v>
      </c>
      <c r="C2429" s="40" t="s">
        <v>15380</v>
      </c>
      <c r="D2429" s="40" t="s">
        <v>15381</v>
      </c>
      <c r="E2429" s="41">
        <v>160.74</v>
      </c>
      <c r="F2429" s="40"/>
      <c r="G2429" s="41"/>
      <c r="H2429" s="40"/>
      <c r="I2429" s="41"/>
      <c r="J2429" s="41">
        <f t="shared" si="9"/>
        <v>160.74</v>
      </c>
      <c r="K2429" s="42" t="s">
        <v>5796</v>
      </c>
      <c r="L2429" s="39">
        <v>2101</v>
      </c>
    </row>
    <row r="2430" spans="1:12" ht="11.25" customHeight="1">
      <c r="A2430" s="39">
        <v>2103</v>
      </c>
      <c r="B2430" s="40" t="s">
        <v>15382</v>
      </c>
      <c r="C2430" s="40" t="s">
        <v>15383</v>
      </c>
      <c r="D2430" s="40" t="s">
        <v>15384</v>
      </c>
      <c r="E2430" s="41">
        <v>159.66999999999999</v>
      </c>
      <c r="F2430" s="40"/>
      <c r="G2430" s="41"/>
      <c r="H2430" s="40"/>
      <c r="I2430" s="41"/>
      <c r="J2430" s="41">
        <f t="shared" si="9"/>
        <v>159.66999999999999</v>
      </c>
      <c r="K2430" s="42" t="s">
        <v>5796</v>
      </c>
      <c r="L2430" s="39">
        <v>2103</v>
      </c>
    </row>
    <row r="2431" spans="1:12" ht="11.25" customHeight="1">
      <c r="A2431" s="39">
        <v>2106</v>
      </c>
      <c r="B2431" s="40" t="s">
        <v>7712</v>
      </c>
      <c r="C2431" s="40" t="s">
        <v>15385</v>
      </c>
      <c r="D2431" s="40" t="s">
        <v>15386</v>
      </c>
      <c r="E2431" s="41">
        <v>158.37</v>
      </c>
      <c r="F2431" s="40"/>
      <c r="G2431" s="41"/>
      <c r="H2431" s="40"/>
      <c r="I2431" s="41"/>
      <c r="J2431" s="41">
        <f t="shared" si="9"/>
        <v>158.37</v>
      </c>
      <c r="K2431" s="42" t="s">
        <v>5796</v>
      </c>
      <c r="L2431" s="39">
        <v>2106</v>
      </c>
    </row>
    <row r="2432" spans="1:12" ht="11.25" customHeight="1">
      <c r="A2432" s="39">
        <v>2108</v>
      </c>
      <c r="B2432" s="40" t="s">
        <v>7519</v>
      </c>
      <c r="C2432" s="40" t="s">
        <v>15387</v>
      </c>
      <c r="D2432" s="40" t="s">
        <v>15388</v>
      </c>
      <c r="E2432" s="41">
        <v>156.12</v>
      </c>
      <c r="F2432" s="40"/>
      <c r="G2432" s="41"/>
      <c r="H2432" s="40"/>
      <c r="I2432" s="41"/>
      <c r="J2432" s="41">
        <f t="shared" si="9"/>
        <v>156.12</v>
      </c>
      <c r="K2432" s="42" t="s">
        <v>5796</v>
      </c>
      <c r="L2432" s="39">
        <v>2108</v>
      </c>
    </row>
    <row r="2433" spans="1:12" ht="11.25" customHeight="1">
      <c r="A2433" s="39">
        <v>2109</v>
      </c>
      <c r="B2433" s="40" t="s">
        <v>15389</v>
      </c>
      <c r="C2433" s="40" t="s">
        <v>15390</v>
      </c>
      <c r="D2433" s="40" t="s">
        <v>15391</v>
      </c>
      <c r="E2433" s="41">
        <v>155.87</v>
      </c>
      <c r="F2433" s="40"/>
      <c r="G2433" s="41"/>
      <c r="H2433" s="40"/>
      <c r="I2433" s="41"/>
      <c r="J2433" s="41">
        <f t="shared" si="9"/>
        <v>155.87</v>
      </c>
      <c r="K2433" s="42" t="s">
        <v>5796</v>
      </c>
      <c r="L2433" s="39">
        <v>2109</v>
      </c>
    </row>
    <row r="2434" spans="1:12" ht="11.25" customHeight="1">
      <c r="A2434" s="39">
        <v>2113</v>
      </c>
      <c r="B2434" s="40" t="s">
        <v>7390</v>
      </c>
      <c r="C2434" s="40" t="s">
        <v>15392</v>
      </c>
      <c r="D2434" s="40" t="s">
        <v>15393</v>
      </c>
      <c r="E2434" s="41">
        <v>154.88</v>
      </c>
      <c r="F2434" s="40"/>
      <c r="G2434" s="41"/>
      <c r="H2434" s="40"/>
      <c r="I2434" s="41"/>
      <c r="J2434" s="41">
        <f t="shared" si="9"/>
        <v>154.88</v>
      </c>
      <c r="K2434" s="42" t="s">
        <v>5796</v>
      </c>
      <c r="L2434" s="39">
        <v>2113</v>
      </c>
    </row>
    <row r="2435" spans="1:12" ht="11.25" customHeight="1">
      <c r="A2435" s="39">
        <v>2116</v>
      </c>
      <c r="B2435" s="40" t="s">
        <v>15394</v>
      </c>
      <c r="C2435" s="40" t="s">
        <v>15395</v>
      </c>
      <c r="D2435" s="40" t="s">
        <v>15396</v>
      </c>
      <c r="E2435" s="41">
        <v>154.16999999999999</v>
      </c>
      <c r="F2435" s="40"/>
      <c r="G2435" s="41"/>
      <c r="H2435" s="40"/>
      <c r="I2435" s="41"/>
      <c r="J2435" s="41">
        <f t="shared" si="9"/>
        <v>154.16999999999999</v>
      </c>
      <c r="K2435" s="42" t="s">
        <v>5796</v>
      </c>
      <c r="L2435" s="39">
        <v>2116</v>
      </c>
    </row>
    <row r="2436" spans="1:12" ht="11.25" customHeight="1">
      <c r="A2436" s="39">
        <v>2118</v>
      </c>
      <c r="B2436" s="40" t="s">
        <v>15397</v>
      </c>
      <c r="C2436" s="40" t="s">
        <v>15398</v>
      </c>
      <c r="D2436" s="40" t="s">
        <v>15399</v>
      </c>
      <c r="E2436" s="41">
        <v>154.02000000000001</v>
      </c>
      <c r="F2436" s="40"/>
      <c r="G2436" s="41"/>
      <c r="H2436" s="40"/>
      <c r="I2436" s="41"/>
      <c r="J2436" s="41">
        <f t="shared" si="9"/>
        <v>154.02000000000001</v>
      </c>
      <c r="K2436" s="42" t="s">
        <v>5796</v>
      </c>
      <c r="L2436" s="39">
        <v>2118</v>
      </c>
    </row>
    <row r="2437" spans="1:12" ht="11.25" customHeight="1">
      <c r="A2437" s="39">
        <v>2119</v>
      </c>
      <c r="B2437" s="40" t="s">
        <v>15400</v>
      </c>
      <c r="C2437" s="40" t="s">
        <v>15401</v>
      </c>
      <c r="D2437" s="40" t="s">
        <v>15402</v>
      </c>
      <c r="E2437" s="41">
        <v>153.91999999999999</v>
      </c>
      <c r="F2437" s="40"/>
      <c r="G2437" s="41"/>
      <c r="H2437" s="40"/>
      <c r="I2437" s="41"/>
      <c r="J2437" s="41">
        <f t="shared" si="9"/>
        <v>153.91999999999999</v>
      </c>
      <c r="K2437" s="42" t="s">
        <v>5796</v>
      </c>
      <c r="L2437" s="39">
        <v>2119</v>
      </c>
    </row>
    <row r="2438" spans="1:12" ht="11.25" customHeight="1">
      <c r="A2438" s="39">
        <v>2120</v>
      </c>
      <c r="B2438" s="40" t="s">
        <v>15403</v>
      </c>
      <c r="C2438" s="40" t="s">
        <v>15404</v>
      </c>
      <c r="D2438" s="40" t="s">
        <v>15405</v>
      </c>
      <c r="E2438" s="41">
        <v>153.88</v>
      </c>
      <c r="F2438" s="40"/>
      <c r="G2438" s="41"/>
      <c r="H2438" s="40"/>
      <c r="I2438" s="41"/>
      <c r="J2438" s="41">
        <f t="shared" si="9"/>
        <v>153.88</v>
      </c>
      <c r="K2438" s="42" t="s">
        <v>5796</v>
      </c>
      <c r="L2438" s="39">
        <v>2120</v>
      </c>
    </row>
    <row r="2439" spans="1:12" ht="11.25" customHeight="1">
      <c r="A2439" s="39">
        <v>2124</v>
      </c>
      <c r="B2439" s="40" t="s">
        <v>15406</v>
      </c>
      <c r="C2439" s="40" t="s">
        <v>15407</v>
      </c>
      <c r="D2439" s="40" t="s">
        <v>15408</v>
      </c>
      <c r="E2439" s="41">
        <v>152.75</v>
      </c>
      <c r="F2439" s="40"/>
      <c r="G2439" s="41"/>
      <c r="H2439" s="40"/>
      <c r="I2439" s="41"/>
      <c r="J2439" s="41">
        <f t="shared" si="9"/>
        <v>152.75</v>
      </c>
      <c r="K2439" s="42" t="s">
        <v>5796</v>
      </c>
      <c r="L2439" s="39">
        <v>2124</v>
      </c>
    </row>
    <row r="2440" spans="1:12" ht="11.25" customHeight="1">
      <c r="A2440" s="39">
        <v>2126</v>
      </c>
      <c r="B2440" s="40" t="s">
        <v>15409</v>
      </c>
      <c r="C2440" s="40" t="s">
        <v>15410</v>
      </c>
      <c r="D2440" s="40" t="s">
        <v>15411</v>
      </c>
      <c r="E2440" s="41">
        <v>152.19999999999999</v>
      </c>
      <c r="F2440" s="40"/>
      <c r="G2440" s="41"/>
      <c r="H2440" s="40"/>
      <c r="I2440" s="41"/>
      <c r="J2440" s="41">
        <f t="shared" si="9"/>
        <v>152.19999999999999</v>
      </c>
      <c r="K2440" s="42" t="s">
        <v>5796</v>
      </c>
      <c r="L2440" s="39">
        <v>2126</v>
      </c>
    </row>
    <row r="2441" spans="1:12" ht="11.25" customHeight="1">
      <c r="A2441" s="39">
        <v>2128</v>
      </c>
      <c r="B2441" s="40" t="s">
        <v>15412</v>
      </c>
      <c r="C2441" s="40" t="s">
        <v>15413</v>
      </c>
      <c r="D2441" s="40" t="s">
        <v>15414</v>
      </c>
      <c r="E2441" s="41">
        <v>151.13</v>
      </c>
      <c r="F2441" s="40"/>
      <c r="G2441" s="41"/>
      <c r="H2441" s="40"/>
      <c r="I2441" s="41"/>
      <c r="J2441" s="41">
        <f t="shared" si="9"/>
        <v>151.13</v>
      </c>
      <c r="K2441" s="42" t="s">
        <v>5796</v>
      </c>
      <c r="L2441" s="39">
        <v>2128</v>
      </c>
    </row>
    <row r="2442" spans="1:12" ht="11.25" customHeight="1">
      <c r="A2442" s="39">
        <v>2129</v>
      </c>
      <c r="B2442" s="40" t="s">
        <v>15415</v>
      </c>
      <c r="C2442" s="40" t="s">
        <v>15416</v>
      </c>
      <c r="D2442" s="40" t="s">
        <v>15417</v>
      </c>
      <c r="E2442" s="41">
        <v>151.09</v>
      </c>
      <c r="F2442" s="40"/>
      <c r="G2442" s="41"/>
      <c r="H2442" s="40"/>
      <c r="I2442" s="41"/>
      <c r="J2442" s="41">
        <f t="shared" si="9"/>
        <v>151.09</v>
      </c>
      <c r="K2442" s="42" t="s">
        <v>5796</v>
      </c>
      <c r="L2442" s="39">
        <v>2129</v>
      </c>
    </row>
    <row r="2443" spans="1:12" ht="11.25" customHeight="1">
      <c r="A2443" s="39">
        <v>2131</v>
      </c>
      <c r="B2443" s="40" t="s">
        <v>15418</v>
      </c>
      <c r="C2443" s="40" t="s">
        <v>15419</v>
      </c>
      <c r="D2443" s="40" t="s">
        <v>15420</v>
      </c>
      <c r="E2443" s="41">
        <v>150.78</v>
      </c>
      <c r="F2443" s="40"/>
      <c r="G2443" s="41"/>
      <c r="H2443" s="40"/>
      <c r="I2443" s="41"/>
      <c r="J2443" s="41">
        <f t="shared" si="9"/>
        <v>150.78</v>
      </c>
      <c r="K2443" s="42" t="s">
        <v>5796</v>
      </c>
      <c r="L2443" s="39">
        <v>2131</v>
      </c>
    </row>
    <row r="2444" spans="1:12" ht="11.25" customHeight="1">
      <c r="A2444" s="39">
        <v>2133</v>
      </c>
      <c r="B2444" s="40" t="s">
        <v>15421</v>
      </c>
      <c r="C2444" s="40" t="s">
        <v>15422</v>
      </c>
      <c r="D2444" s="40" t="s">
        <v>15423</v>
      </c>
      <c r="E2444" s="41">
        <v>150.51</v>
      </c>
      <c r="F2444" s="40"/>
      <c r="G2444" s="41"/>
      <c r="H2444" s="40"/>
      <c r="I2444" s="41"/>
      <c r="J2444" s="41">
        <f t="shared" si="9"/>
        <v>150.51</v>
      </c>
      <c r="K2444" s="42" t="s">
        <v>5796</v>
      </c>
      <c r="L2444" s="39">
        <v>2133</v>
      </c>
    </row>
    <row r="2445" spans="1:12" ht="11.25" customHeight="1">
      <c r="A2445" s="39">
        <v>2136</v>
      </c>
      <c r="B2445" s="40" t="s">
        <v>15424</v>
      </c>
      <c r="C2445" s="40" t="s">
        <v>15425</v>
      </c>
      <c r="D2445" s="40" t="s">
        <v>15426</v>
      </c>
      <c r="E2445" s="41">
        <v>149.66999999999999</v>
      </c>
      <c r="F2445" s="40"/>
      <c r="G2445" s="41"/>
      <c r="H2445" s="40"/>
      <c r="I2445" s="41"/>
      <c r="J2445" s="41">
        <f t="shared" si="9"/>
        <v>149.66999999999999</v>
      </c>
      <c r="K2445" s="42" t="s">
        <v>5796</v>
      </c>
      <c r="L2445" s="39">
        <v>2136</v>
      </c>
    </row>
    <row r="2446" spans="1:12" ht="11.25" customHeight="1">
      <c r="A2446" s="39">
        <v>2137</v>
      </c>
      <c r="B2446" s="40" t="s">
        <v>15427</v>
      </c>
      <c r="C2446" s="40" t="s">
        <v>15428</v>
      </c>
      <c r="D2446" s="40" t="s">
        <v>15429</v>
      </c>
      <c r="E2446" s="41">
        <v>149.07</v>
      </c>
      <c r="F2446" s="40"/>
      <c r="G2446" s="41"/>
      <c r="H2446" s="40"/>
      <c r="I2446" s="41"/>
      <c r="J2446" s="41">
        <f t="shared" si="9"/>
        <v>149.07</v>
      </c>
      <c r="K2446" s="42" t="s">
        <v>5796</v>
      </c>
      <c r="L2446" s="39">
        <v>2137</v>
      </c>
    </row>
    <row r="2447" spans="1:12" ht="11.25" customHeight="1">
      <c r="A2447" s="39">
        <v>2138</v>
      </c>
      <c r="B2447" s="40" t="s">
        <v>15430</v>
      </c>
      <c r="C2447" s="40" t="s">
        <v>15431</v>
      </c>
      <c r="D2447" s="40" t="s">
        <v>15432</v>
      </c>
      <c r="E2447" s="41">
        <v>148.29</v>
      </c>
      <c r="F2447" s="40"/>
      <c r="G2447" s="41"/>
      <c r="H2447" s="40"/>
      <c r="I2447" s="41"/>
      <c r="J2447" s="41">
        <f t="shared" si="9"/>
        <v>148.29</v>
      </c>
      <c r="K2447" s="42" t="s">
        <v>5796</v>
      </c>
      <c r="L2447" s="39">
        <v>2138</v>
      </c>
    </row>
    <row r="2448" spans="1:12" ht="11.25" customHeight="1">
      <c r="A2448" s="39">
        <v>2142</v>
      </c>
      <c r="B2448" s="40" t="s">
        <v>15433</v>
      </c>
      <c r="C2448" s="40" t="s">
        <v>15434</v>
      </c>
      <c r="D2448" s="40" t="s">
        <v>15435</v>
      </c>
      <c r="E2448" s="41">
        <v>147.54</v>
      </c>
      <c r="F2448" s="40"/>
      <c r="G2448" s="41"/>
      <c r="H2448" s="40"/>
      <c r="I2448" s="41"/>
      <c r="J2448" s="41">
        <f t="shared" si="9"/>
        <v>147.54</v>
      </c>
      <c r="K2448" s="42" t="s">
        <v>5796</v>
      </c>
      <c r="L2448" s="39">
        <v>2142</v>
      </c>
    </row>
    <row r="2449" spans="1:12" ht="11.25" customHeight="1">
      <c r="A2449" s="39">
        <v>2143</v>
      </c>
      <c r="B2449" s="40" t="s">
        <v>15436</v>
      </c>
      <c r="C2449" s="40" t="s">
        <v>15437</v>
      </c>
      <c r="D2449" s="40" t="s">
        <v>15438</v>
      </c>
      <c r="E2449" s="41">
        <v>147.22</v>
      </c>
      <c r="F2449" s="40"/>
      <c r="G2449" s="41"/>
      <c r="H2449" s="40"/>
      <c r="I2449" s="41"/>
      <c r="J2449" s="41">
        <f t="shared" si="9"/>
        <v>147.22</v>
      </c>
      <c r="K2449" s="42" t="s">
        <v>5796</v>
      </c>
      <c r="L2449" s="39">
        <v>2143</v>
      </c>
    </row>
    <row r="2450" spans="1:12" ht="11.25" customHeight="1">
      <c r="A2450" s="39">
        <v>2147</v>
      </c>
      <c r="B2450" s="40" t="s">
        <v>15439</v>
      </c>
      <c r="C2450" s="40" t="s">
        <v>15440</v>
      </c>
      <c r="D2450" s="40" t="s">
        <v>15441</v>
      </c>
      <c r="E2450" s="41">
        <v>146.71</v>
      </c>
      <c r="F2450" s="40"/>
      <c r="G2450" s="41"/>
      <c r="H2450" s="40"/>
      <c r="I2450" s="41"/>
      <c r="J2450" s="41">
        <f t="shared" si="9"/>
        <v>146.71</v>
      </c>
      <c r="K2450" s="42" t="s">
        <v>5796</v>
      </c>
      <c r="L2450" s="39">
        <v>2147</v>
      </c>
    </row>
    <row r="2451" spans="1:12" ht="11.25" customHeight="1">
      <c r="A2451" s="39">
        <v>2148</v>
      </c>
      <c r="B2451" s="40" t="s">
        <v>15442</v>
      </c>
      <c r="C2451" s="40" t="s">
        <v>15443</v>
      </c>
      <c r="D2451" s="40" t="s">
        <v>15444</v>
      </c>
      <c r="E2451" s="41">
        <v>146.66</v>
      </c>
      <c r="F2451" s="40"/>
      <c r="G2451" s="41"/>
      <c r="H2451" s="40"/>
      <c r="I2451" s="41"/>
      <c r="J2451" s="41">
        <f t="shared" si="9"/>
        <v>146.66</v>
      </c>
      <c r="K2451" s="42" t="s">
        <v>5796</v>
      </c>
      <c r="L2451" s="39">
        <v>2148</v>
      </c>
    </row>
    <row r="2452" spans="1:12" ht="11.25" customHeight="1">
      <c r="A2452" s="39">
        <v>2149</v>
      </c>
      <c r="B2452" s="40" t="s">
        <v>15445</v>
      </c>
      <c r="C2452" s="40" t="s">
        <v>15446</v>
      </c>
      <c r="D2452" s="40" t="s">
        <v>15447</v>
      </c>
      <c r="E2452" s="41">
        <v>146.41</v>
      </c>
      <c r="F2452" s="40"/>
      <c r="G2452" s="41"/>
      <c r="H2452" s="40"/>
      <c r="I2452" s="41"/>
      <c r="J2452" s="41">
        <f t="shared" si="9"/>
        <v>146.41</v>
      </c>
      <c r="K2452" s="42" t="s">
        <v>5796</v>
      </c>
      <c r="L2452" s="39">
        <v>2149</v>
      </c>
    </row>
    <row r="2453" spans="1:12" ht="11.25" customHeight="1">
      <c r="A2453" s="39">
        <v>2151</v>
      </c>
      <c r="B2453" s="40" t="s">
        <v>7657</v>
      </c>
      <c r="C2453" s="40" t="s">
        <v>15448</v>
      </c>
      <c r="D2453" s="40" t="s">
        <v>15449</v>
      </c>
      <c r="E2453" s="41">
        <v>145.65</v>
      </c>
      <c r="F2453" s="40"/>
      <c r="G2453" s="41"/>
      <c r="H2453" s="40"/>
      <c r="I2453" s="41"/>
      <c r="J2453" s="41">
        <f t="shared" si="9"/>
        <v>145.65</v>
      </c>
      <c r="K2453" s="42" t="s">
        <v>5796</v>
      </c>
      <c r="L2453" s="39">
        <v>2151</v>
      </c>
    </row>
    <row r="2454" spans="1:12" ht="11.25" customHeight="1">
      <c r="A2454" s="39">
        <v>2152</v>
      </c>
      <c r="B2454" s="40" t="s">
        <v>7584</v>
      </c>
      <c r="C2454" s="40" t="s">
        <v>15450</v>
      </c>
      <c r="D2454" s="40" t="s">
        <v>15451</v>
      </c>
      <c r="E2454" s="41">
        <v>145.47</v>
      </c>
      <c r="F2454" s="40"/>
      <c r="G2454" s="41"/>
      <c r="H2454" s="40"/>
      <c r="I2454" s="41"/>
      <c r="J2454" s="41">
        <f t="shared" si="9"/>
        <v>145.47</v>
      </c>
      <c r="K2454" s="42" t="s">
        <v>5796</v>
      </c>
      <c r="L2454" s="39">
        <v>2152</v>
      </c>
    </row>
    <row r="2455" spans="1:12" ht="11.25" customHeight="1">
      <c r="A2455" s="39">
        <v>2157</v>
      </c>
      <c r="B2455" s="40" t="s">
        <v>15452</v>
      </c>
      <c r="C2455" s="40" t="s">
        <v>15453</v>
      </c>
      <c r="D2455" s="40" t="s">
        <v>15454</v>
      </c>
      <c r="E2455" s="41">
        <v>144.32</v>
      </c>
      <c r="F2455" s="40"/>
      <c r="G2455" s="41"/>
      <c r="H2455" s="40"/>
      <c r="I2455" s="41"/>
      <c r="J2455" s="41">
        <f t="shared" si="9"/>
        <v>144.32</v>
      </c>
      <c r="K2455" s="42" t="s">
        <v>5796</v>
      </c>
      <c r="L2455" s="39">
        <v>2157</v>
      </c>
    </row>
    <row r="2456" spans="1:12" ht="11.25" customHeight="1">
      <c r="A2456" s="39">
        <v>2159</v>
      </c>
      <c r="B2456" s="40" t="s">
        <v>15455</v>
      </c>
      <c r="C2456" s="40" t="s">
        <v>15456</v>
      </c>
      <c r="D2456" s="40" t="s">
        <v>15457</v>
      </c>
      <c r="E2456" s="41">
        <v>143.59</v>
      </c>
      <c r="F2456" s="40"/>
      <c r="G2456" s="41"/>
      <c r="H2456" s="40"/>
      <c r="I2456" s="41"/>
      <c r="J2456" s="41">
        <f t="shared" si="9"/>
        <v>143.59</v>
      </c>
      <c r="K2456" s="42" t="s">
        <v>5796</v>
      </c>
      <c r="L2456" s="39">
        <v>2159</v>
      </c>
    </row>
    <row r="2457" spans="1:12" ht="11.25" customHeight="1">
      <c r="A2457" s="39">
        <v>2161</v>
      </c>
      <c r="B2457" s="40" t="s">
        <v>15458</v>
      </c>
      <c r="C2457" s="40" t="s">
        <v>15459</v>
      </c>
      <c r="D2457" s="40" t="s">
        <v>15460</v>
      </c>
      <c r="E2457" s="41">
        <v>143.58000000000001</v>
      </c>
      <c r="F2457" s="40"/>
      <c r="G2457" s="41"/>
      <c r="H2457" s="40"/>
      <c r="I2457" s="41"/>
      <c r="J2457" s="41">
        <f t="shared" si="9"/>
        <v>143.58000000000001</v>
      </c>
      <c r="K2457" s="42" t="s">
        <v>5796</v>
      </c>
      <c r="L2457" s="39">
        <v>2161</v>
      </c>
    </row>
    <row r="2458" spans="1:12" ht="11.25" customHeight="1">
      <c r="A2458" s="39">
        <v>2164</v>
      </c>
      <c r="B2458" s="40" t="s">
        <v>15461</v>
      </c>
      <c r="C2458" s="40" t="s">
        <v>15462</v>
      </c>
      <c r="D2458" s="40" t="s">
        <v>15463</v>
      </c>
      <c r="E2458" s="41">
        <v>142.58000000000001</v>
      </c>
      <c r="F2458" s="40"/>
      <c r="G2458" s="41"/>
      <c r="H2458" s="40"/>
      <c r="I2458" s="41"/>
      <c r="J2458" s="41">
        <f t="shared" si="9"/>
        <v>142.58000000000001</v>
      </c>
      <c r="K2458" s="42" t="s">
        <v>5796</v>
      </c>
      <c r="L2458" s="39">
        <v>2164</v>
      </c>
    </row>
    <row r="2459" spans="1:12" ht="11.25" customHeight="1">
      <c r="A2459" s="39">
        <v>2165</v>
      </c>
      <c r="B2459" s="40" t="s">
        <v>15464</v>
      </c>
      <c r="C2459" s="40" t="s">
        <v>15465</v>
      </c>
      <c r="D2459" s="40" t="s">
        <v>15466</v>
      </c>
      <c r="E2459" s="41">
        <v>142.52000000000001</v>
      </c>
      <c r="F2459" s="40"/>
      <c r="G2459" s="41"/>
      <c r="H2459" s="40"/>
      <c r="I2459" s="41"/>
      <c r="J2459" s="41">
        <f t="shared" si="9"/>
        <v>142.52000000000001</v>
      </c>
      <c r="K2459" s="42" t="s">
        <v>5796</v>
      </c>
      <c r="L2459" s="39">
        <v>2165</v>
      </c>
    </row>
    <row r="2460" spans="1:12" ht="11.25" customHeight="1">
      <c r="A2460" s="39">
        <v>2166</v>
      </c>
      <c r="B2460" s="40" t="s">
        <v>7646</v>
      </c>
      <c r="C2460" s="40" t="s">
        <v>15467</v>
      </c>
      <c r="D2460" s="40" t="s">
        <v>15468</v>
      </c>
      <c r="E2460" s="41">
        <v>142.31</v>
      </c>
      <c r="F2460" s="40"/>
      <c r="G2460" s="41"/>
      <c r="H2460" s="40"/>
      <c r="I2460" s="41"/>
      <c r="J2460" s="41">
        <f t="shared" si="9"/>
        <v>142.31</v>
      </c>
      <c r="K2460" s="42" t="s">
        <v>5796</v>
      </c>
      <c r="L2460" s="39">
        <v>2166</v>
      </c>
    </row>
    <row r="2461" spans="1:12" ht="11.25" customHeight="1">
      <c r="A2461" s="39">
        <v>2167</v>
      </c>
      <c r="B2461" s="40" t="s">
        <v>15469</v>
      </c>
      <c r="C2461" s="40" t="s">
        <v>15470</v>
      </c>
      <c r="D2461" s="40" t="s">
        <v>15471</v>
      </c>
      <c r="E2461" s="41">
        <v>142.22999999999999</v>
      </c>
      <c r="F2461" s="40"/>
      <c r="G2461" s="41"/>
      <c r="H2461" s="40"/>
      <c r="I2461" s="41"/>
      <c r="J2461" s="41">
        <f t="shared" si="9"/>
        <v>142.22999999999999</v>
      </c>
      <c r="K2461" s="42" t="s">
        <v>5796</v>
      </c>
      <c r="L2461" s="39">
        <v>2167</v>
      </c>
    </row>
    <row r="2462" spans="1:12" ht="11.25" customHeight="1">
      <c r="A2462" s="39">
        <v>2168</v>
      </c>
      <c r="B2462" s="40" t="s">
        <v>7726</v>
      </c>
      <c r="C2462" s="40" t="s">
        <v>15472</v>
      </c>
      <c r="D2462" s="40" t="s">
        <v>15473</v>
      </c>
      <c r="E2462" s="41">
        <v>141.71</v>
      </c>
      <c r="F2462" s="40"/>
      <c r="G2462" s="41"/>
      <c r="H2462" s="40"/>
      <c r="I2462" s="41"/>
      <c r="J2462" s="41">
        <f t="shared" si="9"/>
        <v>141.71</v>
      </c>
      <c r="K2462" s="42" t="s">
        <v>5796</v>
      </c>
      <c r="L2462" s="39">
        <v>2168</v>
      </c>
    </row>
    <row r="2463" spans="1:12" ht="11.25" customHeight="1">
      <c r="A2463" s="39">
        <v>2169</v>
      </c>
      <c r="B2463" s="40" t="s">
        <v>15474</v>
      </c>
      <c r="C2463" s="40" t="s">
        <v>15475</v>
      </c>
      <c r="D2463" s="40" t="s">
        <v>15476</v>
      </c>
      <c r="E2463" s="41">
        <v>141.13999999999999</v>
      </c>
      <c r="F2463" s="40"/>
      <c r="G2463" s="41"/>
      <c r="H2463" s="40"/>
      <c r="I2463" s="41"/>
      <c r="J2463" s="41">
        <f t="shared" si="9"/>
        <v>141.13999999999999</v>
      </c>
      <c r="K2463" s="42" t="s">
        <v>5796</v>
      </c>
      <c r="L2463" s="39">
        <v>2169</v>
      </c>
    </row>
    <row r="2464" spans="1:12" ht="11.25" customHeight="1">
      <c r="A2464" s="39">
        <v>2170</v>
      </c>
      <c r="B2464" s="40" t="s">
        <v>15477</v>
      </c>
      <c r="C2464" s="40" t="s">
        <v>15478</v>
      </c>
      <c r="D2464" s="40" t="s">
        <v>15479</v>
      </c>
      <c r="E2464" s="41">
        <v>141.04</v>
      </c>
      <c r="F2464" s="40"/>
      <c r="G2464" s="41"/>
      <c r="H2464" s="40"/>
      <c r="I2464" s="41"/>
      <c r="J2464" s="41">
        <f t="shared" si="9"/>
        <v>141.04</v>
      </c>
      <c r="K2464" s="42" t="s">
        <v>5796</v>
      </c>
      <c r="L2464" s="39">
        <v>2170</v>
      </c>
    </row>
    <row r="2465" spans="1:12" ht="11.25" customHeight="1">
      <c r="A2465" s="39">
        <v>2173</v>
      </c>
      <c r="B2465" s="40" t="s">
        <v>15480</v>
      </c>
      <c r="C2465" s="40" t="s">
        <v>15481</v>
      </c>
      <c r="D2465" s="40" t="s">
        <v>15482</v>
      </c>
      <c r="E2465" s="41">
        <v>140.09</v>
      </c>
      <c r="F2465" s="40"/>
      <c r="G2465" s="41"/>
      <c r="H2465" s="40"/>
      <c r="I2465" s="41"/>
      <c r="J2465" s="41">
        <f t="shared" si="9"/>
        <v>140.09</v>
      </c>
      <c r="K2465" s="42" t="s">
        <v>5796</v>
      </c>
      <c r="L2465" s="39">
        <v>2173</v>
      </c>
    </row>
    <row r="2466" spans="1:12" ht="11.25" customHeight="1">
      <c r="A2466" s="39">
        <v>2174</v>
      </c>
      <c r="B2466" s="40" t="s">
        <v>7822</v>
      </c>
      <c r="C2466" s="40" t="s">
        <v>15483</v>
      </c>
      <c r="D2466" s="40" t="s">
        <v>15484</v>
      </c>
      <c r="E2466" s="41">
        <v>139.9</v>
      </c>
      <c r="F2466" s="40"/>
      <c r="G2466" s="41"/>
      <c r="H2466" s="40"/>
      <c r="I2466" s="41"/>
      <c r="J2466" s="41">
        <f t="shared" si="9"/>
        <v>139.9</v>
      </c>
      <c r="K2466" s="42" t="s">
        <v>5796</v>
      </c>
      <c r="L2466" s="39">
        <v>2174</v>
      </c>
    </row>
    <row r="2467" spans="1:12" ht="11.25" customHeight="1">
      <c r="A2467" s="39">
        <v>2175</v>
      </c>
      <c r="B2467" s="40" t="s">
        <v>15485</v>
      </c>
      <c r="C2467" s="40" t="s">
        <v>15486</v>
      </c>
      <c r="D2467" s="40" t="s">
        <v>15487</v>
      </c>
      <c r="E2467" s="41">
        <v>139.82</v>
      </c>
      <c r="F2467" s="40"/>
      <c r="G2467" s="41"/>
      <c r="H2467" s="40"/>
      <c r="I2467" s="41"/>
      <c r="J2467" s="41">
        <f t="shared" si="9"/>
        <v>139.82</v>
      </c>
      <c r="K2467" s="42" t="s">
        <v>5796</v>
      </c>
      <c r="L2467" s="39">
        <v>2175</v>
      </c>
    </row>
    <row r="2468" spans="1:12" ht="11.25" customHeight="1">
      <c r="A2468" s="39">
        <v>2177</v>
      </c>
      <c r="B2468" s="40" t="s">
        <v>7694</v>
      </c>
      <c r="C2468" s="40" t="s">
        <v>15488</v>
      </c>
      <c r="D2468" s="40" t="s">
        <v>15489</v>
      </c>
      <c r="E2468" s="41">
        <v>137.97</v>
      </c>
      <c r="F2468" s="40"/>
      <c r="G2468" s="41"/>
      <c r="H2468" s="40"/>
      <c r="I2468" s="41"/>
      <c r="J2468" s="41">
        <f t="shared" si="9"/>
        <v>137.97</v>
      </c>
      <c r="K2468" s="42" t="s">
        <v>5796</v>
      </c>
      <c r="L2468" s="39">
        <v>2177</v>
      </c>
    </row>
    <row r="2469" spans="1:12" ht="11.25" customHeight="1">
      <c r="A2469" s="39">
        <v>2182</v>
      </c>
      <c r="B2469" s="40" t="s">
        <v>15490</v>
      </c>
      <c r="C2469" s="40" t="s">
        <v>15491</v>
      </c>
      <c r="D2469" s="40" t="s">
        <v>15492</v>
      </c>
      <c r="E2469" s="41">
        <v>137.35</v>
      </c>
      <c r="F2469" s="40"/>
      <c r="G2469" s="41"/>
      <c r="H2469" s="40"/>
      <c r="I2469" s="41"/>
      <c r="J2469" s="41">
        <f t="shared" si="9"/>
        <v>137.35</v>
      </c>
      <c r="K2469" s="42" t="s">
        <v>5796</v>
      </c>
      <c r="L2469" s="39">
        <v>2182</v>
      </c>
    </row>
    <row r="2470" spans="1:12" ht="11.25" customHeight="1">
      <c r="A2470" s="39">
        <v>2187</v>
      </c>
      <c r="B2470" s="40" t="s">
        <v>15493</v>
      </c>
      <c r="C2470" s="40" t="s">
        <v>15494</v>
      </c>
      <c r="D2470" s="40" t="s">
        <v>15495</v>
      </c>
      <c r="E2470" s="41">
        <v>135.91999999999999</v>
      </c>
      <c r="F2470" s="40"/>
      <c r="G2470" s="41"/>
      <c r="H2470" s="40"/>
      <c r="I2470" s="41"/>
      <c r="J2470" s="41">
        <f t="shared" si="9"/>
        <v>135.91999999999999</v>
      </c>
      <c r="K2470" s="42" t="s">
        <v>5796</v>
      </c>
      <c r="L2470" s="39">
        <v>2187</v>
      </c>
    </row>
    <row r="2471" spans="1:12" ht="11.25" customHeight="1">
      <c r="A2471" s="39">
        <v>2188</v>
      </c>
      <c r="B2471" s="40" t="s">
        <v>15496</v>
      </c>
      <c r="C2471" s="40" t="s">
        <v>15497</v>
      </c>
      <c r="D2471" s="40" t="s">
        <v>15498</v>
      </c>
      <c r="E2471" s="41">
        <v>135.68</v>
      </c>
      <c r="F2471" s="40"/>
      <c r="G2471" s="41"/>
      <c r="H2471" s="40"/>
      <c r="I2471" s="41"/>
      <c r="J2471" s="41">
        <f t="shared" si="9"/>
        <v>135.68</v>
      </c>
      <c r="K2471" s="42" t="s">
        <v>5796</v>
      </c>
      <c r="L2471" s="39">
        <v>2188</v>
      </c>
    </row>
    <row r="2472" spans="1:12" ht="11.25" customHeight="1">
      <c r="A2472" s="39">
        <v>2189</v>
      </c>
      <c r="B2472" s="40" t="s">
        <v>15499</v>
      </c>
      <c r="C2472" s="40" t="s">
        <v>15500</v>
      </c>
      <c r="D2472" s="40" t="s">
        <v>15501</v>
      </c>
      <c r="E2472" s="41">
        <v>135.6</v>
      </c>
      <c r="F2472" s="40"/>
      <c r="G2472" s="41"/>
      <c r="H2472" s="40"/>
      <c r="I2472" s="41"/>
      <c r="J2472" s="41">
        <f t="shared" si="9"/>
        <v>135.6</v>
      </c>
      <c r="K2472" s="42" t="s">
        <v>5796</v>
      </c>
      <c r="L2472" s="39">
        <v>2189</v>
      </c>
    </row>
    <row r="2473" spans="1:12" ht="11.25" customHeight="1">
      <c r="A2473" s="39">
        <v>2190</v>
      </c>
      <c r="B2473" s="40" t="s">
        <v>7668</v>
      </c>
      <c r="C2473" s="40" t="s">
        <v>15502</v>
      </c>
      <c r="D2473" s="40" t="s">
        <v>15503</v>
      </c>
      <c r="E2473" s="41">
        <v>135.44999999999999</v>
      </c>
      <c r="F2473" s="40"/>
      <c r="G2473" s="41"/>
      <c r="H2473" s="40"/>
      <c r="I2473" s="41"/>
      <c r="J2473" s="41">
        <f t="shared" si="9"/>
        <v>135.44999999999999</v>
      </c>
      <c r="K2473" s="42" t="s">
        <v>5796</v>
      </c>
      <c r="L2473" s="39">
        <v>2190</v>
      </c>
    </row>
    <row r="2474" spans="1:12" ht="11.25" customHeight="1">
      <c r="A2474" s="39">
        <v>2191</v>
      </c>
      <c r="B2474" s="40" t="s">
        <v>15504</v>
      </c>
      <c r="C2474" s="40" t="s">
        <v>15505</v>
      </c>
      <c r="D2474" s="40" t="s">
        <v>15506</v>
      </c>
      <c r="E2474" s="41">
        <v>135.04</v>
      </c>
      <c r="F2474" s="40"/>
      <c r="G2474" s="41"/>
      <c r="H2474" s="40"/>
      <c r="I2474" s="41"/>
      <c r="J2474" s="41">
        <f t="shared" si="9"/>
        <v>135.04</v>
      </c>
      <c r="K2474" s="42" t="s">
        <v>5796</v>
      </c>
      <c r="L2474" s="39">
        <v>2191</v>
      </c>
    </row>
    <row r="2475" spans="1:12" ht="11.25" customHeight="1">
      <c r="A2475" s="39">
        <v>2192</v>
      </c>
      <c r="B2475" s="40" t="s">
        <v>15507</v>
      </c>
      <c r="C2475" s="40" t="s">
        <v>15508</v>
      </c>
      <c r="D2475" s="40" t="s">
        <v>15509</v>
      </c>
      <c r="E2475" s="41">
        <v>135.01</v>
      </c>
      <c r="F2475" s="40"/>
      <c r="G2475" s="41"/>
      <c r="H2475" s="40"/>
      <c r="I2475" s="41"/>
      <c r="J2475" s="41">
        <f t="shared" si="9"/>
        <v>135.01</v>
      </c>
      <c r="K2475" s="42" t="s">
        <v>5796</v>
      </c>
      <c r="L2475" s="39">
        <v>2192</v>
      </c>
    </row>
    <row r="2476" spans="1:12" ht="11.25" customHeight="1">
      <c r="A2476" s="39">
        <v>2193</v>
      </c>
      <c r="B2476" s="40" t="s">
        <v>15510</v>
      </c>
      <c r="C2476" s="40" t="s">
        <v>15511</v>
      </c>
      <c r="D2476" s="40" t="s">
        <v>15512</v>
      </c>
      <c r="E2476" s="41">
        <v>134.81</v>
      </c>
      <c r="F2476" s="40"/>
      <c r="G2476" s="41"/>
      <c r="H2476" s="40"/>
      <c r="I2476" s="41"/>
      <c r="J2476" s="41">
        <f t="shared" si="9"/>
        <v>134.81</v>
      </c>
      <c r="K2476" s="42" t="s">
        <v>5796</v>
      </c>
      <c r="L2476" s="39">
        <v>2193</v>
      </c>
    </row>
    <row r="2477" spans="1:12" ht="11.25" customHeight="1">
      <c r="A2477" s="39">
        <v>2196</v>
      </c>
      <c r="B2477" s="40" t="s">
        <v>15513</v>
      </c>
      <c r="C2477" s="40" t="s">
        <v>15514</v>
      </c>
      <c r="D2477" s="40" t="s">
        <v>15515</v>
      </c>
      <c r="E2477" s="41">
        <v>133.84</v>
      </c>
      <c r="F2477" s="40"/>
      <c r="G2477" s="41"/>
      <c r="H2477" s="40"/>
      <c r="I2477" s="41"/>
      <c r="J2477" s="41">
        <f t="shared" si="9"/>
        <v>133.84</v>
      </c>
      <c r="K2477" s="42" t="s">
        <v>5796</v>
      </c>
      <c r="L2477" s="39">
        <v>2196</v>
      </c>
    </row>
    <row r="2478" spans="1:12" ht="11.25" customHeight="1">
      <c r="A2478" s="39">
        <v>2198</v>
      </c>
      <c r="B2478" s="52" t="s">
        <v>10208</v>
      </c>
      <c r="C2478" s="52" t="s">
        <v>15516</v>
      </c>
      <c r="D2478" s="40"/>
      <c r="E2478" s="41"/>
      <c r="F2478" s="40"/>
      <c r="G2478" s="41"/>
      <c r="H2478" s="52" t="s">
        <v>15517</v>
      </c>
      <c r="I2478" s="53">
        <v>132.76101644758074</v>
      </c>
      <c r="J2478" s="41">
        <f t="shared" si="9"/>
        <v>132.76101644758074</v>
      </c>
      <c r="K2478" s="42" t="s">
        <v>5796</v>
      </c>
      <c r="L2478" s="39">
        <v>2198</v>
      </c>
    </row>
    <row r="2479" spans="1:12" ht="11.25" customHeight="1">
      <c r="A2479" s="39">
        <v>2200</v>
      </c>
      <c r="B2479" s="40" t="s">
        <v>7547</v>
      </c>
      <c r="C2479" s="40" t="s">
        <v>15518</v>
      </c>
      <c r="D2479" s="40" t="s">
        <v>15519</v>
      </c>
      <c r="E2479" s="41">
        <v>132.08000000000001</v>
      </c>
      <c r="F2479" s="40"/>
      <c r="G2479" s="41"/>
      <c r="H2479" s="40"/>
      <c r="I2479" s="41"/>
      <c r="J2479" s="41">
        <f t="shared" si="9"/>
        <v>132.08000000000001</v>
      </c>
      <c r="K2479" s="42" t="s">
        <v>5796</v>
      </c>
      <c r="L2479" s="39">
        <v>2200</v>
      </c>
    </row>
    <row r="2480" spans="1:12" ht="11.25" customHeight="1">
      <c r="A2480" s="39">
        <v>2202</v>
      </c>
      <c r="B2480" s="40" t="s">
        <v>7541</v>
      </c>
      <c r="C2480" s="40" t="s">
        <v>15520</v>
      </c>
      <c r="D2480" s="40" t="s">
        <v>15521</v>
      </c>
      <c r="E2480" s="41">
        <v>131.55000000000001</v>
      </c>
      <c r="F2480" s="40"/>
      <c r="G2480" s="41"/>
      <c r="H2480" s="40"/>
      <c r="I2480" s="41"/>
      <c r="J2480" s="41">
        <f t="shared" si="9"/>
        <v>131.55000000000001</v>
      </c>
      <c r="K2480" s="42" t="s">
        <v>5796</v>
      </c>
      <c r="L2480" s="39">
        <v>2202</v>
      </c>
    </row>
    <row r="2481" spans="1:12" ht="11.25" customHeight="1">
      <c r="A2481" s="39">
        <v>2205</v>
      </c>
      <c r="B2481" s="40" t="s">
        <v>15522</v>
      </c>
      <c r="C2481" s="40" t="s">
        <v>15523</v>
      </c>
      <c r="D2481" s="40" t="s">
        <v>15524</v>
      </c>
      <c r="E2481" s="41">
        <v>130.91999999999999</v>
      </c>
      <c r="F2481" s="40"/>
      <c r="G2481" s="41"/>
      <c r="H2481" s="40"/>
      <c r="I2481" s="41"/>
      <c r="J2481" s="41">
        <f t="shared" si="9"/>
        <v>130.91999999999999</v>
      </c>
      <c r="K2481" s="42" t="s">
        <v>5796</v>
      </c>
      <c r="L2481" s="39">
        <v>2205</v>
      </c>
    </row>
    <row r="2482" spans="1:12" ht="11.25" customHeight="1">
      <c r="A2482" s="39">
        <v>2207</v>
      </c>
      <c r="B2482" s="40" t="s">
        <v>7428</v>
      </c>
      <c r="C2482" s="40" t="s">
        <v>15525</v>
      </c>
      <c r="D2482" s="40" t="s">
        <v>15526</v>
      </c>
      <c r="E2482" s="41">
        <v>130.56</v>
      </c>
      <c r="F2482" s="40"/>
      <c r="G2482" s="41"/>
      <c r="H2482" s="40"/>
      <c r="I2482" s="41"/>
      <c r="J2482" s="41">
        <f t="shared" si="9"/>
        <v>130.56</v>
      </c>
      <c r="K2482" s="42" t="s">
        <v>5796</v>
      </c>
      <c r="L2482" s="39">
        <v>2207</v>
      </c>
    </row>
    <row r="2483" spans="1:12" ht="11.25" customHeight="1">
      <c r="A2483" s="39">
        <v>2210</v>
      </c>
      <c r="B2483" s="40" t="s">
        <v>7540</v>
      </c>
      <c r="C2483" s="40" t="s">
        <v>15527</v>
      </c>
      <c r="D2483" s="40" t="s">
        <v>15528</v>
      </c>
      <c r="E2483" s="41">
        <v>129.9</v>
      </c>
      <c r="F2483" s="40"/>
      <c r="G2483" s="41"/>
      <c r="H2483" s="40"/>
      <c r="I2483" s="41"/>
      <c r="J2483" s="41">
        <f t="shared" si="9"/>
        <v>129.9</v>
      </c>
      <c r="K2483" s="42" t="s">
        <v>5796</v>
      </c>
      <c r="L2483" s="39">
        <v>2210</v>
      </c>
    </row>
    <row r="2484" spans="1:12" ht="11.25" customHeight="1">
      <c r="A2484" s="39">
        <v>2212</v>
      </c>
      <c r="B2484" s="40" t="s">
        <v>15529</v>
      </c>
      <c r="C2484" s="40" t="s">
        <v>15530</v>
      </c>
      <c r="D2484" s="40" t="s">
        <v>15531</v>
      </c>
      <c r="E2484" s="41">
        <v>129.61000000000001</v>
      </c>
      <c r="F2484" s="40"/>
      <c r="G2484" s="41"/>
      <c r="H2484" s="40"/>
      <c r="I2484" s="41"/>
      <c r="J2484" s="41">
        <f t="shared" si="9"/>
        <v>129.61000000000001</v>
      </c>
      <c r="K2484" s="42" t="s">
        <v>5796</v>
      </c>
      <c r="L2484" s="39">
        <v>2212</v>
      </c>
    </row>
    <row r="2485" spans="1:12" ht="11.25" customHeight="1">
      <c r="A2485" s="39">
        <v>2214</v>
      </c>
      <c r="B2485" s="40" t="s">
        <v>7500</v>
      </c>
      <c r="C2485" s="40" t="s">
        <v>15532</v>
      </c>
      <c r="D2485" s="40" t="s">
        <v>15533</v>
      </c>
      <c r="E2485" s="41">
        <v>129.5</v>
      </c>
      <c r="F2485" s="40"/>
      <c r="G2485" s="41"/>
      <c r="H2485" s="40"/>
      <c r="I2485" s="41"/>
      <c r="J2485" s="41">
        <f t="shared" si="9"/>
        <v>129.5</v>
      </c>
      <c r="K2485" s="42" t="s">
        <v>5796</v>
      </c>
      <c r="L2485" s="39">
        <v>2214</v>
      </c>
    </row>
    <row r="2486" spans="1:12" ht="11.25" customHeight="1">
      <c r="A2486" s="39">
        <v>2215</v>
      </c>
      <c r="B2486" s="40" t="s">
        <v>15534</v>
      </c>
      <c r="C2486" s="40" t="s">
        <v>15535</v>
      </c>
      <c r="D2486" s="40" t="s">
        <v>15536</v>
      </c>
      <c r="E2486" s="41">
        <v>129.19999999999999</v>
      </c>
      <c r="F2486" s="40"/>
      <c r="G2486" s="41"/>
      <c r="H2486" s="40"/>
      <c r="I2486" s="41"/>
      <c r="J2486" s="41">
        <f t="shared" si="9"/>
        <v>129.19999999999999</v>
      </c>
      <c r="K2486" s="42" t="s">
        <v>5796</v>
      </c>
      <c r="L2486" s="39">
        <v>2215</v>
      </c>
    </row>
    <row r="2487" spans="1:12" ht="11.25" customHeight="1">
      <c r="A2487" s="39">
        <v>2217</v>
      </c>
      <c r="B2487" s="52" t="s">
        <v>7555</v>
      </c>
      <c r="C2487" s="52" t="s">
        <v>15537</v>
      </c>
      <c r="D2487" s="40"/>
      <c r="E2487" s="41"/>
      <c r="F2487" s="40"/>
      <c r="G2487" s="41"/>
      <c r="H2487" s="52" t="s">
        <v>15538</v>
      </c>
      <c r="I2487" s="53">
        <v>127.99792949999976</v>
      </c>
      <c r="J2487" s="41">
        <f t="shared" si="9"/>
        <v>127.99792949999976</v>
      </c>
      <c r="K2487" s="42" t="s">
        <v>5796</v>
      </c>
      <c r="L2487" s="39">
        <v>2217</v>
      </c>
    </row>
    <row r="2488" spans="1:12" ht="11.25" customHeight="1">
      <c r="A2488" s="39">
        <v>2218</v>
      </c>
      <c r="B2488" s="40" t="s">
        <v>15539</v>
      </c>
      <c r="C2488" s="40" t="s">
        <v>15540</v>
      </c>
      <c r="D2488" s="40" t="s">
        <v>15541</v>
      </c>
      <c r="E2488" s="41">
        <v>127.93</v>
      </c>
      <c r="F2488" s="40"/>
      <c r="G2488" s="41"/>
      <c r="H2488" s="40"/>
      <c r="I2488" s="41"/>
      <c r="J2488" s="41">
        <f t="shared" si="9"/>
        <v>127.93</v>
      </c>
      <c r="K2488" s="42" t="s">
        <v>5796</v>
      </c>
      <c r="L2488" s="39">
        <v>2218</v>
      </c>
    </row>
    <row r="2489" spans="1:12" ht="11.25" customHeight="1">
      <c r="A2489" s="39">
        <v>2219</v>
      </c>
      <c r="B2489" s="40" t="s">
        <v>15542</v>
      </c>
      <c r="C2489" s="40" t="s">
        <v>15543</v>
      </c>
      <c r="D2489" s="40" t="s">
        <v>15544</v>
      </c>
      <c r="E2489" s="41">
        <v>127.76</v>
      </c>
      <c r="F2489" s="40"/>
      <c r="G2489" s="41"/>
      <c r="H2489" s="40"/>
      <c r="I2489" s="41"/>
      <c r="J2489" s="41">
        <f t="shared" si="9"/>
        <v>127.76</v>
      </c>
      <c r="K2489" s="42" t="s">
        <v>5796</v>
      </c>
      <c r="L2489" s="39">
        <v>2219</v>
      </c>
    </row>
    <row r="2490" spans="1:12" ht="11.25" customHeight="1">
      <c r="A2490" s="39">
        <v>2220</v>
      </c>
      <c r="B2490" s="40" t="s">
        <v>15545</v>
      </c>
      <c r="C2490" s="40" t="s">
        <v>15546</v>
      </c>
      <c r="D2490" s="40" t="s">
        <v>15547</v>
      </c>
      <c r="E2490" s="41">
        <v>126.93</v>
      </c>
      <c r="F2490" s="40"/>
      <c r="G2490" s="41"/>
      <c r="H2490" s="40"/>
      <c r="I2490" s="41"/>
      <c r="J2490" s="41">
        <f t="shared" si="9"/>
        <v>126.93</v>
      </c>
      <c r="K2490" s="42" t="s">
        <v>5796</v>
      </c>
      <c r="L2490" s="39">
        <v>2220</v>
      </c>
    </row>
    <row r="2491" spans="1:12" ht="11.25" customHeight="1">
      <c r="A2491" s="39">
        <v>2221</v>
      </c>
      <c r="B2491" s="40" t="s">
        <v>7542</v>
      </c>
      <c r="C2491" s="40" t="s">
        <v>15548</v>
      </c>
      <c r="D2491" s="40" t="s">
        <v>15549</v>
      </c>
      <c r="E2491" s="41">
        <v>126.91</v>
      </c>
      <c r="F2491" s="40"/>
      <c r="G2491" s="41"/>
      <c r="H2491" s="40"/>
      <c r="I2491" s="41"/>
      <c r="J2491" s="41">
        <f t="shared" si="9"/>
        <v>126.91</v>
      </c>
      <c r="K2491" s="42" t="s">
        <v>5796</v>
      </c>
      <c r="L2491" s="39">
        <v>2221</v>
      </c>
    </row>
    <row r="2492" spans="1:12" ht="11.25" customHeight="1">
      <c r="A2492" s="39">
        <v>2223</v>
      </c>
      <c r="B2492" s="40" t="s">
        <v>7713</v>
      </c>
      <c r="C2492" s="40" t="s">
        <v>15550</v>
      </c>
      <c r="D2492" s="40" t="s">
        <v>15551</v>
      </c>
      <c r="E2492" s="41">
        <v>126.42</v>
      </c>
      <c r="F2492" s="40"/>
      <c r="G2492" s="41"/>
      <c r="H2492" s="40"/>
      <c r="I2492" s="41"/>
      <c r="J2492" s="41">
        <f t="shared" si="9"/>
        <v>126.42</v>
      </c>
      <c r="K2492" s="42" t="s">
        <v>5796</v>
      </c>
      <c r="L2492" s="39">
        <v>2223</v>
      </c>
    </row>
    <row r="2493" spans="1:12" ht="11.25" customHeight="1">
      <c r="A2493" s="39">
        <v>2225</v>
      </c>
      <c r="B2493" s="40" t="s">
        <v>15552</v>
      </c>
      <c r="C2493" s="40" t="s">
        <v>15553</v>
      </c>
      <c r="D2493" s="40" t="s">
        <v>15554</v>
      </c>
      <c r="E2493" s="41">
        <v>126.1</v>
      </c>
      <c r="F2493" s="40"/>
      <c r="G2493" s="41"/>
      <c r="H2493" s="40"/>
      <c r="I2493" s="41"/>
      <c r="J2493" s="41">
        <f t="shared" si="9"/>
        <v>126.1</v>
      </c>
      <c r="K2493" s="42" t="s">
        <v>5796</v>
      </c>
      <c r="L2493" s="39">
        <v>2225</v>
      </c>
    </row>
    <row r="2494" spans="1:12" ht="11.25" customHeight="1">
      <c r="A2494" s="39">
        <v>2226</v>
      </c>
      <c r="B2494" s="40" t="s">
        <v>7538</v>
      </c>
      <c r="C2494" s="40" t="s">
        <v>15555</v>
      </c>
      <c r="D2494" s="40" t="s">
        <v>15556</v>
      </c>
      <c r="E2494" s="41">
        <v>126.03</v>
      </c>
      <c r="F2494" s="40"/>
      <c r="G2494" s="41"/>
      <c r="H2494" s="40"/>
      <c r="I2494" s="41"/>
      <c r="J2494" s="41">
        <f t="shared" si="9"/>
        <v>126.03</v>
      </c>
      <c r="K2494" s="42" t="s">
        <v>5796</v>
      </c>
      <c r="L2494" s="39">
        <v>2226</v>
      </c>
    </row>
    <row r="2495" spans="1:12" ht="11.25" customHeight="1">
      <c r="A2495" s="39">
        <v>2227</v>
      </c>
      <c r="B2495" s="40" t="s">
        <v>15557</v>
      </c>
      <c r="C2495" s="40" t="s">
        <v>15558</v>
      </c>
      <c r="D2495" s="40" t="s">
        <v>15559</v>
      </c>
      <c r="E2495" s="41">
        <v>125.99</v>
      </c>
      <c r="F2495" s="40"/>
      <c r="G2495" s="41"/>
      <c r="H2495" s="40"/>
      <c r="I2495" s="41"/>
      <c r="J2495" s="41">
        <f t="shared" si="9"/>
        <v>125.99</v>
      </c>
      <c r="K2495" s="42" t="s">
        <v>5796</v>
      </c>
      <c r="L2495" s="39">
        <v>2227</v>
      </c>
    </row>
    <row r="2496" spans="1:12" ht="11.25" customHeight="1">
      <c r="A2496" s="39">
        <v>2228</v>
      </c>
      <c r="B2496" s="40" t="s">
        <v>15560</v>
      </c>
      <c r="C2496" s="40" t="s">
        <v>15561</v>
      </c>
      <c r="D2496" s="40" t="s">
        <v>15562</v>
      </c>
      <c r="E2496" s="41">
        <v>125.53</v>
      </c>
      <c r="F2496" s="40"/>
      <c r="G2496" s="41"/>
      <c r="H2496" s="40"/>
      <c r="I2496" s="41"/>
      <c r="J2496" s="41">
        <f t="shared" si="9"/>
        <v>125.53</v>
      </c>
      <c r="K2496" s="42" t="s">
        <v>5796</v>
      </c>
      <c r="L2496" s="39">
        <v>2228</v>
      </c>
    </row>
    <row r="2497" spans="1:12" ht="11.25" customHeight="1">
      <c r="A2497" s="39">
        <v>2229</v>
      </c>
      <c r="B2497" s="40" t="s">
        <v>7762</v>
      </c>
      <c r="C2497" s="40" t="s">
        <v>15563</v>
      </c>
      <c r="D2497" s="40" t="s">
        <v>15564</v>
      </c>
      <c r="E2497" s="41">
        <v>124.94</v>
      </c>
      <c r="F2497" s="40"/>
      <c r="G2497" s="41"/>
      <c r="H2497" s="40"/>
      <c r="I2497" s="41"/>
      <c r="J2497" s="41">
        <f t="shared" si="9"/>
        <v>124.94</v>
      </c>
      <c r="K2497" s="42" t="s">
        <v>5796</v>
      </c>
      <c r="L2497" s="39">
        <v>2229</v>
      </c>
    </row>
    <row r="2498" spans="1:12" ht="11.25" customHeight="1">
      <c r="A2498" s="39">
        <v>2231</v>
      </c>
      <c r="B2498" s="40" t="s">
        <v>15565</v>
      </c>
      <c r="C2498" s="40" t="s">
        <v>15566</v>
      </c>
      <c r="D2498" s="40" t="s">
        <v>15567</v>
      </c>
      <c r="E2498" s="41">
        <v>124.62</v>
      </c>
      <c r="F2498" s="40"/>
      <c r="G2498" s="41"/>
      <c r="H2498" s="40"/>
      <c r="I2498" s="41"/>
      <c r="J2498" s="41">
        <f t="shared" si="9"/>
        <v>124.62</v>
      </c>
      <c r="K2498" s="42" t="s">
        <v>5796</v>
      </c>
      <c r="L2498" s="39">
        <v>2231</v>
      </c>
    </row>
    <row r="2499" spans="1:12" ht="11.25" customHeight="1">
      <c r="A2499" s="39">
        <v>2232</v>
      </c>
      <c r="B2499" s="40" t="s">
        <v>7733</v>
      </c>
      <c r="C2499" s="40" t="s">
        <v>15568</v>
      </c>
      <c r="D2499" s="40" t="s">
        <v>15569</v>
      </c>
      <c r="E2499" s="41">
        <v>124.56</v>
      </c>
      <c r="F2499" s="40"/>
      <c r="G2499" s="41"/>
      <c r="H2499" s="40"/>
      <c r="I2499" s="41"/>
      <c r="J2499" s="41">
        <f t="shared" si="9"/>
        <v>124.56</v>
      </c>
      <c r="K2499" s="42" t="s">
        <v>5796</v>
      </c>
      <c r="L2499" s="39">
        <v>2232</v>
      </c>
    </row>
    <row r="2500" spans="1:12" ht="11.25" customHeight="1">
      <c r="A2500" s="39">
        <v>2233</v>
      </c>
      <c r="B2500" s="40" t="s">
        <v>15570</v>
      </c>
      <c r="C2500" s="40" t="s">
        <v>15571</v>
      </c>
      <c r="D2500" s="40" t="s">
        <v>15572</v>
      </c>
      <c r="E2500" s="41">
        <v>124.34</v>
      </c>
      <c r="F2500" s="40"/>
      <c r="G2500" s="41"/>
      <c r="H2500" s="40"/>
      <c r="I2500" s="41"/>
      <c r="J2500" s="41">
        <f t="shared" si="9"/>
        <v>124.34</v>
      </c>
      <c r="K2500" s="42" t="s">
        <v>5796</v>
      </c>
      <c r="L2500" s="39">
        <v>2233</v>
      </c>
    </row>
    <row r="2501" spans="1:12" ht="11.25" customHeight="1">
      <c r="A2501" s="39">
        <v>2235</v>
      </c>
      <c r="B2501" s="40" t="s">
        <v>15573</v>
      </c>
      <c r="C2501" s="40" t="s">
        <v>15574</v>
      </c>
      <c r="D2501" s="40" t="s">
        <v>15575</v>
      </c>
      <c r="E2501" s="41">
        <v>124.04</v>
      </c>
      <c r="F2501" s="40"/>
      <c r="G2501" s="41"/>
      <c r="H2501" s="40"/>
      <c r="I2501" s="41"/>
      <c r="J2501" s="41">
        <f t="shared" si="9"/>
        <v>124.04</v>
      </c>
      <c r="K2501" s="42" t="s">
        <v>5796</v>
      </c>
      <c r="L2501" s="39">
        <v>2235</v>
      </c>
    </row>
    <row r="2502" spans="1:12" ht="11.25" customHeight="1">
      <c r="A2502" s="39">
        <v>2236</v>
      </c>
      <c r="B2502" s="40" t="s">
        <v>15576</v>
      </c>
      <c r="C2502" s="40" t="s">
        <v>15577</v>
      </c>
      <c r="D2502" s="40" t="s">
        <v>15578</v>
      </c>
      <c r="E2502" s="41">
        <v>123.91</v>
      </c>
      <c r="F2502" s="40"/>
      <c r="G2502" s="41"/>
      <c r="H2502" s="40"/>
      <c r="I2502" s="41"/>
      <c r="J2502" s="41">
        <f t="shared" si="9"/>
        <v>123.91</v>
      </c>
      <c r="K2502" s="42" t="s">
        <v>5796</v>
      </c>
      <c r="L2502" s="39">
        <v>2236</v>
      </c>
    </row>
    <row r="2503" spans="1:12" ht="11.25" customHeight="1">
      <c r="A2503" s="39">
        <v>2237</v>
      </c>
      <c r="B2503" s="40" t="s">
        <v>15579</v>
      </c>
      <c r="C2503" s="40" t="s">
        <v>15580</v>
      </c>
      <c r="D2503" s="40" t="s">
        <v>15581</v>
      </c>
      <c r="E2503" s="41">
        <v>123.88</v>
      </c>
      <c r="F2503" s="40"/>
      <c r="G2503" s="41"/>
      <c r="H2503" s="40"/>
      <c r="I2503" s="41"/>
      <c r="J2503" s="41">
        <f t="shared" si="9"/>
        <v>123.88</v>
      </c>
      <c r="K2503" s="42" t="s">
        <v>5796</v>
      </c>
      <c r="L2503" s="39">
        <v>2237</v>
      </c>
    </row>
    <row r="2504" spans="1:12" ht="11.25" customHeight="1">
      <c r="A2504" s="39">
        <v>2238</v>
      </c>
      <c r="B2504" s="40" t="s">
        <v>15582</v>
      </c>
      <c r="C2504" s="40" t="s">
        <v>15583</v>
      </c>
      <c r="D2504" s="40" t="s">
        <v>15584</v>
      </c>
      <c r="E2504" s="41">
        <v>123.62</v>
      </c>
      <c r="F2504" s="40"/>
      <c r="G2504" s="41"/>
      <c r="H2504" s="40"/>
      <c r="I2504" s="41"/>
      <c r="J2504" s="41">
        <f t="shared" si="9"/>
        <v>123.62</v>
      </c>
      <c r="K2504" s="42" t="s">
        <v>5796</v>
      </c>
      <c r="L2504" s="39">
        <v>2238</v>
      </c>
    </row>
    <row r="2505" spans="1:12" ht="11.25" customHeight="1">
      <c r="A2505" s="39">
        <v>2240</v>
      </c>
      <c r="B2505" s="40" t="s">
        <v>15585</v>
      </c>
      <c r="C2505" s="40" t="s">
        <v>15586</v>
      </c>
      <c r="D2505" s="40" t="s">
        <v>15587</v>
      </c>
      <c r="E2505" s="41">
        <v>123.36</v>
      </c>
      <c r="F2505" s="40"/>
      <c r="G2505" s="41"/>
      <c r="H2505" s="40"/>
      <c r="I2505" s="41"/>
      <c r="J2505" s="41">
        <f t="shared" si="9"/>
        <v>123.36</v>
      </c>
      <c r="K2505" s="42" t="s">
        <v>5796</v>
      </c>
      <c r="L2505" s="39">
        <v>2240</v>
      </c>
    </row>
    <row r="2506" spans="1:12" ht="11.25" customHeight="1">
      <c r="A2506" s="39">
        <v>2242</v>
      </c>
      <c r="B2506" s="40" t="s">
        <v>15588</v>
      </c>
      <c r="C2506" s="40" t="s">
        <v>15589</v>
      </c>
      <c r="D2506" s="40" t="s">
        <v>15590</v>
      </c>
      <c r="E2506" s="41">
        <v>123.24</v>
      </c>
      <c r="F2506" s="40"/>
      <c r="G2506" s="41"/>
      <c r="H2506" s="40"/>
      <c r="I2506" s="41"/>
      <c r="J2506" s="41">
        <f t="shared" si="9"/>
        <v>123.24</v>
      </c>
      <c r="K2506" s="42" t="s">
        <v>5796</v>
      </c>
      <c r="L2506" s="39">
        <v>2242</v>
      </c>
    </row>
    <row r="2507" spans="1:12" ht="11.25" customHeight="1">
      <c r="A2507" s="39">
        <v>2245</v>
      </c>
      <c r="B2507" s="40" t="s">
        <v>15591</v>
      </c>
      <c r="C2507" s="40" t="s">
        <v>15592</v>
      </c>
      <c r="D2507" s="40" t="s">
        <v>15593</v>
      </c>
      <c r="E2507" s="41">
        <v>122.52</v>
      </c>
      <c r="F2507" s="40"/>
      <c r="G2507" s="41"/>
      <c r="H2507" s="40"/>
      <c r="I2507" s="41"/>
      <c r="J2507" s="41">
        <f t="shared" si="9"/>
        <v>122.52</v>
      </c>
      <c r="K2507" s="42" t="s">
        <v>5796</v>
      </c>
      <c r="L2507" s="39">
        <v>2245</v>
      </c>
    </row>
    <row r="2508" spans="1:12" ht="11.25" customHeight="1">
      <c r="A2508" s="39">
        <v>2246</v>
      </c>
      <c r="B2508" s="40" t="s">
        <v>15594</v>
      </c>
      <c r="C2508" s="40" t="s">
        <v>15595</v>
      </c>
      <c r="D2508" s="40" t="s">
        <v>15596</v>
      </c>
      <c r="E2508" s="41">
        <v>122.46</v>
      </c>
      <c r="F2508" s="40"/>
      <c r="G2508" s="41"/>
      <c r="H2508" s="40"/>
      <c r="I2508" s="41"/>
      <c r="J2508" s="41">
        <f t="shared" si="9"/>
        <v>122.46</v>
      </c>
      <c r="K2508" s="42" t="s">
        <v>5796</v>
      </c>
      <c r="L2508" s="39">
        <v>2246</v>
      </c>
    </row>
    <row r="2509" spans="1:12" ht="11.25" customHeight="1">
      <c r="A2509" s="39">
        <v>2247</v>
      </c>
      <c r="B2509" s="40" t="s">
        <v>15597</v>
      </c>
      <c r="C2509" s="40" t="s">
        <v>15598</v>
      </c>
      <c r="D2509" s="40" t="s">
        <v>15599</v>
      </c>
      <c r="E2509" s="41">
        <v>122.4</v>
      </c>
      <c r="F2509" s="40"/>
      <c r="G2509" s="41"/>
      <c r="H2509" s="40"/>
      <c r="I2509" s="41"/>
      <c r="J2509" s="41">
        <f t="shared" si="9"/>
        <v>122.4</v>
      </c>
      <c r="K2509" s="42" t="s">
        <v>5796</v>
      </c>
      <c r="L2509" s="39">
        <v>2247</v>
      </c>
    </row>
    <row r="2510" spans="1:12" ht="11.25" customHeight="1">
      <c r="A2510" s="39">
        <v>2250</v>
      </c>
      <c r="B2510" s="40" t="s">
        <v>15600</v>
      </c>
      <c r="C2510" s="40" t="s">
        <v>15601</v>
      </c>
      <c r="D2510" s="40" t="s">
        <v>15602</v>
      </c>
      <c r="E2510" s="41">
        <v>121.93</v>
      </c>
      <c r="F2510" s="40"/>
      <c r="G2510" s="41"/>
      <c r="H2510" s="40"/>
      <c r="I2510" s="41"/>
      <c r="J2510" s="41">
        <f t="shared" si="9"/>
        <v>121.93</v>
      </c>
      <c r="K2510" s="42" t="s">
        <v>5796</v>
      </c>
      <c r="L2510" s="39">
        <v>2250</v>
      </c>
    </row>
    <row r="2511" spans="1:12" ht="11.25" customHeight="1">
      <c r="A2511" s="39">
        <v>2251</v>
      </c>
      <c r="B2511" s="40" t="s">
        <v>15603</v>
      </c>
      <c r="C2511" s="40" t="s">
        <v>15604</v>
      </c>
      <c r="D2511" s="40" t="s">
        <v>15605</v>
      </c>
      <c r="E2511" s="41">
        <v>121.74</v>
      </c>
      <c r="F2511" s="40"/>
      <c r="G2511" s="41"/>
      <c r="H2511" s="40"/>
      <c r="I2511" s="41"/>
      <c r="J2511" s="41">
        <f t="shared" si="9"/>
        <v>121.74</v>
      </c>
      <c r="K2511" s="42" t="s">
        <v>5796</v>
      </c>
      <c r="L2511" s="39">
        <v>2251</v>
      </c>
    </row>
    <row r="2512" spans="1:12" ht="11.25" customHeight="1">
      <c r="A2512" s="39">
        <v>2252</v>
      </c>
      <c r="B2512" s="40" t="s">
        <v>15606</v>
      </c>
      <c r="C2512" s="40" t="s">
        <v>15607</v>
      </c>
      <c r="D2512" s="40" t="s">
        <v>15608</v>
      </c>
      <c r="E2512" s="41">
        <v>121.37</v>
      </c>
      <c r="F2512" s="40"/>
      <c r="G2512" s="41"/>
      <c r="H2512" s="40"/>
      <c r="I2512" s="41"/>
      <c r="J2512" s="41">
        <f t="shared" si="9"/>
        <v>121.37</v>
      </c>
      <c r="K2512" s="42" t="s">
        <v>5796</v>
      </c>
      <c r="L2512" s="39">
        <v>2252</v>
      </c>
    </row>
    <row r="2513" spans="1:12" ht="11.25" customHeight="1">
      <c r="A2513" s="39">
        <v>2253</v>
      </c>
      <c r="B2513" s="40" t="s">
        <v>15609</v>
      </c>
      <c r="C2513" s="40" t="s">
        <v>15610</v>
      </c>
      <c r="D2513" s="40" t="s">
        <v>15611</v>
      </c>
      <c r="E2513" s="41">
        <v>121.19</v>
      </c>
      <c r="F2513" s="40"/>
      <c r="G2513" s="41"/>
      <c r="H2513" s="40"/>
      <c r="I2513" s="41"/>
      <c r="J2513" s="41">
        <f t="shared" si="9"/>
        <v>121.19</v>
      </c>
      <c r="K2513" s="42" t="s">
        <v>5796</v>
      </c>
      <c r="L2513" s="39">
        <v>2253</v>
      </c>
    </row>
    <row r="2514" spans="1:12" ht="11.25" customHeight="1">
      <c r="A2514" s="39">
        <v>2254</v>
      </c>
      <c r="B2514" s="40" t="s">
        <v>15612</v>
      </c>
      <c r="C2514" s="40" t="s">
        <v>15613</v>
      </c>
      <c r="D2514" s="40" t="s">
        <v>15614</v>
      </c>
      <c r="E2514" s="41">
        <v>121.18</v>
      </c>
      <c r="F2514" s="40"/>
      <c r="G2514" s="41"/>
      <c r="H2514" s="40"/>
      <c r="I2514" s="41"/>
      <c r="J2514" s="41">
        <f t="shared" si="9"/>
        <v>121.18</v>
      </c>
      <c r="K2514" s="42" t="s">
        <v>5796</v>
      </c>
      <c r="L2514" s="39">
        <v>2254</v>
      </c>
    </row>
    <row r="2515" spans="1:12" ht="11.25" customHeight="1">
      <c r="A2515" s="39">
        <v>2255</v>
      </c>
      <c r="B2515" s="40" t="s">
        <v>7536</v>
      </c>
      <c r="C2515" s="40" t="s">
        <v>15615</v>
      </c>
      <c r="D2515" s="40" t="s">
        <v>15616</v>
      </c>
      <c r="E2515" s="41">
        <v>120.91</v>
      </c>
      <c r="F2515" s="40"/>
      <c r="G2515" s="41"/>
      <c r="H2515" s="40"/>
      <c r="I2515" s="41"/>
      <c r="J2515" s="41">
        <f t="shared" si="9"/>
        <v>120.91</v>
      </c>
      <c r="K2515" s="42" t="s">
        <v>5796</v>
      </c>
      <c r="L2515" s="39">
        <v>2255</v>
      </c>
    </row>
    <row r="2516" spans="1:12" ht="11.25" customHeight="1">
      <c r="A2516" s="39">
        <v>2260</v>
      </c>
      <c r="B2516" s="40" t="s">
        <v>7933</v>
      </c>
      <c r="C2516" s="40" t="s">
        <v>15617</v>
      </c>
      <c r="D2516" s="40" t="s">
        <v>15618</v>
      </c>
      <c r="E2516" s="41">
        <v>119.56</v>
      </c>
      <c r="F2516" s="40"/>
      <c r="G2516" s="41"/>
      <c r="H2516" s="40"/>
      <c r="I2516" s="41"/>
      <c r="J2516" s="41">
        <f t="shared" si="9"/>
        <v>119.56</v>
      </c>
      <c r="K2516" s="42" t="s">
        <v>5796</v>
      </c>
      <c r="L2516" s="39">
        <v>2260</v>
      </c>
    </row>
    <row r="2517" spans="1:12" ht="11.25" customHeight="1">
      <c r="A2517" s="39">
        <v>2261</v>
      </c>
      <c r="B2517" s="40" t="s">
        <v>7590</v>
      </c>
      <c r="C2517" s="40" t="s">
        <v>15619</v>
      </c>
      <c r="D2517" s="40" t="s">
        <v>15620</v>
      </c>
      <c r="E2517" s="41">
        <v>119.43</v>
      </c>
      <c r="F2517" s="40"/>
      <c r="G2517" s="41"/>
      <c r="H2517" s="40"/>
      <c r="I2517" s="41"/>
      <c r="J2517" s="41">
        <f t="shared" si="9"/>
        <v>119.43</v>
      </c>
      <c r="K2517" s="42" t="s">
        <v>5796</v>
      </c>
      <c r="L2517" s="39">
        <v>2261</v>
      </c>
    </row>
    <row r="2518" spans="1:12" ht="11.25" customHeight="1">
      <c r="A2518" s="39">
        <v>2263</v>
      </c>
      <c r="B2518" s="40" t="s">
        <v>15621</v>
      </c>
      <c r="C2518" s="40" t="s">
        <v>15622</v>
      </c>
      <c r="D2518" s="40" t="s">
        <v>15623</v>
      </c>
      <c r="E2518" s="41">
        <v>119.08</v>
      </c>
      <c r="F2518" s="40"/>
      <c r="G2518" s="41"/>
      <c r="H2518" s="40"/>
      <c r="I2518" s="41"/>
      <c r="J2518" s="41">
        <f t="shared" si="9"/>
        <v>119.08</v>
      </c>
      <c r="K2518" s="42" t="s">
        <v>5796</v>
      </c>
      <c r="L2518" s="39">
        <v>2263</v>
      </c>
    </row>
    <row r="2519" spans="1:12" ht="11.25" customHeight="1">
      <c r="A2519" s="39">
        <v>2265</v>
      </c>
      <c r="B2519" s="40" t="s">
        <v>15624</v>
      </c>
      <c r="C2519" s="40" t="s">
        <v>15625</v>
      </c>
      <c r="D2519" s="40" t="s">
        <v>15626</v>
      </c>
      <c r="E2519" s="41">
        <v>118.5</v>
      </c>
      <c r="F2519" s="40"/>
      <c r="G2519" s="41"/>
      <c r="H2519" s="40"/>
      <c r="I2519" s="41"/>
      <c r="J2519" s="41">
        <f t="shared" si="9"/>
        <v>118.5</v>
      </c>
      <c r="K2519" s="42" t="s">
        <v>5796</v>
      </c>
      <c r="L2519" s="39">
        <v>2265</v>
      </c>
    </row>
    <row r="2520" spans="1:12" ht="11.25" customHeight="1">
      <c r="A2520" s="39">
        <v>2266</v>
      </c>
      <c r="B2520" s="40" t="s">
        <v>15627</v>
      </c>
      <c r="C2520" s="40" t="s">
        <v>15628</v>
      </c>
      <c r="D2520" s="40" t="s">
        <v>15629</v>
      </c>
      <c r="E2520" s="41">
        <v>118.36</v>
      </c>
      <c r="F2520" s="40"/>
      <c r="G2520" s="41"/>
      <c r="H2520" s="40"/>
      <c r="I2520" s="41"/>
      <c r="J2520" s="41">
        <f t="shared" si="9"/>
        <v>118.36</v>
      </c>
      <c r="K2520" s="42" t="s">
        <v>5796</v>
      </c>
      <c r="L2520" s="39">
        <v>2266</v>
      </c>
    </row>
    <row r="2521" spans="1:12" ht="11.25" customHeight="1">
      <c r="A2521" s="39">
        <v>2267</v>
      </c>
      <c r="B2521" s="40" t="s">
        <v>7626</v>
      </c>
      <c r="C2521" s="40" t="s">
        <v>15630</v>
      </c>
      <c r="D2521" s="40" t="s">
        <v>15631</v>
      </c>
      <c r="E2521" s="41">
        <v>118.3</v>
      </c>
      <c r="F2521" s="40"/>
      <c r="G2521" s="41"/>
      <c r="H2521" s="40"/>
      <c r="I2521" s="41"/>
      <c r="J2521" s="41">
        <f t="shared" si="9"/>
        <v>118.3</v>
      </c>
      <c r="K2521" s="42" t="s">
        <v>5796</v>
      </c>
      <c r="L2521" s="39">
        <v>2267</v>
      </c>
    </row>
    <row r="2522" spans="1:12" ht="11.25" customHeight="1">
      <c r="A2522" s="39">
        <v>2268</v>
      </c>
      <c r="B2522" s="40" t="s">
        <v>15632</v>
      </c>
      <c r="C2522" s="40" t="s">
        <v>15633</v>
      </c>
      <c r="D2522" s="40" t="s">
        <v>15634</v>
      </c>
      <c r="E2522" s="41">
        <v>118.18</v>
      </c>
      <c r="F2522" s="40"/>
      <c r="G2522" s="41"/>
      <c r="H2522" s="40"/>
      <c r="I2522" s="41"/>
      <c r="J2522" s="41">
        <f t="shared" si="9"/>
        <v>118.18</v>
      </c>
      <c r="K2522" s="42" t="s">
        <v>5796</v>
      </c>
      <c r="L2522" s="39">
        <v>2268</v>
      </c>
    </row>
    <row r="2523" spans="1:12" ht="11.25" customHeight="1">
      <c r="A2523" s="39">
        <v>2269</v>
      </c>
      <c r="B2523" s="40" t="s">
        <v>15635</v>
      </c>
      <c r="C2523" s="40" t="s">
        <v>15636</v>
      </c>
      <c r="D2523" s="40" t="s">
        <v>15637</v>
      </c>
      <c r="E2523" s="41">
        <v>118.05</v>
      </c>
      <c r="F2523" s="40"/>
      <c r="G2523" s="41"/>
      <c r="H2523" s="40"/>
      <c r="I2523" s="41"/>
      <c r="J2523" s="41">
        <f t="shared" si="9"/>
        <v>118.05</v>
      </c>
      <c r="K2523" s="42" t="s">
        <v>5796</v>
      </c>
      <c r="L2523" s="39">
        <v>2269</v>
      </c>
    </row>
    <row r="2524" spans="1:12" ht="11.25" customHeight="1">
      <c r="A2524" s="39">
        <v>2270</v>
      </c>
      <c r="B2524" s="40" t="s">
        <v>15638</v>
      </c>
      <c r="C2524" s="40" t="s">
        <v>15639</v>
      </c>
      <c r="D2524" s="40" t="s">
        <v>15640</v>
      </c>
      <c r="E2524" s="41">
        <v>117.76</v>
      </c>
      <c r="F2524" s="40"/>
      <c r="G2524" s="41"/>
      <c r="H2524" s="40"/>
      <c r="I2524" s="41"/>
      <c r="J2524" s="41">
        <f t="shared" si="9"/>
        <v>117.76</v>
      </c>
      <c r="K2524" s="42" t="s">
        <v>5796</v>
      </c>
      <c r="L2524" s="39">
        <v>2270</v>
      </c>
    </row>
    <row r="2525" spans="1:12" ht="11.25" customHeight="1">
      <c r="A2525" s="39">
        <v>2272</v>
      </c>
      <c r="B2525" s="40" t="s">
        <v>7707</v>
      </c>
      <c r="C2525" s="40" t="s">
        <v>15641</v>
      </c>
      <c r="D2525" s="40" t="s">
        <v>15642</v>
      </c>
      <c r="E2525" s="41">
        <v>116.9</v>
      </c>
      <c r="F2525" s="40"/>
      <c r="G2525" s="41"/>
      <c r="H2525" s="40"/>
      <c r="I2525" s="41"/>
      <c r="J2525" s="41">
        <f t="shared" si="9"/>
        <v>116.9</v>
      </c>
      <c r="K2525" s="42" t="s">
        <v>5796</v>
      </c>
      <c r="L2525" s="39">
        <v>2272</v>
      </c>
    </row>
    <row r="2526" spans="1:12" ht="11.25" customHeight="1">
      <c r="A2526" s="39">
        <v>2273</v>
      </c>
      <c r="B2526" s="40" t="s">
        <v>15643</v>
      </c>
      <c r="C2526" s="40" t="s">
        <v>15644</v>
      </c>
      <c r="D2526" s="40" t="s">
        <v>15645</v>
      </c>
      <c r="E2526" s="41">
        <v>116.4</v>
      </c>
      <c r="F2526" s="40"/>
      <c r="G2526" s="41"/>
      <c r="H2526" s="40"/>
      <c r="I2526" s="41"/>
      <c r="J2526" s="41">
        <f t="shared" si="9"/>
        <v>116.4</v>
      </c>
      <c r="K2526" s="42" t="s">
        <v>5796</v>
      </c>
      <c r="L2526" s="39">
        <v>2273</v>
      </c>
    </row>
    <row r="2527" spans="1:12" ht="11.25" customHeight="1">
      <c r="A2527" s="39">
        <v>2275</v>
      </c>
      <c r="B2527" s="40" t="s">
        <v>15646</v>
      </c>
      <c r="C2527" s="40" t="s">
        <v>15647</v>
      </c>
      <c r="D2527" s="40" t="s">
        <v>15648</v>
      </c>
      <c r="E2527" s="41">
        <v>115.75</v>
      </c>
      <c r="F2527" s="40"/>
      <c r="G2527" s="41"/>
      <c r="H2527" s="40"/>
      <c r="I2527" s="41"/>
      <c r="J2527" s="41">
        <f t="shared" si="9"/>
        <v>115.75</v>
      </c>
      <c r="K2527" s="42" t="s">
        <v>5796</v>
      </c>
      <c r="L2527" s="39">
        <v>2275</v>
      </c>
    </row>
    <row r="2528" spans="1:12" ht="11.25" customHeight="1">
      <c r="A2528" s="39">
        <v>2276</v>
      </c>
      <c r="B2528" s="40" t="s">
        <v>15649</v>
      </c>
      <c r="C2528" s="40" t="s">
        <v>15650</v>
      </c>
      <c r="D2528" s="40" t="s">
        <v>15651</v>
      </c>
      <c r="E2528" s="41">
        <v>115.65</v>
      </c>
      <c r="F2528" s="40"/>
      <c r="G2528" s="41"/>
      <c r="H2528" s="40"/>
      <c r="I2528" s="41"/>
      <c r="J2528" s="41">
        <f t="shared" si="9"/>
        <v>115.65</v>
      </c>
      <c r="K2528" s="42" t="s">
        <v>5796</v>
      </c>
      <c r="L2528" s="39">
        <v>2276</v>
      </c>
    </row>
    <row r="2529" spans="1:12" ht="11.25" customHeight="1">
      <c r="A2529" s="39">
        <v>2278</v>
      </c>
      <c r="B2529" s="40" t="s">
        <v>8039</v>
      </c>
      <c r="C2529" s="40" t="s">
        <v>15652</v>
      </c>
      <c r="D2529" s="40" t="s">
        <v>15653</v>
      </c>
      <c r="E2529" s="41">
        <v>115.45</v>
      </c>
      <c r="F2529" s="40"/>
      <c r="G2529" s="41"/>
      <c r="H2529" s="40"/>
      <c r="I2529" s="41"/>
      <c r="J2529" s="41">
        <f t="shared" si="9"/>
        <v>115.45</v>
      </c>
      <c r="K2529" s="42" t="s">
        <v>5796</v>
      </c>
      <c r="L2529" s="39">
        <v>2278</v>
      </c>
    </row>
    <row r="2530" spans="1:12" ht="11.25" customHeight="1">
      <c r="A2530" s="39">
        <v>2281</v>
      </c>
      <c r="B2530" s="40" t="s">
        <v>15654</v>
      </c>
      <c r="C2530" s="40" t="s">
        <v>15655</v>
      </c>
      <c r="D2530" s="40" t="s">
        <v>15656</v>
      </c>
      <c r="E2530" s="41">
        <v>115.12</v>
      </c>
      <c r="F2530" s="40"/>
      <c r="G2530" s="41"/>
      <c r="H2530" s="40"/>
      <c r="I2530" s="41"/>
      <c r="J2530" s="41">
        <f t="shared" si="9"/>
        <v>115.12</v>
      </c>
      <c r="K2530" s="42" t="s">
        <v>5796</v>
      </c>
      <c r="L2530" s="39">
        <v>2281</v>
      </c>
    </row>
    <row r="2531" spans="1:12" ht="11.25" customHeight="1">
      <c r="A2531" s="39">
        <v>2282</v>
      </c>
      <c r="B2531" s="40" t="s">
        <v>15657</v>
      </c>
      <c r="C2531" s="40" t="s">
        <v>15658</v>
      </c>
      <c r="D2531" s="40" t="s">
        <v>15659</v>
      </c>
      <c r="E2531" s="41">
        <v>115.04</v>
      </c>
      <c r="F2531" s="40"/>
      <c r="G2531" s="41"/>
      <c r="H2531" s="40"/>
      <c r="I2531" s="41"/>
      <c r="J2531" s="41">
        <f t="shared" si="9"/>
        <v>115.04</v>
      </c>
      <c r="K2531" s="42" t="s">
        <v>5796</v>
      </c>
      <c r="L2531" s="39">
        <v>2282</v>
      </c>
    </row>
    <row r="2532" spans="1:12" ht="11.25" customHeight="1">
      <c r="A2532" s="39">
        <v>2284</v>
      </c>
      <c r="B2532" s="40" t="s">
        <v>15660</v>
      </c>
      <c r="C2532" s="40" t="s">
        <v>15661</v>
      </c>
      <c r="D2532" s="40" t="s">
        <v>15662</v>
      </c>
      <c r="E2532" s="41">
        <v>114.8</v>
      </c>
      <c r="F2532" s="40"/>
      <c r="G2532" s="41"/>
      <c r="H2532" s="40"/>
      <c r="I2532" s="41"/>
      <c r="J2532" s="41">
        <f t="shared" si="9"/>
        <v>114.8</v>
      </c>
      <c r="K2532" s="42" t="s">
        <v>5796</v>
      </c>
      <c r="L2532" s="39">
        <v>2284</v>
      </c>
    </row>
    <row r="2533" spans="1:12" ht="11.25" customHeight="1">
      <c r="A2533" s="39">
        <v>2286</v>
      </c>
      <c r="B2533" s="40" t="s">
        <v>15663</v>
      </c>
      <c r="C2533" s="40" t="s">
        <v>15664</v>
      </c>
      <c r="D2533" s="40" t="s">
        <v>15665</v>
      </c>
      <c r="E2533" s="41">
        <v>114.71</v>
      </c>
      <c r="F2533" s="40"/>
      <c r="G2533" s="41"/>
      <c r="H2533" s="40"/>
      <c r="I2533" s="41"/>
      <c r="J2533" s="41">
        <f t="shared" si="9"/>
        <v>114.71</v>
      </c>
      <c r="K2533" s="42" t="s">
        <v>5796</v>
      </c>
      <c r="L2533" s="39">
        <v>2286</v>
      </c>
    </row>
    <row r="2534" spans="1:12" ht="11.25" customHeight="1">
      <c r="A2534" s="39">
        <v>2287</v>
      </c>
      <c r="B2534" s="40" t="s">
        <v>15666</v>
      </c>
      <c r="C2534" s="40" t="s">
        <v>15667</v>
      </c>
      <c r="D2534" s="40" t="s">
        <v>15668</v>
      </c>
      <c r="E2534" s="41">
        <v>114.43</v>
      </c>
      <c r="F2534" s="40"/>
      <c r="G2534" s="41"/>
      <c r="H2534" s="40"/>
      <c r="I2534" s="41"/>
      <c r="J2534" s="41">
        <f t="shared" si="9"/>
        <v>114.43</v>
      </c>
      <c r="K2534" s="42" t="s">
        <v>5796</v>
      </c>
      <c r="L2534" s="39">
        <v>2287</v>
      </c>
    </row>
    <row r="2535" spans="1:12" ht="11.25" customHeight="1">
      <c r="A2535" s="39">
        <v>2289</v>
      </c>
      <c r="B2535" s="40" t="s">
        <v>15669</v>
      </c>
      <c r="C2535" s="40" t="s">
        <v>15670</v>
      </c>
      <c r="D2535" s="40" t="s">
        <v>15671</v>
      </c>
      <c r="E2535" s="41">
        <v>113.35</v>
      </c>
      <c r="F2535" s="40"/>
      <c r="G2535" s="41"/>
      <c r="H2535" s="40"/>
      <c r="I2535" s="41"/>
      <c r="J2535" s="41">
        <f t="shared" si="9"/>
        <v>113.35</v>
      </c>
      <c r="K2535" s="42" t="s">
        <v>5796</v>
      </c>
      <c r="L2535" s="39">
        <v>2289</v>
      </c>
    </row>
    <row r="2536" spans="1:12" ht="11.25" customHeight="1">
      <c r="A2536" s="39">
        <v>2290</v>
      </c>
      <c r="B2536" s="40" t="s">
        <v>15672</v>
      </c>
      <c r="C2536" s="40" t="s">
        <v>15673</v>
      </c>
      <c r="D2536" s="40" t="s">
        <v>15674</v>
      </c>
      <c r="E2536" s="41">
        <v>112.92</v>
      </c>
      <c r="F2536" s="40"/>
      <c r="G2536" s="41"/>
      <c r="H2536" s="40"/>
      <c r="I2536" s="41"/>
      <c r="J2536" s="41">
        <f t="shared" si="9"/>
        <v>112.92</v>
      </c>
      <c r="K2536" s="42" t="s">
        <v>5796</v>
      </c>
      <c r="L2536" s="39">
        <v>2290</v>
      </c>
    </row>
    <row r="2537" spans="1:12" ht="11.25" customHeight="1">
      <c r="A2537" s="39">
        <v>2291</v>
      </c>
      <c r="B2537" s="40" t="s">
        <v>15675</v>
      </c>
      <c r="C2537" s="40" t="s">
        <v>15676</v>
      </c>
      <c r="D2537" s="40" t="s">
        <v>15677</v>
      </c>
      <c r="E2537" s="41">
        <v>112.89</v>
      </c>
      <c r="F2537" s="40"/>
      <c r="G2537" s="41"/>
      <c r="H2537" s="40"/>
      <c r="I2537" s="41"/>
      <c r="J2537" s="41">
        <f t="shared" si="9"/>
        <v>112.89</v>
      </c>
      <c r="K2537" s="42" t="s">
        <v>5796</v>
      </c>
      <c r="L2537" s="39">
        <v>2291</v>
      </c>
    </row>
    <row r="2538" spans="1:12" ht="11.25" customHeight="1">
      <c r="A2538" s="39">
        <v>2294</v>
      </c>
      <c r="B2538" s="40" t="s">
        <v>15678</v>
      </c>
      <c r="C2538" s="40" t="s">
        <v>15679</v>
      </c>
      <c r="D2538" s="40" t="s">
        <v>15680</v>
      </c>
      <c r="E2538" s="41">
        <v>112.53</v>
      </c>
      <c r="F2538" s="40"/>
      <c r="G2538" s="41"/>
      <c r="H2538" s="40"/>
      <c r="I2538" s="41"/>
      <c r="J2538" s="41">
        <f t="shared" si="9"/>
        <v>112.53</v>
      </c>
      <c r="K2538" s="42" t="s">
        <v>5796</v>
      </c>
      <c r="L2538" s="39">
        <v>2294</v>
      </c>
    </row>
    <row r="2539" spans="1:12" ht="11.25" customHeight="1">
      <c r="A2539" s="39">
        <v>2299</v>
      </c>
      <c r="B2539" s="40" t="s">
        <v>15681</v>
      </c>
      <c r="C2539" s="40" t="s">
        <v>15682</v>
      </c>
      <c r="D2539" s="40" t="s">
        <v>15683</v>
      </c>
      <c r="E2539" s="41">
        <v>111.96</v>
      </c>
      <c r="F2539" s="40"/>
      <c r="G2539" s="41"/>
      <c r="H2539" s="40"/>
      <c r="I2539" s="41"/>
      <c r="J2539" s="41">
        <f t="shared" si="9"/>
        <v>111.96</v>
      </c>
      <c r="K2539" s="42" t="s">
        <v>5796</v>
      </c>
      <c r="L2539" s="39">
        <v>2299</v>
      </c>
    </row>
    <row r="2540" spans="1:12" ht="11.25" customHeight="1">
      <c r="A2540" s="39">
        <v>2300</v>
      </c>
      <c r="B2540" s="40" t="s">
        <v>15684</v>
      </c>
      <c r="C2540" s="40" t="s">
        <v>15685</v>
      </c>
      <c r="D2540" s="40" t="s">
        <v>15686</v>
      </c>
      <c r="E2540" s="41">
        <v>111.94</v>
      </c>
      <c r="F2540" s="40"/>
      <c r="G2540" s="41"/>
      <c r="H2540" s="40"/>
      <c r="I2540" s="41"/>
      <c r="J2540" s="41">
        <f t="shared" si="9"/>
        <v>111.94</v>
      </c>
      <c r="K2540" s="42" t="s">
        <v>5796</v>
      </c>
      <c r="L2540" s="39">
        <v>2300</v>
      </c>
    </row>
    <row r="2541" spans="1:12" ht="11.25" customHeight="1">
      <c r="A2541" s="39">
        <v>2301</v>
      </c>
      <c r="B2541" s="40" t="s">
        <v>15687</v>
      </c>
      <c r="C2541" s="40" t="s">
        <v>15688</v>
      </c>
      <c r="D2541" s="40" t="s">
        <v>15689</v>
      </c>
      <c r="E2541" s="41">
        <v>111.92</v>
      </c>
      <c r="F2541" s="40"/>
      <c r="G2541" s="41"/>
      <c r="H2541" s="40"/>
      <c r="I2541" s="41"/>
      <c r="J2541" s="41">
        <f t="shared" si="9"/>
        <v>111.92</v>
      </c>
      <c r="K2541" s="42" t="s">
        <v>5796</v>
      </c>
      <c r="L2541" s="39">
        <v>2301</v>
      </c>
    </row>
    <row r="2542" spans="1:12" ht="11.25" customHeight="1">
      <c r="A2542" s="39">
        <v>2303</v>
      </c>
      <c r="B2542" s="40" t="s">
        <v>15690</v>
      </c>
      <c r="C2542" s="40" t="s">
        <v>15691</v>
      </c>
      <c r="D2542" s="40" t="s">
        <v>15692</v>
      </c>
      <c r="E2542" s="41">
        <v>110.86</v>
      </c>
      <c r="F2542" s="40"/>
      <c r="G2542" s="41"/>
      <c r="H2542" s="40"/>
      <c r="I2542" s="41"/>
      <c r="J2542" s="41">
        <f t="shared" si="9"/>
        <v>110.86</v>
      </c>
      <c r="K2542" s="42" t="s">
        <v>5796</v>
      </c>
      <c r="L2542" s="39">
        <v>2303</v>
      </c>
    </row>
    <row r="2543" spans="1:12" ht="11.25" customHeight="1">
      <c r="A2543" s="39">
        <v>2304</v>
      </c>
      <c r="B2543" s="40" t="s">
        <v>15693</v>
      </c>
      <c r="C2543" s="40" t="s">
        <v>15694</v>
      </c>
      <c r="D2543" s="40" t="s">
        <v>15695</v>
      </c>
      <c r="E2543" s="41">
        <v>110.82</v>
      </c>
      <c r="F2543" s="40"/>
      <c r="G2543" s="41"/>
      <c r="H2543" s="40"/>
      <c r="I2543" s="41"/>
      <c r="J2543" s="41">
        <f t="shared" si="9"/>
        <v>110.82</v>
      </c>
      <c r="K2543" s="42" t="s">
        <v>5796</v>
      </c>
      <c r="L2543" s="39">
        <v>2304</v>
      </c>
    </row>
    <row r="2544" spans="1:12" ht="11.25" customHeight="1">
      <c r="A2544" s="39">
        <v>2305</v>
      </c>
      <c r="B2544" s="40" t="s">
        <v>7658</v>
      </c>
      <c r="C2544" s="40" t="s">
        <v>15696</v>
      </c>
      <c r="D2544" s="40" t="s">
        <v>15697</v>
      </c>
      <c r="E2544" s="41">
        <v>110.69</v>
      </c>
      <c r="F2544" s="40"/>
      <c r="G2544" s="41"/>
      <c r="H2544" s="40"/>
      <c r="I2544" s="41"/>
      <c r="J2544" s="41">
        <f t="shared" si="9"/>
        <v>110.69</v>
      </c>
      <c r="K2544" s="42" t="s">
        <v>5796</v>
      </c>
      <c r="L2544" s="39">
        <v>2305</v>
      </c>
    </row>
    <row r="2545" spans="1:12" ht="11.25" customHeight="1">
      <c r="A2545" s="39">
        <v>2307</v>
      </c>
      <c r="B2545" s="40" t="s">
        <v>15698</v>
      </c>
      <c r="C2545" s="40" t="s">
        <v>15699</v>
      </c>
      <c r="D2545" s="40" t="s">
        <v>15700</v>
      </c>
      <c r="E2545" s="41">
        <v>110.53</v>
      </c>
      <c r="F2545" s="40"/>
      <c r="G2545" s="41"/>
      <c r="H2545" s="40"/>
      <c r="I2545" s="41"/>
      <c r="J2545" s="41">
        <f t="shared" si="9"/>
        <v>110.53</v>
      </c>
      <c r="K2545" s="42" t="s">
        <v>5796</v>
      </c>
      <c r="L2545" s="39">
        <v>2307</v>
      </c>
    </row>
    <row r="2546" spans="1:12" ht="11.25" customHeight="1">
      <c r="A2546" s="39">
        <v>2308</v>
      </c>
      <c r="B2546" s="40" t="s">
        <v>15701</v>
      </c>
      <c r="C2546" s="40" t="s">
        <v>15702</v>
      </c>
      <c r="D2546" s="40" t="s">
        <v>15703</v>
      </c>
      <c r="E2546" s="41">
        <v>110.47</v>
      </c>
      <c r="F2546" s="40"/>
      <c r="G2546" s="41"/>
      <c r="H2546" s="40"/>
      <c r="I2546" s="41"/>
      <c r="J2546" s="41">
        <f t="shared" si="9"/>
        <v>110.47</v>
      </c>
      <c r="K2546" s="42" t="s">
        <v>5796</v>
      </c>
      <c r="L2546" s="39">
        <v>2308</v>
      </c>
    </row>
    <row r="2547" spans="1:12" ht="11.25" customHeight="1">
      <c r="A2547" s="39">
        <v>2311</v>
      </c>
      <c r="B2547" s="40" t="s">
        <v>15704</v>
      </c>
      <c r="C2547" s="40" t="s">
        <v>15705</v>
      </c>
      <c r="D2547" s="40" t="s">
        <v>15706</v>
      </c>
      <c r="E2547" s="41">
        <v>109.75</v>
      </c>
      <c r="F2547" s="40"/>
      <c r="G2547" s="41"/>
      <c r="H2547" s="40"/>
      <c r="I2547" s="41"/>
      <c r="J2547" s="41">
        <f t="shared" si="9"/>
        <v>109.75</v>
      </c>
      <c r="K2547" s="42" t="s">
        <v>5796</v>
      </c>
      <c r="L2547" s="39">
        <v>2311</v>
      </c>
    </row>
    <row r="2548" spans="1:12" ht="11.25" customHeight="1">
      <c r="A2548" s="39">
        <v>2312</v>
      </c>
      <c r="B2548" s="40" t="s">
        <v>15707</v>
      </c>
      <c r="C2548" s="40" t="s">
        <v>15708</v>
      </c>
      <c r="D2548" s="40" t="s">
        <v>15709</v>
      </c>
      <c r="E2548" s="41">
        <v>109.65</v>
      </c>
      <c r="F2548" s="40"/>
      <c r="G2548" s="41"/>
      <c r="H2548" s="40"/>
      <c r="I2548" s="41"/>
      <c r="J2548" s="41">
        <f t="shared" si="9"/>
        <v>109.65</v>
      </c>
      <c r="K2548" s="42" t="s">
        <v>5796</v>
      </c>
      <c r="L2548" s="39">
        <v>2312</v>
      </c>
    </row>
    <row r="2549" spans="1:12" ht="11.25" customHeight="1">
      <c r="A2549" s="39">
        <v>2313</v>
      </c>
      <c r="B2549" s="40" t="s">
        <v>15710</v>
      </c>
      <c r="C2549" s="40" t="s">
        <v>15711</v>
      </c>
      <c r="D2549" s="40" t="s">
        <v>15712</v>
      </c>
      <c r="E2549" s="41">
        <v>109.62</v>
      </c>
      <c r="F2549" s="40"/>
      <c r="G2549" s="41"/>
      <c r="H2549" s="40"/>
      <c r="I2549" s="41"/>
      <c r="J2549" s="41">
        <f t="shared" si="9"/>
        <v>109.62</v>
      </c>
      <c r="K2549" s="42" t="s">
        <v>5796</v>
      </c>
      <c r="L2549" s="39">
        <v>2313</v>
      </c>
    </row>
    <row r="2550" spans="1:12" ht="11.25" customHeight="1">
      <c r="A2550" s="39">
        <v>2315</v>
      </c>
      <c r="B2550" s="40" t="s">
        <v>7741</v>
      </c>
      <c r="C2550" s="40" t="s">
        <v>15713</v>
      </c>
      <c r="D2550" s="40" t="s">
        <v>15714</v>
      </c>
      <c r="E2550" s="41">
        <v>109.51</v>
      </c>
      <c r="F2550" s="40"/>
      <c r="G2550" s="41"/>
      <c r="H2550" s="40"/>
      <c r="I2550" s="41"/>
      <c r="J2550" s="41">
        <f t="shared" si="9"/>
        <v>109.51</v>
      </c>
      <c r="K2550" s="42" t="s">
        <v>5796</v>
      </c>
      <c r="L2550" s="39">
        <v>2315</v>
      </c>
    </row>
    <row r="2551" spans="1:12" ht="11.25" customHeight="1">
      <c r="A2551" s="39">
        <v>2316</v>
      </c>
      <c r="B2551" s="40" t="s">
        <v>15715</v>
      </c>
      <c r="C2551" s="40" t="s">
        <v>15716</v>
      </c>
      <c r="D2551" s="40" t="s">
        <v>15717</v>
      </c>
      <c r="E2551" s="41">
        <v>109.24</v>
      </c>
      <c r="F2551" s="40"/>
      <c r="G2551" s="41"/>
      <c r="H2551" s="40"/>
      <c r="I2551" s="41"/>
      <c r="J2551" s="41">
        <f t="shared" si="9"/>
        <v>109.24</v>
      </c>
      <c r="K2551" s="42" t="s">
        <v>5796</v>
      </c>
      <c r="L2551" s="39">
        <v>2316</v>
      </c>
    </row>
    <row r="2552" spans="1:12" ht="11.25" customHeight="1">
      <c r="A2552" s="39">
        <v>2317</v>
      </c>
      <c r="B2552" s="40" t="s">
        <v>15718</v>
      </c>
      <c r="C2552" s="40" t="s">
        <v>15719</v>
      </c>
      <c r="D2552" s="40" t="s">
        <v>15720</v>
      </c>
      <c r="E2552" s="41">
        <v>109.23</v>
      </c>
      <c r="F2552" s="40"/>
      <c r="G2552" s="41"/>
      <c r="H2552" s="40"/>
      <c r="I2552" s="41"/>
      <c r="J2552" s="41">
        <f t="shared" si="9"/>
        <v>109.23</v>
      </c>
      <c r="K2552" s="42" t="s">
        <v>5796</v>
      </c>
      <c r="L2552" s="39">
        <v>2317</v>
      </c>
    </row>
    <row r="2553" spans="1:12" ht="11.25" customHeight="1">
      <c r="A2553" s="39">
        <v>2318</v>
      </c>
      <c r="B2553" s="40" t="s">
        <v>15721</v>
      </c>
      <c r="C2553" s="40" t="s">
        <v>15722</v>
      </c>
      <c r="D2553" s="40" t="s">
        <v>15723</v>
      </c>
      <c r="E2553" s="41">
        <v>109.07</v>
      </c>
      <c r="F2553" s="40"/>
      <c r="G2553" s="41"/>
      <c r="H2553" s="40"/>
      <c r="I2553" s="41"/>
      <c r="J2553" s="41">
        <f t="shared" ref="J2553:J2807" si="10">AVERAGE(E2553,G2553,I2553)</f>
        <v>109.07</v>
      </c>
      <c r="K2553" s="42" t="s">
        <v>5796</v>
      </c>
      <c r="L2553" s="39">
        <v>2318</v>
      </c>
    </row>
    <row r="2554" spans="1:12" ht="11.25" customHeight="1">
      <c r="A2554" s="39">
        <v>2320</v>
      </c>
      <c r="B2554" s="40" t="s">
        <v>15724</v>
      </c>
      <c r="C2554" s="40" t="s">
        <v>15725</v>
      </c>
      <c r="D2554" s="40" t="s">
        <v>15726</v>
      </c>
      <c r="E2554" s="41">
        <v>108.81</v>
      </c>
      <c r="F2554" s="40"/>
      <c r="G2554" s="41"/>
      <c r="H2554" s="40"/>
      <c r="I2554" s="41"/>
      <c r="J2554" s="41">
        <f t="shared" si="10"/>
        <v>108.81</v>
      </c>
      <c r="K2554" s="42" t="s">
        <v>5796</v>
      </c>
      <c r="L2554" s="39">
        <v>2320</v>
      </c>
    </row>
    <row r="2555" spans="1:12" ht="11.25" customHeight="1">
      <c r="A2555" s="39">
        <v>2321</v>
      </c>
      <c r="B2555" s="40" t="s">
        <v>15727</v>
      </c>
      <c r="C2555" s="40" t="s">
        <v>15728</v>
      </c>
      <c r="D2555" s="40" t="s">
        <v>15729</v>
      </c>
      <c r="E2555" s="41">
        <v>108.76</v>
      </c>
      <c r="F2555" s="40"/>
      <c r="G2555" s="41"/>
      <c r="H2555" s="40"/>
      <c r="I2555" s="41"/>
      <c r="J2555" s="41">
        <f t="shared" si="10"/>
        <v>108.76</v>
      </c>
      <c r="K2555" s="42" t="s">
        <v>5796</v>
      </c>
      <c r="L2555" s="39">
        <v>2321</v>
      </c>
    </row>
    <row r="2556" spans="1:12" ht="11.25" customHeight="1">
      <c r="A2556" s="39">
        <v>2323</v>
      </c>
      <c r="B2556" s="40" t="s">
        <v>15730</v>
      </c>
      <c r="C2556" s="40" t="s">
        <v>15731</v>
      </c>
      <c r="D2556" s="40" t="s">
        <v>15732</v>
      </c>
      <c r="E2556" s="41">
        <v>108.64</v>
      </c>
      <c r="F2556" s="40"/>
      <c r="G2556" s="41"/>
      <c r="H2556" s="40"/>
      <c r="I2556" s="41"/>
      <c r="J2556" s="41">
        <f t="shared" si="10"/>
        <v>108.64</v>
      </c>
      <c r="K2556" s="42" t="s">
        <v>5796</v>
      </c>
      <c r="L2556" s="39">
        <v>2323</v>
      </c>
    </row>
    <row r="2557" spans="1:12" ht="11.25" customHeight="1">
      <c r="A2557" s="39">
        <v>2324</v>
      </c>
      <c r="B2557" s="40" t="s">
        <v>15733</v>
      </c>
      <c r="C2557" s="40" t="s">
        <v>15734</v>
      </c>
      <c r="D2557" s="40" t="s">
        <v>15735</v>
      </c>
      <c r="E2557" s="41">
        <v>108.61</v>
      </c>
      <c r="F2557" s="40"/>
      <c r="G2557" s="41"/>
      <c r="H2557" s="40"/>
      <c r="I2557" s="41"/>
      <c r="J2557" s="41">
        <f t="shared" si="10"/>
        <v>108.61</v>
      </c>
      <c r="K2557" s="42" t="s">
        <v>5796</v>
      </c>
      <c r="L2557" s="39">
        <v>2324</v>
      </c>
    </row>
    <row r="2558" spans="1:12" ht="11.25" customHeight="1">
      <c r="A2558" s="39">
        <v>2326</v>
      </c>
      <c r="B2558" s="40" t="s">
        <v>15736</v>
      </c>
      <c r="C2558" s="40" t="s">
        <v>15737</v>
      </c>
      <c r="D2558" s="40" t="s">
        <v>15738</v>
      </c>
      <c r="E2558" s="41">
        <v>107.73</v>
      </c>
      <c r="F2558" s="40"/>
      <c r="G2558" s="41"/>
      <c r="H2558" s="40"/>
      <c r="I2558" s="41"/>
      <c r="J2558" s="41">
        <f t="shared" si="10"/>
        <v>107.73</v>
      </c>
      <c r="K2558" s="42" t="s">
        <v>5796</v>
      </c>
      <c r="L2558" s="39">
        <v>2326</v>
      </c>
    </row>
    <row r="2559" spans="1:12" ht="11.25" customHeight="1">
      <c r="A2559" s="39">
        <v>2327</v>
      </c>
      <c r="B2559" s="40" t="s">
        <v>15739</v>
      </c>
      <c r="C2559" s="40" t="s">
        <v>15740</v>
      </c>
      <c r="D2559" s="40" t="s">
        <v>15741</v>
      </c>
      <c r="E2559" s="41">
        <v>107.64</v>
      </c>
      <c r="F2559" s="40"/>
      <c r="G2559" s="41"/>
      <c r="H2559" s="40"/>
      <c r="I2559" s="41"/>
      <c r="J2559" s="41">
        <f t="shared" si="10"/>
        <v>107.64</v>
      </c>
      <c r="K2559" s="42" t="s">
        <v>5796</v>
      </c>
      <c r="L2559" s="39">
        <v>2327</v>
      </c>
    </row>
    <row r="2560" spans="1:12" ht="11.25" customHeight="1">
      <c r="A2560" s="39">
        <v>2328</v>
      </c>
      <c r="B2560" s="40" t="s">
        <v>15742</v>
      </c>
      <c r="C2560" s="40" t="s">
        <v>15743</v>
      </c>
      <c r="D2560" s="40" t="s">
        <v>15744</v>
      </c>
      <c r="E2560" s="41">
        <v>107.58</v>
      </c>
      <c r="F2560" s="40"/>
      <c r="G2560" s="41"/>
      <c r="H2560" s="40"/>
      <c r="I2560" s="41"/>
      <c r="J2560" s="41">
        <f t="shared" si="10"/>
        <v>107.58</v>
      </c>
      <c r="K2560" s="42" t="s">
        <v>5796</v>
      </c>
      <c r="L2560" s="39">
        <v>2328</v>
      </c>
    </row>
    <row r="2561" spans="1:12" ht="11.25" customHeight="1">
      <c r="A2561" s="39">
        <v>2329</v>
      </c>
      <c r="B2561" s="40" t="s">
        <v>15745</v>
      </c>
      <c r="C2561" s="40" t="s">
        <v>15746</v>
      </c>
      <c r="D2561" s="40" t="s">
        <v>15747</v>
      </c>
      <c r="E2561" s="41">
        <v>107.57</v>
      </c>
      <c r="F2561" s="40"/>
      <c r="G2561" s="41"/>
      <c r="H2561" s="40"/>
      <c r="I2561" s="41"/>
      <c r="J2561" s="41">
        <f t="shared" si="10"/>
        <v>107.57</v>
      </c>
      <c r="K2561" s="42" t="s">
        <v>5796</v>
      </c>
      <c r="L2561" s="39">
        <v>2329</v>
      </c>
    </row>
    <row r="2562" spans="1:12" ht="11.25" customHeight="1">
      <c r="A2562" s="39">
        <v>2330</v>
      </c>
      <c r="B2562" s="40" t="s">
        <v>15748</v>
      </c>
      <c r="C2562" s="40" t="s">
        <v>15749</v>
      </c>
      <c r="D2562" s="40" t="s">
        <v>15750</v>
      </c>
      <c r="E2562" s="41">
        <v>107.55</v>
      </c>
      <c r="F2562" s="40"/>
      <c r="G2562" s="41"/>
      <c r="H2562" s="40"/>
      <c r="I2562" s="41"/>
      <c r="J2562" s="41">
        <f t="shared" si="10"/>
        <v>107.55</v>
      </c>
      <c r="K2562" s="42" t="s">
        <v>5796</v>
      </c>
      <c r="L2562" s="39">
        <v>2330</v>
      </c>
    </row>
    <row r="2563" spans="1:12" ht="11.25" customHeight="1">
      <c r="A2563" s="39">
        <v>2332</v>
      </c>
      <c r="B2563" s="40" t="s">
        <v>15751</v>
      </c>
      <c r="C2563" s="40" t="s">
        <v>15752</v>
      </c>
      <c r="D2563" s="40" t="s">
        <v>15753</v>
      </c>
      <c r="E2563" s="41">
        <v>107.2</v>
      </c>
      <c r="F2563" s="40"/>
      <c r="G2563" s="41"/>
      <c r="H2563" s="40"/>
      <c r="I2563" s="41"/>
      <c r="J2563" s="41">
        <f t="shared" si="10"/>
        <v>107.2</v>
      </c>
      <c r="K2563" s="42" t="s">
        <v>5796</v>
      </c>
      <c r="L2563" s="39">
        <v>2332</v>
      </c>
    </row>
    <row r="2564" spans="1:12" ht="11.25" customHeight="1">
      <c r="A2564" s="39">
        <v>2334</v>
      </c>
      <c r="B2564" s="40" t="s">
        <v>15754</v>
      </c>
      <c r="C2564" s="40" t="s">
        <v>15755</v>
      </c>
      <c r="D2564" s="40" t="s">
        <v>15756</v>
      </c>
      <c r="E2564" s="41">
        <v>107.03</v>
      </c>
      <c r="F2564" s="40"/>
      <c r="G2564" s="41"/>
      <c r="H2564" s="40"/>
      <c r="I2564" s="41"/>
      <c r="J2564" s="41">
        <f t="shared" si="10"/>
        <v>107.03</v>
      </c>
      <c r="K2564" s="42" t="s">
        <v>5796</v>
      </c>
      <c r="L2564" s="39">
        <v>2334</v>
      </c>
    </row>
    <row r="2565" spans="1:12" ht="11.25" customHeight="1">
      <c r="A2565" s="39">
        <v>2335</v>
      </c>
      <c r="B2565" s="40" t="s">
        <v>15757</v>
      </c>
      <c r="C2565" s="40" t="s">
        <v>15758</v>
      </c>
      <c r="D2565" s="40" t="s">
        <v>15759</v>
      </c>
      <c r="E2565" s="41">
        <v>106.76</v>
      </c>
      <c r="F2565" s="40"/>
      <c r="G2565" s="41"/>
      <c r="H2565" s="40"/>
      <c r="I2565" s="41"/>
      <c r="J2565" s="41">
        <f t="shared" si="10"/>
        <v>106.76</v>
      </c>
      <c r="K2565" s="42" t="s">
        <v>5796</v>
      </c>
      <c r="L2565" s="39">
        <v>2335</v>
      </c>
    </row>
    <row r="2566" spans="1:12" ht="11.25" customHeight="1">
      <c r="A2566" s="39">
        <v>2336</v>
      </c>
      <c r="B2566" s="40" t="s">
        <v>15760</v>
      </c>
      <c r="C2566" s="40" t="s">
        <v>15761</v>
      </c>
      <c r="D2566" s="40" t="s">
        <v>15762</v>
      </c>
      <c r="E2566" s="41">
        <v>106.72</v>
      </c>
      <c r="F2566" s="40"/>
      <c r="G2566" s="41"/>
      <c r="H2566" s="40"/>
      <c r="I2566" s="41"/>
      <c r="J2566" s="41">
        <f t="shared" si="10"/>
        <v>106.72</v>
      </c>
      <c r="K2566" s="42" t="s">
        <v>5796</v>
      </c>
      <c r="L2566" s="39">
        <v>2336</v>
      </c>
    </row>
    <row r="2567" spans="1:12" ht="11.25" customHeight="1">
      <c r="A2567" s="39">
        <v>2337</v>
      </c>
      <c r="B2567" s="40" t="s">
        <v>15763</v>
      </c>
      <c r="C2567" s="40" t="s">
        <v>15764</v>
      </c>
      <c r="D2567" s="40" t="s">
        <v>15765</v>
      </c>
      <c r="E2567" s="41">
        <v>106.66</v>
      </c>
      <c r="F2567" s="40"/>
      <c r="G2567" s="41"/>
      <c r="H2567" s="40"/>
      <c r="I2567" s="41"/>
      <c r="J2567" s="41">
        <f t="shared" si="10"/>
        <v>106.66</v>
      </c>
      <c r="K2567" s="42" t="s">
        <v>5796</v>
      </c>
      <c r="L2567" s="39">
        <v>2337</v>
      </c>
    </row>
    <row r="2568" spans="1:12" ht="11.25" customHeight="1">
      <c r="A2568" s="39">
        <v>2338</v>
      </c>
      <c r="B2568" s="40" t="s">
        <v>15766</v>
      </c>
      <c r="C2568" s="40" t="s">
        <v>15767</v>
      </c>
      <c r="D2568" s="40" t="s">
        <v>15768</v>
      </c>
      <c r="E2568" s="41">
        <v>106</v>
      </c>
      <c r="F2568" s="40"/>
      <c r="G2568" s="41"/>
      <c r="H2568" s="40"/>
      <c r="I2568" s="41"/>
      <c r="J2568" s="41">
        <f t="shared" si="10"/>
        <v>106</v>
      </c>
      <c r="K2568" s="42" t="s">
        <v>5796</v>
      </c>
      <c r="L2568" s="39">
        <v>2338</v>
      </c>
    </row>
    <row r="2569" spans="1:12" ht="11.25" customHeight="1">
      <c r="A2569" s="39">
        <v>2339</v>
      </c>
      <c r="B2569" s="40" t="s">
        <v>15769</v>
      </c>
      <c r="C2569" s="40" t="s">
        <v>15770</v>
      </c>
      <c r="D2569" s="40" t="s">
        <v>15771</v>
      </c>
      <c r="E2569" s="41">
        <v>105.97</v>
      </c>
      <c r="F2569" s="40"/>
      <c r="G2569" s="41"/>
      <c r="H2569" s="40"/>
      <c r="I2569" s="41"/>
      <c r="J2569" s="41">
        <f t="shared" si="10"/>
        <v>105.97</v>
      </c>
      <c r="K2569" s="42" t="s">
        <v>5796</v>
      </c>
      <c r="L2569" s="39">
        <v>2339</v>
      </c>
    </row>
    <row r="2570" spans="1:12" ht="11.25" customHeight="1">
      <c r="A2570" s="39">
        <v>2340</v>
      </c>
      <c r="B2570" s="40" t="s">
        <v>15772</v>
      </c>
      <c r="C2570" s="40" t="s">
        <v>15773</v>
      </c>
      <c r="D2570" s="40" t="s">
        <v>15774</v>
      </c>
      <c r="E2570" s="41">
        <v>105.76</v>
      </c>
      <c r="F2570" s="40"/>
      <c r="G2570" s="41"/>
      <c r="H2570" s="40"/>
      <c r="I2570" s="41"/>
      <c r="J2570" s="41">
        <f t="shared" si="10"/>
        <v>105.76</v>
      </c>
      <c r="K2570" s="42" t="s">
        <v>5796</v>
      </c>
      <c r="L2570" s="39">
        <v>2340</v>
      </c>
    </row>
    <row r="2571" spans="1:12" ht="11.25" customHeight="1">
      <c r="A2571" s="39">
        <v>2341</v>
      </c>
      <c r="B2571" s="40" t="s">
        <v>15775</v>
      </c>
      <c r="C2571" s="40" t="s">
        <v>15776</v>
      </c>
      <c r="D2571" s="40" t="s">
        <v>15777</v>
      </c>
      <c r="E2571" s="41">
        <v>105.73</v>
      </c>
      <c r="F2571" s="40"/>
      <c r="G2571" s="41"/>
      <c r="H2571" s="40"/>
      <c r="I2571" s="41"/>
      <c r="J2571" s="41">
        <f t="shared" si="10"/>
        <v>105.73</v>
      </c>
      <c r="K2571" s="42" t="s">
        <v>5796</v>
      </c>
      <c r="L2571" s="39">
        <v>2341</v>
      </c>
    </row>
    <row r="2572" spans="1:12" ht="11.25" customHeight="1">
      <c r="A2572" s="39">
        <v>2342</v>
      </c>
      <c r="B2572" s="40" t="s">
        <v>15778</v>
      </c>
      <c r="C2572" s="40" t="s">
        <v>15779</v>
      </c>
      <c r="D2572" s="40" t="s">
        <v>15780</v>
      </c>
      <c r="E2572" s="41">
        <v>105.72</v>
      </c>
      <c r="F2572" s="40"/>
      <c r="G2572" s="41"/>
      <c r="H2572" s="40"/>
      <c r="I2572" s="41"/>
      <c r="J2572" s="41">
        <f t="shared" si="10"/>
        <v>105.72</v>
      </c>
      <c r="K2572" s="42" t="s">
        <v>5796</v>
      </c>
      <c r="L2572" s="39">
        <v>2342</v>
      </c>
    </row>
    <row r="2573" spans="1:12" ht="11.25" customHeight="1">
      <c r="A2573" s="39">
        <v>2344</v>
      </c>
      <c r="B2573" s="40" t="s">
        <v>7788</v>
      </c>
      <c r="C2573" s="40" t="s">
        <v>15781</v>
      </c>
      <c r="D2573" s="40" t="s">
        <v>15782</v>
      </c>
      <c r="E2573" s="41">
        <v>105.53</v>
      </c>
      <c r="F2573" s="40"/>
      <c r="G2573" s="41"/>
      <c r="H2573" s="40"/>
      <c r="I2573" s="41"/>
      <c r="J2573" s="41">
        <f t="shared" si="10"/>
        <v>105.53</v>
      </c>
      <c r="K2573" s="42" t="s">
        <v>5796</v>
      </c>
      <c r="L2573" s="39">
        <v>2344</v>
      </c>
    </row>
    <row r="2574" spans="1:12" ht="11.25" customHeight="1">
      <c r="A2574" s="39">
        <v>2345</v>
      </c>
      <c r="B2574" s="40" t="s">
        <v>15783</v>
      </c>
      <c r="C2574" s="40" t="s">
        <v>15784</v>
      </c>
      <c r="D2574" s="40" t="s">
        <v>15785</v>
      </c>
      <c r="E2574" s="41">
        <v>104.95</v>
      </c>
      <c r="F2574" s="40"/>
      <c r="G2574" s="41"/>
      <c r="H2574" s="40"/>
      <c r="I2574" s="41"/>
      <c r="J2574" s="41">
        <f t="shared" si="10"/>
        <v>104.95</v>
      </c>
      <c r="K2574" s="42" t="s">
        <v>5796</v>
      </c>
      <c r="L2574" s="39">
        <v>2345</v>
      </c>
    </row>
    <row r="2575" spans="1:12" ht="11.25" customHeight="1">
      <c r="A2575" s="39">
        <v>2346</v>
      </c>
      <c r="B2575" s="40" t="s">
        <v>15786</v>
      </c>
      <c r="C2575" s="40" t="s">
        <v>15787</v>
      </c>
      <c r="D2575" s="40" t="s">
        <v>15788</v>
      </c>
      <c r="E2575" s="41">
        <v>104.86</v>
      </c>
      <c r="F2575" s="40"/>
      <c r="G2575" s="41"/>
      <c r="H2575" s="40"/>
      <c r="I2575" s="41"/>
      <c r="J2575" s="41">
        <f t="shared" si="10"/>
        <v>104.86</v>
      </c>
      <c r="K2575" s="42" t="s">
        <v>5796</v>
      </c>
      <c r="L2575" s="39">
        <v>2346</v>
      </c>
    </row>
    <row r="2576" spans="1:12" ht="11.25" customHeight="1">
      <c r="A2576" s="39">
        <v>2347</v>
      </c>
      <c r="B2576" s="40" t="s">
        <v>15789</v>
      </c>
      <c r="C2576" s="40" t="s">
        <v>15790</v>
      </c>
      <c r="D2576" s="40" t="s">
        <v>15791</v>
      </c>
      <c r="E2576" s="41">
        <v>104.81</v>
      </c>
      <c r="F2576" s="40"/>
      <c r="G2576" s="41"/>
      <c r="H2576" s="40"/>
      <c r="I2576" s="41"/>
      <c r="J2576" s="41">
        <f t="shared" si="10"/>
        <v>104.81</v>
      </c>
      <c r="K2576" s="42" t="s">
        <v>5796</v>
      </c>
      <c r="L2576" s="39">
        <v>2347</v>
      </c>
    </row>
    <row r="2577" spans="1:12" ht="11.25" customHeight="1">
      <c r="A2577" s="39">
        <v>2348</v>
      </c>
      <c r="B2577" s="40" t="s">
        <v>15792</v>
      </c>
      <c r="C2577" s="40" t="s">
        <v>15793</v>
      </c>
      <c r="D2577" s="40" t="s">
        <v>15794</v>
      </c>
      <c r="E2577" s="41">
        <v>104.79</v>
      </c>
      <c r="F2577" s="40"/>
      <c r="G2577" s="41"/>
      <c r="H2577" s="40"/>
      <c r="I2577" s="41"/>
      <c r="J2577" s="41">
        <f t="shared" si="10"/>
        <v>104.79</v>
      </c>
      <c r="K2577" s="42" t="s">
        <v>5796</v>
      </c>
      <c r="L2577" s="39">
        <v>2348</v>
      </c>
    </row>
    <row r="2578" spans="1:12" ht="11.25" customHeight="1">
      <c r="A2578" s="39">
        <v>2350</v>
      </c>
      <c r="B2578" s="40" t="s">
        <v>15795</v>
      </c>
      <c r="C2578" s="40" t="s">
        <v>15796</v>
      </c>
      <c r="D2578" s="40" t="s">
        <v>15797</v>
      </c>
      <c r="E2578" s="41">
        <v>104.58</v>
      </c>
      <c r="F2578" s="40"/>
      <c r="G2578" s="41"/>
      <c r="H2578" s="40"/>
      <c r="I2578" s="41"/>
      <c r="J2578" s="41">
        <f t="shared" si="10"/>
        <v>104.58</v>
      </c>
      <c r="K2578" s="42" t="s">
        <v>5796</v>
      </c>
      <c r="L2578" s="39">
        <v>2350</v>
      </c>
    </row>
    <row r="2579" spans="1:12" ht="11.25" customHeight="1">
      <c r="A2579" s="39">
        <v>2352</v>
      </c>
      <c r="B2579" s="40" t="s">
        <v>7677</v>
      </c>
      <c r="C2579" s="40" t="s">
        <v>15798</v>
      </c>
      <c r="D2579" s="40" t="s">
        <v>15799</v>
      </c>
      <c r="E2579" s="41">
        <v>104.08</v>
      </c>
      <c r="F2579" s="40"/>
      <c r="G2579" s="41"/>
      <c r="H2579" s="40"/>
      <c r="I2579" s="41"/>
      <c r="J2579" s="41">
        <f t="shared" si="10"/>
        <v>104.08</v>
      </c>
      <c r="K2579" s="42" t="s">
        <v>5796</v>
      </c>
      <c r="L2579" s="39">
        <v>2352</v>
      </c>
    </row>
    <row r="2580" spans="1:12" ht="11.25" customHeight="1">
      <c r="A2580" s="39">
        <v>2353</v>
      </c>
      <c r="B2580" s="40" t="s">
        <v>15800</v>
      </c>
      <c r="C2580" s="40" t="s">
        <v>15801</v>
      </c>
      <c r="D2580" s="40" t="s">
        <v>15802</v>
      </c>
      <c r="E2580" s="41">
        <v>103.94</v>
      </c>
      <c r="F2580" s="40"/>
      <c r="G2580" s="41"/>
      <c r="H2580" s="40"/>
      <c r="I2580" s="41"/>
      <c r="J2580" s="41">
        <f t="shared" si="10"/>
        <v>103.94</v>
      </c>
      <c r="K2580" s="42" t="s">
        <v>5796</v>
      </c>
      <c r="L2580" s="39">
        <v>2353</v>
      </c>
    </row>
    <row r="2581" spans="1:12" ht="11.25" customHeight="1">
      <c r="A2581" s="39">
        <v>2355</v>
      </c>
      <c r="B2581" s="40" t="s">
        <v>7743</v>
      </c>
      <c r="C2581" s="40" t="s">
        <v>15803</v>
      </c>
      <c r="D2581" s="40" t="s">
        <v>15804</v>
      </c>
      <c r="E2581" s="41">
        <v>103.65</v>
      </c>
      <c r="F2581" s="40"/>
      <c r="G2581" s="41"/>
      <c r="H2581" s="40"/>
      <c r="I2581" s="41"/>
      <c r="J2581" s="41">
        <f t="shared" si="10"/>
        <v>103.65</v>
      </c>
      <c r="K2581" s="42" t="s">
        <v>5796</v>
      </c>
      <c r="L2581" s="39">
        <v>2355</v>
      </c>
    </row>
    <row r="2582" spans="1:12" ht="11.25" customHeight="1">
      <c r="A2582" s="39">
        <v>2357</v>
      </c>
      <c r="B2582" s="40" t="s">
        <v>7674</v>
      </c>
      <c r="C2582" s="40" t="s">
        <v>15805</v>
      </c>
      <c r="D2582" s="40" t="s">
        <v>15806</v>
      </c>
      <c r="E2582" s="41">
        <v>103.22</v>
      </c>
      <c r="F2582" s="40"/>
      <c r="G2582" s="41"/>
      <c r="H2582" s="40"/>
      <c r="I2582" s="41"/>
      <c r="J2582" s="41">
        <f t="shared" si="10"/>
        <v>103.22</v>
      </c>
      <c r="K2582" s="42" t="s">
        <v>5796</v>
      </c>
      <c r="L2582" s="39">
        <v>2357</v>
      </c>
    </row>
    <row r="2583" spans="1:12" ht="11.25" customHeight="1">
      <c r="A2583" s="39">
        <v>2358</v>
      </c>
      <c r="B2583" s="40" t="s">
        <v>15807</v>
      </c>
      <c r="C2583" s="40" t="s">
        <v>15808</v>
      </c>
      <c r="D2583" s="40" t="s">
        <v>15809</v>
      </c>
      <c r="E2583" s="41">
        <v>103.09</v>
      </c>
      <c r="F2583" s="40"/>
      <c r="G2583" s="41"/>
      <c r="H2583" s="40"/>
      <c r="I2583" s="41"/>
      <c r="J2583" s="41">
        <f t="shared" si="10"/>
        <v>103.09</v>
      </c>
      <c r="K2583" s="42" t="s">
        <v>5796</v>
      </c>
      <c r="L2583" s="39">
        <v>2358</v>
      </c>
    </row>
    <row r="2584" spans="1:12" ht="11.25" customHeight="1">
      <c r="A2584" s="39">
        <v>2359</v>
      </c>
      <c r="B2584" s="40" t="s">
        <v>15810</v>
      </c>
      <c r="C2584" s="40" t="s">
        <v>15811</v>
      </c>
      <c r="D2584" s="40" t="s">
        <v>15812</v>
      </c>
      <c r="E2584" s="41">
        <v>102.99</v>
      </c>
      <c r="F2584" s="40"/>
      <c r="G2584" s="41"/>
      <c r="H2584" s="40"/>
      <c r="I2584" s="41"/>
      <c r="J2584" s="41">
        <f t="shared" si="10"/>
        <v>102.99</v>
      </c>
      <c r="K2584" s="42" t="s">
        <v>5796</v>
      </c>
      <c r="L2584" s="39">
        <v>2359</v>
      </c>
    </row>
    <row r="2585" spans="1:12" ht="11.25" customHeight="1">
      <c r="A2585" s="39">
        <v>2361</v>
      </c>
      <c r="B2585" s="40" t="s">
        <v>15813</v>
      </c>
      <c r="C2585" s="40" t="s">
        <v>15814</v>
      </c>
      <c r="D2585" s="40" t="s">
        <v>15815</v>
      </c>
      <c r="E2585" s="41">
        <v>102.67</v>
      </c>
      <c r="F2585" s="40"/>
      <c r="G2585" s="41"/>
      <c r="H2585" s="40"/>
      <c r="I2585" s="41"/>
      <c r="J2585" s="41">
        <f t="shared" si="10"/>
        <v>102.67</v>
      </c>
      <c r="K2585" s="42" t="s">
        <v>5796</v>
      </c>
      <c r="L2585" s="39">
        <v>2361</v>
      </c>
    </row>
    <row r="2586" spans="1:12" ht="11.25" customHeight="1">
      <c r="A2586" s="39">
        <v>2363</v>
      </c>
      <c r="B2586" s="40" t="s">
        <v>7790</v>
      </c>
      <c r="C2586" s="40" t="s">
        <v>15816</v>
      </c>
      <c r="D2586" s="40" t="s">
        <v>15817</v>
      </c>
      <c r="E2586" s="41">
        <v>102.48</v>
      </c>
      <c r="F2586" s="40"/>
      <c r="G2586" s="41"/>
      <c r="H2586" s="40"/>
      <c r="I2586" s="41"/>
      <c r="J2586" s="41">
        <f t="shared" si="10"/>
        <v>102.48</v>
      </c>
      <c r="K2586" s="42" t="s">
        <v>5796</v>
      </c>
      <c r="L2586" s="39">
        <v>2363</v>
      </c>
    </row>
    <row r="2587" spans="1:12" ht="11.25" customHeight="1">
      <c r="A2587" s="39">
        <v>2364</v>
      </c>
      <c r="B2587" s="40" t="s">
        <v>15818</v>
      </c>
      <c r="C2587" s="40" t="s">
        <v>15819</v>
      </c>
      <c r="D2587" s="40" t="s">
        <v>15820</v>
      </c>
      <c r="E2587" s="41">
        <v>102.48</v>
      </c>
      <c r="F2587" s="40"/>
      <c r="G2587" s="41"/>
      <c r="H2587" s="40"/>
      <c r="I2587" s="41"/>
      <c r="J2587" s="41">
        <f t="shared" si="10"/>
        <v>102.48</v>
      </c>
      <c r="K2587" s="42" t="s">
        <v>5796</v>
      </c>
      <c r="L2587" s="39">
        <v>2364</v>
      </c>
    </row>
    <row r="2588" spans="1:12" ht="11.25" customHeight="1">
      <c r="A2588" s="39">
        <v>2365</v>
      </c>
      <c r="B2588" s="40" t="s">
        <v>7672</v>
      </c>
      <c r="C2588" s="40" t="s">
        <v>15821</v>
      </c>
      <c r="D2588" s="40" t="s">
        <v>15822</v>
      </c>
      <c r="E2588" s="41">
        <v>102.09</v>
      </c>
      <c r="F2588" s="40"/>
      <c r="G2588" s="41"/>
      <c r="H2588" s="40"/>
      <c r="I2588" s="41"/>
      <c r="J2588" s="41">
        <f t="shared" si="10"/>
        <v>102.09</v>
      </c>
      <c r="K2588" s="42" t="s">
        <v>5796</v>
      </c>
      <c r="L2588" s="39">
        <v>2365</v>
      </c>
    </row>
    <row r="2589" spans="1:12" ht="11.25" customHeight="1">
      <c r="A2589" s="39">
        <v>2366</v>
      </c>
      <c r="B2589" s="40" t="s">
        <v>15823</v>
      </c>
      <c r="C2589" s="40" t="s">
        <v>15824</v>
      </c>
      <c r="D2589" s="40" t="s">
        <v>15825</v>
      </c>
      <c r="E2589" s="41">
        <v>102</v>
      </c>
      <c r="F2589" s="40"/>
      <c r="G2589" s="41"/>
      <c r="H2589" s="40"/>
      <c r="I2589" s="41"/>
      <c r="J2589" s="41">
        <f t="shared" si="10"/>
        <v>102</v>
      </c>
      <c r="K2589" s="42" t="s">
        <v>5796</v>
      </c>
      <c r="L2589" s="39">
        <v>2366</v>
      </c>
    </row>
    <row r="2590" spans="1:12" ht="11.25" customHeight="1">
      <c r="A2590" s="39">
        <v>2367</v>
      </c>
      <c r="B2590" s="40" t="s">
        <v>15826</v>
      </c>
      <c r="C2590" s="40" t="s">
        <v>15827</v>
      </c>
      <c r="D2590" s="40" t="s">
        <v>15828</v>
      </c>
      <c r="E2590" s="41">
        <v>102</v>
      </c>
      <c r="F2590" s="40"/>
      <c r="G2590" s="41"/>
      <c r="H2590" s="40"/>
      <c r="I2590" s="41"/>
      <c r="J2590" s="41">
        <f t="shared" si="10"/>
        <v>102</v>
      </c>
      <c r="K2590" s="42" t="s">
        <v>5796</v>
      </c>
      <c r="L2590" s="39">
        <v>2367</v>
      </c>
    </row>
    <row r="2591" spans="1:12" ht="11.25" customHeight="1">
      <c r="A2591" s="39">
        <v>2368</v>
      </c>
      <c r="B2591" s="40" t="s">
        <v>15829</v>
      </c>
      <c r="C2591" s="40" t="s">
        <v>15830</v>
      </c>
      <c r="D2591" s="40" t="s">
        <v>15831</v>
      </c>
      <c r="E2591" s="41">
        <v>101.94</v>
      </c>
      <c r="F2591" s="40"/>
      <c r="G2591" s="41"/>
      <c r="H2591" s="40"/>
      <c r="I2591" s="41"/>
      <c r="J2591" s="41">
        <f t="shared" si="10"/>
        <v>101.94</v>
      </c>
      <c r="K2591" s="42" t="s">
        <v>5796</v>
      </c>
      <c r="L2591" s="39">
        <v>2368</v>
      </c>
    </row>
    <row r="2592" spans="1:12" ht="11.25" customHeight="1">
      <c r="A2592" s="39">
        <v>2370</v>
      </c>
      <c r="B2592" s="40" t="s">
        <v>15832</v>
      </c>
      <c r="C2592" s="40" t="s">
        <v>15833</v>
      </c>
      <c r="D2592" s="40" t="s">
        <v>15834</v>
      </c>
      <c r="E2592" s="41">
        <v>101.62</v>
      </c>
      <c r="F2592" s="40"/>
      <c r="G2592" s="41"/>
      <c r="H2592" s="40"/>
      <c r="I2592" s="41"/>
      <c r="J2592" s="41">
        <f t="shared" si="10"/>
        <v>101.62</v>
      </c>
      <c r="K2592" s="42" t="s">
        <v>5796</v>
      </c>
      <c r="L2592" s="39">
        <v>2370</v>
      </c>
    </row>
    <row r="2593" spans="1:12" ht="11.25" customHeight="1">
      <c r="A2593" s="39">
        <v>2371</v>
      </c>
      <c r="B2593" s="40" t="s">
        <v>15835</v>
      </c>
      <c r="C2593" s="40" t="s">
        <v>15836</v>
      </c>
      <c r="D2593" s="40" t="s">
        <v>15837</v>
      </c>
      <c r="E2593" s="41">
        <v>101.55</v>
      </c>
      <c r="F2593" s="40"/>
      <c r="G2593" s="41"/>
      <c r="H2593" s="40"/>
      <c r="I2593" s="41"/>
      <c r="J2593" s="41">
        <f t="shared" si="10"/>
        <v>101.55</v>
      </c>
      <c r="K2593" s="42" t="s">
        <v>5796</v>
      </c>
      <c r="L2593" s="39">
        <v>2371</v>
      </c>
    </row>
    <row r="2594" spans="1:12" ht="11.25" customHeight="1">
      <c r="A2594" s="39">
        <v>2372</v>
      </c>
      <c r="B2594" s="40" t="s">
        <v>8111</v>
      </c>
      <c r="C2594" s="40" t="s">
        <v>15838</v>
      </c>
      <c r="D2594" s="40" t="s">
        <v>15839</v>
      </c>
      <c r="E2594" s="41">
        <v>101.06</v>
      </c>
      <c r="F2594" s="40"/>
      <c r="G2594" s="41"/>
      <c r="H2594" s="40"/>
      <c r="I2594" s="41"/>
      <c r="J2594" s="41">
        <f t="shared" si="10"/>
        <v>101.06</v>
      </c>
      <c r="K2594" s="42" t="s">
        <v>5796</v>
      </c>
      <c r="L2594" s="39">
        <v>2372</v>
      </c>
    </row>
    <row r="2595" spans="1:12" ht="11.25" customHeight="1">
      <c r="A2595" s="39">
        <v>2373</v>
      </c>
      <c r="B2595" s="40" t="s">
        <v>15840</v>
      </c>
      <c r="C2595" s="40" t="s">
        <v>15841</v>
      </c>
      <c r="D2595" s="40" t="s">
        <v>15842</v>
      </c>
      <c r="E2595" s="41">
        <v>101.02</v>
      </c>
      <c r="F2595" s="40"/>
      <c r="G2595" s="41"/>
      <c r="H2595" s="40"/>
      <c r="I2595" s="41"/>
      <c r="J2595" s="41">
        <f t="shared" si="10"/>
        <v>101.02</v>
      </c>
      <c r="K2595" s="42" t="s">
        <v>5796</v>
      </c>
      <c r="L2595" s="39">
        <v>2373</v>
      </c>
    </row>
    <row r="2596" spans="1:12" ht="11.25" customHeight="1">
      <c r="A2596" s="39">
        <v>2374</v>
      </c>
      <c r="B2596" s="52" t="s">
        <v>7654</v>
      </c>
      <c r="C2596" s="52" t="s">
        <v>15843</v>
      </c>
      <c r="D2596" s="40"/>
      <c r="E2596" s="41"/>
      <c r="F2596" s="40"/>
      <c r="G2596" s="41"/>
      <c r="H2596" s="52" t="s">
        <v>15844</v>
      </c>
      <c r="I2596" s="53">
        <v>100.87887269999977</v>
      </c>
      <c r="J2596" s="41">
        <f t="shared" si="10"/>
        <v>100.87887269999977</v>
      </c>
      <c r="K2596" s="42" t="s">
        <v>5796</v>
      </c>
      <c r="L2596" s="39">
        <v>2374</v>
      </c>
    </row>
    <row r="2597" spans="1:12" ht="11.25" customHeight="1">
      <c r="A2597" s="39">
        <v>2377</v>
      </c>
      <c r="B2597" s="40" t="s">
        <v>15845</v>
      </c>
      <c r="C2597" s="40" t="s">
        <v>15846</v>
      </c>
      <c r="D2597" s="40" t="s">
        <v>15847</v>
      </c>
      <c r="E2597" s="41">
        <v>100.41</v>
      </c>
      <c r="F2597" s="40"/>
      <c r="G2597" s="41"/>
      <c r="H2597" s="40"/>
      <c r="I2597" s="41"/>
      <c r="J2597" s="41">
        <f t="shared" si="10"/>
        <v>100.41</v>
      </c>
      <c r="K2597" s="42" t="s">
        <v>5796</v>
      </c>
      <c r="L2597" s="39">
        <v>2377</v>
      </c>
    </row>
    <row r="2598" spans="1:12" ht="11.25" customHeight="1">
      <c r="A2598" s="39">
        <v>2378</v>
      </c>
      <c r="B2598" s="40" t="s">
        <v>15848</v>
      </c>
      <c r="C2598" s="40" t="s">
        <v>15849</v>
      </c>
      <c r="D2598" s="40" t="s">
        <v>15850</v>
      </c>
      <c r="E2598" s="41">
        <v>100.33</v>
      </c>
      <c r="F2598" s="40"/>
      <c r="G2598" s="41"/>
      <c r="H2598" s="40"/>
      <c r="I2598" s="41"/>
      <c r="J2598" s="41">
        <f t="shared" si="10"/>
        <v>100.33</v>
      </c>
      <c r="K2598" s="42" t="s">
        <v>5796</v>
      </c>
      <c r="L2598" s="39">
        <v>2378</v>
      </c>
    </row>
    <row r="2599" spans="1:12" ht="11.25" customHeight="1">
      <c r="A2599" s="39">
        <v>2379</v>
      </c>
      <c r="B2599" s="40" t="s">
        <v>15851</v>
      </c>
      <c r="C2599" s="40" t="s">
        <v>15852</v>
      </c>
      <c r="D2599" s="40" t="s">
        <v>15853</v>
      </c>
      <c r="E2599" s="41">
        <v>100.32</v>
      </c>
      <c r="F2599" s="40"/>
      <c r="G2599" s="41"/>
      <c r="H2599" s="40"/>
      <c r="I2599" s="41"/>
      <c r="J2599" s="41">
        <f t="shared" si="10"/>
        <v>100.32</v>
      </c>
      <c r="K2599" s="42" t="s">
        <v>5796</v>
      </c>
      <c r="L2599" s="39">
        <v>2379</v>
      </c>
    </row>
    <row r="2600" spans="1:12" ht="11.25" customHeight="1">
      <c r="A2600" s="39">
        <v>2380</v>
      </c>
      <c r="B2600" s="40" t="s">
        <v>15854</v>
      </c>
      <c r="C2600" s="40" t="s">
        <v>15855</v>
      </c>
      <c r="D2600" s="40" t="s">
        <v>15856</v>
      </c>
      <c r="E2600" s="41">
        <v>100.18</v>
      </c>
      <c r="F2600" s="40"/>
      <c r="G2600" s="41"/>
      <c r="H2600" s="40"/>
      <c r="I2600" s="41"/>
      <c r="J2600" s="41">
        <f t="shared" si="10"/>
        <v>100.18</v>
      </c>
      <c r="K2600" s="42" t="s">
        <v>5796</v>
      </c>
      <c r="L2600" s="39">
        <v>2380</v>
      </c>
    </row>
    <row r="2601" spans="1:12" ht="11.25" customHeight="1">
      <c r="A2601" s="39">
        <v>2381</v>
      </c>
      <c r="B2601" s="40" t="s">
        <v>15857</v>
      </c>
      <c r="C2601" s="40" t="s">
        <v>15858</v>
      </c>
      <c r="D2601" s="40" t="s">
        <v>15859</v>
      </c>
      <c r="E2601" s="41">
        <v>100.17</v>
      </c>
      <c r="F2601" s="40"/>
      <c r="G2601" s="41"/>
      <c r="H2601" s="40"/>
      <c r="I2601" s="41"/>
      <c r="J2601" s="41">
        <f t="shared" si="10"/>
        <v>100.17</v>
      </c>
      <c r="K2601" s="42" t="s">
        <v>5796</v>
      </c>
      <c r="L2601" s="39">
        <v>2381</v>
      </c>
    </row>
    <row r="2602" spans="1:12" ht="11.25" customHeight="1">
      <c r="A2602" s="39">
        <v>2385</v>
      </c>
      <c r="B2602" s="40" t="s">
        <v>15860</v>
      </c>
      <c r="C2602" s="40" t="s">
        <v>15861</v>
      </c>
      <c r="D2602" s="40" t="s">
        <v>15862</v>
      </c>
      <c r="E2602" s="41">
        <v>99.65</v>
      </c>
      <c r="F2602" s="40"/>
      <c r="G2602" s="41"/>
      <c r="H2602" s="40"/>
      <c r="I2602" s="41"/>
      <c r="J2602" s="41">
        <f t="shared" si="10"/>
        <v>99.65</v>
      </c>
      <c r="K2602" s="42" t="s">
        <v>5796</v>
      </c>
      <c r="L2602" s="39">
        <v>2385</v>
      </c>
    </row>
    <row r="2603" spans="1:12" ht="11.25" customHeight="1">
      <c r="A2603" s="39">
        <v>2386</v>
      </c>
      <c r="B2603" s="40" t="s">
        <v>7729</v>
      </c>
      <c r="C2603" s="40" t="s">
        <v>15863</v>
      </c>
      <c r="D2603" s="40" t="s">
        <v>15864</v>
      </c>
      <c r="E2603" s="41">
        <v>98.75</v>
      </c>
      <c r="F2603" s="40"/>
      <c r="G2603" s="41"/>
      <c r="H2603" s="40"/>
      <c r="I2603" s="41"/>
      <c r="J2603" s="41">
        <f t="shared" si="10"/>
        <v>98.75</v>
      </c>
      <c r="K2603" s="42" t="s">
        <v>5796</v>
      </c>
      <c r="L2603" s="39">
        <v>2386</v>
      </c>
    </row>
    <row r="2604" spans="1:12" ht="11.25" customHeight="1">
      <c r="A2604" s="39">
        <v>2387</v>
      </c>
      <c r="B2604" s="40" t="s">
        <v>15865</v>
      </c>
      <c r="C2604" s="40" t="s">
        <v>15866</v>
      </c>
      <c r="D2604" s="40" t="s">
        <v>15867</v>
      </c>
      <c r="E2604" s="41">
        <v>98.67</v>
      </c>
      <c r="F2604" s="40"/>
      <c r="G2604" s="41"/>
      <c r="H2604" s="40"/>
      <c r="I2604" s="41"/>
      <c r="J2604" s="41">
        <f t="shared" si="10"/>
        <v>98.67</v>
      </c>
      <c r="K2604" s="42" t="s">
        <v>5796</v>
      </c>
      <c r="L2604" s="39">
        <v>2387</v>
      </c>
    </row>
    <row r="2605" spans="1:12" ht="11.25" customHeight="1">
      <c r="A2605" s="39">
        <v>2389</v>
      </c>
      <c r="B2605" s="40" t="s">
        <v>15868</v>
      </c>
      <c r="C2605" s="40" t="s">
        <v>15869</v>
      </c>
      <c r="D2605" s="40" t="s">
        <v>15870</v>
      </c>
      <c r="E2605" s="41">
        <v>98.66</v>
      </c>
      <c r="F2605" s="40"/>
      <c r="G2605" s="41"/>
      <c r="H2605" s="40"/>
      <c r="I2605" s="41"/>
      <c r="J2605" s="41">
        <f t="shared" si="10"/>
        <v>98.66</v>
      </c>
      <c r="K2605" s="42" t="s">
        <v>5796</v>
      </c>
      <c r="L2605" s="39">
        <v>2389</v>
      </c>
    </row>
    <row r="2606" spans="1:12" ht="11.25" customHeight="1">
      <c r="A2606" s="39">
        <v>2390</v>
      </c>
      <c r="B2606" s="40" t="s">
        <v>15871</v>
      </c>
      <c r="C2606" s="40" t="s">
        <v>15872</v>
      </c>
      <c r="D2606" s="40" t="s">
        <v>15873</v>
      </c>
      <c r="E2606" s="41">
        <v>98.5</v>
      </c>
      <c r="F2606" s="40"/>
      <c r="G2606" s="41"/>
      <c r="H2606" s="40"/>
      <c r="I2606" s="41"/>
      <c r="J2606" s="41">
        <f t="shared" si="10"/>
        <v>98.5</v>
      </c>
      <c r="K2606" s="42" t="s">
        <v>5796</v>
      </c>
      <c r="L2606" s="39">
        <v>2390</v>
      </c>
    </row>
    <row r="2607" spans="1:12" ht="11.25" customHeight="1">
      <c r="A2607" s="39">
        <v>2391</v>
      </c>
      <c r="B2607" s="40" t="s">
        <v>15874</v>
      </c>
      <c r="C2607" s="40" t="s">
        <v>15875</v>
      </c>
      <c r="D2607" s="40" t="s">
        <v>15876</v>
      </c>
      <c r="E2607" s="41">
        <v>98.17</v>
      </c>
      <c r="F2607" s="40"/>
      <c r="G2607" s="41"/>
      <c r="H2607" s="40"/>
      <c r="I2607" s="41"/>
      <c r="J2607" s="41">
        <f t="shared" si="10"/>
        <v>98.17</v>
      </c>
      <c r="K2607" s="42" t="s">
        <v>5796</v>
      </c>
      <c r="L2607" s="39">
        <v>2391</v>
      </c>
    </row>
    <row r="2608" spans="1:12" ht="11.25" customHeight="1">
      <c r="A2608" s="39">
        <v>2392</v>
      </c>
      <c r="B2608" s="40" t="s">
        <v>15877</v>
      </c>
      <c r="C2608" s="40" t="s">
        <v>15878</v>
      </c>
      <c r="D2608" s="40" t="s">
        <v>15879</v>
      </c>
      <c r="E2608" s="41">
        <v>98.04</v>
      </c>
      <c r="F2608" s="40"/>
      <c r="G2608" s="41"/>
      <c r="H2608" s="40"/>
      <c r="I2608" s="41"/>
      <c r="J2608" s="41">
        <f t="shared" si="10"/>
        <v>98.04</v>
      </c>
      <c r="K2608" s="42" t="s">
        <v>5796</v>
      </c>
      <c r="L2608" s="39">
        <v>2392</v>
      </c>
    </row>
    <row r="2609" spans="1:12" ht="11.25" customHeight="1">
      <c r="A2609" s="39">
        <v>2393</v>
      </c>
      <c r="B2609" s="40" t="s">
        <v>15880</v>
      </c>
      <c r="C2609" s="40" t="s">
        <v>15881</v>
      </c>
      <c r="D2609" s="40" t="s">
        <v>15882</v>
      </c>
      <c r="E2609" s="41">
        <v>97.86</v>
      </c>
      <c r="F2609" s="40"/>
      <c r="G2609" s="41"/>
      <c r="H2609" s="40"/>
      <c r="I2609" s="41"/>
      <c r="J2609" s="41">
        <f t="shared" si="10"/>
        <v>97.86</v>
      </c>
      <c r="K2609" s="42" t="s">
        <v>5796</v>
      </c>
      <c r="L2609" s="39">
        <v>2393</v>
      </c>
    </row>
    <row r="2610" spans="1:12" ht="11.25" customHeight="1">
      <c r="A2610" s="39">
        <v>2394</v>
      </c>
      <c r="B2610" s="40" t="s">
        <v>15883</v>
      </c>
      <c r="C2610" s="40" t="s">
        <v>15884</v>
      </c>
      <c r="D2610" s="40" t="s">
        <v>15885</v>
      </c>
      <c r="E2610" s="41">
        <v>97.84</v>
      </c>
      <c r="F2610" s="40"/>
      <c r="G2610" s="41"/>
      <c r="H2610" s="40"/>
      <c r="I2610" s="41"/>
      <c r="J2610" s="41">
        <f t="shared" si="10"/>
        <v>97.84</v>
      </c>
      <c r="K2610" s="42" t="s">
        <v>5796</v>
      </c>
      <c r="L2610" s="39">
        <v>2394</v>
      </c>
    </row>
    <row r="2611" spans="1:12" ht="11.25" customHeight="1">
      <c r="A2611" s="39">
        <v>2396</v>
      </c>
      <c r="B2611" s="40" t="s">
        <v>15886</v>
      </c>
      <c r="C2611" s="40" t="s">
        <v>15887</v>
      </c>
      <c r="D2611" s="40" t="s">
        <v>15888</v>
      </c>
      <c r="E2611" s="41">
        <v>97.48</v>
      </c>
      <c r="F2611" s="40"/>
      <c r="G2611" s="41"/>
      <c r="H2611" s="40"/>
      <c r="I2611" s="41"/>
      <c r="J2611" s="41">
        <f t="shared" si="10"/>
        <v>97.48</v>
      </c>
      <c r="K2611" s="42" t="s">
        <v>5796</v>
      </c>
      <c r="L2611" s="39">
        <v>2396</v>
      </c>
    </row>
    <row r="2612" spans="1:12" ht="11.25" customHeight="1">
      <c r="A2612" s="39">
        <v>2397</v>
      </c>
      <c r="B2612" s="40" t="s">
        <v>15889</v>
      </c>
      <c r="C2612" s="40" t="s">
        <v>15890</v>
      </c>
      <c r="D2612" s="40" t="s">
        <v>15891</v>
      </c>
      <c r="E2612" s="41">
        <v>97.29</v>
      </c>
      <c r="F2612" s="40"/>
      <c r="G2612" s="41"/>
      <c r="H2612" s="40"/>
      <c r="I2612" s="41"/>
      <c r="J2612" s="41">
        <f t="shared" si="10"/>
        <v>97.29</v>
      </c>
      <c r="K2612" s="42" t="s">
        <v>5796</v>
      </c>
      <c r="L2612" s="39">
        <v>2397</v>
      </c>
    </row>
    <row r="2613" spans="1:12" ht="11.25" customHeight="1">
      <c r="A2613" s="39">
        <v>2398</v>
      </c>
      <c r="B2613" s="40" t="s">
        <v>15892</v>
      </c>
      <c r="C2613" s="40" t="s">
        <v>15893</v>
      </c>
      <c r="D2613" s="40" t="s">
        <v>15894</v>
      </c>
      <c r="E2613" s="41">
        <v>97.24</v>
      </c>
      <c r="F2613" s="40"/>
      <c r="G2613" s="41"/>
      <c r="H2613" s="40"/>
      <c r="I2613" s="41"/>
      <c r="J2613" s="41">
        <f t="shared" si="10"/>
        <v>97.24</v>
      </c>
      <c r="K2613" s="42" t="s">
        <v>5796</v>
      </c>
      <c r="L2613" s="39">
        <v>2398</v>
      </c>
    </row>
    <row r="2614" spans="1:12" ht="11.25" customHeight="1">
      <c r="A2614" s="39">
        <v>2399</v>
      </c>
      <c r="B2614" s="40" t="s">
        <v>15895</v>
      </c>
      <c r="C2614" s="40" t="s">
        <v>15896</v>
      </c>
      <c r="D2614" s="40" t="s">
        <v>15897</v>
      </c>
      <c r="E2614" s="41">
        <v>97.21</v>
      </c>
      <c r="F2614" s="40"/>
      <c r="G2614" s="41"/>
      <c r="H2614" s="40"/>
      <c r="I2614" s="41"/>
      <c r="J2614" s="41">
        <f t="shared" si="10"/>
        <v>97.21</v>
      </c>
      <c r="K2614" s="42" t="s">
        <v>5796</v>
      </c>
      <c r="L2614" s="39">
        <v>2399</v>
      </c>
    </row>
    <row r="2615" spans="1:12" ht="11.25" customHeight="1">
      <c r="A2615" s="39">
        <v>2400</v>
      </c>
      <c r="B2615" s="40" t="s">
        <v>15898</v>
      </c>
      <c r="C2615" s="40" t="s">
        <v>15899</v>
      </c>
      <c r="D2615" s="40" t="s">
        <v>15900</v>
      </c>
      <c r="E2615" s="41">
        <v>96.9</v>
      </c>
      <c r="F2615" s="40"/>
      <c r="G2615" s="41"/>
      <c r="H2615" s="40"/>
      <c r="I2615" s="41"/>
      <c r="J2615" s="41">
        <f t="shared" si="10"/>
        <v>96.9</v>
      </c>
      <c r="K2615" s="42" t="s">
        <v>5796</v>
      </c>
      <c r="L2615" s="39">
        <v>2400</v>
      </c>
    </row>
    <row r="2616" spans="1:12" ht="11.25" customHeight="1">
      <c r="A2616" s="39">
        <v>2401</v>
      </c>
      <c r="B2616" s="40" t="s">
        <v>15901</v>
      </c>
      <c r="C2616" s="40" t="s">
        <v>15902</v>
      </c>
      <c r="D2616" s="40" t="s">
        <v>15903</v>
      </c>
      <c r="E2616" s="41">
        <v>96.86</v>
      </c>
      <c r="F2616" s="40"/>
      <c r="G2616" s="41"/>
      <c r="H2616" s="40"/>
      <c r="I2616" s="41"/>
      <c r="J2616" s="41">
        <f t="shared" si="10"/>
        <v>96.86</v>
      </c>
      <c r="K2616" s="42" t="s">
        <v>5796</v>
      </c>
      <c r="L2616" s="39">
        <v>2401</v>
      </c>
    </row>
    <row r="2617" spans="1:12" ht="11.25" customHeight="1">
      <c r="A2617" s="39">
        <v>2402</v>
      </c>
      <c r="B2617" s="40" t="s">
        <v>15904</v>
      </c>
      <c r="C2617" s="40" t="s">
        <v>15905</v>
      </c>
      <c r="D2617" s="40" t="s">
        <v>15906</v>
      </c>
      <c r="E2617" s="41">
        <v>96.76</v>
      </c>
      <c r="F2617" s="40"/>
      <c r="G2617" s="41"/>
      <c r="H2617" s="40"/>
      <c r="I2617" s="41"/>
      <c r="J2617" s="41">
        <f t="shared" si="10"/>
        <v>96.76</v>
      </c>
      <c r="K2617" s="42" t="s">
        <v>5796</v>
      </c>
      <c r="L2617" s="39">
        <v>2402</v>
      </c>
    </row>
    <row r="2618" spans="1:12" ht="11.25" customHeight="1">
      <c r="A2618" s="39">
        <v>2404</v>
      </c>
      <c r="B2618" s="40" t="s">
        <v>15907</v>
      </c>
      <c r="C2618" s="40" t="s">
        <v>15908</v>
      </c>
      <c r="D2618" s="40" t="s">
        <v>15909</v>
      </c>
      <c r="E2618" s="41">
        <v>96.31</v>
      </c>
      <c r="F2618" s="40"/>
      <c r="G2618" s="41"/>
      <c r="H2618" s="40"/>
      <c r="I2618" s="41"/>
      <c r="J2618" s="41">
        <f t="shared" si="10"/>
        <v>96.31</v>
      </c>
      <c r="K2618" s="42" t="s">
        <v>5796</v>
      </c>
      <c r="L2618" s="39">
        <v>2404</v>
      </c>
    </row>
    <row r="2619" spans="1:12" ht="11.25" customHeight="1">
      <c r="A2619" s="39">
        <v>2405</v>
      </c>
      <c r="B2619" s="40" t="s">
        <v>15910</v>
      </c>
      <c r="C2619" s="40" t="s">
        <v>15911</v>
      </c>
      <c r="D2619" s="40" t="s">
        <v>15912</v>
      </c>
      <c r="E2619" s="41">
        <v>96.02</v>
      </c>
      <c r="F2619" s="40"/>
      <c r="G2619" s="41"/>
      <c r="H2619" s="40"/>
      <c r="I2619" s="41"/>
      <c r="J2619" s="41">
        <f t="shared" si="10"/>
        <v>96.02</v>
      </c>
      <c r="K2619" s="42" t="s">
        <v>5796</v>
      </c>
      <c r="L2619" s="39">
        <v>2405</v>
      </c>
    </row>
    <row r="2620" spans="1:12" ht="11.25" customHeight="1">
      <c r="A2620" s="39">
        <v>2408</v>
      </c>
      <c r="B2620" s="40" t="s">
        <v>15913</v>
      </c>
      <c r="C2620" s="40" t="s">
        <v>15914</v>
      </c>
      <c r="D2620" s="40" t="s">
        <v>15915</v>
      </c>
      <c r="E2620" s="41">
        <v>95.61</v>
      </c>
      <c r="F2620" s="40"/>
      <c r="G2620" s="41"/>
      <c r="H2620" s="40"/>
      <c r="I2620" s="41"/>
      <c r="J2620" s="41">
        <f t="shared" si="10"/>
        <v>95.61</v>
      </c>
      <c r="K2620" s="42" t="s">
        <v>5796</v>
      </c>
      <c r="L2620" s="39">
        <v>2408</v>
      </c>
    </row>
    <row r="2621" spans="1:12" ht="11.25" customHeight="1">
      <c r="A2621" s="39">
        <v>2409</v>
      </c>
      <c r="B2621" s="40" t="s">
        <v>15916</v>
      </c>
      <c r="C2621" s="40" t="s">
        <v>15917</v>
      </c>
      <c r="D2621" s="40" t="s">
        <v>15918</v>
      </c>
      <c r="E2621" s="41">
        <v>95.57</v>
      </c>
      <c r="F2621" s="40"/>
      <c r="G2621" s="41"/>
      <c r="H2621" s="40"/>
      <c r="I2621" s="41"/>
      <c r="J2621" s="41">
        <f t="shared" si="10"/>
        <v>95.57</v>
      </c>
      <c r="K2621" s="42" t="s">
        <v>5796</v>
      </c>
      <c r="L2621" s="39">
        <v>2409</v>
      </c>
    </row>
    <row r="2622" spans="1:12" ht="11.25" customHeight="1">
      <c r="A2622" s="39">
        <v>2410</v>
      </c>
      <c r="B2622" s="40" t="s">
        <v>15919</v>
      </c>
      <c r="C2622" s="40" t="s">
        <v>15920</v>
      </c>
      <c r="D2622" s="40" t="s">
        <v>15921</v>
      </c>
      <c r="E2622" s="41">
        <v>95.45</v>
      </c>
      <c r="F2622" s="40"/>
      <c r="G2622" s="41"/>
      <c r="H2622" s="40"/>
      <c r="I2622" s="41"/>
      <c r="J2622" s="41">
        <f t="shared" si="10"/>
        <v>95.45</v>
      </c>
      <c r="K2622" s="42" t="s">
        <v>5796</v>
      </c>
      <c r="L2622" s="39">
        <v>2410</v>
      </c>
    </row>
    <row r="2623" spans="1:12" ht="11.25" customHeight="1">
      <c r="A2623" s="39">
        <v>2411</v>
      </c>
      <c r="B2623" s="40" t="s">
        <v>15922</v>
      </c>
      <c r="C2623" s="40" t="s">
        <v>15923</v>
      </c>
      <c r="D2623" s="40" t="s">
        <v>15924</v>
      </c>
      <c r="E2623" s="41">
        <v>95.43</v>
      </c>
      <c r="F2623" s="40"/>
      <c r="G2623" s="41"/>
      <c r="H2623" s="40"/>
      <c r="I2623" s="41"/>
      <c r="J2623" s="41">
        <f t="shared" si="10"/>
        <v>95.43</v>
      </c>
      <c r="K2623" s="42" t="s">
        <v>5796</v>
      </c>
      <c r="L2623" s="39">
        <v>2411</v>
      </c>
    </row>
    <row r="2624" spans="1:12" ht="11.25" customHeight="1">
      <c r="A2624" s="39">
        <v>2412</v>
      </c>
      <c r="B2624" s="40" t="s">
        <v>15925</v>
      </c>
      <c r="C2624" s="40" t="s">
        <v>15926</v>
      </c>
      <c r="D2624" s="40" t="s">
        <v>15927</v>
      </c>
      <c r="E2624" s="41">
        <v>95.37</v>
      </c>
      <c r="F2624" s="40"/>
      <c r="G2624" s="41"/>
      <c r="H2624" s="40"/>
      <c r="I2624" s="41"/>
      <c r="J2624" s="41">
        <f t="shared" si="10"/>
        <v>95.37</v>
      </c>
      <c r="K2624" s="42" t="s">
        <v>5796</v>
      </c>
      <c r="L2624" s="39">
        <v>2412</v>
      </c>
    </row>
    <row r="2625" spans="1:12" ht="11.25" customHeight="1">
      <c r="A2625" s="39">
        <v>2413</v>
      </c>
      <c r="B2625" s="40" t="s">
        <v>7868</v>
      </c>
      <c r="C2625" s="40" t="s">
        <v>15928</v>
      </c>
      <c r="D2625" s="40" t="s">
        <v>15929</v>
      </c>
      <c r="E2625" s="41">
        <v>95.281655032137934</v>
      </c>
      <c r="F2625" s="40"/>
      <c r="G2625" s="41"/>
      <c r="H2625" s="40"/>
      <c r="I2625" s="41"/>
      <c r="J2625" s="41">
        <f t="shared" si="10"/>
        <v>95.281655032137934</v>
      </c>
      <c r="K2625" s="42" t="s">
        <v>5796</v>
      </c>
      <c r="L2625" s="39">
        <v>2413</v>
      </c>
    </row>
    <row r="2626" spans="1:12" ht="11.25" customHeight="1">
      <c r="A2626" s="39">
        <v>2414</v>
      </c>
      <c r="B2626" s="40" t="s">
        <v>8990</v>
      </c>
      <c r="C2626" s="40" t="s">
        <v>15930</v>
      </c>
      <c r="D2626" s="40" t="s">
        <v>15931</v>
      </c>
      <c r="E2626" s="41">
        <v>95.22</v>
      </c>
      <c r="F2626" s="40"/>
      <c r="G2626" s="41"/>
      <c r="H2626" s="40"/>
      <c r="I2626" s="41"/>
      <c r="J2626" s="41">
        <f t="shared" si="10"/>
        <v>95.22</v>
      </c>
      <c r="K2626" s="42" t="s">
        <v>5796</v>
      </c>
      <c r="L2626" s="39">
        <v>2414</v>
      </c>
    </row>
    <row r="2627" spans="1:12" ht="11.25" customHeight="1">
      <c r="A2627" s="39">
        <v>2415</v>
      </c>
      <c r="B2627" s="40" t="s">
        <v>15932</v>
      </c>
      <c r="C2627" s="40" t="s">
        <v>15933</v>
      </c>
      <c r="D2627" s="40" t="s">
        <v>15934</v>
      </c>
      <c r="E2627" s="41">
        <v>95.13</v>
      </c>
      <c r="F2627" s="40"/>
      <c r="G2627" s="41"/>
      <c r="H2627" s="40"/>
      <c r="I2627" s="41"/>
      <c r="J2627" s="41">
        <f t="shared" si="10"/>
        <v>95.13</v>
      </c>
      <c r="K2627" s="42" t="s">
        <v>5796</v>
      </c>
      <c r="L2627" s="39">
        <v>2415</v>
      </c>
    </row>
    <row r="2628" spans="1:12" ht="11.25" customHeight="1">
      <c r="A2628" s="39">
        <v>2416</v>
      </c>
      <c r="B2628" s="40" t="s">
        <v>15935</v>
      </c>
      <c r="C2628" s="40" t="s">
        <v>15936</v>
      </c>
      <c r="D2628" s="40" t="s">
        <v>15937</v>
      </c>
      <c r="E2628" s="41">
        <v>94.92</v>
      </c>
      <c r="F2628" s="40"/>
      <c r="G2628" s="41"/>
      <c r="H2628" s="40"/>
      <c r="I2628" s="41"/>
      <c r="J2628" s="41">
        <f t="shared" si="10"/>
        <v>94.92</v>
      </c>
      <c r="K2628" s="42" t="s">
        <v>5796</v>
      </c>
      <c r="L2628" s="39">
        <v>2416</v>
      </c>
    </row>
    <row r="2629" spans="1:12" ht="11.25" customHeight="1">
      <c r="A2629" s="39">
        <v>2418</v>
      </c>
      <c r="B2629" s="40" t="s">
        <v>15938</v>
      </c>
      <c r="C2629" s="40" t="s">
        <v>15939</v>
      </c>
      <c r="D2629" s="40" t="s">
        <v>15940</v>
      </c>
      <c r="E2629" s="41">
        <v>94.84</v>
      </c>
      <c r="F2629" s="40"/>
      <c r="G2629" s="41"/>
      <c r="H2629" s="40"/>
      <c r="I2629" s="41"/>
      <c r="J2629" s="41">
        <f t="shared" si="10"/>
        <v>94.84</v>
      </c>
      <c r="K2629" s="42" t="s">
        <v>5796</v>
      </c>
      <c r="L2629" s="39">
        <v>2418</v>
      </c>
    </row>
    <row r="2630" spans="1:12" ht="11.25" customHeight="1">
      <c r="A2630" s="39">
        <v>2419</v>
      </c>
      <c r="B2630" s="40" t="s">
        <v>15941</v>
      </c>
      <c r="C2630" s="40" t="s">
        <v>15942</v>
      </c>
      <c r="D2630" s="40" t="s">
        <v>15943</v>
      </c>
      <c r="E2630" s="41">
        <v>94.75</v>
      </c>
      <c r="F2630" s="40"/>
      <c r="G2630" s="41"/>
      <c r="H2630" s="40"/>
      <c r="I2630" s="41"/>
      <c r="J2630" s="41">
        <f t="shared" si="10"/>
        <v>94.75</v>
      </c>
      <c r="K2630" s="42" t="s">
        <v>5796</v>
      </c>
      <c r="L2630" s="39">
        <v>2419</v>
      </c>
    </row>
    <row r="2631" spans="1:12" ht="11.25" customHeight="1">
      <c r="A2631" s="39">
        <v>2421</v>
      </c>
      <c r="B2631" s="40" t="s">
        <v>15944</v>
      </c>
      <c r="C2631" s="40" t="s">
        <v>15945</v>
      </c>
      <c r="D2631" s="40" t="s">
        <v>15946</v>
      </c>
      <c r="E2631" s="41">
        <v>94.07</v>
      </c>
      <c r="F2631" s="40"/>
      <c r="G2631" s="41"/>
      <c r="H2631" s="40"/>
      <c r="I2631" s="41"/>
      <c r="J2631" s="41">
        <f t="shared" si="10"/>
        <v>94.07</v>
      </c>
      <c r="K2631" s="42" t="s">
        <v>5796</v>
      </c>
      <c r="L2631" s="39">
        <v>2421</v>
      </c>
    </row>
    <row r="2632" spans="1:12" ht="11.25" customHeight="1">
      <c r="A2632" s="39">
        <v>2422</v>
      </c>
      <c r="B2632" s="40" t="s">
        <v>15947</v>
      </c>
      <c r="C2632" s="40" t="s">
        <v>15948</v>
      </c>
      <c r="D2632" s="40" t="s">
        <v>15949</v>
      </c>
      <c r="E2632" s="41">
        <v>94.02</v>
      </c>
      <c r="F2632" s="40"/>
      <c r="G2632" s="41"/>
      <c r="H2632" s="40"/>
      <c r="I2632" s="41"/>
      <c r="J2632" s="41">
        <f t="shared" si="10"/>
        <v>94.02</v>
      </c>
      <c r="K2632" s="42" t="s">
        <v>5796</v>
      </c>
      <c r="L2632" s="39">
        <v>2422</v>
      </c>
    </row>
    <row r="2633" spans="1:12" ht="11.25" customHeight="1">
      <c r="A2633" s="39">
        <v>2423</v>
      </c>
      <c r="B2633" s="40" t="s">
        <v>15950</v>
      </c>
      <c r="C2633" s="40" t="s">
        <v>15951</v>
      </c>
      <c r="D2633" s="40" t="s">
        <v>15952</v>
      </c>
      <c r="E2633" s="41">
        <v>94.02</v>
      </c>
      <c r="F2633" s="40"/>
      <c r="G2633" s="41"/>
      <c r="H2633" s="40"/>
      <c r="I2633" s="41"/>
      <c r="J2633" s="41">
        <f t="shared" si="10"/>
        <v>94.02</v>
      </c>
      <c r="K2633" s="42" t="s">
        <v>5796</v>
      </c>
      <c r="L2633" s="39">
        <v>2423</v>
      </c>
    </row>
    <row r="2634" spans="1:12" ht="11.25" customHeight="1">
      <c r="A2634" s="39">
        <v>2426</v>
      </c>
      <c r="B2634" s="40" t="s">
        <v>15953</v>
      </c>
      <c r="C2634" s="40" t="s">
        <v>15954</v>
      </c>
      <c r="D2634" s="40" t="s">
        <v>15955</v>
      </c>
      <c r="E2634" s="41">
        <v>93.31</v>
      </c>
      <c r="F2634" s="40"/>
      <c r="G2634" s="41"/>
      <c r="H2634" s="40"/>
      <c r="I2634" s="41"/>
      <c r="J2634" s="41">
        <f t="shared" si="10"/>
        <v>93.31</v>
      </c>
      <c r="K2634" s="42" t="s">
        <v>5796</v>
      </c>
      <c r="L2634" s="39">
        <v>2426</v>
      </c>
    </row>
    <row r="2635" spans="1:12" ht="11.25" customHeight="1">
      <c r="A2635" s="39">
        <v>2429</v>
      </c>
      <c r="B2635" s="40" t="s">
        <v>15956</v>
      </c>
      <c r="C2635" s="40" t="s">
        <v>15957</v>
      </c>
      <c r="D2635" s="40" t="s">
        <v>15958</v>
      </c>
      <c r="E2635" s="41">
        <v>92.89</v>
      </c>
      <c r="F2635" s="40"/>
      <c r="G2635" s="41"/>
      <c r="H2635" s="40"/>
      <c r="I2635" s="41"/>
      <c r="J2635" s="41">
        <f t="shared" si="10"/>
        <v>92.89</v>
      </c>
      <c r="K2635" s="42" t="s">
        <v>5796</v>
      </c>
      <c r="L2635" s="39">
        <v>2429</v>
      </c>
    </row>
    <row r="2636" spans="1:12" ht="11.25" customHeight="1">
      <c r="A2636" s="39">
        <v>2431</v>
      </c>
      <c r="B2636" s="40" t="s">
        <v>15959</v>
      </c>
      <c r="C2636" s="40" t="s">
        <v>15960</v>
      </c>
      <c r="D2636" s="40" t="s">
        <v>15961</v>
      </c>
      <c r="E2636" s="41">
        <v>92.56</v>
      </c>
      <c r="F2636" s="40"/>
      <c r="G2636" s="41"/>
      <c r="H2636" s="40"/>
      <c r="I2636" s="41"/>
      <c r="J2636" s="41">
        <f t="shared" si="10"/>
        <v>92.56</v>
      </c>
      <c r="K2636" s="42" t="s">
        <v>5796</v>
      </c>
      <c r="L2636" s="39">
        <v>2431</v>
      </c>
    </row>
    <row r="2637" spans="1:12" ht="11.25" customHeight="1">
      <c r="A2637" s="39">
        <v>2432</v>
      </c>
      <c r="B2637" s="40" t="s">
        <v>15962</v>
      </c>
      <c r="C2637" s="40" t="s">
        <v>15963</v>
      </c>
      <c r="D2637" s="40" t="s">
        <v>15964</v>
      </c>
      <c r="E2637" s="41">
        <v>92.54</v>
      </c>
      <c r="F2637" s="40"/>
      <c r="G2637" s="41"/>
      <c r="H2637" s="40"/>
      <c r="I2637" s="41"/>
      <c r="J2637" s="41">
        <f t="shared" si="10"/>
        <v>92.54</v>
      </c>
      <c r="K2637" s="42" t="s">
        <v>5796</v>
      </c>
      <c r="L2637" s="39">
        <v>2432</v>
      </c>
    </row>
    <row r="2638" spans="1:12" ht="11.25" customHeight="1">
      <c r="A2638" s="39">
        <v>2435</v>
      </c>
      <c r="B2638" s="40" t="s">
        <v>8057</v>
      </c>
      <c r="C2638" s="40" t="s">
        <v>15965</v>
      </c>
      <c r="D2638" s="40" t="s">
        <v>15966</v>
      </c>
      <c r="E2638" s="41">
        <v>91.96</v>
      </c>
      <c r="F2638" s="40"/>
      <c r="G2638" s="41"/>
      <c r="H2638" s="40"/>
      <c r="I2638" s="41"/>
      <c r="J2638" s="41">
        <f t="shared" si="10"/>
        <v>91.96</v>
      </c>
      <c r="K2638" s="42" t="s">
        <v>5796</v>
      </c>
      <c r="L2638" s="39">
        <v>2435</v>
      </c>
    </row>
    <row r="2639" spans="1:12" ht="11.25" customHeight="1">
      <c r="A2639" s="39">
        <v>2436</v>
      </c>
      <c r="B2639" s="40" t="s">
        <v>15967</v>
      </c>
      <c r="C2639" s="40" t="s">
        <v>15968</v>
      </c>
      <c r="D2639" s="40" t="s">
        <v>15969</v>
      </c>
      <c r="E2639" s="41">
        <v>91.85</v>
      </c>
      <c r="F2639" s="40"/>
      <c r="G2639" s="41"/>
      <c r="H2639" s="40"/>
      <c r="I2639" s="41"/>
      <c r="J2639" s="41">
        <f t="shared" si="10"/>
        <v>91.85</v>
      </c>
      <c r="K2639" s="42" t="s">
        <v>5796</v>
      </c>
      <c r="L2639" s="39">
        <v>2436</v>
      </c>
    </row>
    <row r="2640" spans="1:12" ht="11.25" customHeight="1">
      <c r="A2640" s="39">
        <v>2437</v>
      </c>
      <c r="B2640" s="40" t="s">
        <v>15970</v>
      </c>
      <c r="C2640" s="40" t="s">
        <v>15971</v>
      </c>
      <c r="D2640" s="40" t="s">
        <v>3574</v>
      </c>
      <c r="E2640" s="41">
        <v>91.79</v>
      </c>
      <c r="F2640" s="40"/>
      <c r="G2640" s="41"/>
      <c r="H2640" s="40"/>
      <c r="I2640" s="41"/>
      <c r="J2640" s="41">
        <f t="shared" si="10"/>
        <v>91.79</v>
      </c>
      <c r="K2640" s="42" t="s">
        <v>5796</v>
      </c>
      <c r="L2640" s="39">
        <v>2437</v>
      </c>
    </row>
    <row r="2641" spans="1:12" ht="11.25" customHeight="1">
      <c r="A2641" s="39">
        <v>2439</v>
      </c>
      <c r="B2641" s="40" t="s">
        <v>15972</v>
      </c>
      <c r="C2641" s="40" t="s">
        <v>15973</v>
      </c>
      <c r="D2641" s="40" t="s">
        <v>15974</v>
      </c>
      <c r="E2641" s="41">
        <v>91.54</v>
      </c>
      <c r="F2641" s="40"/>
      <c r="G2641" s="41"/>
      <c r="H2641" s="40"/>
      <c r="I2641" s="41"/>
      <c r="J2641" s="41">
        <f t="shared" si="10"/>
        <v>91.54</v>
      </c>
      <c r="K2641" s="42" t="s">
        <v>5796</v>
      </c>
      <c r="L2641" s="39">
        <v>2439</v>
      </c>
    </row>
    <row r="2642" spans="1:12" ht="11.25" customHeight="1">
      <c r="A2642" s="39">
        <v>2440</v>
      </c>
      <c r="B2642" s="40" t="s">
        <v>15975</v>
      </c>
      <c r="C2642" s="40" t="s">
        <v>15976</v>
      </c>
      <c r="D2642" s="40" t="s">
        <v>15977</v>
      </c>
      <c r="E2642" s="41">
        <v>91.41</v>
      </c>
      <c r="F2642" s="40"/>
      <c r="G2642" s="41"/>
      <c r="H2642" s="40"/>
      <c r="I2642" s="41"/>
      <c r="J2642" s="41">
        <f t="shared" si="10"/>
        <v>91.41</v>
      </c>
      <c r="K2642" s="42" t="s">
        <v>5796</v>
      </c>
      <c r="L2642" s="39">
        <v>2440</v>
      </c>
    </row>
    <row r="2643" spans="1:12" ht="11.25" customHeight="1">
      <c r="A2643" s="39">
        <v>2441</v>
      </c>
      <c r="B2643" s="40" t="s">
        <v>15978</v>
      </c>
      <c r="C2643" s="40" t="s">
        <v>15979</v>
      </c>
      <c r="D2643" s="40" t="s">
        <v>15980</v>
      </c>
      <c r="E2643" s="41">
        <v>91.37</v>
      </c>
      <c r="F2643" s="40"/>
      <c r="G2643" s="41"/>
      <c r="H2643" s="40"/>
      <c r="I2643" s="41"/>
      <c r="J2643" s="41">
        <f t="shared" si="10"/>
        <v>91.37</v>
      </c>
      <c r="K2643" s="42" t="s">
        <v>5796</v>
      </c>
      <c r="L2643" s="39">
        <v>2441</v>
      </c>
    </row>
    <row r="2644" spans="1:12" ht="11.25" customHeight="1">
      <c r="A2644" s="39">
        <v>2442</v>
      </c>
      <c r="B2644" s="40" t="s">
        <v>7814</v>
      </c>
      <c r="C2644" s="40" t="s">
        <v>15981</v>
      </c>
      <c r="D2644" s="40" t="s">
        <v>15982</v>
      </c>
      <c r="E2644" s="41">
        <v>91.37</v>
      </c>
      <c r="F2644" s="40"/>
      <c r="G2644" s="41"/>
      <c r="H2644" s="40"/>
      <c r="I2644" s="41"/>
      <c r="J2644" s="41">
        <f t="shared" si="10"/>
        <v>91.37</v>
      </c>
      <c r="K2644" s="42" t="s">
        <v>5796</v>
      </c>
      <c r="L2644" s="39">
        <v>2442</v>
      </c>
    </row>
    <row r="2645" spans="1:12" ht="11.25" customHeight="1">
      <c r="A2645" s="39">
        <v>2444</v>
      </c>
      <c r="B2645" s="40" t="s">
        <v>15983</v>
      </c>
      <c r="C2645" s="40" t="s">
        <v>15984</v>
      </c>
      <c r="D2645" s="40" t="s">
        <v>15985</v>
      </c>
      <c r="E2645" s="41">
        <v>91.1</v>
      </c>
      <c r="F2645" s="40"/>
      <c r="G2645" s="41"/>
      <c r="H2645" s="40"/>
      <c r="I2645" s="41"/>
      <c r="J2645" s="41">
        <f t="shared" si="10"/>
        <v>91.1</v>
      </c>
      <c r="K2645" s="42" t="s">
        <v>5796</v>
      </c>
      <c r="L2645" s="39">
        <v>2444</v>
      </c>
    </row>
    <row r="2646" spans="1:12" ht="11.25" customHeight="1">
      <c r="A2646" s="39">
        <v>2446</v>
      </c>
      <c r="B2646" s="40" t="s">
        <v>15986</v>
      </c>
      <c r="C2646" s="40" t="s">
        <v>15987</v>
      </c>
      <c r="D2646" s="40" t="s">
        <v>15988</v>
      </c>
      <c r="E2646" s="41">
        <v>90.91</v>
      </c>
      <c r="F2646" s="40"/>
      <c r="G2646" s="41"/>
      <c r="H2646" s="40" t="s">
        <v>15989</v>
      </c>
      <c r="I2646" s="41">
        <v>90.914049999999989</v>
      </c>
      <c r="J2646" s="41">
        <f t="shared" si="10"/>
        <v>90.912025</v>
      </c>
      <c r="K2646" s="42" t="s">
        <v>5796</v>
      </c>
      <c r="L2646" s="39">
        <v>2446</v>
      </c>
    </row>
    <row r="2647" spans="1:12" ht="11.25" customHeight="1">
      <c r="A2647" s="39">
        <v>2447</v>
      </c>
      <c r="B2647" s="40" t="s">
        <v>15990</v>
      </c>
      <c r="C2647" s="40" t="s">
        <v>15991</v>
      </c>
      <c r="D2647" s="40" t="s">
        <v>15992</v>
      </c>
      <c r="E2647" s="41">
        <v>90.78</v>
      </c>
      <c r="F2647" s="40"/>
      <c r="G2647" s="41"/>
      <c r="H2647" s="40"/>
      <c r="I2647" s="41"/>
      <c r="J2647" s="41">
        <f t="shared" si="10"/>
        <v>90.78</v>
      </c>
      <c r="K2647" s="42" t="s">
        <v>5796</v>
      </c>
      <c r="L2647" s="39">
        <v>2447</v>
      </c>
    </row>
    <row r="2648" spans="1:12" ht="11.25" customHeight="1">
      <c r="A2648" s="39">
        <v>2448</v>
      </c>
      <c r="B2648" s="40" t="s">
        <v>15993</v>
      </c>
      <c r="C2648" s="40" t="s">
        <v>15994</v>
      </c>
      <c r="D2648" s="40" t="s">
        <v>15995</v>
      </c>
      <c r="E2648" s="41">
        <v>90.5</v>
      </c>
      <c r="F2648" s="40"/>
      <c r="G2648" s="41"/>
      <c r="H2648" s="40"/>
      <c r="I2648" s="41"/>
      <c r="J2648" s="41">
        <f t="shared" si="10"/>
        <v>90.5</v>
      </c>
      <c r="K2648" s="42" t="s">
        <v>5796</v>
      </c>
      <c r="L2648" s="39">
        <v>2448</v>
      </c>
    </row>
    <row r="2649" spans="1:12" ht="11.25" customHeight="1">
      <c r="A2649" s="39">
        <v>2449</v>
      </c>
      <c r="B2649" s="40" t="s">
        <v>15996</v>
      </c>
      <c r="C2649" s="40" t="s">
        <v>15997</v>
      </c>
      <c r="D2649" s="40" t="s">
        <v>15998</v>
      </c>
      <c r="E2649" s="41">
        <v>90.3</v>
      </c>
      <c r="F2649" s="40"/>
      <c r="G2649" s="41"/>
      <c r="H2649" s="40"/>
      <c r="I2649" s="41"/>
      <c r="J2649" s="41">
        <f t="shared" si="10"/>
        <v>90.3</v>
      </c>
      <c r="K2649" s="42" t="s">
        <v>5796</v>
      </c>
      <c r="L2649" s="39">
        <v>2449</v>
      </c>
    </row>
    <row r="2650" spans="1:12" ht="11.25" customHeight="1">
      <c r="A2650" s="39">
        <v>2452</v>
      </c>
      <c r="B2650" s="40" t="s">
        <v>15999</v>
      </c>
      <c r="C2650" s="40" t="s">
        <v>16000</v>
      </c>
      <c r="D2650" s="40" t="s">
        <v>16001</v>
      </c>
      <c r="E2650" s="41">
        <v>90.21</v>
      </c>
      <c r="F2650" s="40"/>
      <c r="G2650" s="41"/>
      <c r="H2650" s="40"/>
      <c r="I2650" s="41"/>
      <c r="J2650" s="41">
        <f t="shared" si="10"/>
        <v>90.21</v>
      </c>
      <c r="K2650" s="42" t="s">
        <v>5796</v>
      </c>
      <c r="L2650" s="39">
        <v>2452</v>
      </c>
    </row>
    <row r="2651" spans="1:12" ht="11.25" customHeight="1">
      <c r="A2651" s="39">
        <v>2453</v>
      </c>
      <c r="B2651" s="40" t="s">
        <v>16002</v>
      </c>
      <c r="C2651" s="40" t="s">
        <v>16003</v>
      </c>
      <c r="D2651" s="40" t="s">
        <v>16004</v>
      </c>
      <c r="E2651" s="41">
        <v>89.98</v>
      </c>
      <c r="F2651" s="40"/>
      <c r="G2651" s="41"/>
      <c r="H2651" s="40"/>
      <c r="I2651" s="41"/>
      <c r="J2651" s="41">
        <f t="shared" si="10"/>
        <v>89.98</v>
      </c>
      <c r="K2651" s="42" t="s">
        <v>5796</v>
      </c>
      <c r="L2651" s="39">
        <v>2453</v>
      </c>
    </row>
    <row r="2652" spans="1:12" ht="11.25" customHeight="1">
      <c r="A2652" s="39">
        <v>2455</v>
      </c>
      <c r="B2652" s="40" t="s">
        <v>8151</v>
      </c>
      <c r="C2652" s="40" t="s">
        <v>16005</v>
      </c>
      <c r="D2652" s="40" t="s">
        <v>16006</v>
      </c>
      <c r="E2652" s="41">
        <v>89.186339162312493</v>
      </c>
      <c r="F2652" s="40"/>
      <c r="G2652" s="41"/>
      <c r="H2652" s="40"/>
      <c r="I2652" s="41"/>
      <c r="J2652" s="41">
        <f t="shared" si="10"/>
        <v>89.186339162312493</v>
      </c>
      <c r="K2652" s="42" t="s">
        <v>5796</v>
      </c>
      <c r="L2652" s="39">
        <v>2455</v>
      </c>
    </row>
    <row r="2653" spans="1:12" ht="11.25" customHeight="1">
      <c r="A2653" s="39">
        <v>2456</v>
      </c>
      <c r="B2653" s="40" t="s">
        <v>16007</v>
      </c>
      <c r="C2653" s="40" t="s">
        <v>16008</v>
      </c>
      <c r="D2653" s="40" t="s">
        <v>16009</v>
      </c>
      <c r="E2653" s="41">
        <v>88.64</v>
      </c>
      <c r="F2653" s="40"/>
      <c r="G2653" s="41"/>
      <c r="H2653" s="40"/>
      <c r="I2653" s="41"/>
      <c r="J2653" s="41">
        <f t="shared" si="10"/>
        <v>88.64</v>
      </c>
      <c r="K2653" s="42" t="s">
        <v>5796</v>
      </c>
      <c r="L2653" s="39">
        <v>2456</v>
      </c>
    </row>
    <row r="2654" spans="1:12" ht="11.25" customHeight="1">
      <c r="A2654" s="39">
        <v>2458</v>
      </c>
      <c r="B2654" s="40" t="s">
        <v>16010</v>
      </c>
      <c r="C2654" s="40" t="s">
        <v>16011</v>
      </c>
      <c r="D2654" s="40" t="s">
        <v>16012</v>
      </c>
      <c r="E2654" s="41">
        <v>88.51</v>
      </c>
      <c r="F2654" s="40"/>
      <c r="G2654" s="41"/>
      <c r="H2654" s="40"/>
      <c r="I2654" s="41"/>
      <c r="J2654" s="41">
        <f t="shared" si="10"/>
        <v>88.51</v>
      </c>
      <c r="K2654" s="42" t="s">
        <v>5796</v>
      </c>
      <c r="L2654" s="39">
        <v>2458</v>
      </c>
    </row>
    <row r="2655" spans="1:12" ht="11.25" customHeight="1">
      <c r="A2655" s="39">
        <v>2459</v>
      </c>
      <c r="B2655" s="40" t="s">
        <v>16013</v>
      </c>
      <c r="C2655" s="40" t="s">
        <v>16014</v>
      </c>
      <c r="D2655" s="40" t="s">
        <v>16015</v>
      </c>
      <c r="E2655" s="41">
        <v>88.41</v>
      </c>
      <c r="F2655" s="40"/>
      <c r="G2655" s="41"/>
      <c r="H2655" s="40"/>
      <c r="I2655" s="41"/>
      <c r="J2655" s="41">
        <f t="shared" si="10"/>
        <v>88.41</v>
      </c>
      <c r="K2655" s="42" t="s">
        <v>5796</v>
      </c>
      <c r="L2655" s="39">
        <v>2459</v>
      </c>
    </row>
    <row r="2656" spans="1:12" ht="11.25" customHeight="1">
      <c r="A2656" s="39">
        <v>2460</v>
      </c>
      <c r="B2656" s="40" t="s">
        <v>16016</v>
      </c>
      <c r="C2656" s="40" t="s">
        <v>16017</v>
      </c>
      <c r="D2656" s="40" t="s">
        <v>16018</v>
      </c>
      <c r="E2656" s="41">
        <v>88.22</v>
      </c>
      <c r="F2656" s="40"/>
      <c r="G2656" s="41"/>
      <c r="H2656" s="40"/>
      <c r="I2656" s="41"/>
      <c r="J2656" s="41">
        <f t="shared" si="10"/>
        <v>88.22</v>
      </c>
      <c r="K2656" s="42" t="s">
        <v>5796</v>
      </c>
      <c r="L2656" s="39">
        <v>2460</v>
      </c>
    </row>
    <row r="2657" spans="1:12" ht="11.25" customHeight="1">
      <c r="A2657" s="39">
        <v>2461</v>
      </c>
      <c r="B2657" s="40" t="s">
        <v>16019</v>
      </c>
      <c r="C2657" s="40" t="s">
        <v>16020</v>
      </c>
      <c r="D2657" s="40" t="s">
        <v>16021</v>
      </c>
      <c r="E2657" s="41">
        <v>88.15</v>
      </c>
      <c r="F2657" s="40"/>
      <c r="G2657" s="41"/>
      <c r="H2657" s="40"/>
      <c r="I2657" s="41"/>
      <c r="J2657" s="41">
        <f t="shared" si="10"/>
        <v>88.15</v>
      </c>
      <c r="K2657" s="42" t="s">
        <v>5796</v>
      </c>
      <c r="L2657" s="39">
        <v>2461</v>
      </c>
    </row>
    <row r="2658" spans="1:12" ht="11.25" customHeight="1">
      <c r="A2658" s="39">
        <v>2462</v>
      </c>
      <c r="B2658" s="40" t="s">
        <v>16022</v>
      </c>
      <c r="C2658" s="40" t="s">
        <v>16023</v>
      </c>
      <c r="D2658" s="40" t="s">
        <v>16024</v>
      </c>
      <c r="E2658" s="41">
        <v>88.14</v>
      </c>
      <c r="F2658" s="40"/>
      <c r="G2658" s="41"/>
      <c r="H2658" s="40"/>
      <c r="I2658" s="41"/>
      <c r="J2658" s="41">
        <f t="shared" si="10"/>
        <v>88.14</v>
      </c>
      <c r="K2658" s="42" t="s">
        <v>5796</v>
      </c>
      <c r="L2658" s="39">
        <v>2462</v>
      </c>
    </row>
    <row r="2659" spans="1:12" ht="11.25" customHeight="1">
      <c r="A2659" s="39">
        <v>2463</v>
      </c>
      <c r="B2659" s="40" t="s">
        <v>16025</v>
      </c>
      <c r="C2659" s="40" t="s">
        <v>16026</v>
      </c>
      <c r="D2659" s="40" t="s">
        <v>16027</v>
      </c>
      <c r="E2659" s="41">
        <v>87.94</v>
      </c>
      <c r="F2659" s="40"/>
      <c r="G2659" s="41"/>
      <c r="H2659" s="40"/>
      <c r="I2659" s="41"/>
      <c r="J2659" s="41">
        <f t="shared" si="10"/>
        <v>87.94</v>
      </c>
      <c r="K2659" s="42" t="s">
        <v>5796</v>
      </c>
      <c r="L2659" s="39">
        <v>2463</v>
      </c>
    </row>
    <row r="2660" spans="1:12" ht="11.25" customHeight="1">
      <c r="A2660" s="39">
        <v>2464</v>
      </c>
      <c r="B2660" s="40" t="s">
        <v>16028</v>
      </c>
      <c r="C2660" s="40" t="s">
        <v>16029</v>
      </c>
      <c r="D2660" s="40" t="s">
        <v>16030</v>
      </c>
      <c r="E2660" s="41">
        <v>87.93</v>
      </c>
      <c r="F2660" s="40"/>
      <c r="G2660" s="41"/>
      <c r="H2660" s="40"/>
      <c r="I2660" s="41"/>
      <c r="J2660" s="41">
        <f t="shared" si="10"/>
        <v>87.93</v>
      </c>
      <c r="K2660" s="42" t="s">
        <v>5796</v>
      </c>
      <c r="L2660" s="39">
        <v>2464</v>
      </c>
    </row>
    <row r="2661" spans="1:12" ht="11.25" customHeight="1">
      <c r="A2661" s="39">
        <v>2467</v>
      </c>
      <c r="B2661" s="40" t="s">
        <v>16031</v>
      </c>
      <c r="C2661" s="40" t="s">
        <v>16032</v>
      </c>
      <c r="D2661" s="40" t="s">
        <v>16033</v>
      </c>
      <c r="E2661" s="41">
        <v>87.45</v>
      </c>
      <c r="F2661" s="40"/>
      <c r="G2661" s="41"/>
      <c r="H2661" s="40"/>
      <c r="I2661" s="41"/>
      <c r="J2661" s="41">
        <f t="shared" si="10"/>
        <v>87.45</v>
      </c>
      <c r="K2661" s="42" t="s">
        <v>5796</v>
      </c>
      <c r="L2661" s="39">
        <v>2467</v>
      </c>
    </row>
    <row r="2662" spans="1:12" ht="11.25" customHeight="1">
      <c r="A2662" s="39">
        <v>2468</v>
      </c>
      <c r="B2662" s="40" t="s">
        <v>16034</v>
      </c>
      <c r="C2662" s="40" t="s">
        <v>16035</v>
      </c>
      <c r="D2662" s="40" t="s">
        <v>16036</v>
      </c>
      <c r="E2662" s="41">
        <v>87.25</v>
      </c>
      <c r="F2662" s="40"/>
      <c r="G2662" s="41"/>
      <c r="H2662" s="40"/>
      <c r="I2662" s="41"/>
      <c r="J2662" s="41">
        <f t="shared" si="10"/>
        <v>87.25</v>
      </c>
      <c r="K2662" s="42" t="s">
        <v>5796</v>
      </c>
      <c r="L2662" s="39">
        <v>2468</v>
      </c>
    </row>
    <row r="2663" spans="1:12" ht="11.25" customHeight="1">
      <c r="A2663" s="39">
        <v>2469</v>
      </c>
      <c r="B2663" s="40" t="s">
        <v>16037</v>
      </c>
      <c r="C2663" s="40" t="s">
        <v>16038</v>
      </c>
      <c r="D2663" s="40" t="s">
        <v>16039</v>
      </c>
      <c r="E2663" s="41">
        <v>87.179500000000004</v>
      </c>
      <c r="F2663" s="40"/>
      <c r="G2663" s="41"/>
      <c r="H2663" s="40"/>
      <c r="I2663" s="41"/>
      <c r="J2663" s="41">
        <f t="shared" si="10"/>
        <v>87.179500000000004</v>
      </c>
      <c r="K2663" s="42" t="s">
        <v>5796</v>
      </c>
      <c r="L2663" s="39">
        <v>2469</v>
      </c>
    </row>
    <row r="2664" spans="1:12" ht="11.25" customHeight="1">
      <c r="A2664" s="39">
        <v>2470</v>
      </c>
      <c r="B2664" s="40" t="s">
        <v>16040</v>
      </c>
      <c r="C2664" s="40" t="s">
        <v>16041</v>
      </c>
      <c r="D2664" s="40" t="s">
        <v>16042</v>
      </c>
      <c r="E2664" s="41">
        <v>87.06</v>
      </c>
      <c r="F2664" s="40"/>
      <c r="G2664" s="41"/>
      <c r="H2664" s="40"/>
      <c r="I2664" s="41"/>
      <c r="J2664" s="41">
        <f t="shared" si="10"/>
        <v>87.06</v>
      </c>
      <c r="K2664" s="42" t="s">
        <v>5796</v>
      </c>
      <c r="L2664" s="39">
        <v>2470</v>
      </c>
    </row>
    <row r="2665" spans="1:12" ht="11.25" customHeight="1">
      <c r="A2665" s="39">
        <v>2473</v>
      </c>
      <c r="B2665" s="40" t="s">
        <v>16043</v>
      </c>
      <c r="C2665" s="40" t="s">
        <v>16044</v>
      </c>
      <c r="D2665" s="40" t="s">
        <v>16045</v>
      </c>
      <c r="E2665" s="41">
        <v>86.02</v>
      </c>
      <c r="F2665" s="40"/>
      <c r="G2665" s="41"/>
      <c r="H2665" s="40"/>
      <c r="I2665" s="41"/>
      <c r="J2665" s="41">
        <f t="shared" si="10"/>
        <v>86.02</v>
      </c>
      <c r="K2665" s="42" t="s">
        <v>5796</v>
      </c>
      <c r="L2665" s="39">
        <v>2473</v>
      </c>
    </row>
    <row r="2666" spans="1:12" ht="11.25" customHeight="1">
      <c r="A2666" s="39">
        <v>2474</v>
      </c>
      <c r="B2666" s="40" t="s">
        <v>16046</v>
      </c>
      <c r="C2666" s="40" t="s">
        <v>16047</v>
      </c>
      <c r="D2666" s="40" t="s">
        <v>16048</v>
      </c>
      <c r="E2666" s="41">
        <v>85.6</v>
      </c>
      <c r="F2666" s="40"/>
      <c r="G2666" s="41"/>
      <c r="H2666" s="40"/>
      <c r="I2666" s="41"/>
      <c r="J2666" s="41">
        <f t="shared" si="10"/>
        <v>85.6</v>
      </c>
      <c r="K2666" s="42" t="s">
        <v>5796</v>
      </c>
      <c r="L2666" s="39">
        <v>2474</v>
      </c>
    </row>
    <row r="2667" spans="1:12" ht="11.25" customHeight="1">
      <c r="A2667" s="39">
        <v>2476</v>
      </c>
      <c r="B2667" s="40" t="s">
        <v>16049</v>
      </c>
      <c r="C2667" s="40" t="s">
        <v>16050</v>
      </c>
      <c r="D2667" s="40" t="s">
        <v>16051</v>
      </c>
      <c r="E2667" s="41">
        <v>85.34</v>
      </c>
      <c r="F2667" s="40"/>
      <c r="G2667" s="41"/>
      <c r="H2667" s="40"/>
      <c r="I2667" s="41"/>
      <c r="J2667" s="41">
        <f t="shared" si="10"/>
        <v>85.34</v>
      </c>
      <c r="K2667" s="42" t="s">
        <v>5796</v>
      </c>
      <c r="L2667" s="39">
        <v>2476</v>
      </c>
    </row>
    <row r="2668" spans="1:12" ht="11.25" customHeight="1">
      <c r="A2668" s="39">
        <v>2477</v>
      </c>
      <c r="B2668" s="40" t="s">
        <v>16052</v>
      </c>
      <c r="C2668" s="40" t="s">
        <v>16053</v>
      </c>
      <c r="D2668" s="40" t="s">
        <v>16054</v>
      </c>
      <c r="E2668" s="41">
        <v>85.32</v>
      </c>
      <c r="F2668" s="40"/>
      <c r="G2668" s="41"/>
      <c r="H2668" s="40"/>
      <c r="I2668" s="41"/>
      <c r="J2668" s="41">
        <f t="shared" si="10"/>
        <v>85.32</v>
      </c>
      <c r="K2668" s="42" t="s">
        <v>5796</v>
      </c>
      <c r="L2668" s="39">
        <v>2477</v>
      </c>
    </row>
    <row r="2669" spans="1:12" ht="11.25" customHeight="1">
      <c r="A2669" s="39">
        <v>2478</v>
      </c>
      <c r="B2669" s="40" t="s">
        <v>16055</v>
      </c>
      <c r="C2669" s="40" t="s">
        <v>16056</v>
      </c>
      <c r="D2669" s="40" t="s">
        <v>16057</v>
      </c>
      <c r="E2669" s="41">
        <v>85.25</v>
      </c>
      <c r="F2669" s="40"/>
      <c r="G2669" s="41"/>
      <c r="H2669" s="40"/>
      <c r="I2669" s="41"/>
      <c r="J2669" s="41">
        <f t="shared" si="10"/>
        <v>85.25</v>
      </c>
      <c r="K2669" s="42" t="s">
        <v>5796</v>
      </c>
      <c r="L2669" s="39">
        <v>2478</v>
      </c>
    </row>
    <row r="2670" spans="1:12" ht="11.25" customHeight="1">
      <c r="A2670" s="39">
        <v>2479</v>
      </c>
      <c r="B2670" s="40" t="s">
        <v>16058</v>
      </c>
      <c r="C2670" s="40" t="s">
        <v>16059</v>
      </c>
      <c r="D2670" s="40" t="s">
        <v>16060</v>
      </c>
      <c r="E2670" s="41">
        <v>85.2</v>
      </c>
      <c r="F2670" s="40"/>
      <c r="G2670" s="41"/>
      <c r="H2670" s="40"/>
      <c r="I2670" s="41"/>
      <c r="J2670" s="41">
        <f t="shared" si="10"/>
        <v>85.2</v>
      </c>
      <c r="K2670" s="42" t="s">
        <v>5796</v>
      </c>
      <c r="L2670" s="39">
        <v>2479</v>
      </c>
    </row>
    <row r="2671" spans="1:12" ht="11.25" customHeight="1">
      <c r="A2671" s="39">
        <v>2480</v>
      </c>
      <c r="B2671" s="40" t="s">
        <v>16061</v>
      </c>
      <c r="C2671" s="40" t="s">
        <v>16062</v>
      </c>
      <c r="D2671" s="40" t="s">
        <v>16063</v>
      </c>
      <c r="E2671" s="41">
        <v>85.19</v>
      </c>
      <c r="F2671" s="40"/>
      <c r="G2671" s="41"/>
      <c r="H2671" s="40"/>
      <c r="I2671" s="41"/>
      <c r="J2671" s="41">
        <f t="shared" si="10"/>
        <v>85.19</v>
      </c>
      <c r="K2671" s="42" t="s">
        <v>5796</v>
      </c>
      <c r="L2671" s="39">
        <v>2480</v>
      </c>
    </row>
    <row r="2672" spans="1:12" ht="11.25" customHeight="1">
      <c r="A2672" s="39">
        <v>2481</v>
      </c>
      <c r="B2672" s="40" t="s">
        <v>16064</v>
      </c>
      <c r="C2672" s="40" t="s">
        <v>16065</v>
      </c>
      <c r="D2672" s="40" t="s">
        <v>16066</v>
      </c>
      <c r="E2672" s="41">
        <v>85.06</v>
      </c>
      <c r="F2672" s="40"/>
      <c r="G2672" s="41"/>
      <c r="H2672" s="40"/>
      <c r="I2672" s="41"/>
      <c r="J2672" s="41">
        <f t="shared" si="10"/>
        <v>85.06</v>
      </c>
      <c r="K2672" s="42" t="s">
        <v>5796</v>
      </c>
      <c r="L2672" s="39">
        <v>2481</v>
      </c>
    </row>
    <row r="2673" spans="1:12" ht="11.25" customHeight="1">
      <c r="A2673" s="39">
        <v>2482</v>
      </c>
      <c r="B2673" s="40" t="s">
        <v>16067</v>
      </c>
      <c r="C2673" s="40" t="s">
        <v>16068</v>
      </c>
      <c r="D2673" s="40" t="s">
        <v>16069</v>
      </c>
      <c r="E2673" s="41">
        <v>84.85</v>
      </c>
      <c r="F2673" s="40"/>
      <c r="G2673" s="41"/>
      <c r="H2673" s="40"/>
      <c r="I2673" s="41"/>
      <c r="J2673" s="41">
        <f t="shared" si="10"/>
        <v>84.85</v>
      </c>
      <c r="K2673" s="42" t="s">
        <v>5796</v>
      </c>
      <c r="L2673" s="39">
        <v>2482</v>
      </c>
    </row>
    <row r="2674" spans="1:12" ht="11.25" customHeight="1">
      <c r="A2674" s="39">
        <v>2484</v>
      </c>
      <c r="B2674" s="40" t="s">
        <v>16070</v>
      </c>
      <c r="C2674" s="40" t="s">
        <v>16071</v>
      </c>
      <c r="D2674" s="40" t="s">
        <v>16072</v>
      </c>
      <c r="E2674" s="41">
        <v>84.55</v>
      </c>
      <c r="F2674" s="40"/>
      <c r="G2674" s="41"/>
      <c r="H2674" s="40"/>
      <c r="I2674" s="41"/>
      <c r="J2674" s="41">
        <f t="shared" si="10"/>
        <v>84.55</v>
      </c>
      <c r="K2674" s="42" t="s">
        <v>5796</v>
      </c>
      <c r="L2674" s="39">
        <v>2484</v>
      </c>
    </row>
    <row r="2675" spans="1:12" ht="11.25" customHeight="1">
      <c r="A2675" s="39">
        <v>2485</v>
      </c>
      <c r="B2675" s="40" t="s">
        <v>16073</v>
      </c>
      <c r="C2675" s="40" t="s">
        <v>16074</v>
      </c>
      <c r="D2675" s="40" t="s">
        <v>16075</v>
      </c>
      <c r="E2675" s="41">
        <v>84.33</v>
      </c>
      <c r="F2675" s="40"/>
      <c r="G2675" s="41"/>
      <c r="H2675" s="40"/>
      <c r="I2675" s="41"/>
      <c r="J2675" s="41">
        <f t="shared" si="10"/>
        <v>84.33</v>
      </c>
      <c r="K2675" s="42" t="s">
        <v>5796</v>
      </c>
      <c r="L2675" s="39">
        <v>2485</v>
      </c>
    </row>
    <row r="2676" spans="1:12" ht="11.25" customHeight="1">
      <c r="A2676" s="39">
        <v>2486</v>
      </c>
      <c r="B2676" s="40" t="s">
        <v>16076</v>
      </c>
      <c r="C2676" s="40" t="s">
        <v>16077</v>
      </c>
      <c r="D2676" s="40" t="s">
        <v>16078</v>
      </c>
      <c r="E2676" s="41">
        <v>84.06</v>
      </c>
      <c r="F2676" s="40"/>
      <c r="G2676" s="41"/>
      <c r="H2676" s="40"/>
      <c r="I2676" s="41"/>
      <c r="J2676" s="41">
        <f t="shared" si="10"/>
        <v>84.06</v>
      </c>
      <c r="K2676" s="42" t="s">
        <v>5796</v>
      </c>
      <c r="L2676" s="39">
        <v>2486</v>
      </c>
    </row>
    <row r="2677" spans="1:12" ht="11.25" customHeight="1">
      <c r="A2677" s="39">
        <v>2487</v>
      </c>
      <c r="B2677" s="40" t="s">
        <v>16079</v>
      </c>
      <c r="C2677" s="40" t="s">
        <v>16080</v>
      </c>
      <c r="D2677" s="40" t="s">
        <v>16081</v>
      </c>
      <c r="E2677" s="41">
        <v>83.56</v>
      </c>
      <c r="F2677" s="40"/>
      <c r="G2677" s="41"/>
      <c r="H2677" s="40"/>
      <c r="I2677" s="41"/>
      <c r="J2677" s="41">
        <f t="shared" si="10"/>
        <v>83.56</v>
      </c>
      <c r="K2677" s="42" t="s">
        <v>5796</v>
      </c>
      <c r="L2677" s="39">
        <v>2487</v>
      </c>
    </row>
    <row r="2678" spans="1:12" ht="11.25" customHeight="1">
      <c r="A2678" s="39">
        <v>2489</v>
      </c>
      <c r="B2678" s="40" t="s">
        <v>16082</v>
      </c>
      <c r="C2678" s="40" t="s">
        <v>16083</v>
      </c>
      <c r="D2678" s="40" t="s">
        <v>16084</v>
      </c>
      <c r="E2678" s="41">
        <v>83.37</v>
      </c>
      <c r="F2678" s="40"/>
      <c r="G2678" s="41"/>
      <c r="H2678" s="40"/>
      <c r="I2678" s="41"/>
      <c r="J2678" s="41">
        <f t="shared" si="10"/>
        <v>83.37</v>
      </c>
      <c r="K2678" s="42" t="s">
        <v>5796</v>
      </c>
      <c r="L2678" s="39">
        <v>2489</v>
      </c>
    </row>
    <row r="2679" spans="1:12" ht="11.25" customHeight="1">
      <c r="A2679" s="39">
        <v>2490</v>
      </c>
      <c r="B2679" s="40" t="s">
        <v>16085</v>
      </c>
      <c r="C2679" s="40" t="s">
        <v>16086</v>
      </c>
      <c r="D2679" s="40" t="s">
        <v>16087</v>
      </c>
      <c r="E2679" s="41">
        <v>83.36</v>
      </c>
      <c r="F2679" s="40"/>
      <c r="G2679" s="41"/>
      <c r="H2679" s="40"/>
      <c r="I2679" s="41"/>
      <c r="J2679" s="41">
        <f t="shared" si="10"/>
        <v>83.36</v>
      </c>
      <c r="K2679" s="42" t="s">
        <v>5796</v>
      </c>
      <c r="L2679" s="39">
        <v>2490</v>
      </c>
    </row>
    <row r="2680" spans="1:12" ht="11.25" customHeight="1">
      <c r="A2680" s="39">
        <v>2491</v>
      </c>
      <c r="B2680" s="40" t="s">
        <v>16088</v>
      </c>
      <c r="C2680" s="40" t="s">
        <v>16089</v>
      </c>
      <c r="D2680" s="40" t="s">
        <v>16090</v>
      </c>
      <c r="E2680" s="41">
        <v>83.27</v>
      </c>
      <c r="F2680" s="40"/>
      <c r="G2680" s="41"/>
      <c r="H2680" s="40"/>
      <c r="I2680" s="41"/>
      <c r="J2680" s="41">
        <f t="shared" si="10"/>
        <v>83.27</v>
      </c>
      <c r="K2680" s="42" t="s">
        <v>5796</v>
      </c>
      <c r="L2680" s="39">
        <v>2491</v>
      </c>
    </row>
    <row r="2681" spans="1:12" ht="11.25" customHeight="1">
      <c r="A2681" s="39">
        <v>2492</v>
      </c>
      <c r="B2681" s="40" t="s">
        <v>16091</v>
      </c>
      <c r="C2681" s="40" t="s">
        <v>16092</v>
      </c>
      <c r="D2681" s="40" t="s">
        <v>16093</v>
      </c>
      <c r="E2681" s="41">
        <v>82.94</v>
      </c>
      <c r="F2681" s="40"/>
      <c r="G2681" s="41"/>
      <c r="H2681" s="40"/>
      <c r="I2681" s="41"/>
      <c r="J2681" s="41">
        <f t="shared" si="10"/>
        <v>82.94</v>
      </c>
      <c r="K2681" s="42" t="s">
        <v>5796</v>
      </c>
      <c r="L2681" s="39">
        <v>2492</v>
      </c>
    </row>
    <row r="2682" spans="1:12" ht="11.25" customHeight="1">
      <c r="A2682" s="39">
        <v>2494</v>
      </c>
      <c r="B2682" s="40" t="s">
        <v>16094</v>
      </c>
      <c r="C2682" s="40" t="s">
        <v>16095</v>
      </c>
      <c r="D2682" s="40" t="s">
        <v>16096</v>
      </c>
      <c r="E2682" s="41">
        <v>82.69</v>
      </c>
      <c r="F2682" s="40"/>
      <c r="G2682" s="41"/>
      <c r="H2682" s="40"/>
      <c r="I2682" s="41"/>
      <c r="J2682" s="41">
        <f t="shared" si="10"/>
        <v>82.69</v>
      </c>
      <c r="K2682" s="42" t="s">
        <v>5796</v>
      </c>
      <c r="L2682" s="39">
        <v>2494</v>
      </c>
    </row>
    <row r="2683" spans="1:12" ht="11.25" customHeight="1">
      <c r="A2683" s="39">
        <v>2495</v>
      </c>
      <c r="B2683" s="40" t="s">
        <v>16097</v>
      </c>
      <c r="C2683" s="40" t="s">
        <v>16098</v>
      </c>
      <c r="D2683" s="40" t="s">
        <v>16099</v>
      </c>
      <c r="E2683" s="41">
        <v>82.53</v>
      </c>
      <c r="F2683" s="40"/>
      <c r="G2683" s="41"/>
      <c r="H2683" s="40"/>
      <c r="I2683" s="41"/>
      <c r="J2683" s="41">
        <f t="shared" si="10"/>
        <v>82.53</v>
      </c>
      <c r="K2683" s="42" t="s">
        <v>5796</v>
      </c>
      <c r="L2683" s="39">
        <v>2495</v>
      </c>
    </row>
    <row r="2684" spans="1:12" ht="11.25" customHeight="1">
      <c r="A2684" s="39">
        <v>2497</v>
      </c>
      <c r="B2684" s="40" t="s">
        <v>16100</v>
      </c>
      <c r="C2684" s="40" t="s">
        <v>16101</v>
      </c>
      <c r="D2684" s="40" t="s">
        <v>16102</v>
      </c>
      <c r="E2684" s="41">
        <v>81.92</v>
      </c>
      <c r="F2684" s="40"/>
      <c r="G2684" s="41"/>
      <c r="H2684" s="40"/>
      <c r="I2684" s="41"/>
      <c r="J2684" s="41">
        <f t="shared" si="10"/>
        <v>81.92</v>
      </c>
      <c r="K2684" s="42" t="s">
        <v>5796</v>
      </c>
      <c r="L2684" s="39">
        <v>2497</v>
      </c>
    </row>
    <row r="2685" spans="1:12" ht="11.25" customHeight="1">
      <c r="A2685" s="39">
        <v>2499</v>
      </c>
      <c r="B2685" s="40" t="s">
        <v>16103</v>
      </c>
      <c r="C2685" s="40" t="s">
        <v>16104</v>
      </c>
      <c r="D2685" s="40" t="s">
        <v>16105</v>
      </c>
      <c r="E2685" s="41">
        <v>81.790000000000006</v>
      </c>
      <c r="F2685" s="40"/>
      <c r="G2685" s="41"/>
      <c r="H2685" s="40"/>
      <c r="I2685" s="41"/>
      <c r="J2685" s="41">
        <f t="shared" si="10"/>
        <v>81.790000000000006</v>
      </c>
      <c r="K2685" s="42" t="s">
        <v>5796</v>
      </c>
      <c r="L2685" s="39">
        <v>2499</v>
      </c>
    </row>
    <row r="2686" spans="1:12" ht="11.25" customHeight="1">
      <c r="A2686" s="39">
        <v>2500</v>
      </c>
      <c r="B2686" s="40" t="s">
        <v>16106</v>
      </c>
      <c r="C2686" s="40" t="s">
        <v>16107</v>
      </c>
      <c r="D2686" s="40" t="s">
        <v>16108</v>
      </c>
      <c r="E2686" s="41">
        <v>81.45</v>
      </c>
      <c r="F2686" s="40"/>
      <c r="G2686" s="41"/>
      <c r="H2686" s="40"/>
      <c r="I2686" s="41"/>
      <c r="J2686" s="41">
        <f t="shared" si="10"/>
        <v>81.45</v>
      </c>
      <c r="K2686" s="42" t="s">
        <v>5796</v>
      </c>
      <c r="L2686" s="39">
        <v>2500</v>
      </c>
    </row>
    <row r="2687" spans="1:12" ht="11.25" customHeight="1">
      <c r="A2687" s="39">
        <v>2501</v>
      </c>
      <c r="B2687" s="40" t="s">
        <v>7664</v>
      </c>
      <c r="C2687" s="40" t="s">
        <v>16109</v>
      </c>
      <c r="D2687" s="40" t="s">
        <v>16110</v>
      </c>
      <c r="E2687" s="41">
        <v>81.260000000000005</v>
      </c>
      <c r="F2687" s="40"/>
      <c r="G2687" s="41"/>
      <c r="H2687" s="40"/>
      <c r="I2687" s="41"/>
      <c r="J2687" s="41">
        <f t="shared" si="10"/>
        <v>81.260000000000005</v>
      </c>
      <c r="K2687" s="42" t="s">
        <v>5796</v>
      </c>
      <c r="L2687" s="39">
        <v>2501</v>
      </c>
    </row>
    <row r="2688" spans="1:12" ht="11.25" customHeight="1">
      <c r="A2688" s="39">
        <v>2502</v>
      </c>
      <c r="B2688" s="40" t="s">
        <v>16111</v>
      </c>
      <c r="C2688" s="40" t="s">
        <v>16112</v>
      </c>
      <c r="D2688" s="40" t="s">
        <v>16113</v>
      </c>
      <c r="E2688" s="41">
        <v>81.260000000000005</v>
      </c>
      <c r="F2688" s="40"/>
      <c r="G2688" s="41"/>
      <c r="H2688" s="40"/>
      <c r="I2688" s="41"/>
      <c r="J2688" s="41">
        <f t="shared" si="10"/>
        <v>81.260000000000005</v>
      </c>
      <c r="K2688" s="42" t="s">
        <v>5796</v>
      </c>
      <c r="L2688" s="39">
        <v>2502</v>
      </c>
    </row>
    <row r="2689" spans="1:12" ht="11.25" customHeight="1">
      <c r="A2689" s="39">
        <v>2504</v>
      </c>
      <c r="B2689" s="40" t="s">
        <v>16114</v>
      </c>
      <c r="C2689" s="40" t="s">
        <v>16115</v>
      </c>
      <c r="D2689" s="40" t="s">
        <v>16116</v>
      </c>
      <c r="E2689" s="41">
        <v>80.760000000000005</v>
      </c>
      <c r="F2689" s="40"/>
      <c r="G2689" s="41"/>
      <c r="H2689" s="40"/>
      <c r="I2689" s="41"/>
      <c r="J2689" s="41">
        <f t="shared" si="10"/>
        <v>80.760000000000005</v>
      </c>
      <c r="K2689" s="42" t="s">
        <v>5796</v>
      </c>
      <c r="L2689" s="39">
        <v>2504</v>
      </c>
    </row>
    <row r="2690" spans="1:12" ht="11.25" customHeight="1">
      <c r="A2690" s="39">
        <v>2505</v>
      </c>
      <c r="B2690" s="40" t="s">
        <v>16117</v>
      </c>
      <c r="C2690" s="40" t="s">
        <v>16118</v>
      </c>
      <c r="D2690" s="40" t="s">
        <v>16119</v>
      </c>
      <c r="E2690" s="41">
        <v>80.45</v>
      </c>
      <c r="F2690" s="40"/>
      <c r="G2690" s="41"/>
      <c r="H2690" s="40"/>
      <c r="I2690" s="41"/>
      <c r="J2690" s="41">
        <f t="shared" si="10"/>
        <v>80.45</v>
      </c>
      <c r="K2690" s="42" t="s">
        <v>5796</v>
      </c>
      <c r="L2690" s="39">
        <v>2505</v>
      </c>
    </row>
    <row r="2691" spans="1:12" ht="11.25" customHeight="1">
      <c r="A2691" s="39">
        <v>2506</v>
      </c>
      <c r="B2691" s="40" t="s">
        <v>16120</v>
      </c>
      <c r="C2691" s="40" t="s">
        <v>16121</v>
      </c>
      <c r="D2691" s="40" t="s">
        <v>16122</v>
      </c>
      <c r="E2691" s="41">
        <v>80.36</v>
      </c>
      <c r="F2691" s="40"/>
      <c r="G2691" s="41"/>
      <c r="H2691" s="40"/>
      <c r="I2691" s="41"/>
      <c r="J2691" s="41">
        <f t="shared" si="10"/>
        <v>80.36</v>
      </c>
      <c r="K2691" s="42" t="s">
        <v>5796</v>
      </c>
      <c r="L2691" s="39">
        <v>2506</v>
      </c>
    </row>
    <row r="2692" spans="1:12" ht="11.25" customHeight="1">
      <c r="A2692" s="39">
        <v>2507</v>
      </c>
      <c r="B2692" s="40" t="s">
        <v>16123</v>
      </c>
      <c r="C2692" s="40" t="s">
        <v>16124</v>
      </c>
      <c r="D2692" s="40" t="s">
        <v>16125</v>
      </c>
      <c r="E2692" s="41">
        <v>80.180000000000007</v>
      </c>
      <c r="F2692" s="40"/>
      <c r="G2692" s="41"/>
      <c r="H2692" s="40"/>
      <c r="I2692" s="41"/>
      <c r="J2692" s="41">
        <f t="shared" si="10"/>
        <v>80.180000000000007</v>
      </c>
      <c r="K2692" s="42" t="s">
        <v>5796</v>
      </c>
      <c r="L2692" s="39">
        <v>2507</v>
      </c>
    </row>
    <row r="2693" spans="1:12" ht="11.25" customHeight="1">
      <c r="A2693" s="39">
        <v>2508</v>
      </c>
      <c r="B2693" s="40" t="s">
        <v>16126</v>
      </c>
      <c r="C2693" s="40" t="s">
        <v>16127</v>
      </c>
      <c r="D2693" s="40" t="s">
        <v>16128</v>
      </c>
      <c r="E2693" s="41">
        <v>80.08</v>
      </c>
      <c r="F2693" s="40"/>
      <c r="G2693" s="41"/>
      <c r="H2693" s="40"/>
      <c r="I2693" s="41"/>
      <c r="J2693" s="41">
        <f t="shared" si="10"/>
        <v>80.08</v>
      </c>
      <c r="K2693" s="42" t="s">
        <v>5796</v>
      </c>
      <c r="L2693" s="39">
        <v>2508</v>
      </c>
    </row>
    <row r="2694" spans="1:12" ht="11.25" customHeight="1">
      <c r="A2694" s="39">
        <v>2509</v>
      </c>
      <c r="B2694" s="40" t="s">
        <v>16129</v>
      </c>
      <c r="C2694" s="40" t="s">
        <v>16130</v>
      </c>
      <c r="D2694" s="40" t="s">
        <v>16131</v>
      </c>
      <c r="E2694" s="41">
        <v>79.989999999999995</v>
      </c>
      <c r="F2694" s="40"/>
      <c r="G2694" s="41"/>
      <c r="H2694" s="40"/>
      <c r="I2694" s="41"/>
      <c r="J2694" s="41">
        <f t="shared" si="10"/>
        <v>79.989999999999995</v>
      </c>
      <c r="K2694" s="42" t="s">
        <v>5796</v>
      </c>
      <c r="L2694" s="39">
        <v>2509</v>
      </c>
    </row>
    <row r="2695" spans="1:12" ht="11.25" customHeight="1">
      <c r="A2695" s="39">
        <v>2510</v>
      </c>
      <c r="B2695" s="40" t="s">
        <v>16132</v>
      </c>
      <c r="C2695" s="40" t="s">
        <v>16133</v>
      </c>
      <c r="D2695" s="40" t="s">
        <v>16134</v>
      </c>
      <c r="E2695" s="41">
        <v>79.680000000000007</v>
      </c>
      <c r="F2695" s="40"/>
      <c r="G2695" s="41"/>
      <c r="H2695" s="40"/>
      <c r="I2695" s="41"/>
      <c r="J2695" s="41">
        <f t="shared" si="10"/>
        <v>79.680000000000007</v>
      </c>
      <c r="K2695" s="42" t="s">
        <v>5796</v>
      </c>
      <c r="L2695" s="39">
        <v>2510</v>
      </c>
    </row>
    <row r="2696" spans="1:12" ht="11.25" customHeight="1">
      <c r="A2696" s="39">
        <v>2512</v>
      </c>
      <c r="B2696" s="40" t="s">
        <v>16135</v>
      </c>
      <c r="C2696" s="40" t="s">
        <v>16136</v>
      </c>
      <c r="D2696" s="40" t="s">
        <v>16137</v>
      </c>
      <c r="E2696" s="41">
        <v>79.47</v>
      </c>
      <c r="F2696" s="40"/>
      <c r="G2696" s="41"/>
      <c r="H2696" s="40"/>
      <c r="I2696" s="41"/>
      <c r="J2696" s="41">
        <f t="shared" si="10"/>
        <v>79.47</v>
      </c>
      <c r="K2696" s="42" t="s">
        <v>5796</v>
      </c>
      <c r="L2696" s="39">
        <v>2512</v>
      </c>
    </row>
    <row r="2697" spans="1:12" ht="11.25" customHeight="1">
      <c r="A2697" s="39">
        <v>2514</v>
      </c>
      <c r="B2697" s="40" t="s">
        <v>16138</v>
      </c>
      <c r="C2697" s="40" t="s">
        <v>16139</v>
      </c>
      <c r="D2697" s="40" t="s">
        <v>16140</v>
      </c>
      <c r="E2697" s="41">
        <v>79.290000000000006</v>
      </c>
      <c r="F2697" s="40"/>
      <c r="G2697" s="41"/>
      <c r="H2697" s="40"/>
      <c r="I2697" s="41"/>
      <c r="J2697" s="41">
        <f t="shared" si="10"/>
        <v>79.290000000000006</v>
      </c>
      <c r="K2697" s="42" t="s">
        <v>5796</v>
      </c>
      <c r="L2697" s="39">
        <v>2514</v>
      </c>
    </row>
    <row r="2698" spans="1:12" ht="11.25" customHeight="1">
      <c r="A2698" s="39">
        <v>2515</v>
      </c>
      <c r="B2698" s="40" t="s">
        <v>16141</v>
      </c>
      <c r="C2698" s="40" t="s">
        <v>16142</v>
      </c>
      <c r="D2698" s="40" t="s">
        <v>16143</v>
      </c>
      <c r="E2698" s="41">
        <v>79.28</v>
      </c>
      <c r="F2698" s="40"/>
      <c r="G2698" s="41"/>
      <c r="H2698" s="40"/>
      <c r="I2698" s="41"/>
      <c r="J2698" s="41">
        <f t="shared" si="10"/>
        <v>79.28</v>
      </c>
      <c r="K2698" s="42" t="s">
        <v>5796</v>
      </c>
      <c r="L2698" s="39">
        <v>2515</v>
      </c>
    </row>
    <row r="2699" spans="1:12" ht="11.25" customHeight="1">
      <c r="A2699" s="39">
        <v>2516</v>
      </c>
      <c r="B2699" s="40" t="s">
        <v>16144</v>
      </c>
      <c r="C2699" s="40" t="s">
        <v>16145</v>
      </c>
      <c r="D2699" s="40" t="s">
        <v>16146</v>
      </c>
      <c r="E2699" s="41">
        <v>79.25</v>
      </c>
      <c r="F2699" s="40"/>
      <c r="G2699" s="41"/>
      <c r="H2699" s="40"/>
      <c r="I2699" s="41"/>
      <c r="J2699" s="41">
        <f t="shared" si="10"/>
        <v>79.25</v>
      </c>
      <c r="K2699" s="42" t="s">
        <v>5796</v>
      </c>
      <c r="L2699" s="39">
        <v>2516</v>
      </c>
    </row>
    <row r="2700" spans="1:12" ht="11.25" customHeight="1">
      <c r="A2700" s="39">
        <v>2517</v>
      </c>
      <c r="B2700" s="40" t="s">
        <v>16147</v>
      </c>
      <c r="C2700" s="40" t="s">
        <v>16148</v>
      </c>
      <c r="D2700" s="40" t="s">
        <v>16149</v>
      </c>
      <c r="E2700" s="41">
        <v>79.03</v>
      </c>
      <c r="F2700" s="40"/>
      <c r="G2700" s="41"/>
      <c r="H2700" s="40"/>
      <c r="I2700" s="41"/>
      <c r="J2700" s="41">
        <f t="shared" si="10"/>
        <v>79.03</v>
      </c>
      <c r="K2700" s="42" t="s">
        <v>5796</v>
      </c>
      <c r="L2700" s="39">
        <v>2517</v>
      </c>
    </row>
    <row r="2701" spans="1:12" ht="11.25" customHeight="1">
      <c r="A2701" s="39">
        <v>2518</v>
      </c>
      <c r="B2701" s="40" t="s">
        <v>16150</v>
      </c>
      <c r="C2701" s="40" t="s">
        <v>16151</v>
      </c>
      <c r="D2701" s="40" t="s">
        <v>16152</v>
      </c>
      <c r="E2701" s="41">
        <v>79.02</v>
      </c>
      <c r="F2701" s="40"/>
      <c r="G2701" s="41"/>
      <c r="H2701" s="40"/>
      <c r="I2701" s="41"/>
      <c r="J2701" s="41">
        <f t="shared" si="10"/>
        <v>79.02</v>
      </c>
      <c r="K2701" s="42" t="s">
        <v>5796</v>
      </c>
      <c r="L2701" s="39">
        <v>2518</v>
      </c>
    </row>
    <row r="2702" spans="1:12" ht="11.25" customHeight="1">
      <c r="A2702" s="39">
        <v>2522</v>
      </c>
      <c r="B2702" s="40" t="s">
        <v>16153</v>
      </c>
      <c r="C2702" s="40" t="s">
        <v>16154</v>
      </c>
      <c r="D2702" s="40" t="s">
        <v>16155</v>
      </c>
      <c r="E2702" s="41">
        <v>78.319999999999993</v>
      </c>
      <c r="F2702" s="40"/>
      <c r="G2702" s="41"/>
      <c r="H2702" s="40"/>
      <c r="I2702" s="41"/>
      <c r="J2702" s="41">
        <f t="shared" si="10"/>
        <v>78.319999999999993</v>
      </c>
      <c r="K2702" s="42" t="s">
        <v>5796</v>
      </c>
      <c r="L2702" s="39">
        <v>2522</v>
      </c>
    </row>
    <row r="2703" spans="1:12" ht="11.25" customHeight="1">
      <c r="A2703" s="39">
        <v>2523</v>
      </c>
      <c r="B2703" s="40" t="s">
        <v>16156</v>
      </c>
      <c r="C2703" s="40" t="s">
        <v>16157</v>
      </c>
      <c r="D2703" s="40" t="s">
        <v>16158</v>
      </c>
      <c r="E2703" s="41">
        <v>77.89</v>
      </c>
      <c r="F2703" s="40"/>
      <c r="G2703" s="41"/>
      <c r="H2703" s="40"/>
      <c r="I2703" s="41"/>
      <c r="J2703" s="41">
        <f t="shared" si="10"/>
        <v>77.89</v>
      </c>
      <c r="K2703" s="42" t="s">
        <v>5796</v>
      </c>
      <c r="L2703" s="39">
        <v>2523</v>
      </c>
    </row>
    <row r="2704" spans="1:12" ht="11.25" customHeight="1">
      <c r="A2704" s="39">
        <v>2524</v>
      </c>
      <c r="B2704" s="40" t="s">
        <v>16159</v>
      </c>
      <c r="C2704" s="40" t="s">
        <v>16160</v>
      </c>
      <c r="D2704" s="40" t="s">
        <v>16161</v>
      </c>
      <c r="E2704" s="41">
        <v>77.63</v>
      </c>
      <c r="F2704" s="40"/>
      <c r="G2704" s="41"/>
      <c r="H2704" s="40"/>
      <c r="I2704" s="41"/>
      <c r="J2704" s="41">
        <f t="shared" si="10"/>
        <v>77.63</v>
      </c>
      <c r="K2704" s="42" t="s">
        <v>5796</v>
      </c>
      <c r="L2704" s="39">
        <v>2524</v>
      </c>
    </row>
    <row r="2705" spans="1:12" ht="11.25" customHeight="1">
      <c r="A2705" s="39">
        <v>2525</v>
      </c>
      <c r="B2705" s="40" t="s">
        <v>16162</v>
      </c>
      <c r="C2705" s="40" t="s">
        <v>16163</v>
      </c>
      <c r="D2705" s="40" t="s">
        <v>16164</v>
      </c>
      <c r="E2705" s="41">
        <v>77.61</v>
      </c>
      <c r="F2705" s="40"/>
      <c r="G2705" s="41"/>
      <c r="H2705" s="40"/>
      <c r="I2705" s="41"/>
      <c r="J2705" s="41">
        <f t="shared" si="10"/>
        <v>77.61</v>
      </c>
      <c r="K2705" s="42" t="s">
        <v>5796</v>
      </c>
      <c r="L2705" s="39">
        <v>2525</v>
      </c>
    </row>
    <row r="2706" spans="1:12" ht="11.25" customHeight="1">
      <c r="A2706" s="39">
        <v>2527</v>
      </c>
      <c r="B2706" s="40" t="s">
        <v>16165</v>
      </c>
      <c r="C2706" s="40" t="s">
        <v>16166</v>
      </c>
      <c r="D2706" s="40" t="s">
        <v>16167</v>
      </c>
      <c r="E2706" s="41">
        <v>77.510000000000005</v>
      </c>
      <c r="F2706" s="40"/>
      <c r="G2706" s="41"/>
      <c r="H2706" s="40"/>
      <c r="I2706" s="41"/>
      <c r="J2706" s="41">
        <f t="shared" si="10"/>
        <v>77.510000000000005</v>
      </c>
      <c r="K2706" s="42" t="s">
        <v>5796</v>
      </c>
      <c r="L2706" s="39">
        <v>2527</v>
      </c>
    </row>
    <row r="2707" spans="1:12" ht="11.25" customHeight="1">
      <c r="A2707" s="39">
        <v>2529</v>
      </c>
      <c r="B2707" s="52" t="s">
        <v>5314</v>
      </c>
      <c r="C2707" s="52" t="s">
        <v>16168</v>
      </c>
      <c r="D2707" s="40"/>
      <c r="E2707" s="41"/>
      <c r="F2707" s="40"/>
      <c r="G2707" s="41"/>
      <c r="H2707" s="52" t="s">
        <v>5316</v>
      </c>
      <c r="I2707" s="53">
        <v>77.157358584677482</v>
      </c>
      <c r="J2707" s="41">
        <f t="shared" si="10"/>
        <v>77.157358584677482</v>
      </c>
      <c r="K2707" s="42" t="s">
        <v>5796</v>
      </c>
      <c r="L2707" s="39">
        <v>2529</v>
      </c>
    </row>
    <row r="2708" spans="1:12" ht="11.25" customHeight="1">
      <c r="A2708" s="39">
        <v>2532</v>
      </c>
      <c r="B2708" s="40" t="s">
        <v>16169</v>
      </c>
      <c r="C2708" s="40" t="s">
        <v>16170</v>
      </c>
      <c r="D2708" s="40" t="s">
        <v>16171</v>
      </c>
      <c r="E2708" s="41">
        <v>76.7</v>
      </c>
      <c r="F2708" s="40"/>
      <c r="G2708" s="41"/>
      <c r="H2708" s="40"/>
      <c r="I2708" s="41"/>
      <c r="J2708" s="41">
        <f t="shared" si="10"/>
        <v>76.7</v>
      </c>
      <c r="K2708" s="42" t="s">
        <v>5796</v>
      </c>
      <c r="L2708" s="39">
        <v>2532</v>
      </c>
    </row>
    <row r="2709" spans="1:12" ht="11.25" customHeight="1">
      <c r="A2709" s="39">
        <v>2534</v>
      </c>
      <c r="B2709" s="40" t="s">
        <v>16172</v>
      </c>
      <c r="C2709" s="40" t="s">
        <v>16173</v>
      </c>
      <c r="D2709" s="40" t="s">
        <v>16174</v>
      </c>
      <c r="E2709" s="41">
        <v>75.83</v>
      </c>
      <c r="F2709" s="40"/>
      <c r="G2709" s="41"/>
      <c r="H2709" s="40"/>
      <c r="I2709" s="41"/>
      <c r="J2709" s="41">
        <f t="shared" si="10"/>
        <v>75.83</v>
      </c>
      <c r="K2709" s="42" t="s">
        <v>5796</v>
      </c>
      <c r="L2709" s="39">
        <v>2534</v>
      </c>
    </row>
    <row r="2710" spans="1:12" ht="11.25" customHeight="1">
      <c r="A2710" s="39">
        <v>2537</v>
      </c>
      <c r="B2710" s="52" t="s">
        <v>7756</v>
      </c>
      <c r="C2710" s="52" t="s">
        <v>16175</v>
      </c>
      <c r="D2710" s="40"/>
      <c r="E2710" s="41"/>
      <c r="F2710" s="40"/>
      <c r="G2710" s="41"/>
      <c r="H2710" s="52" t="s">
        <v>16176</v>
      </c>
      <c r="I2710" s="53">
        <v>75.62279999999997</v>
      </c>
      <c r="J2710" s="41">
        <f t="shared" si="10"/>
        <v>75.62279999999997</v>
      </c>
      <c r="K2710" s="42" t="s">
        <v>5796</v>
      </c>
      <c r="L2710" s="39">
        <v>2537</v>
      </c>
    </row>
    <row r="2711" spans="1:12" ht="11.25" customHeight="1">
      <c r="A2711" s="39">
        <v>2538</v>
      </c>
      <c r="B2711" s="40" t="s">
        <v>16177</v>
      </c>
      <c r="C2711" s="40" t="s">
        <v>16178</v>
      </c>
      <c r="D2711" s="40" t="s">
        <v>16179</v>
      </c>
      <c r="E2711" s="41">
        <v>75.58</v>
      </c>
      <c r="F2711" s="40"/>
      <c r="G2711" s="41"/>
      <c r="H2711" s="40"/>
      <c r="I2711" s="41"/>
      <c r="J2711" s="41">
        <f t="shared" si="10"/>
        <v>75.58</v>
      </c>
      <c r="K2711" s="42" t="s">
        <v>5796</v>
      </c>
      <c r="L2711" s="39">
        <v>2538</v>
      </c>
    </row>
    <row r="2712" spans="1:12" ht="11.25" customHeight="1">
      <c r="A2712" s="39">
        <v>2539</v>
      </c>
      <c r="B2712" s="40" t="s">
        <v>16180</v>
      </c>
      <c r="C2712" s="40" t="s">
        <v>16181</v>
      </c>
      <c r="D2712" s="40" t="s">
        <v>16182</v>
      </c>
      <c r="E2712" s="41">
        <v>75.349999999999994</v>
      </c>
      <c r="F2712" s="40"/>
      <c r="G2712" s="41"/>
      <c r="H2712" s="40"/>
      <c r="I2712" s="41"/>
      <c r="J2712" s="41">
        <f t="shared" si="10"/>
        <v>75.349999999999994</v>
      </c>
      <c r="K2712" s="42" t="s">
        <v>5796</v>
      </c>
      <c r="L2712" s="39">
        <v>2539</v>
      </c>
    </row>
    <row r="2713" spans="1:12" ht="11.25" customHeight="1">
      <c r="A2713" s="39">
        <v>2540</v>
      </c>
      <c r="B2713" s="40" t="s">
        <v>16183</v>
      </c>
      <c r="C2713" s="40" t="s">
        <v>16184</v>
      </c>
      <c r="D2713" s="40" t="s">
        <v>16185</v>
      </c>
      <c r="E2713" s="41">
        <v>75.069999999999993</v>
      </c>
      <c r="F2713" s="40"/>
      <c r="G2713" s="41"/>
      <c r="H2713" s="40"/>
      <c r="I2713" s="41"/>
      <c r="J2713" s="41">
        <f t="shared" si="10"/>
        <v>75.069999999999993</v>
      </c>
      <c r="K2713" s="42" t="s">
        <v>5796</v>
      </c>
      <c r="L2713" s="39">
        <v>2540</v>
      </c>
    </row>
    <row r="2714" spans="1:12" ht="11.25" customHeight="1">
      <c r="A2714" s="39">
        <v>2542</v>
      </c>
      <c r="B2714" s="40" t="s">
        <v>16186</v>
      </c>
      <c r="C2714" s="40" t="s">
        <v>16187</v>
      </c>
      <c r="D2714" s="40" t="s">
        <v>16188</v>
      </c>
      <c r="E2714" s="41">
        <v>75.03</v>
      </c>
      <c r="F2714" s="40"/>
      <c r="G2714" s="41"/>
      <c r="H2714" s="40"/>
      <c r="I2714" s="41"/>
      <c r="J2714" s="41">
        <f t="shared" si="10"/>
        <v>75.03</v>
      </c>
      <c r="K2714" s="42" t="s">
        <v>5796</v>
      </c>
      <c r="L2714" s="39">
        <v>2542</v>
      </c>
    </row>
    <row r="2715" spans="1:12" ht="11.25" customHeight="1">
      <c r="A2715" s="39">
        <v>2543</v>
      </c>
      <c r="B2715" s="40" t="s">
        <v>16189</v>
      </c>
      <c r="C2715" s="40" t="s">
        <v>16190</v>
      </c>
      <c r="D2715" s="40" t="s">
        <v>16191</v>
      </c>
      <c r="E2715" s="41">
        <v>74.95</v>
      </c>
      <c r="F2715" s="40"/>
      <c r="G2715" s="41"/>
      <c r="H2715" s="40"/>
      <c r="I2715" s="41"/>
      <c r="J2715" s="41">
        <f t="shared" si="10"/>
        <v>74.95</v>
      </c>
      <c r="K2715" s="42" t="s">
        <v>5796</v>
      </c>
      <c r="L2715" s="39">
        <v>2543</v>
      </c>
    </row>
    <row r="2716" spans="1:12" ht="11.25" customHeight="1">
      <c r="A2716" s="39">
        <v>2544</v>
      </c>
      <c r="B2716" s="40" t="s">
        <v>16192</v>
      </c>
      <c r="C2716" s="40" t="s">
        <v>16193</v>
      </c>
      <c r="D2716" s="40" t="s">
        <v>16194</v>
      </c>
      <c r="E2716" s="41">
        <v>74.92</v>
      </c>
      <c r="F2716" s="40"/>
      <c r="G2716" s="41"/>
      <c r="H2716" s="40"/>
      <c r="I2716" s="41"/>
      <c r="J2716" s="41">
        <f t="shared" si="10"/>
        <v>74.92</v>
      </c>
      <c r="K2716" s="42" t="s">
        <v>5796</v>
      </c>
      <c r="L2716" s="39">
        <v>2544</v>
      </c>
    </row>
    <row r="2717" spans="1:12" ht="11.25" customHeight="1">
      <c r="A2717" s="39">
        <v>2545</v>
      </c>
      <c r="B2717" s="40" t="s">
        <v>16195</v>
      </c>
      <c r="C2717" s="40" t="s">
        <v>16196</v>
      </c>
      <c r="D2717" s="40" t="s">
        <v>16197</v>
      </c>
      <c r="E2717" s="41">
        <v>74.84</v>
      </c>
      <c r="F2717" s="40"/>
      <c r="G2717" s="41"/>
      <c r="H2717" s="40"/>
      <c r="I2717" s="41"/>
      <c r="J2717" s="41">
        <f t="shared" si="10"/>
        <v>74.84</v>
      </c>
      <c r="K2717" s="42" t="s">
        <v>5796</v>
      </c>
      <c r="L2717" s="39">
        <v>2545</v>
      </c>
    </row>
    <row r="2718" spans="1:12" ht="11.25" customHeight="1">
      <c r="A2718" s="39">
        <v>2546</v>
      </c>
      <c r="B2718" s="40" t="s">
        <v>16198</v>
      </c>
      <c r="C2718" s="40" t="s">
        <v>16199</v>
      </c>
      <c r="D2718" s="40" t="s">
        <v>16200</v>
      </c>
      <c r="E2718" s="41">
        <v>74.75</v>
      </c>
      <c r="F2718" s="40"/>
      <c r="G2718" s="41"/>
      <c r="H2718" s="40"/>
      <c r="I2718" s="41"/>
      <c r="J2718" s="41">
        <f t="shared" si="10"/>
        <v>74.75</v>
      </c>
      <c r="K2718" s="42" t="s">
        <v>5796</v>
      </c>
      <c r="L2718" s="39">
        <v>2546</v>
      </c>
    </row>
    <row r="2719" spans="1:12" ht="11.25" customHeight="1">
      <c r="A2719" s="39">
        <v>2547</v>
      </c>
      <c r="B2719" s="40" t="s">
        <v>16201</v>
      </c>
      <c r="C2719" s="40" t="s">
        <v>16202</v>
      </c>
      <c r="D2719" s="40" t="s">
        <v>16203</v>
      </c>
      <c r="E2719" s="41">
        <v>74.540000000000006</v>
      </c>
      <c r="F2719" s="40"/>
      <c r="G2719" s="41"/>
      <c r="H2719" s="40"/>
      <c r="I2719" s="41"/>
      <c r="J2719" s="41">
        <f t="shared" si="10"/>
        <v>74.540000000000006</v>
      </c>
      <c r="K2719" s="42" t="s">
        <v>5796</v>
      </c>
      <c r="L2719" s="39">
        <v>2547</v>
      </c>
    </row>
    <row r="2720" spans="1:12" ht="11.25" customHeight="1">
      <c r="A2720" s="39">
        <v>2549</v>
      </c>
      <c r="B2720" s="40" t="s">
        <v>16204</v>
      </c>
      <c r="C2720" s="40" t="s">
        <v>16205</v>
      </c>
      <c r="D2720" s="40" t="s">
        <v>16206</v>
      </c>
      <c r="E2720" s="41">
        <v>74.489999999999995</v>
      </c>
      <c r="F2720" s="40"/>
      <c r="G2720" s="41"/>
      <c r="H2720" s="40"/>
      <c r="I2720" s="41"/>
      <c r="J2720" s="41">
        <f t="shared" si="10"/>
        <v>74.489999999999995</v>
      </c>
      <c r="K2720" s="42" t="s">
        <v>5796</v>
      </c>
      <c r="L2720" s="39">
        <v>2549</v>
      </c>
    </row>
    <row r="2721" spans="1:12" ht="11.25" customHeight="1">
      <c r="A2721" s="39">
        <v>2550</v>
      </c>
      <c r="B2721" s="40" t="s">
        <v>7957</v>
      </c>
      <c r="C2721" s="40" t="s">
        <v>16207</v>
      </c>
      <c r="D2721" s="40" t="s">
        <v>16208</v>
      </c>
      <c r="E2721" s="41">
        <v>74.36</v>
      </c>
      <c r="F2721" s="40"/>
      <c r="G2721" s="41"/>
      <c r="H2721" s="40"/>
      <c r="I2721" s="41"/>
      <c r="J2721" s="41">
        <f t="shared" si="10"/>
        <v>74.36</v>
      </c>
      <c r="K2721" s="42" t="s">
        <v>5796</v>
      </c>
      <c r="L2721" s="39">
        <v>2550</v>
      </c>
    </row>
    <row r="2722" spans="1:12" ht="11.25" customHeight="1">
      <c r="A2722" s="39">
        <v>2551</v>
      </c>
      <c r="B2722" s="40" t="s">
        <v>16209</v>
      </c>
      <c r="C2722" s="40" t="s">
        <v>16210</v>
      </c>
      <c r="D2722" s="40" t="s">
        <v>16211</v>
      </c>
      <c r="E2722" s="41">
        <v>74.36</v>
      </c>
      <c r="F2722" s="40"/>
      <c r="G2722" s="41"/>
      <c r="H2722" s="40"/>
      <c r="I2722" s="41"/>
      <c r="J2722" s="41">
        <f t="shared" si="10"/>
        <v>74.36</v>
      </c>
      <c r="K2722" s="42" t="s">
        <v>5796</v>
      </c>
      <c r="L2722" s="39">
        <v>2551</v>
      </c>
    </row>
    <row r="2723" spans="1:12" ht="11.25" customHeight="1">
      <c r="A2723" s="39">
        <v>2553</v>
      </c>
      <c r="B2723" s="40" t="s">
        <v>7841</v>
      </c>
      <c r="C2723" s="40" t="s">
        <v>16212</v>
      </c>
      <c r="D2723" s="40" t="s">
        <v>16213</v>
      </c>
      <c r="E2723" s="41">
        <v>74.25</v>
      </c>
      <c r="F2723" s="40"/>
      <c r="G2723" s="41"/>
      <c r="H2723" s="40"/>
      <c r="I2723" s="41"/>
      <c r="J2723" s="41">
        <f t="shared" si="10"/>
        <v>74.25</v>
      </c>
      <c r="K2723" s="42" t="s">
        <v>5796</v>
      </c>
      <c r="L2723" s="39">
        <v>2553</v>
      </c>
    </row>
    <row r="2724" spans="1:12" ht="11.25" customHeight="1">
      <c r="A2724" s="39">
        <v>2556</v>
      </c>
      <c r="B2724" s="40" t="s">
        <v>16214</v>
      </c>
      <c r="C2724" s="40" t="s">
        <v>16215</v>
      </c>
      <c r="D2724" s="40" t="s">
        <v>16216</v>
      </c>
      <c r="E2724" s="41">
        <v>74.16</v>
      </c>
      <c r="F2724" s="40"/>
      <c r="G2724" s="41"/>
      <c r="H2724" s="40"/>
      <c r="I2724" s="41"/>
      <c r="J2724" s="41">
        <f t="shared" si="10"/>
        <v>74.16</v>
      </c>
      <c r="K2724" s="42" t="s">
        <v>5796</v>
      </c>
      <c r="L2724" s="39">
        <v>2556</v>
      </c>
    </row>
    <row r="2725" spans="1:12" ht="11.25" customHeight="1">
      <c r="A2725" s="39">
        <v>2557</v>
      </c>
      <c r="B2725" s="40" t="s">
        <v>16217</v>
      </c>
      <c r="C2725" s="40" t="s">
        <v>16218</v>
      </c>
      <c r="D2725" s="40" t="s">
        <v>16219</v>
      </c>
      <c r="E2725" s="41">
        <v>74.010000000000005</v>
      </c>
      <c r="F2725" s="40"/>
      <c r="G2725" s="41"/>
      <c r="H2725" s="40"/>
      <c r="I2725" s="41"/>
      <c r="J2725" s="41">
        <f t="shared" si="10"/>
        <v>74.010000000000005</v>
      </c>
      <c r="K2725" s="42" t="s">
        <v>5796</v>
      </c>
      <c r="L2725" s="39">
        <v>2557</v>
      </c>
    </row>
    <row r="2726" spans="1:12" ht="11.25" customHeight="1">
      <c r="A2726" s="39">
        <v>2558</v>
      </c>
      <c r="B2726" s="40" t="s">
        <v>16220</v>
      </c>
      <c r="C2726" s="40" t="s">
        <v>16221</v>
      </c>
      <c r="D2726" s="40" t="s">
        <v>16222</v>
      </c>
      <c r="E2726" s="41">
        <v>73.930000000000007</v>
      </c>
      <c r="F2726" s="40"/>
      <c r="G2726" s="41"/>
      <c r="H2726" s="40"/>
      <c r="I2726" s="41"/>
      <c r="J2726" s="41">
        <f t="shared" si="10"/>
        <v>73.930000000000007</v>
      </c>
      <c r="K2726" s="42" t="s">
        <v>5796</v>
      </c>
      <c r="L2726" s="39">
        <v>2558</v>
      </c>
    </row>
    <row r="2727" spans="1:12" ht="11.25" customHeight="1">
      <c r="A2727" s="39">
        <v>2559</v>
      </c>
      <c r="B2727" s="40" t="s">
        <v>16223</v>
      </c>
      <c r="C2727" s="40" t="s">
        <v>16224</v>
      </c>
      <c r="D2727" s="40" t="s">
        <v>16225</v>
      </c>
      <c r="E2727" s="41">
        <v>73.8</v>
      </c>
      <c r="F2727" s="40"/>
      <c r="G2727" s="41"/>
      <c r="H2727" s="40"/>
      <c r="I2727" s="41"/>
      <c r="J2727" s="41">
        <f t="shared" si="10"/>
        <v>73.8</v>
      </c>
      <c r="K2727" s="42" t="s">
        <v>5796</v>
      </c>
      <c r="L2727" s="39">
        <v>2559</v>
      </c>
    </row>
    <row r="2728" spans="1:12" ht="11.25" customHeight="1">
      <c r="A2728" s="39">
        <v>2560</v>
      </c>
      <c r="B2728" s="40" t="s">
        <v>16226</v>
      </c>
      <c r="C2728" s="40" t="s">
        <v>16227</v>
      </c>
      <c r="D2728" s="40" t="s">
        <v>16228</v>
      </c>
      <c r="E2728" s="41">
        <v>73.569999999999993</v>
      </c>
      <c r="F2728" s="40"/>
      <c r="G2728" s="41"/>
      <c r="H2728" s="40"/>
      <c r="I2728" s="41"/>
      <c r="J2728" s="41">
        <f t="shared" si="10"/>
        <v>73.569999999999993</v>
      </c>
      <c r="K2728" s="42" t="s">
        <v>5796</v>
      </c>
      <c r="L2728" s="39">
        <v>2560</v>
      </c>
    </row>
    <row r="2729" spans="1:12" ht="11.25" customHeight="1">
      <c r="A2729" s="39">
        <v>2561</v>
      </c>
      <c r="B2729" s="40" t="s">
        <v>16229</v>
      </c>
      <c r="C2729" s="40" t="s">
        <v>16230</v>
      </c>
      <c r="D2729" s="40" t="s">
        <v>16231</v>
      </c>
      <c r="E2729" s="41">
        <v>73.47</v>
      </c>
      <c r="F2729" s="40"/>
      <c r="G2729" s="41"/>
      <c r="H2729" s="40"/>
      <c r="I2729" s="41"/>
      <c r="J2729" s="41">
        <f t="shared" si="10"/>
        <v>73.47</v>
      </c>
      <c r="K2729" s="42" t="s">
        <v>5796</v>
      </c>
      <c r="L2729" s="39">
        <v>2561</v>
      </c>
    </row>
    <row r="2730" spans="1:12" ht="11.25" customHeight="1">
      <c r="A2730" s="39">
        <v>2562</v>
      </c>
      <c r="B2730" s="40" t="s">
        <v>16232</v>
      </c>
      <c r="C2730" s="40" t="s">
        <v>16233</v>
      </c>
      <c r="D2730" s="40" t="s">
        <v>16234</v>
      </c>
      <c r="E2730" s="41">
        <v>73.39</v>
      </c>
      <c r="F2730" s="40"/>
      <c r="G2730" s="41"/>
      <c r="H2730" s="40"/>
      <c r="I2730" s="41"/>
      <c r="J2730" s="41">
        <f t="shared" si="10"/>
        <v>73.39</v>
      </c>
      <c r="K2730" s="42" t="s">
        <v>5796</v>
      </c>
      <c r="L2730" s="39">
        <v>2562</v>
      </c>
    </row>
    <row r="2731" spans="1:12" ht="11.25" customHeight="1">
      <c r="A2731" s="39">
        <v>2563</v>
      </c>
      <c r="B2731" s="40" t="s">
        <v>16235</v>
      </c>
      <c r="C2731" s="40" t="s">
        <v>16236</v>
      </c>
      <c r="D2731" s="40" t="s">
        <v>16237</v>
      </c>
      <c r="E2731" s="41">
        <v>73.31</v>
      </c>
      <c r="F2731" s="40"/>
      <c r="G2731" s="41"/>
      <c r="H2731" s="40"/>
      <c r="I2731" s="41"/>
      <c r="J2731" s="41">
        <f t="shared" si="10"/>
        <v>73.31</v>
      </c>
      <c r="K2731" s="42" t="s">
        <v>5796</v>
      </c>
      <c r="L2731" s="39">
        <v>2563</v>
      </c>
    </row>
    <row r="2732" spans="1:12" ht="11.25" customHeight="1">
      <c r="A2732" s="39">
        <v>2565</v>
      </c>
      <c r="B2732" s="52" t="s">
        <v>7781</v>
      </c>
      <c r="C2732" s="52" t="s">
        <v>16238</v>
      </c>
      <c r="D2732" s="40"/>
      <c r="E2732" s="41"/>
      <c r="F2732" s="40"/>
      <c r="G2732" s="41"/>
      <c r="H2732" s="52" t="s">
        <v>16239</v>
      </c>
      <c r="I2732" s="53">
        <v>73.081611999999964</v>
      </c>
      <c r="J2732" s="41">
        <f t="shared" si="10"/>
        <v>73.081611999999964</v>
      </c>
      <c r="K2732" s="42" t="s">
        <v>5796</v>
      </c>
      <c r="L2732" s="39">
        <v>2565</v>
      </c>
    </row>
    <row r="2733" spans="1:12" ht="11.25" customHeight="1">
      <c r="A2733" s="39">
        <v>2566</v>
      </c>
      <c r="B2733" s="40" t="s">
        <v>16240</v>
      </c>
      <c r="C2733" s="40" t="s">
        <v>16241</v>
      </c>
      <c r="D2733" s="40" t="s">
        <v>16242</v>
      </c>
      <c r="E2733" s="41">
        <v>73.06</v>
      </c>
      <c r="F2733" s="40"/>
      <c r="G2733" s="41"/>
      <c r="H2733" s="40"/>
      <c r="I2733" s="41"/>
      <c r="J2733" s="41">
        <f t="shared" si="10"/>
        <v>73.06</v>
      </c>
      <c r="K2733" s="42" t="s">
        <v>5796</v>
      </c>
      <c r="L2733" s="39">
        <v>2566</v>
      </c>
    </row>
    <row r="2734" spans="1:12" ht="11.25" customHeight="1">
      <c r="A2734" s="39">
        <v>2567</v>
      </c>
      <c r="B2734" s="40" t="s">
        <v>16243</v>
      </c>
      <c r="C2734" s="40" t="s">
        <v>16244</v>
      </c>
      <c r="D2734" s="40" t="s">
        <v>16245</v>
      </c>
      <c r="E2734" s="41">
        <v>73.010000000000005</v>
      </c>
      <c r="F2734" s="40"/>
      <c r="G2734" s="41"/>
      <c r="H2734" s="40"/>
      <c r="I2734" s="41"/>
      <c r="J2734" s="41">
        <f t="shared" si="10"/>
        <v>73.010000000000005</v>
      </c>
      <c r="K2734" s="42" t="s">
        <v>5796</v>
      </c>
      <c r="L2734" s="39">
        <v>2567</v>
      </c>
    </row>
    <row r="2735" spans="1:12" ht="11.25" customHeight="1">
      <c r="A2735" s="39">
        <v>2569</v>
      </c>
      <c r="B2735" s="40" t="s">
        <v>16246</v>
      </c>
      <c r="C2735" s="40" t="s">
        <v>16247</v>
      </c>
      <c r="D2735" s="40" t="s">
        <v>16248</v>
      </c>
      <c r="E2735" s="41">
        <v>72.73</v>
      </c>
      <c r="F2735" s="40"/>
      <c r="G2735" s="41"/>
      <c r="H2735" s="40"/>
      <c r="I2735" s="41"/>
      <c r="J2735" s="41">
        <f t="shared" si="10"/>
        <v>72.73</v>
      </c>
      <c r="K2735" s="42" t="s">
        <v>5796</v>
      </c>
      <c r="L2735" s="39">
        <v>2569</v>
      </c>
    </row>
    <row r="2736" spans="1:12" ht="11.25" customHeight="1">
      <c r="A2736" s="39">
        <v>2571</v>
      </c>
      <c r="B2736" s="40" t="s">
        <v>16249</v>
      </c>
      <c r="C2736" s="40" t="s">
        <v>16250</v>
      </c>
      <c r="D2736" s="40" t="s">
        <v>16251</v>
      </c>
      <c r="E2736" s="41">
        <v>72.53</v>
      </c>
      <c r="F2736" s="40"/>
      <c r="G2736" s="41"/>
      <c r="H2736" s="40"/>
      <c r="I2736" s="41"/>
      <c r="J2736" s="41">
        <f t="shared" si="10"/>
        <v>72.53</v>
      </c>
      <c r="K2736" s="42" t="s">
        <v>5796</v>
      </c>
      <c r="L2736" s="39">
        <v>2571</v>
      </c>
    </row>
    <row r="2737" spans="1:12" ht="11.25" customHeight="1">
      <c r="A2737" s="39">
        <v>2573</v>
      </c>
      <c r="B2737" s="40" t="s">
        <v>16252</v>
      </c>
      <c r="C2737" s="40" t="s">
        <v>16253</v>
      </c>
      <c r="D2737" s="40" t="s">
        <v>16254</v>
      </c>
      <c r="E2737" s="41">
        <v>72.41</v>
      </c>
      <c r="F2737" s="40"/>
      <c r="G2737" s="41"/>
      <c r="H2737" s="40"/>
      <c r="I2737" s="41"/>
      <c r="J2737" s="41">
        <f t="shared" si="10"/>
        <v>72.41</v>
      </c>
      <c r="K2737" s="42" t="s">
        <v>5796</v>
      </c>
      <c r="L2737" s="39">
        <v>2573</v>
      </c>
    </row>
    <row r="2738" spans="1:12" ht="11.25" customHeight="1">
      <c r="A2738" s="39">
        <v>2574</v>
      </c>
      <c r="B2738" s="40" t="s">
        <v>7700</v>
      </c>
      <c r="C2738" s="40" t="s">
        <v>16255</v>
      </c>
      <c r="D2738" s="40" t="s">
        <v>16256</v>
      </c>
      <c r="E2738" s="41">
        <v>72.36</v>
      </c>
      <c r="F2738" s="40"/>
      <c r="G2738" s="41"/>
      <c r="H2738" s="40"/>
      <c r="I2738" s="41"/>
      <c r="J2738" s="41">
        <f t="shared" si="10"/>
        <v>72.36</v>
      </c>
      <c r="K2738" s="42" t="s">
        <v>5796</v>
      </c>
      <c r="L2738" s="39">
        <v>2574</v>
      </c>
    </row>
    <row r="2739" spans="1:12" ht="11.25" customHeight="1">
      <c r="A2739" s="39">
        <v>2575</v>
      </c>
      <c r="B2739" s="40" t="s">
        <v>7755</v>
      </c>
      <c r="C2739" s="40" t="s">
        <v>16257</v>
      </c>
      <c r="D2739" s="40" t="s">
        <v>16258</v>
      </c>
      <c r="E2739" s="41">
        <v>71.989999999999995</v>
      </c>
      <c r="F2739" s="40"/>
      <c r="G2739" s="41"/>
      <c r="H2739" s="40"/>
      <c r="I2739" s="41"/>
      <c r="J2739" s="41">
        <f t="shared" si="10"/>
        <v>71.989999999999995</v>
      </c>
      <c r="K2739" s="42" t="s">
        <v>5796</v>
      </c>
      <c r="L2739" s="39">
        <v>2575</v>
      </c>
    </row>
    <row r="2740" spans="1:12" ht="11.25" customHeight="1">
      <c r="A2740" s="39">
        <v>2577</v>
      </c>
      <c r="B2740" s="40" t="s">
        <v>16259</v>
      </c>
      <c r="C2740" s="40" t="s">
        <v>16260</v>
      </c>
      <c r="D2740" s="40" t="s">
        <v>16261</v>
      </c>
      <c r="E2740" s="41">
        <v>71.900000000000006</v>
      </c>
      <c r="F2740" s="40"/>
      <c r="G2740" s="41"/>
      <c r="H2740" s="40"/>
      <c r="I2740" s="41"/>
      <c r="J2740" s="41">
        <f t="shared" si="10"/>
        <v>71.900000000000006</v>
      </c>
      <c r="K2740" s="42" t="s">
        <v>5796</v>
      </c>
      <c r="L2740" s="39">
        <v>2577</v>
      </c>
    </row>
    <row r="2741" spans="1:12" ht="11.25" customHeight="1">
      <c r="A2741" s="39">
        <v>2578</v>
      </c>
      <c r="B2741" s="40" t="s">
        <v>16262</v>
      </c>
      <c r="C2741" s="40" t="s">
        <v>16263</v>
      </c>
      <c r="D2741" s="40" t="s">
        <v>16264</v>
      </c>
      <c r="E2741" s="41">
        <v>71.680000000000007</v>
      </c>
      <c r="F2741" s="40"/>
      <c r="G2741" s="41"/>
      <c r="H2741" s="40"/>
      <c r="I2741" s="41"/>
      <c r="J2741" s="41">
        <f t="shared" si="10"/>
        <v>71.680000000000007</v>
      </c>
      <c r="K2741" s="42" t="s">
        <v>5796</v>
      </c>
      <c r="L2741" s="39">
        <v>2578</v>
      </c>
    </row>
    <row r="2742" spans="1:12" ht="11.25" customHeight="1">
      <c r="A2742" s="39">
        <v>2579</v>
      </c>
      <c r="B2742" s="40" t="s">
        <v>16265</v>
      </c>
      <c r="C2742" s="40" t="s">
        <v>16266</v>
      </c>
      <c r="D2742" s="40" t="s">
        <v>16267</v>
      </c>
      <c r="E2742" s="41">
        <v>71.63</v>
      </c>
      <c r="F2742" s="40"/>
      <c r="G2742" s="41"/>
      <c r="H2742" s="40"/>
      <c r="I2742" s="41"/>
      <c r="J2742" s="41">
        <f t="shared" si="10"/>
        <v>71.63</v>
      </c>
      <c r="K2742" s="42" t="s">
        <v>5796</v>
      </c>
      <c r="L2742" s="39">
        <v>2579</v>
      </c>
    </row>
    <row r="2743" spans="1:12" ht="11.25" customHeight="1">
      <c r="A2743" s="39">
        <v>2582</v>
      </c>
      <c r="B2743" s="40" t="s">
        <v>8104</v>
      </c>
      <c r="C2743" s="40" t="s">
        <v>16268</v>
      </c>
      <c r="D2743" s="40" t="s">
        <v>16269</v>
      </c>
      <c r="E2743" s="41">
        <v>71.08</v>
      </c>
      <c r="F2743" s="40"/>
      <c r="G2743" s="41"/>
      <c r="H2743" s="40"/>
      <c r="I2743" s="41"/>
      <c r="J2743" s="41">
        <f t="shared" si="10"/>
        <v>71.08</v>
      </c>
      <c r="K2743" s="42" t="s">
        <v>5796</v>
      </c>
      <c r="L2743" s="39">
        <v>2582</v>
      </c>
    </row>
    <row r="2744" spans="1:12" ht="11.25" customHeight="1">
      <c r="A2744" s="39">
        <v>2583</v>
      </c>
      <c r="B2744" s="40" t="s">
        <v>7867</v>
      </c>
      <c r="C2744" s="40" t="s">
        <v>16270</v>
      </c>
      <c r="D2744" s="40" t="s">
        <v>16271</v>
      </c>
      <c r="E2744" s="41">
        <v>70.95</v>
      </c>
      <c r="F2744" s="40"/>
      <c r="G2744" s="41"/>
      <c r="H2744" s="40"/>
      <c r="I2744" s="41"/>
      <c r="J2744" s="41">
        <f t="shared" si="10"/>
        <v>70.95</v>
      </c>
      <c r="K2744" s="42" t="s">
        <v>5796</v>
      </c>
      <c r="L2744" s="39">
        <v>2583</v>
      </c>
    </row>
    <row r="2745" spans="1:12" ht="11.25" customHeight="1">
      <c r="A2745" s="39">
        <v>2585</v>
      </c>
      <c r="B2745" s="40" t="s">
        <v>16272</v>
      </c>
      <c r="C2745" s="40" t="s">
        <v>16273</v>
      </c>
      <c r="D2745" s="40" t="s">
        <v>16274</v>
      </c>
      <c r="E2745" s="41">
        <v>70.83</v>
      </c>
      <c r="F2745" s="40"/>
      <c r="G2745" s="41"/>
      <c r="H2745" s="40"/>
      <c r="I2745" s="41"/>
      <c r="J2745" s="41">
        <f t="shared" si="10"/>
        <v>70.83</v>
      </c>
      <c r="K2745" s="42" t="s">
        <v>5796</v>
      </c>
      <c r="L2745" s="39">
        <v>2585</v>
      </c>
    </row>
    <row r="2746" spans="1:12" ht="11.25" customHeight="1">
      <c r="A2746" s="39">
        <v>2586</v>
      </c>
      <c r="B2746" s="40" t="s">
        <v>16275</v>
      </c>
      <c r="C2746" s="40" t="s">
        <v>16276</v>
      </c>
      <c r="D2746" s="40" t="s">
        <v>16277</v>
      </c>
      <c r="E2746" s="41">
        <v>70.73</v>
      </c>
      <c r="F2746" s="40"/>
      <c r="G2746" s="41"/>
      <c r="H2746" s="40"/>
      <c r="I2746" s="41"/>
      <c r="J2746" s="41">
        <f t="shared" si="10"/>
        <v>70.73</v>
      </c>
      <c r="K2746" s="42" t="s">
        <v>5796</v>
      </c>
      <c r="L2746" s="39">
        <v>2586</v>
      </c>
    </row>
    <row r="2747" spans="1:12" ht="11.25" customHeight="1">
      <c r="A2747" s="39">
        <v>2589</v>
      </c>
      <c r="B2747" s="40" t="s">
        <v>16278</v>
      </c>
      <c r="C2747" s="40" t="s">
        <v>16279</v>
      </c>
      <c r="D2747" s="40" t="s">
        <v>16280</v>
      </c>
      <c r="E2747" s="41">
        <v>70.430000000000007</v>
      </c>
      <c r="F2747" s="40"/>
      <c r="G2747" s="41"/>
      <c r="H2747" s="40"/>
      <c r="I2747" s="41"/>
      <c r="J2747" s="41">
        <f t="shared" si="10"/>
        <v>70.430000000000007</v>
      </c>
      <c r="K2747" s="42" t="s">
        <v>5796</v>
      </c>
      <c r="L2747" s="39">
        <v>2589</v>
      </c>
    </row>
    <row r="2748" spans="1:12" ht="11.25" customHeight="1">
      <c r="A2748" s="39">
        <v>2591</v>
      </c>
      <c r="B2748" s="40" t="s">
        <v>16281</v>
      </c>
      <c r="C2748" s="40" t="s">
        <v>16282</v>
      </c>
      <c r="D2748" s="40" t="s">
        <v>16283</v>
      </c>
      <c r="E2748" s="41">
        <v>70.31</v>
      </c>
      <c r="F2748" s="40"/>
      <c r="G2748" s="41"/>
      <c r="H2748" s="40"/>
      <c r="I2748" s="41"/>
      <c r="J2748" s="41">
        <f t="shared" si="10"/>
        <v>70.31</v>
      </c>
      <c r="K2748" s="42" t="s">
        <v>5796</v>
      </c>
      <c r="L2748" s="39">
        <v>2591</v>
      </c>
    </row>
    <row r="2749" spans="1:12" ht="11.25" customHeight="1">
      <c r="A2749" s="39">
        <v>2592</v>
      </c>
      <c r="B2749" s="40" t="s">
        <v>16284</v>
      </c>
      <c r="C2749" s="40" t="s">
        <v>16285</v>
      </c>
      <c r="D2749" s="40" t="s">
        <v>16286</v>
      </c>
      <c r="E2749" s="41">
        <v>70.28</v>
      </c>
      <c r="F2749" s="40"/>
      <c r="G2749" s="41"/>
      <c r="H2749" s="40"/>
      <c r="I2749" s="41"/>
      <c r="J2749" s="41">
        <f t="shared" si="10"/>
        <v>70.28</v>
      </c>
      <c r="K2749" s="42" t="s">
        <v>5796</v>
      </c>
      <c r="L2749" s="39">
        <v>2592</v>
      </c>
    </row>
    <row r="2750" spans="1:12" ht="11.25" customHeight="1">
      <c r="A2750" s="39">
        <v>2593</v>
      </c>
      <c r="B2750" s="40" t="s">
        <v>7793</v>
      </c>
      <c r="C2750" s="40" t="s">
        <v>16287</v>
      </c>
      <c r="D2750" s="40" t="s">
        <v>16288</v>
      </c>
      <c r="E2750" s="41">
        <v>70.17</v>
      </c>
      <c r="F2750" s="40"/>
      <c r="G2750" s="41"/>
      <c r="H2750" s="40"/>
      <c r="I2750" s="41"/>
      <c r="J2750" s="41">
        <f t="shared" si="10"/>
        <v>70.17</v>
      </c>
      <c r="K2750" s="42" t="s">
        <v>5796</v>
      </c>
      <c r="L2750" s="39">
        <v>2593</v>
      </c>
    </row>
    <row r="2751" spans="1:12" ht="11.25" customHeight="1">
      <c r="A2751" s="39">
        <v>2594</v>
      </c>
      <c r="B2751" s="40" t="s">
        <v>16289</v>
      </c>
      <c r="C2751" s="40" t="s">
        <v>16290</v>
      </c>
      <c r="D2751" s="40" t="s">
        <v>16291</v>
      </c>
      <c r="E2751" s="41">
        <v>69.7</v>
      </c>
      <c r="F2751" s="40"/>
      <c r="G2751" s="41"/>
      <c r="H2751" s="40"/>
      <c r="I2751" s="41"/>
      <c r="J2751" s="41">
        <f t="shared" si="10"/>
        <v>69.7</v>
      </c>
      <c r="K2751" s="42" t="s">
        <v>5796</v>
      </c>
      <c r="L2751" s="39">
        <v>2594</v>
      </c>
    </row>
    <row r="2752" spans="1:12" ht="11.25" customHeight="1">
      <c r="A2752" s="39">
        <v>2596</v>
      </c>
      <c r="B2752" s="40" t="s">
        <v>16292</v>
      </c>
      <c r="C2752" s="40" t="s">
        <v>16293</v>
      </c>
      <c r="D2752" s="40" t="s">
        <v>16294</v>
      </c>
      <c r="E2752" s="41">
        <v>69.56</v>
      </c>
      <c r="F2752" s="40"/>
      <c r="G2752" s="41"/>
      <c r="H2752" s="40"/>
      <c r="I2752" s="41"/>
      <c r="J2752" s="41">
        <f t="shared" si="10"/>
        <v>69.56</v>
      </c>
      <c r="K2752" s="42" t="s">
        <v>5796</v>
      </c>
      <c r="L2752" s="39">
        <v>2596</v>
      </c>
    </row>
    <row r="2753" spans="1:12" ht="11.25" customHeight="1">
      <c r="A2753" s="39">
        <v>2597</v>
      </c>
      <c r="B2753" s="40" t="s">
        <v>16295</v>
      </c>
      <c r="C2753" s="40" t="s">
        <v>16296</v>
      </c>
      <c r="D2753" s="40" t="s">
        <v>16297</v>
      </c>
      <c r="E2753" s="41">
        <v>69.44</v>
      </c>
      <c r="F2753" s="40"/>
      <c r="G2753" s="41"/>
      <c r="H2753" s="40"/>
      <c r="I2753" s="41"/>
      <c r="J2753" s="41">
        <f t="shared" si="10"/>
        <v>69.44</v>
      </c>
      <c r="K2753" s="42" t="s">
        <v>5796</v>
      </c>
      <c r="L2753" s="39">
        <v>2597</v>
      </c>
    </row>
    <row r="2754" spans="1:12" ht="11.25" customHeight="1">
      <c r="A2754" s="39">
        <v>2599</v>
      </c>
      <c r="B2754" s="40" t="s">
        <v>16298</v>
      </c>
      <c r="C2754" s="40" t="s">
        <v>16299</v>
      </c>
      <c r="D2754" s="40" t="s">
        <v>16300</v>
      </c>
      <c r="E2754" s="41">
        <v>69.150000000000006</v>
      </c>
      <c r="F2754" s="40"/>
      <c r="G2754" s="41"/>
      <c r="H2754" s="40"/>
      <c r="I2754" s="41"/>
      <c r="J2754" s="41">
        <f t="shared" si="10"/>
        <v>69.150000000000006</v>
      </c>
      <c r="K2754" s="42" t="s">
        <v>5796</v>
      </c>
      <c r="L2754" s="39">
        <v>2599</v>
      </c>
    </row>
    <row r="2755" spans="1:12" ht="11.25" customHeight="1">
      <c r="A2755" s="39">
        <v>2600</v>
      </c>
      <c r="B2755" s="40" t="s">
        <v>7784</v>
      </c>
      <c r="C2755" s="40" t="s">
        <v>16301</v>
      </c>
      <c r="D2755" s="40" t="s">
        <v>16302</v>
      </c>
      <c r="E2755" s="41">
        <v>69.11</v>
      </c>
      <c r="F2755" s="40"/>
      <c r="G2755" s="41"/>
      <c r="H2755" s="40"/>
      <c r="I2755" s="41"/>
      <c r="J2755" s="41">
        <f t="shared" si="10"/>
        <v>69.11</v>
      </c>
      <c r="K2755" s="42" t="s">
        <v>5796</v>
      </c>
      <c r="L2755" s="39">
        <v>2600</v>
      </c>
    </row>
    <row r="2756" spans="1:12" ht="11.25" customHeight="1">
      <c r="A2756" s="39">
        <v>2601</v>
      </c>
      <c r="B2756" s="40" t="s">
        <v>16303</v>
      </c>
      <c r="C2756" s="40" t="s">
        <v>16304</v>
      </c>
      <c r="D2756" s="40" t="s">
        <v>16305</v>
      </c>
      <c r="E2756" s="41">
        <v>69.05</v>
      </c>
      <c r="F2756" s="40"/>
      <c r="G2756" s="41"/>
      <c r="H2756" s="40"/>
      <c r="I2756" s="41"/>
      <c r="J2756" s="41">
        <f t="shared" si="10"/>
        <v>69.05</v>
      </c>
      <c r="K2756" s="42" t="s">
        <v>5796</v>
      </c>
      <c r="L2756" s="39">
        <v>2601</v>
      </c>
    </row>
    <row r="2757" spans="1:12" ht="11.25" customHeight="1">
      <c r="A2757" s="39">
        <v>2602</v>
      </c>
      <c r="B2757" s="40" t="s">
        <v>16306</v>
      </c>
      <c r="C2757" s="40" t="s">
        <v>16307</v>
      </c>
      <c r="D2757" s="40" t="s">
        <v>16308</v>
      </c>
      <c r="E2757" s="41">
        <v>68.28</v>
      </c>
      <c r="F2757" s="40"/>
      <c r="G2757" s="41"/>
      <c r="H2757" s="40"/>
      <c r="I2757" s="41"/>
      <c r="J2757" s="41">
        <f t="shared" si="10"/>
        <v>68.28</v>
      </c>
      <c r="K2757" s="42" t="s">
        <v>5796</v>
      </c>
      <c r="L2757" s="39">
        <v>2602</v>
      </c>
    </row>
    <row r="2758" spans="1:12" ht="11.25" customHeight="1">
      <c r="A2758" s="39">
        <v>2603</v>
      </c>
      <c r="B2758" s="40" t="s">
        <v>16309</v>
      </c>
      <c r="C2758" s="40" t="s">
        <v>16310</v>
      </c>
      <c r="D2758" s="40" t="s">
        <v>16311</v>
      </c>
      <c r="E2758" s="41">
        <v>68.23</v>
      </c>
      <c r="F2758" s="40"/>
      <c r="G2758" s="41"/>
      <c r="H2758" s="40"/>
      <c r="I2758" s="41"/>
      <c r="J2758" s="41">
        <f t="shared" si="10"/>
        <v>68.23</v>
      </c>
      <c r="K2758" s="42" t="s">
        <v>5796</v>
      </c>
      <c r="L2758" s="39">
        <v>2603</v>
      </c>
    </row>
    <row r="2759" spans="1:12" ht="11.25" customHeight="1">
      <c r="A2759" s="39">
        <v>2604</v>
      </c>
      <c r="B2759" s="40" t="s">
        <v>16312</v>
      </c>
      <c r="C2759" s="40" t="s">
        <v>16313</v>
      </c>
      <c r="D2759" s="40" t="s">
        <v>16314</v>
      </c>
      <c r="E2759" s="41">
        <v>68.150000000000006</v>
      </c>
      <c r="F2759" s="40"/>
      <c r="G2759" s="41"/>
      <c r="H2759" s="40"/>
      <c r="I2759" s="41"/>
      <c r="J2759" s="41">
        <f t="shared" si="10"/>
        <v>68.150000000000006</v>
      </c>
      <c r="K2759" s="42" t="s">
        <v>5796</v>
      </c>
      <c r="L2759" s="39">
        <v>2604</v>
      </c>
    </row>
    <row r="2760" spans="1:12" ht="11.25" customHeight="1">
      <c r="A2760" s="39">
        <v>2605</v>
      </c>
      <c r="B2760" s="40" t="s">
        <v>7734</v>
      </c>
      <c r="C2760" s="40" t="s">
        <v>16315</v>
      </c>
      <c r="D2760" s="40" t="s">
        <v>16316</v>
      </c>
      <c r="E2760" s="41">
        <v>68.12</v>
      </c>
      <c r="F2760" s="40"/>
      <c r="G2760" s="41"/>
      <c r="H2760" s="40"/>
      <c r="I2760" s="41"/>
      <c r="J2760" s="41">
        <f t="shared" si="10"/>
        <v>68.12</v>
      </c>
      <c r="K2760" s="42" t="s">
        <v>5796</v>
      </c>
      <c r="L2760" s="39">
        <v>2605</v>
      </c>
    </row>
    <row r="2761" spans="1:12" ht="11.25" customHeight="1">
      <c r="A2761" s="39">
        <v>2606</v>
      </c>
      <c r="B2761" s="40" t="s">
        <v>16317</v>
      </c>
      <c r="C2761" s="40" t="s">
        <v>16318</v>
      </c>
      <c r="D2761" s="40" t="s">
        <v>16319</v>
      </c>
      <c r="E2761" s="41">
        <v>68.099999999999994</v>
      </c>
      <c r="F2761" s="40"/>
      <c r="G2761" s="41"/>
      <c r="H2761" s="40"/>
      <c r="I2761" s="41"/>
      <c r="J2761" s="41">
        <f t="shared" si="10"/>
        <v>68.099999999999994</v>
      </c>
      <c r="K2761" s="42" t="s">
        <v>5796</v>
      </c>
      <c r="L2761" s="39">
        <v>2606</v>
      </c>
    </row>
    <row r="2762" spans="1:12" ht="11.25" customHeight="1">
      <c r="A2762" s="39">
        <v>2607</v>
      </c>
      <c r="B2762" s="40" t="s">
        <v>16320</v>
      </c>
      <c r="C2762" s="40" t="s">
        <v>16321</v>
      </c>
      <c r="D2762" s="40" t="s">
        <v>16322</v>
      </c>
      <c r="E2762" s="41">
        <v>68.03</v>
      </c>
      <c r="F2762" s="40"/>
      <c r="G2762" s="41"/>
      <c r="H2762" s="40"/>
      <c r="I2762" s="41"/>
      <c r="J2762" s="41">
        <f t="shared" si="10"/>
        <v>68.03</v>
      </c>
      <c r="K2762" s="42" t="s">
        <v>5796</v>
      </c>
      <c r="L2762" s="39">
        <v>2607</v>
      </c>
    </row>
    <row r="2763" spans="1:12" ht="11.25" customHeight="1">
      <c r="A2763" s="39">
        <v>2608</v>
      </c>
      <c r="B2763" s="40" t="s">
        <v>7812</v>
      </c>
      <c r="C2763" s="40" t="s">
        <v>16323</v>
      </c>
      <c r="D2763" s="40" t="s">
        <v>16324</v>
      </c>
      <c r="E2763" s="41">
        <v>67.760000000000005</v>
      </c>
      <c r="F2763" s="40"/>
      <c r="G2763" s="41"/>
      <c r="H2763" s="40"/>
      <c r="I2763" s="41"/>
      <c r="J2763" s="41">
        <f t="shared" si="10"/>
        <v>67.760000000000005</v>
      </c>
      <c r="K2763" s="42" t="s">
        <v>5796</v>
      </c>
      <c r="L2763" s="39">
        <v>2608</v>
      </c>
    </row>
    <row r="2764" spans="1:12" ht="11.25" customHeight="1">
      <c r="A2764" s="39">
        <v>2609</v>
      </c>
      <c r="B2764" s="40" t="s">
        <v>16325</v>
      </c>
      <c r="C2764" s="40" t="s">
        <v>16326</v>
      </c>
      <c r="D2764" s="40" t="s">
        <v>16327</v>
      </c>
      <c r="E2764" s="41">
        <v>67.66</v>
      </c>
      <c r="F2764" s="40"/>
      <c r="G2764" s="41"/>
      <c r="H2764" s="40"/>
      <c r="I2764" s="41"/>
      <c r="J2764" s="41">
        <f t="shared" si="10"/>
        <v>67.66</v>
      </c>
      <c r="K2764" s="42" t="s">
        <v>5796</v>
      </c>
      <c r="L2764" s="39">
        <v>2609</v>
      </c>
    </row>
    <row r="2765" spans="1:12" ht="11.25" customHeight="1">
      <c r="A2765" s="39">
        <v>2611</v>
      </c>
      <c r="B2765" s="40" t="s">
        <v>16328</v>
      </c>
      <c r="C2765" s="40" t="s">
        <v>16329</v>
      </c>
      <c r="D2765" s="40" t="s">
        <v>16330</v>
      </c>
      <c r="E2765" s="41">
        <v>67.5</v>
      </c>
      <c r="F2765" s="40"/>
      <c r="G2765" s="41"/>
      <c r="H2765" s="40"/>
      <c r="I2765" s="41"/>
      <c r="J2765" s="41">
        <f t="shared" si="10"/>
        <v>67.5</v>
      </c>
      <c r="K2765" s="42" t="s">
        <v>5796</v>
      </c>
      <c r="L2765" s="39">
        <v>2611</v>
      </c>
    </row>
    <row r="2766" spans="1:12" ht="11.25" customHeight="1">
      <c r="A2766" s="39">
        <v>2612</v>
      </c>
      <c r="B2766" s="40" t="s">
        <v>16331</v>
      </c>
      <c r="C2766" s="40" t="s">
        <v>16332</v>
      </c>
      <c r="D2766" s="40" t="s">
        <v>16333</v>
      </c>
      <c r="E2766" s="41">
        <v>67.38</v>
      </c>
      <c r="F2766" s="40"/>
      <c r="G2766" s="41"/>
      <c r="H2766" s="40"/>
      <c r="I2766" s="41"/>
      <c r="J2766" s="41">
        <f t="shared" si="10"/>
        <v>67.38</v>
      </c>
      <c r="K2766" s="42" t="s">
        <v>5796</v>
      </c>
      <c r="L2766" s="39">
        <v>2612</v>
      </c>
    </row>
    <row r="2767" spans="1:12" ht="11.25" customHeight="1">
      <c r="A2767" s="39">
        <v>2613</v>
      </c>
      <c r="B2767" s="40" t="s">
        <v>16334</v>
      </c>
      <c r="C2767" s="40" t="s">
        <v>16335</v>
      </c>
      <c r="D2767" s="40" t="s">
        <v>16336</v>
      </c>
      <c r="E2767" s="41">
        <v>67.36</v>
      </c>
      <c r="F2767" s="40"/>
      <c r="G2767" s="41"/>
      <c r="H2767" s="40"/>
      <c r="I2767" s="41"/>
      <c r="J2767" s="41">
        <f t="shared" si="10"/>
        <v>67.36</v>
      </c>
      <c r="K2767" s="42" t="s">
        <v>5796</v>
      </c>
      <c r="L2767" s="39">
        <v>2613</v>
      </c>
    </row>
    <row r="2768" spans="1:12" ht="11.25" customHeight="1">
      <c r="A2768" s="39">
        <v>2615</v>
      </c>
      <c r="B2768" s="52" t="s">
        <v>7827</v>
      </c>
      <c r="C2768" s="52" t="s">
        <v>16337</v>
      </c>
      <c r="D2768" s="40"/>
      <c r="E2768" s="41"/>
      <c r="F2768" s="40"/>
      <c r="G2768" s="41"/>
      <c r="H2768" s="52" t="s">
        <v>16338</v>
      </c>
      <c r="I2768" s="53">
        <v>66.987283499999862</v>
      </c>
      <c r="J2768" s="41">
        <f t="shared" si="10"/>
        <v>66.987283499999862</v>
      </c>
      <c r="K2768" s="42" t="s">
        <v>5796</v>
      </c>
      <c r="L2768" s="39">
        <v>2615</v>
      </c>
    </row>
    <row r="2769" spans="1:12" ht="11.25" customHeight="1">
      <c r="A2769" s="39">
        <v>2616</v>
      </c>
      <c r="B2769" s="40" t="s">
        <v>16339</v>
      </c>
      <c r="C2769" s="40" t="s">
        <v>16340</v>
      </c>
      <c r="D2769" s="40" t="s">
        <v>16341</v>
      </c>
      <c r="E2769" s="41">
        <v>66.88</v>
      </c>
      <c r="F2769" s="40"/>
      <c r="G2769" s="41"/>
      <c r="H2769" s="40"/>
      <c r="I2769" s="41"/>
      <c r="J2769" s="41">
        <f t="shared" si="10"/>
        <v>66.88</v>
      </c>
      <c r="K2769" s="42" t="s">
        <v>5796</v>
      </c>
      <c r="L2769" s="39">
        <v>2616</v>
      </c>
    </row>
    <row r="2770" spans="1:12" ht="11.25" customHeight="1">
      <c r="A2770" s="39">
        <v>2617</v>
      </c>
      <c r="B2770" s="40" t="s">
        <v>16342</v>
      </c>
      <c r="C2770" s="40" t="s">
        <v>16343</v>
      </c>
      <c r="D2770" s="40" t="s">
        <v>16344</v>
      </c>
      <c r="E2770" s="41">
        <v>66.599999999999994</v>
      </c>
      <c r="F2770" s="40"/>
      <c r="G2770" s="41"/>
      <c r="H2770" s="40"/>
      <c r="I2770" s="41"/>
      <c r="J2770" s="41">
        <f t="shared" si="10"/>
        <v>66.599999999999994</v>
      </c>
      <c r="K2770" s="42" t="s">
        <v>5796</v>
      </c>
      <c r="L2770" s="39">
        <v>2617</v>
      </c>
    </row>
    <row r="2771" spans="1:12" ht="11.25" customHeight="1">
      <c r="A2771" s="39">
        <v>2619</v>
      </c>
      <c r="B2771" s="40" t="s">
        <v>16345</v>
      </c>
      <c r="C2771" s="40" t="s">
        <v>16346</v>
      </c>
      <c r="D2771" s="40" t="s">
        <v>16347</v>
      </c>
      <c r="E2771" s="41">
        <v>66.400000000000006</v>
      </c>
      <c r="F2771" s="40"/>
      <c r="G2771" s="41"/>
      <c r="H2771" s="40"/>
      <c r="I2771" s="41"/>
      <c r="J2771" s="41">
        <f t="shared" si="10"/>
        <v>66.400000000000006</v>
      </c>
      <c r="K2771" s="42" t="s">
        <v>5796</v>
      </c>
      <c r="L2771" s="39">
        <v>2619</v>
      </c>
    </row>
    <row r="2772" spans="1:12" ht="11.25" customHeight="1">
      <c r="A2772" s="39">
        <v>2620</v>
      </c>
      <c r="B2772" s="40" t="s">
        <v>16348</v>
      </c>
      <c r="C2772" s="40" t="s">
        <v>16349</v>
      </c>
      <c r="D2772" s="40" t="s">
        <v>16350</v>
      </c>
      <c r="E2772" s="41">
        <v>66.37</v>
      </c>
      <c r="F2772" s="40"/>
      <c r="G2772" s="41"/>
      <c r="H2772" s="40"/>
      <c r="I2772" s="41"/>
      <c r="J2772" s="41">
        <f t="shared" si="10"/>
        <v>66.37</v>
      </c>
      <c r="K2772" s="42" t="s">
        <v>5796</v>
      </c>
      <c r="L2772" s="39">
        <v>2620</v>
      </c>
    </row>
    <row r="2773" spans="1:12" ht="11.25" customHeight="1">
      <c r="A2773" s="39">
        <v>2622</v>
      </c>
      <c r="B2773" s="40" t="s">
        <v>16351</v>
      </c>
      <c r="C2773" s="40" t="s">
        <v>16352</v>
      </c>
      <c r="D2773" s="40" t="s">
        <v>16353</v>
      </c>
      <c r="E2773" s="41">
        <v>66</v>
      </c>
      <c r="F2773" s="40"/>
      <c r="G2773" s="41"/>
      <c r="H2773" s="40"/>
      <c r="I2773" s="41"/>
      <c r="J2773" s="41">
        <f t="shared" si="10"/>
        <v>66</v>
      </c>
      <c r="K2773" s="42" t="s">
        <v>5796</v>
      </c>
      <c r="L2773" s="39">
        <v>2622</v>
      </c>
    </row>
    <row r="2774" spans="1:12" ht="11.25" customHeight="1">
      <c r="A2774" s="39">
        <v>2623</v>
      </c>
      <c r="B2774" s="40" t="s">
        <v>16354</v>
      </c>
      <c r="C2774" s="40" t="s">
        <v>16355</v>
      </c>
      <c r="D2774" s="40" t="s">
        <v>16356</v>
      </c>
      <c r="E2774" s="41">
        <v>65.98</v>
      </c>
      <c r="F2774" s="40"/>
      <c r="G2774" s="41"/>
      <c r="H2774" s="40"/>
      <c r="I2774" s="41"/>
      <c r="J2774" s="41">
        <f t="shared" si="10"/>
        <v>65.98</v>
      </c>
      <c r="K2774" s="42" t="s">
        <v>5796</v>
      </c>
      <c r="L2774" s="39">
        <v>2623</v>
      </c>
    </row>
    <row r="2775" spans="1:12" ht="11.25" customHeight="1">
      <c r="A2775" s="39">
        <v>2624</v>
      </c>
      <c r="B2775" s="40" t="s">
        <v>16357</v>
      </c>
      <c r="C2775" s="40" t="s">
        <v>16358</v>
      </c>
      <c r="D2775" s="40" t="s">
        <v>16359</v>
      </c>
      <c r="E2775" s="41">
        <v>65.650000000000006</v>
      </c>
      <c r="F2775" s="40"/>
      <c r="G2775" s="41"/>
      <c r="H2775" s="40"/>
      <c r="I2775" s="41"/>
      <c r="J2775" s="41">
        <f t="shared" si="10"/>
        <v>65.650000000000006</v>
      </c>
      <c r="K2775" s="42" t="s">
        <v>5796</v>
      </c>
      <c r="L2775" s="39">
        <v>2624</v>
      </c>
    </row>
    <row r="2776" spans="1:12" ht="11.25" customHeight="1">
      <c r="A2776" s="39">
        <v>2625</v>
      </c>
      <c r="B2776" s="40" t="s">
        <v>16360</v>
      </c>
      <c r="C2776" s="40" t="s">
        <v>16361</v>
      </c>
      <c r="D2776" s="40" t="s">
        <v>16362</v>
      </c>
      <c r="E2776" s="41">
        <v>65.62</v>
      </c>
      <c r="F2776" s="40"/>
      <c r="G2776" s="41"/>
      <c r="H2776" s="40"/>
      <c r="I2776" s="41"/>
      <c r="J2776" s="41">
        <f t="shared" si="10"/>
        <v>65.62</v>
      </c>
      <c r="K2776" s="42" t="s">
        <v>5796</v>
      </c>
      <c r="L2776" s="39">
        <v>2625</v>
      </c>
    </row>
    <row r="2777" spans="1:12" ht="11.25" customHeight="1">
      <c r="A2777" s="39">
        <v>2626</v>
      </c>
      <c r="B2777" s="40" t="s">
        <v>16363</v>
      </c>
      <c r="C2777" s="40" t="s">
        <v>16364</v>
      </c>
      <c r="D2777" s="40" t="s">
        <v>16365</v>
      </c>
      <c r="E2777" s="41">
        <v>65.59</v>
      </c>
      <c r="F2777" s="40"/>
      <c r="G2777" s="41"/>
      <c r="H2777" s="40"/>
      <c r="I2777" s="41"/>
      <c r="J2777" s="41">
        <f t="shared" si="10"/>
        <v>65.59</v>
      </c>
      <c r="K2777" s="42" t="s">
        <v>5796</v>
      </c>
      <c r="L2777" s="39">
        <v>2626</v>
      </c>
    </row>
    <row r="2778" spans="1:12" ht="11.25" customHeight="1">
      <c r="A2778" s="39">
        <v>2627</v>
      </c>
      <c r="B2778" s="40" t="s">
        <v>16366</v>
      </c>
      <c r="C2778" s="40" t="s">
        <v>16367</v>
      </c>
      <c r="D2778" s="40" t="s">
        <v>16368</v>
      </c>
      <c r="E2778" s="41">
        <v>65.19</v>
      </c>
      <c r="F2778" s="40"/>
      <c r="G2778" s="41"/>
      <c r="H2778" s="40"/>
      <c r="I2778" s="41"/>
      <c r="J2778" s="41">
        <f t="shared" si="10"/>
        <v>65.19</v>
      </c>
      <c r="K2778" s="42" t="s">
        <v>5796</v>
      </c>
      <c r="L2778" s="39">
        <v>2627</v>
      </c>
    </row>
    <row r="2779" spans="1:12" ht="11.25" customHeight="1">
      <c r="A2779" s="39">
        <v>2628</v>
      </c>
      <c r="B2779" s="40" t="s">
        <v>16369</v>
      </c>
      <c r="C2779" s="40" t="s">
        <v>16370</v>
      </c>
      <c r="D2779" s="40" t="s">
        <v>16371</v>
      </c>
      <c r="E2779" s="41">
        <v>65.150000000000006</v>
      </c>
      <c r="F2779" s="40"/>
      <c r="G2779" s="41"/>
      <c r="H2779" s="40"/>
      <c r="I2779" s="41"/>
      <c r="J2779" s="41">
        <f t="shared" si="10"/>
        <v>65.150000000000006</v>
      </c>
      <c r="K2779" s="42" t="s">
        <v>5796</v>
      </c>
      <c r="L2779" s="39">
        <v>2628</v>
      </c>
    </row>
    <row r="2780" spans="1:12" ht="11.25" customHeight="1">
      <c r="A2780" s="39">
        <v>2629</v>
      </c>
      <c r="B2780" s="40" t="s">
        <v>7994</v>
      </c>
      <c r="C2780" s="40" t="s">
        <v>16372</v>
      </c>
      <c r="D2780" s="40" t="s">
        <v>16373</v>
      </c>
      <c r="E2780" s="41">
        <v>64.91</v>
      </c>
      <c r="F2780" s="40"/>
      <c r="G2780" s="41"/>
      <c r="H2780" s="40"/>
      <c r="I2780" s="41"/>
      <c r="J2780" s="41">
        <f t="shared" si="10"/>
        <v>64.91</v>
      </c>
      <c r="K2780" s="42" t="s">
        <v>5796</v>
      </c>
      <c r="L2780" s="39">
        <v>2629</v>
      </c>
    </row>
    <row r="2781" spans="1:12" ht="11.25" customHeight="1">
      <c r="A2781" s="39">
        <v>2630</v>
      </c>
      <c r="B2781" s="40" t="s">
        <v>16374</v>
      </c>
      <c r="C2781" s="40" t="s">
        <v>16375</v>
      </c>
      <c r="D2781" s="40" t="s">
        <v>16376</v>
      </c>
      <c r="E2781" s="41">
        <v>64.900000000000006</v>
      </c>
      <c r="F2781" s="40"/>
      <c r="G2781" s="41"/>
      <c r="H2781" s="40"/>
      <c r="I2781" s="41"/>
      <c r="J2781" s="41">
        <f t="shared" si="10"/>
        <v>64.900000000000006</v>
      </c>
      <c r="K2781" s="42" t="s">
        <v>5796</v>
      </c>
      <c r="L2781" s="39">
        <v>2630</v>
      </c>
    </row>
    <row r="2782" spans="1:12" ht="11.25" customHeight="1">
      <c r="A2782" s="39">
        <v>2631</v>
      </c>
      <c r="B2782" s="40" t="s">
        <v>16377</v>
      </c>
      <c r="C2782" s="40" t="s">
        <v>16378</v>
      </c>
      <c r="D2782" s="40" t="s">
        <v>16379</v>
      </c>
      <c r="E2782" s="41">
        <v>64.790000000000006</v>
      </c>
      <c r="F2782" s="40"/>
      <c r="G2782" s="41"/>
      <c r="H2782" s="40"/>
      <c r="I2782" s="41"/>
      <c r="J2782" s="41">
        <f t="shared" si="10"/>
        <v>64.790000000000006</v>
      </c>
      <c r="K2782" s="42" t="s">
        <v>5796</v>
      </c>
      <c r="L2782" s="39">
        <v>2631</v>
      </c>
    </row>
    <row r="2783" spans="1:12" ht="11.25" customHeight="1">
      <c r="A2783" s="39">
        <v>2635</v>
      </c>
      <c r="B2783" s="40" t="s">
        <v>7349</v>
      </c>
      <c r="C2783" s="40" t="s">
        <v>16380</v>
      </c>
      <c r="D2783" s="40" t="s">
        <v>16381</v>
      </c>
      <c r="E2783" s="41">
        <v>64.25</v>
      </c>
      <c r="F2783" s="40"/>
      <c r="G2783" s="41"/>
      <c r="H2783" s="40"/>
      <c r="I2783" s="41"/>
      <c r="J2783" s="41">
        <f t="shared" si="10"/>
        <v>64.25</v>
      </c>
      <c r="K2783" s="42" t="s">
        <v>5796</v>
      </c>
      <c r="L2783" s="39">
        <v>2635</v>
      </c>
    </row>
    <row r="2784" spans="1:12" ht="11.25" customHeight="1">
      <c r="A2784" s="39">
        <v>2636</v>
      </c>
      <c r="B2784" s="40" t="s">
        <v>16382</v>
      </c>
      <c r="C2784" s="40" t="s">
        <v>16383</v>
      </c>
      <c r="D2784" s="40" t="s">
        <v>16384</v>
      </c>
      <c r="E2784" s="41">
        <v>64.239999999999995</v>
      </c>
      <c r="F2784" s="40"/>
      <c r="G2784" s="41"/>
      <c r="H2784" s="40"/>
      <c r="I2784" s="41"/>
      <c r="J2784" s="41">
        <f t="shared" si="10"/>
        <v>64.239999999999995</v>
      </c>
      <c r="K2784" s="42" t="s">
        <v>5796</v>
      </c>
      <c r="L2784" s="39">
        <v>2636</v>
      </c>
    </row>
    <row r="2785" spans="1:12" ht="11.25" customHeight="1">
      <c r="A2785" s="39">
        <v>2637</v>
      </c>
      <c r="B2785" s="40" t="s">
        <v>8442</v>
      </c>
      <c r="C2785" s="40" t="s">
        <v>16385</v>
      </c>
      <c r="D2785" s="40" t="s">
        <v>16386</v>
      </c>
      <c r="E2785" s="41">
        <v>63.7</v>
      </c>
      <c r="F2785" s="40"/>
      <c r="G2785" s="41"/>
      <c r="H2785" s="40"/>
      <c r="I2785" s="41"/>
      <c r="J2785" s="41">
        <f t="shared" si="10"/>
        <v>63.7</v>
      </c>
      <c r="K2785" s="42" t="s">
        <v>5796</v>
      </c>
      <c r="L2785" s="39">
        <v>2637</v>
      </c>
    </row>
    <row r="2786" spans="1:12" ht="11.25" customHeight="1">
      <c r="A2786" s="39">
        <v>2638</v>
      </c>
      <c r="B2786" s="40" t="s">
        <v>16387</v>
      </c>
      <c r="C2786" s="40" t="s">
        <v>16388</v>
      </c>
      <c r="D2786" s="40" t="s">
        <v>16389</v>
      </c>
      <c r="E2786" s="41">
        <v>63.6</v>
      </c>
      <c r="F2786" s="40"/>
      <c r="G2786" s="41"/>
      <c r="H2786" s="40"/>
      <c r="I2786" s="41"/>
      <c r="J2786" s="41">
        <f t="shared" si="10"/>
        <v>63.6</v>
      </c>
      <c r="K2786" s="42" t="s">
        <v>5796</v>
      </c>
      <c r="L2786" s="39">
        <v>2638</v>
      </c>
    </row>
    <row r="2787" spans="1:12" ht="11.25" customHeight="1">
      <c r="A2787" s="39">
        <v>2640</v>
      </c>
      <c r="B2787" s="52" t="s">
        <v>7834</v>
      </c>
      <c r="C2787" s="52" t="s">
        <v>16390</v>
      </c>
      <c r="D2787" s="40"/>
      <c r="E2787" s="41"/>
      <c r="F2787" s="40"/>
      <c r="G2787" s="41"/>
      <c r="H2787" s="52" t="s">
        <v>6521</v>
      </c>
      <c r="I2787" s="53">
        <v>63.550396800000087</v>
      </c>
      <c r="J2787" s="41">
        <f t="shared" si="10"/>
        <v>63.550396800000087</v>
      </c>
      <c r="K2787" s="42" t="s">
        <v>5796</v>
      </c>
      <c r="L2787" s="39">
        <v>2640</v>
      </c>
    </row>
    <row r="2788" spans="1:12" ht="11.25" customHeight="1">
      <c r="A2788" s="39">
        <v>2642</v>
      </c>
      <c r="B2788" s="40" t="s">
        <v>7774</v>
      </c>
      <c r="C2788" s="40" t="s">
        <v>16391</v>
      </c>
      <c r="D2788" s="40" t="s">
        <v>16392</v>
      </c>
      <c r="E2788" s="41">
        <v>63.28</v>
      </c>
      <c r="F2788" s="40"/>
      <c r="G2788" s="41"/>
      <c r="H2788" s="40"/>
      <c r="I2788" s="41"/>
      <c r="J2788" s="41">
        <f t="shared" si="10"/>
        <v>63.28</v>
      </c>
      <c r="K2788" s="42" t="s">
        <v>5796</v>
      </c>
      <c r="L2788" s="39">
        <v>2642</v>
      </c>
    </row>
    <row r="2789" spans="1:12" ht="11.25" customHeight="1">
      <c r="A2789" s="39">
        <v>2643</v>
      </c>
      <c r="B2789" s="40" t="s">
        <v>16393</v>
      </c>
      <c r="C2789" s="40" t="s">
        <v>16394</v>
      </c>
      <c r="D2789" s="40" t="s">
        <v>16395</v>
      </c>
      <c r="E2789" s="41">
        <v>63.23</v>
      </c>
      <c r="F2789" s="40"/>
      <c r="G2789" s="41"/>
      <c r="H2789" s="40"/>
      <c r="I2789" s="41"/>
      <c r="J2789" s="41">
        <f t="shared" si="10"/>
        <v>63.23</v>
      </c>
      <c r="K2789" s="42" t="s">
        <v>5796</v>
      </c>
      <c r="L2789" s="39">
        <v>2643</v>
      </c>
    </row>
    <row r="2790" spans="1:12" ht="11.25" customHeight="1">
      <c r="A2790" s="39">
        <v>2645</v>
      </c>
      <c r="B2790" s="40" t="s">
        <v>16396</v>
      </c>
      <c r="C2790" s="40" t="s">
        <v>16397</v>
      </c>
      <c r="D2790" s="40" t="s">
        <v>16398</v>
      </c>
      <c r="E2790" s="41">
        <v>63.11</v>
      </c>
      <c r="F2790" s="40"/>
      <c r="G2790" s="41"/>
      <c r="H2790" s="40"/>
      <c r="I2790" s="41"/>
      <c r="J2790" s="41">
        <f t="shared" si="10"/>
        <v>63.11</v>
      </c>
      <c r="K2790" s="42" t="s">
        <v>5796</v>
      </c>
      <c r="L2790" s="39">
        <v>2645</v>
      </c>
    </row>
    <row r="2791" spans="1:12" ht="11.25" customHeight="1">
      <c r="A2791" s="39">
        <v>2647</v>
      </c>
      <c r="B2791" s="40" t="s">
        <v>16399</v>
      </c>
      <c r="C2791" s="40" t="s">
        <v>16400</v>
      </c>
      <c r="D2791" s="40" t="s">
        <v>16401</v>
      </c>
      <c r="E2791" s="41">
        <v>63.04</v>
      </c>
      <c r="F2791" s="40"/>
      <c r="G2791" s="41"/>
      <c r="H2791" s="40"/>
      <c r="I2791" s="41"/>
      <c r="J2791" s="41">
        <f t="shared" si="10"/>
        <v>63.04</v>
      </c>
      <c r="K2791" s="42" t="s">
        <v>5796</v>
      </c>
      <c r="L2791" s="39">
        <v>2647</v>
      </c>
    </row>
    <row r="2792" spans="1:12" ht="11.25" customHeight="1">
      <c r="A2792" s="39">
        <v>2648</v>
      </c>
      <c r="B2792" s="40" t="s">
        <v>16402</v>
      </c>
      <c r="C2792" s="40" t="s">
        <v>16403</v>
      </c>
      <c r="D2792" s="40" t="s">
        <v>16404</v>
      </c>
      <c r="E2792" s="41">
        <v>63.02</v>
      </c>
      <c r="F2792" s="40"/>
      <c r="G2792" s="41"/>
      <c r="H2792" s="40"/>
      <c r="I2792" s="41"/>
      <c r="J2792" s="41">
        <f t="shared" si="10"/>
        <v>63.02</v>
      </c>
      <c r="K2792" s="42" t="s">
        <v>5796</v>
      </c>
      <c r="L2792" s="39">
        <v>2648</v>
      </c>
    </row>
    <row r="2793" spans="1:12" ht="11.25" customHeight="1">
      <c r="A2793" s="39">
        <v>2649</v>
      </c>
      <c r="B2793" s="40" t="s">
        <v>8541</v>
      </c>
      <c r="C2793" s="40" t="s">
        <v>16405</v>
      </c>
      <c r="D2793" s="40" t="s">
        <v>16406</v>
      </c>
      <c r="E2793" s="41">
        <v>62.91</v>
      </c>
      <c r="F2793" s="40"/>
      <c r="G2793" s="41"/>
      <c r="H2793" s="40"/>
      <c r="I2793" s="41"/>
      <c r="J2793" s="41">
        <f t="shared" si="10"/>
        <v>62.91</v>
      </c>
      <c r="K2793" s="42" t="s">
        <v>5796</v>
      </c>
      <c r="L2793" s="39">
        <v>2649</v>
      </c>
    </row>
    <row r="2794" spans="1:12" ht="11.25" customHeight="1">
      <c r="A2794" s="39">
        <v>2651</v>
      </c>
      <c r="B2794" s="40" t="s">
        <v>16407</v>
      </c>
      <c r="C2794" s="40" t="s">
        <v>16408</v>
      </c>
      <c r="D2794" s="40" t="s">
        <v>16409</v>
      </c>
      <c r="E2794" s="41">
        <v>62.75</v>
      </c>
      <c r="F2794" s="40"/>
      <c r="G2794" s="41"/>
      <c r="H2794" s="40"/>
      <c r="I2794" s="41"/>
      <c r="J2794" s="41">
        <f t="shared" si="10"/>
        <v>62.75</v>
      </c>
      <c r="K2794" s="42" t="s">
        <v>5796</v>
      </c>
      <c r="L2794" s="39">
        <v>2651</v>
      </c>
    </row>
    <row r="2795" spans="1:12" ht="11.25" customHeight="1">
      <c r="A2795" s="39">
        <v>2652</v>
      </c>
      <c r="B2795" s="40" t="s">
        <v>7850</v>
      </c>
      <c r="C2795" s="40" t="s">
        <v>16410</v>
      </c>
      <c r="D2795" s="40" t="s">
        <v>16411</v>
      </c>
      <c r="E2795" s="41">
        <v>62.61</v>
      </c>
      <c r="F2795" s="40"/>
      <c r="G2795" s="41"/>
      <c r="H2795" s="40"/>
      <c r="I2795" s="41"/>
      <c r="J2795" s="41">
        <f t="shared" si="10"/>
        <v>62.61</v>
      </c>
      <c r="K2795" s="42" t="s">
        <v>5796</v>
      </c>
      <c r="L2795" s="39">
        <v>2652</v>
      </c>
    </row>
    <row r="2796" spans="1:12" ht="11.25" customHeight="1">
      <c r="A2796" s="39">
        <v>2653</v>
      </c>
      <c r="B2796" s="40" t="s">
        <v>7857</v>
      </c>
      <c r="C2796" s="40" t="s">
        <v>16412</v>
      </c>
      <c r="D2796" s="40" t="s">
        <v>16413</v>
      </c>
      <c r="E2796" s="41">
        <v>62.52</v>
      </c>
      <c r="F2796" s="40"/>
      <c r="G2796" s="41"/>
      <c r="H2796" s="40"/>
      <c r="I2796" s="41"/>
      <c r="J2796" s="41">
        <f t="shared" si="10"/>
        <v>62.52</v>
      </c>
      <c r="K2796" s="42" t="s">
        <v>5796</v>
      </c>
      <c r="L2796" s="39">
        <v>2653</v>
      </c>
    </row>
    <row r="2797" spans="1:12" ht="11.25" customHeight="1">
      <c r="A2797" s="39">
        <v>2654</v>
      </c>
      <c r="B2797" s="40" t="s">
        <v>9000</v>
      </c>
      <c r="C2797" s="40" t="s">
        <v>16414</v>
      </c>
      <c r="D2797" s="40" t="s">
        <v>16415</v>
      </c>
      <c r="E2797" s="41">
        <v>62.51</v>
      </c>
      <c r="F2797" s="40"/>
      <c r="G2797" s="41"/>
      <c r="H2797" s="40"/>
      <c r="I2797" s="41"/>
      <c r="J2797" s="41">
        <f t="shared" si="10"/>
        <v>62.51</v>
      </c>
      <c r="K2797" s="42" t="s">
        <v>5796</v>
      </c>
      <c r="L2797" s="39">
        <v>2654</v>
      </c>
    </row>
    <row r="2798" spans="1:12" ht="11.25" customHeight="1">
      <c r="A2798" s="39">
        <v>2655</v>
      </c>
      <c r="B2798" s="40" t="s">
        <v>16416</v>
      </c>
      <c r="C2798" s="40" t="s">
        <v>16417</v>
      </c>
      <c r="D2798" s="40" t="s">
        <v>16418</v>
      </c>
      <c r="E2798" s="41">
        <v>62.45</v>
      </c>
      <c r="F2798" s="40"/>
      <c r="G2798" s="41"/>
      <c r="H2798" s="40"/>
      <c r="I2798" s="41"/>
      <c r="J2798" s="41">
        <f t="shared" si="10"/>
        <v>62.45</v>
      </c>
      <c r="K2798" s="42" t="s">
        <v>5796</v>
      </c>
      <c r="L2798" s="39">
        <v>2655</v>
      </c>
    </row>
    <row r="2799" spans="1:12" ht="11.25" customHeight="1">
      <c r="A2799" s="39">
        <v>2657</v>
      </c>
      <c r="B2799" s="40" t="s">
        <v>7948</v>
      </c>
      <c r="C2799" s="40" t="s">
        <v>16419</v>
      </c>
      <c r="D2799" s="40" t="s">
        <v>16420</v>
      </c>
      <c r="E2799" s="41">
        <v>62.11</v>
      </c>
      <c r="F2799" s="40"/>
      <c r="G2799" s="41"/>
      <c r="H2799" s="40"/>
      <c r="I2799" s="41"/>
      <c r="J2799" s="41">
        <f t="shared" si="10"/>
        <v>62.11</v>
      </c>
      <c r="K2799" s="42" t="s">
        <v>5796</v>
      </c>
      <c r="L2799" s="39">
        <v>2657</v>
      </c>
    </row>
    <row r="2800" spans="1:12" ht="11.25" customHeight="1">
      <c r="A2800" s="39">
        <v>2658</v>
      </c>
      <c r="B2800" s="40" t="s">
        <v>16421</v>
      </c>
      <c r="C2800" s="40" t="s">
        <v>16422</v>
      </c>
      <c r="D2800" s="40" t="s">
        <v>16423</v>
      </c>
      <c r="E2800" s="41">
        <v>62.09</v>
      </c>
      <c r="F2800" s="40"/>
      <c r="G2800" s="41"/>
      <c r="H2800" s="40"/>
      <c r="I2800" s="41"/>
      <c r="J2800" s="41">
        <f t="shared" si="10"/>
        <v>62.09</v>
      </c>
      <c r="K2800" s="42" t="s">
        <v>5796</v>
      </c>
      <c r="L2800" s="39">
        <v>2658</v>
      </c>
    </row>
    <row r="2801" spans="1:12" ht="11.25" customHeight="1">
      <c r="A2801" s="39">
        <v>2659</v>
      </c>
      <c r="B2801" s="40" t="s">
        <v>16424</v>
      </c>
      <c r="C2801" s="40" t="s">
        <v>16425</v>
      </c>
      <c r="D2801" s="40" t="s">
        <v>16426</v>
      </c>
      <c r="E2801" s="41">
        <v>62.06</v>
      </c>
      <c r="F2801" s="40"/>
      <c r="G2801" s="41"/>
      <c r="H2801" s="40"/>
      <c r="I2801" s="41"/>
      <c r="J2801" s="41">
        <f t="shared" si="10"/>
        <v>62.06</v>
      </c>
      <c r="K2801" s="42" t="s">
        <v>5796</v>
      </c>
      <c r="L2801" s="39">
        <v>2659</v>
      </c>
    </row>
    <row r="2802" spans="1:12" ht="11.25" customHeight="1">
      <c r="A2802" s="39">
        <v>2662</v>
      </c>
      <c r="B2802" s="40" t="s">
        <v>16427</v>
      </c>
      <c r="C2802" s="40" t="s">
        <v>16428</v>
      </c>
      <c r="D2802" s="40" t="s">
        <v>16429</v>
      </c>
      <c r="E2802" s="41">
        <v>61.84</v>
      </c>
      <c r="F2802" s="40"/>
      <c r="G2802" s="41"/>
      <c r="H2802" s="40"/>
      <c r="I2802" s="41"/>
      <c r="J2802" s="41">
        <f t="shared" si="10"/>
        <v>61.84</v>
      </c>
      <c r="K2802" s="42" t="s">
        <v>5796</v>
      </c>
      <c r="L2802" s="39">
        <v>2662</v>
      </c>
    </row>
    <row r="2803" spans="1:12" ht="11.25" customHeight="1">
      <c r="A2803" s="39">
        <v>2663</v>
      </c>
      <c r="B2803" s="54" t="s">
        <v>10243</v>
      </c>
      <c r="C2803" s="54" t="s">
        <v>16430</v>
      </c>
      <c r="D2803" s="40"/>
      <c r="E2803" s="41"/>
      <c r="F2803" s="40"/>
      <c r="G2803" s="41"/>
      <c r="H2803" s="54" t="s">
        <v>16431</v>
      </c>
      <c r="I2803" s="41">
        <v>61.5961</v>
      </c>
      <c r="J2803" s="41">
        <f t="shared" si="10"/>
        <v>61.5961</v>
      </c>
      <c r="K2803" s="42" t="s">
        <v>5796</v>
      </c>
      <c r="L2803" s="39">
        <v>2663</v>
      </c>
    </row>
    <row r="2804" spans="1:12" ht="11.25" customHeight="1">
      <c r="A2804" s="39">
        <v>2664</v>
      </c>
      <c r="B2804" s="40" t="s">
        <v>16432</v>
      </c>
      <c r="C2804" s="40" t="s">
        <v>16433</v>
      </c>
      <c r="D2804" s="40" t="s">
        <v>16434</v>
      </c>
      <c r="E2804" s="41">
        <v>61.58</v>
      </c>
      <c r="F2804" s="40"/>
      <c r="G2804" s="41"/>
      <c r="H2804" s="40"/>
      <c r="I2804" s="41"/>
      <c r="J2804" s="41">
        <f t="shared" si="10"/>
        <v>61.58</v>
      </c>
      <c r="K2804" s="42" t="s">
        <v>5796</v>
      </c>
      <c r="L2804" s="39">
        <v>2664</v>
      </c>
    </row>
    <row r="2805" spans="1:12" ht="11.25" customHeight="1">
      <c r="A2805" s="39">
        <v>2665</v>
      </c>
      <c r="B2805" s="52" t="s">
        <v>7864</v>
      </c>
      <c r="C2805" s="52" t="s">
        <v>16435</v>
      </c>
      <c r="D2805" s="40"/>
      <c r="E2805" s="41"/>
      <c r="F2805" s="40"/>
      <c r="G2805" s="41"/>
      <c r="H2805" s="52" t="s">
        <v>16436</v>
      </c>
      <c r="I2805" s="53">
        <v>61.471300000000106</v>
      </c>
      <c r="J2805" s="41">
        <f t="shared" si="10"/>
        <v>61.471300000000106</v>
      </c>
      <c r="K2805" s="42" t="s">
        <v>5796</v>
      </c>
      <c r="L2805" s="39">
        <v>2665</v>
      </c>
    </row>
    <row r="2806" spans="1:12" ht="11.25" customHeight="1">
      <c r="A2806" s="39">
        <v>2666</v>
      </c>
      <c r="B2806" s="40" t="s">
        <v>16437</v>
      </c>
      <c r="C2806" s="40" t="s">
        <v>16438</v>
      </c>
      <c r="D2806" s="40" t="s">
        <v>16439</v>
      </c>
      <c r="E2806" s="41">
        <v>61.44</v>
      </c>
      <c r="F2806" s="40"/>
      <c r="G2806" s="41"/>
      <c r="H2806" s="40"/>
      <c r="I2806" s="41"/>
      <c r="J2806" s="41">
        <f t="shared" si="10"/>
        <v>61.44</v>
      </c>
      <c r="K2806" s="42" t="s">
        <v>5796</v>
      </c>
      <c r="L2806" s="39">
        <v>2666</v>
      </c>
    </row>
    <row r="2807" spans="1:12" ht="11.25" customHeight="1">
      <c r="A2807" s="39">
        <v>2667</v>
      </c>
      <c r="B2807" s="40" t="s">
        <v>8462</v>
      </c>
      <c r="C2807" s="40" t="s">
        <v>16440</v>
      </c>
      <c r="D2807" s="40" t="s">
        <v>16441</v>
      </c>
      <c r="E2807" s="41">
        <v>61.41</v>
      </c>
      <c r="F2807" s="40"/>
      <c r="G2807" s="41"/>
      <c r="H2807" s="40"/>
      <c r="I2807" s="41"/>
      <c r="J2807" s="41">
        <f t="shared" si="10"/>
        <v>61.41</v>
      </c>
      <c r="K2807" s="42" t="s">
        <v>5796</v>
      </c>
      <c r="L2807" s="39">
        <v>2667</v>
      </c>
    </row>
    <row r="2808" spans="1:12" ht="11.25" customHeight="1">
      <c r="A2808" s="39">
        <v>2668</v>
      </c>
      <c r="B2808" s="40" t="s">
        <v>16442</v>
      </c>
      <c r="C2808" s="40" t="s">
        <v>16443</v>
      </c>
      <c r="D2808" s="40" t="s">
        <v>16444</v>
      </c>
      <c r="E2808" s="41">
        <v>61.29</v>
      </c>
      <c r="F2808" s="40"/>
      <c r="G2808" s="41"/>
      <c r="H2808" s="40"/>
      <c r="I2808" s="41"/>
      <c r="J2808" s="41">
        <f t="shared" ref="J2808:J3062" si="11">AVERAGE(E2808,G2808,I2808)</f>
        <v>61.29</v>
      </c>
      <c r="K2808" s="42" t="s">
        <v>5796</v>
      </c>
      <c r="L2808" s="39">
        <v>2668</v>
      </c>
    </row>
    <row r="2809" spans="1:12" ht="11.25" customHeight="1">
      <c r="A2809" s="39">
        <v>2669</v>
      </c>
      <c r="B2809" s="40" t="s">
        <v>16445</v>
      </c>
      <c r="C2809" s="40" t="s">
        <v>16446</v>
      </c>
      <c r="D2809" s="40" t="s">
        <v>16447</v>
      </c>
      <c r="E2809" s="41">
        <v>61.24</v>
      </c>
      <c r="F2809" s="40"/>
      <c r="G2809" s="41"/>
      <c r="H2809" s="40"/>
      <c r="I2809" s="41"/>
      <c r="J2809" s="41">
        <f t="shared" si="11"/>
        <v>61.24</v>
      </c>
      <c r="K2809" s="42" t="s">
        <v>5796</v>
      </c>
      <c r="L2809" s="39">
        <v>2669</v>
      </c>
    </row>
    <row r="2810" spans="1:12" ht="11.25" customHeight="1">
      <c r="A2810" s="39">
        <v>2670</v>
      </c>
      <c r="B2810" s="40" t="s">
        <v>16448</v>
      </c>
      <c r="C2810" s="40" t="s">
        <v>16449</v>
      </c>
      <c r="D2810" s="40" t="s">
        <v>16450</v>
      </c>
      <c r="E2810" s="41">
        <v>61.05</v>
      </c>
      <c r="F2810" s="40"/>
      <c r="G2810" s="41"/>
      <c r="H2810" s="40"/>
      <c r="I2810" s="41"/>
      <c r="J2810" s="41">
        <f t="shared" si="11"/>
        <v>61.05</v>
      </c>
      <c r="K2810" s="42" t="s">
        <v>5796</v>
      </c>
      <c r="L2810" s="39">
        <v>2670</v>
      </c>
    </row>
    <row r="2811" spans="1:12" ht="11.25" customHeight="1">
      <c r="A2811" s="39">
        <v>2671</v>
      </c>
      <c r="B2811" s="40" t="s">
        <v>16451</v>
      </c>
      <c r="C2811" s="40" t="s">
        <v>16452</v>
      </c>
      <c r="D2811" s="40" t="s">
        <v>16453</v>
      </c>
      <c r="E2811" s="41">
        <v>61.01</v>
      </c>
      <c r="F2811" s="40"/>
      <c r="G2811" s="41"/>
      <c r="H2811" s="40"/>
      <c r="I2811" s="41"/>
      <c r="J2811" s="41">
        <f t="shared" si="11"/>
        <v>61.01</v>
      </c>
      <c r="K2811" s="42" t="s">
        <v>5796</v>
      </c>
      <c r="L2811" s="39">
        <v>2671</v>
      </c>
    </row>
    <row r="2812" spans="1:12" ht="11.25" customHeight="1">
      <c r="A2812" s="39">
        <v>2672</v>
      </c>
      <c r="B2812" s="40" t="s">
        <v>16454</v>
      </c>
      <c r="C2812" s="40" t="s">
        <v>16455</v>
      </c>
      <c r="D2812" s="40" t="s">
        <v>16456</v>
      </c>
      <c r="E2812" s="41">
        <v>60.92</v>
      </c>
      <c r="F2812" s="40"/>
      <c r="G2812" s="41"/>
      <c r="H2812" s="40"/>
      <c r="I2812" s="41"/>
      <c r="J2812" s="41">
        <f t="shared" si="11"/>
        <v>60.92</v>
      </c>
      <c r="K2812" s="42" t="s">
        <v>5796</v>
      </c>
      <c r="L2812" s="39">
        <v>2672</v>
      </c>
    </row>
    <row r="2813" spans="1:12" ht="11.25" customHeight="1">
      <c r="A2813" s="39">
        <v>2673</v>
      </c>
      <c r="B2813" s="40" t="s">
        <v>16457</v>
      </c>
      <c r="C2813" s="40" t="s">
        <v>16458</v>
      </c>
      <c r="D2813" s="40" t="s">
        <v>16459</v>
      </c>
      <c r="E2813" s="41">
        <v>60.87</v>
      </c>
      <c r="F2813" s="40"/>
      <c r="G2813" s="41"/>
      <c r="H2813" s="40"/>
      <c r="I2813" s="41"/>
      <c r="J2813" s="41">
        <f t="shared" si="11"/>
        <v>60.87</v>
      </c>
      <c r="K2813" s="42" t="s">
        <v>5796</v>
      </c>
      <c r="L2813" s="39">
        <v>2673</v>
      </c>
    </row>
    <row r="2814" spans="1:12" ht="11.25" customHeight="1">
      <c r="A2814" s="39">
        <v>2674</v>
      </c>
      <c r="B2814" s="40" t="s">
        <v>16460</v>
      </c>
      <c r="C2814" s="40" t="s">
        <v>16461</v>
      </c>
      <c r="D2814" s="40" t="s">
        <v>16462</v>
      </c>
      <c r="E2814" s="41">
        <v>60.86</v>
      </c>
      <c r="F2814" s="40"/>
      <c r="G2814" s="41"/>
      <c r="H2814" s="40"/>
      <c r="I2814" s="41"/>
      <c r="J2814" s="41">
        <f t="shared" si="11"/>
        <v>60.86</v>
      </c>
      <c r="K2814" s="42" t="s">
        <v>5796</v>
      </c>
      <c r="L2814" s="39">
        <v>2674</v>
      </c>
    </row>
    <row r="2815" spans="1:12" ht="11.25" customHeight="1">
      <c r="A2815" s="39">
        <v>2675</v>
      </c>
      <c r="B2815" s="40" t="s">
        <v>16463</v>
      </c>
      <c r="C2815" s="40" t="s">
        <v>16464</v>
      </c>
      <c r="D2815" s="40" t="s">
        <v>16465</v>
      </c>
      <c r="E2815" s="41">
        <v>60.85</v>
      </c>
      <c r="F2815" s="40"/>
      <c r="G2815" s="41"/>
      <c r="H2815" s="40"/>
      <c r="I2815" s="41"/>
      <c r="J2815" s="41">
        <f t="shared" si="11"/>
        <v>60.85</v>
      </c>
      <c r="K2815" s="42" t="s">
        <v>5796</v>
      </c>
      <c r="L2815" s="39">
        <v>2675</v>
      </c>
    </row>
    <row r="2816" spans="1:12" ht="11.25" customHeight="1">
      <c r="A2816" s="39">
        <v>2676</v>
      </c>
      <c r="B2816" s="40" t="s">
        <v>8027</v>
      </c>
      <c r="C2816" s="40" t="s">
        <v>16466</v>
      </c>
      <c r="D2816" s="40" t="s">
        <v>16467</v>
      </c>
      <c r="E2816" s="41">
        <v>60.67</v>
      </c>
      <c r="F2816" s="40"/>
      <c r="G2816" s="41"/>
      <c r="H2816" s="40"/>
      <c r="I2816" s="41"/>
      <c r="J2816" s="41">
        <f t="shared" si="11"/>
        <v>60.67</v>
      </c>
      <c r="K2816" s="42" t="s">
        <v>5796</v>
      </c>
      <c r="L2816" s="39">
        <v>2676</v>
      </c>
    </row>
    <row r="2817" spans="1:12" ht="11.25" customHeight="1">
      <c r="A2817" s="39">
        <v>2677</v>
      </c>
      <c r="B2817" s="40" t="s">
        <v>8284</v>
      </c>
      <c r="C2817" s="40" t="s">
        <v>16468</v>
      </c>
      <c r="D2817" s="40" t="s">
        <v>16469</v>
      </c>
      <c r="E2817" s="41">
        <v>60.65</v>
      </c>
      <c r="F2817" s="40"/>
      <c r="G2817" s="41"/>
      <c r="H2817" s="40"/>
      <c r="I2817" s="41"/>
      <c r="J2817" s="41">
        <f t="shared" si="11"/>
        <v>60.65</v>
      </c>
      <c r="K2817" s="42" t="s">
        <v>5796</v>
      </c>
      <c r="L2817" s="39">
        <v>2677</v>
      </c>
    </row>
    <row r="2818" spans="1:12" ht="11.25" customHeight="1">
      <c r="A2818" s="39">
        <v>2678</v>
      </c>
      <c r="B2818" s="40" t="s">
        <v>5843</v>
      </c>
      <c r="C2818" s="40" t="s">
        <v>16470</v>
      </c>
      <c r="D2818" s="40" t="s">
        <v>5844</v>
      </c>
      <c r="E2818" s="41">
        <v>60.61</v>
      </c>
      <c r="F2818" s="40"/>
      <c r="G2818" s="41"/>
      <c r="H2818" s="40"/>
      <c r="I2818" s="41"/>
      <c r="J2818" s="41">
        <f t="shared" si="11"/>
        <v>60.61</v>
      </c>
      <c r="K2818" s="42" t="s">
        <v>5796</v>
      </c>
      <c r="L2818" s="39">
        <v>2678</v>
      </c>
    </row>
    <row r="2819" spans="1:12" ht="11.25" customHeight="1">
      <c r="A2819" s="39">
        <v>2679</v>
      </c>
      <c r="B2819" s="40" t="s">
        <v>16471</v>
      </c>
      <c r="C2819" s="40" t="s">
        <v>16472</v>
      </c>
      <c r="D2819" s="40" t="s">
        <v>16473</v>
      </c>
      <c r="E2819" s="41">
        <v>60.56</v>
      </c>
      <c r="F2819" s="40"/>
      <c r="G2819" s="41"/>
      <c r="H2819" s="40"/>
      <c r="I2819" s="41"/>
      <c r="J2819" s="41">
        <f t="shared" si="11"/>
        <v>60.56</v>
      </c>
      <c r="K2819" s="42" t="s">
        <v>5796</v>
      </c>
      <c r="L2819" s="39">
        <v>2679</v>
      </c>
    </row>
    <row r="2820" spans="1:12" ht="11.25" customHeight="1">
      <c r="A2820" s="39">
        <v>2680</v>
      </c>
      <c r="B2820" s="40" t="s">
        <v>16474</v>
      </c>
      <c r="C2820" s="40" t="s">
        <v>16475</v>
      </c>
      <c r="D2820" s="40" t="s">
        <v>16476</v>
      </c>
      <c r="E2820" s="41">
        <v>60.46</v>
      </c>
      <c r="F2820" s="40"/>
      <c r="G2820" s="41"/>
      <c r="H2820" s="40"/>
      <c r="I2820" s="41"/>
      <c r="J2820" s="41">
        <f t="shared" si="11"/>
        <v>60.46</v>
      </c>
      <c r="K2820" s="42" t="s">
        <v>5796</v>
      </c>
      <c r="L2820" s="39">
        <v>2680</v>
      </c>
    </row>
    <row r="2821" spans="1:12" ht="11.25" customHeight="1">
      <c r="A2821" s="39">
        <v>2681</v>
      </c>
      <c r="B2821" s="40" t="s">
        <v>16477</v>
      </c>
      <c r="C2821" s="40" t="s">
        <v>16478</v>
      </c>
      <c r="D2821" s="40" t="s">
        <v>16479</v>
      </c>
      <c r="E2821" s="41">
        <v>60.44</v>
      </c>
      <c r="F2821" s="40"/>
      <c r="G2821" s="41"/>
      <c r="H2821" s="40"/>
      <c r="I2821" s="41"/>
      <c r="J2821" s="41">
        <f t="shared" si="11"/>
        <v>60.44</v>
      </c>
      <c r="K2821" s="42" t="s">
        <v>5796</v>
      </c>
      <c r="L2821" s="39">
        <v>2681</v>
      </c>
    </row>
    <row r="2822" spans="1:12" ht="11.25" customHeight="1">
      <c r="A2822" s="39">
        <v>2682</v>
      </c>
      <c r="B2822" s="40" t="s">
        <v>16480</v>
      </c>
      <c r="C2822" s="40" t="s">
        <v>16481</v>
      </c>
      <c r="D2822" s="40" t="s">
        <v>16482</v>
      </c>
      <c r="E2822" s="41">
        <v>60.36</v>
      </c>
      <c r="F2822" s="40"/>
      <c r="G2822" s="41"/>
      <c r="H2822" s="40"/>
      <c r="I2822" s="41"/>
      <c r="J2822" s="41">
        <f t="shared" si="11"/>
        <v>60.36</v>
      </c>
      <c r="K2822" s="42" t="s">
        <v>5796</v>
      </c>
      <c r="L2822" s="39">
        <v>2682</v>
      </c>
    </row>
    <row r="2823" spans="1:12" ht="11.25" customHeight="1">
      <c r="A2823" s="39">
        <v>2683</v>
      </c>
      <c r="B2823" s="40" t="s">
        <v>16483</v>
      </c>
      <c r="C2823" s="40" t="s">
        <v>16484</v>
      </c>
      <c r="D2823" s="40" t="s">
        <v>16485</v>
      </c>
      <c r="E2823" s="41">
        <v>60.33</v>
      </c>
      <c r="F2823" s="40"/>
      <c r="G2823" s="41"/>
      <c r="H2823" s="40"/>
      <c r="I2823" s="41"/>
      <c r="J2823" s="41">
        <f t="shared" si="11"/>
        <v>60.33</v>
      </c>
      <c r="K2823" s="42" t="s">
        <v>5796</v>
      </c>
      <c r="L2823" s="39">
        <v>2683</v>
      </c>
    </row>
    <row r="2824" spans="1:12" ht="11.25" customHeight="1">
      <c r="A2824" s="39">
        <v>2684</v>
      </c>
      <c r="B2824" s="40" t="s">
        <v>16486</v>
      </c>
      <c r="C2824" s="40" t="s">
        <v>16487</v>
      </c>
      <c r="D2824" s="40" t="s">
        <v>16488</v>
      </c>
      <c r="E2824" s="41">
        <v>60.3</v>
      </c>
      <c r="F2824" s="40"/>
      <c r="G2824" s="41"/>
      <c r="H2824" s="40"/>
      <c r="I2824" s="41"/>
      <c r="J2824" s="41">
        <f t="shared" si="11"/>
        <v>60.3</v>
      </c>
      <c r="K2824" s="42" t="s">
        <v>5796</v>
      </c>
      <c r="L2824" s="39">
        <v>2684</v>
      </c>
    </row>
    <row r="2825" spans="1:12" ht="11.25" customHeight="1">
      <c r="A2825" s="39">
        <v>2685</v>
      </c>
      <c r="B2825" s="40" t="s">
        <v>16489</v>
      </c>
      <c r="C2825" s="40" t="s">
        <v>16490</v>
      </c>
      <c r="D2825" s="40" t="s">
        <v>16491</v>
      </c>
      <c r="E2825" s="41">
        <v>60.18</v>
      </c>
      <c r="F2825" s="40"/>
      <c r="G2825" s="41"/>
      <c r="H2825" s="40"/>
      <c r="I2825" s="41"/>
      <c r="J2825" s="41">
        <f t="shared" si="11"/>
        <v>60.18</v>
      </c>
      <c r="K2825" s="42" t="s">
        <v>5796</v>
      </c>
      <c r="L2825" s="39">
        <v>2685</v>
      </c>
    </row>
    <row r="2826" spans="1:12" ht="11.25" customHeight="1">
      <c r="A2826" s="39">
        <v>2686</v>
      </c>
      <c r="B2826" s="40" t="s">
        <v>16492</v>
      </c>
      <c r="C2826" s="40" t="s">
        <v>16493</v>
      </c>
      <c r="D2826" s="40" t="s">
        <v>16494</v>
      </c>
      <c r="E2826" s="41">
        <v>60.15</v>
      </c>
      <c r="F2826" s="40"/>
      <c r="G2826" s="41"/>
      <c r="H2826" s="40"/>
      <c r="I2826" s="41"/>
      <c r="J2826" s="41">
        <f t="shared" si="11"/>
        <v>60.15</v>
      </c>
      <c r="K2826" s="42" t="s">
        <v>5796</v>
      </c>
      <c r="L2826" s="39">
        <v>2686</v>
      </c>
    </row>
    <row r="2827" spans="1:12" ht="11.25" customHeight="1">
      <c r="A2827" s="39">
        <v>2687</v>
      </c>
      <c r="B2827" s="40" t="s">
        <v>16495</v>
      </c>
      <c r="C2827" s="40" t="s">
        <v>16496</v>
      </c>
      <c r="D2827" s="40" t="s">
        <v>16497</v>
      </c>
      <c r="E2827" s="41">
        <v>60.13</v>
      </c>
      <c r="F2827" s="40"/>
      <c r="G2827" s="41"/>
      <c r="H2827" s="40"/>
      <c r="I2827" s="41"/>
      <c r="J2827" s="41">
        <f t="shared" si="11"/>
        <v>60.13</v>
      </c>
      <c r="K2827" s="42" t="s">
        <v>5796</v>
      </c>
      <c r="L2827" s="39">
        <v>2687</v>
      </c>
    </row>
    <row r="2828" spans="1:12" ht="11.25" customHeight="1">
      <c r="A2828" s="39">
        <v>2688</v>
      </c>
      <c r="B2828" s="40" t="s">
        <v>16498</v>
      </c>
      <c r="C2828" s="40" t="s">
        <v>16499</v>
      </c>
      <c r="D2828" s="40" t="s">
        <v>16500</v>
      </c>
      <c r="E2828" s="41">
        <v>59.87</v>
      </c>
      <c r="F2828" s="40"/>
      <c r="G2828" s="41"/>
      <c r="H2828" s="40"/>
      <c r="I2828" s="41"/>
      <c r="J2828" s="41">
        <f t="shared" si="11"/>
        <v>59.87</v>
      </c>
      <c r="K2828" s="42" t="s">
        <v>5796</v>
      </c>
      <c r="L2828" s="39">
        <v>2688</v>
      </c>
    </row>
    <row r="2829" spans="1:12" ht="11.25" customHeight="1">
      <c r="A2829" s="39">
        <v>2689</v>
      </c>
      <c r="B2829" s="40" t="s">
        <v>16501</v>
      </c>
      <c r="C2829" s="40" t="s">
        <v>16502</v>
      </c>
      <c r="D2829" s="40" t="s">
        <v>16503</v>
      </c>
      <c r="E2829" s="41">
        <v>59.81</v>
      </c>
      <c r="F2829" s="40"/>
      <c r="G2829" s="41"/>
      <c r="H2829" s="40"/>
      <c r="I2829" s="41"/>
      <c r="J2829" s="41">
        <f t="shared" si="11"/>
        <v>59.81</v>
      </c>
      <c r="K2829" s="42" t="s">
        <v>5796</v>
      </c>
      <c r="L2829" s="39">
        <v>2689</v>
      </c>
    </row>
    <row r="2830" spans="1:12" ht="11.25" customHeight="1">
      <c r="A2830" s="39">
        <v>2690</v>
      </c>
      <c r="B2830" s="40" t="s">
        <v>8014</v>
      </c>
      <c r="C2830" s="40" t="s">
        <v>16504</v>
      </c>
      <c r="D2830" s="40" t="s">
        <v>16505</v>
      </c>
      <c r="E2830" s="41">
        <v>59.81</v>
      </c>
      <c r="F2830" s="40"/>
      <c r="G2830" s="41"/>
      <c r="H2830" s="40"/>
      <c r="I2830" s="41"/>
      <c r="J2830" s="41">
        <f t="shared" si="11"/>
        <v>59.81</v>
      </c>
      <c r="K2830" s="42" t="s">
        <v>5796</v>
      </c>
      <c r="L2830" s="39">
        <v>2690</v>
      </c>
    </row>
    <row r="2831" spans="1:12" ht="11.25" customHeight="1">
      <c r="A2831" s="39">
        <v>2691</v>
      </c>
      <c r="B2831" s="40" t="s">
        <v>16506</v>
      </c>
      <c r="C2831" s="40" t="s">
        <v>16507</v>
      </c>
      <c r="D2831" s="40" t="s">
        <v>16508</v>
      </c>
      <c r="E2831" s="41">
        <v>59.78</v>
      </c>
      <c r="F2831" s="40"/>
      <c r="G2831" s="41"/>
      <c r="H2831" s="40"/>
      <c r="I2831" s="41"/>
      <c r="J2831" s="41">
        <f t="shared" si="11"/>
        <v>59.78</v>
      </c>
      <c r="K2831" s="42" t="s">
        <v>5796</v>
      </c>
      <c r="L2831" s="39">
        <v>2691</v>
      </c>
    </row>
    <row r="2832" spans="1:12" ht="11.25" customHeight="1">
      <c r="A2832" s="39">
        <v>2692</v>
      </c>
      <c r="B2832" s="40" t="s">
        <v>16509</v>
      </c>
      <c r="C2832" s="40" t="s">
        <v>16510</v>
      </c>
      <c r="D2832" s="40" t="s">
        <v>16511</v>
      </c>
      <c r="E2832" s="41">
        <v>59.69</v>
      </c>
      <c r="F2832" s="40"/>
      <c r="G2832" s="41"/>
      <c r="H2832" s="40"/>
      <c r="I2832" s="41"/>
      <c r="J2832" s="41">
        <f t="shared" si="11"/>
        <v>59.69</v>
      </c>
      <c r="K2832" s="42" t="s">
        <v>5796</v>
      </c>
      <c r="L2832" s="39">
        <v>2692</v>
      </c>
    </row>
    <row r="2833" spans="1:12" ht="11.25" customHeight="1">
      <c r="A2833" s="39">
        <v>2693</v>
      </c>
      <c r="B2833" s="40" t="s">
        <v>16512</v>
      </c>
      <c r="C2833" s="40" t="s">
        <v>16513</v>
      </c>
      <c r="D2833" s="40" t="s">
        <v>16514</v>
      </c>
      <c r="E2833" s="41">
        <v>59.68</v>
      </c>
      <c r="F2833" s="40"/>
      <c r="G2833" s="41"/>
      <c r="H2833" s="40"/>
      <c r="I2833" s="41"/>
      <c r="J2833" s="41">
        <f t="shared" si="11"/>
        <v>59.68</v>
      </c>
      <c r="K2833" s="42" t="s">
        <v>5796</v>
      </c>
      <c r="L2833" s="39">
        <v>2693</v>
      </c>
    </row>
    <row r="2834" spans="1:12" ht="11.25" customHeight="1">
      <c r="A2834" s="39">
        <v>2694</v>
      </c>
      <c r="B2834" s="40" t="s">
        <v>8218</v>
      </c>
      <c r="C2834" s="40" t="s">
        <v>16515</v>
      </c>
      <c r="D2834" s="40" t="s">
        <v>16516</v>
      </c>
      <c r="E2834" s="41">
        <v>59.67</v>
      </c>
      <c r="F2834" s="40"/>
      <c r="G2834" s="41"/>
      <c r="H2834" s="40"/>
      <c r="I2834" s="41"/>
      <c r="J2834" s="41">
        <f t="shared" si="11"/>
        <v>59.67</v>
      </c>
      <c r="K2834" s="42" t="s">
        <v>5796</v>
      </c>
      <c r="L2834" s="39">
        <v>2694</v>
      </c>
    </row>
    <row r="2835" spans="1:12" ht="11.25" customHeight="1">
      <c r="A2835" s="39">
        <v>2697</v>
      </c>
      <c r="B2835" s="40" t="s">
        <v>16517</v>
      </c>
      <c r="C2835" s="40" t="s">
        <v>16518</v>
      </c>
      <c r="D2835" s="40" t="s">
        <v>16519</v>
      </c>
      <c r="E2835" s="41">
        <v>59.37</v>
      </c>
      <c r="F2835" s="40"/>
      <c r="G2835" s="41"/>
      <c r="H2835" s="40"/>
      <c r="I2835" s="41"/>
      <c r="J2835" s="41">
        <f t="shared" si="11"/>
        <v>59.37</v>
      </c>
      <c r="K2835" s="42" t="s">
        <v>5796</v>
      </c>
      <c r="L2835" s="39">
        <v>2697</v>
      </c>
    </row>
    <row r="2836" spans="1:12" ht="11.25" customHeight="1">
      <c r="A2836" s="39">
        <v>2698</v>
      </c>
      <c r="B2836" s="40" t="s">
        <v>7903</v>
      </c>
      <c r="C2836" s="40" t="s">
        <v>16520</v>
      </c>
      <c r="D2836" s="40" t="s">
        <v>16521</v>
      </c>
      <c r="E2836" s="41">
        <v>59.22</v>
      </c>
      <c r="F2836" s="40"/>
      <c r="G2836" s="41"/>
      <c r="H2836" s="40"/>
      <c r="I2836" s="41"/>
      <c r="J2836" s="41">
        <f t="shared" si="11"/>
        <v>59.22</v>
      </c>
      <c r="K2836" s="42" t="s">
        <v>5796</v>
      </c>
      <c r="L2836" s="39">
        <v>2698</v>
      </c>
    </row>
    <row r="2837" spans="1:12" ht="11.25" customHeight="1">
      <c r="A2837" s="39">
        <v>2699</v>
      </c>
      <c r="B2837" s="40" t="s">
        <v>16522</v>
      </c>
      <c r="C2837" s="40" t="s">
        <v>16523</v>
      </c>
      <c r="D2837" s="40" t="s">
        <v>16524</v>
      </c>
      <c r="E2837" s="41">
        <v>59.15</v>
      </c>
      <c r="F2837" s="40"/>
      <c r="G2837" s="41"/>
      <c r="H2837" s="40"/>
      <c r="I2837" s="41"/>
      <c r="J2837" s="41">
        <f t="shared" si="11"/>
        <v>59.15</v>
      </c>
      <c r="K2837" s="42" t="s">
        <v>5796</v>
      </c>
      <c r="L2837" s="39">
        <v>2699</v>
      </c>
    </row>
    <row r="2838" spans="1:12" ht="11.25" customHeight="1">
      <c r="A2838" s="39">
        <v>2700</v>
      </c>
      <c r="B2838" s="40" t="s">
        <v>16525</v>
      </c>
      <c r="C2838" s="40" t="s">
        <v>16526</v>
      </c>
      <c r="D2838" s="40" t="s">
        <v>16527</v>
      </c>
      <c r="E2838" s="41">
        <v>58.99</v>
      </c>
      <c r="F2838" s="40"/>
      <c r="G2838" s="41"/>
      <c r="H2838" s="40"/>
      <c r="I2838" s="41"/>
      <c r="J2838" s="41">
        <f t="shared" si="11"/>
        <v>58.99</v>
      </c>
      <c r="K2838" s="42" t="s">
        <v>5796</v>
      </c>
      <c r="L2838" s="39">
        <v>2700</v>
      </c>
    </row>
    <row r="2839" spans="1:12" ht="11.25" customHeight="1">
      <c r="A2839" s="39">
        <v>2701</v>
      </c>
      <c r="B2839" s="40" t="s">
        <v>16528</v>
      </c>
      <c r="C2839" s="40" t="s">
        <v>16529</v>
      </c>
      <c r="D2839" s="40" t="s">
        <v>16530</v>
      </c>
      <c r="E2839" s="41">
        <v>58.99</v>
      </c>
      <c r="F2839" s="40"/>
      <c r="G2839" s="41"/>
      <c r="H2839" s="40"/>
      <c r="I2839" s="41"/>
      <c r="J2839" s="41">
        <f t="shared" si="11"/>
        <v>58.99</v>
      </c>
      <c r="K2839" s="42" t="s">
        <v>5796</v>
      </c>
      <c r="L2839" s="39">
        <v>2701</v>
      </c>
    </row>
    <row r="2840" spans="1:12" ht="11.25" customHeight="1">
      <c r="A2840" s="39">
        <v>2702</v>
      </c>
      <c r="B2840" s="40" t="s">
        <v>16531</v>
      </c>
      <c r="C2840" s="40" t="s">
        <v>16532</v>
      </c>
      <c r="D2840" s="40" t="s">
        <v>16533</v>
      </c>
      <c r="E2840" s="41">
        <v>58.96</v>
      </c>
      <c r="F2840" s="40"/>
      <c r="G2840" s="41"/>
      <c r="H2840" s="40"/>
      <c r="I2840" s="41"/>
      <c r="J2840" s="41">
        <f t="shared" si="11"/>
        <v>58.96</v>
      </c>
      <c r="K2840" s="42" t="s">
        <v>5796</v>
      </c>
      <c r="L2840" s="39">
        <v>2702</v>
      </c>
    </row>
    <row r="2841" spans="1:12" ht="11.25" customHeight="1">
      <c r="A2841" s="39">
        <v>2703</v>
      </c>
      <c r="B2841" s="40" t="s">
        <v>16534</v>
      </c>
      <c r="C2841" s="40" t="s">
        <v>16535</v>
      </c>
      <c r="D2841" s="40" t="s">
        <v>16536</v>
      </c>
      <c r="E2841" s="41">
        <v>58.86</v>
      </c>
      <c r="F2841" s="40"/>
      <c r="G2841" s="41"/>
      <c r="H2841" s="40"/>
      <c r="I2841" s="41"/>
      <c r="J2841" s="41">
        <f t="shared" si="11"/>
        <v>58.86</v>
      </c>
      <c r="K2841" s="42" t="s">
        <v>5796</v>
      </c>
      <c r="L2841" s="39">
        <v>2703</v>
      </c>
    </row>
    <row r="2842" spans="1:12" ht="11.25" customHeight="1">
      <c r="A2842" s="39">
        <v>2704</v>
      </c>
      <c r="B2842" s="40" t="s">
        <v>16537</v>
      </c>
      <c r="C2842" s="40" t="s">
        <v>16538</v>
      </c>
      <c r="D2842" s="40" t="s">
        <v>16539</v>
      </c>
      <c r="E2842" s="41">
        <v>58.65</v>
      </c>
      <c r="F2842" s="40"/>
      <c r="G2842" s="41"/>
      <c r="H2842" s="40"/>
      <c r="I2842" s="41"/>
      <c r="J2842" s="41">
        <f t="shared" si="11"/>
        <v>58.65</v>
      </c>
      <c r="K2842" s="42" t="s">
        <v>5796</v>
      </c>
      <c r="L2842" s="39">
        <v>2704</v>
      </c>
    </row>
    <row r="2843" spans="1:12" ht="11.25" customHeight="1">
      <c r="A2843" s="39">
        <v>2705</v>
      </c>
      <c r="B2843" s="40" t="s">
        <v>16540</v>
      </c>
      <c r="C2843" s="40" t="s">
        <v>16541</v>
      </c>
      <c r="D2843" s="40" t="s">
        <v>16542</v>
      </c>
      <c r="E2843" s="41">
        <v>58.56</v>
      </c>
      <c r="F2843" s="40"/>
      <c r="G2843" s="41"/>
      <c r="H2843" s="40"/>
      <c r="I2843" s="41"/>
      <c r="J2843" s="41">
        <f t="shared" si="11"/>
        <v>58.56</v>
      </c>
      <c r="K2843" s="42" t="s">
        <v>5796</v>
      </c>
      <c r="L2843" s="39">
        <v>2705</v>
      </c>
    </row>
    <row r="2844" spans="1:12" ht="11.25" customHeight="1">
      <c r="A2844" s="39">
        <v>2706</v>
      </c>
      <c r="B2844" s="40" t="s">
        <v>16543</v>
      </c>
      <c r="C2844" s="40" t="s">
        <v>16544</v>
      </c>
      <c r="D2844" s="40" t="s">
        <v>16545</v>
      </c>
      <c r="E2844" s="41">
        <v>58.5</v>
      </c>
      <c r="F2844" s="40"/>
      <c r="G2844" s="41"/>
      <c r="H2844" s="40"/>
      <c r="I2844" s="41"/>
      <c r="J2844" s="41">
        <f t="shared" si="11"/>
        <v>58.5</v>
      </c>
      <c r="K2844" s="42" t="s">
        <v>5796</v>
      </c>
      <c r="L2844" s="39">
        <v>2706</v>
      </c>
    </row>
    <row r="2845" spans="1:12" ht="11.25" customHeight="1">
      <c r="A2845" s="39">
        <v>2707</v>
      </c>
      <c r="B2845" s="40" t="s">
        <v>16546</v>
      </c>
      <c r="C2845" s="40" t="s">
        <v>16547</v>
      </c>
      <c r="D2845" s="40" t="s">
        <v>16548</v>
      </c>
      <c r="E2845" s="41">
        <v>58.28</v>
      </c>
      <c r="F2845" s="40"/>
      <c r="G2845" s="41"/>
      <c r="H2845" s="40"/>
      <c r="I2845" s="41"/>
      <c r="J2845" s="41">
        <f t="shared" si="11"/>
        <v>58.28</v>
      </c>
      <c r="K2845" s="42" t="s">
        <v>5796</v>
      </c>
      <c r="L2845" s="39">
        <v>2707</v>
      </c>
    </row>
    <row r="2846" spans="1:12" ht="11.25" customHeight="1">
      <c r="A2846" s="39">
        <v>2708</v>
      </c>
      <c r="B2846" s="40" t="s">
        <v>16549</v>
      </c>
      <c r="C2846" s="40" t="s">
        <v>16550</v>
      </c>
      <c r="D2846" s="40" t="s">
        <v>16551</v>
      </c>
      <c r="E2846" s="41">
        <v>58.24</v>
      </c>
      <c r="F2846" s="40"/>
      <c r="G2846" s="41"/>
      <c r="H2846" s="40"/>
      <c r="I2846" s="41"/>
      <c r="J2846" s="41">
        <f t="shared" si="11"/>
        <v>58.24</v>
      </c>
      <c r="K2846" s="42" t="s">
        <v>5796</v>
      </c>
      <c r="L2846" s="39">
        <v>2708</v>
      </c>
    </row>
    <row r="2847" spans="1:12" ht="11.25" customHeight="1">
      <c r="A2847" s="39">
        <v>2710</v>
      </c>
      <c r="B2847" s="40" t="s">
        <v>8016</v>
      </c>
      <c r="C2847" s="40" t="s">
        <v>16552</v>
      </c>
      <c r="D2847" s="40" t="s">
        <v>16553</v>
      </c>
      <c r="E2847" s="41">
        <v>58.13</v>
      </c>
      <c r="F2847" s="40"/>
      <c r="G2847" s="41"/>
      <c r="H2847" s="40"/>
      <c r="I2847" s="41"/>
      <c r="J2847" s="41">
        <f t="shared" si="11"/>
        <v>58.13</v>
      </c>
      <c r="K2847" s="42" t="s">
        <v>5796</v>
      </c>
      <c r="L2847" s="39">
        <v>2710</v>
      </c>
    </row>
    <row r="2848" spans="1:12" ht="11.25" customHeight="1">
      <c r="A2848" s="39">
        <v>2711</v>
      </c>
      <c r="B2848" s="40" t="s">
        <v>16554</v>
      </c>
      <c r="C2848" s="40" t="s">
        <v>16555</v>
      </c>
      <c r="D2848" s="40" t="s">
        <v>16556</v>
      </c>
      <c r="E2848" s="41">
        <v>58.09</v>
      </c>
      <c r="F2848" s="40"/>
      <c r="G2848" s="41"/>
      <c r="H2848" s="40"/>
      <c r="I2848" s="41"/>
      <c r="J2848" s="41">
        <f t="shared" si="11"/>
        <v>58.09</v>
      </c>
      <c r="K2848" s="42" t="s">
        <v>5796</v>
      </c>
      <c r="L2848" s="39">
        <v>2711</v>
      </c>
    </row>
    <row r="2849" spans="1:12" ht="11.25" customHeight="1">
      <c r="A2849" s="39">
        <v>2712</v>
      </c>
      <c r="B2849" s="40" t="s">
        <v>16557</v>
      </c>
      <c r="C2849" s="40" t="s">
        <v>16558</v>
      </c>
      <c r="D2849" s="40" t="s">
        <v>16559</v>
      </c>
      <c r="E2849" s="41">
        <v>57.95</v>
      </c>
      <c r="F2849" s="40"/>
      <c r="G2849" s="41"/>
      <c r="H2849" s="40"/>
      <c r="I2849" s="41"/>
      <c r="J2849" s="41">
        <f t="shared" si="11"/>
        <v>57.95</v>
      </c>
      <c r="K2849" s="42" t="s">
        <v>5796</v>
      </c>
      <c r="L2849" s="39">
        <v>2712</v>
      </c>
    </row>
    <row r="2850" spans="1:12" ht="11.25" customHeight="1">
      <c r="A2850" s="39">
        <v>2713</v>
      </c>
      <c r="B2850" s="40" t="s">
        <v>16560</v>
      </c>
      <c r="C2850" s="40" t="s">
        <v>16561</v>
      </c>
      <c r="D2850" s="40" t="s">
        <v>16562</v>
      </c>
      <c r="E2850" s="41">
        <v>57.92</v>
      </c>
      <c r="F2850" s="40"/>
      <c r="G2850" s="41"/>
      <c r="H2850" s="40"/>
      <c r="I2850" s="41"/>
      <c r="J2850" s="41">
        <f t="shared" si="11"/>
        <v>57.92</v>
      </c>
      <c r="K2850" s="42" t="s">
        <v>5796</v>
      </c>
      <c r="L2850" s="39">
        <v>2713</v>
      </c>
    </row>
    <row r="2851" spans="1:12" ht="11.25" customHeight="1">
      <c r="A2851" s="39">
        <v>2714</v>
      </c>
      <c r="B2851" s="40" t="s">
        <v>16563</v>
      </c>
      <c r="C2851" s="40" t="s">
        <v>16564</v>
      </c>
      <c r="D2851" s="40" t="s">
        <v>16565</v>
      </c>
      <c r="E2851" s="41">
        <v>45.95</v>
      </c>
      <c r="F2851" s="40"/>
      <c r="G2851" s="41"/>
      <c r="H2851" s="40" t="s">
        <v>16565</v>
      </c>
      <c r="I2851" s="41">
        <v>69.693548387096726</v>
      </c>
      <c r="J2851" s="41">
        <f t="shared" si="11"/>
        <v>57.821774193548364</v>
      </c>
      <c r="K2851" s="42" t="s">
        <v>5796</v>
      </c>
      <c r="L2851" s="39">
        <v>2714</v>
      </c>
    </row>
    <row r="2852" spans="1:12" ht="11.25" customHeight="1">
      <c r="A2852" s="39">
        <v>2715</v>
      </c>
      <c r="B2852" s="40" t="s">
        <v>16566</v>
      </c>
      <c r="C2852" s="40" t="s">
        <v>16567</v>
      </c>
      <c r="D2852" s="40" t="s">
        <v>16568</v>
      </c>
      <c r="E2852" s="41">
        <v>57.78</v>
      </c>
      <c r="F2852" s="40"/>
      <c r="G2852" s="41"/>
      <c r="H2852" s="40"/>
      <c r="I2852" s="41"/>
      <c r="J2852" s="41">
        <f t="shared" si="11"/>
        <v>57.78</v>
      </c>
      <c r="K2852" s="42" t="s">
        <v>5796</v>
      </c>
      <c r="L2852" s="39">
        <v>2715</v>
      </c>
    </row>
    <row r="2853" spans="1:12" ht="11.25" customHeight="1">
      <c r="A2853" s="39">
        <v>2717</v>
      </c>
      <c r="B2853" s="40" t="s">
        <v>16569</v>
      </c>
      <c r="C2853" s="40" t="s">
        <v>16570</v>
      </c>
      <c r="D2853" s="40" t="s">
        <v>16571</v>
      </c>
      <c r="E2853" s="41">
        <v>57.64</v>
      </c>
      <c r="F2853" s="40"/>
      <c r="G2853" s="41"/>
      <c r="H2853" s="40"/>
      <c r="I2853" s="41"/>
      <c r="J2853" s="41">
        <f t="shared" si="11"/>
        <v>57.64</v>
      </c>
      <c r="K2853" s="42" t="s">
        <v>5796</v>
      </c>
      <c r="L2853" s="39">
        <v>2717</v>
      </c>
    </row>
    <row r="2854" spans="1:12" ht="11.25" customHeight="1">
      <c r="A2854" s="39">
        <v>2718</v>
      </c>
      <c r="B2854" s="40" t="s">
        <v>16572</v>
      </c>
      <c r="C2854" s="40" t="s">
        <v>16573</v>
      </c>
      <c r="D2854" s="40" t="s">
        <v>16574</v>
      </c>
      <c r="E2854" s="41">
        <v>57.64</v>
      </c>
      <c r="F2854" s="40"/>
      <c r="G2854" s="41"/>
      <c r="H2854" s="40"/>
      <c r="I2854" s="41"/>
      <c r="J2854" s="41">
        <f t="shared" si="11"/>
        <v>57.64</v>
      </c>
      <c r="K2854" s="42" t="s">
        <v>5796</v>
      </c>
      <c r="L2854" s="39">
        <v>2718</v>
      </c>
    </row>
    <row r="2855" spans="1:12" ht="11.25" customHeight="1">
      <c r="A2855" s="39">
        <v>2719</v>
      </c>
      <c r="B2855" s="40" t="s">
        <v>16575</v>
      </c>
      <c r="C2855" s="40" t="s">
        <v>16576</v>
      </c>
      <c r="D2855" s="40" t="s">
        <v>16577</v>
      </c>
      <c r="E2855" s="41">
        <v>57.63</v>
      </c>
      <c r="F2855" s="40"/>
      <c r="G2855" s="41"/>
      <c r="H2855" s="40"/>
      <c r="I2855" s="41"/>
      <c r="J2855" s="41">
        <f t="shared" si="11"/>
        <v>57.63</v>
      </c>
      <c r="K2855" s="42" t="s">
        <v>5796</v>
      </c>
      <c r="L2855" s="39">
        <v>2719</v>
      </c>
    </row>
    <row r="2856" spans="1:12" ht="11.25" customHeight="1">
      <c r="A2856" s="39">
        <v>2720</v>
      </c>
      <c r="B2856" s="40" t="s">
        <v>7862</v>
      </c>
      <c r="C2856" s="40" t="s">
        <v>16578</v>
      </c>
      <c r="D2856" s="40" t="s">
        <v>16579</v>
      </c>
      <c r="E2856" s="41">
        <v>57.46</v>
      </c>
      <c r="F2856" s="40"/>
      <c r="G2856" s="41"/>
      <c r="H2856" s="40"/>
      <c r="I2856" s="41"/>
      <c r="J2856" s="41">
        <f t="shared" si="11"/>
        <v>57.46</v>
      </c>
      <c r="K2856" s="42" t="s">
        <v>5796</v>
      </c>
      <c r="L2856" s="39">
        <v>2720</v>
      </c>
    </row>
    <row r="2857" spans="1:12" ht="11.25" customHeight="1">
      <c r="A2857" s="39">
        <v>2722</v>
      </c>
      <c r="B2857" s="40" t="s">
        <v>16580</v>
      </c>
      <c r="C2857" s="40" t="s">
        <v>16581</v>
      </c>
      <c r="D2857" s="40" t="s">
        <v>16582</v>
      </c>
      <c r="E2857" s="41">
        <v>57.28</v>
      </c>
      <c r="F2857" s="40"/>
      <c r="G2857" s="41"/>
      <c r="H2857" s="40"/>
      <c r="I2857" s="41"/>
      <c r="J2857" s="41">
        <f t="shared" si="11"/>
        <v>57.28</v>
      </c>
      <c r="K2857" s="42" t="s">
        <v>5796</v>
      </c>
      <c r="L2857" s="39">
        <v>2722</v>
      </c>
    </row>
    <row r="2858" spans="1:12" ht="11.25" customHeight="1">
      <c r="A2858" s="39">
        <v>2723</v>
      </c>
      <c r="B2858" s="40" t="s">
        <v>16583</v>
      </c>
      <c r="C2858" s="40" t="s">
        <v>16584</v>
      </c>
      <c r="D2858" s="40" t="s">
        <v>16585</v>
      </c>
      <c r="E2858" s="41">
        <v>57.25</v>
      </c>
      <c r="F2858" s="40"/>
      <c r="G2858" s="41"/>
      <c r="H2858" s="40"/>
      <c r="I2858" s="41"/>
      <c r="J2858" s="41">
        <f t="shared" si="11"/>
        <v>57.25</v>
      </c>
      <c r="K2858" s="42" t="s">
        <v>5796</v>
      </c>
      <c r="L2858" s="39">
        <v>2723</v>
      </c>
    </row>
    <row r="2859" spans="1:12" ht="11.25" customHeight="1">
      <c r="A2859" s="39">
        <v>2724</v>
      </c>
      <c r="B2859" s="40" t="s">
        <v>8008</v>
      </c>
      <c r="C2859" s="40" t="s">
        <v>16586</v>
      </c>
      <c r="D2859" s="40" t="s">
        <v>16587</v>
      </c>
      <c r="E2859" s="41">
        <v>57.02</v>
      </c>
      <c r="F2859" s="40"/>
      <c r="G2859" s="41"/>
      <c r="H2859" s="40"/>
      <c r="I2859" s="41"/>
      <c r="J2859" s="41">
        <f t="shared" si="11"/>
        <v>57.02</v>
      </c>
      <c r="K2859" s="42" t="s">
        <v>5796</v>
      </c>
      <c r="L2859" s="39">
        <v>2724</v>
      </c>
    </row>
    <row r="2860" spans="1:12" ht="11.25" customHeight="1">
      <c r="A2860" s="39">
        <v>2725</v>
      </c>
      <c r="B2860" s="40" t="s">
        <v>16588</v>
      </c>
      <c r="C2860" s="40" t="s">
        <v>16589</v>
      </c>
      <c r="D2860" s="40" t="s">
        <v>16590</v>
      </c>
      <c r="E2860" s="41">
        <v>56.9</v>
      </c>
      <c r="F2860" s="40"/>
      <c r="G2860" s="41"/>
      <c r="H2860" s="40"/>
      <c r="I2860" s="41"/>
      <c r="J2860" s="41">
        <f t="shared" si="11"/>
        <v>56.9</v>
      </c>
      <c r="K2860" s="42" t="s">
        <v>5796</v>
      </c>
      <c r="L2860" s="39">
        <v>2725</v>
      </c>
    </row>
    <row r="2861" spans="1:12" ht="11.25" customHeight="1">
      <c r="A2861" s="39">
        <v>2726</v>
      </c>
      <c r="B2861" s="40" t="s">
        <v>16591</v>
      </c>
      <c r="C2861" s="40" t="s">
        <v>16592</v>
      </c>
      <c r="D2861" s="40" t="s">
        <v>16593</v>
      </c>
      <c r="E2861" s="41">
        <v>56.89</v>
      </c>
      <c r="F2861" s="40"/>
      <c r="G2861" s="41"/>
      <c r="H2861" s="40"/>
      <c r="I2861" s="41"/>
      <c r="J2861" s="41">
        <f t="shared" si="11"/>
        <v>56.89</v>
      </c>
      <c r="K2861" s="42" t="s">
        <v>5796</v>
      </c>
      <c r="L2861" s="39">
        <v>2726</v>
      </c>
    </row>
    <row r="2862" spans="1:12" ht="11.25" customHeight="1">
      <c r="A2862" s="39">
        <v>2727</v>
      </c>
      <c r="B2862" s="40" t="s">
        <v>16594</v>
      </c>
      <c r="C2862" s="40" t="s">
        <v>16595</v>
      </c>
      <c r="D2862" s="40" t="s">
        <v>16596</v>
      </c>
      <c r="E2862" s="41">
        <v>56.84</v>
      </c>
      <c r="F2862" s="40"/>
      <c r="G2862" s="41"/>
      <c r="H2862" s="40"/>
      <c r="I2862" s="41"/>
      <c r="J2862" s="41">
        <f t="shared" si="11"/>
        <v>56.84</v>
      </c>
      <c r="K2862" s="42" t="s">
        <v>5796</v>
      </c>
      <c r="L2862" s="39">
        <v>2727</v>
      </c>
    </row>
    <row r="2863" spans="1:12" ht="11.25" customHeight="1">
      <c r="A2863" s="39">
        <v>2728</v>
      </c>
      <c r="B2863" s="40" t="s">
        <v>16597</v>
      </c>
      <c r="C2863" s="40" t="s">
        <v>16598</v>
      </c>
      <c r="D2863" s="40" t="s">
        <v>16599</v>
      </c>
      <c r="E2863" s="41">
        <v>56.69</v>
      </c>
      <c r="F2863" s="40"/>
      <c r="G2863" s="41"/>
      <c r="H2863" s="40"/>
      <c r="I2863" s="41"/>
      <c r="J2863" s="41">
        <f t="shared" si="11"/>
        <v>56.69</v>
      </c>
      <c r="K2863" s="42" t="s">
        <v>5796</v>
      </c>
      <c r="L2863" s="39">
        <v>2728</v>
      </c>
    </row>
    <row r="2864" spans="1:12" ht="11.25" customHeight="1">
      <c r="A2864" s="39">
        <v>2729</v>
      </c>
      <c r="B2864" s="40" t="s">
        <v>16600</v>
      </c>
      <c r="C2864" s="40" t="s">
        <v>16601</v>
      </c>
      <c r="D2864" s="40" t="s">
        <v>16602</v>
      </c>
      <c r="E2864" s="41">
        <v>56.53</v>
      </c>
      <c r="F2864" s="40"/>
      <c r="G2864" s="41"/>
      <c r="H2864" s="40"/>
      <c r="I2864" s="41"/>
      <c r="J2864" s="41">
        <f t="shared" si="11"/>
        <v>56.53</v>
      </c>
      <c r="K2864" s="42" t="s">
        <v>5796</v>
      </c>
      <c r="L2864" s="39">
        <v>2729</v>
      </c>
    </row>
    <row r="2865" spans="1:12" ht="11.25" customHeight="1">
      <c r="A2865" s="39">
        <v>2730</v>
      </c>
      <c r="B2865" s="40" t="s">
        <v>7638</v>
      </c>
      <c r="C2865" s="40" t="s">
        <v>16603</v>
      </c>
      <c r="D2865" s="40" t="s">
        <v>16604</v>
      </c>
      <c r="E2865" s="41">
        <v>56.38</v>
      </c>
      <c r="F2865" s="40"/>
      <c r="G2865" s="41"/>
      <c r="H2865" s="40"/>
      <c r="I2865" s="41"/>
      <c r="J2865" s="41">
        <f t="shared" si="11"/>
        <v>56.38</v>
      </c>
      <c r="K2865" s="42" t="s">
        <v>5796</v>
      </c>
      <c r="L2865" s="39">
        <v>2730</v>
      </c>
    </row>
    <row r="2866" spans="1:12" ht="11.25" customHeight="1">
      <c r="A2866" s="39">
        <v>2731</v>
      </c>
      <c r="B2866" s="40" t="s">
        <v>7826</v>
      </c>
      <c r="C2866" s="40" t="s">
        <v>16605</v>
      </c>
      <c r="D2866" s="40" t="s">
        <v>16606</v>
      </c>
      <c r="E2866" s="41">
        <v>56.35</v>
      </c>
      <c r="F2866" s="40"/>
      <c r="G2866" s="41"/>
      <c r="H2866" s="40"/>
      <c r="I2866" s="41"/>
      <c r="J2866" s="41">
        <f t="shared" si="11"/>
        <v>56.35</v>
      </c>
      <c r="K2866" s="42" t="s">
        <v>5796</v>
      </c>
      <c r="L2866" s="39">
        <v>2731</v>
      </c>
    </row>
    <row r="2867" spans="1:12" ht="11.25" customHeight="1">
      <c r="A2867" s="39">
        <v>2733</v>
      </c>
      <c r="B2867" s="40" t="s">
        <v>16607</v>
      </c>
      <c r="C2867" s="40" t="s">
        <v>16608</v>
      </c>
      <c r="D2867" s="40" t="s">
        <v>16609</v>
      </c>
      <c r="E2867" s="41">
        <v>56.28</v>
      </c>
      <c r="F2867" s="40"/>
      <c r="G2867" s="41"/>
      <c r="H2867" s="40"/>
      <c r="I2867" s="41"/>
      <c r="J2867" s="41">
        <f t="shared" si="11"/>
        <v>56.28</v>
      </c>
      <c r="K2867" s="42" t="s">
        <v>5796</v>
      </c>
      <c r="L2867" s="39">
        <v>2733</v>
      </c>
    </row>
    <row r="2868" spans="1:12" ht="11.25" customHeight="1">
      <c r="A2868" s="39">
        <v>2734</v>
      </c>
      <c r="B2868" s="40" t="s">
        <v>16610</v>
      </c>
      <c r="C2868" s="40" t="s">
        <v>16611</v>
      </c>
      <c r="D2868" s="40" t="s">
        <v>16612</v>
      </c>
      <c r="E2868" s="41">
        <v>56.27</v>
      </c>
      <c r="F2868" s="40"/>
      <c r="G2868" s="41"/>
      <c r="H2868" s="40"/>
      <c r="I2868" s="41"/>
      <c r="J2868" s="41">
        <f t="shared" si="11"/>
        <v>56.27</v>
      </c>
      <c r="K2868" s="42" t="s">
        <v>5796</v>
      </c>
      <c r="L2868" s="39">
        <v>2734</v>
      </c>
    </row>
    <row r="2869" spans="1:12" ht="11.25" customHeight="1">
      <c r="A2869" s="39">
        <v>2735</v>
      </c>
      <c r="B2869" s="40" t="s">
        <v>7906</v>
      </c>
      <c r="C2869" s="40" t="s">
        <v>16613</v>
      </c>
      <c r="D2869" s="40" t="s">
        <v>16614</v>
      </c>
      <c r="E2869" s="41">
        <v>55.91</v>
      </c>
      <c r="F2869" s="40"/>
      <c r="G2869" s="41"/>
      <c r="H2869" s="40"/>
      <c r="I2869" s="41"/>
      <c r="J2869" s="41">
        <f t="shared" si="11"/>
        <v>55.91</v>
      </c>
      <c r="K2869" s="42" t="s">
        <v>5796</v>
      </c>
      <c r="L2869" s="39">
        <v>2735</v>
      </c>
    </row>
    <row r="2870" spans="1:12" ht="11.25" customHeight="1">
      <c r="A2870" s="39">
        <v>2737</v>
      </c>
      <c r="B2870" s="40" t="s">
        <v>16615</v>
      </c>
      <c r="C2870" s="40" t="s">
        <v>16616</v>
      </c>
      <c r="D2870" s="40" t="s">
        <v>16617</v>
      </c>
      <c r="E2870" s="41">
        <v>55.86</v>
      </c>
      <c r="F2870" s="40"/>
      <c r="G2870" s="41"/>
      <c r="H2870" s="40"/>
      <c r="I2870" s="41"/>
      <c r="J2870" s="41">
        <f t="shared" si="11"/>
        <v>55.86</v>
      </c>
      <c r="K2870" s="42" t="s">
        <v>5796</v>
      </c>
      <c r="L2870" s="39">
        <v>2737</v>
      </c>
    </row>
    <row r="2871" spans="1:12" ht="11.25" customHeight="1">
      <c r="A2871" s="39">
        <v>2738</v>
      </c>
      <c r="B2871" s="40" t="s">
        <v>16618</v>
      </c>
      <c r="C2871" s="40" t="s">
        <v>16619</v>
      </c>
      <c r="D2871" s="40" t="s">
        <v>16620</v>
      </c>
      <c r="E2871" s="41">
        <v>55.8</v>
      </c>
      <c r="F2871" s="40"/>
      <c r="G2871" s="41"/>
      <c r="H2871" s="40"/>
      <c r="I2871" s="41"/>
      <c r="J2871" s="41">
        <f t="shared" si="11"/>
        <v>55.8</v>
      </c>
      <c r="K2871" s="42" t="s">
        <v>5796</v>
      </c>
      <c r="L2871" s="39">
        <v>2738</v>
      </c>
    </row>
    <row r="2872" spans="1:12" ht="11.25" customHeight="1">
      <c r="A2872" s="39">
        <v>2740</v>
      </c>
      <c r="B2872" s="40" t="s">
        <v>8297</v>
      </c>
      <c r="C2872" s="40" t="s">
        <v>16621</v>
      </c>
      <c r="D2872" s="40" t="s">
        <v>16622</v>
      </c>
      <c r="E2872" s="41">
        <v>55.77</v>
      </c>
      <c r="F2872" s="40"/>
      <c r="G2872" s="41"/>
      <c r="H2872" s="40"/>
      <c r="I2872" s="41"/>
      <c r="J2872" s="41">
        <f t="shared" si="11"/>
        <v>55.77</v>
      </c>
      <c r="K2872" s="42" t="s">
        <v>5796</v>
      </c>
      <c r="L2872" s="39">
        <v>2740</v>
      </c>
    </row>
    <row r="2873" spans="1:12" ht="11.25" customHeight="1">
      <c r="A2873" s="39">
        <v>2741</v>
      </c>
      <c r="B2873" s="40" t="s">
        <v>16623</v>
      </c>
      <c r="C2873" s="40" t="s">
        <v>16624</v>
      </c>
      <c r="D2873" s="40" t="s">
        <v>16625</v>
      </c>
      <c r="E2873" s="41">
        <v>55.65</v>
      </c>
      <c r="F2873" s="40"/>
      <c r="G2873" s="41"/>
      <c r="H2873" s="40"/>
      <c r="I2873" s="41"/>
      <c r="J2873" s="41">
        <f t="shared" si="11"/>
        <v>55.65</v>
      </c>
      <c r="K2873" s="42" t="s">
        <v>5796</v>
      </c>
      <c r="L2873" s="39">
        <v>2741</v>
      </c>
    </row>
    <row r="2874" spans="1:12" ht="11.25" customHeight="1">
      <c r="A2874" s="39">
        <v>2742</v>
      </c>
      <c r="B2874" s="40" t="s">
        <v>16626</v>
      </c>
      <c r="C2874" s="40" t="s">
        <v>16627</v>
      </c>
      <c r="D2874" s="40" t="s">
        <v>16628</v>
      </c>
      <c r="E2874" s="41">
        <v>55.61</v>
      </c>
      <c r="F2874" s="40"/>
      <c r="G2874" s="41"/>
      <c r="H2874" s="40"/>
      <c r="I2874" s="41"/>
      <c r="J2874" s="41">
        <f t="shared" si="11"/>
        <v>55.61</v>
      </c>
      <c r="K2874" s="42" t="s">
        <v>5796</v>
      </c>
      <c r="L2874" s="39">
        <v>2742</v>
      </c>
    </row>
    <row r="2875" spans="1:12" ht="11.25" customHeight="1">
      <c r="A2875" s="39">
        <v>2743</v>
      </c>
      <c r="B2875" s="40" t="s">
        <v>16629</v>
      </c>
      <c r="C2875" s="40" t="s">
        <v>16630</v>
      </c>
      <c r="D2875" s="40" t="s">
        <v>16631</v>
      </c>
      <c r="E2875" s="41">
        <v>55.6</v>
      </c>
      <c r="F2875" s="40"/>
      <c r="G2875" s="41"/>
      <c r="H2875" s="40"/>
      <c r="I2875" s="41"/>
      <c r="J2875" s="41">
        <f t="shared" si="11"/>
        <v>55.6</v>
      </c>
      <c r="K2875" s="42" t="s">
        <v>5796</v>
      </c>
      <c r="L2875" s="39">
        <v>2743</v>
      </c>
    </row>
    <row r="2876" spans="1:12" ht="11.25" customHeight="1">
      <c r="A2876" s="39">
        <v>2744</v>
      </c>
      <c r="B2876" s="40" t="s">
        <v>16632</v>
      </c>
      <c r="C2876" s="40" t="s">
        <v>16633</v>
      </c>
      <c r="D2876" s="40" t="s">
        <v>16634</v>
      </c>
      <c r="E2876" s="41">
        <v>55.56</v>
      </c>
      <c r="F2876" s="40"/>
      <c r="G2876" s="41"/>
      <c r="H2876" s="40"/>
      <c r="I2876" s="41"/>
      <c r="J2876" s="41">
        <f t="shared" si="11"/>
        <v>55.56</v>
      </c>
      <c r="K2876" s="42" t="s">
        <v>5796</v>
      </c>
      <c r="L2876" s="39">
        <v>2744</v>
      </c>
    </row>
    <row r="2877" spans="1:12" ht="11.25" customHeight="1">
      <c r="A2877" s="39">
        <v>2745</v>
      </c>
      <c r="B2877" s="40" t="s">
        <v>16635</v>
      </c>
      <c r="C2877" s="40" t="s">
        <v>16636</v>
      </c>
      <c r="D2877" s="40" t="s">
        <v>16637</v>
      </c>
      <c r="E2877" s="41">
        <v>55.55</v>
      </c>
      <c r="F2877" s="40"/>
      <c r="G2877" s="41"/>
      <c r="H2877" s="40"/>
      <c r="I2877" s="41"/>
      <c r="J2877" s="41">
        <f t="shared" si="11"/>
        <v>55.55</v>
      </c>
      <c r="K2877" s="42" t="s">
        <v>5796</v>
      </c>
      <c r="L2877" s="39">
        <v>2745</v>
      </c>
    </row>
    <row r="2878" spans="1:12" ht="11.25" customHeight="1">
      <c r="A2878" s="39">
        <v>2746</v>
      </c>
      <c r="B2878" s="40" t="s">
        <v>8164</v>
      </c>
      <c r="C2878" s="40" t="s">
        <v>16638</v>
      </c>
      <c r="D2878" s="40" t="s">
        <v>16639</v>
      </c>
      <c r="E2878" s="41">
        <v>55.51</v>
      </c>
      <c r="F2878" s="40"/>
      <c r="G2878" s="41"/>
      <c r="H2878" s="40"/>
      <c r="I2878" s="41"/>
      <c r="J2878" s="41">
        <f t="shared" si="11"/>
        <v>55.51</v>
      </c>
      <c r="K2878" s="42" t="s">
        <v>5796</v>
      </c>
      <c r="L2878" s="39">
        <v>2746</v>
      </c>
    </row>
    <row r="2879" spans="1:12" ht="11.25" customHeight="1">
      <c r="A2879" s="39">
        <v>2747</v>
      </c>
      <c r="B2879" s="40" t="s">
        <v>7911</v>
      </c>
      <c r="C2879" s="40" t="s">
        <v>16640</v>
      </c>
      <c r="D2879" s="40" t="s">
        <v>16641</v>
      </c>
      <c r="E2879" s="41">
        <v>55.45</v>
      </c>
      <c r="F2879" s="40"/>
      <c r="G2879" s="41"/>
      <c r="H2879" s="40"/>
      <c r="I2879" s="41"/>
      <c r="J2879" s="41">
        <f t="shared" si="11"/>
        <v>55.45</v>
      </c>
      <c r="K2879" s="42" t="s">
        <v>5796</v>
      </c>
      <c r="L2879" s="39">
        <v>2747</v>
      </c>
    </row>
    <row r="2880" spans="1:12" ht="11.25" customHeight="1">
      <c r="A2880" s="39">
        <v>2748</v>
      </c>
      <c r="B2880" s="40" t="s">
        <v>16642</v>
      </c>
      <c r="C2880" s="40" t="s">
        <v>16643</v>
      </c>
      <c r="D2880" s="40" t="s">
        <v>16644</v>
      </c>
      <c r="E2880" s="41">
        <v>55.27</v>
      </c>
      <c r="F2880" s="40"/>
      <c r="G2880" s="41"/>
      <c r="H2880" s="40"/>
      <c r="I2880" s="41"/>
      <c r="J2880" s="41">
        <f t="shared" si="11"/>
        <v>55.27</v>
      </c>
      <c r="K2880" s="42" t="s">
        <v>5796</v>
      </c>
      <c r="L2880" s="39">
        <v>2748</v>
      </c>
    </row>
    <row r="2881" spans="1:12" ht="11.25" customHeight="1">
      <c r="A2881" s="39">
        <v>2750</v>
      </c>
      <c r="B2881" s="40" t="s">
        <v>16645</v>
      </c>
      <c r="C2881" s="40" t="s">
        <v>16646</v>
      </c>
      <c r="D2881" s="40" t="s">
        <v>16647</v>
      </c>
      <c r="E2881" s="41">
        <v>55.16</v>
      </c>
      <c r="F2881" s="40"/>
      <c r="G2881" s="41"/>
      <c r="H2881" s="40"/>
      <c r="I2881" s="41"/>
      <c r="J2881" s="41">
        <f t="shared" si="11"/>
        <v>55.16</v>
      </c>
      <c r="K2881" s="42" t="s">
        <v>5796</v>
      </c>
      <c r="L2881" s="39">
        <v>2750</v>
      </c>
    </row>
    <row r="2882" spans="1:12" ht="11.25" customHeight="1">
      <c r="A2882" s="39">
        <v>2751</v>
      </c>
      <c r="B2882" s="40" t="s">
        <v>16648</v>
      </c>
      <c r="C2882" s="40" t="s">
        <v>16649</v>
      </c>
      <c r="D2882" s="40" t="s">
        <v>16650</v>
      </c>
      <c r="E2882" s="41">
        <v>54.95</v>
      </c>
      <c r="F2882" s="40"/>
      <c r="G2882" s="41"/>
      <c r="H2882" s="40"/>
      <c r="I2882" s="41"/>
      <c r="J2882" s="41">
        <f t="shared" si="11"/>
        <v>54.95</v>
      </c>
      <c r="K2882" s="42" t="s">
        <v>5796</v>
      </c>
      <c r="L2882" s="39">
        <v>2751</v>
      </c>
    </row>
    <row r="2883" spans="1:12" ht="11.25" customHeight="1">
      <c r="A2883" s="39">
        <v>2753</v>
      </c>
      <c r="B2883" s="40" t="s">
        <v>16651</v>
      </c>
      <c r="C2883" s="40" t="s">
        <v>16652</v>
      </c>
      <c r="D2883" s="40" t="s">
        <v>16653</v>
      </c>
      <c r="E2883" s="41">
        <v>54.82</v>
      </c>
      <c r="F2883" s="40"/>
      <c r="G2883" s="41"/>
      <c r="H2883" s="40"/>
      <c r="I2883" s="41"/>
      <c r="J2883" s="41">
        <f t="shared" si="11"/>
        <v>54.82</v>
      </c>
      <c r="K2883" s="42" t="s">
        <v>5796</v>
      </c>
      <c r="L2883" s="39">
        <v>2753</v>
      </c>
    </row>
    <row r="2884" spans="1:12" ht="11.25" customHeight="1">
      <c r="A2884" s="39">
        <v>2754</v>
      </c>
      <c r="B2884" s="40" t="s">
        <v>16654</v>
      </c>
      <c r="C2884" s="40" t="s">
        <v>16655</v>
      </c>
      <c r="D2884" s="40" t="s">
        <v>16656</v>
      </c>
      <c r="E2884" s="41">
        <v>54.79</v>
      </c>
      <c r="F2884" s="40"/>
      <c r="G2884" s="41"/>
      <c r="H2884" s="40"/>
      <c r="I2884" s="41"/>
      <c r="J2884" s="41">
        <f t="shared" si="11"/>
        <v>54.79</v>
      </c>
      <c r="K2884" s="42" t="s">
        <v>5796</v>
      </c>
      <c r="L2884" s="39">
        <v>2754</v>
      </c>
    </row>
    <row r="2885" spans="1:12" ht="11.25" customHeight="1">
      <c r="A2885" s="39">
        <v>2755</v>
      </c>
      <c r="B2885" s="40" t="s">
        <v>16657</v>
      </c>
      <c r="C2885" s="40" t="s">
        <v>16658</v>
      </c>
      <c r="D2885" s="40" t="s">
        <v>16659</v>
      </c>
      <c r="E2885" s="41">
        <v>54.58</v>
      </c>
      <c r="F2885" s="40"/>
      <c r="G2885" s="41"/>
      <c r="H2885" s="40"/>
      <c r="I2885" s="41"/>
      <c r="J2885" s="41">
        <f t="shared" si="11"/>
        <v>54.58</v>
      </c>
      <c r="K2885" s="42" t="s">
        <v>5796</v>
      </c>
      <c r="L2885" s="39">
        <v>2755</v>
      </c>
    </row>
    <row r="2886" spans="1:12" ht="11.25" customHeight="1">
      <c r="A2886" s="39">
        <v>2756</v>
      </c>
      <c r="B2886" s="40" t="s">
        <v>16660</v>
      </c>
      <c r="C2886" s="40" t="s">
        <v>16661</v>
      </c>
      <c r="D2886" s="40" t="s">
        <v>16662</v>
      </c>
      <c r="E2886" s="41">
        <v>54.56</v>
      </c>
      <c r="F2886" s="40"/>
      <c r="G2886" s="41"/>
      <c r="H2886" s="40"/>
      <c r="I2886" s="41"/>
      <c r="J2886" s="41">
        <f t="shared" si="11"/>
        <v>54.56</v>
      </c>
      <c r="K2886" s="42" t="s">
        <v>5796</v>
      </c>
      <c r="L2886" s="39">
        <v>2756</v>
      </c>
    </row>
    <row r="2887" spans="1:12" ht="11.25" customHeight="1">
      <c r="A2887" s="39">
        <v>2757</v>
      </c>
      <c r="B2887" s="40" t="s">
        <v>16663</v>
      </c>
      <c r="C2887" s="40" t="s">
        <v>16664</v>
      </c>
      <c r="D2887" s="40" t="s">
        <v>16665</v>
      </c>
      <c r="E2887" s="41">
        <v>54.54</v>
      </c>
      <c r="F2887" s="40"/>
      <c r="G2887" s="41"/>
      <c r="H2887" s="40"/>
      <c r="I2887" s="41"/>
      <c r="J2887" s="41">
        <f t="shared" si="11"/>
        <v>54.54</v>
      </c>
      <c r="K2887" s="42" t="s">
        <v>5796</v>
      </c>
      <c r="L2887" s="39">
        <v>2757</v>
      </c>
    </row>
    <row r="2888" spans="1:12" ht="11.25" customHeight="1">
      <c r="A2888" s="39">
        <v>2758</v>
      </c>
      <c r="B2888" s="40" t="s">
        <v>16666</v>
      </c>
      <c r="C2888" s="40" t="s">
        <v>16667</v>
      </c>
      <c r="D2888" s="40" t="s">
        <v>16668</v>
      </c>
      <c r="E2888" s="41">
        <v>54.52</v>
      </c>
      <c r="F2888" s="40"/>
      <c r="G2888" s="41"/>
      <c r="H2888" s="40"/>
      <c r="I2888" s="41"/>
      <c r="J2888" s="41">
        <f t="shared" si="11"/>
        <v>54.52</v>
      </c>
      <c r="K2888" s="42" t="s">
        <v>5796</v>
      </c>
      <c r="L2888" s="39">
        <v>2758</v>
      </c>
    </row>
    <row r="2889" spans="1:12" ht="11.25" customHeight="1">
      <c r="A2889" s="39">
        <v>2759</v>
      </c>
      <c r="B2889" s="40" t="s">
        <v>16669</v>
      </c>
      <c r="C2889" s="40" t="s">
        <v>16670</v>
      </c>
      <c r="D2889" s="40" t="s">
        <v>16671</v>
      </c>
      <c r="E2889" s="41">
        <v>54.39</v>
      </c>
      <c r="F2889" s="40"/>
      <c r="G2889" s="41"/>
      <c r="H2889" s="40"/>
      <c r="I2889" s="41"/>
      <c r="J2889" s="41">
        <f t="shared" si="11"/>
        <v>54.39</v>
      </c>
      <c r="K2889" s="42" t="s">
        <v>5796</v>
      </c>
      <c r="L2889" s="39">
        <v>2759</v>
      </c>
    </row>
    <row r="2890" spans="1:12" ht="11.25" customHeight="1">
      <c r="A2890" s="39">
        <v>2761</v>
      </c>
      <c r="B2890" s="40" t="s">
        <v>8024</v>
      </c>
      <c r="C2890" s="40" t="s">
        <v>16672</v>
      </c>
      <c r="D2890" s="40" t="s">
        <v>16673</v>
      </c>
      <c r="E2890" s="41">
        <v>54.08</v>
      </c>
      <c r="F2890" s="40"/>
      <c r="G2890" s="41"/>
      <c r="H2890" s="40"/>
      <c r="I2890" s="41"/>
      <c r="J2890" s="41">
        <f t="shared" si="11"/>
        <v>54.08</v>
      </c>
      <c r="K2890" s="42" t="s">
        <v>5796</v>
      </c>
      <c r="L2890" s="39">
        <v>2761</v>
      </c>
    </row>
    <row r="2891" spans="1:12" ht="11.25" customHeight="1">
      <c r="A2891" s="39">
        <v>2762</v>
      </c>
      <c r="B2891" s="40" t="s">
        <v>16674</v>
      </c>
      <c r="C2891" s="40" t="s">
        <v>16675</v>
      </c>
      <c r="D2891" s="40" t="s">
        <v>16676</v>
      </c>
      <c r="E2891" s="41">
        <v>54.08</v>
      </c>
      <c r="F2891" s="40"/>
      <c r="G2891" s="41"/>
      <c r="H2891" s="40"/>
      <c r="I2891" s="41"/>
      <c r="J2891" s="41">
        <f t="shared" si="11"/>
        <v>54.08</v>
      </c>
      <c r="K2891" s="42" t="s">
        <v>5796</v>
      </c>
      <c r="L2891" s="39">
        <v>2762</v>
      </c>
    </row>
    <row r="2892" spans="1:12" ht="11.25" customHeight="1">
      <c r="A2892" s="39">
        <v>2763</v>
      </c>
      <c r="B2892" s="40" t="s">
        <v>16677</v>
      </c>
      <c r="C2892" s="40" t="s">
        <v>16678</v>
      </c>
      <c r="D2892" s="40" t="s">
        <v>16679</v>
      </c>
      <c r="E2892" s="41">
        <v>53.89</v>
      </c>
      <c r="F2892" s="40"/>
      <c r="G2892" s="41"/>
      <c r="H2892" s="40"/>
      <c r="I2892" s="41"/>
      <c r="J2892" s="41">
        <f t="shared" si="11"/>
        <v>53.89</v>
      </c>
      <c r="K2892" s="42" t="s">
        <v>5796</v>
      </c>
      <c r="L2892" s="39">
        <v>2763</v>
      </c>
    </row>
    <row r="2893" spans="1:12" ht="11.25" customHeight="1">
      <c r="A2893" s="39">
        <v>2764</v>
      </c>
      <c r="B2893" s="40" t="s">
        <v>16680</v>
      </c>
      <c r="C2893" s="40" t="s">
        <v>16681</v>
      </c>
      <c r="D2893" s="40" t="s">
        <v>16682</v>
      </c>
      <c r="E2893" s="41">
        <v>53.81</v>
      </c>
      <c r="F2893" s="40"/>
      <c r="G2893" s="41"/>
      <c r="H2893" s="40"/>
      <c r="I2893" s="41"/>
      <c r="J2893" s="41">
        <f t="shared" si="11"/>
        <v>53.81</v>
      </c>
      <c r="K2893" s="42" t="s">
        <v>5796</v>
      </c>
      <c r="L2893" s="39">
        <v>2764</v>
      </c>
    </row>
    <row r="2894" spans="1:12" ht="11.25" customHeight="1">
      <c r="A2894" s="39">
        <v>2765</v>
      </c>
      <c r="B2894" s="40" t="s">
        <v>8254</v>
      </c>
      <c r="C2894" s="40" t="s">
        <v>16683</v>
      </c>
      <c r="D2894" s="40" t="s">
        <v>16684</v>
      </c>
      <c r="E2894" s="41">
        <v>53.75</v>
      </c>
      <c r="F2894" s="40"/>
      <c r="G2894" s="41"/>
      <c r="H2894" s="40"/>
      <c r="I2894" s="41"/>
      <c r="J2894" s="41">
        <f t="shared" si="11"/>
        <v>53.75</v>
      </c>
      <c r="K2894" s="42" t="s">
        <v>5796</v>
      </c>
      <c r="L2894" s="39">
        <v>2765</v>
      </c>
    </row>
    <row r="2895" spans="1:12" ht="11.25" customHeight="1">
      <c r="A2895" s="39">
        <v>2766</v>
      </c>
      <c r="B2895" s="40" t="s">
        <v>16685</v>
      </c>
      <c r="C2895" s="40" t="s">
        <v>16686</v>
      </c>
      <c r="D2895" s="40" t="s">
        <v>16687</v>
      </c>
      <c r="E2895" s="41">
        <v>53.73</v>
      </c>
      <c r="F2895" s="40"/>
      <c r="G2895" s="41"/>
      <c r="H2895" s="40"/>
      <c r="I2895" s="41"/>
      <c r="J2895" s="41">
        <f t="shared" si="11"/>
        <v>53.73</v>
      </c>
      <c r="K2895" s="42" t="s">
        <v>5796</v>
      </c>
      <c r="L2895" s="39">
        <v>2766</v>
      </c>
    </row>
    <row r="2896" spans="1:12" ht="11.25" customHeight="1">
      <c r="A2896" s="39">
        <v>2767</v>
      </c>
      <c r="B2896" s="40" t="s">
        <v>16688</v>
      </c>
      <c r="C2896" s="40" t="s">
        <v>16689</v>
      </c>
      <c r="D2896" s="40" t="s">
        <v>16690</v>
      </c>
      <c r="E2896" s="41">
        <v>53.67</v>
      </c>
      <c r="F2896" s="40"/>
      <c r="G2896" s="41"/>
      <c r="H2896" s="40"/>
      <c r="I2896" s="41"/>
      <c r="J2896" s="41">
        <f t="shared" si="11"/>
        <v>53.67</v>
      </c>
      <c r="K2896" s="42" t="s">
        <v>5796</v>
      </c>
      <c r="L2896" s="39">
        <v>2767</v>
      </c>
    </row>
    <row r="2897" spans="1:12" ht="11.25" customHeight="1">
      <c r="A2897" s="39">
        <v>2768</v>
      </c>
      <c r="B2897" s="40" t="s">
        <v>16691</v>
      </c>
      <c r="C2897" s="40" t="s">
        <v>16692</v>
      </c>
      <c r="D2897" s="40" t="s">
        <v>16693</v>
      </c>
      <c r="E2897" s="41">
        <v>53.66</v>
      </c>
      <c r="F2897" s="40"/>
      <c r="G2897" s="41"/>
      <c r="H2897" s="40"/>
      <c r="I2897" s="41"/>
      <c r="J2897" s="41">
        <f t="shared" si="11"/>
        <v>53.66</v>
      </c>
      <c r="K2897" s="42" t="s">
        <v>5796</v>
      </c>
      <c r="L2897" s="39">
        <v>2768</v>
      </c>
    </row>
    <row r="2898" spans="1:12" ht="11.25" customHeight="1">
      <c r="A2898" s="39">
        <v>2769</v>
      </c>
      <c r="B2898" s="40" t="s">
        <v>16694</v>
      </c>
      <c r="C2898" s="40" t="s">
        <v>16695</v>
      </c>
      <c r="D2898" s="40" t="s">
        <v>16696</v>
      </c>
      <c r="E2898" s="41">
        <v>53.63</v>
      </c>
      <c r="F2898" s="40"/>
      <c r="G2898" s="41"/>
      <c r="H2898" s="40"/>
      <c r="I2898" s="41"/>
      <c r="J2898" s="41">
        <f t="shared" si="11"/>
        <v>53.63</v>
      </c>
      <c r="K2898" s="42" t="s">
        <v>5796</v>
      </c>
      <c r="L2898" s="39">
        <v>2769</v>
      </c>
    </row>
    <row r="2899" spans="1:12" ht="11.25" customHeight="1">
      <c r="A2899" s="39">
        <v>2770</v>
      </c>
      <c r="B2899" s="40" t="s">
        <v>16697</v>
      </c>
      <c r="C2899" s="40" t="s">
        <v>16698</v>
      </c>
      <c r="D2899" s="40" t="s">
        <v>16699</v>
      </c>
      <c r="E2899" s="41">
        <v>53.51</v>
      </c>
      <c r="F2899" s="40"/>
      <c r="G2899" s="41"/>
      <c r="H2899" s="40"/>
      <c r="I2899" s="41"/>
      <c r="J2899" s="41">
        <f t="shared" si="11"/>
        <v>53.51</v>
      </c>
      <c r="K2899" s="42" t="s">
        <v>5796</v>
      </c>
      <c r="L2899" s="39">
        <v>2770</v>
      </c>
    </row>
    <row r="2900" spans="1:12" ht="11.25" customHeight="1">
      <c r="A2900" s="39">
        <v>2771</v>
      </c>
      <c r="B2900" s="40" t="s">
        <v>16700</v>
      </c>
      <c r="C2900" s="40" t="s">
        <v>16701</v>
      </c>
      <c r="D2900" s="40" t="s">
        <v>16702</v>
      </c>
      <c r="E2900" s="41">
        <v>53.5</v>
      </c>
      <c r="F2900" s="40"/>
      <c r="G2900" s="41"/>
      <c r="H2900" s="40"/>
      <c r="I2900" s="41"/>
      <c r="J2900" s="41">
        <f t="shared" si="11"/>
        <v>53.5</v>
      </c>
      <c r="K2900" s="42" t="s">
        <v>5796</v>
      </c>
      <c r="L2900" s="39">
        <v>2771</v>
      </c>
    </row>
    <row r="2901" spans="1:12" ht="11.25" customHeight="1">
      <c r="A2901" s="39">
        <v>2772</v>
      </c>
      <c r="B2901" s="40" t="s">
        <v>16703</v>
      </c>
      <c r="C2901" s="40" t="s">
        <v>16704</v>
      </c>
      <c r="D2901" s="40" t="s">
        <v>16705</v>
      </c>
      <c r="E2901" s="41">
        <v>53.48</v>
      </c>
      <c r="F2901" s="40"/>
      <c r="G2901" s="41"/>
      <c r="H2901" s="40"/>
      <c r="I2901" s="41"/>
      <c r="J2901" s="41">
        <f t="shared" si="11"/>
        <v>53.48</v>
      </c>
      <c r="K2901" s="42" t="s">
        <v>5796</v>
      </c>
      <c r="L2901" s="39">
        <v>2772</v>
      </c>
    </row>
    <row r="2902" spans="1:12" ht="11.25" customHeight="1">
      <c r="A2902" s="39">
        <v>2773</v>
      </c>
      <c r="B2902" s="40" t="s">
        <v>16706</v>
      </c>
      <c r="C2902" s="40" t="s">
        <v>16707</v>
      </c>
      <c r="D2902" s="40" t="s">
        <v>16708</v>
      </c>
      <c r="E2902" s="41">
        <v>53.35</v>
      </c>
      <c r="F2902" s="40"/>
      <c r="G2902" s="41"/>
      <c r="H2902" s="40"/>
      <c r="I2902" s="41"/>
      <c r="J2902" s="41">
        <f t="shared" si="11"/>
        <v>53.35</v>
      </c>
      <c r="K2902" s="42" t="s">
        <v>5796</v>
      </c>
      <c r="L2902" s="39">
        <v>2773</v>
      </c>
    </row>
    <row r="2903" spans="1:12" ht="11.25" customHeight="1">
      <c r="A2903" s="39">
        <v>2774</v>
      </c>
      <c r="B2903" s="40" t="s">
        <v>16709</v>
      </c>
      <c r="C2903" s="40" t="s">
        <v>16710</v>
      </c>
      <c r="D2903" s="40" t="s">
        <v>16711</v>
      </c>
      <c r="E2903" s="41">
        <v>53.19</v>
      </c>
      <c r="F2903" s="40"/>
      <c r="G2903" s="41"/>
      <c r="H2903" s="40"/>
      <c r="I2903" s="41"/>
      <c r="J2903" s="41">
        <f t="shared" si="11"/>
        <v>53.19</v>
      </c>
      <c r="K2903" s="42" t="s">
        <v>5796</v>
      </c>
      <c r="L2903" s="39">
        <v>2774</v>
      </c>
    </row>
    <row r="2904" spans="1:12" ht="11.25" customHeight="1">
      <c r="A2904" s="39">
        <v>2775</v>
      </c>
      <c r="B2904" s="40" t="s">
        <v>7932</v>
      </c>
      <c r="C2904" s="40" t="s">
        <v>16712</v>
      </c>
      <c r="D2904" s="40" t="s">
        <v>16713</v>
      </c>
      <c r="E2904" s="41">
        <v>53.19</v>
      </c>
      <c r="F2904" s="40"/>
      <c r="G2904" s="41"/>
      <c r="H2904" s="40"/>
      <c r="I2904" s="41"/>
      <c r="J2904" s="41">
        <f t="shared" si="11"/>
        <v>53.19</v>
      </c>
      <c r="K2904" s="42" t="s">
        <v>5796</v>
      </c>
      <c r="L2904" s="39">
        <v>2775</v>
      </c>
    </row>
    <row r="2905" spans="1:12" ht="11.25" customHeight="1">
      <c r="A2905" s="39">
        <v>2777</v>
      </c>
      <c r="B2905" s="40" t="s">
        <v>16714</v>
      </c>
      <c r="C2905" s="40" t="s">
        <v>16715</v>
      </c>
      <c r="D2905" s="40" t="s">
        <v>16716</v>
      </c>
      <c r="E2905" s="41">
        <v>53.03</v>
      </c>
      <c r="F2905" s="40"/>
      <c r="G2905" s="41"/>
      <c r="H2905" s="40"/>
      <c r="I2905" s="41"/>
      <c r="J2905" s="41">
        <f t="shared" si="11"/>
        <v>53.03</v>
      </c>
      <c r="K2905" s="42" t="s">
        <v>5796</v>
      </c>
      <c r="L2905" s="39">
        <v>2777</v>
      </c>
    </row>
    <row r="2906" spans="1:12" ht="11.25" customHeight="1">
      <c r="A2906" s="39">
        <v>2778</v>
      </c>
      <c r="B2906" s="40" t="s">
        <v>16717</v>
      </c>
      <c r="C2906" s="40" t="s">
        <v>16718</v>
      </c>
      <c r="D2906" s="40" t="s">
        <v>16719</v>
      </c>
      <c r="E2906" s="41">
        <v>52.97</v>
      </c>
      <c r="F2906" s="40"/>
      <c r="G2906" s="41"/>
      <c r="H2906" s="40"/>
      <c r="I2906" s="41"/>
      <c r="J2906" s="41">
        <f t="shared" si="11"/>
        <v>52.97</v>
      </c>
      <c r="K2906" s="42" t="s">
        <v>5796</v>
      </c>
      <c r="L2906" s="39">
        <v>2778</v>
      </c>
    </row>
    <row r="2907" spans="1:12" ht="11.25" customHeight="1">
      <c r="A2907" s="39">
        <v>2779</v>
      </c>
      <c r="B2907" s="40" t="s">
        <v>16720</v>
      </c>
      <c r="C2907" s="40" t="s">
        <v>16721</v>
      </c>
      <c r="D2907" s="40" t="s">
        <v>16722</v>
      </c>
      <c r="E2907" s="41">
        <v>52.82</v>
      </c>
      <c r="F2907" s="40"/>
      <c r="G2907" s="41"/>
      <c r="H2907" s="40"/>
      <c r="I2907" s="41"/>
      <c r="J2907" s="41">
        <f t="shared" si="11"/>
        <v>52.82</v>
      </c>
      <c r="K2907" s="42" t="s">
        <v>5796</v>
      </c>
      <c r="L2907" s="39">
        <v>2779</v>
      </c>
    </row>
    <row r="2908" spans="1:12" ht="11.25" customHeight="1">
      <c r="A2908" s="39">
        <v>2780</v>
      </c>
      <c r="B2908" s="40" t="s">
        <v>16723</v>
      </c>
      <c r="C2908" s="40" t="s">
        <v>16724</v>
      </c>
      <c r="D2908" s="40" t="s">
        <v>16725</v>
      </c>
      <c r="E2908" s="41">
        <v>52.73</v>
      </c>
      <c r="F2908" s="40"/>
      <c r="G2908" s="41"/>
      <c r="H2908" s="40"/>
      <c r="I2908" s="41"/>
      <c r="J2908" s="41">
        <f t="shared" si="11"/>
        <v>52.73</v>
      </c>
      <c r="K2908" s="42" t="s">
        <v>5796</v>
      </c>
      <c r="L2908" s="39">
        <v>2780</v>
      </c>
    </row>
    <row r="2909" spans="1:12" ht="11.25" customHeight="1">
      <c r="A2909" s="39">
        <v>2781</v>
      </c>
      <c r="B2909" s="40" t="s">
        <v>16726</v>
      </c>
      <c r="C2909" s="40" t="s">
        <v>16727</v>
      </c>
      <c r="D2909" s="40" t="s">
        <v>16728</v>
      </c>
      <c r="E2909" s="41">
        <v>52.67</v>
      </c>
      <c r="F2909" s="40"/>
      <c r="G2909" s="41"/>
      <c r="H2909" s="40"/>
      <c r="I2909" s="41"/>
      <c r="J2909" s="41">
        <f t="shared" si="11"/>
        <v>52.67</v>
      </c>
      <c r="K2909" s="42" t="s">
        <v>5796</v>
      </c>
      <c r="L2909" s="39">
        <v>2781</v>
      </c>
    </row>
    <row r="2910" spans="1:12" ht="11.25" customHeight="1">
      <c r="A2910" s="39">
        <v>2782</v>
      </c>
      <c r="B2910" s="40" t="s">
        <v>16729</v>
      </c>
      <c r="C2910" s="40" t="s">
        <v>16730</v>
      </c>
      <c r="D2910" s="40" t="s">
        <v>16731</v>
      </c>
      <c r="E2910" s="41">
        <v>52.53</v>
      </c>
      <c r="F2910" s="40"/>
      <c r="G2910" s="41"/>
      <c r="H2910" s="40"/>
      <c r="I2910" s="41"/>
      <c r="J2910" s="41">
        <f t="shared" si="11"/>
        <v>52.53</v>
      </c>
      <c r="K2910" s="42" t="s">
        <v>5796</v>
      </c>
      <c r="L2910" s="39">
        <v>2782</v>
      </c>
    </row>
    <row r="2911" spans="1:12" ht="11.25" customHeight="1">
      <c r="A2911" s="39">
        <v>2783</v>
      </c>
      <c r="B2911" s="40" t="s">
        <v>16732</v>
      </c>
      <c r="C2911" s="40" t="s">
        <v>16733</v>
      </c>
      <c r="D2911" s="40" t="s">
        <v>16734</v>
      </c>
      <c r="E2911" s="41">
        <v>52.49</v>
      </c>
      <c r="F2911" s="40"/>
      <c r="G2911" s="41"/>
      <c r="H2911" s="40"/>
      <c r="I2911" s="41"/>
      <c r="J2911" s="41">
        <f t="shared" si="11"/>
        <v>52.49</v>
      </c>
      <c r="K2911" s="42" t="s">
        <v>5796</v>
      </c>
      <c r="L2911" s="39">
        <v>2783</v>
      </c>
    </row>
    <row r="2912" spans="1:12" ht="11.25" customHeight="1">
      <c r="A2912" s="39">
        <v>2784</v>
      </c>
      <c r="B2912" s="40" t="s">
        <v>16735</v>
      </c>
      <c r="C2912" s="40" t="s">
        <v>16736</v>
      </c>
      <c r="D2912" s="40" t="s">
        <v>16737</v>
      </c>
      <c r="E2912" s="41">
        <v>52.45</v>
      </c>
      <c r="F2912" s="40"/>
      <c r="G2912" s="41"/>
      <c r="H2912" s="40"/>
      <c r="I2912" s="41"/>
      <c r="J2912" s="41">
        <f t="shared" si="11"/>
        <v>52.45</v>
      </c>
      <c r="K2912" s="42" t="s">
        <v>5796</v>
      </c>
      <c r="L2912" s="39">
        <v>2784</v>
      </c>
    </row>
    <row r="2913" spans="1:12" ht="11.25" customHeight="1">
      <c r="A2913" s="39">
        <v>2785</v>
      </c>
      <c r="B2913" s="40" t="s">
        <v>16738</v>
      </c>
      <c r="C2913" s="40" t="s">
        <v>16739</v>
      </c>
      <c r="D2913" s="40" t="s">
        <v>16740</v>
      </c>
      <c r="E2913" s="41">
        <v>52.43</v>
      </c>
      <c r="F2913" s="40"/>
      <c r="G2913" s="41"/>
      <c r="H2913" s="40"/>
      <c r="I2913" s="41"/>
      <c r="J2913" s="41">
        <f t="shared" si="11"/>
        <v>52.43</v>
      </c>
      <c r="K2913" s="42" t="s">
        <v>5796</v>
      </c>
      <c r="L2913" s="39">
        <v>2785</v>
      </c>
    </row>
    <row r="2914" spans="1:12" ht="11.25" customHeight="1">
      <c r="A2914" s="39">
        <v>2786</v>
      </c>
      <c r="B2914" s="40" t="s">
        <v>16741</v>
      </c>
      <c r="C2914" s="40" t="s">
        <v>16742</v>
      </c>
      <c r="D2914" s="40" t="s">
        <v>16743</v>
      </c>
      <c r="E2914" s="41">
        <v>52.43</v>
      </c>
      <c r="F2914" s="40"/>
      <c r="G2914" s="41"/>
      <c r="H2914" s="40"/>
      <c r="I2914" s="41"/>
      <c r="J2914" s="41">
        <f t="shared" si="11"/>
        <v>52.43</v>
      </c>
      <c r="K2914" s="42" t="s">
        <v>5796</v>
      </c>
      <c r="L2914" s="39">
        <v>2786</v>
      </c>
    </row>
    <row r="2915" spans="1:12" ht="11.25" customHeight="1">
      <c r="A2915" s="39">
        <v>2787</v>
      </c>
      <c r="B2915" s="40" t="s">
        <v>16744</v>
      </c>
      <c r="C2915" s="40" t="s">
        <v>16745</v>
      </c>
      <c r="D2915" s="40" t="s">
        <v>16746</v>
      </c>
      <c r="E2915" s="41">
        <v>52.38</v>
      </c>
      <c r="F2915" s="40"/>
      <c r="G2915" s="41"/>
      <c r="H2915" s="40"/>
      <c r="I2915" s="41"/>
      <c r="J2915" s="41">
        <f t="shared" si="11"/>
        <v>52.38</v>
      </c>
      <c r="K2915" s="42" t="s">
        <v>5796</v>
      </c>
      <c r="L2915" s="39">
        <v>2787</v>
      </c>
    </row>
    <row r="2916" spans="1:12" ht="11.25" customHeight="1">
      <c r="A2916" s="39">
        <v>2789</v>
      </c>
      <c r="B2916" s="40" t="s">
        <v>16747</v>
      </c>
      <c r="C2916" s="40" t="s">
        <v>16748</v>
      </c>
      <c r="D2916" s="40" t="s">
        <v>16749</v>
      </c>
      <c r="E2916" s="41">
        <v>52.16</v>
      </c>
      <c r="F2916" s="40"/>
      <c r="G2916" s="41"/>
      <c r="H2916" s="40"/>
      <c r="I2916" s="41"/>
      <c r="J2916" s="41">
        <f t="shared" si="11"/>
        <v>52.16</v>
      </c>
      <c r="K2916" s="42" t="s">
        <v>5796</v>
      </c>
      <c r="L2916" s="39">
        <v>2789</v>
      </c>
    </row>
    <row r="2917" spans="1:12" ht="11.25" customHeight="1">
      <c r="A2917" s="39">
        <v>2790</v>
      </c>
      <c r="B2917" s="40" t="s">
        <v>16750</v>
      </c>
      <c r="C2917" s="40" t="s">
        <v>16751</v>
      </c>
      <c r="D2917" s="40" t="s">
        <v>16752</v>
      </c>
      <c r="E2917" s="41">
        <v>52.11</v>
      </c>
      <c r="F2917" s="40"/>
      <c r="G2917" s="41"/>
      <c r="H2917" s="40"/>
      <c r="I2917" s="41"/>
      <c r="J2917" s="41">
        <f t="shared" si="11"/>
        <v>52.11</v>
      </c>
      <c r="K2917" s="42" t="s">
        <v>5796</v>
      </c>
      <c r="L2917" s="39">
        <v>2790</v>
      </c>
    </row>
    <row r="2918" spans="1:12" ht="11.25" customHeight="1">
      <c r="A2918" s="39">
        <v>2791</v>
      </c>
      <c r="B2918" s="40" t="s">
        <v>16753</v>
      </c>
      <c r="C2918" s="40" t="s">
        <v>16754</v>
      </c>
      <c r="D2918" s="40" t="s">
        <v>16755</v>
      </c>
      <c r="E2918" s="41">
        <v>52.08</v>
      </c>
      <c r="F2918" s="40"/>
      <c r="G2918" s="41"/>
      <c r="H2918" s="40"/>
      <c r="I2918" s="41"/>
      <c r="J2918" s="41">
        <f t="shared" si="11"/>
        <v>52.08</v>
      </c>
      <c r="K2918" s="42" t="s">
        <v>5796</v>
      </c>
      <c r="L2918" s="39">
        <v>2791</v>
      </c>
    </row>
    <row r="2919" spans="1:12" ht="11.25" customHeight="1">
      <c r="A2919" s="39">
        <v>2792</v>
      </c>
      <c r="B2919" s="40" t="s">
        <v>16756</v>
      </c>
      <c r="C2919" s="40" t="s">
        <v>16757</v>
      </c>
      <c r="D2919" s="40" t="s">
        <v>16758</v>
      </c>
      <c r="E2919" s="41">
        <v>52.01</v>
      </c>
      <c r="F2919" s="40"/>
      <c r="G2919" s="41"/>
      <c r="H2919" s="40"/>
      <c r="I2919" s="41"/>
      <c r="J2919" s="41">
        <f t="shared" si="11"/>
        <v>52.01</v>
      </c>
      <c r="K2919" s="42" t="s">
        <v>5796</v>
      </c>
      <c r="L2919" s="39">
        <v>2792</v>
      </c>
    </row>
    <row r="2920" spans="1:12" ht="11.25" customHeight="1">
      <c r="A2920" s="39">
        <v>2793</v>
      </c>
      <c r="B2920" s="40" t="s">
        <v>16759</v>
      </c>
      <c r="C2920" s="40" t="s">
        <v>16760</v>
      </c>
      <c r="D2920" s="40" t="s">
        <v>16761</v>
      </c>
      <c r="E2920" s="41">
        <v>51.91</v>
      </c>
      <c r="F2920" s="40"/>
      <c r="G2920" s="41"/>
      <c r="H2920" s="40"/>
      <c r="I2920" s="41"/>
      <c r="J2920" s="41">
        <f t="shared" si="11"/>
        <v>51.91</v>
      </c>
      <c r="K2920" s="42" t="s">
        <v>5796</v>
      </c>
      <c r="L2920" s="39">
        <v>2793</v>
      </c>
    </row>
    <row r="2921" spans="1:12" ht="11.25" customHeight="1">
      <c r="A2921" s="39">
        <v>2794</v>
      </c>
      <c r="B2921" s="40" t="s">
        <v>16762</v>
      </c>
      <c r="C2921" s="40" t="s">
        <v>16763</v>
      </c>
      <c r="D2921" s="40" t="s">
        <v>16764</v>
      </c>
      <c r="E2921" s="41">
        <v>51.9</v>
      </c>
      <c r="F2921" s="40"/>
      <c r="G2921" s="41"/>
      <c r="H2921" s="40"/>
      <c r="I2921" s="41"/>
      <c r="J2921" s="41">
        <f t="shared" si="11"/>
        <v>51.9</v>
      </c>
      <c r="K2921" s="42" t="s">
        <v>5796</v>
      </c>
      <c r="L2921" s="39">
        <v>2794</v>
      </c>
    </row>
    <row r="2922" spans="1:12" ht="11.25" customHeight="1">
      <c r="A2922" s="39">
        <v>2795</v>
      </c>
      <c r="B2922" s="40" t="s">
        <v>16765</v>
      </c>
      <c r="C2922" s="40" t="s">
        <v>16766</v>
      </c>
      <c r="D2922" s="40" t="s">
        <v>16767</v>
      </c>
      <c r="E2922" s="41">
        <v>51.88</v>
      </c>
      <c r="F2922" s="40"/>
      <c r="G2922" s="41"/>
      <c r="H2922" s="40"/>
      <c r="I2922" s="41"/>
      <c r="J2922" s="41">
        <f t="shared" si="11"/>
        <v>51.88</v>
      </c>
      <c r="K2922" s="42" t="s">
        <v>5796</v>
      </c>
      <c r="L2922" s="39">
        <v>2795</v>
      </c>
    </row>
    <row r="2923" spans="1:12" ht="11.25" customHeight="1">
      <c r="A2923" s="39">
        <v>2796</v>
      </c>
      <c r="B2923" s="40" t="s">
        <v>8044</v>
      </c>
      <c r="C2923" s="40" t="s">
        <v>16768</v>
      </c>
      <c r="D2923" s="40" t="s">
        <v>16769</v>
      </c>
      <c r="E2923" s="41">
        <v>51.82</v>
      </c>
      <c r="F2923" s="40"/>
      <c r="G2923" s="41"/>
      <c r="H2923" s="40"/>
      <c r="I2923" s="41"/>
      <c r="J2923" s="41">
        <f t="shared" si="11"/>
        <v>51.82</v>
      </c>
      <c r="K2923" s="42" t="s">
        <v>5796</v>
      </c>
      <c r="L2923" s="39">
        <v>2796</v>
      </c>
    </row>
    <row r="2924" spans="1:12" ht="11.25" customHeight="1">
      <c r="A2924" s="39">
        <v>2797</v>
      </c>
      <c r="B2924" s="40" t="s">
        <v>8022</v>
      </c>
      <c r="C2924" s="40" t="s">
        <v>16770</v>
      </c>
      <c r="D2924" s="40" t="s">
        <v>16771</v>
      </c>
      <c r="E2924" s="41">
        <v>51.82</v>
      </c>
      <c r="F2924" s="40"/>
      <c r="G2924" s="41"/>
      <c r="H2924" s="40"/>
      <c r="I2924" s="41"/>
      <c r="J2924" s="41">
        <f t="shared" si="11"/>
        <v>51.82</v>
      </c>
      <c r="K2924" s="42" t="s">
        <v>5796</v>
      </c>
      <c r="L2924" s="39">
        <v>2797</v>
      </c>
    </row>
    <row r="2925" spans="1:12" ht="11.25" customHeight="1">
      <c r="A2925" s="39">
        <v>2800</v>
      </c>
      <c r="B2925" s="40" t="s">
        <v>16772</v>
      </c>
      <c r="C2925" s="40" t="s">
        <v>16773</v>
      </c>
      <c r="D2925" s="40" t="s">
        <v>16774</v>
      </c>
      <c r="E2925" s="41">
        <v>51.5</v>
      </c>
      <c r="F2925" s="40"/>
      <c r="G2925" s="41"/>
      <c r="H2925" s="40"/>
      <c r="I2925" s="41"/>
      <c r="J2925" s="41">
        <f t="shared" si="11"/>
        <v>51.5</v>
      </c>
      <c r="K2925" s="42" t="s">
        <v>5796</v>
      </c>
      <c r="L2925" s="39">
        <v>2800</v>
      </c>
    </row>
    <row r="2926" spans="1:12" ht="11.25" customHeight="1">
      <c r="A2926" s="39">
        <v>2801</v>
      </c>
      <c r="B2926" s="40" t="s">
        <v>16775</v>
      </c>
      <c r="C2926" s="40" t="s">
        <v>16776</v>
      </c>
      <c r="D2926" s="40" t="s">
        <v>16777</v>
      </c>
      <c r="E2926" s="41">
        <v>51.25</v>
      </c>
      <c r="F2926" s="40"/>
      <c r="G2926" s="41"/>
      <c r="H2926" s="40"/>
      <c r="I2926" s="41"/>
      <c r="J2926" s="41">
        <f t="shared" si="11"/>
        <v>51.25</v>
      </c>
      <c r="K2926" s="42" t="s">
        <v>5796</v>
      </c>
      <c r="L2926" s="39">
        <v>2801</v>
      </c>
    </row>
    <row r="2927" spans="1:12" ht="11.25" customHeight="1">
      <c r="A2927" s="39">
        <v>2802</v>
      </c>
      <c r="B2927" s="40" t="s">
        <v>7866</v>
      </c>
      <c r="C2927" s="40" t="s">
        <v>16778</v>
      </c>
      <c r="D2927" s="40" t="s">
        <v>16779</v>
      </c>
      <c r="E2927" s="41">
        <v>51.22</v>
      </c>
      <c r="F2927" s="40"/>
      <c r="G2927" s="41"/>
      <c r="H2927" s="40"/>
      <c r="I2927" s="41"/>
      <c r="J2927" s="41">
        <f t="shared" si="11"/>
        <v>51.22</v>
      </c>
      <c r="K2927" s="42" t="s">
        <v>5796</v>
      </c>
      <c r="L2927" s="39">
        <v>2802</v>
      </c>
    </row>
    <row r="2928" spans="1:12" ht="11.25" customHeight="1">
      <c r="A2928" s="39">
        <v>2803</v>
      </c>
      <c r="B2928" s="40" t="s">
        <v>16780</v>
      </c>
      <c r="C2928" s="40" t="s">
        <v>16781</v>
      </c>
      <c r="D2928" s="40" t="s">
        <v>16782</v>
      </c>
      <c r="E2928" s="41">
        <v>51.21</v>
      </c>
      <c r="F2928" s="40"/>
      <c r="G2928" s="41"/>
      <c r="H2928" s="40"/>
      <c r="I2928" s="41"/>
      <c r="J2928" s="41">
        <f t="shared" si="11"/>
        <v>51.21</v>
      </c>
      <c r="K2928" s="42" t="s">
        <v>5796</v>
      </c>
      <c r="L2928" s="39">
        <v>2803</v>
      </c>
    </row>
    <row r="2929" spans="1:12" ht="11.25" customHeight="1">
      <c r="A2929" s="39">
        <v>2804</v>
      </c>
      <c r="B2929" s="40" t="s">
        <v>16783</v>
      </c>
      <c r="C2929" s="40" t="s">
        <v>16784</v>
      </c>
      <c r="D2929" s="40" t="s">
        <v>16785</v>
      </c>
      <c r="E2929" s="41">
        <v>51.19</v>
      </c>
      <c r="F2929" s="40"/>
      <c r="G2929" s="41"/>
      <c r="H2929" s="40"/>
      <c r="I2929" s="41"/>
      <c r="J2929" s="41">
        <f t="shared" si="11"/>
        <v>51.19</v>
      </c>
      <c r="K2929" s="42" t="s">
        <v>5796</v>
      </c>
      <c r="L2929" s="39">
        <v>2804</v>
      </c>
    </row>
    <row r="2930" spans="1:12" ht="11.25" customHeight="1">
      <c r="A2930" s="39">
        <v>2805</v>
      </c>
      <c r="B2930" s="40" t="s">
        <v>16786</v>
      </c>
      <c r="C2930" s="40" t="s">
        <v>16787</v>
      </c>
      <c r="D2930" s="40" t="s">
        <v>16788</v>
      </c>
      <c r="E2930" s="41">
        <v>51.06</v>
      </c>
      <c r="F2930" s="40"/>
      <c r="G2930" s="41"/>
      <c r="H2930" s="40"/>
      <c r="I2930" s="41"/>
      <c r="J2930" s="41">
        <f t="shared" si="11"/>
        <v>51.06</v>
      </c>
      <c r="K2930" s="42" t="s">
        <v>5796</v>
      </c>
      <c r="L2930" s="39">
        <v>2805</v>
      </c>
    </row>
    <row r="2931" spans="1:12" ht="11.25" customHeight="1">
      <c r="A2931" s="39">
        <v>2806</v>
      </c>
      <c r="B2931" s="40" t="s">
        <v>8225</v>
      </c>
      <c r="C2931" s="40" t="s">
        <v>16789</v>
      </c>
      <c r="D2931" s="40" t="s">
        <v>16790</v>
      </c>
      <c r="E2931" s="41">
        <v>50.99</v>
      </c>
      <c r="F2931" s="40"/>
      <c r="G2931" s="41"/>
      <c r="H2931" s="40"/>
      <c r="I2931" s="41"/>
      <c r="J2931" s="41">
        <f t="shared" si="11"/>
        <v>50.99</v>
      </c>
      <c r="K2931" s="42" t="s">
        <v>5796</v>
      </c>
      <c r="L2931" s="39">
        <v>2806</v>
      </c>
    </row>
    <row r="2932" spans="1:12" ht="11.25" customHeight="1">
      <c r="A2932" s="39">
        <v>2807</v>
      </c>
      <c r="B2932" s="40" t="s">
        <v>8099</v>
      </c>
      <c r="C2932" s="40" t="s">
        <v>16791</v>
      </c>
      <c r="D2932" s="40" t="s">
        <v>16792</v>
      </c>
      <c r="E2932" s="41">
        <v>50.93</v>
      </c>
      <c r="F2932" s="40"/>
      <c r="G2932" s="41"/>
      <c r="H2932" s="40"/>
      <c r="I2932" s="41"/>
      <c r="J2932" s="41">
        <f t="shared" si="11"/>
        <v>50.93</v>
      </c>
      <c r="K2932" s="42" t="s">
        <v>5796</v>
      </c>
      <c r="L2932" s="39">
        <v>2807</v>
      </c>
    </row>
    <row r="2933" spans="1:12" ht="11.25" customHeight="1">
      <c r="A2933" s="39">
        <v>2809</v>
      </c>
      <c r="B2933" s="40" t="s">
        <v>16793</v>
      </c>
      <c r="C2933" s="40" t="s">
        <v>16794</v>
      </c>
      <c r="D2933" s="40" t="s">
        <v>16795</v>
      </c>
      <c r="E2933" s="41">
        <v>50.87</v>
      </c>
      <c r="F2933" s="40"/>
      <c r="G2933" s="41"/>
      <c r="H2933" s="40"/>
      <c r="I2933" s="41"/>
      <c r="J2933" s="41">
        <f t="shared" si="11"/>
        <v>50.87</v>
      </c>
      <c r="K2933" s="42" t="s">
        <v>5796</v>
      </c>
      <c r="L2933" s="39">
        <v>2809</v>
      </c>
    </row>
    <row r="2934" spans="1:12" ht="11.25" customHeight="1">
      <c r="A2934" s="39">
        <v>2810</v>
      </c>
      <c r="B2934" s="40" t="s">
        <v>8035</v>
      </c>
      <c r="C2934" s="40" t="s">
        <v>16796</v>
      </c>
      <c r="D2934" s="40" t="s">
        <v>16797</v>
      </c>
      <c r="E2934" s="41">
        <v>50.66</v>
      </c>
      <c r="F2934" s="40"/>
      <c r="G2934" s="41"/>
      <c r="H2934" s="40"/>
      <c r="I2934" s="41"/>
      <c r="J2934" s="41">
        <f t="shared" si="11"/>
        <v>50.66</v>
      </c>
      <c r="K2934" s="42" t="s">
        <v>5796</v>
      </c>
      <c r="L2934" s="39">
        <v>2810</v>
      </c>
    </row>
    <row r="2935" spans="1:12" ht="11.25" customHeight="1">
      <c r="A2935" s="39">
        <v>2811</v>
      </c>
      <c r="B2935" s="40" t="s">
        <v>7902</v>
      </c>
      <c r="C2935" s="40" t="s">
        <v>16798</v>
      </c>
      <c r="D2935" s="40" t="s">
        <v>16799</v>
      </c>
      <c r="E2935" s="41">
        <v>50.65</v>
      </c>
      <c r="F2935" s="40"/>
      <c r="G2935" s="41"/>
      <c r="H2935" s="40"/>
      <c r="I2935" s="41"/>
      <c r="J2935" s="41">
        <f t="shared" si="11"/>
        <v>50.65</v>
      </c>
      <c r="K2935" s="42" t="s">
        <v>5796</v>
      </c>
      <c r="L2935" s="39">
        <v>2811</v>
      </c>
    </row>
    <row r="2936" spans="1:12" ht="11.25" customHeight="1">
      <c r="A2936" s="39">
        <v>2812</v>
      </c>
      <c r="B2936" s="40" t="s">
        <v>16800</v>
      </c>
      <c r="C2936" s="40" t="s">
        <v>16801</v>
      </c>
      <c r="D2936" s="40" t="s">
        <v>16802</v>
      </c>
      <c r="E2936" s="41">
        <v>50.09</v>
      </c>
      <c r="F2936" s="40"/>
      <c r="G2936" s="41"/>
      <c r="H2936" s="40"/>
      <c r="I2936" s="41"/>
      <c r="J2936" s="41">
        <f t="shared" si="11"/>
        <v>50.09</v>
      </c>
      <c r="K2936" s="42" t="s">
        <v>5796</v>
      </c>
      <c r="L2936" s="39">
        <v>2812</v>
      </c>
    </row>
    <row r="2937" spans="1:12" ht="11.25" customHeight="1">
      <c r="A2937" s="39">
        <v>2813</v>
      </c>
      <c r="B2937" s="52" t="s">
        <v>7965</v>
      </c>
      <c r="C2937" s="52" t="s">
        <v>16803</v>
      </c>
      <c r="D2937" s="40"/>
      <c r="E2937" s="41"/>
      <c r="F2937" s="40"/>
      <c r="G2937" s="41"/>
      <c r="H2937" s="52" t="s">
        <v>16804</v>
      </c>
      <c r="I2937" s="53">
        <v>50.012459999999933</v>
      </c>
      <c r="J2937" s="41">
        <f t="shared" si="11"/>
        <v>50.012459999999933</v>
      </c>
      <c r="K2937" s="42" t="s">
        <v>5796</v>
      </c>
      <c r="L2937" s="39">
        <v>2813</v>
      </c>
    </row>
    <row r="2938" spans="1:12" ht="11.25" customHeight="1">
      <c r="A2938" s="39">
        <v>2814</v>
      </c>
      <c r="B2938" s="40" t="s">
        <v>16805</v>
      </c>
      <c r="C2938" s="40" t="s">
        <v>16806</v>
      </c>
      <c r="D2938" s="40" t="s">
        <v>16807</v>
      </c>
      <c r="E2938" s="41">
        <v>50.01</v>
      </c>
      <c r="F2938" s="40"/>
      <c r="G2938" s="41"/>
      <c r="H2938" s="40"/>
      <c r="I2938" s="41"/>
      <c r="J2938" s="41">
        <f t="shared" si="11"/>
        <v>50.01</v>
      </c>
      <c r="K2938" s="42" t="s">
        <v>5796</v>
      </c>
      <c r="L2938" s="39">
        <v>2814</v>
      </c>
    </row>
    <row r="2939" spans="1:12" ht="11.25" customHeight="1">
      <c r="A2939" s="39">
        <v>2816</v>
      </c>
      <c r="B2939" s="40" t="s">
        <v>16808</v>
      </c>
      <c r="C2939" s="40" t="s">
        <v>16809</v>
      </c>
      <c r="D2939" s="40" t="s">
        <v>16810</v>
      </c>
      <c r="E2939" s="41">
        <v>49.97</v>
      </c>
      <c r="F2939" s="40"/>
      <c r="G2939" s="41"/>
      <c r="H2939" s="40"/>
      <c r="I2939" s="41"/>
      <c r="J2939" s="41">
        <f t="shared" si="11"/>
        <v>49.97</v>
      </c>
      <c r="K2939" s="42" t="s">
        <v>5796</v>
      </c>
      <c r="L2939" s="39">
        <v>2816</v>
      </c>
    </row>
    <row r="2940" spans="1:12" ht="11.25" customHeight="1">
      <c r="A2940" s="39">
        <v>2817</v>
      </c>
      <c r="B2940" s="40" t="s">
        <v>16811</v>
      </c>
      <c r="C2940" s="40" t="s">
        <v>16812</v>
      </c>
      <c r="D2940" s="40" t="s">
        <v>16813</v>
      </c>
      <c r="E2940" s="41">
        <v>49.93</v>
      </c>
      <c r="F2940" s="40"/>
      <c r="G2940" s="41"/>
      <c r="H2940" s="40"/>
      <c r="I2940" s="41"/>
      <c r="J2940" s="41">
        <f t="shared" si="11"/>
        <v>49.93</v>
      </c>
      <c r="K2940" s="42" t="s">
        <v>5796</v>
      </c>
      <c r="L2940" s="39">
        <v>2817</v>
      </c>
    </row>
    <row r="2941" spans="1:12" ht="11.25" customHeight="1">
      <c r="A2941" s="39">
        <v>2818</v>
      </c>
      <c r="B2941" s="40" t="s">
        <v>16814</v>
      </c>
      <c r="C2941" s="40" t="s">
        <v>16815</v>
      </c>
      <c r="D2941" s="40" t="s">
        <v>16816</v>
      </c>
      <c r="E2941" s="41">
        <v>49.82</v>
      </c>
      <c r="F2941" s="40"/>
      <c r="G2941" s="41"/>
      <c r="H2941" s="40"/>
      <c r="I2941" s="41"/>
      <c r="J2941" s="41">
        <f t="shared" si="11"/>
        <v>49.82</v>
      </c>
      <c r="K2941" s="42" t="s">
        <v>5796</v>
      </c>
      <c r="L2941" s="39">
        <v>2818</v>
      </c>
    </row>
    <row r="2942" spans="1:12" ht="11.25" customHeight="1">
      <c r="A2942" s="39">
        <v>2819</v>
      </c>
      <c r="B2942" s="40" t="s">
        <v>8288</v>
      </c>
      <c r="C2942" s="40" t="s">
        <v>16817</v>
      </c>
      <c r="D2942" s="40" t="s">
        <v>16818</v>
      </c>
      <c r="E2942" s="41">
        <v>49.78</v>
      </c>
      <c r="F2942" s="40"/>
      <c r="G2942" s="41"/>
      <c r="H2942" s="40"/>
      <c r="I2942" s="41"/>
      <c r="J2942" s="41">
        <f t="shared" si="11"/>
        <v>49.78</v>
      </c>
      <c r="K2942" s="42" t="s">
        <v>5796</v>
      </c>
      <c r="L2942" s="39">
        <v>2819</v>
      </c>
    </row>
    <row r="2943" spans="1:12" ht="11.25" customHeight="1">
      <c r="A2943" s="39">
        <v>2820</v>
      </c>
      <c r="B2943" s="40" t="s">
        <v>16819</v>
      </c>
      <c r="C2943" s="40" t="s">
        <v>16820</v>
      </c>
      <c r="D2943" s="40" t="s">
        <v>16821</v>
      </c>
      <c r="E2943" s="41">
        <v>49.78</v>
      </c>
      <c r="F2943" s="40"/>
      <c r="G2943" s="41"/>
      <c r="H2943" s="40"/>
      <c r="I2943" s="41"/>
      <c r="J2943" s="41">
        <f t="shared" si="11"/>
        <v>49.78</v>
      </c>
      <c r="K2943" s="42" t="s">
        <v>5796</v>
      </c>
      <c r="L2943" s="39">
        <v>2820</v>
      </c>
    </row>
    <row r="2944" spans="1:12" ht="11.25" customHeight="1">
      <c r="A2944" s="39">
        <v>2821</v>
      </c>
      <c r="B2944" s="40" t="s">
        <v>8153</v>
      </c>
      <c r="C2944" s="40" t="s">
        <v>16822</v>
      </c>
      <c r="D2944" s="40" t="s">
        <v>16823</v>
      </c>
      <c r="E2944" s="41">
        <v>49.77</v>
      </c>
      <c r="F2944" s="40"/>
      <c r="G2944" s="41"/>
      <c r="H2944" s="40"/>
      <c r="I2944" s="41"/>
      <c r="J2944" s="41">
        <f t="shared" si="11"/>
        <v>49.77</v>
      </c>
      <c r="K2944" s="42" t="s">
        <v>5796</v>
      </c>
      <c r="L2944" s="39">
        <v>2821</v>
      </c>
    </row>
    <row r="2945" spans="1:12" ht="11.25" customHeight="1">
      <c r="A2945" s="39">
        <v>2824</v>
      </c>
      <c r="B2945" s="40" t="s">
        <v>8268</v>
      </c>
      <c r="C2945" s="40" t="s">
        <v>16824</v>
      </c>
      <c r="D2945" s="40" t="s">
        <v>16825</v>
      </c>
      <c r="E2945" s="41">
        <v>49.65</v>
      </c>
      <c r="F2945" s="40"/>
      <c r="G2945" s="41"/>
      <c r="H2945" s="40"/>
      <c r="I2945" s="41"/>
      <c r="J2945" s="41">
        <f t="shared" si="11"/>
        <v>49.65</v>
      </c>
      <c r="K2945" s="42" t="s">
        <v>5796</v>
      </c>
      <c r="L2945" s="39">
        <v>2824</v>
      </c>
    </row>
    <row r="2946" spans="1:12" ht="11.25" customHeight="1">
      <c r="A2946" s="39">
        <v>2825</v>
      </c>
      <c r="B2946" s="40" t="s">
        <v>16826</v>
      </c>
      <c r="C2946" s="40" t="s">
        <v>16827</v>
      </c>
      <c r="D2946" s="40" t="s">
        <v>16828</v>
      </c>
      <c r="E2946" s="41">
        <v>49.56</v>
      </c>
      <c r="F2946" s="40"/>
      <c r="G2946" s="41"/>
      <c r="H2946" s="40"/>
      <c r="I2946" s="41"/>
      <c r="J2946" s="41">
        <f t="shared" si="11"/>
        <v>49.56</v>
      </c>
      <c r="K2946" s="42" t="s">
        <v>5796</v>
      </c>
      <c r="L2946" s="39">
        <v>2825</v>
      </c>
    </row>
    <row r="2947" spans="1:12" ht="11.25" customHeight="1">
      <c r="A2947" s="39">
        <v>2827</v>
      </c>
      <c r="B2947" s="40" t="s">
        <v>16829</v>
      </c>
      <c r="C2947" s="40" t="s">
        <v>16830</v>
      </c>
      <c r="D2947" s="40" t="s">
        <v>16831</v>
      </c>
      <c r="E2947" s="41">
        <v>49.28</v>
      </c>
      <c r="F2947" s="40"/>
      <c r="G2947" s="41"/>
      <c r="H2947" s="40"/>
      <c r="I2947" s="41"/>
      <c r="J2947" s="41">
        <f t="shared" si="11"/>
        <v>49.28</v>
      </c>
      <c r="K2947" s="42" t="s">
        <v>5796</v>
      </c>
      <c r="L2947" s="39">
        <v>2827</v>
      </c>
    </row>
    <row r="2948" spans="1:12" ht="11.25" customHeight="1">
      <c r="A2948" s="39">
        <v>2828</v>
      </c>
      <c r="B2948" s="40" t="s">
        <v>16832</v>
      </c>
      <c r="C2948" s="40" t="s">
        <v>16833</v>
      </c>
      <c r="D2948" s="40" t="s">
        <v>16834</v>
      </c>
      <c r="E2948" s="41">
        <v>49.23</v>
      </c>
      <c r="F2948" s="40"/>
      <c r="G2948" s="41"/>
      <c r="H2948" s="40"/>
      <c r="I2948" s="41"/>
      <c r="J2948" s="41">
        <f t="shared" si="11"/>
        <v>49.23</v>
      </c>
      <c r="K2948" s="42" t="s">
        <v>5796</v>
      </c>
      <c r="L2948" s="39">
        <v>2828</v>
      </c>
    </row>
    <row r="2949" spans="1:12" ht="11.25" customHeight="1">
      <c r="A2949" s="39">
        <v>2829</v>
      </c>
      <c r="B2949" s="40" t="s">
        <v>16835</v>
      </c>
      <c r="C2949" s="40" t="s">
        <v>16836</v>
      </c>
      <c r="D2949" s="40" t="s">
        <v>16837</v>
      </c>
      <c r="E2949" s="41">
        <v>49.09</v>
      </c>
      <c r="F2949" s="40"/>
      <c r="G2949" s="41"/>
      <c r="H2949" s="40"/>
      <c r="I2949" s="41"/>
      <c r="J2949" s="41">
        <f t="shared" si="11"/>
        <v>49.09</v>
      </c>
      <c r="K2949" s="42" t="s">
        <v>5796</v>
      </c>
      <c r="L2949" s="39">
        <v>2829</v>
      </c>
    </row>
    <row r="2950" spans="1:12" ht="11.25" customHeight="1">
      <c r="A2950" s="39">
        <v>2830</v>
      </c>
      <c r="B2950" s="40" t="s">
        <v>8467</v>
      </c>
      <c r="C2950" s="40" t="s">
        <v>16838</v>
      </c>
      <c r="D2950" s="40" t="s">
        <v>16839</v>
      </c>
      <c r="E2950" s="41">
        <v>49.08</v>
      </c>
      <c r="F2950" s="40"/>
      <c r="G2950" s="41"/>
      <c r="H2950" s="40"/>
      <c r="I2950" s="41"/>
      <c r="J2950" s="41">
        <f t="shared" si="11"/>
        <v>49.08</v>
      </c>
      <c r="K2950" s="42" t="s">
        <v>5796</v>
      </c>
      <c r="L2950" s="39">
        <v>2830</v>
      </c>
    </row>
    <row r="2951" spans="1:12" ht="11.25" customHeight="1">
      <c r="A2951" s="39">
        <v>2831</v>
      </c>
      <c r="B2951" s="40" t="s">
        <v>16840</v>
      </c>
      <c r="C2951" s="40" t="s">
        <v>16841</v>
      </c>
      <c r="D2951" s="40" t="s">
        <v>16842</v>
      </c>
      <c r="E2951" s="41">
        <v>49.05</v>
      </c>
      <c r="F2951" s="40"/>
      <c r="G2951" s="41"/>
      <c r="H2951" s="40"/>
      <c r="I2951" s="41"/>
      <c r="J2951" s="41">
        <f t="shared" si="11"/>
        <v>49.05</v>
      </c>
      <c r="K2951" s="42" t="s">
        <v>5796</v>
      </c>
      <c r="L2951" s="39">
        <v>2831</v>
      </c>
    </row>
    <row r="2952" spans="1:12" ht="11.25" customHeight="1">
      <c r="A2952" s="39">
        <v>2832</v>
      </c>
      <c r="B2952" s="40" t="s">
        <v>16843</v>
      </c>
      <c r="C2952" s="40" t="s">
        <v>16844</v>
      </c>
      <c r="D2952" s="40" t="s">
        <v>16845</v>
      </c>
      <c r="E2952" s="41">
        <v>48.94</v>
      </c>
      <c r="F2952" s="40"/>
      <c r="G2952" s="41"/>
      <c r="H2952" s="40"/>
      <c r="I2952" s="41"/>
      <c r="J2952" s="41">
        <f t="shared" si="11"/>
        <v>48.94</v>
      </c>
      <c r="K2952" s="42" t="s">
        <v>5796</v>
      </c>
      <c r="L2952" s="39">
        <v>2832</v>
      </c>
    </row>
    <row r="2953" spans="1:12" ht="11.25" customHeight="1">
      <c r="A2953" s="39">
        <v>2833</v>
      </c>
      <c r="B2953" s="40" t="s">
        <v>7924</v>
      </c>
      <c r="C2953" s="40" t="s">
        <v>16846</v>
      </c>
      <c r="D2953" s="40" t="s">
        <v>16847</v>
      </c>
      <c r="E2953" s="41">
        <v>48.86</v>
      </c>
      <c r="F2953" s="40"/>
      <c r="G2953" s="41"/>
      <c r="H2953" s="40"/>
      <c r="I2953" s="41"/>
      <c r="J2953" s="41">
        <f t="shared" si="11"/>
        <v>48.86</v>
      </c>
      <c r="K2953" s="42" t="s">
        <v>5796</v>
      </c>
      <c r="L2953" s="39">
        <v>2833</v>
      </c>
    </row>
    <row r="2954" spans="1:12" ht="11.25" customHeight="1">
      <c r="A2954" s="39">
        <v>2834</v>
      </c>
      <c r="B2954" s="40" t="s">
        <v>16848</v>
      </c>
      <c r="C2954" s="40" t="s">
        <v>16849</v>
      </c>
      <c r="D2954" s="40" t="s">
        <v>16850</v>
      </c>
      <c r="E2954" s="41">
        <v>48.85</v>
      </c>
      <c r="F2954" s="40"/>
      <c r="G2954" s="41"/>
      <c r="H2954" s="40"/>
      <c r="I2954" s="41"/>
      <c r="J2954" s="41">
        <f t="shared" si="11"/>
        <v>48.85</v>
      </c>
      <c r="K2954" s="42" t="s">
        <v>5796</v>
      </c>
      <c r="L2954" s="39">
        <v>2834</v>
      </c>
    </row>
    <row r="2955" spans="1:12" ht="11.25" customHeight="1">
      <c r="A2955" s="39">
        <v>2835</v>
      </c>
      <c r="B2955" s="40" t="s">
        <v>16851</v>
      </c>
      <c r="C2955" s="40" t="s">
        <v>16852</v>
      </c>
      <c r="D2955" s="40" t="s">
        <v>16853</v>
      </c>
      <c r="E2955" s="41">
        <v>48.81</v>
      </c>
      <c r="F2955" s="40"/>
      <c r="G2955" s="41"/>
      <c r="H2955" s="40"/>
      <c r="I2955" s="41"/>
      <c r="J2955" s="41">
        <f t="shared" si="11"/>
        <v>48.81</v>
      </c>
      <c r="K2955" s="42" t="s">
        <v>5796</v>
      </c>
      <c r="L2955" s="39">
        <v>2835</v>
      </c>
    </row>
    <row r="2956" spans="1:12" ht="11.25" customHeight="1">
      <c r="A2956" s="39">
        <v>2836</v>
      </c>
      <c r="B2956" s="40" t="s">
        <v>16854</v>
      </c>
      <c r="C2956" s="40" t="s">
        <v>16855</v>
      </c>
      <c r="D2956" s="40" t="s">
        <v>16856</v>
      </c>
      <c r="E2956" s="41">
        <v>48.72</v>
      </c>
      <c r="F2956" s="40"/>
      <c r="G2956" s="41"/>
      <c r="H2956" s="40"/>
      <c r="I2956" s="41"/>
      <c r="J2956" s="41">
        <f t="shared" si="11"/>
        <v>48.72</v>
      </c>
      <c r="K2956" s="42" t="s">
        <v>5796</v>
      </c>
      <c r="L2956" s="39">
        <v>2836</v>
      </c>
    </row>
    <row r="2957" spans="1:12" ht="11.25" customHeight="1">
      <c r="A2957" s="39">
        <v>2837</v>
      </c>
      <c r="B2957" s="40" t="s">
        <v>16857</v>
      </c>
      <c r="C2957" s="40" t="s">
        <v>16858</v>
      </c>
      <c r="D2957" s="40" t="s">
        <v>16859</v>
      </c>
      <c r="E2957" s="41">
        <v>48.7</v>
      </c>
      <c r="F2957" s="40"/>
      <c r="G2957" s="41"/>
      <c r="H2957" s="40"/>
      <c r="I2957" s="41"/>
      <c r="J2957" s="41">
        <f t="shared" si="11"/>
        <v>48.7</v>
      </c>
      <c r="K2957" s="42" t="s">
        <v>5796</v>
      </c>
      <c r="L2957" s="39">
        <v>2837</v>
      </c>
    </row>
    <row r="2958" spans="1:12" ht="11.25" customHeight="1">
      <c r="A2958" s="39">
        <v>2838</v>
      </c>
      <c r="B2958" s="40" t="s">
        <v>16860</v>
      </c>
      <c r="C2958" s="40" t="s">
        <v>16861</v>
      </c>
      <c r="D2958" s="40" t="s">
        <v>16862</v>
      </c>
      <c r="E2958" s="41">
        <v>48.6</v>
      </c>
      <c r="F2958" s="40"/>
      <c r="G2958" s="41"/>
      <c r="H2958" s="40"/>
      <c r="I2958" s="41"/>
      <c r="J2958" s="41">
        <f t="shared" si="11"/>
        <v>48.6</v>
      </c>
      <c r="K2958" s="42" t="s">
        <v>5796</v>
      </c>
      <c r="L2958" s="39">
        <v>2838</v>
      </c>
    </row>
    <row r="2959" spans="1:12" ht="11.25" customHeight="1">
      <c r="A2959" s="39">
        <v>2839</v>
      </c>
      <c r="B2959" s="40" t="s">
        <v>16863</v>
      </c>
      <c r="C2959" s="40" t="s">
        <v>16864</v>
      </c>
      <c r="D2959" s="40" t="s">
        <v>16865</v>
      </c>
      <c r="E2959" s="41">
        <v>48.53</v>
      </c>
      <c r="F2959" s="40"/>
      <c r="G2959" s="41"/>
      <c r="H2959" s="40"/>
      <c r="I2959" s="41"/>
      <c r="J2959" s="41">
        <f t="shared" si="11"/>
        <v>48.53</v>
      </c>
      <c r="K2959" s="42" t="s">
        <v>5796</v>
      </c>
      <c r="L2959" s="39">
        <v>2839</v>
      </c>
    </row>
    <row r="2960" spans="1:12" ht="11.25" customHeight="1">
      <c r="A2960" s="39">
        <v>2840</v>
      </c>
      <c r="B2960" s="40" t="s">
        <v>16866</v>
      </c>
      <c r="C2960" s="40" t="s">
        <v>16867</v>
      </c>
      <c r="D2960" s="40" t="s">
        <v>16868</v>
      </c>
      <c r="E2960" s="41">
        <v>48.48</v>
      </c>
      <c r="F2960" s="40"/>
      <c r="G2960" s="41"/>
      <c r="H2960" s="40"/>
      <c r="I2960" s="41"/>
      <c r="J2960" s="41">
        <f t="shared" si="11"/>
        <v>48.48</v>
      </c>
      <c r="K2960" s="42" t="s">
        <v>5796</v>
      </c>
      <c r="L2960" s="39">
        <v>2840</v>
      </c>
    </row>
    <row r="2961" spans="1:12" ht="11.25" customHeight="1">
      <c r="A2961" s="39">
        <v>2841</v>
      </c>
      <c r="B2961" s="40" t="s">
        <v>16869</v>
      </c>
      <c r="C2961" s="40" t="s">
        <v>16870</v>
      </c>
      <c r="D2961" s="40" t="s">
        <v>16871</v>
      </c>
      <c r="E2961" s="41">
        <v>48.33</v>
      </c>
      <c r="F2961" s="40"/>
      <c r="G2961" s="41"/>
      <c r="H2961" s="40"/>
      <c r="I2961" s="41"/>
      <c r="J2961" s="41">
        <f t="shared" si="11"/>
        <v>48.33</v>
      </c>
      <c r="K2961" s="42" t="s">
        <v>5796</v>
      </c>
      <c r="L2961" s="39">
        <v>2841</v>
      </c>
    </row>
    <row r="2962" spans="1:12" ht="11.25" customHeight="1">
      <c r="A2962" s="39">
        <v>2842</v>
      </c>
      <c r="B2962" s="40" t="s">
        <v>8147</v>
      </c>
      <c r="C2962" s="40" t="s">
        <v>16872</v>
      </c>
      <c r="D2962" s="40" t="s">
        <v>16873</v>
      </c>
      <c r="E2962" s="41">
        <v>48.3</v>
      </c>
      <c r="F2962" s="40"/>
      <c r="G2962" s="41"/>
      <c r="H2962" s="40"/>
      <c r="I2962" s="41"/>
      <c r="J2962" s="41">
        <f t="shared" si="11"/>
        <v>48.3</v>
      </c>
      <c r="K2962" s="42" t="s">
        <v>5796</v>
      </c>
      <c r="L2962" s="39">
        <v>2842</v>
      </c>
    </row>
    <row r="2963" spans="1:12" ht="11.25" customHeight="1">
      <c r="A2963" s="39">
        <v>2843</v>
      </c>
      <c r="B2963" s="40" t="s">
        <v>16874</v>
      </c>
      <c r="C2963" s="40" t="s">
        <v>16875</v>
      </c>
      <c r="D2963" s="40" t="s">
        <v>16876</v>
      </c>
      <c r="E2963" s="41">
        <v>48.23</v>
      </c>
      <c r="F2963" s="40"/>
      <c r="G2963" s="41"/>
      <c r="H2963" s="40"/>
      <c r="I2963" s="41"/>
      <c r="J2963" s="41">
        <f t="shared" si="11"/>
        <v>48.23</v>
      </c>
      <c r="K2963" s="42" t="s">
        <v>5796</v>
      </c>
      <c r="L2963" s="39">
        <v>2843</v>
      </c>
    </row>
    <row r="2964" spans="1:12" ht="11.25" customHeight="1">
      <c r="A2964" s="39">
        <v>2844</v>
      </c>
      <c r="B2964" s="40" t="s">
        <v>7789</v>
      </c>
      <c r="C2964" s="40" t="s">
        <v>16877</v>
      </c>
      <c r="D2964" s="40" t="s">
        <v>16878</v>
      </c>
      <c r="E2964" s="41">
        <v>48.17</v>
      </c>
      <c r="F2964" s="40"/>
      <c r="G2964" s="41"/>
      <c r="H2964" s="40"/>
      <c r="I2964" s="41"/>
      <c r="J2964" s="41">
        <f t="shared" si="11"/>
        <v>48.17</v>
      </c>
      <c r="K2964" s="42" t="s">
        <v>5796</v>
      </c>
      <c r="L2964" s="39">
        <v>2844</v>
      </c>
    </row>
    <row r="2965" spans="1:12" ht="11.25" customHeight="1">
      <c r="A2965" s="39">
        <v>2845</v>
      </c>
      <c r="B2965" s="40" t="s">
        <v>7947</v>
      </c>
      <c r="C2965" s="40" t="s">
        <v>16879</v>
      </c>
      <c r="D2965" s="40" t="s">
        <v>16880</v>
      </c>
      <c r="E2965" s="41">
        <v>48.12</v>
      </c>
      <c r="F2965" s="40"/>
      <c r="G2965" s="41"/>
      <c r="H2965" s="40"/>
      <c r="I2965" s="41"/>
      <c r="J2965" s="41">
        <f t="shared" si="11"/>
        <v>48.12</v>
      </c>
      <c r="K2965" s="42" t="s">
        <v>5796</v>
      </c>
      <c r="L2965" s="39">
        <v>2845</v>
      </c>
    </row>
    <row r="2966" spans="1:12" ht="11.25" customHeight="1">
      <c r="A2966" s="39">
        <v>2846</v>
      </c>
      <c r="B2966" s="40" t="s">
        <v>8377</v>
      </c>
      <c r="C2966" s="40" t="s">
        <v>16881</v>
      </c>
      <c r="D2966" s="40" t="s">
        <v>16882</v>
      </c>
      <c r="E2966" s="41">
        <v>47.97</v>
      </c>
      <c r="F2966" s="40"/>
      <c r="G2966" s="41"/>
      <c r="H2966" s="40"/>
      <c r="I2966" s="41"/>
      <c r="J2966" s="41">
        <f t="shared" si="11"/>
        <v>47.97</v>
      </c>
      <c r="K2966" s="42" t="s">
        <v>5796</v>
      </c>
      <c r="L2966" s="39">
        <v>2846</v>
      </c>
    </row>
    <row r="2967" spans="1:12" ht="11.25" customHeight="1">
      <c r="A2967" s="39">
        <v>2848</v>
      </c>
      <c r="B2967" s="40" t="s">
        <v>16883</v>
      </c>
      <c r="C2967" s="40" t="s">
        <v>16884</v>
      </c>
      <c r="D2967" s="40" t="s">
        <v>16885</v>
      </c>
      <c r="E2967" s="41">
        <v>47.85</v>
      </c>
      <c r="F2967" s="40"/>
      <c r="G2967" s="41"/>
      <c r="H2967" s="40"/>
      <c r="I2967" s="41"/>
      <c r="J2967" s="41">
        <f t="shared" si="11"/>
        <v>47.85</v>
      </c>
      <c r="K2967" s="42" t="s">
        <v>5796</v>
      </c>
      <c r="L2967" s="39">
        <v>2848</v>
      </c>
    </row>
    <row r="2968" spans="1:12" ht="11.25" customHeight="1">
      <c r="A2968" s="39">
        <v>2849</v>
      </c>
      <c r="B2968" s="40" t="s">
        <v>16886</v>
      </c>
      <c r="C2968" s="40" t="s">
        <v>16887</v>
      </c>
      <c r="D2968" s="40" t="s">
        <v>16888</v>
      </c>
      <c r="E2968" s="41">
        <v>47.78</v>
      </c>
      <c r="F2968" s="40"/>
      <c r="G2968" s="41"/>
      <c r="H2968" s="40"/>
      <c r="I2968" s="41"/>
      <c r="J2968" s="41">
        <f t="shared" si="11"/>
        <v>47.78</v>
      </c>
      <c r="K2968" s="42" t="s">
        <v>5796</v>
      </c>
      <c r="L2968" s="39">
        <v>2849</v>
      </c>
    </row>
    <row r="2969" spans="1:12" ht="11.25" customHeight="1">
      <c r="A2969" s="39">
        <v>2850</v>
      </c>
      <c r="B2969" s="40" t="s">
        <v>16889</v>
      </c>
      <c r="C2969" s="40" t="s">
        <v>16890</v>
      </c>
      <c r="D2969" s="40" t="s">
        <v>16891</v>
      </c>
      <c r="E2969" s="41">
        <v>47.51</v>
      </c>
      <c r="F2969" s="40"/>
      <c r="G2969" s="41"/>
      <c r="H2969" s="40"/>
      <c r="I2969" s="41"/>
      <c r="J2969" s="41">
        <f t="shared" si="11"/>
        <v>47.51</v>
      </c>
      <c r="K2969" s="42" t="s">
        <v>5796</v>
      </c>
      <c r="L2969" s="39">
        <v>2850</v>
      </c>
    </row>
    <row r="2970" spans="1:12" ht="11.25" customHeight="1">
      <c r="A2970" s="39">
        <v>2851</v>
      </c>
      <c r="B2970" s="40" t="s">
        <v>16892</v>
      </c>
      <c r="C2970" s="40" t="s">
        <v>16893</v>
      </c>
      <c r="D2970" s="40" t="s">
        <v>16894</v>
      </c>
      <c r="E2970" s="41">
        <v>47.46</v>
      </c>
      <c r="F2970" s="40"/>
      <c r="G2970" s="41"/>
      <c r="H2970" s="40"/>
      <c r="I2970" s="41"/>
      <c r="J2970" s="41">
        <f t="shared" si="11"/>
        <v>47.46</v>
      </c>
      <c r="K2970" s="42" t="s">
        <v>5796</v>
      </c>
      <c r="L2970" s="39">
        <v>2851</v>
      </c>
    </row>
    <row r="2971" spans="1:12" ht="11.25" customHeight="1">
      <c r="A2971" s="39">
        <v>2852</v>
      </c>
      <c r="B2971" s="40" t="s">
        <v>16895</v>
      </c>
      <c r="C2971" s="40" t="s">
        <v>16896</v>
      </c>
      <c r="D2971" s="40" t="s">
        <v>16897</v>
      </c>
      <c r="E2971" s="41">
        <v>47.39</v>
      </c>
      <c r="F2971" s="40"/>
      <c r="G2971" s="41"/>
      <c r="H2971" s="40"/>
      <c r="I2971" s="41"/>
      <c r="J2971" s="41">
        <f t="shared" si="11"/>
        <v>47.39</v>
      </c>
      <c r="K2971" s="42" t="s">
        <v>5796</v>
      </c>
      <c r="L2971" s="39">
        <v>2852</v>
      </c>
    </row>
    <row r="2972" spans="1:12" ht="11.25" customHeight="1">
      <c r="A2972" s="39">
        <v>2853</v>
      </c>
      <c r="B2972" s="40" t="s">
        <v>16898</v>
      </c>
      <c r="C2972" s="40" t="s">
        <v>16899</v>
      </c>
      <c r="D2972" s="40" t="s">
        <v>16900</v>
      </c>
      <c r="E2972" s="41">
        <v>47.33</v>
      </c>
      <c r="F2972" s="40"/>
      <c r="G2972" s="41"/>
      <c r="H2972" s="40"/>
      <c r="I2972" s="41"/>
      <c r="J2972" s="41">
        <f t="shared" si="11"/>
        <v>47.33</v>
      </c>
      <c r="K2972" s="42" t="s">
        <v>5796</v>
      </c>
      <c r="L2972" s="39">
        <v>2853</v>
      </c>
    </row>
    <row r="2973" spans="1:12" ht="11.25" customHeight="1">
      <c r="A2973" s="39">
        <v>2854</v>
      </c>
      <c r="B2973" s="40" t="s">
        <v>16901</v>
      </c>
      <c r="C2973" s="40" t="s">
        <v>16902</v>
      </c>
      <c r="D2973" s="40" t="s">
        <v>16903</v>
      </c>
      <c r="E2973" s="41">
        <v>47.3</v>
      </c>
      <c r="F2973" s="40"/>
      <c r="G2973" s="41"/>
      <c r="H2973" s="40"/>
      <c r="I2973" s="41"/>
      <c r="J2973" s="41">
        <f t="shared" si="11"/>
        <v>47.3</v>
      </c>
      <c r="K2973" s="42" t="s">
        <v>5796</v>
      </c>
      <c r="L2973" s="39">
        <v>2854</v>
      </c>
    </row>
    <row r="2974" spans="1:12" ht="11.25" customHeight="1">
      <c r="A2974" s="39">
        <v>2855</v>
      </c>
      <c r="B2974" s="40" t="s">
        <v>16904</v>
      </c>
      <c r="C2974" s="40" t="s">
        <v>16905</v>
      </c>
      <c r="D2974" s="40" t="s">
        <v>16906</v>
      </c>
      <c r="E2974" s="41">
        <v>47.28</v>
      </c>
      <c r="F2974" s="40"/>
      <c r="G2974" s="41"/>
      <c r="H2974" s="40"/>
      <c r="I2974" s="41"/>
      <c r="J2974" s="41">
        <f t="shared" si="11"/>
        <v>47.28</v>
      </c>
      <c r="K2974" s="42" t="s">
        <v>5796</v>
      </c>
      <c r="L2974" s="39">
        <v>2855</v>
      </c>
    </row>
    <row r="2975" spans="1:12" ht="11.25" customHeight="1">
      <c r="A2975" s="39">
        <v>2856</v>
      </c>
      <c r="B2975" s="40" t="s">
        <v>16907</v>
      </c>
      <c r="C2975" s="40" t="s">
        <v>16908</v>
      </c>
      <c r="D2975" s="40" t="s">
        <v>16909</v>
      </c>
      <c r="E2975" s="41">
        <v>47.27</v>
      </c>
      <c r="F2975" s="40"/>
      <c r="G2975" s="41"/>
      <c r="H2975" s="40"/>
      <c r="I2975" s="41"/>
      <c r="J2975" s="41">
        <f t="shared" si="11"/>
        <v>47.27</v>
      </c>
      <c r="K2975" s="42" t="s">
        <v>5796</v>
      </c>
      <c r="L2975" s="39">
        <v>2856</v>
      </c>
    </row>
    <row r="2976" spans="1:12" ht="11.25" customHeight="1">
      <c r="A2976" s="39">
        <v>2857</v>
      </c>
      <c r="B2976" s="40" t="s">
        <v>16910</v>
      </c>
      <c r="C2976" s="40" t="s">
        <v>16911</v>
      </c>
      <c r="D2976" s="40" t="s">
        <v>16912</v>
      </c>
      <c r="E2976" s="41">
        <v>47.05</v>
      </c>
      <c r="F2976" s="40"/>
      <c r="G2976" s="41"/>
      <c r="H2976" s="40"/>
      <c r="I2976" s="41"/>
      <c r="J2976" s="41">
        <f t="shared" si="11"/>
        <v>47.05</v>
      </c>
      <c r="K2976" s="42" t="s">
        <v>5796</v>
      </c>
      <c r="L2976" s="39">
        <v>2857</v>
      </c>
    </row>
    <row r="2977" spans="1:12" ht="11.25" customHeight="1">
      <c r="A2977" s="39">
        <v>2858</v>
      </c>
      <c r="B2977" s="40" t="s">
        <v>16913</v>
      </c>
      <c r="C2977" s="40" t="s">
        <v>16914</v>
      </c>
      <c r="D2977" s="40" t="s">
        <v>16915</v>
      </c>
      <c r="E2977" s="41">
        <v>46.88</v>
      </c>
      <c r="F2977" s="40"/>
      <c r="G2977" s="41"/>
      <c r="H2977" s="40"/>
      <c r="I2977" s="41"/>
      <c r="J2977" s="41">
        <f t="shared" si="11"/>
        <v>46.88</v>
      </c>
      <c r="K2977" s="42" t="s">
        <v>5796</v>
      </c>
      <c r="L2977" s="39">
        <v>2858</v>
      </c>
    </row>
    <row r="2978" spans="1:12" ht="11.25" customHeight="1">
      <c r="A2978" s="39">
        <v>2859</v>
      </c>
      <c r="B2978" s="40" t="s">
        <v>7985</v>
      </c>
      <c r="C2978" s="40" t="s">
        <v>16916</v>
      </c>
      <c r="D2978" s="40" t="s">
        <v>16917</v>
      </c>
      <c r="E2978" s="41">
        <v>46.87</v>
      </c>
      <c r="F2978" s="40"/>
      <c r="G2978" s="41"/>
      <c r="H2978" s="40"/>
      <c r="I2978" s="41"/>
      <c r="J2978" s="41">
        <f t="shared" si="11"/>
        <v>46.87</v>
      </c>
      <c r="K2978" s="42" t="s">
        <v>5796</v>
      </c>
      <c r="L2978" s="39">
        <v>2859</v>
      </c>
    </row>
    <row r="2979" spans="1:12" ht="11.25" customHeight="1">
      <c r="A2979" s="39">
        <v>2860</v>
      </c>
      <c r="B2979" s="40" t="s">
        <v>16918</v>
      </c>
      <c r="C2979" s="40" t="s">
        <v>16919</v>
      </c>
      <c r="D2979" s="40" t="s">
        <v>16920</v>
      </c>
      <c r="E2979" s="41">
        <v>46.82</v>
      </c>
      <c r="F2979" s="40"/>
      <c r="G2979" s="41"/>
      <c r="H2979" s="40"/>
      <c r="I2979" s="41"/>
      <c r="J2979" s="41">
        <f t="shared" si="11"/>
        <v>46.82</v>
      </c>
      <c r="K2979" s="42" t="s">
        <v>5796</v>
      </c>
      <c r="L2979" s="39">
        <v>2860</v>
      </c>
    </row>
    <row r="2980" spans="1:12" ht="11.25" customHeight="1">
      <c r="A2980" s="39">
        <v>2862</v>
      </c>
      <c r="B2980" s="40" t="s">
        <v>16921</v>
      </c>
      <c r="C2980" s="40" t="s">
        <v>16922</v>
      </c>
      <c r="D2980" s="40" t="s">
        <v>16923</v>
      </c>
      <c r="E2980" s="41">
        <v>46.51</v>
      </c>
      <c r="F2980" s="40"/>
      <c r="G2980" s="41"/>
      <c r="H2980" s="40"/>
      <c r="I2980" s="41"/>
      <c r="J2980" s="41">
        <f t="shared" si="11"/>
        <v>46.51</v>
      </c>
      <c r="K2980" s="42" t="s">
        <v>5796</v>
      </c>
      <c r="L2980" s="39">
        <v>2862</v>
      </c>
    </row>
    <row r="2981" spans="1:12" ht="11.25" customHeight="1">
      <c r="A2981" s="39">
        <v>2863</v>
      </c>
      <c r="B2981" s="40" t="s">
        <v>8731</v>
      </c>
      <c r="C2981" s="40" t="s">
        <v>16924</v>
      </c>
      <c r="D2981" s="40" t="s">
        <v>16925</v>
      </c>
      <c r="E2981" s="41">
        <v>46.48</v>
      </c>
      <c r="F2981" s="40"/>
      <c r="G2981" s="41"/>
      <c r="H2981" s="40"/>
      <c r="I2981" s="41"/>
      <c r="J2981" s="41">
        <f t="shared" si="11"/>
        <v>46.48</v>
      </c>
      <c r="K2981" s="42" t="s">
        <v>5796</v>
      </c>
      <c r="L2981" s="39">
        <v>2863</v>
      </c>
    </row>
    <row r="2982" spans="1:12" ht="11.25" customHeight="1">
      <c r="A2982" s="39">
        <v>2864</v>
      </c>
      <c r="B2982" s="40" t="s">
        <v>16926</v>
      </c>
      <c r="C2982" s="40" t="s">
        <v>16927</v>
      </c>
      <c r="D2982" s="40" t="s">
        <v>16928</v>
      </c>
      <c r="E2982" s="41">
        <v>46.47</v>
      </c>
      <c r="F2982" s="40"/>
      <c r="G2982" s="41"/>
      <c r="H2982" s="40"/>
      <c r="I2982" s="41"/>
      <c r="J2982" s="41">
        <f t="shared" si="11"/>
        <v>46.47</v>
      </c>
      <c r="K2982" s="42" t="s">
        <v>5796</v>
      </c>
      <c r="L2982" s="39">
        <v>2864</v>
      </c>
    </row>
    <row r="2983" spans="1:12" ht="11.25" customHeight="1">
      <c r="A2983" s="39">
        <v>2865</v>
      </c>
      <c r="B2983" s="40" t="s">
        <v>16929</v>
      </c>
      <c r="C2983" s="40" t="s">
        <v>16930</v>
      </c>
      <c r="D2983" s="40" t="s">
        <v>16931</v>
      </c>
      <c r="E2983" s="41">
        <v>46.34</v>
      </c>
      <c r="F2983" s="40"/>
      <c r="G2983" s="41"/>
      <c r="H2983" s="40"/>
      <c r="I2983" s="41"/>
      <c r="J2983" s="41">
        <f t="shared" si="11"/>
        <v>46.34</v>
      </c>
      <c r="K2983" s="42" t="s">
        <v>5796</v>
      </c>
      <c r="L2983" s="39">
        <v>2865</v>
      </c>
    </row>
    <row r="2984" spans="1:12" ht="11.25" customHeight="1">
      <c r="A2984" s="39">
        <v>2866</v>
      </c>
      <c r="B2984" s="40" t="s">
        <v>7970</v>
      </c>
      <c r="C2984" s="40" t="s">
        <v>16932</v>
      </c>
      <c r="D2984" s="40" t="s">
        <v>16933</v>
      </c>
      <c r="E2984" s="41">
        <v>46.34</v>
      </c>
      <c r="F2984" s="40"/>
      <c r="G2984" s="41"/>
      <c r="H2984" s="40"/>
      <c r="I2984" s="41"/>
      <c r="J2984" s="41">
        <f t="shared" si="11"/>
        <v>46.34</v>
      </c>
      <c r="K2984" s="42" t="s">
        <v>5796</v>
      </c>
      <c r="L2984" s="39">
        <v>2866</v>
      </c>
    </row>
    <row r="2985" spans="1:12" ht="11.25" customHeight="1">
      <c r="A2985" s="39">
        <v>2867</v>
      </c>
      <c r="B2985" s="40" t="s">
        <v>7882</v>
      </c>
      <c r="C2985" s="40" t="s">
        <v>16934</v>
      </c>
      <c r="D2985" s="40" t="s">
        <v>16935</v>
      </c>
      <c r="E2985" s="41">
        <v>46.29</v>
      </c>
      <c r="F2985" s="40"/>
      <c r="G2985" s="41"/>
      <c r="H2985" s="40" t="s">
        <v>16935</v>
      </c>
      <c r="I2985" s="41">
        <v>46.287859196370938</v>
      </c>
      <c r="J2985" s="41">
        <f t="shared" si="11"/>
        <v>46.288929598185469</v>
      </c>
      <c r="K2985" s="42" t="s">
        <v>5796</v>
      </c>
      <c r="L2985" s="39">
        <v>2867</v>
      </c>
    </row>
    <row r="2986" spans="1:12" ht="11.25" customHeight="1">
      <c r="A2986" s="39">
        <v>2868</v>
      </c>
      <c r="B2986" s="40" t="s">
        <v>16936</v>
      </c>
      <c r="C2986" s="40" t="s">
        <v>16937</v>
      </c>
      <c r="D2986" s="40" t="s">
        <v>16938</v>
      </c>
      <c r="E2986" s="41">
        <v>46.23</v>
      </c>
      <c r="F2986" s="40"/>
      <c r="G2986" s="41"/>
      <c r="H2986" s="40"/>
      <c r="I2986" s="41"/>
      <c r="J2986" s="41">
        <f t="shared" si="11"/>
        <v>46.23</v>
      </c>
      <c r="K2986" s="42" t="s">
        <v>5796</v>
      </c>
      <c r="L2986" s="39">
        <v>2868</v>
      </c>
    </row>
    <row r="2987" spans="1:12" ht="11.25" customHeight="1">
      <c r="A2987" s="39">
        <v>2869</v>
      </c>
      <c r="B2987" s="40" t="s">
        <v>16939</v>
      </c>
      <c r="C2987" s="40" t="s">
        <v>16940</v>
      </c>
      <c r="D2987" s="40" t="s">
        <v>16941</v>
      </c>
      <c r="E2987" s="41">
        <v>46.19</v>
      </c>
      <c r="F2987" s="40"/>
      <c r="G2987" s="41"/>
      <c r="H2987" s="40"/>
      <c r="I2987" s="41"/>
      <c r="J2987" s="41">
        <f t="shared" si="11"/>
        <v>46.19</v>
      </c>
      <c r="K2987" s="42" t="s">
        <v>5796</v>
      </c>
      <c r="L2987" s="39">
        <v>2869</v>
      </c>
    </row>
    <row r="2988" spans="1:12" ht="11.25" customHeight="1">
      <c r="A2988" s="39">
        <v>2871</v>
      </c>
      <c r="B2988" s="40" t="s">
        <v>8408</v>
      </c>
      <c r="C2988" s="40" t="s">
        <v>16942</v>
      </c>
      <c r="D2988" s="40" t="s">
        <v>16943</v>
      </c>
      <c r="E2988" s="41">
        <v>46.09</v>
      </c>
      <c r="F2988" s="40"/>
      <c r="G2988" s="41"/>
      <c r="H2988" s="40"/>
      <c r="I2988" s="41"/>
      <c r="J2988" s="41">
        <f t="shared" si="11"/>
        <v>46.09</v>
      </c>
      <c r="K2988" s="42" t="s">
        <v>5796</v>
      </c>
      <c r="L2988" s="39">
        <v>2871</v>
      </c>
    </row>
    <row r="2989" spans="1:12" ht="11.25" customHeight="1">
      <c r="A2989" s="39">
        <v>2872</v>
      </c>
      <c r="B2989" s="40" t="s">
        <v>16944</v>
      </c>
      <c r="C2989" s="40" t="s">
        <v>16945</v>
      </c>
      <c r="D2989" s="40" t="s">
        <v>16946</v>
      </c>
      <c r="E2989" s="41">
        <v>46</v>
      </c>
      <c r="F2989" s="40"/>
      <c r="G2989" s="41"/>
      <c r="H2989" s="40"/>
      <c r="I2989" s="41"/>
      <c r="J2989" s="41">
        <f t="shared" si="11"/>
        <v>46</v>
      </c>
      <c r="K2989" s="42" t="s">
        <v>5796</v>
      </c>
      <c r="L2989" s="39">
        <v>2872</v>
      </c>
    </row>
    <row r="2990" spans="1:12" ht="11.25" customHeight="1">
      <c r="A2990" s="39">
        <v>2873</v>
      </c>
      <c r="B2990" s="40" t="s">
        <v>16947</v>
      </c>
      <c r="C2990" s="40" t="s">
        <v>16948</v>
      </c>
      <c r="D2990" s="40" t="s">
        <v>16949</v>
      </c>
      <c r="E2990" s="41">
        <v>45.89</v>
      </c>
      <c r="F2990" s="40"/>
      <c r="G2990" s="41"/>
      <c r="H2990" s="40"/>
      <c r="I2990" s="41"/>
      <c r="J2990" s="41">
        <f t="shared" si="11"/>
        <v>45.89</v>
      </c>
      <c r="K2990" s="42" t="s">
        <v>5796</v>
      </c>
      <c r="L2990" s="39">
        <v>2873</v>
      </c>
    </row>
    <row r="2991" spans="1:12" ht="11.25" customHeight="1">
      <c r="A2991" s="39">
        <v>2874</v>
      </c>
      <c r="B2991" s="40" t="s">
        <v>16950</v>
      </c>
      <c r="C2991" s="40" t="s">
        <v>16951</v>
      </c>
      <c r="D2991" s="40" t="s">
        <v>16952</v>
      </c>
      <c r="E2991" s="41">
        <v>45.87</v>
      </c>
      <c r="F2991" s="40"/>
      <c r="G2991" s="41"/>
      <c r="H2991" s="40"/>
      <c r="I2991" s="41"/>
      <c r="J2991" s="41">
        <f t="shared" si="11"/>
        <v>45.87</v>
      </c>
      <c r="K2991" s="42" t="s">
        <v>5796</v>
      </c>
      <c r="L2991" s="39">
        <v>2874</v>
      </c>
    </row>
    <row r="2992" spans="1:12" ht="11.25" customHeight="1">
      <c r="A2992" s="39">
        <v>2875</v>
      </c>
      <c r="B2992" s="40" t="s">
        <v>16953</v>
      </c>
      <c r="C2992" s="40" t="s">
        <v>16954</v>
      </c>
      <c r="D2992" s="40" t="s">
        <v>16955</v>
      </c>
      <c r="E2992" s="41">
        <v>45.86</v>
      </c>
      <c r="F2992" s="40"/>
      <c r="G2992" s="41"/>
      <c r="H2992" s="40"/>
      <c r="I2992" s="41"/>
      <c r="J2992" s="41">
        <f t="shared" si="11"/>
        <v>45.86</v>
      </c>
      <c r="K2992" s="42" t="s">
        <v>5796</v>
      </c>
      <c r="L2992" s="39">
        <v>2875</v>
      </c>
    </row>
    <row r="2993" spans="1:12" ht="11.25" customHeight="1">
      <c r="A2993" s="39">
        <v>2876</v>
      </c>
      <c r="B2993" s="40" t="s">
        <v>16956</v>
      </c>
      <c r="C2993" s="40" t="s">
        <v>16957</v>
      </c>
      <c r="D2993" s="40" t="s">
        <v>16958</v>
      </c>
      <c r="E2993" s="41">
        <v>45.85</v>
      </c>
      <c r="F2993" s="40"/>
      <c r="G2993" s="41"/>
      <c r="H2993" s="40"/>
      <c r="I2993" s="41"/>
      <c r="J2993" s="41">
        <f t="shared" si="11"/>
        <v>45.85</v>
      </c>
      <c r="K2993" s="42" t="s">
        <v>5796</v>
      </c>
      <c r="L2993" s="39">
        <v>2876</v>
      </c>
    </row>
    <row r="2994" spans="1:12" ht="11.25" customHeight="1">
      <c r="A2994" s="39">
        <v>2877</v>
      </c>
      <c r="B2994" s="40" t="s">
        <v>8848</v>
      </c>
      <c r="C2994" s="40" t="s">
        <v>16959</v>
      </c>
      <c r="D2994" s="40" t="s">
        <v>16960</v>
      </c>
      <c r="E2994" s="41">
        <v>45.79</v>
      </c>
      <c r="F2994" s="40"/>
      <c r="G2994" s="41"/>
      <c r="H2994" s="40"/>
      <c r="I2994" s="41"/>
      <c r="J2994" s="41">
        <f t="shared" si="11"/>
        <v>45.79</v>
      </c>
      <c r="K2994" s="42" t="s">
        <v>5796</v>
      </c>
      <c r="L2994" s="39">
        <v>2877</v>
      </c>
    </row>
    <row r="2995" spans="1:12" ht="11.25" customHeight="1">
      <c r="A2995" s="39">
        <v>2879</v>
      </c>
      <c r="B2995" s="40" t="s">
        <v>16961</v>
      </c>
      <c r="C2995" s="40" t="s">
        <v>16962</v>
      </c>
      <c r="D2995" s="40" t="s">
        <v>7004</v>
      </c>
      <c r="E2995" s="41">
        <v>45.46</v>
      </c>
      <c r="F2995" s="40"/>
      <c r="G2995" s="41"/>
      <c r="H2995" s="40"/>
      <c r="I2995" s="41"/>
      <c r="J2995" s="41">
        <f t="shared" si="11"/>
        <v>45.46</v>
      </c>
      <c r="K2995" s="42" t="s">
        <v>5796</v>
      </c>
      <c r="L2995" s="39">
        <v>2879</v>
      </c>
    </row>
    <row r="2996" spans="1:12" ht="11.25" customHeight="1">
      <c r="A2996" s="39">
        <v>2880</v>
      </c>
      <c r="B2996" s="40" t="s">
        <v>16963</v>
      </c>
      <c r="C2996" s="40" t="s">
        <v>16964</v>
      </c>
      <c r="D2996" s="40" t="s">
        <v>16965</v>
      </c>
      <c r="E2996" s="41">
        <v>45.43</v>
      </c>
      <c r="F2996" s="40"/>
      <c r="G2996" s="41"/>
      <c r="H2996" s="40"/>
      <c r="I2996" s="41"/>
      <c r="J2996" s="41">
        <f t="shared" si="11"/>
        <v>45.43</v>
      </c>
      <c r="K2996" s="42" t="s">
        <v>5796</v>
      </c>
      <c r="L2996" s="39">
        <v>2880</v>
      </c>
    </row>
    <row r="2997" spans="1:12" ht="11.25" customHeight="1">
      <c r="A2997" s="39">
        <v>2881</v>
      </c>
      <c r="B2997" s="40" t="s">
        <v>16966</v>
      </c>
      <c r="C2997" s="40" t="s">
        <v>16967</v>
      </c>
      <c r="D2997" s="40" t="s">
        <v>16968</v>
      </c>
      <c r="E2997" s="41">
        <v>45.39</v>
      </c>
      <c r="F2997" s="40"/>
      <c r="G2997" s="41"/>
      <c r="H2997" s="40"/>
      <c r="I2997" s="41"/>
      <c r="J2997" s="41">
        <f t="shared" si="11"/>
        <v>45.39</v>
      </c>
      <c r="K2997" s="42" t="s">
        <v>5796</v>
      </c>
      <c r="L2997" s="39">
        <v>2881</v>
      </c>
    </row>
    <row r="2998" spans="1:12" ht="11.25" customHeight="1">
      <c r="A2998" s="39">
        <v>2882</v>
      </c>
      <c r="B2998" s="40" t="s">
        <v>16969</v>
      </c>
      <c r="C2998" s="40" t="s">
        <v>16970</v>
      </c>
      <c r="D2998" s="40" t="s">
        <v>16971</v>
      </c>
      <c r="E2998" s="41">
        <v>45.35</v>
      </c>
      <c r="F2998" s="40"/>
      <c r="G2998" s="41"/>
      <c r="H2998" s="40"/>
      <c r="I2998" s="41"/>
      <c r="J2998" s="41">
        <f t="shared" si="11"/>
        <v>45.35</v>
      </c>
      <c r="K2998" s="42" t="s">
        <v>5796</v>
      </c>
      <c r="L2998" s="39">
        <v>2882</v>
      </c>
    </row>
    <row r="2999" spans="1:12" ht="11.25" customHeight="1">
      <c r="A2999" s="39">
        <v>2883</v>
      </c>
      <c r="B2999" s="40" t="s">
        <v>16972</v>
      </c>
      <c r="C2999" s="40" t="s">
        <v>16973</v>
      </c>
      <c r="D2999" s="40" t="s">
        <v>16974</v>
      </c>
      <c r="E2999" s="41">
        <v>45.34</v>
      </c>
      <c r="F2999" s="40"/>
      <c r="G2999" s="41"/>
      <c r="H2999" s="40"/>
      <c r="I2999" s="41"/>
      <c r="J2999" s="41">
        <f t="shared" si="11"/>
        <v>45.34</v>
      </c>
      <c r="K2999" s="42" t="s">
        <v>5796</v>
      </c>
      <c r="L2999" s="39">
        <v>2883</v>
      </c>
    </row>
    <row r="3000" spans="1:12" ht="11.25" customHeight="1">
      <c r="A3000" s="39">
        <v>2885</v>
      </c>
      <c r="B3000" s="40" t="s">
        <v>16975</v>
      </c>
      <c r="C3000" s="40" t="s">
        <v>16976</v>
      </c>
      <c r="D3000" s="40" t="s">
        <v>16977</v>
      </c>
      <c r="E3000" s="41">
        <v>45.25</v>
      </c>
      <c r="F3000" s="40"/>
      <c r="G3000" s="41"/>
      <c r="H3000" s="40"/>
      <c r="I3000" s="41"/>
      <c r="J3000" s="41">
        <f t="shared" si="11"/>
        <v>45.25</v>
      </c>
      <c r="K3000" s="42" t="s">
        <v>5796</v>
      </c>
      <c r="L3000" s="39">
        <v>2885</v>
      </c>
    </row>
    <row r="3001" spans="1:12" ht="11.25" customHeight="1">
      <c r="A3001" s="39">
        <v>2886</v>
      </c>
      <c r="B3001" s="40" t="s">
        <v>16978</v>
      </c>
      <c r="C3001" s="40" t="s">
        <v>16979</v>
      </c>
      <c r="D3001" s="40" t="s">
        <v>16980</v>
      </c>
      <c r="E3001" s="41">
        <v>45.24</v>
      </c>
      <c r="F3001" s="40"/>
      <c r="G3001" s="41"/>
      <c r="H3001" s="40"/>
      <c r="I3001" s="41"/>
      <c r="J3001" s="41">
        <f t="shared" si="11"/>
        <v>45.24</v>
      </c>
      <c r="K3001" s="42" t="s">
        <v>5796</v>
      </c>
      <c r="L3001" s="39">
        <v>2886</v>
      </c>
    </row>
    <row r="3002" spans="1:12" ht="11.25" customHeight="1">
      <c r="A3002" s="39">
        <v>2888</v>
      </c>
      <c r="B3002" s="40" t="s">
        <v>16981</v>
      </c>
      <c r="C3002" s="40" t="s">
        <v>16982</v>
      </c>
      <c r="D3002" s="40" t="s">
        <v>16983</v>
      </c>
      <c r="E3002" s="41">
        <v>45.18</v>
      </c>
      <c r="F3002" s="40"/>
      <c r="G3002" s="41"/>
      <c r="H3002" s="40"/>
      <c r="I3002" s="41"/>
      <c r="J3002" s="41">
        <f t="shared" si="11"/>
        <v>45.18</v>
      </c>
      <c r="K3002" s="42" t="s">
        <v>5796</v>
      </c>
      <c r="L3002" s="39">
        <v>2888</v>
      </c>
    </row>
    <row r="3003" spans="1:12" ht="11.25" customHeight="1">
      <c r="A3003" s="39">
        <v>2891</v>
      </c>
      <c r="B3003" s="40" t="s">
        <v>16984</v>
      </c>
      <c r="C3003" s="40" t="s">
        <v>16985</v>
      </c>
      <c r="D3003" s="40" t="s">
        <v>16986</v>
      </c>
      <c r="E3003" s="41">
        <v>44.85</v>
      </c>
      <c r="F3003" s="40"/>
      <c r="G3003" s="41"/>
      <c r="H3003" s="40"/>
      <c r="I3003" s="41"/>
      <c r="J3003" s="41">
        <f t="shared" si="11"/>
        <v>44.85</v>
      </c>
      <c r="K3003" s="42" t="s">
        <v>5796</v>
      </c>
      <c r="L3003" s="39">
        <v>2891</v>
      </c>
    </row>
    <row r="3004" spans="1:12" ht="11.25" customHeight="1">
      <c r="A3004" s="39">
        <v>2892</v>
      </c>
      <c r="B3004" s="40" t="s">
        <v>16987</v>
      </c>
      <c r="C3004" s="40" t="s">
        <v>16988</v>
      </c>
      <c r="D3004" s="40" t="s">
        <v>16989</v>
      </c>
      <c r="E3004" s="41">
        <v>44.85</v>
      </c>
      <c r="F3004" s="40"/>
      <c r="G3004" s="41"/>
      <c r="H3004" s="40"/>
      <c r="I3004" s="41"/>
      <c r="J3004" s="41">
        <f t="shared" si="11"/>
        <v>44.85</v>
      </c>
      <c r="K3004" s="42" t="s">
        <v>5796</v>
      </c>
      <c r="L3004" s="39">
        <v>2892</v>
      </c>
    </row>
    <row r="3005" spans="1:12" ht="11.25" customHeight="1">
      <c r="A3005" s="39">
        <v>2894</v>
      </c>
      <c r="B3005" s="40" t="s">
        <v>16990</v>
      </c>
      <c r="C3005" s="40" t="s">
        <v>16991</v>
      </c>
      <c r="D3005" s="40" t="s">
        <v>16992</v>
      </c>
      <c r="E3005" s="41">
        <v>44.82</v>
      </c>
      <c r="F3005" s="40"/>
      <c r="G3005" s="41"/>
      <c r="H3005" s="40"/>
      <c r="I3005" s="41"/>
      <c r="J3005" s="41">
        <f t="shared" si="11"/>
        <v>44.82</v>
      </c>
      <c r="K3005" s="42" t="s">
        <v>5796</v>
      </c>
      <c r="L3005" s="39">
        <v>2894</v>
      </c>
    </row>
    <row r="3006" spans="1:12" ht="11.25" customHeight="1">
      <c r="A3006" s="39">
        <v>2895</v>
      </c>
      <c r="B3006" s="40" t="s">
        <v>8246</v>
      </c>
      <c r="C3006" s="40" t="s">
        <v>16993</v>
      </c>
      <c r="D3006" s="40" t="s">
        <v>16994</v>
      </c>
      <c r="E3006" s="41">
        <v>44.804220999999963</v>
      </c>
      <c r="F3006" s="40"/>
      <c r="G3006" s="41"/>
      <c r="H3006" s="40"/>
      <c r="I3006" s="41"/>
      <c r="J3006" s="41">
        <f t="shared" si="11"/>
        <v>44.804220999999963</v>
      </c>
      <c r="K3006" s="42" t="s">
        <v>5796</v>
      </c>
      <c r="L3006" s="39">
        <v>2895</v>
      </c>
    </row>
    <row r="3007" spans="1:12" ht="11.25" customHeight="1">
      <c r="A3007" s="39">
        <v>2896</v>
      </c>
      <c r="B3007" s="40" t="s">
        <v>16995</v>
      </c>
      <c r="C3007" s="40" t="s">
        <v>16996</v>
      </c>
      <c r="D3007" s="40" t="s">
        <v>16997</v>
      </c>
      <c r="E3007" s="41">
        <v>44.78</v>
      </c>
      <c r="F3007" s="40"/>
      <c r="G3007" s="41"/>
      <c r="H3007" s="40"/>
      <c r="I3007" s="41"/>
      <c r="J3007" s="41">
        <f t="shared" si="11"/>
        <v>44.78</v>
      </c>
      <c r="K3007" s="42" t="s">
        <v>5796</v>
      </c>
      <c r="L3007" s="39">
        <v>2896</v>
      </c>
    </row>
    <row r="3008" spans="1:12" ht="11.25" customHeight="1">
      <c r="A3008" s="39">
        <v>2897</v>
      </c>
      <c r="B3008" s="40" t="s">
        <v>16998</v>
      </c>
      <c r="C3008" s="40" t="s">
        <v>16999</v>
      </c>
      <c r="D3008" s="40" t="s">
        <v>17000</v>
      </c>
      <c r="E3008" s="41">
        <v>44.49</v>
      </c>
      <c r="F3008" s="40"/>
      <c r="G3008" s="41"/>
      <c r="H3008" s="40"/>
      <c r="I3008" s="41"/>
      <c r="J3008" s="41">
        <f t="shared" si="11"/>
        <v>44.49</v>
      </c>
      <c r="K3008" s="42" t="s">
        <v>5796</v>
      </c>
      <c r="L3008" s="39">
        <v>2897</v>
      </c>
    </row>
    <row r="3009" spans="1:12" ht="11.25" customHeight="1">
      <c r="A3009" s="39">
        <v>2898</v>
      </c>
      <c r="B3009" s="40" t="s">
        <v>17001</v>
      </c>
      <c r="C3009" s="40" t="s">
        <v>17002</v>
      </c>
      <c r="D3009" s="40" t="s">
        <v>17003</v>
      </c>
      <c r="E3009" s="41">
        <v>44.49</v>
      </c>
      <c r="F3009" s="40"/>
      <c r="G3009" s="41"/>
      <c r="H3009" s="40"/>
      <c r="I3009" s="41"/>
      <c r="J3009" s="41">
        <f t="shared" si="11"/>
        <v>44.49</v>
      </c>
      <c r="K3009" s="42" t="s">
        <v>5796</v>
      </c>
      <c r="L3009" s="39">
        <v>2898</v>
      </c>
    </row>
    <row r="3010" spans="1:12" ht="11.25" customHeight="1">
      <c r="A3010" s="39">
        <v>2899</v>
      </c>
      <c r="B3010" s="40" t="s">
        <v>17004</v>
      </c>
      <c r="C3010" s="40" t="s">
        <v>17005</v>
      </c>
      <c r="D3010" s="40" t="s">
        <v>17006</v>
      </c>
      <c r="E3010" s="41">
        <v>44.48</v>
      </c>
      <c r="F3010" s="40"/>
      <c r="G3010" s="41"/>
      <c r="H3010" s="40"/>
      <c r="I3010" s="41"/>
      <c r="J3010" s="41">
        <f t="shared" si="11"/>
        <v>44.48</v>
      </c>
      <c r="K3010" s="42" t="s">
        <v>5796</v>
      </c>
      <c r="L3010" s="39">
        <v>2899</v>
      </c>
    </row>
    <row r="3011" spans="1:12" ht="11.25" customHeight="1">
      <c r="A3011" s="39">
        <v>2900</v>
      </c>
      <c r="B3011" s="40" t="s">
        <v>17007</v>
      </c>
      <c r="C3011" s="40" t="s">
        <v>17008</v>
      </c>
      <c r="D3011" s="40" t="s">
        <v>17009</v>
      </c>
      <c r="E3011" s="41">
        <v>44.22</v>
      </c>
      <c r="F3011" s="40"/>
      <c r="G3011" s="41"/>
      <c r="H3011" s="40"/>
      <c r="I3011" s="41"/>
      <c r="J3011" s="41">
        <f t="shared" si="11"/>
        <v>44.22</v>
      </c>
      <c r="K3011" s="42" t="s">
        <v>5796</v>
      </c>
      <c r="L3011" s="39">
        <v>2900</v>
      </c>
    </row>
    <row r="3012" spans="1:12" ht="11.25" customHeight="1">
      <c r="A3012" s="39">
        <v>2901</v>
      </c>
      <c r="B3012" s="40" t="s">
        <v>17010</v>
      </c>
      <c r="C3012" s="40" t="s">
        <v>17011</v>
      </c>
      <c r="D3012" s="40" t="s">
        <v>4837</v>
      </c>
      <c r="E3012" s="41">
        <v>44.11</v>
      </c>
      <c r="F3012" s="40"/>
      <c r="G3012" s="41"/>
      <c r="H3012" s="40"/>
      <c r="I3012" s="41"/>
      <c r="J3012" s="41">
        <f t="shared" si="11"/>
        <v>44.11</v>
      </c>
      <c r="K3012" s="42" t="s">
        <v>5796</v>
      </c>
      <c r="L3012" s="39">
        <v>2901</v>
      </c>
    </row>
    <row r="3013" spans="1:12" ht="11.25" customHeight="1">
      <c r="A3013" s="39">
        <v>2902</v>
      </c>
      <c r="B3013" s="40" t="s">
        <v>7791</v>
      </c>
      <c r="C3013" s="40" t="s">
        <v>17012</v>
      </c>
      <c r="D3013" s="40" t="s">
        <v>17013</v>
      </c>
      <c r="E3013" s="41">
        <v>44.08</v>
      </c>
      <c r="F3013" s="40"/>
      <c r="G3013" s="41"/>
      <c r="H3013" s="40"/>
      <c r="I3013" s="41"/>
      <c r="J3013" s="41">
        <f t="shared" si="11"/>
        <v>44.08</v>
      </c>
      <c r="K3013" s="42" t="s">
        <v>5796</v>
      </c>
      <c r="L3013" s="39">
        <v>2902</v>
      </c>
    </row>
    <row r="3014" spans="1:12" ht="11.25" customHeight="1">
      <c r="A3014" s="39">
        <v>2903</v>
      </c>
      <c r="B3014" s="40" t="s">
        <v>17014</v>
      </c>
      <c r="C3014" s="40" t="s">
        <v>17015</v>
      </c>
      <c r="D3014" s="40" t="s">
        <v>17016</v>
      </c>
      <c r="E3014" s="41">
        <v>44.06</v>
      </c>
      <c r="F3014" s="40"/>
      <c r="G3014" s="41"/>
      <c r="H3014" s="40"/>
      <c r="I3014" s="41"/>
      <c r="J3014" s="41">
        <f t="shared" si="11"/>
        <v>44.06</v>
      </c>
      <c r="K3014" s="42" t="s">
        <v>5796</v>
      </c>
      <c r="L3014" s="39">
        <v>2903</v>
      </c>
    </row>
    <row r="3015" spans="1:12" ht="11.25" customHeight="1">
      <c r="A3015" s="39">
        <v>2904</v>
      </c>
      <c r="B3015" s="40" t="s">
        <v>17017</v>
      </c>
      <c r="C3015" s="40" t="s">
        <v>17018</v>
      </c>
      <c r="D3015" s="40" t="s">
        <v>17019</v>
      </c>
      <c r="E3015" s="41">
        <v>43.99</v>
      </c>
      <c r="F3015" s="40"/>
      <c r="G3015" s="41"/>
      <c r="H3015" s="40"/>
      <c r="I3015" s="41"/>
      <c r="J3015" s="41">
        <f t="shared" si="11"/>
        <v>43.99</v>
      </c>
      <c r="K3015" s="42" t="s">
        <v>5796</v>
      </c>
      <c r="L3015" s="39">
        <v>2904</v>
      </c>
    </row>
    <row r="3016" spans="1:12" ht="11.25" customHeight="1">
      <c r="A3016" s="39">
        <v>2905</v>
      </c>
      <c r="B3016" s="40" t="s">
        <v>7771</v>
      </c>
      <c r="C3016" s="40" t="s">
        <v>17020</v>
      </c>
      <c r="D3016" s="40" t="s">
        <v>17021</v>
      </c>
      <c r="E3016" s="41">
        <v>43.89</v>
      </c>
      <c r="F3016" s="40"/>
      <c r="G3016" s="41"/>
      <c r="H3016" s="40"/>
      <c r="I3016" s="41"/>
      <c r="J3016" s="41">
        <f t="shared" si="11"/>
        <v>43.89</v>
      </c>
      <c r="K3016" s="42" t="s">
        <v>5796</v>
      </c>
      <c r="L3016" s="39">
        <v>2905</v>
      </c>
    </row>
    <row r="3017" spans="1:12" ht="11.25" customHeight="1">
      <c r="A3017" s="39">
        <v>2906</v>
      </c>
      <c r="B3017" s="40" t="s">
        <v>17022</v>
      </c>
      <c r="C3017" s="40" t="s">
        <v>17023</v>
      </c>
      <c r="D3017" s="40" t="s">
        <v>17024</v>
      </c>
      <c r="E3017" s="41">
        <v>43.82</v>
      </c>
      <c r="F3017" s="40"/>
      <c r="G3017" s="41"/>
      <c r="H3017" s="40"/>
      <c r="I3017" s="41"/>
      <c r="J3017" s="41">
        <f t="shared" si="11"/>
        <v>43.82</v>
      </c>
      <c r="K3017" s="42" t="s">
        <v>5796</v>
      </c>
      <c r="L3017" s="39">
        <v>2906</v>
      </c>
    </row>
    <row r="3018" spans="1:12" ht="11.25" customHeight="1">
      <c r="A3018" s="39">
        <v>2909</v>
      </c>
      <c r="B3018" s="40" t="s">
        <v>17025</v>
      </c>
      <c r="C3018" s="40" t="s">
        <v>17026</v>
      </c>
      <c r="D3018" s="40" t="s">
        <v>17027</v>
      </c>
      <c r="E3018" s="41">
        <v>43.68</v>
      </c>
      <c r="F3018" s="40"/>
      <c r="G3018" s="41"/>
      <c r="H3018" s="40"/>
      <c r="I3018" s="41"/>
      <c r="J3018" s="41">
        <f t="shared" si="11"/>
        <v>43.68</v>
      </c>
      <c r="K3018" s="42" t="s">
        <v>5796</v>
      </c>
      <c r="L3018" s="39">
        <v>2909</v>
      </c>
    </row>
    <row r="3019" spans="1:12" ht="11.25" customHeight="1">
      <c r="A3019" s="39">
        <v>2910</v>
      </c>
      <c r="B3019" s="40" t="s">
        <v>17028</v>
      </c>
      <c r="C3019" s="40" t="s">
        <v>17029</v>
      </c>
      <c r="D3019" s="40" t="s">
        <v>17030</v>
      </c>
      <c r="E3019" s="41">
        <v>43.6</v>
      </c>
      <c r="F3019" s="40"/>
      <c r="G3019" s="41"/>
      <c r="H3019" s="40"/>
      <c r="I3019" s="41"/>
      <c r="J3019" s="41">
        <f t="shared" si="11"/>
        <v>43.6</v>
      </c>
      <c r="K3019" s="42" t="s">
        <v>5796</v>
      </c>
      <c r="L3019" s="39">
        <v>2910</v>
      </c>
    </row>
    <row r="3020" spans="1:12" ht="11.25" customHeight="1">
      <c r="A3020" s="39">
        <v>2911</v>
      </c>
      <c r="B3020" s="40" t="s">
        <v>17031</v>
      </c>
      <c r="C3020" s="40" t="s">
        <v>17032</v>
      </c>
      <c r="D3020" s="40" t="s">
        <v>17033</v>
      </c>
      <c r="E3020" s="41">
        <v>43.57</v>
      </c>
      <c r="F3020" s="40"/>
      <c r="G3020" s="41"/>
      <c r="H3020" s="40"/>
      <c r="I3020" s="41"/>
      <c r="J3020" s="41">
        <f t="shared" si="11"/>
        <v>43.57</v>
      </c>
      <c r="K3020" s="42" t="s">
        <v>5796</v>
      </c>
      <c r="L3020" s="39">
        <v>2911</v>
      </c>
    </row>
    <row r="3021" spans="1:12" ht="11.25" customHeight="1">
      <c r="A3021" s="39">
        <v>2912</v>
      </c>
      <c r="B3021" s="40" t="s">
        <v>17034</v>
      </c>
      <c r="C3021" s="40" t="s">
        <v>17035</v>
      </c>
      <c r="D3021" s="40" t="s">
        <v>17036</v>
      </c>
      <c r="E3021" s="41">
        <v>43.48</v>
      </c>
      <c r="F3021" s="40"/>
      <c r="G3021" s="41"/>
      <c r="H3021" s="40"/>
      <c r="I3021" s="41"/>
      <c r="J3021" s="41">
        <f t="shared" si="11"/>
        <v>43.48</v>
      </c>
      <c r="K3021" s="42" t="s">
        <v>5796</v>
      </c>
      <c r="L3021" s="39">
        <v>2912</v>
      </c>
    </row>
    <row r="3022" spans="1:12" ht="11.25" customHeight="1">
      <c r="A3022" s="39">
        <v>2913</v>
      </c>
      <c r="B3022" s="40" t="s">
        <v>17037</v>
      </c>
      <c r="C3022" s="40" t="s">
        <v>17038</v>
      </c>
      <c r="D3022" s="40" t="s">
        <v>17039</v>
      </c>
      <c r="E3022" s="41">
        <v>43.38</v>
      </c>
      <c r="F3022" s="40"/>
      <c r="G3022" s="41"/>
      <c r="H3022" s="40"/>
      <c r="I3022" s="41"/>
      <c r="J3022" s="41">
        <f t="shared" si="11"/>
        <v>43.38</v>
      </c>
      <c r="K3022" s="42" t="s">
        <v>5796</v>
      </c>
      <c r="L3022" s="39">
        <v>2913</v>
      </c>
    </row>
    <row r="3023" spans="1:12" ht="11.25" customHeight="1">
      <c r="A3023" s="39">
        <v>2914</v>
      </c>
      <c r="B3023" s="40" t="s">
        <v>17040</v>
      </c>
      <c r="C3023" s="40" t="s">
        <v>17041</v>
      </c>
      <c r="D3023" s="40" t="s">
        <v>17042</v>
      </c>
      <c r="E3023" s="41">
        <v>43.34</v>
      </c>
      <c r="F3023" s="40"/>
      <c r="G3023" s="41"/>
      <c r="H3023" s="40"/>
      <c r="I3023" s="41"/>
      <c r="J3023" s="41">
        <f t="shared" si="11"/>
        <v>43.34</v>
      </c>
      <c r="K3023" s="42" t="s">
        <v>5796</v>
      </c>
      <c r="L3023" s="39">
        <v>2914</v>
      </c>
    </row>
    <row r="3024" spans="1:12" ht="11.25" customHeight="1">
      <c r="A3024" s="39">
        <v>2915</v>
      </c>
      <c r="B3024" s="40" t="s">
        <v>8084</v>
      </c>
      <c r="C3024" s="40" t="s">
        <v>17043</v>
      </c>
      <c r="D3024" s="40" t="s">
        <v>17044</v>
      </c>
      <c r="E3024" s="41">
        <v>43.2</v>
      </c>
      <c r="F3024" s="40"/>
      <c r="G3024" s="41"/>
      <c r="H3024" s="40"/>
      <c r="I3024" s="41"/>
      <c r="J3024" s="41">
        <f t="shared" si="11"/>
        <v>43.2</v>
      </c>
      <c r="K3024" s="42" t="s">
        <v>5796</v>
      </c>
      <c r="L3024" s="39">
        <v>2915</v>
      </c>
    </row>
    <row r="3025" spans="1:12" ht="11.25" customHeight="1">
      <c r="A3025" s="39">
        <v>2916</v>
      </c>
      <c r="B3025" s="40" t="s">
        <v>17045</v>
      </c>
      <c r="C3025" s="40" t="s">
        <v>17046</v>
      </c>
      <c r="D3025" s="40" t="s">
        <v>17047</v>
      </c>
      <c r="E3025" s="41">
        <v>43.16</v>
      </c>
      <c r="F3025" s="40"/>
      <c r="G3025" s="41"/>
      <c r="H3025" s="40"/>
      <c r="I3025" s="41"/>
      <c r="J3025" s="41">
        <f t="shared" si="11"/>
        <v>43.16</v>
      </c>
      <c r="K3025" s="42" t="s">
        <v>5796</v>
      </c>
      <c r="L3025" s="39">
        <v>2916</v>
      </c>
    </row>
    <row r="3026" spans="1:12" ht="11.25" customHeight="1">
      <c r="A3026" s="39">
        <v>2917</v>
      </c>
      <c r="B3026" s="40" t="s">
        <v>8078</v>
      </c>
      <c r="C3026" s="40" t="s">
        <v>17048</v>
      </c>
      <c r="D3026" s="40" t="s">
        <v>17049</v>
      </c>
      <c r="E3026" s="41">
        <v>43.12</v>
      </c>
      <c r="F3026" s="40"/>
      <c r="G3026" s="41"/>
      <c r="H3026" s="40"/>
      <c r="I3026" s="41"/>
      <c r="J3026" s="41">
        <f t="shared" si="11"/>
        <v>43.12</v>
      </c>
      <c r="K3026" s="42" t="s">
        <v>5796</v>
      </c>
      <c r="L3026" s="39">
        <v>2917</v>
      </c>
    </row>
    <row r="3027" spans="1:12" ht="11.25" customHeight="1">
      <c r="A3027" s="39">
        <v>2919</v>
      </c>
      <c r="B3027" s="40" t="s">
        <v>17050</v>
      </c>
      <c r="C3027" s="40" t="s">
        <v>17051</v>
      </c>
      <c r="D3027" s="40" t="s">
        <v>17052</v>
      </c>
      <c r="E3027" s="41">
        <v>42.94</v>
      </c>
      <c r="F3027" s="40"/>
      <c r="G3027" s="41"/>
      <c r="H3027" s="40"/>
      <c r="I3027" s="41"/>
      <c r="J3027" s="41">
        <f t="shared" si="11"/>
        <v>42.94</v>
      </c>
      <c r="K3027" s="42" t="s">
        <v>5796</v>
      </c>
      <c r="L3027" s="39">
        <v>2919</v>
      </c>
    </row>
    <row r="3028" spans="1:12" ht="11.25" customHeight="1">
      <c r="A3028" s="39">
        <v>2921</v>
      </c>
      <c r="B3028" s="40" t="s">
        <v>8129</v>
      </c>
      <c r="C3028" s="40" t="s">
        <v>17053</v>
      </c>
      <c r="D3028" s="40" t="s">
        <v>17054</v>
      </c>
      <c r="E3028" s="41">
        <v>42.86</v>
      </c>
      <c r="F3028" s="40"/>
      <c r="G3028" s="41"/>
      <c r="H3028" s="40"/>
      <c r="I3028" s="41"/>
      <c r="J3028" s="41">
        <f t="shared" si="11"/>
        <v>42.86</v>
      </c>
      <c r="K3028" s="42" t="s">
        <v>5796</v>
      </c>
      <c r="L3028" s="39">
        <v>2921</v>
      </c>
    </row>
    <row r="3029" spans="1:12" ht="11.25" customHeight="1">
      <c r="A3029" s="39">
        <v>2922</v>
      </c>
      <c r="B3029" s="40" t="s">
        <v>17055</v>
      </c>
      <c r="C3029" s="40" t="s">
        <v>17056</v>
      </c>
      <c r="D3029" s="40" t="s">
        <v>17057</v>
      </c>
      <c r="E3029" s="41">
        <v>42.81</v>
      </c>
      <c r="F3029" s="40"/>
      <c r="G3029" s="41"/>
      <c r="H3029" s="40"/>
      <c r="I3029" s="41"/>
      <c r="J3029" s="41">
        <f t="shared" si="11"/>
        <v>42.81</v>
      </c>
      <c r="K3029" s="42" t="s">
        <v>5796</v>
      </c>
      <c r="L3029" s="39">
        <v>2922</v>
      </c>
    </row>
    <row r="3030" spans="1:12" ht="11.25" customHeight="1">
      <c r="A3030" s="39">
        <v>2923</v>
      </c>
      <c r="B3030" s="40" t="s">
        <v>17058</v>
      </c>
      <c r="C3030" s="40" t="s">
        <v>17059</v>
      </c>
      <c r="D3030" s="40" t="s">
        <v>17060</v>
      </c>
      <c r="E3030" s="41">
        <v>42.7</v>
      </c>
      <c r="F3030" s="40"/>
      <c r="G3030" s="41"/>
      <c r="H3030" s="40"/>
      <c r="I3030" s="41"/>
      <c r="J3030" s="41">
        <f t="shared" si="11"/>
        <v>42.7</v>
      </c>
      <c r="K3030" s="42" t="s">
        <v>5796</v>
      </c>
      <c r="L3030" s="39">
        <v>2923</v>
      </c>
    </row>
    <row r="3031" spans="1:12" ht="11.25" customHeight="1">
      <c r="A3031" s="39">
        <v>2924</v>
      </c>
      <c r="B3031" s="40" t="s">
        <v>17061</v>
      </c>
      <c r="C3031" s="40" t="s">
        <v>17062</v>
      </c>
      <c r="D3031" s="40" t="s">
        <v>17063</v>
      </c>
      <c r="E3031" s="41">
        <v>42.68</v>
      </c>
      <c r="F3031" s="40"/>
      <c r="G3031" s="41"/>
      <c r="H3031" s="40"/>
      <c r="I3031" s="41"/>
      <c r="J3031" s="41">
        <f t="shared" si="11"/>
        <v>42.68</v>
      </c>
      <c r="K3031" s="42" t="s">
        <v>5796</v>
      </c>
      <c r="L3031" s="39">
        <v>2924</v>
      </c>
    </row>
    <row r="3032" spans="1:12" ht="11.25" customHeight="1">
      <c r="A3032" s="39">
        <v>2926</v>
      </c>
      <c r="B3032" s="40" t="s">
        <v>17064</v>
      </c>
      <c r="C3032" s="40" t="s">
        <v>17065</v>
      </c>
      <c r="D3032" s="40" t="s">
        <v>17066</v>
      </c>
      <c r="E3032" s="41">
        <v>42.66</v>
      </c>
      <c r="F3032" s="40"/>
      <c r="G3032" s="41"/>
      <c r="H3032" s="40"/>
      <c r="I3032" s="41"/>
      <c r="J3032" s="41">
        <f t="shared" si="11"/>
        <v>42.66</v>
      </c>
      <c r="K3032" s="42" t="s">
        <v>5796</v>
      </c>
      <c r="L3032" s="39">
        <v>2926</v>
      </c>
    </row>
    <row r="3033" spans="1:12" ht="11.25" customHeight="1">
      <c r="A3033" s="39">
        <v>2927</v>
      </c>
      <c r="B3033" s="40" t="s">
        <v>8132</v>
      </c>
      <c r="C3033" s="40" t="s">
        <v>17067</v>
      </c>
      <c r="D3033" s="40" t="s">
        <v>17068</v>
      </c>
      <c r="E3033" s="41">
        <v>42.65</v>
      </c>
      <c r="F3033" s="40"/>
      <c r="G3033" s="41"/>
      <c r="H3033" s="40"/>
      <c r="I3033" s="41"/>
      <c r="J3033" s="41">
        <f t="shared" si="11"/>
        <v>42.65</v>
      </c>
      <c r="K3033" s="42" t="s">
        <v>5796</v>
      </c>
      <c r="L3033" s="39">
        <v>2927</v>
      </c>
    </row>
    <row r="3034" spans="1:12" ht="11.25" customHeight="1">
      <c r="A3034" s="39">
        <v>2928</v>
      </c>
      <c r="B3034" s="40" t="s">
        <v>17069</v>
      </c>
      <c r="C3034" s="40" t="s">
        <v>17070</v>
      </c>
      <c r="D3034" s="40" t="s">
        <v>17071</v>
      </c>
      <c r="E3034" s="41">
        <v>42.53</v>
      </c>
      <c r="F3034" s="40"/>
      <c r="G3034" s="41"/>
      <c r="H3034" s="40"/>
      <c r="I3034" s="41"/>
      <c r="J3034" s="41">
        <f t="shared" si="11"/>
        <v>42.53</v>
      </c>
      <c r="K3034" s="42" t="s">
        <v>5796</v>
      </c>
      <c r="L3034" s="39">
        <v>2928</v>
      </c>
    </row>
    <row r="3035" spans="1:12" ht="11.25" customHeight="1">
      <c r="A3035" s="39">
        <v>2930</v>
      </c>
      <c r="B3035" s="40" t="s">
        <v>17072</v>
      </c>
      <c r="C3035" s="40" t="s">
        <v>17073</v>
      </c>
      <c r="D3035" s="40" t="s">
        <v>17074</v>
      </c>
      <c r="E3035" s="41">
        <v>42.44</v>
      </c>
      <c r="F3035" s="40"/>
      <c r="G3035" s="41"/>
      <c r="H3035" s="40"/>
      <c r="I3035" s="41"/>
      <c r="J3035" s="41">
        <f t="shared" si="11"/>
        <v>42.44</v>
      </c>
      <c r="K3035" s="42" t="s">
        <v>5796</v>
      </c>
      <c r="L3035" s="39">
        <v>2930</v>
      </c>
    </row>
    <row r="3036" spans="1:12" ht="11.25" customHeight="1">
      <c r="A3036" s="39">
        <v>2931</v>
      </c>
      <c r="B3036" s="40" t="s">
        <v>17075</v>
      </c>
      <c r="C3036" s="40" t="s">
        <v>17076</v>
      </c>
      <c r="D3036" s="40" t="s">
        <v>17077</v>
      </c>
      <c r="E3036" s="41">
        <v>42.35</v>
      </c>
      <c r="F3036" s="40"/>
      <c r="G3036" s="41"/>
      <c r="H3036" s="40"/>
      <c r="I3036" s="41"/>
      <c r="J3036" s="41">
        <f t="shared" si="11"/>
        <v>42.35</v>
      </c>
      <c r="K3036" s="42" t="s">
        <v>5796</v>
      </c>
      <c r="L3036" s="39">
        <v>2931</v>
      </c>
    </row>
    <row r="3037" spans="1:12" ht="11.25" customHeight="1">
      <c r="A3037" s="39">
        <v>2932</v>
      </c>
      <c r="B3037" s="40" t="s">
        <v>17078</v>
      </c>
      <c r="C3037" s="40" t="s">
        <v>17079</v>
      </c>
      <c r="D3037" s="40" t="s">
        <v>17080</v>
      </c>
      <c r="E3037" s="41">
        <v>42.22</v>
      </c>
      <c r="F3037" s="40"/>
      <c r="G3037" s="41"/>
      <c r="H3037" s="40"/>
      <c r="I3037" s="41"/>
      <c r="J3037" s="41">
        <f t="shared" si="11"/>
        <v>42.22</v>
      </c>
      <c r="K3037" s="42" t="s">
        <v>5796</v>
      </c>
      <c r="L3037" s="39">
        <v>2932</v>
      </c>
    </row>
    <row r="3038" spans="1:12" ht="11.25" customHeight="1">
      <c r="A3038" s="39">
        <v>2933</v>
      </c>
      <c r="B3038" s="40" t="s">
        <v>17081</v>
      </c>
      <c r="C3038" s="40" t="s">
        <v>17082</v>
      </c>
      <c r="D3038" s="40" t="s">
        <v>17083</v>
      </c>
      <c r="E3038" s="41">
        <v>42.02282675</v>
      </c>
      <c r="F3038" s="40"/>
      <c r="G3038" s="41"/>
      <c r="H3038" s="40"/>
      <c r="I3038" s="41"/>
      <c r="J3038" s="41">
        <f t="shared" si="11"/>
        <v>42.02282675</v>
      </c>
      <c r="K3038" s="42" t="s">
        <v>5796</v>
      </c>
      <c r="L3038" s="39">
        <v>2933</v>
      </c>
    </row>
    <row r="3039" spans="1:12" ht="11.25" customHeight="1">
      <c r="A3039" s="39">
        <v>2934</v>
      </c>
      <c r="B3039" s="40" t="s">
        <v>17084</v>
      </c>
      <c r="C3039" s="40" t="s">
        <v>17085</v>
      </c>
      <c r="D3039" s="40" t="s">
        <v>17086</v>
      </c>
      <c r="E3039" s="41">
        <v>41.96</v>
      </c>
      <c r="F3039" s="40"/>
      <c r="G3039" s="41"/>
      <c r="H3039" s="40"/>
      <c r="I3039" s="41"/>
      <c r="J3039" s="41">
        <f t="shared" si="11"/>
        <v>41.96</v>
      </c>
      <c r="K3039" s="42" t="s">
        <v>5796</v>
      </c>
      <c r="L3039" s="39">
        <v>2934</v>
      </c>
    </row>
    <row r="3040" spans="1:12" ht="11.25" customHeight="1">
      <c r="A3040" s="39">
        <v>2935</v>
      </c>
      <c r="B3040" s="40" t="s">
        <v>17087</v>
      </c>
      <c r="C3040" s="40" t="s">
        <v>17088</v>
      </c>
      <c r="D3040" s="40" t="s">
        <v>17089</v>
      </c>
      <c r="E3040" s="41">
        <v>41.8</v>
      </c>
      <c r="F3040" s="40"/>
      <c r="G3040" s="41"/>
      <c r="H3040" s="40"/>
      <c r="I3040" s="41"/>
      <c r="J3040" s="41">
        <f t="shared" si="11"/>
        <v>41.8</v>
      </c>
      <c r="K3040" s="42" t="s">
        <v>5796</v>
      </c>
      <c r="L3040" s="39">
        <v>2935</v>
      </c>
    </row>
    <row r="3041" spans="1:12" ht="11.25" customHeight="1">
      <c r="A3041" s="39">
        <v>2936</v>
      </c>
      <c r="B3041" s="40" t="s">
        <v>17090</v>
      </c>
      <c r="C3041" s="40" t="s">
        <v>17091</v>
      </c>
      <c r="D3041" s="40" t="s">
        <v>17092</v>
      </c>
      <c r="E3041" s="41">
        <v>41.77</v>
      </c>
      <c r="F3041" s="40"/>
      <c r="G3041" s="41"/>
      <c r="H3041" s="40"/>
      <c r="I3041" s="41"/>
      <c r="J3041" s="41">
        <f t="shared" si="11"/>
        <v>41.77</v>
      </c>
      <c r="K3041" s="42" t="s">
        <v>5796</v>
      </c>
      <c r="L3041" s="39">
        <v>2936</v>
      </c>
    </row>
    <row r="3042" spans="1:12" ht="11.25" customHeight="1">
      <c r="A3042" s="39">
        <v>2937</v>
      </c>
      <c r="B3042" s="40" t="s">
        <v>17093</v>
      </c>
      <c r="C3042" s="40" t="s">
        <v>17094</v>
      </c>
      <c r="D3042" s="40" t="s">
        <v>17095</v>
      </c>
      <c r="E3042" s="41">
        <v>41.77</v>
      </c>
      <c r="F3042" s="40"/>
      <c r="G3042" s="41"/>
      <c r="H3042" s="40"/>
      <c r="I3042" s="41"/>
      <c r="J3042" s="41">
        <f t="shared" si="11"/>
        <v>41.77</v>
      </c>
      <c r="K3042" s="42" t="s">
        <v>5796</v>
      </c>
      <c r="L3042" s="39">
        <v>2937</v>
      </c>
    </row>
    <row r="3043" spans="1:12" ht="11.25" customHeight="1">
      <c r="A3043" s="39">
        <v>2938</v>
      </c>
      <c r="B3043" s="40" t="s">
        <v>17096</v>
      </c>
      <c r="C3043" s="40" t="s">
        <v>17097</v>
      </c>
      <c r="D3043" s="40" t="s">
        <v>17098</v>
      </c>
      <c r="E3043" s="41">
        <v>41.73</v>
      </c>
      <c r="F3043" s="40"/>
      <c r="G3043" s="41"/>
      <c r="H3043" s="40"/>
      <c r="I3043" s="41"/>
      <c r="J3043" s="41">
        <f t="shared" si="11"/>
        <v>41.73</v>
      </c>
      <c r="K3043" s="42" t="s">
        <v>5796</v>
      </c>
      <c r="L3043" s="39">
        <v>2938</v>
      </c>
    </row>
    <row r="3044" spans="1:12" ht="11.25" customHeight="1">
      <c r="A3044" s="39">
        <v>2939</v>
      </c>
      <c r="B3044" s="40" t="s">
        <v>17099</v>
      </c>
      <c r="C3044" s="40" t="s">
        <v>17100</v>
      </c>
      <c r="D3044" s="40" t="s">
        <v>17101</v>
      </c>
      <c r="E3044" s="41">
        <v>41.73</v>
      </c>
      <c r="F3044" s="40"/>
      <c r="G3044" s="41"/>
      <c r="H3044" s="40"/>
      <c r="I3044" s="41"/>
      <c r="J3044" s="41">
        <f t="shared" si="11"/>
        <v>41.73</v>
      </c>
      <c r="K3044" s="42" t="s">
        <v>5796</v>
      </c>
      <c r="L3044" s="39">
        <v>2939</v>
      </c>
    </row>
    <row r="3045" spans="1:12" ht="11.25" customHeight="1">
      <c r="A3045" s="39">
        <v>2940</v>
      </c>
      <c r="B3045" s="40" t="s">
        <v>17102</v>
      </c>
      <c r="C3045" s="40" t="s">
        <v>17103</v>
      </c>
      <c r="D3045" s="40" t="s">
        <v>17104</v>
      </c>
      <c r="E3045" s="41">
        <v>41.69</v>
      </c>
      <c r="F3045" s="40"/>
      <c r="G3045" s="41"/>
      <c r="H3045" s="40"/>
      <c r="I3045" s="41"/>
      <c r="J3045" s="41">
        <f t="shared" si="11"/>
        <v>41.69</v>
      </c>
      <c r="K3045" s="42" t="s">
        <v>5796</v>
      </c>
      <c r="L3045" s="39">
        <v>2940</v>
      </c>
    </row>
    <row r="3046" spans="1:12" ht="11.25" customHeight="1">
      <c r="A3046" s="39">
        <v>2941</v>
      </c>
      <c r="B3046" s="40" t="s">
        <v>17105</v>
      </c>
      <c r="C3046" s="40" t="s">
        <v>17106</v>
      </c>
      <c r="D3046" s="40" t="s">
        <v>17107</v>
      </c>
      <c r="E3046" s="41">
        <v>41.61</v>
      </c>
      <c r="F3046" s="40"/>
      <c r="G3046" s="41"/>
      <c r="H3046" s="40"/>
      <c r="I3046" s="41"/>
      <c r="J3046" s="41">
        <f t="shared" si="11"/>
        <v>41.61</v>
      </c>
      <c r="K3046" s="42" t="s">
        <v>5796</v>
      </c>
      <c r="L3046" s="39">
        <v>2941</v>
      </c>
    </row>
    <row r="3047" spans="1:12" ht="11.25" customHeight="1">
      <c r="A3047" s="39">
        <v>2942</v>
      </c>
      <c r="B3047" s="40" t="s">
        <v>17108</v>
      </c>
      <c r="C3047" s="40" t="s">
        <v>17109</v>
      </c>
      <c r="D3047" s="40" t="s">
        <v>17110</v>
      </c>
      <c r="E3047" s="41">
        <v>41.56</v>
      </c>
      <c r="F3047" s="40"/>
      <c r="G3047" s="41"/>
      <c r="H3047" s="40"/>
      <c r="I3047" s="41"/>
      <c r="J3047" s="41">
        <f t="shared" si="11"/>
        <v>41.56</v>
      </c>
      <c r="K3047" s="42" t="s">
        <v>5796</v>
      </c>
      <c r="L3047" s="39">
        <v>2942</v>
      </c>
    </row>
    <row r="3048" spans="1:12" ht="11.25" customHeight="1">
      <c r="A3048" s="39">
        <v>2944</v>
      </c>
      <c r="B3048" s="40" t="s">
        <v>17111</v>
      </c>
      <c r="C3048" s="40" t="s">
        <v>17112</v>
      </c>
      <c r="D3048" s="40" t="s">
        <v>17113</v>
      </c>
      <c r="E3048" s="41">
        <v>41.52</v>
      </c>
      <c r="F3048" s="40"/>
      <c r="G3048" s="41"/>
      <c r="H3048" s="40"/>
      <c r="I3048" s="41"/>
      <c r="J3048" s="41">
        <f t="shared" si="11"/>
        <v>41.52</v>
      </c>
      <c r="K3048" s="42" t="s">
        <v>5796</v>
      </c>
      <c r="L3048" s="39">
        <v>2944</v>
      </c>
    </row>
    <row r="3049" spans="1:12" ht="11.25" customHeight="1">
      <c r="A3049" s="39">
        <v>2945</v>
      </c>
      <c r="B3049" s="40" t="s">
        <v>17114</v>
      </c>
      <c r="C3049" s="40" t="s">
        <v>17115</v>
      </c>
      <c r="D3049" s="40" t="s">
        <v>17116</v>
      </c>
      <c r="E3049" s="41">
        <v>41.46</v>
      </c>
      <c r="F3049" s="40"/>
      <c r="G3049" s="41"/>
      <c r="H3049" s="40"/>
      <c r="I3049" s="41"/>
      <c r="J3049" s="41">
        <f t="shared" si="11"/>
        <v>41.46</v>
      </c>
      <c r="K3049" s="42" t="s">
        <v>5796</v>
      </c>
      <c r="L3049" s="39">
        <v>2945</v>
      </c>
    </row>
    <row r="3050" spans="1:12" ht="11.25" customHeight="1">
      <c r="A3050" s="39">
        <v>2948</v>
      </c>
      <c r="B3050" s="40" t="s">
        <v>17117</v>
      </c>
      <c r="C3050" s="40" t="s">
        <v>17118</v>
      </c>
      <c r="D3050" s="40" t="s">
        <v>17119</v>
      </c>
      <c r="E3050" s="41">
        <v>41.32</v>
      </c>
      <c r="F3050" s="40"/>
      <c r="G3050" s="41"/>
      <c r="H3050" s="40"/>
      <c r="I3050" s="41"/>
      <c r="J3050" s="41">
        <f t="shared" si="11"/>
        <v>41.32</v>
      </c>
      <c r="K3050" s="42" t="s">
        <v>5796</v>
      </c>
      <c r="L3050" s="39">
        <v>2948</v>
      </c>
    </row>
    <row r="3051" spans="1:12" ht="11.25" customHeight="1">
      <c r="A3051" s="39">
        <v>2949</v>
      </c>
      <c r="B3051" s="40" t="s">
        <v>17120</v>
      </c>
      <c r="C3051" s="40" t="s">
        <v>17121</v>
      </c>
      <c r="D3051" s="40" t="s">
        <v>17122</v>
      </c>
      <c r="E3051" s="41">
        <v>41.28</v>
      </c>
      <c r="F3051" s="40"/>
      <c r="G3051" s="41"/>
      <c r="H3051" s="40"/>
      <c r="I3051" s="41"/>
      <c r="J3051" s="41">
        <f t="shared" si="11"/>
        <v>41.28</v>
      </c>
      <c r="K3051" s="42" t="s">
        <v>5796</v>
      </c>
      <c r="L3051" s="39">
        <v>2949</v>
      </c>
    </row>
    <row r="3052" spans="1:12" ht="11.25" customHeight="1">
      <c r="A3052" s="39">
        <v>2950</v>
      </c>
      <c r="B3052" s="40" t="s">
        <v>17123</v>
      </c>
      <c r="C3052" s="40" t="s">
        <v>17124</v>
      </c>
      <c r="D3052" s="40" t="s">
        <v>17125</v>
      </c>
      <c r="E3052" s="41">
        <v>41.23</v>
      </c>
      <c r="F3052" s="40"/>
      <c r="G3052" s="41"/>
      <c r="H3052" s="40"/>
      <c r="I3052" s="41"/>
      <c r="J3052" s="41">
        <f t="shared" si="11"/>
        <v>41.23</v>
      </c>
      <c r="K3052" s="42" t="s">
        <v>5796</v>
      </c>
      <c r="L3052" s="39">
        <v>2950</v>
      </c>
    </row>
    <row r="3053" spans="1:12" ht="11.25" customHeight="1">
      <c r="A3053" s="39">
        <v>2951</v>
      </c>
      <c r="B3053" s="40" t="s">
        <v>7926</v>
      </c>
      <c r="C3053" s="40" t="s">
        <v>17126</v>
      </c>
      <c r="D3053" s="40" t="s">
        <v>17127</v>
      </c>
      <c r="E3053" s="41">
        <v>41.13</v>
      </c>
      <c r="F3053" s="40"/>
      <c r="G3053" s="41"/>
      <c r="H3053" s="40"/>
      <c r="I3053" s="41"/>
      <c r="J3053" s="41">
        <f t="shared" si="11"/>
        <v>41.13</v>
      </c>
      <c r="K3053" s="42" t="s">
        <v>5796</v>
      </c>
      <c r="L3053" s="39">
        <v>2951</v>
      </c>
    </row>
    <row r="3054" spans="1:12" ht="11.25" customHeight="1">
      <c r="A3054" s="39">
        <v>2952</v>
      </c>
      <c r="B3054" s="40" t="s">
        <v>17128</v>
      </c>
      <c r="C3054" s="40" t="s">
        <v>17129</v>
      </c>
      <c r="D3054" s="40" t="s">
        <v>17130</v>
      </c>
      <c r="E3054" s="41">
        <v>41.09</v>
      </c>
      <c r="F3054" s="40"/>
      <c r="G3054" s="41"/>
      <c r="H3054" s="40"/>
      <c r="I3054" s="41"/>
      <c r="J3054" s="41">
        <f t="shared" si="11"/>
        <v>41.09</v>
      </c>
      <c r="K3054" s="42" t="s">
        <v>5796</v>
      </c>
      <c r="L3054" s="39">
        <v>2952</v>
      </c>
    </row>
    <row r="3055" spans="1:12" ht="11.25" customHeight="1">
      <c r="A3055" s="39">
        <v>2953</v>
      </c>
      <c r="B3055" s="40" t="s">
        <v>17131</v>
      </c>
      <c r="C3055" s="40" t="s">
        <v>17132</v>
      </c>
      <c r="D3055" s="40" t="s">
        <v>17133</v>
      </c>
      <c r="E3055" s="41">
        <v>41.09</v>
      </c>
      <c r="F3055" s="40"/>
      <c r="G3055" s="41"/>
      <c r="H3055" s="40"/>
      <c r="I3055" s="41"/>
      <c r="J3055" s="41">
        <f t="shared" si="11"/>
        <v>41.09</v>
      </c>
      <c r="K3055" s="42" t="s">
        <v>5796</v>
      </c>
      <c r="L3055" s="39">
        <v>2953</v>
      </c>
    </row>
    <row r="3056" spans="1:12" ht="11.25" customHeight="1">
      <c r="A3056" s="39">
        <v>2954</v>
      </c>
      <c r="B3056" s="40" t="s">
        <v>17134</v>
      </c>
      <c r="C3056" s="40" t="s">
        <v>17135</v>
      </c>
      <c r="D3056" s="40" t="s">
        <v>7047</v>
      </c>
      <c r="E3056" s="41">
        <v>41.05</v>
      </c>
      <c r="F3056" s="40"/>
      <c r="G3056" s="41"/>
      <c r="H3056" s="40"/>
      <c r="I3056" s="41"/>
      <c r="J3056" s="41">
        <f t="shared" si="11"/>
        <v>41.05</v>
      </c>
      <c r="K3056" s="42" t="s">
        <v>5796</v>
      </c>
      <c r="L3056" s="39">
        <v>2954</v>
      </c>
    </row>
    <row r="3057" spans="1:12" ht="11.25" customHeight="1">
      <c r="A3057" s="39">
        <v>2955</v>
      </c>
      <c r="B3057" s="40" t="s">
        <v>17136</v>
      </c>
      <c r="C3057" s="40" t="s">
        <v>17137</v>
      </c>
      <c r="D3057" s="40" t="s">
        <v>17138</v>
      </c>
      <c r="E3057" s="41">
        <v>40.869999999999997</v>
      </c>
      <c r="F3057" s="40"/>
      <c r="G3057" s="41"/>
      <c r="H3057" s="40"/>
      <c r="I3057" s="41"/>
      <c r="J3057" s="41">
        <f t="shared" si="11"/>
        <v>40.869999999999997</v>
      </c>
      <c r="K3057" s="42" t="s">
        <v>5796</v>
      </c>
      <c r="L3057" s="39">
        <v>2955</v>
      </c>
    </row>
    <row r="3058" spans="1:12" ht="11.25" customHeight="1">
      <c r="A3058" s="39">
        <v>2956</v>
      </c>
      <c r="B3058" s="40" t="s">
        <v>17139</v>
      </c>
      <c r="C3058" s="40" t="s">
        <v>17140</v>
      </c>
      <c r="D3058" s="40" t="s">
        <v>17141</v>
      </c>
      <c r="E3058" s="41">
        <v>40.700000000000003</v>
      </c>
      <c r="F3058" s="40"/>
      <c r="G3058" s="41"/>
      <c r="H3058" s="40"/>
      <c r="I3058" s="41"/>
      <c r="J3058" s="41">
        <f t="shared" si="11"/>
        <v>40.700000000000003</v>
      </c>
      <c r="K3058" s="42" t="s">
        <v>5796</v>
      </c>
      <c r="L3058" s="39">
        <v>2956</v>
      </c>
    </row>
    <row r="3059" spans="1:12" ht="11.25" customHeight="1">
      <c r="A3059" s="39">
        <v>2957</v>
      </c>
      <c r="B3059" s="40" t="s">
        <v>17142</v>
      </c>
      <c r="C3059" s="40" t="s">
        <v>17143</v>
      </c>
      <c r="D3059" s="40" t="s">
        <v>17144</v>
      </c>
      <c r="E3059" s="41">
        <v>40.67</v>
      </c>
      <c r="F3059" s="40"/>
      <c r="G3059" s="41"/>
      <c r="H3059" s="40"/>
      <c r="I3059" s="41"/>
      <c r="J3059" s="41">
        <f t="shared" si="11"/>
        <v>40.67</v>
      </c>
      <c r="K3059" s="42" t="s">
        <v>5796</v>
      </c>
      <c r="L3059" s="39">
        <v>2957</v>
      </c>
    </row>
    <row r="3060" spans="1:12" ht="11.25" customHeight="1">
      <c r="A3060" s="39">
        <v>2958</v>
      </c>
      <c r="B3060" s="40" t="s">
        <v>17145</v>
      </c>
      <c r="C3060" s="40" t="s">
        <v>17146</v>
      </c>
      <c r="D3060" s="40" t="s">
        <v>17147</v>
      </c>
      <c r="E3060" s="41">
        <v>40.64</v>
      </c>
      <c r="F3060" s="40"/>
      <c r="G3060" s="41"/>
      <c r="H3060" s="40"/>
      <c r="I3060" s="41"/>
      <c r="J3060" s="41">
        <f t="shared" si="11"/>
        <v>40.64</v>
      </c>
      <c r="K3060" s="42" t="s">
        <v>5796</v>
      </c>
      <c r="L3060" s="39">
        <v>2958</v>
      </c>
    </row>
    <row r="3061" spans="1:12" ht="11.25" customHeight="1">
      <c r="A3061" s="39">
        <v>2959</v>
      </c>
      <c r="B3061" s="40" t="s">
        <v>17148</v>
      </c>
      <c r="C3061" s="40" t="s">
        <v>17149</v>
      </c>
      <c r="D3061" s="40" t="s">
        <v>17150</v>
      </c>
      <c r="E3061" s="41">
        <v>40.53</v>
      </c>
      <c r="F3061" s="40"/>
      <c r="G3061" s="41"/>
      <c r="H3061" s="40"/>
      <c r="I3061" s="41"/>
      <c r="J3061" s="41">
        <f t="shared" si="11"/>
        <v>40.53</v>
      </c>
      <c r="K3061" s="42" t="s">
        <v>5796</v>
      </c>
      <c r="L3061" s="39">
        <v>2959</v>
      </c>
    </row>
    <row r="3062" spans="1:12" ht="11.25" customHeight="1">
      <c r="A3062" s="39">
        <v>2962</v>
      </c>
      <c r="B3062" s="40" t="s">
        <v>17151</v>
      </c>
      <c r="C3062" s="40" t="s">
        <v>17152</v>
      </c>
      <c r="D3062" s="40" t="s">
        <v>17153</v>
      </c>
      <c r="E3062" s="41">
        <v>40.46</v>
      </c>
      <c r="F3062" s="40"/>
      <c r="G3062" s="41"/>
      <c r="H3062" s="40"/>
      <c r="I3062" s="41"/>
      <c r="J3062" s="41">
        <f t="shared" si="11"/>
        <v>40.46</v>
      </c>
      <c r="K3062" s="42" t="s">
        <v>5796</v>
      </c>
      <c r="L3062" s="39">
        <v>2962</v>
      </c>
    </row>
    <row r="3063" spans="1:12" ht="11.25" customHeight="1">
      <c r="A3063" s="39">
        <v>2963</v>
      </c>
      <c r="B3063" s="40" t="s">
        <v>17154</v>
      </c>
      <c r="C3063" s="40" t="s">
        <v>17155</v>
      </c>
      <c r="D3063" s="40" t="s">
        <v>17156</v>
      </c>
      <c r="E3063" s="41">
        <v>40.229999999999997</v>
      </c>
      <c r="F3063" s="40"/>
      <c r="G3063" s="41"/>
      <c r="H3063" s="40"/>
      <c r="I3063" s="41"/>
      <c r="J3063" s="41">
        <f t="shared" ref="J3063:J3317" si="12">AVERAGE(E3063,G3063,I3063)</f>
        <v>40.229999999999997</v>
      </c>
      <c r="K3063" s="42" t="s">
        <v>5796</v>
      </c>
      <c r="L3063" s="39">
        <v>2963</v>
      </c>
    </row>
    <row r="3064" spans="1:12" ht="11.25" customHeight="1">
      <c r="A3064" s="39">
        <v>2964</v>
      </c>
      <c r="B3064" s="40" t="s">
        <v>8172</v>
      </c>
      <c r="C3064" s="40" t="s">
        <v>17157</v>
      </c>
      <c r="D3064" s="40" t="s">
        <v>17158</v>
      </c>
      <c r="E3064" s="41">
        <v>40.21</v>
      </c>
      <c r="F3064" s="40"/>
      <c r="G3064" s="41"/>
      <c r="H3064" s="40"/>
      <c r="I3064" s="41"/>
      <c r="J3064" s="41">
        <f t="shared" si="12"/>
        <v>40.21</v>
      </c>
      <c r="K3064" s="42" t="s">
        <v>5796</v>
      </c>
      <c r="L3064" s="39">
        <v>2964</v>
      </c>
    </row>
    <row r="3065" spans="1:12" ht="11.25" customHeight="1">
      <c r="A3065" s="39">
        <v>2965</v>
      </c>
      <c r="B3065" s="40" t="s">
        <v>17159</v>
      </c>
      <c r="C3065" s="40" t="s">
        <v>17160</v>
      </c>
      <c r="D3065" s="40" t="s">
        <v>17161</v>
      </c>
      <c r="E3065" s="41">
        <v>40.19</v>
      </c>
      <c r="F3065" s="40"/>
      <c r="G3065" s="41"/>
      <c r="H3065" s="40"/>
      <c r="I3065" s="41"/>
      <c r="J3065" s="41">
        <f t="shared" si="12"/>
        <v>40.19</v>
      </c>
      <c r="K3065" s="42" t="s">
        <v>5796</v>
      </c>
      <c r="L3065" s="39">
        <v>2965</v>
      </c>
    </row>
    <row r="3066" spans="1:12" ht="11.25" customHeight="1">
      <c r="A3066" s="39">
        <v>2966</v>
      </c>
      <c r="B3066" s="40" t="s">
        <v>8633</v>
      </c>
      <c r="C3066" s="40" t="s">
        <v>17162</v>
      </c>
      <c r="D3066" s="40" t="s">
        <v>17163</v>
      </c>
      <c r="E3066" s="41">
        <v>40.14</v>
      </c>
      <c r="F3066" s="40"/>
      <c r="G3066" s="41"/>
      <c r="H3066" s="40"/>
      <c r="I3066" s="41"/>
      <c r="J3066" s="41">
        <f t="shared" si="12"/>
        <v>40.14</v>
      </c>
      <c r="K3066" s="42" t="s">
        <v>5796</v>
      </c>
      <c r="L3066" s="39">
        <v>2966</v>
      </c>
    </row>
    <row r="3067" spans="1:12" ht="11.25" customHeight="1">
      <c r="A3067" s="39">
        <v>2967</v>
      </c>
      <c r="B3067" s="40" t="s">
        <v>17164</v>
      </c>
      <c r="C3067" s="40" t="s">
        <v>17165</v>
      </c>
      <c r="D3067" s="40" t="s">
        <v>17166</v>
      </c>
      <c r="E3067" s="41">
        <v>40.11</v>
      </c>
      <c r="F3067" s="40"/>
      <c r="G3067" s="41"/>
      <c r="H3067" s="40"/>
      <c r="I3067" s="41"/>
      <c r="J3067" s="41">
        <f t="shared" si="12"/>
        <v>40.11</v>
      </c>
      <c r="K3067" s="42" t="s">
        <v>5796</v>
      </c>
      <c r="L3067" s="39">
        <v>2967</v>
      </c>
    </row>
    <row r="3068" spans="1:12" ht="11.25" customHeight="1">
      <c r="A3068" s="39">
        <v>2968</v>
      </c>
      <c r="B3068" s="40" t="s">
        <v>17167</v>
      </c>
      <c r="C3068" s="40" t="s">
        <v>17168</v>
      </c>
      <c r="D3068" s="40" t="s">
        <v>17169</v>
      </c>
      <c r="E3068" s="41">
        <v>40.04</v>
      </c>
      <c r="F3068" s="40"/>
      <c r="G3068" s="41"/>
      <c r="H3068" s="40"/>
      <c r="I3068" s="41"/>
      <c r="J3068" s="41">
        <f t="shared" si="12"/>
        <v>40.04</v>
      </c>
      <c r="K3068" s="42" t="s">
        <v>5796</v>
      </c>
      <c r="L3068" s="39">
        <v>2968</v>
      </c>
    </row>
    <row r="3069" spans="1:12" ht="11.25" customHeight="1">
      <c r="A3069" s="39">
        <v>2970</v>
      </c>
      <c r="B3069" s="40" t="s">
        <v>17170</v>
      </c>
      <c r="C3069" s="40" t="s">
        <v>17171</v>
      </c>
      <c r="D3069" s="40" t="s">
        <v>17172</v>
      </c>
      <c r="E3069" s="41">
        <v>39.950000000000003</v>
      </c>
      <c r="F3069" s="40"/>
      <c r="G3069" s="41"/>
      <c r="H3069" s="40"/>
      <c r="I3069" s="41"/>
      <c r="J3069" s="41">
        <f t="shared" si="12"/>
        <v>39.950000000000003</v>
      </c>
      <c r="K3069" s="42" t="s">
        <v>5796</v>
      </c>
      <c r="L3069" s="39">
        <v>2970</v>
      </c>
    </row>
    <row r="3070" spans="1:12" ht="11.25" customHeight="1">
      <c r="A3070" s="39">
        <v>2971</v>
      </c>
      <c r="B3070" s="40" t="s">
        <v>17173</v>
      </c>
      <c r="C3070" s="40" t="s">
        <v>17174</v>
      </c>
      <c r="D3070" s="40" t="s">
        <v>17175</v>
      </c>
      <c r="E3070" s="41">
        <v>39.86</v>
      </c>
      <c r="F3070" s="40"/>
      <c r="G3070" s="41"/>
      <c r="H3070" s="40"/>
      <c r="I3070" s="41"/>
      <c r="J3070" s="41">
        <f t="shared" si="12"/>
        <v>39.86</v>
      </c>
      <c r="K3070" s="42" t="s">
        <v>5796</v>
      </c>
      <c r="L3070" s="39">
        <v>2971</v>
      </c>
    </row>
    <row r="3071" spans="1:12" ht="11.25" customHeight="1">
      <c r="A3071" s="39">
        <v>2972</v>
      </c>
      <c r="B3071" s="40" t="s">
        <v>17176</v>
      </c>
      <c r="C3071" s="40" t="s">
        <v>17177</v>
      </c>
      <c r="D3071" s="40" t="s">
        <v>17178</v>
      </c>
      <c r="E3071" s="41">
        <v>39.85</v>
      </c>
      <c r="F3071" s="40"/>
      <c r="G3071" s="41"/>
      <c r="H3071" s="40"/>
      <c r="I3071" s="41"/>
      <c r="J3071" s="41">
        <f t="shared" si="12"/>
        <v>39.85</v>
      </c>
      <c r="K3071" s="42" t="s">
        <v>5796</v>
      </c>
      <c r="L3071" s="39">
        <v>2972</v>
      </c>
    </row>
    <row r="3072" spans="1:12" ht="11.25" customHeight="1">
      <c r="A3072" s="39">
        <v>2973</v>
      </c>
      <c r="B3072" s="40" t="s">
        <v>17179</v>
      </c>
      <c r="C3072" s="40" t="s">
        <v>17180</v>
      </c>
      <c r="D3072" s="40" t="s">
        <v>17181</v>
      </c>
      <c r="E3072" s="41">
        <v>39.83</v>
      </c>
      <c r="F3072" s="40"/>
      <c r="G3072" s="41"/>
      <c r="H3072" s="40"/>
      <c r="I3072" s="41"/>
      <c r="J3072" s="41">
        <f t="shared" si="12"/>
        <v>39.83</v>
      </c>
      <c r="K3072" s="42" t="s">
        <v>5796</v>
      </c>
      <c r="L3072" s="39">
        <v>2973</v>
      </c>
    </row>
    <row r="3073" spans="1:12" ht="11.25" customHeight="1">
      <c r="A3073" s="39">
        <v>2974</v>
      </c>
      <c r="B3073" s="40" t="s">
        <v>17182</v>
      </c>
      <c r="C3073" s="40" t="s">
        <v>17183</v>
      </c>
      <c r="D3073" s="40" t="s">
        <v>17184</v>
      </c>
      <c r="E3073" s="41">
        <v>39.81</v>
      </c>
      <c r="F3073" s="40"/>
      <c r="G3073" s="41"/>
      <c r="H3073" s="40"/>
      <c r="I3073" s="41"/>
      <c r="J3073" s="41">
        <f t="shared" si="12"/>
        <v>39.81</v>
      </c>
      <c r="K3073" s="42" t="s">
        <v>5796</v>
      </c>
      <c r="L3073" s="39">
        <v>2974</v>
      </c>
    </row>
    <row r="3074" spans="1:12" ht="11.25" customHeight="1">
      <c r="A3074" s="39">
        <v>2975</v>
      </c>
      <c r="B3074" s="40" t="s">
        <v>17185</v>
      </c>
      <c r="C3074" s="40" t="s">
        <v>17186</v>
      </c>
      <c r="D3074" s="40" t="s">
        <v>17187</v>
      </c>
      <c r="E3074" s="41">
        <v>39.69</v>
      </c>
      <c r="F3074" s="40"/>
      <c r="G3074" s="41"/>
      <c r="H3074" s="40"/>
      <c r="I3074" s="41"/>
      <c r="J3074" s="41">
        <f t="shared" si="12"/>
        <v>39.69</v>
      </c>
      <c r="K3074" s="42" t="s">
        <v>5796</v>
      </c>
      <c r="L3074" s="39">
        <v>2975</v>
      </c>
    </row>
    <row r="3075" spans="1:12" ht="11.25" customHeight="1">
      <c r="A3075" s="39">
        <v>2976</v>
      </c>
      <c r="B3075" s="40" t="s">
        <v>17188</v>
      </c>
      <c r="C3075" s="40" t="s">
        <v>17189</v>
      </c>
      <c r="D3075" s="40" t="s">
        <v>17190</v>
      </c>
      <c r="E3075" s="41">
        <v>39.61</v>
      </c>
      <c r="F3075" s="40"/>
      <c r="G3075" s="41"/>
      <c r="H3075" s="40"/>
      <c r="I3075" s="41"/>
      <c r="J3075" s="41">
        <f t="shared" si="12"/>
        <v>39.61</v>
      </c>
      <c r="K3075" s="42" t="s">
        <v>5796</v>
      </c>
      <c r="L3075" s="39">
        <v>2976</v>
      </c>
    </row>
    <row r="3076" spans="1:12" ht="11.25" customHeight="1">
      <c r="A3076" s="39">
        <v>2977</v>
      </c>
      <c r="B3076" s="40" t="s">
        <v>17191</v>
      </c>
      <c r="C3076" s="40" t="s">
        <v>17192</v>
      </c>
      <c r="D3076" s="40" t="s">
        <v>17193</v>
      </c>
      <c r="E3076" s="41">
        <v>39.51</v>
      </c>
      <c r="F3076" s="40"/>
      <c r="G3076" s="41"/>
      <c r="H3076" s="40"/>
      <c r="I3076" s="41"/>
      <c r="J3076" s="41">
        <f t="shared" si="12"/>
        <v>39.51</v>
      </c>
      <c r="K3076" s="42" t="s">
        <v>5796</v>
      </c>
      <c r="L3076" s="39">
        <v>2977</v>
      </c>
    </row>
    <row r="3077" spans="1:12" ht="11.25" customHeight="1">
      <c r="A3077" s="39">
        <v>2978</v>
      </c>
      <c r="B3077" s="40" t="s">
        <v>17194</v>
      </c>
      <c r="C3077" s="40" t="s">
        <v>17195</v>
      </c>
      <c r="D3077" s="40" t="s">
        <v>17196</v>
      </c>
      <c r="E3077" s="41">
        <v>39.46</v>
      </c>
      <c r="F3077" s="40"/>
      <c r="G3077" s="41"/>
      <c r="H3077" s="40"/>
      <c r="I3077" s="41"/>
      <c r="J3077" s="41">
        <f t="shared" si="12"/>
        <v>39.46</v>
      </c>
      <c r="K3077" s="42" t="s">
        <v>5796</v>
      </c>
      <c r="L3077" s="39">
        <v>2978</v>
      </c>
    </row>
    <row r="3078" spans="1:12" ht="11.25" customHeight="1">
      <c r="A3078" s="39">
        <v>2979</v>
      </c>
      <c r="B3078" s="40" t="s">
        <v>8302</v>
      </c>
      <c r="C3078" s="40" t="s">
        <v>17197</v>
      </c>
      <c r="D3078" s="40" t="s">
        <v>17198</v>
      </c>
      <c r="E3078" s="41">
        <v>39.35</v>
      </c>
      <c r="F3078" s="40"/>
      <c r="G3078" s="41"/>
      <c r="H3078" s="40"/>
      <c r="I3078" s="41"/>
      <c r="J3078" s="41">
        <f t="shared" si="12"/>
        <v>39.35</v>
      </c>
      <c r="K3078" s="42" t="s">
        <v>5796</v>
      </c>
      <c r="L3078" s="39">
        <v>2979</v>
      </c>
    </row>
    <row r="3079" spans="1:12" ht="11.25" customHeight="1">
      <c r="A3079" s="39">
        <v>2980</v>
      </c>
      <c r="B3079" s="40" t="s">
        <v>17199</v>
      </c>
      <c r="C3079" s="40" t="s">
        <v>17200</v>
      </c>
      <c r="D3079" s="40" t="s">
        <v>17201</v>
      </c>
      <c r="E3079" s="41">
        <v>39.32</v>
      </c>
      <c r="F3079" s="40"/>
      <c r="G3079" s="41"/>
      <c r="H3079" s="40"/>
      <c r="I3079" s="41"/>
      <c r="J3079" s="41">
        <f t="shared" si="12"/>
        <v>39.32</v>
      </c>
      <c r="K3079" s="42" t="s">
        <v>5796</v>
      </c>
      <c r="L3079" s="39">
        <v>2980</v>
      </c>
    </row>
    <row r="3080" spans="1:12" ht="11.25" customHeight="1">
      <c r="A3080" s="39">
        <v>2982</v>
      </c>
      <c r="B3080" s="40" t="s">
        <v>17202</v>
      </c>
      <c r="C3080" s="40" t="s">
        <v>17203</v>
      </c>
      <c r="D3080" s="40" t="s">
        <v>17204</v>
      </c>
      <c r="E3080" s="41">
        <v>39.19</v>
      </c>
      <c r="F3080" s="40"/>
      <c r="G3080" s="41"/>
      <c r="H3080" s="40"/>
      <c r="I3080" s="41"/>
      <c r="J3080" s="41">
        <f t="shared" si="12"/>
        <v>39.19</v>
      </c>
      <c r="K3080" s="42" t="s">
        <v>5796</v>
      </c>
      <c r="L3080" s="39">
        <v>2982</v>
      </c>
    </row>
    <row r="3081" spans="1:12" ht="11.25" customHeight="1">
      <c r="A3081" s="39">
        <v>2983</v>
      </c>
      <c r="B3081" s="40" t="s">
        <v>8105</v>
      </c>
      <c r="C3081" s="40" t="s">
        <v>17205</v>
      </c>
      <c r="D3081" s="40" t="s">
        <v>17206</v>
      </c>
      <c r="E3081" s="41">
        <v>39.19</v>
      </c>
      <c r="F3081" s="40"/>
      <c r="G3081" s="41"/>
      <c r="H3081" s="40"/>
      <c r="I3081" s="41"/>
      <c r="J3081" s="41">
        <f t="shared" si="12"/>
        <v>39.19</v>
      </c>
      <c r="K3081" s="42" t="s">
        <v>5796</v>
      </c>
      <c r="L3081" s="39">
        <v>2983</v>
      </c>
    </row>
    <row r="3082" spans="1:12" ht="11.25" customHeight="1">
      <c r="A3082" s="39">
        <v>2984</v>
      </c>
      <c r="B3082" s="40" t="s">
        <v>17207</v>
      </c>
      <c r="C3082" s="40" t="s">
        <v>17208</v>
      </c>
      <c r="D3082" s="40" t="s">
        <v>17209</v>
      </c>
      <c r="E3082" s="41">
        <v>39.17</v>
      </c>
      <c r="F3082" s="40"/>
      <c r="G3082" s="41"/>
      <c r="H3082" s="40"/>
      <c r="I3082" s="41"/>
      <c r="J3082" s="41">
        <f t="shared" si="12"/>
        <v>39.17</v>
      </c>
      <c r="K3082" s="42" t="s">
        <v>5796</v>
      </c>
      <c r="L3082" s="39">
        <v>2984</v>
      </c>
    </row>
    <row r="3083" spans="1:12" ht="11.25" customHeight="1">
      <c r="A3083" s="39">
        <v>2986</v>
      </c>
      <c r="B3083" s="40" t="s">
        <v>17210</v>
      </c>
      <c r="C3083" s="40" t="s">
        <v>17211</v>
      </c>
      <c r="D3083" s="40" t="s">
        <v>17212</v>
      </c>
      <c r="E3083" s="41">
        <v>38.93</v>
      </c>
      <c r="F3083" s="40"/>
      <c r="G3083" s="41"/>
      <c r="H3083" s="40"/>
      <c r="I3083" s="41"/>
      <c r="J3083" s="41">
        <f t="shared" si="12"/>
        <v>38.93</v>
      </c>
      <c r="K3083" s="42" t="s">
        <v>5796</v>
      </c>
      <c r="L3083" s="39">
        <v>2986</v>
      </c>
    </row>
    <row r="3084" spans="1:12" ht="11.25" customHeight="1">
      <c r="A3084" s="39">
        <v>2987</v>
      </c>
      <c r="B3084" s="40" t="s">
        <v>17213</v>
      </c>
      <c r="C3084" s="40" t="s">
        <v>17214</v>
      </c>
      <c r="D3084" s="40" t="s">
        <v>17215</v>
      </c>
      <c r="E3084" s="41">
        <v>38.92</v>
      </c>
      <c r="F3084" s="40"/>
      <c r="G3084" s="41"/>
      <c r="H3084" s="40"/>
      <c r="I3084" s="41"/>
      <c r="J3084" s="41">
        <f t="shared" si="12"/>
        <v>38.92</v>
      </c>
      <c r="K3084" s="42" t="s">
        <v>5796</v>
      </c>
      <c r="L3084" s="39">
        <v>2987</v>
      </c>
    </row>
    <row r="3085" spans="1:12" ht="11.25" customHeight="1">
      <c r="A3085" s="39">
        <v>2988</v>
      </c>
      <c r="B3085" s="40" t="s">
        <v>17216</v>
      </c>
      <c r="C3085" s="40" t="s">
        <v>17217</v>
      </c>
      <c r="D3085" s="40" t="s">
        <v>17218</v>
      </c>
      <c r="E3085" s="41">
        <v>38.83</v>
      </c>
      <c r="F3085" s="40"/>
      <c r="G3085" s="41"/>
      <c r="H3085" s="40"/>
      <c r="I3085" s="41"/>
      <c r="J3085" s="41">
        <f t="shared" si="12"/>
        <v>38.83</v>
      </c>
      <c r="K3085" s="42" t="s">
        <v>5796</v>
      </c>
      <c r="L3085" s="39">
        <v>2988</v>
      </c>
    </row>
    <row r="3086" spans="1:12" ht="11.25" customHeight="1">
      <c r="A3086" s="39">
        <v>2990</v>
      </c>
      <c r="B3086" s="40" t="s">
        <v>17219</v>
      </c>
      <c r="C3086" s="40" t="s">
        <v>17220</v>
      </c>
      <c r="D3086" s="40" t="s">
        <v>17221</v>
      </c>
      <c r="E3086" s="41">
        <v>38.590000000000003</v>
      </c>
      <c r="F3086" s="40"/>
      <c r="G3086" s="41"/>
      <c r="H3086" s="40"/>
      <c r="I3086" s="41"/>
      <c r="J3086" s="41">
        <f t="shared" si="12"/>
        <v>38.590000000000003</v>
      </c>
      <c r="K3086" s="42" t="s">
        <v>5796</v>
      </c>
      <c r="L3086" s="39">
        <v>2990</v>
      </c>
    </row>
    <row r="3087" spans="1:12" ht="11.25" customHeight="1">
      <c r="A3087" s="39">
        <v>2991</v>
      </c>
      <c r="B3087" s="40" t="s">
        <v>17222</v>
      </c>
      <c r="C3087" s="40" t="s">
        <v>17223</v>
      </c>
      <c r="D3087" s="40" t="s">
        <v>17224</v>
      </c>
      <c r="E3087" s="41">
        <v>38.549999999999997</v>
      </c>
      <c r="F3087" s="40"/>
      <c r="G3087" s="41"/>
      <c r="H3087" s="40"/>
      <c r="I3087" s="41"/>
      <c r="J3087" s="41">
        <f t="shared" si="12"/>
        <v>38.549999999999997</v>
      </c>
      <c r="K3087" s="42" t="s">
        <v>5796</v>
      </c>
      <c r="L3087" s="39">
        <v>2991</v>
      </c>
    </row>
    <row r="3088" spans="1:12" ht="11.25" customHeight="1">
      <c r="A3088" s="39">
        <v>2992</v>
      </c>
      <c r="B3088" s="40" t="s">
        <v>17225</v>
      </c>
      <c r="C3088" s="40" t="s">
        <v>17226</v>
      </c>
      <c r="D3088" s="40" t="s">
        <v>17227</v>
      </c>
      <c r="E3088" s="41">
        <v>38.53</v>
      </c>
      <c r="F3088" s="40"/>
      <c r="G3088" s="41"/>
      <c r="H3088" s="40"/>
      <c r="I3088" s="41"/>
      <c r="J3088" s="41">
        <f t="shared" si="12"/>
        <v>38.53</v>
      </c>
      <c r="K3088" s="42" t="s">
        <v>5796</v>
      </c>
      <c r="L3088" s="39">
        <v>2992</v>
      </c>
    </row>
    <row r="3089" spans="1:12" ht="11.25" customHeight="1">
      <c r="A3089" s="39">
        <v>2993</v>
      </c>
      <c r="B3089" s="40" t="s">
        <v>17228</v>
      </c>
      <c r="C3089" s="40" t="s">
        <v>17229</v>
      </c>
      <c r="D3089" s="40" t="s">
        <v>17230</v>
      </c>
      <c r="E3089" s="41">
        <v>38.520000000000003</v>
      </c>
      <c r="F3089" s="40"/>
      <c r="G3089" s="41"/>
      <c r="H3089" s="40"/>
      <c r="I3089" s="41"/>
      <c r="J3089" s="41">
        <f t="shared" si="12"/>
        <v>38.520000000000003</v>
      </c>
      <c r="K3089" s="42" t="s">
        <v>5796</v>
      </c>
      <c r="L3089" s="39">
        <v>2993</v>
      </c>
    </row>
    <row r="3090" spans="1:12" ht="11.25" customHeight="1">
      <c r="A3090" s="39">
        <v>2994</v>
      </c>
      <c r="B3090" s="40" t="s">
        <v>17231</v>
      </c>
      <c r="C3090" s="40" t="s">
        <v>17232</v>
      </c>
      <c r="D3090" s="40" t="s">
        <v>17233</v>
      </c>
      <c r="E3090" s="41">
        <v>38.51</v>
      </c>
      <c r="F3090" s="40"/>
      <c r="G3090" s="41"/>
      <c r="H3090" s="40"/>
      <c r="I3090" s="41"/>
      <c r="J3090" s="41">
        <f t="shared" si="12"/>
        <v>38.51</v>
      </c>
      <c r="K3090" s="42" t="s">
        <v>5796</v>
      </c>
      <c r="L3090" s="39">
        <v>2994</v>
      </c>
    </row>
    <row r="3091" spans="1:12" ht="11.25" customHeight="1">
      <c r="A3091" s="39">
        <v>2995</v>
      </c>
      <c r="B3091" s="40" t="s">
        <v>17234</v>
      </c>
      <c r="C3091" s="40" t="s">
        <v>17235</v>
      </c>
      <c r="D3091" s="40" t="s">
        <v>17236</v>
      </c>
      <c r="E3091" s="41">
        <v>38.56</v>
      </c>
      <c r="F3091" s="40"/>
      <c r="G3091" s="41"/>
      <c r="H3091" s="40" t="s">
        <v>17236</v>
      </c>
      <c r="I3091" s="41">
        <v>38.447927741935509</v>
      </c>
      <c r="J3091" s="41">
        <f t="shared" si="12"/>
        <v>38.503963870967752</v>
      </c>
      <c r="K3091" s="42" t="s">
        <v>5796</v>
      </c>
      <c r="L3091" s="39">
        <v>2995</v>
      </c>
    </row>
    <row r="3092" spans="1:12" ht="11.25" customHeight="1">
      <c r="A3092" s="39">
        <v>2996</v>
      </c>
      <c r="B3092" s="40" t="s">
        <v>17237</v>
      </c>
      <c r="C3092" s="40" t="s">
        <v>17238</v>
      </c>
      <c r="D3092" s="40" t="s">
        <v>17239</v>
      </c>
      <c r="E3092" s="41">
        <v>38.49</v>
      </c>
      <c r="F3092" s="40"/>
      <c r="G3092" s="41"/>
      <c r="H3092" s="40"/>
      <c r="I3092" s="41"/>
      <c r="J3092" s="41">
        <f t="shared" si="12"/>
        <v>38.49</v>
      </c>
      <c r="K3092" s="42" t="s">
        <v>5796</v>
      </c>
      <c r="L3092" s="39">
        <v>2996</v>
      </c>
    </row>
    <row r="3093" spans="1:12" ht="11.25" customHeight="1">
      <c r="A3093" s="39">
        <v>2997</v>
      </c>
      <c r="B3093" s="40" t="s">
        <v>17240</v>
      </c>
      <c r="C3093" s="40" t="s">
        <v>17241</v>
      </c>
      <c r="D3093" s="40" t="s">
        <v>17242</v>
      </c>
      <c r="E3093" s="41">
        <v>38.450000000000003</v>
      </c>
      <c r="F3093" s="40"/>
      <c r="G3093" s="41"/>
      <c r="H3093" s="40"/>
      <c r="I3093" s="41"/>
      <c r="J3093" s="41">
        <f t="shared" si="12"/>
        <v>38.450000000000003</v>
      </c>
      <c r="K3093" s="42" t="s">
        <v>5796</v>
      </c>
      <c r="L3093" s="39">
        <v>2997</v>
      </c>
    </row>
    <row r="3094" spans="1:12" ht="11.25" customHeight="1">
      <c r="A3094" s="39">
        <v>2998</v>
      </c>
      <c r="B3094" s="40" t="s">
        <v>17243</v>
      </c>
      <c r="C3094" s="40" t="s">
        <v>17244</v>
      </c>
      <c r="D3094" s="40" t="s">
        <v>17245</v>
      </c>
      <c r="E3094" s="41">
        <v>38.4</v>
      </c>
      <c r="F3094" s="40"/>
      <c r="G3094" s="41"/>
      <c r="H3094" s="40"/>
      <c r="I3094" s="41"/>
      <c r="J3094" s="41">
        <f t="shared" si="12"/>
        <v>38.4</v>
      </c>
      <c r="K3094" s="42" t="s">
        <v>5796</v>
      </c>
      <c r="L3094" s="39">
        <v>2998</v>
      </c>
    </row>
    <row r="3095" spans="1:12" ht="11.25" customHeight="1">
      <c r="A3095" s="39">
        <v>2999</v>
      </c>
      <c r="B3095" s="40" t="s">
        <v>8231</v>
      </c>
      <c r="C3095" s="40" t="s">
        <v>17246</v>
      </c>
      <c r="D3095" s="40" t="s">
        <v>17247</v>
      </c>
      <c r="E3095" s="41">
        <v>38.39</v>
      </c>
      <c r="F3095" s="40"/>
      <c r="G3095" s="41"/>
      <c r="H3095" s="40"/>
      <c r="I3095" s="41"/>
      <c r="J3095" s="41">
        <f t="shared" si="12"/>
        <v>38.39</v>
      </c>
      <c r="K3095" s="42" t="s">
        <v>5796</v>
      </c>
      <c r="L3095" s="39">
        <v>2999</v>
      </c>
    </row>
    <row r="3096" spans="1:12" ht="11.25" customHeight="1">
      <c r="A3096" s="39">
        <v>3000</v>
      </c>
      <c r="B3096" s="40" t="s">
        <v>8279</v>
      </c>
      <c r="C3096" s="40" t="s">
        <v>17248</v>
      </c>
      <c r="D3096" s="40" t="s">
        <v>17249</v>
      </c>
      <c r="E3096" s="41">
        <v>38.369999999999997</v>
      </c>
      <c r="F3096" s="40"/>
      <c r="G3096" s="41"/>
      <c r="H3096" s="40"/>
      <c r="I3096" s="41"/>
      <c r="J3096" s="41">
        <f t="shared" si="12"/>
        <v>38.369999999999997</v>
      </c>
      <c r="K3096" s="42" t="s">
        <v>5796</v>
      </c>
      <c r="L3096" s="39">
        <v>3000</v>
      </c>
    </row>
    <row r="3097" spans="1:12" ht="11.25" customHeight="1">
      <c r="A3097" s="39">
        <v>3001</v>
      </c>
      <c r="B3097" s="40" t="s">
        <v>17250</v>
      </c>
      <c r="C3097" s="40" t="s">
        <v>17251</v>
      </c>
      <c r="D3097" s="40" t="s">
        <v>17252</v>
      </c>
      <c r="E3097" s="41">
        <v>38.28</v>
      </c>
      <c r="F3097" s="40"/>
      <c r="G3097" s="41"/>
      <c r="H3097" s="40"/>
      <c r="I3097" s="41"/>
      <c r="J3097" s="41">
        <f t="shared" si="12"/>
        <v>38.28</v>
      </c>
      <c r="K3097" s="42" t="s">
        <v>5796</v>
      </c>
      <c r="L3097" s="39">
        <v>3001</v>
      </c>
    </row>
    <row r="3098" spans="1:12" ht="11.25" customHeight="1">
      <c r="A3098" s="39">
        <v>3003</v>
      </c>
      <c r="B3098" s="40" t="s">
        <v>8461</v>
      </c>
      <c r="C3098" s="40" t="s">
        <v>17253</v>
      </c>
      <c r="D3098" s="40" t="s">
        <v>17254</v>
      </c>
      <c r="E3098" s="41">
        <v>38.1</v>
      </c>
      <c r="F3098" s="40"/>
      <c r="G3098" s="41"/>
      <c r="H3098" s="40"/>
      <c r="I3098" s="41"/>
      <c r="J3098" s="41">
        <f t="shared" si="12"/>
        <v>38.1</v>
      </c>
      <c r="K3098" s="42" t="s">
        <v>5796</v>
      </c>
      <c r="L3098" s="39">
        <v>3003</v>
      </c>
    </row>
    <row r="3099" spans="1:12" ht="11.25" customHeight="1">
      <c r="A3099" s="39">
        <v>3004</v>
      </c>
      <c r="B3099" s="40" t="s">
        <v>17255</v>
      </c>
      <c r="C3099" s="40" t="s">
        <v>17256</v>
      </c>
      <c r="D3099" s="40" t="s">
        <v>17257</v>
      </c>
      <c r="E3099" s="41">
        <v>38.090000000000003</v>
      </c>
      <c r="F3099" s="40"/>
      <c r="G3099" s="41"/>
      <c r="H3099" s="40"/>
      <c r="I3099" s="41"/>
      <c r="J3099" s="41">
        <f t="shared" si="12"/>
        <v>38.090000000000003</v>
      </c>
      <c r="K3099" s="42" t="s">
        <v>5796</v>
      </c>
      <c r="L3099" s="39">
        <v>3004</v>
      </c>
    </row>
    <row r="3100" spans="1:12" ht="11.25" customHeight="1">
      <c r="A3100" s="39">
        <v>3005</v>
      </c>
      <c r="B3100" s="40" t="s">
        <v>17258</v>
      </c>
      <c r="C3100" s="40" t="s">
        <v>17259</v>
      </c>
      <c r="D3100" s="40" t="s">
        <v>17260</v>
      </c>
      <c r="E3100" s="41">
        <v>38.07</v>
      </c>
      <c r="F3100" s="40"/>
      <c r="G3100" s="41"/>
      <c r="H3100" s="40"/>
      <c r="I3100" s="41"/>
      <c r="J3100" s="41">
        <f t="shared" si="12"/>
        <v>38.07</v>
      </c>
      <c r="K3100" s="42" t="s">
        <v>5796</v>
      </c>
      <c r="L3100" s="39">
        <v>3005</v>
      </c>
    </row>
    <row r="3101" spans="1:12" ht="11.25" customHeight="1">
      <c r="A3101" s="39">
        <v>3006</v>
      </c>
      <c r="B3101" s="40" t="s">
        <v>8088</v>
      </c>
      <c r="C3101" s="40" t="s">
        <v>17261</v>
      </c>
      <c r="D3101" s="40" t="s">
        <v>17262</v>
      </c>
      <c r="E3101" s="41">
        <v>37.94</v>
      </c>
      <c r="F3101" s="40"/>
      <c r="G3101" s="41"/>
      <c r="H3101" s="40"/>
      <c r="I3101" s="41"/>
      <c r="J3101" s="41">
        <f t="shared" si="12"/>
        <v>37.94</v>
      </c>
      <c r="K3101" s="42" t="s">
        <v>5796</v>
      </c>
      <c r="L3101" s="39">
        <v>3006</v>
      </c>
    </row>
    <row r="3102" spans="1:12" ht="11.25" customHeight="1">
      <c r="A3102" s="39">
        <v>3007</v>
      </c>
      <c r="B3102" s="40" t="s">
        <v>17263</v>
      </c>
      <c r="C3102" s="40" t="s">
        <v>17264</v>
      </c>
      <c r="D3102" s="40" t="s">
        <v>17265</v>
      </c>
      <c r="E3102" s="41">
        <v>37.880000000000003</v>
      </c>
      <c r="F3102" s="40"/>
      <c r="G3102" s="41"/>
      <c r="H3102" s="40"/>
      <c r="I3102" s="41"/>
      <c r="J3102" s="41">
        <f t="shared" si="12"/>
        <v>37.880000000000003</v>
      </c>
      <c r="K3102" s="42" t="s">
        <v>5796</v>
      </c>
      <c r="L3102" s="39">
        <v>3007</v>
      </c>
    </row>
    <row r="3103" spans="1:12" ht="11.25" customHeight="1">
      <c r="A3103" s="39">
        <v>3008</v>
      </c>
      <c r="B3103" s="40" t="s">
        <v>17266</v>
      </c>
      <c r="C3103" s="40" t="s">
        <v>17267</v>
      </c>
      <c r="D3103" s="40" t="s">
        <v>17268</v>
      </c>
      <c r="E3103" s="41">
        <v>37.840000000000003</v>
      </c>
      <c r="F3103" s="40"/>
      <c r="G3103" s="41"/>
      <c r="H3103" s="40"/>
      <c r="I3103" s="41"/>
      <c r="J3103" s="41">
        <f t="shared" si="12"/>
        <v>37.840000000000003</v>
      </c>
      <c r="K3103" s="42" t="s">
        <v>5796</v>
      </c>
      <c r="L3103" s="39">
        <v>3008</v>
      </c>
    </row>
    <row r="3104" spans="1:12" ht="11.25" customHeight="1">
      <c r="A3104" s="39">
        <v>3009</v>
      </c>
      <c r="B3104" s="40" t="s">
        <v>17269</v>
      </c>
      <c r="C3104" s="40" t="s">
        <v>17270</v>
      </c>
      <c r="D3104" s="40" t="s">
        <v>17271</v>
      </c>
      <c r="E3104" s="41">
        <v>37.770000000000003</v>
      </c>
      <c r="F3104" s="40"/>
      <c r="G3104" s="41"/>
      <c r="H3104" s="40"/>
      <c r="I3104" s="41"/>
      <c r="J3104" s="41">
        <f t="shared" si="12"/>
        <v>37.770000000000003</v>
      </c>
      <c r="K3104" s="42" t="s">
        <v>5796</v>
      </c>
      <c r="L3104" s="39">
        <v>3009</v>
      </c>
    </row>
    <row r="3105" spans="1:12" ht="11.25" customHeight="1">
      <c r="A3105" s="39">
        <v>3010</v>
      </c>
      <c r="B3105" s="52" t="s">
        <v>8139</v>
      </c>
      <c r="C3105" s="52" t="s">
        <v>17272</v>
      </c>
      <c r="D3105" s="40"/>
      <c r="E3105" s="41"/>
      <c r="F3105" s="40"/>
      <c r="G3105" s="41"/>
      <c r="H3105" s="52" t="s">
        <v>17273</v>
      </c>
      <c r="I3105" s="53">
        <v>37.67057999999998</v>
      </c>
      <c r="J3105" s="41">
        <f t="shared" si="12"/>
        <v>37.67057999999998</v>
      </c>
      <c r="K3105" s="42" t="s">
        <v>5796</v>
      </c>
      <c r="L3105" s="39">
        <v>3010</v>
      </c>
    </row>
    <row r="3106" spans="1:12" ht="11.25" customHeight="1">
      <c r="A3106" s="39">
        <v>3011</v>
      </c>
      <c r="B3106" s="40" t="s">
        <v>17274</v>
      </c>
      <c r="C3106" s="40" t="s">
        <v>17275</v>
      </c>
      <c r="D3106" s="40" t="s">
        <v>17276</v>
      </c>
      <c r="E3106" s="41">
        <v>37.659999999999997</v>
      </c>
      <c r="F3106" s="40"/>
      <c r="G3106" s="41"/>
      <c r="H3106" s="40"/>
      <c r="I3106" s="41"/>
      <c r="J3106" s="41">
        <f t="shared" si="12"/>
        <v>37.659999999999997</v>
      </c>
      <c r="K3106" s="42" t="s">
        <v>5796</v>
      </c>
      <c r="L3106" s="39">
        <v>3011</v>
      </c>
    </row>
    <row r="3107" spans="1:12" ht="11.25" customHeight="1">
      <c r="A3107" s="39">
        <v>3012</v>
      </c>
      <c r="B3107" s="40" t="s">
        <v>17277</v>
      </c>
      <c r="C3107" s="40" t="s">
        <v>17278</v>
      </c>
      <c r="D3107" s="40" t="s">
        <v>17279</v>
      </c>
      <c r="E3107" s="41">
        <v>37.57</v>
      </c>
      <c r="F3107" s="40"/>
      <c r="G3107" s="41"/>
      <c r="H3107" s="40"/>
      <c r="I3107" s="41"/>
      <c r="J3107" s="41">
        <f t="shared" si="12"/>
        <v>37.57</v>
      </c>
      <c r="K3107" s="42" t="s">
        <v>5796</v>
      </c>
      <c r="L3107" s="39">
        <v>3012</v>
      </c>
    </row>
    <row r="3108" spans="1:12" ht="11.25" customHeight="1">
      <c r="A3108" s="39">
        <v>3013</v>
      </c>
      <c r="B3108" s="40" t="s">
        <v>17280</v>
      </c>
      <c r="C3108" s="40" t="s">
        <v>17281</v>
      </c>
      <c r="D3108" s="40" t="s">
        <v>17282</v>
      </c>
      <c r="E3108" s="41">
        <v>37.54</v>
      </c>
      <c r="F3108" s="40"/>
      <c r="G3108" s="41"/>
      <c r="H3108" s="40"/>
      <c r="I3108" s="41"/>
      <c r="J3108" s="41">
        <f t="shared" si="12"/>
        <v>37.54</v>
      </c>
      <c r="K3108" s="42" t="s">
        <v>5796</v>
      </c>
      <c r="L3108" s="39">
        <v>3013</v>
      </c>
    </row>
    <row r="3109" spans="1:12" ht="11.25" customHeight="1">
      <c r="A3109" s="39">
        <v>3014</v>
      </c>
      <c r="B3109" s="40" t="s">
        <v>17283</v>
      </c>
      <c r="C3109" s="40" t="s">
        <v>17284</v>
      </c>
      <c r="D3109" s="40" t="s">
        <v>17285</v>
      </c>
      <c r="E3109" s="41">
        <v>37.46</v>
      </c>
      <c r="F3109" s="40"/>
      <c r="G3109" s="41"/>
      <c r="H3109" s="40"/>
      <c r="I3109" s="41"/>
      <c r="J3109" s="41">
        <f t="shared" si="12"/>
        <v>37.46</v>
      </c>
      <c r="K3109" s="42" t="s">
        <v>5796</v>
      </c>
      <c r="L3109" s="39">
        <v>3014</v>
      </c>
    </row>
    <row r="3110" spans="1:12" ht="11.25" customHeight="1">
      <c r="A3110" s="39">
        <v>3016</v>
      </c>
      <c r="B3110" s="40" t="s">
        <v>17286</v>
      </c>
      <c r="C3110" s="40" t="s">
        <v>17287</v>
      </c>
      <c r="D3110" s="40" t="s">
        <v>17288</v>
      </c>
      <c r="E3110" s="41">
        <v>37.340000000000003</v>
      </c>
      <c r="F3110" s="40"/>
      <c r="G3110" s="41"/>
      <c r="H3110" s="40"/>
      <c r="I3110" s="41"/>
      <c r="J3110" s="41">
        <f t="shared" si="12"/>
        <v>37.340000000000003</v>
      </c>
      <c r="K3110" s="42" t="s">
        <v>5796</v>
      </c>
      <c r="L3110" s="39">
        <v>3016</v>
      </c>
    </row>
    <row r="3111" spans="1:12" ht="11.25" customHeight="1">
      <c r="A3111" s="39">
        <v>3017</v>
      </c>
      <c r="B3111" s="40" t="s">
        <v>17289</v>
      </c>
      <c r="C3111" s="40" t="s">
        <v>17290</v>
      </c>
      <c r="D3111" s="40" t="s">
        <v>17291</v>
      </c>
      <c r="E3111" s="41">
        <v>37.299999999999997</v>
      </c>
      <c r="F3111" s="40"/>
      <c r="G3111" s="41"/>
      <c r="H3111" s="40"/>
      <c r="I3111" s="41"/>
      <c r="J3111" s="41">
        <f t="shared" si="12"/>
        <v>37.299999999999997</v>
      </c>
      <c r="K3111" s="42" t="s">
        <v>5796</v>
      </c>
      <c r="L3111" s="39">
        <v>3017</v>
      </c>
    </row>
    <row r="3112" spans="1:12" ht="11.25" customHeight="1">
      <c r="A3112" s="39">
        <v>3018</v>
      </c>
      <c r="B3112" s="40" t="s">
        <v>17292</v>
      </c>
      <c r="C3112" s="40" t="s">
        <v>17293</v>
      </c>
      <c r="D3112" s="40" t="s">
        <v>17294</v>
      </c>
      <c r="E3112" s="41">
        <v>37.22</v>
      </c>
      <c r="F3112" s="40"/>
      <c r="G3112" s="41"/>
      <c r="H3112" s="40"/>
      <c r="I3112" s="41"/>
      <c r="J3112" s="41">
        <f t="shared" si="12"/>
        <v>37.22</v>
      </c>
      <c r="K3112" s="42" t="s">
        <v>5796</v>
      </c>
      <c r="L3112" s="39">
        <v>3018</v>
      </c>
    </row>
    <row r="3113" spans="1:12" ht="11.25" customHeight="1">
      <c r="A3113" s="39">
        <v>3019</v>
      </c>
      <c r="B3113" s="40" t="s">
        <v>17295</v>
      </c>
      <c r="C3113" s="40" t="s">
        <v>17296</v>
      </c>
      <c r="D3113" s="40" t="s">
        <v>17297</v>
      </c>
      <c r="E3113" s="41">
        <v>37.159999999999997</v>
      </c>
      <c r="F3113" s="40"/>
      <c r="G3113" s="41"/>
      <c r="H3113" s="40"/>
      <c r="I3113" s="41"/>
      <c r="J3113" s="41">
        <f t="shared" si="12"/>
        <v>37.159999999999997</v>
      </c>
      <c r="K3113" s="42" t="s">
        <v>5796</v>
      </c>
      <c r="L3113" s="39">
        <v>3019</v>
      </c>
    </row>
    <row r="3114" spans="1:12" ht="11.25" customHeight="1">
      <c r="A3114" s="39">
        <v>3020</v>
      </c>
      <c r="B3114" s="40" t="s">
        <v>17298</v>
      </c>
      <c r="C3114" s="40" t="s">
        <v>17299</v>
      </c>
      <c r="D3114" s="40" t="s">
        <v>17300</v>
      </c>
      <c r="E3114" s="41">
        <v>37.04</v>
      </c>
      <c r="F3114" s="40"/>
      <c r="G3114" s="41"/>
      <c r="H3114" s="40"/>
      <c r="I3114" s="41"/>
      <c r="J3114" s="41">
        <f t="shared" si="12"/>
        <v>37.04</v>
      </c>
      <c r="K3114" s="42" t="s">
        <v>5796</v>
      </c>
      <c r="L3114" s="39">
        <v>3020</v>
      </c>
    </row>
    <row r="3115" spans="1:12" ht="11.25" customHeight="1">
      <c r="A3115" s="39">
        <v>3021</v>
      </c>
      <c r="B3115" s="40" t="s">
        <v>17301</v>
      </c>
      <c r="C3115" s="40" t="s">
        <v>17302</v>
      </c>
      <c r="D3115" s="40" t="s">
        <v>17303</v>
      </c>
      <c r="E3115" s="41">
        <v>37.03</v>
      </c>
      <c r="F3115" s="40"/>
      <c r="G3115" s="41"/>
      <c r="H3115" s="40"/>
      <c r="I3115" s="41"/>
      <c r="J3115" s="41">
        <f t="shared" si="12"/>
        <v>37.03</v>
      </c>
      <c r="K3115" s="42" t="s">
        <v>5796</v>
      </c>
      <c r="L3115" s="39">
        <v>3021</v>
      </c>
    </row>
    <row r="3116" spans="1:12" ht="11.25" customHeight="1">
      <c r="A3116" s="39">
        <v>3022</v>
      </c>
      <c r="B3116" s="40" t="s">
        <v>17304</v>
      </c>
      <c r="C3116" s="40" t="s">
        <v>17305</v>
      </c>
      <c r="D3116" s="40" t="s">
        <v>17306</v>
      </c>
      <c r="E3116" s="41">
        <v>36.979999999999997</v>
      </c>
      <c r="F3116" s="40"/>
      <c r="G3116" s="41"/>
      <c r="H3116" s="40"/>
      <c r="I3116" s="41"/>
      <c r="J3116" s="41">
        <f t="shared" si="12"/>
        <v>36.979999999999997</v>
      </c>
      <c r="K3116" s="42" t="s">
        <v>5796</v>
      </c>
      <c r="L3116" s="39">
        <v>3022</v>
      </c>
    </row>
    <row r="3117" spans="1:12" ht="11.25" customHeight="1">
      <c r="A3117" s="39">
        <v>3024</v>
      </c>
      <c r="B3117" s="40" t="s">
        <v>17307</v>
      </c>
      <c r="C3117" s="40" t="s">
        <v>17308</v>
      </c>
      <c r="D3117" s="40" t="s">
        <v>17309</v>
      </c>
      <c r="E3117" s="41">
        <v>36.82</v>
      </c>
      <c r="F3117" s="40"/>
      <c r="G3117" s="41"/>
      <c r="H3117" s="40"/>
      <c r="I3117" s="41"/>
      <c r="J3117" s="41">
        <f t="shared" si="12"/>
        <v>36.82</v>
      </c>
      <c r="K3117" s="42" t="s">
        <v>5796</v>
      </c>
      <c r="L3117" s="39">
        <v>3024</v>
      </c>
    </row>
    <row r="3118" spans="1:12" ht="11.25" customHeight="1">
      <c r="A3118" s="39">
        <v>3025</v>
      </c>
      <c r="B3118" s="40" t="s">
        <v>17310</v>
      </c>
      <c r="C3118" s="40" t="s">
        <v>17311</v>
      </c>
      <c r="D3118" s="40" t="s">
        <v>17312</v>
      </c>
      <c r="E3118" s="41">
        <v>36.79</v>
      </c>
      <c r="F3118" s="40"/>
      <c r="G3118" s="41"/>
      <c r="H3118" s="40"/>
      <c r="I3118" s="41"/>
      <c r="J3118" s="41">
        <f t="shared" si="12"/>
        <v>36.79</v>
      </c>
      <c r="K3118" s="42" t="s">
        <v>5796</v>
      </c>
      <c r="L3118" s="39">
        <v>3025</v>
      </c>
    </row>
    <row r="3119" spans="1:12" ht="11.25" customHeight="1">
      <c r="A3119" s="39">
        <v>3026</v>
      </c>
      <c r="B3119" s="40" t="s">
        <v>17313</v>
      </c>
      <c r="C3119" s="40" t="s">
        <v>17314</v>
      </c>
      <c r="D3119" s="40" t="s">
        <v>17315</v>
      </c>
      <c r="E3119" s="41">
        <v>36.71</v>
      </c>
      <c r="F3119" s="40"/>
      <c r="G3119" s="41"/>
      <c r="H3119" s="40"/>
      <c r="I3119" s="41"/>
      <c r="J3119" s="41">
        <f t="shared" si="12"/>
        <v>36.71</v>
      </c>
      <c r="K3119" s="42" t="s">
        <v>5796</v>
      </c>
      <c r="L3119" s="39">
        <v>3026</v>
      </c>
    </row>
    <row r="3120" spans="1:12" ht="11.25" customHeight="1">
      <c r="A3120" s="39">
        <v>3027</v>
      </c>
      <c r="B3120" s="40" t="s">
        <v>17316</v>
      </c>
      <c r="C3120" s="40" t="s">
        <v>17317</v>
      </c>
      <c r="D3120" s="40" t="s">
        <v>17318</v>
      </c>
      <c r="E3120" s="41">
        <v>36.68</v>
      </c>
      <c r="F3120" s="40"/>
      <c r="G3120" s="41"/>
      <c r="H3120" s="40"/>
      <c r="I3120" s="41"/>
      <c r="J3120" s="41">
        <f t="shared" si="12"/>
        <v>36.68</v>
      </c>
      <c r="K3120" s="42" t="s">
        <v>5796</v>
      </c>
      <c r="L3120" s="39">
        <v>3027</v>
      </c>
    </row>
    <row r="3121" spans="1:12" ht="11.25" customHeight="1">
      <c r="A3121" s="39">
        <v>3028</v>
      </c>
      <c r="B3121" s="40" t="s">
        <v>17319</v>
      </c>
      <c r="C3121" s="40" t="s">
        <v>17320</v>
      </c>
      <c r="D3121" s="40" t="s">
        <v>17321</v>
      </c>
      <c r="E3121" s="41">
        <v>36.61</v>
      </c>
      <c r="F3121" s="40"/>
      <c r="G3121" s="41"/>
      <c r="H3121" s="40"/>
      <c r="I3121" s="41"/>
      <c r="J3121" s="41">
        <f t="shared" si="12"/>
        <v>36.61</v>
      </c>
      <c r="K3121" s="42" t="s">
        <v>5796</v>
      </c>
      <c r="L3121" s="39">
        <v>3028</v>
      </c>
    </row>
    <row r="3122" spans="1:12" ht="11.25" customHeight="1">
      <c r="A3122" s="39">
        <v>3029</v>
      </c>
      <c r="B3122" s="40" t="s">
        <v>17322</v>
      </c>
      <c r="C3122" s="40" t="s">
        <v>17323</v>
      </c>
      <c r="D3122" s="40" t="s">
        <v>17324</v>
      </c>
      <c r="E3122" s="41">
        <v>36.58</v>
      </c>
      <c r="F3122" s="40"/>
      <c r="G3122" s="41"/>
      <c r="H3122" s="40"/>
      <c r="I3122" s="41"/>
      <c r="J3122" s="41">
        <f t="shared" si="12"/>
        <v>36.58</v>
      </c>
      <c r="K3122" s="42" t="s">
        <v>5796</v>
      </c>
      <c r="L3122" s="39">
        <v>3029</v>
      </c>
    </row>
    <row r="3123" spans="1:12" ht="11.25" customHeight="1">
      <c r="A3123" s="39">
        <v>3030</v>
      </c>
      <c r="B3123" s="40" t="s">
        <v>17325</v>
      </c>
      <c r="C3123" s="40" t="s">
        <v>17326</v>
      </c>
      <c r="D3123" s="40" t="s">
        <v>17327</v>
      </c>
      <c r="E3123" s="41">
        <v>36.49</v>
      </c>
      <c r="F3123" s="40"/>
      <c r="G3123" s="41"/>
      <c r="H3123" s="40"/>
      <c r="I3123" s="41"/>
      <c r="J3123" s="41">
        <f t="shared" si="12"/>
        <v>36.49</v>
      </c>
      <c r="K3123" s="42" t="s">
        <v>5796</v>
      </c>
      <c r="L3123" s="39">
        <v>3030</v>
      </c>
    </row>
    <row r="3124" spans="1:12" ht="11.25" customHeight="1">
      <c r="A3124" s="39">
        <v>3031</v>
      </c>
      <c r="B3124" s="40" t="s">
        <v>17328</v>
      </c>
      <c r="C3124" s="40" t="s">
        <v>17329</v>
      </c>
      <c r="D3124" s="40" t="s">
        <v>17330</v>
      </c>
      <c r="E3124" s="41">
        <v>36.340000000000003</v>
      </c>
      <c r="F3124" s="40"/>
      <c r="G3124" s="41"/>
      <c r="H3124" s="40"/>
      <c r="I3124" s="41"/>
      <c r="J3124" s="41">
        <f t="shared" si="12"/>
        <v>36.340000000000003</v>
      </c>
      <c r="K3124" s="42" t="s">
        <v>5796</v>
      </c>
      <c r="L3124" s="39">
        <v>3031</v>
      </c>
    </row>
    <row r="3125" spans="1:12" ht="11.25" customHeight="1">
      <c r="A3125" s="39">
        <v>3032</v>
      </c>
      <c r="B3125" s="40" t="s">
        <v>17331</v>
      </c>
      <c r="C3125" s="40" t="s">
        <v>17332</v>
      </c>
      <c r="D3125" s="40" t="s">
        <v>17333</v>
      </c>
      <c r="E3125" s="41">
        <v>36.159999999999997</v>
      </c>
      <c r="F3125" s="40"/>
      <c r="G3125" s="41"/>
      <c r="H3125" s="40"/>
      <c r="I3125" s="41"/>
      <c r="J3125" s="41">
        <f t="shared" si="12"/>
        <v>36.159999999999997</v>
      </c>
      <c r="K3125" s="42" t="s">
        <v>5796</v>
      </c>
      <c r="L3125" s="39">
        <v>3032</v>
      </c>
    </row>
    <row r="3126" spans="1:12" ht="11.25" customHeight="1">
      <c r="A3126" s="39">
        <v>3033</v>
      </c>
      <c r="B3126" s="40" t="s">
        <v>17334</v>
      </c>
      <c r="C3126" s="40" t="s">
        <v>17335</v>
      </c>
      <c r="D3126" s="40" t="s">
        <v>17336</v>
      </c>
      <c r="E3126" s="41">
        <v>36.130000000000003</v>
      </c>
      <c r="F3126" s="40"/>
      <c r="G3126" s="41"/>
      <c r="H3126" s="40"/>
      <c r="I3126" s="41"/>
      <c r="J3126" s="41">
        <f t="shared" si="12"/>
        <v>36.130000000000003</v>
      </c>
      <c r="K3126" s="42" t="s">
        <v>5796</v>
      </c>
      <c r="L3126" s="39">
        <v>3033</v>
      </c>
    </row>
    <row r="3127" spans="1:12" ht="11.25" customHeight="1">
      <c r="A3127" s="39">
        <v>3034</v>
      </c>
      <c r="B3127" s="40" t="s">
        <v>17337</v>
      </c>
      <c r="C3127" s="40" t="s">
        <v>17338</v>
      </c>
      <c r="D3127" s="40" t="s">
        <v>17339</v>
      </c>
      <c r="E3127" s="41">
        <v>36.090000000000003</v>
      </c>
      <c r="F3127" s="40"/>
      <c r="G3127" s="41"/>
      <c r="H3127" s="40"/>
      <c r="I3127" s="41"/>
      <c r="J3127" s="41">
        <f t="shared" si="12"/>
        <v>36.090000000000003</v>
      </c>
      <c r="K3127" s="42" t="s">
        <v>5796</v>
      </c>
      <c r="L3127" s="39">
        <v>3034</v>
      </c>
    </row>
    <row r="3128" spans="1:12" ht="11.25" customHeight="1">
      <c r="A3128" s="39">
        <v>3035</v>
      </c>
      <c r="B3128" s="40" t="s">
        <v>17340</v>
      </c>
      <c r="C3128" s="40" t="s">
        <v>17341</v>
      </c>
      <c r="D3128" s="40" t="s">
        <v>17342</v>
      </c>
      <c r="E3128" s="41">
        <v>36.020000000000003</v>
      </c>
      <c r="F3128" s="40"/>
      <c r="G3128" s="41"/>
      <c r="H3128" s="40"/>
      <c r="I3128" s="41"/>
      <c r="J3128" s="41">
        <f t="shared" si="12"/>
        <v>36.020000000000003</v>
      </c>
      <c r="K3128" s="42" t="s">
        <v>5796</v>
      </c>
      <c r="L3128" s="39">
        <v>3035</v>
      </c>
    </row>
    <row r="3129" spans="1:12" ht="11.25" customHeight="1">
      <c r="A3129" s="39">
        <v>3036</v>
      </c>
      <c r="B3129" s="40" t="s">
        <v>17343</v>
      </c>
      <c r="C3129" s="40" t="s">
        <v>17344</v>
      </c>
      <c r="D3129" s="40" t="s">
        <v>17345</v>
      </c>
      <c r="E3129" s="41">
        <v>36.01</v>
      </c>
      <c r="F3129" s="40"/>
      <c r="G3129" s="41"/>
      <c r="H3129" s="40"/>
      <c r="I3129" s="41"/>
      <c r="J3129" s="41">
        <f t="shared" si="12"/>
        <v>36.01</v>
      </c>
      <c r="K3129" s="42" t="s">
        <v>5796</v>
      </c>
      <c r="L3129" s="39">
        <v>3036</v>
      </c>
    </row>
    <row r="3130" spans="1:12" ht="11.25" customHeight="1">
      <c r="A3130" s="39">
        <v>3038</v>
      </c>
      <c r="B3130" s="40" t="s">
        <v>17346</v>
      </c>
      <c r="C3130" s="40" t="s">
        <v>17347</v>
      </c>
      <c r="D3130" s="40" t="s">
        <v>17348</v>
      </c>
      <c r="E3130" s="41">
        <v>35.96</v>
      </c>
      <c r="F3130" s="40"/>
      <c r="G3130" s="41"/>
      <c r="H3130" s="40"/>
      <c r="I3130" s="41"/>
      <c r="J3130" s="41">
        <f t="shared" si="12"/>
        <v>35.96</v>
      </c>
      <c r="K3130" s="42" t="s">
        <v>5796</v>
      </c>
      <c r="L3130" s="39">
        <v>3038</v>
      </c>
    </row>
    <row r="3131" spans="1:12" ht="11.25" customHeight="1">
      <c r="A3131" s="39">
        <v>3039</v>
      </c>
      <c r="B3131" s="40" t="s">
        <v>17349</v>
      </c>
      <c r="C3131" s="40" t="s">
        <v>17350</v>
      </c>
      <c r="D3131" s="40" t="s">
        <v>17351</v>
      </c>
      <c r="E3131" s="41">
        <v>35.83</v>
      </c>
      <c r="F3131" s="40"/>
      <c r="G3131" s="41"/>
      <c r="H3131" s="40"/>
      <c r="I3131" s="41"/>
      <c r="J3131" s="41">
        <f t="shared" si="12"/>
        <v>35.83</v>
      </c>
      <c r="K3131" s="42" t="s">
        <v>5796</v>
      </c>
      <c r="L3131" s="39">
        <v>3039</v>
      </c>
    </row>
    <row r="3132" spans="1:12" ht="11.25" customHeight="1">
      <c r="A3132" s="39">
        <v>3040</v>
      </c>
      <c r="B3132" s="40" t="s">
        <v>17352</v>
      </c>
      <c r="C3132" s="40" t="s">
        <v>17353</v>
      </c>
      <c r="D3132" s="40" t="s">
        <v>17354</v>
      </c>
      <c r="E3132" s="41">
        <v>35.799999999999997</v>
      </c>
      <c r="F3132" s="40"/>
      <c r="G3132" s="41"/>
      <c r="H3132" s="40"/>
      <c r="I3132" s="41"/>
      <c r="J3132" s="41">
        <f t="shared" si="12"/>
        <v>35.799999999999997</v>
      </c>
      <c r="K3132" s="42" t="s">
        <v>5796</v>
      </c>
      <c r="L3132" s="39">
        <v>3040</v>
      </c>
    </row>
    <row r="3133" spans="1:12" ht="11.25" customHeight="1">
      <c r="A3133" s="39">
        <v>3041</v>
      </c>
      <c r="B3133" s="40" t="s">
        <v>17355</v>
      </c>
      <c r="C3133" s="40" t="s">
        <v>17356</v>
      </c>
      <c r="D3133" s="40" t="s">
        <v>17357</v>
      </c>
      <c r="E3133" s="41">
        <v>35.770000000000003</v>
      </c>
      <c r="F3133" s="40"/>
      <c r="G3133" s="41"/>
      <c r="H3133" s="40"/>
      <c r="I3133" s="41"/>
      <c r="J3133" s="41">
        <f t="shared" si="12"/>
        <v>35.770000000000003</v>
      </c>
      <c r="K3133" s="42" t="s">
        <v>5796</v>
      </c>
      <c r="L3133" s="39">
        <v>3041</v>
      </c>
    </row>
    <row r="3134" spans="1:12" ht="11.25" customHeight="1">
      <c r="A3134" s="39">
        <v>3042</v>
      </c>
      <c r="B3134" s="40" t="s">
        <v>17358</v>
      </c>
      <c r="C3134" s="40" t="s">
        <v>17359</v>
      </c>
      <c r="D3134" s="40" t="s">
        <v>17360</v>
      </c>
      <c r="E3134" s="41">
        <v>35.729999999999997</v>
      </c>
      <c r="F3134" s="40"/>
      <c r="G3134" s="41"/>
      <c r="H3134" s="40"/>
      <c r="I3134" s="41"/>
      <c r="J3134" s="41">
        <f t="shared" si="12"/>
        <v>35.729999999999997</v>
      </c>
      <c r="K3134" s="42" t="s">
        <v>5796</v>
      </c>
      <c r="L3134" s="39">
        <v>3042</v>
      </c>
    </row>
    <row r="3135" spans="1:12" ht="11.25" customHeight="1">
      <c r="A3135" s="39">
        <v>3043</v>
      </c>
      <c r="B3135" s="40" t="s">
        <v>17361</v>
      </c>
      <c r="C3135" s="40" t="s">
        <v>17362</v>
      </c>
      <c r="D3135" s="40" t="s">
        <v>17363</v>
      </c>
      <c r="E3135" s="41">
        <v>35.51</v>
      </c>
      <c r="F3135" s="40"/>
      <c r="G3135" s="41"/>
      <c r="H3135" s="40"/>
      <c r="I3135" s="41"/>
      <c r="J3135" s="41">
        <f t="shared" si="12"/>
        <v>35.51</v>
      </c>
      <c r="K3135" s="42" t="s">
        <v>5796</v>
      </c>
      <c r="L3135" s="39">
        <v>3043</v>
      </c>
    </row>
    <row r="3136" spans="1:12" ht="11.25" customHeight="1">
      <c r="A3136" s="39">
        <v>3045</v>
      </c>
      <c r="B3136" s="40" t="s">
        <v>17364</v>
      </c>
      <c r="C3136" s="40" t="s">
        <v>17365</v>
      </c>
      <c r="D3136" s="40" t="s">
        <v>17366</v>
      </c>
      <c r="E3136" s="41">
        <v>35.36</v>
      </c>
      <c r="F3136" s="40"/>
      <c r="G3136" s="41"/>
      <c r="H3136" s="40"/>
      <c r="I3136" s="41"/>
      <c r="J3136" s="41">
        <f t="shared" si="12"/>
        <v>35.36</v>
      </c>
      <c r="K3136" s="42" t="s">
        <v>5796</v>
      </c>
      <c r="L3136" s="39">
        <v>3045</v>
      </c>
    </row>
    <row r="3137" spans="1:12" ht="11.25" customHeight="1">
      <c r="A3137" s="39">
        <v>3047</v>
      </c>
      <c r="B3137" s="40" t="s">
        <v>17367</v>
      </c>
      <c r="C3137" s="40" t="s">
        <v>17368</v>
      </c>
      <c r="D3137" s="40" t="s">
        <v>17369</v>
      </c>
      <c r="E3137" s="41">
        <v>35.17</v>
      </c>
      <c r="F3137" s="40"/>
      <c r="G3137" s="41"/>
      <c r="H3137" s="40"/>
      <c r="I3137" s="41"/>
      <c r="J3137" s="41">
        <f t="shared" si="12"/>
        <v>35.17</v>
      </c>
      <c r="K3137" s="42" t="s">
        <v>5796</v>
      </c>
      <c r="L3137" s="39">
        <v>3047</v>
      </c>
    </row>
    <row r="3138" spans="1:12" ht="11.25" customHeight="1">
      <c r="A3138" s="39">
        <v>3048</v>
      </c>
      <c r="B3138" s="40" t="s">
        <v>17370</v>
      </c>
      <c r="C3138" s="40" t="s">
        <v>17371</v>
      </c>
      <c r="D3138" s="40" t="s">
        <v>17372</v>
      </c>
      <c r="E3138" s="41">
        <v>35.090000000000003</v>
      </c>
      <c r="F3138" s="40"/>
      <c r="G3138" s="41"/>
      <c r="H3138" s="40"/>
      <c r="I3138" s="41"/>
      <c r="J3138" s="41">
        <f t="shared" si="12"/>
        <v>35.090000000000003</v>
      </c>
      <c r="K3138" s="42" t="s">
        <v>5796</v>
      </c>
      <c r="L3138" s="39">
        <v>3048</v>
      </c>
    </row>
    <row r="3139" spans="1:12" ht="11.25" customHeight="1">
      <c r="A3139" s="39">
        <v>3050</v>
      </c>
      <c r="B3139" s="40" t="s">
        <v>17373</v>
      </c>
      <c r="C3139" s="40" t="s">
        <v>17374</v>
      </c>
      <c r="D3139" s="40" t="s">
        <v>17375</v>
      </c>
      <c r="E3139" s="41">
        <v>35.020000000000003</v>
      </c>
      <c r="F3139" s="40"/>
      <c r="G3139" s="41"/>
      <c r="H3139" s="40"/>
      <c r="I3139" s="41"/>
      <c r="J3139" s="41">
        <f t="shared" si="12"/>
        <v>35.020000000000003</v>
      </c>
      <c r="K3139" s="42" t="s">
        <v>5796</v>
      </c>
      <c r="L3139" s="39">
        <v>3050</v>
      </c>
    </row>
    <row r="3140" spans="1:12" ht="11.25" customHeight="1">
      <c r="A3140" s="39">
        <v>3052</v>
      </c>
      <c r="B3140" s="40" t="s">
        <v>8090</v>
      </c>
      <c r="C3140" s="40" t="s">
        <v>17376</v>
      </c>
      <c r="D3140" s="40" t="s">
        <v>17377</v>
      </c>
      <c r="E3140" s="41">
        <v>34.97</v>
      </c>
      <c r="F3140" s="40"/>
      <c r="G3140" s="41"/>
      <c r="H3140" s="40"/>
      <c r="I3140" s="41"/>
      <c r="J3140" s="41">
        <f t="shared" si="12"/>
        <v>34.97</v>
      </c>
      <c r="K3140" s="42" t="s">
        <v>5796</v>
      </c>
      <c r="L3140" s="39">
        <v>3052</v>
      </c>
    </row>
    <row r="3141" spans="1:12" ht="11.25" customHeight="1">
      <c r="A3141" s="39">
        <v>3053</v>
      </c>
      <c r="B3141" s="40" t="s">
        <v>17378</v>
      </c>
      <c r="C3141" s="40" t="s">
        <v>17379</v>
      </c>
      <c r="D3141" s="40" t="s">
        <v>17380</v>
      </c>
      <c r="E3141" s="41">
        <v>34.93</v>
      </c>
      <c r="F3141" s="40"/>
      <c r="G3141" s="41"/>
      <c r="H3141" s="40"/>
      <c r="I3141" s="41"/>
      <c r="J3141" s="41">
        <f t="shared" si="12"/>
        <v>34.93</v>
      </c>
      <c r="K3141" s="42" t="s">
        <v>5796</v>
      </c>
      <c r="L3141" s="39">
        <v>3053</v>
      </c>
    </row>
    <row r="3142" spans="1:12" ht="11.25" customHeight="1">
      <c r="A3142" s="39">
        <v>3054</v>
      </c>
      <c r="B3142" s="40" t="s">
        <v>17381</v>
      </c>
      <c r="C3142" s="40" t="s">
        <v>17382</v>
      </c>
      <c r="D3142" s="40" t="s">
        <v>17383</v>
      </c>
      <c r="E3142" s="41">
        <v>34.93</v>
      </c>
      <c r="F3142" s="40"/>
      <c r="G3142" s="41"/>
      <c r="H3142" s="40"/>
      <c r="I3142" s="41"/>
      <c r="J3142" s="41">
        <f t="shared" si="12"/>
        <v>34.93</v>
      </c>
      <c r="K3142" s="42" t="s">
        <v>5796</v>
      </c>
      <c r="L3142" s="39">
        <v>3054</v>
      </c>
    </row>
    <row r="3143" spans="1:12" ht="11.25" customHeight="1">
      <c r="A3143" s="39">
        <v>3055</v>
      </c>
      <c r="B3143" s="40" t="s">
        <v>8209</v>
      </c>
      <c r="C3143" s="40" t="s">
        <v>17384</v>
      </c>
      <c r="D3143" s="40" t="s">
        <v>17385</v>
      </c>
      <c r="E3143" s="41">
        <v>34.83</v>
      </c>
      <c r="F3143" s="40"/>
      <c r="G3143" s="41"/>
      <c r="H3143" s="40"/>
      <c r="I3143" s="41"/>
      <c r="J3143" s="41">
        <f t="shared" si="12"/>
        <v>34.83</v>
      </c>
      <c r="K3143" s="42" t="s">
        <v>5796</v>
      </c>
      <c r="L3143" s="39">
        <v>3055</v>
      </c>
    </row>
    <row r="3144" spans="1:12" ht="11.25" customHeight="1">
      <c r="A3144" s="39">
        <v>3056</v>
      </c>
      <c r="B3144" s="40" t="s">
        <v>17386</v>
      </c>
      <c r="C3144" s="40" t="s">
        <v>17387</v>
      </c>
      <c r="D3144" s="40" t="s">
        <v>17388</v>
      </c>
      <c r="E3144" s="41">
        <v>34.82</v>
      </c>
      <c r="F3144" s="40"/>
      <c r="G3144" s="41"/>
      <c r="H3144" s="40"/>
      <c r="I3144" s="41"/>
      <c r="J3144" s="41">
        <f t="shared" si="12"/>
        <v>34.82</v>
      </c>
      <c r="K3144" s="42" t="s">
        <v>5796</v>
      </c>
      <c r="L3144" s="39">
        <v>3056</v>
      </c>
    </row>
    <row r="3145" spans="1:12" ht="11.25" customHeight="1">
      <c r="A3145" s="39">
        <v>3057</v>
      </c>
      <c r="B3145" s="40" t="s">
        <v>8312</v>
      </c>
      <c r="C3145" s="40" t="s">
        <v>17389</v>
      </c>
      <c r="D3145" s="40" t="s">
        <v>17390</v>
      </c>
      <c r="E3145" s="41">
        <v>34.81</v>
      </c>
      <c r="F3145" s="40"/>
      <c r="G3145" s="41"/>
      <c r="H3145" s="40"/>
      <c r="I3145" s="41"/>
      <c r="J3145" s="41">
        <f t="shared" si="12"/>
        <v>34.81</v>
      </c>
      <c r="K3145" s="42" t="s">
        <v>5796</v>
      </c>
      <c r="L3145" s="39">
        <v>3057</v>
      </c>
    </row>
    <row r="3146" spans="1:12" ht="11.25" customHeight="1">
      <c r="A3146" s="39">
        <v>3058</v>
      </c>
      <c r="B3146" s="40" t="s">
        <v>17391</v>
      </c>
      <c r="C3146" s="40" t="s">
        <v>17392</v>
      </c>
      <c r="D3146" s="40" t="s">
        <v>17393</v>
      </c>
      <c r="E3146" s="41">
        <v>34.799999999999997</v>
      </c>
      <c r="F3146" s="40"/>
      <c r="G3146" s="41"/>
      <c r="H3146" s="40"/>
      <c r="I3146" s="41"/>
      <c r="J3146" s="41">
        <f t="shared" si="12"/>
        <v>34.799999999999997</v>
      </c>
      <c r="K3146" s="42" t="s">
        <v>5796</v>
      </c>
      <c r="L3146" s="39">
        <v>3058</v>
      </c>
    </row>
    <row r="3147" spans="1:12" ht="11.25" customHeight="1">
      <c r="A3147" s="39">
        <v>3060</v>
      </c>
      <c r="B3147" s="40" t="s">
        <v>17394</v>
      </c>
      <c r="C3147" s="40" t="s">
        <v>17395</v>
      </c>
      <c r="D3147" s="40" t="s">
        <v>17396</v>
      </c>
      <c r="E3147" s="41">
        <v>34.67</v>
      </c>
      <c r="F3147" s="40"/>
      <c r="G3147" s="41"/>
      <c r="H3147" s="40"/>
      <c r="I3147" s="41"/>
      <c r="J3147" s="41">
        <f t="shared" si="12"/>
        <v>34.67</v>
      </c>
      <c r="K3147" s="42" t="s">
        <v>5796</v>
      </c>
      <c r="L3147" s="39">
        <v>3060</v>
      </c>
    </row>
    <row r="3148" spans="1:12" ht="11.25" customHeight="1">
      <c r="A3148" s="39">
        <v>3061</v>
      </c>
      <c r="B3148" s="40" t="s">
        <v>17397</v>
      </c>
      <c r="C3148" s="40" t="s">
        <v>17398</v>
      </c>
      <c r="D3148" s="40" t="s">
        <v>17399</v>
      </c>
      <c r="E3148" s="41">
        <v>34.65</v>
      </c>
      <c r="F3148" s="40"/>
      <c r="G3148" s="41"/>
      <c r="H3148" s="40"/>
      <c r="I3148" s="41"/>
      <c r="J3148" s="41">
        <f t="shared" si="12"/>
        <v>34.65</v>
      </c>
      <c r="K3148" s="42" t="s">
        <v>5796</v>
      </c>
      <c r="L3148" s="39">
        <v>3061</v>
      </c>
    </row>
    <row r="3149" spans="1:12" ht="11.25" customHeight="1">
      <c r="A3149" s="39">
        <v>3062</v>
      </c>
      <c r="B3149" s="40" t="s">
        <v>17400</v>
      </c>
      <c r="C3149" s="40" t="s">
        <v>17401</v>
      </c>
      <c r="D3149" s="40" t="s">
        <v>17402</v>
      </c>
      <c r="E3149" s="41">
        <v>34.619999999999997</v>
      </c>
      <c r="F3149" s="40"/>
      <c r="G3149" s="41"/>
      <c r="H3149" s="40"/>
      <c r="I3149" s="41"/>
      <c r="J3149" s="41">
        <f t="shared" si="12"/>
        <v>34.619999999999997</v>
      </c>
      <c r="K3149" s="42" t="s">
        <v>5796</v>
      </c>
      <c r="L3149" s="39">
        <v>3062</v>
      </c>
    </row>
    <row r="3150" spans="1:12" ht="11.25" customHeight="1">
      <c r="A3150" s="39">
        <v>3063</v>
      </c>
      <c r="B3150" s="52" t="s">
        <v>8191</v>
      </c>
      <c r="C3150" s="52" t="s">
        <v>17403</v>
      </c>
      <c r="D3150" s="40"/>
      <c r="E3150" s="41"/>
      <c r="F3150" s="40"/>
      <c r="G3150" s="41"/>
      <c r="H3150" s="52" t="s">
        <v>17404</v>
      </c>
      <c r="I3150" s="53">
        <v>34.572752500000099</v>
      </c>
      <c r="J3150" s="41">
        <f t="shared" si="12"/>
        <v>34.572752500000099</v>
      </c>
      <c r="K3150" s="42" t="s">
        <v>5796</v>
      </c>
      <c r="L3150" s="39">
        <v>3063</v>
      </c>
    </row>
    <row r="3151" spans="1:12" ht="11.25" customHeight="1">
      <c r="A3151" s="39">
        <v>3064</v>
      </c>
      <c r="B3151" s="40" t="s">
        <v>17405</v>
      </c>
      <c r="C3151" s="40" t="s">
        <v>17406</v>
      </c>
      <c r="D3151" s="40" t="s">
        <v>17407</v>
      </c>
      <c r="E3151" s="41">
        <v>34.479999999999997</v>
      </c>
      <c r="F3151" s="40"/>
      <c r="G3151" s="41"/>
      <c r="H3151" s="40"/>
      <c r="I3151" s="41"/>
      <c r="J3151" s="41">
        <f t="shared" si="12"/>
        <v>34.479999999999997</v>
      </c>
      <c r="K3151" s="42" t="s">
        <v>5796</v>
      </c>
      <c r="L3151" s="39">
        <v>3064</v>
      </c>
    </row>
    <row r="3152" spans="1:12" ht="11.25" customHeight="1">
      <c r="A3152" s="39">
        <v>3065</v>
      </c>
      <c r="B3152" s="40" t="s">
        <v>8452</v>
      </c>
      <c r="C3152" s="40" t="s">
        <v>17408</v>
      </c>
      <c r="D3152" s="40" t="s">
        <v>17409</v>
      </c>
      <c r="E3152" s="41">
        <v>34.44</v>
      </c>
      <c r="F3152" s="40"/>
      <c r="G3152" s="41"/>
      <c r="H3152" s="40"/>
      <c r="I3152" s="41"/>
      <c r="J3152" s="41">
        <f t="shared" si="12"/>
        <v>34.44</v>
      </c>
      <c r="K3152" s="42" t="s">
        <v>5796</v>
      </c>
      <c r="L3152" s="39">
        <v>3065</v>
      </c>
    </row>
    <row r="3153" spans="1:12" ht="11.25" customHeight="1">
      <c r="A3153" s="39">
        <v>3066</v>
      </c>
      <c r="B3153" s="40" t="s">
        <v>17410</v>
      </c>
      <c r="C3153" s="40" t="s">
        <v>17411</v>
      </c>
      <c r="D3153" s="40" t="s">
        <v>17412</v>
      </c>
      <c r="E3153" s="41">
        <v>34.4</v>
      </c>
      <c r="F3153" s="40"/>
      <c r="G3153" s="41"/>
      <c r="H3153" s="40"/>
      <c r="I3153" s="41"/>
      <c r="J3153" s="41">
        <f t="shared" si="12"/>
        <v>34.4</v>
      </c>
      <c r="K3153" s="42" t="s">
        <v>5796</v>
      </c>
      <c r="L3153" s="39">
        <v>3066</v>
      </c>
    </row>
    <row r="3154" spans="1:12" ht="11.25" customHeight="1">
      <c r="A3154" s="39">
        <v>3067</v>
      </c>
      <c r="B3154" s="40" t="s">
        <v>17413</v>
      </c>
      <c r="C3154" s="40" t="s">
        <v>17414</v>
      </c>
      <c r="D3154" s="40" t="s">
        <v>17415</v>
      </c>
      <c r="E3154" s="41">
        <v>34.340000000000003</v>
      </c>
      <c r="F3154" s="40"/>
      <c r="G3154" s="41"/>
      <c r="H3154" s="40"/>
      <c r="I3154" s="41"/>
      <c r="J3154" s="41">
        <f t="shared" si="12"/>
        <v>34.340000000000003</v>
      </c>
      <c r="K3154" s="42" t="s">
        <v>5796</v>
      </c>
      <c r="L3154" s="39">
        <v>3067</v>
      </c>
    </row>
    <row r="3155" spans="1:12" ht="11.25" customHeight="1">
      <c r="A3155" s="39">
        <v>3068</v>
      </c>
      <c r="B3155" s="40" t="s">
        <v>8510</v>
      </c>
      <c r="C3155" s="40" t="s">
        <v>17416</v>
      </c>
      <c r="D3155" s="40" t="s">
        <v>17417</v>
      </c>
      <c r="E3155" s="41">
        <v>34.28</v>
      </c>
      <c r="F3155" s="40"/>
      <c r="G3155" s="41"/>
      <c r="H3155" s="40"/>
      <c r="I3155" s="41"/>
      <c r="J3155" s="41">
        <f t="shared" si="12"/>
        <v>34.28</v>
      </c>
      <c r="K3155" s="42" t="s">
        <v>5796</v>
      </c>
      <c r="L3155" s="39">
        <v>3068</v>
      </c>
    </row>
    <row r="3156" spans="1:12" ht="11.25" customHeight="1">
      <c r="A3156" s="39">
        <v>3069</v>
      </c>
      <c r="B3156" s="40" t="s">
        <v>17418</v>
      </c>
      <c r="C3156" s="40" t="s">
        <v>17419</v>
      </c>
      <c r="D3156" s="40" t="s">
        <v>17420</v>
      </c>
      <c r="E3156" s="41">
        <v>34.19</v>
      </c>
      <c r="F3156" s="40"/>
      <c r="G3156" s="41"/>
      <c r="H3156" s="40"/>
      <c r="I3156" s="41"/>
      <c r="J3156" s="41">
        <f t="shared" si="12"/>
        <v>34.19</v>
      </c>
      <c r="K3156" s="42" t="s">
        <v>5796</v>
      </c>
      <c r="L3156" s="39">
        <v>3069</v>
      </c>
    </row>
    <row r="3157" spans="1:12" ht="11.25" customHeight="1">
      <c r="A3157" s="39">
        <v>3070</v>
      </c>
      <c r="B3157" s="40" t="s">
        <v>17421</v>
      </c>
      <c r="C3157" s="40" t="s">
        <v>17422</v>
      </c>
      <c r="D3157" s="40" t="s">
        <v>17423</v>
      </c>
      <c r="E3157" s="41">
        <v>34.17</v>
      </c>
      <c r="F3157" s="40"/>
      <c r="G3157" s="41"/>
      <c r="H3157" s="40"/>
      <c r="I3157" s="41"/>
      <c r="J3157" s="41">
        <f t="shared" si="12"/>
        <v>34.17</v>
      </c>
      <c r="K3157" s="42" t="s">
        <v>5796</v>
      </c>
      <c r="L3157" s="39">
        <v>3070</v>
      </c>
    </row>
    <row r="3158" spans="1:12" ht="11.25" customHeight="1">
      <c r="A3158" s="39">
        <v>3071</v>
      </c>
      <c r="B3158" s="40" t="s">
        <v>17424</v>
      </c>
      <c r="C3158" s="40" t="s">
        <v>17425</v>
      </c>
      <c r="D3158" s="40" t="s">
        <v>17426</v>
      </c>
      <c r="E3158" s="41">
        <v>34.153218705861541</v>
      </c>
      <c r="F3158" s="40"/>
      <c r="G3158" s="41"/>
      <c r="H3158" s="40"/>
      <c r="I3158" s="41"/>
      <c r="J3158" s="41">
        <f t="shared" si="12"/>
        <v>34.153218705861541</v>
      </c>
      <c r="K3158" s="42" t="s">
        <v>5796</v>
      </c>
      <c r="L3158" s="39">
        <v>3071</v>
      </c>
    </row>
    <row r="3159" spans="1:12" ht="11.25" customHeight="1">
      <c r="A3159" s="39">
        <v>3072</v>
      </c>
      <c r="B3159" s="40" t="s">
        <v>17427</v>
      </c>
      <c r="C3159" s="40" t="s">
        <v>17428</v>
      </c>
      <c r="D3159" s="40" t="s">
        <v>17429</v>
      </c>
      <c r="E3159" s="41">
        <v>34.153218705861541</v>
      </c>
      <c r="F3159" s="40"/>
      <c r="G3159" s="41"/>
      <c r="H3159" s="40"/>
      <c r="I3159" s="41"/>
      <c r="J3159" s="41">
        <f t="shared" si="12"/>
        <v>34.153218705861541</v>
      </c>
      <c r="K3159" s="42" t="s">
        <v>5796</v>
      </c>
      <c r="L3159" s="39">
        <v>3072</v>
      </c>
    </row>
    <row r="3160" spans="1:12" ht="11.25" customHeight="1">
      <c r="A3160" s="39">
        <v>3073</v>
      </c>
      <c r="B3160" s="40" t="s">
        <v>17430</v>
      </c>
      <c r="C3160" s="40" t="s">
        <v>17431</v>
      </c>
      <c r="D3160" s="40" t="s">
        <v>17432</v>
      </c>
      <c r="E3160" s="41">
        <v>34.049999999999997</v>
      </c>
      <c r="F3160" s="40"/>
      <c r="G3160" s="41"/>
      <c r="H3160" s="40"/>
      <c r="I3160" s="41"/>
      <c r="J3160" s="41">
        <f t="shared" si="12"/>
        <v>34.049999999999997</v>
      </c>
      <c r="K3160" s="42" t="s">
        <v>5796</v>
      </c>
      <c r="L3160" s="39">
        <v>3073</v>
      </c>
    </row>
    <row r="3161" spans="1:12" ht="11.25" customHeight="1">
      <c r="A3161" s="39">
        <v>3074</v>
      </c>
      <c r="B3161" s="40" t="s">
        <v>17433</v>
      </c>
      <c r="C3161" s="40" t="s">
        <v>17434</v>
      </c>
      <c r="D3161" s="40" t="s">
        <v>17435</v>
      </c>
      <c r="E3161" s="41">
        <v>34.020000000000003</v>
      </c>
      <c r="F3161" s="40"/>
      <c r="G3161" s="41"/>
      <c r="H3161" s="40"/>
      <c r="I3161" s="41"/>
      <c r="J3161" s="41">
        <f t="shared" si="12"/>
        <v>34.020000000000003</v>
      </c>
      <c r="K3161" s="42" t="s">
        <v>5796</v>
      </c>
      <c r="L3161" s="39">
        <v>3074</v>
      </c>
    </row>
    <row r="3162" spans="1:12" ht="11.25" customHeight="1">
      <c r="A3162" s="39">
        <v>3076</v>
      </c>
      <c r="B3162" s="40" t="s">
        <v>8201</v>
      </c>
      <c r="C3162" s="40" t="s">
        <v>17436</v>
      </c>
      <c r="D3162" s="40" t="s">
        <v>17437</v>
      </c>
      <c r="E3162" s="41">
        <v>33.89</v>
      </c>
      <c r="F3162" s="40"/>
      <c r="G3162" s="41"/>
      <c r="H3162" s="40"/>
      <c r="I3162" s="41"/>
      <c r="J3162" s="41">
        <f t="shared" si="12"/>
        <v>33.89</v>
      </c>
      <c r="K3162" s="42" t="s">
        <v>5796</v>
      </c>
      <c r="L3162" s="39">
        <v>3076</v>
      </c>
    </row>
    <row r="3163" spans="1:12" ht="11.25" customHeight="1">
      <c r="A3163" s="39">
        <v>3077</v>
      </c>
      <c r="B3163" s="40" t="s">
        <v>17438</v>
      </c>
      <c r="C3163" s="40" t="s">
        <v>17439</v>
      </c>
      <c r="D3163" s="40" t="s">
        <v>17440</v>
      </c>
      <c r="E3163" s="41">
        <v>33.869999999999997</v>
      </c>
      <c r="F3163" s="40"/>
      <c r="G3163" s="41"/>
      <c r="H3163" s="40"/>
      <c r="I3163" s="41"/>
      <c r="J3163" s="41">
        <f t="shared" si="12"/>
        <v>33.869999999999997</v>
      </c>
      <c r="K3163" s="42" t="s">
        <v>5796</v>
      </c>
      <c r="L3163" s="39">
        <v>3077</v>
      </c>
    </row>
    <row r="3164" spans="1:12" ht="11.25" customHeight="1">
      <c r="A3164" s="39">
        <v>3078</v>
      </c>
      <c r="B3164" s="40" t="s">
        <v>17441</v>
      </c>
      <c r="C3164" s="40" t="s">
        <v>17442</v>
      </c>
      <c r="D3164" s="40" t="s">
        <v>17443</v>
      </c>
      <c r="E3164" s="41">
        <v>33.85</v>
      </c>
      <c r="F3164" s="40"/>
      <c r="G3164" s="41"/>
      <c r="H3164" s="40"/>
      <c r="I3164" s="41"/>
      <c r="J3164" s="41">
        <f t="shared" si="12"/>
        <v>33.85</v>
      </c>
      <c r="K3164" s="42" t="s">
        <v>5796</v>
      </c>
      <c r="L3164" s="39">
        <v>3078</v>
      </c>
    </row>
    <row r="3165" spans="1:12" ht="11.25" customHeight="1">
      <c r="A3165" s="39">
        <v>3079</v>
      </c>
      <c r="B3165" s="40" t="s">
        <v>17444</v>
      </c>
      <c r="C3165" s="40" t="s">
        <v>17445</v>
      </c>
      <c r="D3165" s="40" t="s">
        <v>17446</v>
      </c>
      <c r="E3165" s="41">
        <v>33.82</v>
      </c>
      <c r="F3165" s="40"/>
      <c r="G3165" s="41"/>
      <c r="H3165" s="40"/>
      <c r="I3165" s="41"/>
      <c r="J3165" s="41">
        <f t="shared" si="12"/>
        <v>33.82</v>
      </c>
      <c r="K3165" s="42" t="s">
        <v>5796</v>
      </c>
      <c r="L3165" s="39">
        <v>3079</v>
      </c>
    </row>
    <row r="3166" spans="1:12" ht="11.25" customHeight="1">
      <c r="A3166" s="39">
        <v>3080</v>
      </c>
      <c r="B3166" s="40" t="s">
        <v>17447</v>
      </c>
      <c r="C3166" s="40" t="s">
        <v>17448</v>
      </c>
      <c r="D3166" s="40" t="s">
        <v>17449</v>
      </c>
      <c r="E3166" s="41">
        <v>33.770000000000003</v>
      </c>
      <c r="F3166" s="40"/>
      <c r="G3166" s="41"/>
      <c r="H3166" s="40"/>
      <c r="I3166" s="41"/>
      <c r="J3166" s="41">
        <f t="shared" si="12"/>
        <v>33.770000000000003</v>
      </c>
      <c r="K3166" s="42" t="s">
        <v>5796</v>
      </c>
      <c r="L3166" s="39">
        <v>3080</v>
      </c>
    </row>
    <row r="3167" spans="1:12" ht="11.25" customHeight="1">
      <c r="A3167" s="39">
        <v>3081</v>
      </c>
      <c r="B3167" s="40" t="s">
        <v>17450</v>
      </c>
      <c r="C3167" s="40" t="s">
        <v>17451</v>
      </c>
      <c r="D3167" s="40" t="s">
        <v>17452</v>
      </c>
      <c r="E3167" s="41">
        <v>33.71</v>
      </c>
      <c r="F3167" s="40"/>
      <c r="G3167" s="41"/>
      <c r="H3167" s="40"/>
      <c r="I3167" s="41"/>
      <c r="J3167" s="41">
        <f t="shared" si="12"/>
        <v>33.71</v>
      </c>
      <c r="K3167" s="42" t="s">
        <v>5796</v>
      </c>
      <c r="L3167" s="39">
        <v>3081</v>
      </c>
    </row>
    <row r="3168" spans="1:12" ht="11.25" customHeight="1">
      <c r="A3168" s="39">
        <v>3082</v>
      </c>
      <c r="B3168" s="40" t="s">
        <v>17453</v>
      </c>
      <c r="C3168" s="40" t="s">
        <v>17454</v>
      </c>
      <c r="D3168" s="40" t="s">
        <v>17455</v>
      </c>
      <c r="E3168" s="41">
        <v>33.69</v>
      </c>
      <c r="F3168" s="40"/>
      <c r="G3168" s="41"/>
      <c r="H3168" s="40"/>
      <c r="I3168" s="41"/>
      <c r="J3168" s="41">
        <f t="shared" si="12"/>
        <v>33.69</v>
      </c>
      <c r="K3168" s="42" t="s">
        <v>5796</v>
      </c>
      <c r="L3168" s="39">
        <v>3082</v>
      </c>
    </row>
    <row r="3169" spans="1:12" ht="11.25" customHeight="1">
      <c r="A3169" s="39">
        <v>3083</v>
      </c>
      <c r="B3169" s="40" t="s">
        <v>17456</v>
      </c>
      <c r="C3169" s="40" t="s">
        <v>17457</v>
      </c>
      <c r="D3169" s="40" t="s">
        <v>17458</v>
      </c>
      <c r="E3169" s="41">
        <v>33.49</v>
      </c>
      <c r="F3169" s="40"/>
      <c r="G3169" s="41"/>
      <c r="H3169" s="40"/>
      <c r="I3169" s="41"/>
      <c r="J3169" s="41">
        <f t="shared" si="12"/>
        <v>33.49</v>
      </c>
      <c r="K3169" s="42" t="s">
        <v>5796</v>
      </c>
      <c r="L3169" s="39">
        <v>3083</v>
      </c>
    </row>
    <row r="3170" spans="1:12" ht="11.25" customHeight="1">
      <c r="A3170" s="39">
        <v>3084</v>
      </c>
      <c r="B3170" s="40" t="s">
        <v>17459</v>
      </c>
      <c r="C3170" s="40" t="s">
        <v>17460</v>
      </c>
      <c r="D3170" s="40" t="s">
        <v>17461</v>
      </c>
      <c r="E3170" s="41">
        <v>33.36</v>
      </c>
      <c r="F3170" s="40"/>
      <c r="G3170" s="41"/>
      <c r="H3170" s="40"/>
      <c r="I3170" s="41"/>
      <c r="J3170" s="41">
        <f t="shared" si="12"/>
        <v>33.36</v>
      </c>
      <c r="K3170" s="42" t="s">
        <v>5796</v>
      </c>
      <c r="L3170" s="39">
        <v>3084</v>
      </c>
    </row>
    <row r="3171" spans="1:12" ht="11.25" customHeight="1">
      <c r="A3171" s="39">
        <v>3085</v>
      </c>
      <c r="B3171" s="40" t="s">
        <v>17462</v>
      </c>
      <c r="C3171" s="40" t="s">
        <v>17463</v>
      </c>
      <c r="D3171" s="40" t="s">
        <v>17464</v>
      </c>
      <c r="E3171" s="41">
        <v>33.31</v>
      </c>
      <c r="F3171" s="40"/>
      <c r="G3171" s="41"/>
      <c r="H3171" s="40"/>
      <c r="I3171" s="41"/>
      <c r="J3171" s="41">
        <f t="shared" si="12"/>
        <v>33.31</v>
      </c>
      <c r="K3171" s="42" t="s">
        <v>5796</v>
      </c>
      <c r="L3171" s="39">
        <v>3085</v>
      </c>
    </row>
    <row r="3172" spans="1:12" ht="11.25" customHeight="1">
      <c r="A3172" s="39">
        <v>3086</v>
      </c>
      <c r="B3172" s="40" t="s">
        <v>17465</v>
      </c>
      <c r="C3172" s="40" t="s">
        <v>17466</v>
      </c>
      <c r="D3172" s="40" t="s">
        <v>17467</v>
      </c>
      <c r="E3172" s="41">
        <v>33.28</v>
      </c>
      <c r="F3172" s="40"/>
      <c r="G3172" s="41"/>
      <c r="H3172" s="40"/>
      <c r="I3172" s="41"/>
      <c r="J3172" s="41">
        <f t="shared" si="12"/>
        <v>33.28</v>
      </c>
      <c r="K3172" s="42" t="s">
        <v>5796</v>
      </c>
      <c r="L3172" s="39">
        <v>3086</v>
      </c>
    </row>
    <row r="3173" spans="1:12" ht="11.25" customHeight="1">
      <c r="A3173" s="39">
        <v>3087</v>
      </c>
      <c r="B3173" s="40" t="s">
        <v>17468</v>
      </c>
      <c r="C3173" s="40" t="s">
        <v>17469</v>
      </c>
      <c r="D3173" s="40" t="s">
        <v>17470</v>
      </c>
      <c r="E3173" s="41">
        <v>33.229999999999997</v>
      </c>
      <c r="F3173" s="40"/>
      <c r="G3173" s="41"/>
      <c r="H3173" s="40"/>
      <c r="I3173" s="41"/>
      <c r="J3173" s="41">
        <f t="shared" si="12"/>
        <v>33.229999999999997</v>
      </c>
      <c r="K3173" s="42" t="s">
        <v>5796</v>
      </c>
      <c r="L3173" s="39">
        <v>3087</v>
      </c>
    </row>
    <row r="3174" spans="1:12" ht="11.25" customHeight="1">
      <c r="A3174" s="39">
        <v>3088</v>
      </c>
      <c r="B3174" s="40" t="s">
        <v>8305</v>
      </c>
      <c r="C3174" s="40" t="s">
        <v>17471</v>
      </c>
      <c r="D3174" s="40" t="s">
        <v>17472</v>
      </c>
      <c r="E3174" s="41">
        <v>33.200000000000003</v>
      </c>
      <c r="F3174" s="40"/>
      <c r="G3174" s="41"/>
      <c r="H3174" s="40"/>
      <c r="I3174" s="41"/>
      <c r="J3174" s="41">
        <f t="shared" si="12"/>
        <v>33.200000000000003</v>
      </c>
      <c r="K3174" s="42" t="s">
        <v>5796</v>
      </c>
      <c r="L3174" s="39">
        <v>3088</v>
      </c>
    </row>
    <row r="3175" spans="1:12" ht="11.25" customHeight="1">
      <c r="A3175" s="39">
        <v>3089</v>
      </c>
      <c r="B3175" s="40" t="s">
        <v>17473</v>
      </c>
      <c r="C3175" s="40" t="s">
        <v>17474</v>
      </c>
      <c r="D3175" s="40" t="s">
        <v>17475</v>
      </c>
      <c r="E3175" s="41">
        <v>33.159999999999997</v>
      </c>
      <c r="F3175" s="40"/>
      <c r="G3175" s="41"/>
      <c r="H3175" s="40"/>
      <c r="I3175" s="41"/>
      <c r="J3175" s="41">
        <f t="shared" si="12"/>
        <v>33.159999999999997</v>
      </c>
      <c r="K3175" s="42" t="s">
        <v>5796</v>
      </c>
      <c r="L3175" s="39">
        <v>3089</v>
      </c>
    </row>
    <row r="3176" spans="1:12" ht="11.25" customHeight="1">
      <c r="A3176" s="39">
        <v>3090</v>
      </c>
      <c r="B3176" s="40" t="s">
        <v>17476</v>
      </c>
      <c r="C3176" s="40" t="s">
        <v>17477</v>
      </c>
      <c r="D3176" s="40" t="s">
        <v>17478</v>
      </c>
      <c r="E3176" s="41">
        <v>33.15</v>
      </c>
      <c r="F3176" s="40"/>
      <c r="G3176" s="41"/>
      <c r="H3176" s="40"/>
      <c r="I3176" s="41"/>
      <c r="J3176" s="41">
        <f t="shared" si="12"/>
        <v>33.15</v>
      </c>
      <c r="K3176" s="42" t="s">
        <v>5796</v>
      </c>
      <c r="L3176" s="39">
        <v>3090</v>
      </c>
    </row>
    <row r="3177" spans="1:12" ht="11.25" customHeight="1">
      <c r="A3177" s="39">
        <v>3091</v>
      </c>
      <c r="B3177" s="40" t="s">
        <v>17479</v>
      </c>
      <c r="C3177" s="40" t="s">
        <v>17480</v>
      </c>
      <c r="D3177" s="40" t="s">
        <v>17481</v>
      </c>
      <c r="E3177" s="41">
        <v>33.15</v>
      </c>
      <c r="F3177" s="40"/>
      <c r="G3177" s="41"/>
      <c r="H3177" s="40"/>
      <c r="I3177" s="41"/>
      <c r="J3177" s="41">
        <f t="shared" si="12"/>
        <v>33.15</v>
      </c>
      <c r="K3177" s="42" t="s">
        <v>5796</v>
      </c>
      <c r="L3177" s="39">
        <v>3091</v>
      </c>
    </row>
    <row r="3178" spans="1:12" ht="11.25" customHeight="1">
      <c r="A3178" s="39">
        <v>3092</v>
      </c>
      <c r="B3178" s="40" t="s">
        <v>8126</v>
      </c>
      <c r="C3178" s="40" t="s">
        <v>17482</v>
      </c>
      <c r="D3178" s="40" t="s">
        <v>17483</v>
      </c>
      <c r="E3178" s="41">
        <v>33.119999999999997</v>
      </c>
      <c r="F3178" s="40"/>
      <c r="G3178" s="41"/>
      <c r="H3178" s="40"/>
      <c r="I3178" s="41"/>
      <c r="J3178" s="41">
        <f t="shared" si="12"/>
        <v>33.119999999999997</v>
      </c>
      <c r="K3178" s="42" t="s">
        <v>5796</v>
      </c>
      <c r="L3178" s="39">
        <v>3092</v>
      </c>
    </row>
    <row r="3179" spans="1:12" ht="11.25" customHeight="1">
      <c r="A3179" s="39">
        <v>3093</v>
      </c>
      <c r="B3179" s="40" t="s">
        <v>17484</v>
      </c>
      <c r="C3179" s="40" t="s">
        <v>17485</v>
      </c>
      <c r="D3179" s="40" t="s">
        <v>17486</v>
      </c>
      <c r="E3179" s="41">
        <v>33.1</v>
      </c>
      <c r="F3179" s="40"/>
      <c r="G3179" s="41"/>
      <c r="H3179" s="40"/>
      <c r="I3179" s="41"/>
      <c r="J3179" s="41">
        <f t="shared" si="12"/>
        <v>33.1</v>
      </c>
      <c r="K3179" s="42" t="s">
        <v>5796</v>
      </c>
      <c r="L3179" s="39">
        <v>3093</v>
      </c>
    </row>
    <row r="3180" spans="1:12" ht="11.25" customHeight="1">
      <c r="A3180" s="39">
        <v>3094</v>
      </c>
      <c r="B3180" s="40" t="s">
        <v>17487</v>
      </c>
      <c r="C3180" s="40" t="s">
        <v>17488</v>
      </c>
      <c r="D3180" s="40" t="s">
        <v>17489</v>
      </c>
      <c r="E3180" s="41">
        <v>32.94</v>
      </c>
      <c r="F3180" s="40"/>
      <c r="G3180" s="41"/>
      <c r="H3180" s="40"/>
      <c r="I3180" s="41"/>
      <c r="J3180" s="41">
        <f t="shared" si="12"/>
        <v>32.94</v>
      </c>
      <c r="K3180" s="42" t="s">
        <v>5796</v>
      </c>
      <c r="L3180" s="39">
        <v>3094</v>
      </c>
    </row>
    <row r="3181" spans="1:12" ht="11.25" customHeight="1">
      <c r="A3181" s="39">
        <v>3095</v>
      </c>
      <c r="B3181" s="40" t="s">
        <v>17490</v>
      </c>
      <c r="C3181" s="40" t="s">
        <v>17491</v>
      </c>
      <c r="D3181" s="40" t="s">
        <v>17492</v>
      </c>
      <c r="E3181" s="41">
        <v>32.93</v>
      </c>
      <c r="F3181" s="40"/>
      <c r="G3181" s="41"/>
      <c r="H3181" s="40"/>
      <c r="I3181" s="41"/>
      <c r="J3181" s="41">
        <f t="shared" si="12"/>
        <v>32.93</v>
      </c>
      <c r="K3181" s="42" t="s">
        <v>5796</v>
      </c>
      <c r="L3181" s="39">
        <v>3095</v>
      </c>
    </row>
    <row r="3182" spans="1:12" ht="11.25" customHeight="1">
      <c r="A3182" s="39">
        <v>3097</v>
      </c>
      <c r="B3182" s="40" t="s">
        <v>17493</v>
      </c>
      <c r="C3182" s="40" t="s">
        <v>17494</v>
      </c>
      <c r="D3182" s="40" t="s">
        <v>17495</v>
      </c>
      <c r="E3182" s="41">
        <v>32.83</v>
      </c>
      <c r="F3182" s="40"/>
      <c r="G3182" s="41"/>
      <c r="H3182" s="40"/>
      <c r="I3182" s="41"/>
      <c r="J3182" s="41">
        <f t="shared" si="12"/>
        <v>32.83</v>
      </c>
      <c r="K3182" s="42" t="s">
        <v>5796</v>
      </c>
      <c r="L3182" s="39">
        <v>3097</v>
      </c>
    </row>
    <row r="3183" spans="1:12" ht="11.25" customHeight="1">
      <c r="A3183" s="39">
        <v>3098</v>
      </c>
      <c r="B3183" s="40" t="s">
        <v>17496</v>
      </c>
      <c r="C3183" s="40" t="s">
        <v>17497</v>
      </c>
      <c r="D3183" s="40" t="s">
        <v>17498</v>
      </c>
      <c r="E3183" s="41">
        <v>32.83</v>
      </c>
      <c r="F3183" s="40"/>
      <c r="G3183" s="41"/>
      <c r="H3183" s="40"/>
      <c r="I3183" s="41"/>
      <c r="J3183" s="41">
        <f t="shared" si="12"/>
        <v>32.83</v>
      </c>
      <c r="K3183" s="42" t="s">
        <v>5796</v>
      </c>
      <c r="L3183" s="39">
        <v>3098</v>
      </c>
    </row>
    <row r="3184" spans="1:12" ht="11.25" customHeight="1">
      <c r="A3184" s="39">
        <v>3099</v>
      </c>
      <c r="B3184" s="40" t="s">
        <v>8273</v>
      </c>
      <c r="C3184" s="40" t="s">
        <v>17499</v>
      </c>
      <c r="D3184" s="40" t="s">
        <v>17500</v>
      </c>
      <c r="E3184" s="41">
        <v>32.82</v>
      </c>
      <c r="F3184" s="40"/>
      <c r="G3184" s="41"/>
      <c r="H3184" s="40"/>
      <c r="I3184" s="41"/>
      <c r="J3184" s="41">
        <f t="shared" si="12"/>
        <v>32.82</v>
      </c>
      <c r="K3184" s="42" t="s">
        <v>5796</v>
      </c>
      <c r="L3184" s="39">
        <v>3099</v>
      </c>
    </row>
    <row r="3185" spans="1:12" ht="11.25" customHeight="1">
      <c r="A3185" s="39">
        <v>3100</v>
      </c>
      <c r="B3185" s="40" t="s">
        <v>8278</v>
      </c>
      <c r="C3185" s="40" t="s">
        <v>17501</v>
      </c>
      <c r="D3185" s="40" t="s">
        <v>17502</v>
      </c>
      <c r="E3185" s="41">
        <v>32.729999999999997</v>
      </c>
      <c r="F3185" s="40"/>
      <c r="G3185" s="41"/>
      <c r="H3185" s="40"/>
      <c r="I3185" s="41"/>
      <c r="J3185" s="41">
        <f t="shared" si="12"/>
        <v>32.729999999999997</v>
      </c>
      <c r="K3185" s="42" t="s">
        <v>5796</v>
      </c>
      <c r="L3185" s="39">
        <v>3100</v>
      </c>
    </row>
    <row r="3186" spans="1:12" ht="11.25" customHeight="1">
      <c r="A3186" s="39">
        <v>3101</v>
      </c>
      <c r="B3186" s="40" t="s">
        <v>17503</v>
      </c>
      <c r="C3186" s="40" t="s">
        <v>17504</v>
      </c>
      <c r="D3186" s="40" t="s">
        <v>17505</v>
      </c>
      <c r="E3186" s="41">
        <v>32.71</v>
      </c>
      <c r="F3186" s="40"/>
      <c r="G3186" s="41"/>
      <c r="H3186" s="40"/>
      <c r="I3186" s="41"/>
      <c r="J3186" s="41">
        <f t="shared" si="12"/>
        <v>32.71</v>
      </c>
      <c r="K3186" s="42" t="s">
        <v>5796</v>
      </c>
      <c r="L3186" s="39">
        <v>3101</v>
      </c>
    </row>
    <row r="3187" spans="1:12" ht="11.25" customHeight="1">
      <c r="A3187" s="39">
        <v>3102</v>
      </c>
      <c r="B3187" s="40" t="s">
        <v>17506</v>
      </c>
      <c r="C3187" s="40" t="s">
        <v>17507</v>
      </c>
      <c r="D3187" s="40" t="s">
        <v>17508</v>
      </c>
      <c r="E3187" s="41">
        <v>32.700000000000003</v>
      </c>
      <c r="F3187" s="40"/>
      <c r="G3187" s="41"/>
      <c r="H3187" s="40"/>
      <c r="I3187" s="41"/>
      <c r="J3187" s="41">
        <f t="shared" si="12"/>
        <v>32.700000000000003</v>
      </c>
      <c r="K3187" s="42" t="s">
        <v>5796</v>
      </c>
      <c r="L3187" s="39">
        <v>3102</v>
      </c>
    </row>
    <row r="3188" spans="1:12" ht="11.25" customHeight="1">
      <c r="A3188" s="39">
        <v>3104</v>
      </c>
      <c r="B3188" s="40" t="s">
        <v>17509</v>
      </c>
      <c r="C3188" s="40" t="s">
        <v>17510</v>
      </c>
      <c r="D3188" s="40" t="s">
        <v>17511</v>
      </c>
      <c r="E3188" s="41">
        <v>32.64</v>
      </c>
      <c r="F3188" s="40"/>
      <c r="G3188" s="41"/>
      <c r="H3188" s="40"/>
      <c r="I3188" s="41"/>
      <c r="J3188" s="41">
        <f t="shared" si="12"/>
        <v>32.64</v>
      </c>
      <c r="K3188" s="42" t="s">
        <v>5796</v>
      </c>
      <c r="L3188" s="39">
        <v>3104</v>
      </c>
    </row>
    <row r="3189" spans="1:12" ht="11.25" customHeight="1">
      <c r="A3189" s="39">
        <v>3105</v>
      </c>
      <c r="B3189" s="40" t="s">
        <v>17512</v>
      </c>
      <c r="C3189" s="40" t="s">
        <v>17513</v>
      </c>
      <c r="D3189" s="40" t="s">
        <v>17514</v>
      </c>
      <c r="E3189" s="41">
        <v>32.57</v>
      </c>
      <c r="F3189" s="40"/>
      <c r="G3189" s="41"/>
      <c r="H3189" s="40"/>
      <c r="I3189" s="41"/>
      <c r="J3189" s="41">
        <f t="shared" si="12"/>
        <v>32.57</v>
      </c>
      <c r="K3189" s="42" t="s">
        <v>5796</v>
      </c>
      <c r="L3189" s="39">
        <v>3105</v>
      </c>
    </row>
    <row r="3190" spans="1:12" ht="11.25" customHeight="1">
      <c r="A3190" s="39">
        <v>3106</v>
      </c>
      <c r="B3190" s="40" t="s">
        <v>17515</v>
      </c>
      <c r="C3190" s="40" t="s">
        <v>17516</v>
      </c>
      <c r="D3190" s="40" t="s">
        <v>17517</v>
      </c>
      <c r="E3190" s="41">
        <v>32.56</v>
      </c>
      <c r="F3190" s="40"/>
      <c r="G3190" s="41"/>
      <c r="H3190" s="40"/>
      <c r="I3190" s="41"/>
      <c r="J3190" s="41">
        <f t="shared" si="12"/>
        <v>32.56</v>
      </c>
      <c r="K3190" s="42" t="s">
        <v>5796</v>
      </c>
      <c r="L3190" s="39">
        <v>3106</v>
      </c>
    </row>
    <row r="3191" spans="1:12" ht="11.25" customHeight="1">
      <c r="A3191" s="39">
        <v>3107</v>
      </c>
      <c r="B3191" s="40" t="s">
        <v>17518</v>
      </c>
      <c r="C3191" s="40" t="s">
        <v>17519</v>
      </c>
      <c r="D3191" s="40" t="s">
        <v>17520</v>
      </c>
      <c r="E3191" s="41">
        <v>32.479999999999997</v>
      </c>
      <c r="F3191" s="40"/>
      <c r="G3191" s="41"/>
      <c r="H3191" s="40"/>
      <c r="I3191" s="41"/>
      <c r="J3191" s="41">
        <f t="shared" si="12"/>
        <v>32.479999999999997</v>
      </c>
      <c r="K3191" s="42" t="s">
        <v>5796</v>
      </c>
      <c r="L3191" s="39">
        <v>3107</v>
      </c>
    </row>
    <row r="3192" spans="1:12" ht="11.25" customHeight="1">
      <c r="A3192" s="39">
        <v>3108</v>
      </c>
      <c r="B3192" s="40" t="s">
        <v>8259</v>
      </c>
      <c r="C3192" s="40" t="s">
        <v>17521</v>
      </c>
      <c r="D3192" s="40" t="s">
        <v>17522</v>
      </c>
      <c r="E3192" s="41">
        <v>32.46</v>
      </c>
      <c r="F3192" s="40"/>
      <c r="G3192" s="41"/>
      <c r="H3192" s="40"/>
      <c r="I3192" s="41"/>
      <c r="J3192" s="41">
        <f t="shared" si="12"/>
        <v>32.46</v>
      </c>
      <c r="K3192" s="42" t="s">
        <v>5796</v>
      </c>
      <c r="L3192" s="39">
        <v>3108</v>
      </c>
    </row>
    <row r="3193" spans="1:12" ht="11.25" customHeight="1">
      <c r="A3193" s="39">
        <v>3109</v>
      </c>
      <c r="B3193" s="40" t="s">
        <v>17523</v>
      </c>
      <c r="C3193" s="40" t="s">
        <v>17524</v>
      </c>
      <c r="D3193" s="40" t="s">
        <v>6350</v>
      </c>
      <c r="E3193" s="41">
        <v>32.43</v>
      </c>
      <c r="F3193" s="40"/>
      <c r="G3193" s="41"/>
      <c r="H3193" s="40"/>
      <c r="I3193" s="41"/>
      <c r="J3193" s="41">
        <f t="shared" si="12"/>
        <v>32.43</v>
      </c>
      <c r="K3193" s="42" t="s">
        <v>5796</v>
      </c>
      <c r="L3193" s="39">
        <v>3109</v>
      </c>
    </row>
    <row r="3194" spans="1:12" ht="11.25" customHeight="1">
      <c r="A3194" s="39">
        <v>3110</v>
      </c>
      <c r="B3194" s="40" t="s">
        <v>17525</v>
      </c>
      <c r="C3194" s="40" t="s">
        <v>17526</v>
      </c>
      <c r="D3194" s="40" t="s">
        <v>17527</v>
      </c>
      <c r="E3194" s="41">
        <v>32.4</v>
      </c>
      <c r="F3194" s="40"/>
      <c r="G3194" s="41"/>
      <c r="H3194" s="40"/>
      <c r="I3194" s="41"/>
      <c r="J3194" s="41">
        <f t="shared" si="12"/>
        <v>32.4</v>
      </c>
      <c r="K3194" s="42" t="s">
        <v>5796</v>
      </c>
      <c r="L3194" s="39">
        <v>3110</v>
      </c>
    </row>
    <row r="3195" spans="1:12" ht="11.25" customHeight="1">
      <c r="A3195" s="39">
        <v>3111</v>
      </c>
      <c r="B3195" s="40" t="s">
        <v>17528</v>
      </c>
      <c r="C3195" s="40" t="s">
        <v>17529</v>
      </c>
      <c r="D3195" s="40" t="s">
        <v>17530</v>
      </c>
      <c r="E3195" s="41">
        <v>32.380000000000003</v>
      </c>
      <c r="F3195" s="40"/>
      <c r="G3195" s="41"/>
      <c r="H3195" s="40"/>
      <c r="I3195" s="41"/>
      <c r="J3195" s="41">
        <f t="shared" si="12"/>
        <v>32.380000000000003</v>
      </c>
      <c r="K3195" s="42" t="s">
        <v>5796</v>
      </c>
      <c r="L3195" s="39">
        <v>3111</v>
      </c>
    </row>
    <row r="3196" spans="1:12" ht="11.25" customHeight="1">
      <c r="A3196" s="39">
        <v>3113</v>
      </c>
      <c r="B3196" s="40" t="s">
        <v>17531</v>
      </c>
      <c r="C3196" s="40" t="s">
        <v>17532</v>
      </c>
      <c r="D3196" s="40" t="s">
        <v>17533</v>
      </c>
      <c r="E3196" s="41">
        <v>32.340000000000003</v>
      </c>
      <c r="F3196" s="40"/>
      <c r="G3196" s="41"/>
      <c r="H3196" s="40"/>
      <c r="I3196" s="41"/>
      <c r="J3196" s="41">
        <f t="shared" si="12"/>
        <v>32.340000000000003</v>
      </c>
      <c r="K3196" s="42" t="s">
        <v>5796</v>
      </c>
      <c r="L3196" s="39">
        <v>3113</v>
      </c>
    </row>
    <row r="3197" spans="1:12" ht="11.25" customHeight="1">
      <c r="A3197" s="39">
        <v>3114</v>
      </c>
      <c r="B3197" s="40" t="s">
        <v>17534</v>
      </c>
      <c r="C3197" s="40" t="s">
        <v>17535</v>
      </c>
      <c r="D3197" s="40" t="s">
        <v>17536</v>
      </c>
      <c r="E3197" s="41">
        <v>32.32</v>
      </c>
      <c r="F3197" s="40"/>
      <c r="G3197" s="41"/>
      <c r="H3197" s="40"/>
      <c r="I3197" s="41"/>
      <c r="J3197" s="41">
        <f t="shared" si="12"/>
        <v>32.32</v>
      </c>
      <c r="K3197" s="42" t="s">
        <v>5796</v>
      </c>
      <c r="L3197" s="39">
        <v>3114</v>
      </c>
    </row>
    <row r="3198" spans="1:12" ht="11.25" customHeight="1">
      <c r="A3198" s="39">
        <v>3115</v>
      </c>
      <c r="B3198" s="40" t="s">
        <v>17537</v>
      </c>
      <c r="C3198" s="40" t="s">
        <v>17538</v>
      </c>
      <c r="D3198" s="40" t="s">
        <v>17539</v>
      </c>
      <c r="E3198" s="41">
        <v>32.31</v>
      </c>
      <c r="F3198" s="40"/>
      <c r="G3198" s="41"/>
      <c r="H3198" s="40"/>
      <c r="I3198" s="41"/>
      <c r="J3198" s="41">
        <f t="shared" si="12"/>
        <v>32.31</v>
      </c>
      <c r="K3198" s="42" t="s">
        <v>5796</v>
      </c>
      <c r="L3198" s="39">
        <v>3115</v>
      </c>
    </row>
    <row r="3199" spans="1:12" ht="11.25" customHeight="1">
      <c r="A3199" s="39">
        <v>3116</v>
      </c>
      <c r="B3199" s="40" t="s">
        <v>17540</v>
      </c>
      <c r="C3199" s="40" t="s">
        <v>17541</v>
      </c>
      <c r="D3199" s="40" t="s">
        <v>17542</v>
      </c>
      <c r="E3199" s="41">
        <v>32.18</v>
      </c>
      <c r="F3199" s="40"/>
      <c r="G3199" s="41"/>
      <c r="H3199" s="40"/>
      <c r="I3199" s="41"/>
      <c r="J3199" s="41">
        <f t="shared" si="12"/>
        <v>32.18</v>
      </c>
      <c r="K3199" s="42" t="s">
        <v>5796</v>
      </c>
      <c r="L3199" s="39">
        <v>3116</v>
      </c>
    </row>
    <row r="3200" spans="1:12" ht="11.25" customHeight="1">
      <c r="A3200" s="39">
        <v>3117</v>
      </c>
      <c r="B3200" s="40" t="s">
        <v>17543</v>
      </c>
      <c r="C3200" s="40" t="s">
        <v>17544</v>
      </c>
      <c r="D3200" s="40" t="s">
        <v>17545</v>
      </c>
      <c r="E3200" s="41">
        <v>32.17</v>
      </c>
      <c r="F3200" s="40"/>
      <c r="G3200" s="41"/>
      <c r="H3200" s="40"/>
      <c r="I3200" s="41"/>
      <c r="J3200" s="41">
        <f t="shared" si="12"/>
        <v>32.17</v>
      </c>
      <c r="K3200" s="42" t="s">
        <v>5796</v>
      </c>
      <c r="L3200" s="39">
        <v>3117</v>
      </c>
    </row>
    <row r="3201" spans="1:12" ht="11.25" customHeight="1">
      <c r="A3201" s="39">
        <v>3119</v>
      </c>
      <c r="B3201" s="40" t="s">
        <v>7934</v>
      </c>
      <c r="C3201" s="40" t="s">
        <v>17546</v>
      </c>
      <c r="D3201" s="40" t="s">
        <v>17547</v>
      </c>
      <c r="E3201" s="41">
        <v>32.07</v>
      </c>
      <c r="F3201" s="40"/>
      <c r="G3201" s="41"/>
      <c r="H3201" s="40"/>
      <c r="I3201" s="41"/>
      <c r="J3201" s="41">
        <f t="shared" si="12"/>
        <v>32.07</v>
      </c>
      <c r="K3201" s="42" t="s">
        <v>5796</v>
      </c>
      <c r="L3201" s="39">
        <v>3119</v>
      </c>
    </row>
    <row r="3202" spans="1:12" ht="11.25" customHeight="1">
      <c r="A3202" s="39">
        <v>3120</v>
      </c>
      <c r="B3202" s="40" t="s">
        <v>17548</v>
      </c>
      <c r="C3202" s="40" t="s">
        <v>17549</v>
      </c>
      <c r="D3202" s="40" t="s">
        <v>17550</v>
      </c>
      <c r="E3202" s="41">
        <v>32.06</v>
      </c>
      <c r="F3202" s="40"/>
      <c r="G3202" s="41"/>
      <c r="H3202" s="40"/>
      <c r="I3202" s="41"/>
      <c r="J3202" s="41">
        <f t="shared" si="12"/>
        <v>32.06</v>
      </c>
      <c r="K3202" s="42" t="s">
        <v>5796</v>
      </c>
      <c r="L3202" s="39">
        <v>3120</v>
      </c>
    </row>
    <row r="3203" spans="1:12" ht="11.25" customHeight="1">
      <c r="A3203" s="39">
        <v>3121</v>
      </c>
      <c r="B3203" s="40" t="s">
        <v>17551</v>
      </c>
      <c r="C3203" s="40" t="s">
        <v>17552</v>
      </c>
      <c r="D3203" s="40" t="s">
        <v>17553</v>
      </c>
      <c r="E3203" s="41">
        <v>31.79</v>
      </c>
      <c r="F3203" s="40"/>
      <c r="G3203" s="41"/>
      <c r="H3203" s="40"/>
      <c r="I3203" s="41"/>
      <c r="J3203" s="41">
        <f t="shared" si="12"/>
        <v>31.79</v>
      </c>
      <c r="K3203" s="42" t="s">
        <v>5796</v>
      </c>
      <c r="L3203" s="39">
        <v>3121</v>
      </c>
    </row>
    <row r="3204" spans="1:12" ht="11.25" customHeight="1">
      <c r="A3204" s="39">
        <v>3123</v>
      </c>
      <c r="B3204" s="40" t="s">
        <v>17554</v>
      </c>
      <c r="C3204" s="40" t="s">
        <v>17555</v>
      </c>
      <c r="D3204" s="40" t="s">
        <v>17556</v>
      </c>
      <c r="E3204" s="41">
        <v>31.76</v>
      </c>
      <c r="F3204" s="40"/>
      <c r="G3204" s="41"/>
      <c r="H3204" s="40"/>
      <c r="I3204" s="41"/>
      <c r="J3204" s="41">
        <f t="shared" si="12"/>
        <v>31.76</v>
      </c>
      <c r="K3204" s="42" t="s">
        <v>5796</v>
      </c>
      <c r="L3204" s="39">
        <v>3123</v>
      </c>
    </row>
    <row r="3205" spans="1:12" ht="11.25" customHeight="1">
      <c r="A3205" s="39">
        <v>3124</v>
      </c>
      <c r="B3205" s="40" t="s">
        <v>17557</v>
      </c>
      <c r="C3205" s="40" t="s">
        <v>17558</v>
      </c>
      <c r="D3205" s="40" t="s">
        <v>17559</v>
      </c>
      <c r="E3205" s="41">
        <v>31.55</v>
      </c>
      <c r="F3205" s="40"/>
      <c r="G3205" s="41"/>
      <c r="H3205" s="40"/>
      <c r="I3205" s="41"/>
      <c r="J3205" s="41">
        <f t="shared" si="12"/>
        <v>31.55</v>
      </c>
      <c r="K3205" s="42" t="s">
        <v>5796</v>
      </c>
      <c r="L3205" s="39">
        <v>3124</v>
      </c>
    </row>
    <row r="3206" spans="1:12" ht="11.25" customHeight="1">
      <c r="A3206" s="39">
        <v>3125</v>
      </c>
      <c r="B3206" s="40" t="s">
        <v>17560</v>
      </c>
      <c r="C3206" s="40" t="s">
        <v>17561</v>
      </c>
      <c r="D3206" s="40" t="s">
        <v>17562</v>
      </c>
      <c r="E3206" s="41">
        <v>31.48</v>
      </c>
      <c r="F3206" s="40"/>
      <c r="G3206" s="41"/>
      <c r="H3206" s="40"/>
      <c r="I3206" s="41"/>
      <c r="J3206" s="41">
        <f t="shared" si="12"/>
        <v>31.48</v>
      </c>
      <c r="K3206" s="42" t="s">
        <v>5796</v>
      </c>
      <c r="L3206" s="39">
        <v>3125</v>
      </c>
    </row>
    <row r="3207" spans="1:12" ht="11.25" customHeight="1">
      <c r="A3207" s="39">
        <v>3126</v>
      </c>
      <c r="B3207" s="40" t="s">
        <v>17563</v>
      </c>
      <c r="C3207" s="40" t="s">
        <v>17564</v>
      </c>
      <c r="D3207" s="40" t="s">
        <v>17565</v>
      </c>
      <c r="E3207" s="41">
        <v>31.41</v>
      </c>
      <c r="F3207" s="40"/>
      <c r="G3207" s="41"/>
      <c r="H3207" s="40"/>
      <c r="I3207" s="41"/>
      <c r="J3207" s="41">
        <f t="shared" si="12"/>
        <v>31.41</v>
      </c>
      <c r="K3207" s="42" t="s">
        <v>5796</v>
      </c>
      <c r="L3207" s="39">
        <v>3126</v>
      </c>
    </row>
    <row r="3208" spans="1:12" ht="11.25" customHeight="1">
      <c r="A3208" s="39">
        <v>3127</v>
      </c>
      <c r="B3208" s="40" t="s">
        <v>17566</v>
      </c>
      <c r="C3208" s="40" t="s">
        <v>17567</v>
      </c>
      <c r="D3208" s="40" t="s">
        <v>17568</v>
      </c>
      <c r="E3208" s="41">
        <v>31.34</v>
      </c>
      <c r="F3208" s="40"/>
      <c r="G3208" s="41"/>
      <c r="H3208" s="40"/>
      <c r="I3208" s="41"/>
      <c r="J3208" s="41">
        <f t="shared" si="12"/>
        <v>31.34</v>
      </c>
      <c r="K3208" s="42" t="s">
        <v>5796</v>
      </c>
      <c r="L3208" s="39">
        <v>3127</v>
      </c>
    </row>
    <row r="3209" spans="1:12" ht="11.25" customHeight="1">
      <c r="A3209" s="39">
        <v>3128</v>
      </c>
      <c r="B3209" s="40" t="s">
        <v>17569</v>
      </c>
      <c r="C3209" s="40" t="s">
        <v>17570</v>
      </c>
      <c r="D3209" s="40" t="s">
        <v>17571</v>
      </c>
      <c r="E3209" s="41">
        <v>31.28</v>
      </c>
      <c r="F3209" s="40"/>
      <c r="G3209" s="41"/>
      <c r="H3209" s="40"/>
      <c r="I3209" s="41"/>
      <c r="J3209" s="41">
        <f t="shared" si="12"/>
        <v>31.28</v>
      </c>
      <c r="K3209" s="42" t="s">
        <v>5796</v>
      </c>
      <c r="L3209" s="39">
        <v>3128</v>
      </c>
    </row>
    <row r="3210" spans="1:12" ht="11.25" customHeight="1">
      <c r="A3210" s="39">
        <v>3129</v>
      </c>
      <c r="B3210" s="40" t="s">
        <v>17572</v>
      </c>
      <c r="C3210" s="40" t="s">
        <v>17573</v>
      </c>
      <c r="D3210" s="40" t="s">
        <v>17574</v>
      </c>
      <c r="E3210" s="41">
        <v>31.27</v>
      </c>
      <c r="F3210" s="40"/>
      <c r="G3210" s="41"/>
      <c r="H3210" s="40"/>
      <c r="I3210" s="41"/>
      <c r="J3210" s="41">
        <f t="shared" si="12"/>
        <v>31.27</v>
      </c>
      <c r="K3210" s="42" t="s">
        <v>5796</v>
      </c>
      <c r="L3210" s="39">
        <v>3129</v>
      </c>
    </row>
    <row r="3211" spans="1:12" ht="11.25" customHeight="1">
      <c r="A3211" s="39">
        <v>3130</v>
      </c>
      <c r="B3211" s="40" t="s">
        <v>17575</v>
      </c>
      <c r="C3211" s="40" t="s">
        <v>17576</v>
      </c>
      <c r="D3211" s="40" t="s">
        <v>17577</v>
      </c>
      <c r="E3211" s="41">
        <v>31.26</v>
      </c>
      <c r="F3211" s="40"/>
      <c r="G3211" s="41"/>
      <c r="H3211" s="40"/>
      <c r="I3211" s="41"/>
      <c r="J3211" s="41">
        <f t="shared" si="12"/>
        <v>31.26</v>
      </c>
      <c r="K3211" s="42" t="s">
        <v>5796</v>
      </c>
      <c r="L3211" s="39">
        <v>3130</v>
      </c>
    </row>
    <row r="3212" spans="1:12" ht="11.25" customHeight="1">
      <c r="A3212" s="39">
        <v>3131</v>
      </c>
      <c r="B3212" s="40" t="s">
        <v>17578</v>
      </c>
      <c r="C3212" s="40" t="s">
        <v>17579</v>
      </c>
      <c r="D3212" s="40" t="s">
        <v>17580</v>
      </c>
      <c r="E3212" s="41">
        <v>31.22</v>
      </c>
      <c r="F3212" s="40"/>
      <c r="G3212" s="41"/>
      <c r="H3212" s="40"/>
      <c r="I3212" s="41"/>
      <c r="J3212" s="41">
        <f t="shared" si="12"/>
        <v>31.22</v>
      </c>
      <c r="K3212" s="42" t="s">
        <v>5796</v>
      </c>
      <c r="L3212" s="39">
        <v>3131</v>
      </c>
    </row>
    <row r="3213" spans="1:12" ht="11.25" customHeight="1">
      <c r="A3213" s="39">
        <v>3132</v>
      </c>
      <c r="B3213" s="40" t="s">
        <v>17581</v>
      </c>
      <c r="C3213" s="40" t="s">
        <v>17582</v>
      </c>
      <c r="D3213" s="40" t="s">
        <v>17583</v>
      </c>
      <c r="E3213" s="41">
        <v>31.22</v>
      </c>
      <c r="F3213" s="40"/>
      <c r="G3213" s="41"/>
      <c r="H3213" s="40"/>
      <c r="I3213" s="41"/>
      <c r="J3213" s="41">
        <f t="shared" si="12"/>
        <v>31.22</v>
      </c>
      <c r="K3213" s="42" t="s">
        <v>5796</v>
      </c>
      <c r="L3213" s="39">
        <v>3132</v>
      </c>
    </row>
    <row r="3214" spans="1:12" ht="11.25" customHeight="1">
      <c r="A3214" s="39">
        <v>3133</v>
      </c>
      <c r="B3214" s="40" t="s">
        <v>17584</v>
      </c>
      <c r="C3214" s="40" t="s">
        <v>17585</v>
      </c>
      <c r="D3214" s="40" t="s">
        <v>17586</v>
      </c>
      <c r="E3214" s="41">
        <v>31.08</v>
      </c>
      <c r="F3214" s="40"/>
      <c r="G3214" s="41"/>
      <c r="H3214" s="40"/>
      <c r="I3214" s="41"/>
      <c r="J3214" s="41">
        <f t="shared" si="12"/>
        <v>31.08</v>
      </c>
      <c r="K3214" s="42" t="s">
        <v>5796</v>
      </c>
      <c r="L3214" s="39">
        <v>3133</v>
      </c>
    </row>
    <row r="3215" spans="1:12" ht="11.25" customHeight="1">
      <c r="A3215" s="39">
        <v>3134</v>
      </c>
      <c r="B3215" s="40" t="s">
        <v>17587</v>
      </c>
      <c r="C3215" s="40" t="s">
        <v>17588</v>
      </c>
      <c r="D3215" s="40" t="s">
        <v>17589</v>
      </c>
      <c r="E3215" s="41">
        <v>31.03</v>
      </c>
      <c r="F3215" s="40"/>
      <c r="G3215" s="41"/>
      <c r="H3215" s="40"/>
      <c r="I3215" s="41"/>
      <c r="J3215" s="41">
        <f t="shared" si="12"/>
        <v>31.03</v>
      </c>
      <c r="K3215" s="42" t="s">
        <v>5796</v>
      </c>
      <c r="L3215" s="39">
        <v>3134</v>
      </c>
    </row>
    <row r="3216" spans="1:12" ht="11.25" customHeight="1">
      <c r="A3216" s="39">
        <v>3135</v>
      </c>
      <c r="B3216" s="40" t="s">
        <v>8414</v>
      </c>
      <c r="C3216" s="40" t="s">
        <v>17590</v>
      </c>
      <c r="D3216" s="40" t="s">
        <v>17591</v>
      </c>
      <c r="E3216" s="41">
        <v>30.93</v>
      </c>
      <c r="F3216" s="40"/>
      <c r="G3216" s="41"/>
      <c r="H3216" s="40"/>
      <c r="I3216" s="41"/>
      <c r="J3216" s="41">
        <f t="shared" si="12"/>
        <v>30.93</v>
      </c>
      <c r="K3216" s="42" t="s">
        <v>5796</v>
      </c>
      <c r="L3216" s="39">
        <v>3135</v>
      </c>
    </row>
    <row r="3217" spans="1:12" ht="11.25" customHeight="1">
      <c r="A3217" s="39">
        <v>3136</v>
      </c>
      <c r="B3217" s="40" t="s">
        <v>17592</v>
      </c>
      <c r="C3217" s="40" t="s">
        <v>17593</v>
      </c>
      <c r="D3217" s="40" t="s">
        <v>17594</v>
      </c>
      <c r="E3217" s="41">
        <v>30.79</v>
      </c>
      <c r="F3217" s="40"/>
      <c r="G3217" s="41"/>
      <c r="H3217" s="40"/>
      <c r="I3217" s="41"/>
      <c r="J3217" s="41">
        <f t="shared" si="12"/>
        <v>30.79</v>
      </c>
      <c r="K3217" s="42" t="s">
        <v>5796</v>
      </c>
      <c r="L3217" s="39">
        <v>3136</v>
      </c>
    </row>
    <row r="3218" spans="1:12" ht="11.25" customHeight="1">
      <c r="A3218" s="39">
        <v>3137</v>
      </c>
      <c r="B3218" s="40" t="s">
        <v>8204</v>
      </c>
      <c r="C3218" s="40" t="s">
        <v>17595</v>
      </c>
      <c r="D3218" s="40" t="s">
        <v>17596</v>
      </c>
      <c r="E3218" s="41">
        <v>29.26</v>
      </c>
      <c r="F3218" s="40"/>
      <c r="G3218" s="41"/>
      <c r="H3218" s="40" t="s">
        <v>17596</v>
      </c>
      <c r="I3218" s="41">
        <v>32.285354838709715</v>
      </c>
      <c r="J3218" s="41">
        <f t="shared" si="12"/>
        <v>30.772677419354856</v>
      </c>
      <c r="K3218" s="42" t="s">
        <v>5796</v>
      </c>
      <c r="L3218" s="39">
        <v>3137</v>
      </c>
    </row>
    <row r="3219" spans="1:12" ht="11.25" customHeight="1">
      <c r="A3219" s="39">
        <v>3138</v>
      </c>
      <c r="B3219" s="40" t="s">
        <v>17597</v>
      </c>
      <c r="C3219" s="40" t="s">
        <v>17598</v>
      </c>
      <c r="D3219" s="40" t="s">
        <v>17599</v>
      </c>
      <c r="E3219" s="41">
        <v>30.73</v>
      </c>
      <c r="F3219" s="40"/>
      <c r="G3219" s="41"/>
      <c r="H3219" s="40"/>
      <c r="I3219" s="41"/>
      <c r="J3219" s="41">
        <f t="shared" si="12"/>
        <v>30.73</v>
      </c>
      <c r="K3219" s="42" t="s">
        <v>5796</v>
      </c>
      <c r="L3219" s="39">
        <v>3138</v>
      </c>
    </row>
    <row r="3220" spans="1:12" ht="11.25" customHeight="1">
      <c r="A3220" s="39">
        <v>3139</v>
      </c>
      <c r="B3220" s="40" t="s">
        <v>17600</v>
      </c>
      <c r="C3220" s="40" t="s">
        <v>17601</v>
      </c>
      <c r="D3220" s="40" t="s">
        <v>17602</v>
      </c>
      <c r="E3220" s="41">
        <v>30.7</v>
      </c>
      <c r="F3220" s="40"/>
      <c r="G3220" s="41"/>
      <c r="H3220" s="40"/>
      <c r="I3220" s="41"/>
      <c r="J3220" s="41">
        <f t="shared" si="12"/>
        <v>30.7</v>
      </c>
      <c r="K3220" s="42" t="s">
        <v>5796</v>
      </c>
      <c r="L3220" s="39">
        <v>3139</v>
      </c>
    </row>
    <row r="3221" spans="1:12" ht="11.25" customHeight="1">
      <c r="A3221" s="39">
        <v>3141</v>
      </c>
      <c r="B3221" s="40" t="s">
        <v>17603</v>
      </c>
      <c r="C3221" s="40" t="s">
        <v>17604</v>
      </c>
      <c r="D3221" s="40" t="s">
        <v>17605</v>
      </c>
      <c r="E3221" s="41">
        <v>30.62</v>
      </c>
      <c r="F3221" s="40"/>
      <c r="G3221" s="41"/>
      <c r="H3221" s="40"/>
      <c r="I3221" s="41"/>
      <c r="J3221" s="41">
        <f t="shared" si="12"/>
        <v>30.62</v>
      </c>
      <c r="K3221" s="42" t="s">
        <v>5796</v>
      </c>
      <c r="L3221" s="39">
        <v>3141</v>
      </c>
    </row>
    <row r="3222" spans="1:12" ht="11.25" customHeight="1">
      <c r="A3222" s="39">
        <v>3142</v>
      </c>
      <c r="B3222" s="40" t="s">
        <v>8257</v>
      </c>
      <c r="C3222" s="40" t="s">
        <v>17606</v>
      </c>
      <c r="D3222" s="40" t="s">
        <v>17607</v>
      </c>
      <c r="E3222" s="41">
        <v>30.59</v>
      </c>
      <c r="F3222" s="40"/>
      <c r="G3222" s="41"/>
      <c r="H3222" s="40"/>
      <c r="I3222" s="41"/>
      <c r="J3222" s="41">
        <f t="shared" si="12"/>
        <v>30.59</v>
      </c>
      <c r="K3222" s="42" t="s">
        <v>5796</v>
      </c>
      <c r="L3222" s="39">
        <v>3142</v>
      </c>
    </row>
    <row r="3223" spans="1:12" ht="11.25" customHeight="1">
      <c r="A3223" s="39">
        <v>3143</v>
      </c>
      <c r="B3223" s="40" t="s">
        <v>8260</v>
      </c>
      <c r="C3223" s="40" t="s">
        <v>17608</v>
      </c>
      <c r="D3223" s="40" t="s">
        <v>17609</v>
      </c>
      <c r="E3223" s="41">
        <v>30.53</v>
      </c>
      <c r="F3223" s="40"/>
      <c r="G3223" s="41"/>
      <c r="H3223" s="40"/>
      <c r="I3223" s="41"/>
      <c r="J3223" s="41">
        <f t="shared" si="12"/>
        <v>30.53</v>
      </c>
      <c r="K3223" s="42" t="s">
        <v>5796</v>
      </c>
      <c r="L3223" s="39">
        <v>3143</v>
      </c>
    </row>
    <row r="3224" spans="1:12" ht="11.25" customHeight="1">
      <c r="A3224" s="39">
        <v>3144</v>
      </c>
      <c r="B3224" s="40" t="s">
        <v>17610</v>
      </c>
      <c r="C3224" s="40" t="s">
        <v>17611</v>
      </c>
      <c r="D3224" s="40" t="s">
        <v>17612</v>
      </c>
      <c r="E3224" s="41">
        <v>30.44</v>
      </c>
      <c r="F3224" s="40"/>
      <c r="G3224" s="41"/>
      <c r="H3224" s="40"/>
      <c r="I3224" s="41"/>
      <c r="J3224" s="41">
        <f t="shared" si="12"/>
        <v>30.44</v>
      </c>
      <c r="K3224" s="42" t="s">
        <v>5796</v>
      </c>
      <c r="L3224" s="39">
        <v>3144</v>
      </c>
    </row>
    <row r="3225" spans="1:12" ht="11.25" customHeight="1">
      <c r="A3225" s="39">
        <v>3145</v>
      </c>
      <c r="B3225" s="40" t="s">
        <v>8371</v>
      </c>
      <c r="C3225" s="40" t="s">
        <v>17613</v>
      </c>
      <c r="D3225" s="40" t="s">
        <v>17614</v>
      </c>
      <c r="E3225" s="41">
        <v>30.41</v>
      </c>
      <c r="F3225" s="40"/>
      <c r="G3225" s="41"/>
      <c r="H3225" s="40"/>
      <c r="I3225" s="41"/>
      <c r="J3225" s="41">
        <f t="shared" si="12"/>
        <v>30.41</v>
      </c>
      <c r="K3225" s="42" t="s">
        <v>5796</v>
      </c>
      <c r="L3225" s="39">
        <v>3145</v>
      </c>
    </row>
    <row r="3226" spans="1:12" ht="11.25" customHeight="1">
      <c r="A3226" s="39">
        <v>3146</v>
      </c>
      <c r="B3226" s="40" t="s">
        <v>17615</v>
      </c>
      <c r="C3226" s="40" t="s">
        <v>17616</v>
      </c>
      <c r="D3226" s="40" t="s">
        <v>17617</v>
      </c>
      <c r="E3226" s="41">
        <v>30.36</v>
      </c>
      <c r="F3226" s="40"/>
      <c r="G3226" s="41"/>
      <c r="H3226" s="40"/>
      <c r="I3226" s="41"/>
      <c r="J3226" s="41">
        <f t="shared" si="12"/>
        <v>30.36</v>
      </c>
      <c r="K3226" s="42" t="s">
        <v>5796</v>
      </c>
      <c r="L3226" s="39">
        <v>3146</v>
      </c>
    </row>
    <row r="3227" spans="1:12" ht="11.25" customHeight="1">
      <c r="A3227" s="39">
        <v>3147</v>
      </c>
      <c r="B3227" s="40" t="s">
        <v>17618</v>
      </c>
      <c r="C3227" s="40" t="s">
        <v>17619</v>
      </c>
      <c r="D3227" s="40" t="s">
        <v>17620</v>
      </c>
      <c r="E3227" s="41">
        <v>30.35</v>
      </c>
      <c r="F3227" s="40"/>
      <c r="G3227" s="41"/>
      <c r="H3227" s="40"/>
      <c r="I3227" s="41"/>
      <c r="J3227" s="41">
        <f t="shared" si="12"/>
        <v>30.35</v>
      </c>
      <c r="K3227" s="42" t="s">
        <v>5796</v>
      </c>
      <c r="L3227" s="39">
        <v>3147</v>
      </c>
    </row>
    <row r="3228" spans="1:12" ht="11.25" customHeight="1">
      <c r="A3228" s="39">
        <v>3148</v>
      </c>
      <c r="B3228" s="40" t="s">
        <v>17621</v>
      </c>
      <c r="C3228" s="40" t="s">
        <v>17622</v>
      </c>
      <c r="D3228" s="40" t="s">
        <v>17623</v>
      </c>
      <c r="E3228" s="41">
        <v>30.35</v>
      </c>
      <c r="F3228" s="40"/>
      <c r="G3228" s="41"/>
      <c r="H3228" s="40"/>
      <c r="I3228" s="41"/>
      <c r="J3228" s="41">
        <f t="shared" si="12"/>
        <v>30.35</v>
      </c>
      <c r="K3228" s="42" t="s">
        <v>5796</v>
      </c>
      <c r="L3228" s="39">
        <v>3148</v>
      </c>
    </row>
    <row r="3229" spans="1:12" ht="11.25" customHeight="1">
      <c r="A3229" s="39">
        <v>3150</v>
      </c>
      <c r="B3229" s="40" t="s">
        <v>17624</v>
      </c>
      <c r="C3229" s="40" t="s">
        <v>17625</v>
      </c>
      <c r="D3229" s="40" t="s">
        <v>17626</v>
      </c>
      <c r="E3229" s="41">
        <v>30.3</v>
      </c>
      <c r="F3229" s="40"/>
      <c r="G3229" s="41"/>
      <c r="H3229" s="40"/>
      <c r="I3229" s="41"/>
      <c r="J3229" s="41">
        <f t="shared" si="12"/>
        <v>30.3</v>
      </c>
      <c r="K3229" s="42" t="s">
        <v>5796</v>
      </c>
      <c r="L3229" s="39">
        <v>3150</v>
      </c>
    </row>
    <row r="3230" spans="1:12" ht="11.25" customHeight="1">
      <c r="A3230" s="39">
        <v>3151</v>
      </c>
      <c r="B3230" s="40" t="s">
        <v>8276</v>
      </c>
      <c r="C3230" s="40" t="s">
        <v>17627</v>
      </c>
      <c r="D3230" s="40" t="s">
        <v>17628</v>
      </c>
      <c r="E3230" s="41">
        <v>30.29</v>
      </c>
      <c r="F3230" s="40"/>
      <c r="G3230" s="41"/>
      <c r="H3230" s="40"/>
      <c r="I3230" s="41"/>
      <c r="J3230" s="41">
        <f t="shared" si="12"/>
        <v>30.29</v>
      </c>
      <c r="K3230" s="42" t="s">
        <v>5796</v>
      </c>
      <c r="L3230" s="39">
        <v>3151</v>
      </c>
    </row>
    <row r="3231" spans="1:12" ht="11.25" customHeight="1">
      <c r="A3231" s="39">
        <v>3152</v>
      </c>
      <c r="B3231" s="40" t="s">
        <v>17629</v>
      </c>
      <c r="C3231" s="40" t="s">
        <v>17630</v>
      </c>
      <c r="D3231" s="40" t="s">
        <v>17631</v>
      </c>
      <c r="E3231" s="41">
        <v>30.2</v>
      </c>
      <c r="F3231" s="40"/>
      <c r="G3231" s="41"/>
      <c r="H3231" s="40"/>
      <c r="I3231" s="41"/>
      <c r="J3231" s="41">
        <f t="shared" si="12"/>
        <v>30.2</v>
      </c>
      <c r="K3231" s="42" t="s">
        <v>5796</v>
      </c>
      <c r="L3231" s="39">
        <v>3152</v>
      </c>
    </row>
    <row r="3232" spans="1:12" ht="11.25" customHeight="1">
      <c r="A3232" s="39">
        <v>3153</v>
      </c>
      <c r="B3232" s="40" t="s">
        <v>17632</v>
      </c>
      <c r="C3232" s="40" t="s">
        <v>17633</v>
      </c>
      <c r="D3232" s="40" t="s">
        <v>17634</v>
      </c>
      <c r="E3232" s="41">
        <v>30.18</v>
      </c>
      <c r="F3232" s="40"/>
      <c r="G3232" s="41"/>
      <c r="H3232" s="40"/>
      <c r="I3232" s="41"/>
      <c r="J3232" s="41">
        <f t="shared" si="12"/>
        <v>30.18</v>
      </c>
      <c r="K3232" s="42" t="s">
        <v>5796</v>
      </c>
      <c r="L3232" s="39">
        <v>3153</v>
      </c>
    </row>
    <row r="3233" spans="1:12" ht="11.25" customHeight="1">
      <c r="A3233" s="39">
        <v>3154</v>
      </c>
      <c r="B3233" s="40" t="s">
        <v>17635</v>
      </c>
      <c r="C3233" s="40" t="s">
        <v>17636</v>
      </c>
      <c r="D3233" s="40" t="s">
        <v>17637</v>
      </c>
      <c r="E3233" s="41">
        <v>30.17</v>
      </c>
      <c r="F3233" s="40"/>
      <c r="G3233" s="41"/>
      <c r="H3233" s="40"/>
      <c r="I3233" s="41"/>
      <c r="J3233" s="41">
        <f t="shared" si="12"/>
        <v>30.17</v>
      </c>
      <c r="K3233" s="42" t="s">
        <v>5796</v>
      </c>
      <c r="L3233" s="39">
        <v>3154</v>
      </c>
    </row>
    <row r="3234" spans="1:12" ht="11.25" customHeight="1">
      <c r="A3234" s="39">
        <v>3155</v>
      </c>
      <c r="B3234" s="40" t="s">
        <v>17638</v>
      </c>
      <c r="C3234" s="40" t="s">
        <v>17639</v>
      </c>
      <c r="D3234" s="40" t="s">
        <v>17640</v>
      </c>
      <c r="E3234" s="41">
        <v>30.15</v>
      </c>
      <c r="F3234" s="40"/>
      <c r="G3234" s="41"/>
      <c r="H3234" s="40"/>
      <c r="I3234" s="41"/>
      <c r="J3234" s="41">
        <f t="shared" si="12"/>
        <v>30.15</v>
      </c>
      <c r="K3234" s="42" t="s">
        <v>5796</v>
      </c>
      <c r="L3234" s="39">
        <v>3155</v>
      </c>
    </row>
    <row r="3235" spans="1:12" ht="11.25" customHeight="1">
      <c r="A3235" s="39">
        <v>3156</v>
      </c>
      <c r="B3235" s="40" t="s">
        <v>17641</v>
      </c>
      <c r="C3235" s="40" t="s">
        <v>17642</v>
      </c>
      <c r="D3235" s="40" t="s">
        <v>17643</v>
      </c>
      <c r="E3235" s="41">
        <v>30.14</v>
      </c>
      <c r="F3235" s="40"/>
      <c r="G3235" s="41"/>
      <c r="H3235" s="40"/>
      <c r="I3235" s="41"/>
      <c r="J3235" s="41">
        <f t="shared" si="12"/>
        <v>30.14</v>
      </c>
      <c r="K3235" s="42" t="s">
        <v>5796</v>
      </c>
      <c r="L3235" s="39">
        <v>3156</v>
      </c>
    </row>
    <row r="3236" spans="1:12" ht="11.25" customHeight="1">
      <c r="A3236" s="39">
        <v>3157</v>
      </c>
      <c r="B3236" s="40" t="s">
        <v>17644</v>
      </c>
      <c r="C3236" s="40" t="s">
        <v>17645</v>
      </c>
      <c r="D3236" s="40" t="s">
        <v>17646</v>
      </c>
      <c r="E3236" s="41">
        <v>30.13</v>
      </c>
      <c r="F3236" s="40"/>
      <c r="G3236" s="41"/>
      <c r="H3236" s="40"/>
      <c r="I3236" s="41"/>
      <c r="J3236" s="41">
        <f t="shared" si="12"/>
        <v>30.13</v>
      </c>
      <c r="K3236" s="42" t="s">
        <v>5796</v>
      </c>
      <c r="L3236" s="39">
        <v>3157</v>
      </c>
    </row>
    <row r="3237" spans="1:12" ht="11.25" customHeight="1">
      <c r="A3237" s="39">
        <v>3158</v>
      </c>
      <c r="B3237" s="40" t="s">
        <v>17647</v>
      </c>
      <c r="C3237" s="40" t="s">
        <v>17648</v>
      </c>
      <c r="D3237" s="40" t="s">
        <v>17649</v>
      </c>
      <c r="E3237" s="41">
        <v>30.1</v>
      </c>
      <c r="F3237" s="40"/>
      <c r="G3237" s="41"/>
      <c r="H3237" s="40"/>
      <c r="I3237" s="41"/>
      <c r="J3237" s="41">
        <f t="shared" si="12"/>
        <v>30.1</v>
      </c>
      <c r="K3237" s="42" t="s">
        <v>5796</v>
      </c>
      <c r="L3237" s="39">
        <v>3158</v>
      </c>
    </row>
    <row r="3238" spans="1:12" ht="11.25" customHeight="1">
      <c r="A3238" s="39">
        <v>3159</v>
      </c>
      <c r="B3238" s="40" t="s">
        <v>17650</v>
      </c>
      <c r="C3238" s="40" t="s">
        <v>17651</v>
      </c>
      <c r="D3238" s="40" t="s">
        <v>17652</v>
      </c>
      <c r="E3238" s="41">
        <v>30.09</v>
      </c>
      <c r="F3238" s="40"/>
      <c r="G3238" s="41"/>
      <c r="H3238" s="40"/>
      <c r="I3238" s="41"/>
      <c r="J3238" s="41">
        <f t="shared" si="12"/>
        <v>30.09</v>
      </c>
      <c r="K3238" s="42" t="s">
        <v>5796</v>
      </c>
      <c r="L3238" s="39">
        <v>3159</v>
      </c>
    </row>
    <row r="3239" spans="1:12" ht="11.25" customHeight="1">
      <c r="A3239" s="39">
        <v>3160</v>
      </c>
      <c r="B3239" s="40" t="s">
        <v>17653</v>
      </c>
      <c r="C3239" s="40" t="s">
        <v>17654</v>
      </c>
      <c r="D3239" s="40" t="s">
        <v>17655</v>
      </c>
      <c r="E3239" s="41">
        <v>30.07</v>
      </c>
      <c r="F3239" s="40"/>
      <c r="G3239" s="41"/>
      <c r="H3239" s="40"/>
      <c r="I3239" s="41"/>
      <c r="J3239" s="41">
        <f t="shared" si="12"/>
        <v>30.07</v>
      </c>
      <c r="K3239" s="42" t="s">
        <v>5796</v>
      </c>
      <c r="L3239" s="39">
        <v>3160</v>
      </c>
    </row>
    <row r="3240" spans="1:12" ht="11.25" customHeight="1">
      <c r="A3240" s="39">
        <v>3162</v>
      </c>
      <c r="B3240" s="40" t="s">
        <v>17656</v>
      </c>
      <c r="C3240" s="40" t="s">
        <v>17657</v>
      </c>
      <c r="D3240" s="40" t="s">
        <v>17658</v>
      </c>
      <c r="E3240" s="41">
        <v>29.97</v>
      </c>
      <c r="F3240" s="40"/>
      <c r="G3240" s="41"/>
      <c r="H3240" s="40"/>
      <c r="I3240" s="41"/>
      <c r="J3240" s="41">
        <f t="shared" si="12"/>
        <v>29.97</v>
      </c>
      <c r="K3240" s="42" t="s">
        <v>5796</v>
      </c>
      <c r="L3240" s="39">
        <v>3162</v>
      </c>
    </row>
    <row r="3241" spans="1:12" ht="11.25" customHeight="1">
      <c r="A3241" s="39">
        <v>3163</v>
      </c>
      <c r="B3241" s="40" t="s">
        <v>17659</v>
      </c>
      <c r="C3241" s="40" t="s">
        <v>17660</v>
      </c>
      <c r="D3241" s="40" t="s">
        <v>17661</v>
      </c>
      <c r="E3241" s="41">
        <v>29.96</v>
      </c>
      <c r="F3241" s="40"/>
      <c r="G3241" s="41"/>
      <c r="H3241" s="40"/>
      <c r="I3241" s="41"/>
      <c r="J3241" s="41">
        <f t="shared" si="12"/>
        <v>29.96</v>
      </c>
      <c r="K3241" s="42" t="s">
        <v>5796</v>
      </c>
      <c r="L3241" s="39">
        <v>3163</v>
      </c>
    </row>
    <row r="3242" spans="1:12" ht="11.25" customHeight="1">
      <c r="A3242" s="39">
        <v>3164</v>
      </c>
      <c r="B3242" s="40" t="s">
        <v>17662</v>
      </c>
      <c r="C3242" s="40" t="s">
        <v>17663</v>
      </c>
      <c r="D3242" s="40" t="s">
        <v>17664</v>
      </c>
      <c r="E3242" s="41">
        <v>29.93</v>
      </c>
      <c r="F3242" s="40"/>
      <c r="G3242" s="41"/>
      <c r="H3242" s="40"/>
      <c r="I3242" s="41"/>
      <c r="J3242" s="41">
        <f t="shared" si="12"/>
        <v>29.93</v>
      </c>
      <c r="K3242" s="42" t="s">
        <v>5796</v>
      </c>
      <c r="L3242" s="39">
        <v>3164</v>
      </c>
    </row>
    <row r="3243" spans="1:12" ht="11.25" customHeight="1">
      <c r="A3243" s="39">
        <v>3166</v>
      </c>
      <c r="B3243" s="52" t="s">
        <v>8285</v>
      </c>
      <c r="C3243" s="52" t="s">
        <v>17665</v>
      </c>
      <c r="D3243" s="40"/>
      <c r="E3243" s="41"/>
      <c r="F3243" s="40"/>
      <c r="G3243" s="41"/>
      <c r="H3243" s="52" t="s">
        <v>17666</v>
      </c>
      <c r="I3243" s="53">
        <v>29.700190000000017</v>
      </c>
      <c r="J3243" s="41">
        <f t="shared" si="12"/>
        <v>29.700190000000017</v>
      </c>
      <c r="K3243" s="42" t="s">
        <v>5796</v>
      </c>
      <c r="L3243" s="39">
        <v>3166</v>
      </c>
    </row>
    <row r="3244" spans="1:12" ht="11.25" customHeight="1">
      <c r="A3244" s="39">
        <v>3167</v>
      </c>
      <c r="B3244" s="40" t="s">
        <v>17667</v>
      </c>
      <c r="C3244" s="40" t="s">
        <v>17668</v>
      </c>
      <c r="D3244" s="40" t="s">
        <v>17669</v>
      </c>
      <c r="E3244" s="41">
        <v>53.99</v>
      </c>
      <c r="F3244" s="40"/>
      <c r="G3244" s="41"/>
      <c r="H3244" s="40" t="s">
        <v>17670</v>
      </c>
      <c r="I3244" s="41">
        <v>5.3975378225806434</v>
      </c>
      <c r="J3244" s="41">
        <f t="shared" si="12"/>
        <v>29.693768911290324</v>
      </c>
      <c r="K3244" s="42" t="s">
        <v>5796</v>
      </c>
      <c r="L3244" s="39">
        <v>3167</v>
      </c>
    </row>
    <row r="3245" spans="1:12" ht="11.25" customHeight="1">
      <c r="A3245" s="39">
        <v>3168</v>
      </c>
      <c r="B3245" s="40" t="s">
        <v>8661</v>
      </c>
      <c r="C3245" s="40" t="s">
        <v>17671</v>
      </c>
      <c r="D3245" s="40" t="s">
        <v>17672</v>
      </c>
      <c r="E3245" s="41">
        <v>29.61</v>
      </c>
      <c r="F3245" s="40"/>
      <c r="G3245" s="41"/>
      <c r="H3245" s="40"/>
      <c r="I3245" s="41"/>
      <c r="J3245" s="41">
        <f t="shared" si="12"/>
        <v>29.61</v>
      </c>
      <c r="K3245" s="42" t="s">
        <v>5796</v>
      </c>
      <c r="L3245" s="39">
        <v>3168</v>
      </c>
    </row>
    <row r="3246" spans="1:12" ht="11.25" customHeight="1">
      <c r="A3246" s="39">
        <v>3170</v>
      </c>
      <c r="B3246" s="40" t="s">
        <v>17673</v>
      </c>
      <c r="C3246" s="40" t="s">
        <v>17674</v>
      </c>
      <c r="D3246" s="40" t="s">
        <v>17675</v>
      </c>
      <c r="E3246" s="41">
        <v>29.59</v>
      </c>
      <c r="F3246" s="40"/>
      <c r="G3246" s="41"/>
      <c r="H3246" s="40" t="s">
        <v>17675</v>
      </c>
      <c r="I3246" s="41">
        <v>29.558799362903216</v>
      </c>
      <c r="J3246" s="41">
        <f t="shared" si="12"/>
        <v>29.574399681451609</v>
      </c>
      <c r="K3246" s="42" t="s">
        <v>5796</v>
      </c>
      <c r="L3246" s="39">
        <v>3170</v>
      </c>
    </row>
    <row r="3247" spans="1:12" ht="11.25" customHeight="1">
      <c r="A3247" s="39">
        <v>3171</v>
      </c>
      <c r="B3247" s="40" t="s">
        <v>8501</v>
      </c>
      <c r="C3247" s="40" t="s">
        <v>17676</v>
      </c>
      <c r="D3247" s="40" t="s">
        <v>17677</v>
      </c>
      <c r="E3247" s="41">
        <v>29.56</v>
      </c>
      <c r="F3247" s="40"/>
      <c r="G3247" s="41"/>
      <c r="H3247" s="40"/>
      <c r="I3247" s="41"/>
      <c r="J3247" s="41">
        <f t="shared" si="12"/>
        <v>29.56</v>
      </c>
      <c r="K3247" s="42" t="s">
        <v>5796</v>
      </c>
      <c r="L3247" s="39">
        <v>3171</v>
      </c>
    </row>
    <row r="3248" spans="1:12" ht="11.25" customHeight="1">
      <c r="A3248" s="39">
        <v>3172</v>
      </c>
      <c r="B3248" s="40" t="s">
        <v>17678</v>
      </c>
      <c r="C3248" s="40" t="s">
        <v>17679</v>
      </c>
      <c r="D3248" s="40" t="s">
        <v>17680</v>
      </c>
      <c r="E3248" s="41">
        <v>29.52</v>
      </c>
      <c r="F3248" s="40"/>
      <c r="G3248" s="41"/>
      <c r="H3248" s="40"/>
      <c r="I3248" s="41"/>
      <c r="J3248" s="41">
        <f t="shared" si="12"/>
        <v>29.52</v>
      </c>
      <c r="K3248" s="42" t="s">
        <v>5796</v>
      </c>
      <c r="L3248" s="39">
        <v>3172</v>
      </c>
    </row>
    <row r="3249" spans="1:12" ht="11.25" customHeight="1">
      <c r="A3249" s="39">
        <v>3173</v>
      </c>
      <c r="B3249" s="40" t="s">
        <v>17681</v>
      </c>
      <c r="C3249" s="40" t="s">
        <v>17682</v>
      </c>
      <c r="D3249" s="40" t="s">
        <v>17683</v>
      </c>
      <c r="E3249" s="41">
        <v>29.51</v>
      </c>
      <c r="F3249" s="40"/>
      <c r="G3249" s="41"/>
      <c r="H3249" s="40"/>
      <c r="I3249" s="41"/>
      <c r="J3249" s="41">
        <f t="shared" si="12"/>
        <v>29.51</v>
      </c>
      <c r="K3249" s="42" t="s">
        <v>5796</v>
      </c>
      <c r="L3249" s="39">
        <v>3173</v>
      </c>
    </row>
    <row r="3250" spans="1:12" ht="11.25" customHeight="1">
      <c r="A3250" s="39">
        <v>3174</v>
      </c>
      <c r="B3250" s="40" t="s">
        <v>8349</v>
      </c>
      <c r="C3250" s="40" t="s">
        <v>17684</v>
      </c>
      <c r="D3250" s="40" t="s">
        <v>17685</v>
      </c>
      <c r="E3250" s="41">
        <v>29.46</v>
      </c>
      <c r="F3250" s="40"/>
      <c r="G3250" s="41"/>
      <c r="H3250" s="40"/>
      <c r="I3250" s="41"/>
      <c r="J3250" s="41">
        <f t="shared" si="12"/>
        <v>29.46</v>
      </c>
      <c r="K3250" s="42" t="s">
        <v>5796</v>
      </c>
      <c r="L3250" s="39">
        <v>3174</v>
      </c>
    </row>
    <row r="3251" spans="1:12" ht="11.25" customHeight="1">
      <c r="A3251" s="39">
        <v>3175</v>
      </c>
      <c r="B3251" s="40" t="s">
        <v>17686</v>
      </c>
      <c r="C3251" s="40" t="s">
        <v>17687</v>
      </c>
      <c r="D3251" s="40" t="s">
        <v>17688</v>
      </c>
      <c r="E3251" s="41">
        <v>29.43</v>
      </c>
      <c r="F3251" s="40"/>
      <c r="G3251" s="41"/>
      <c r="H3251" s="40"/>
      <c r="I3251" s="41"/>
      <c r="J3251" s="41">
        <f t="shared" si="12"/>
        <v>29.43</v>
      </c>
      <c r="K3251" s="42" t="s">
        <v>5796</v>
      </c>
      <c r="L3251" s="39">
        <v>3175</v>
      </c>
    </row>
    <row r="3252" spans="1:12" ht="11.25" customHeight="1">
      <c r="A3252" s="39">
        <v>3176</v>
      </c>
      <c r="B3252" s="40" t="s">
        <v>17689</v>
      </c>
      <c r="C3252" s="40" t="s">
        <v>17690</v>
      </c>
      <c r="D3252" s="40" t="s">
        <v>17691</v>
      </c>
      <c r="E3252" s="41">
        <v>29.4</v>
      </c>
      <c r="F3252" s="40"/>
      <c r="G3252" s="41"/>
      <c r="H3252" s="40"/>
      <c r="I3252" s="41"/>
      <c r="J3252" s="41">
        <f t="shared" si="12"/>
        <v>29.4</v>
      </c>
      <c r="K3252" s="42" t="s">
        <v>5796</v>
      </c>
      <c r="L3252" s="39">
        <v>3176</v>
      </c>
    </row>
    <row r="3253" spans="1:12" ht="11.25" customHeight="1">
      <c r="A3253" s="39">
        <v>3177</v>
      </c>
      <c r="B3253" s="40" t="s">
        <v>17692</v>
      </c>
      <c r="C3253" s="40" t="s">
        <v>17693</v>
      </c>
      <c r="D3253" s="40" t="s">
        <v>17694</v>
      </c>
      <c r="E3253" s="41">
        <v>29.32</v>
      </c>
      <c r="F3253" s="40"/>
      <c r="G3253" s="41"/>
      <c r="H3253" s="40"/>
      <c r="I3253" s="41"/>
      <c r="J3253" s="41">
        <f t="shared" si="12"/>
        <v>29.32</v>
      </c>
      <c r="K3253" s="42" t="s">
        <v>5796</v>
      </c>
      <c r="L3253" s="39">
        <v>3177</v>
      </c>
    </row>
    <row r="3254" spans="1:12" ht="11.25" customHeight="1">
      <c r="A3254" s="39">
        <v>3178</v>
      </c>
      <c r="B3254" s="40" t="s">
        <v>17695</v>
      </c>
      <c r="C3254" s="40" t="s">
        <v>17696</v>
      </c>
      <c r="D3254" s="40" t="s">
        <v>17697</v>
      </c>
      <c r="E3254" s="41">
        <v>29.19</v>
      </c>
      <c r="F3254" s="40"/>
      <c r="G3254" s="41"/>
      <c r="H3254" s="40"/>
      <c r="I3254" s="41"/>
      <c r="J3254" s="41">
        <f t="shared" si="12"/>
        <v>29.19</v>
      </c>
      <c r="K3254" s="42" t="s">
        <v>5796</v>
      </c>
      <c r="L3254" s="39">
        <v>3178</v>
      </c>
    </row>
    <row r="3255" spans="1:12" ht="11.25" customHeight="1">
      <c r="A3255" s="39">
        <v>3179</v>
      </c>
      <c r="B3255" s="40" t="s">
        <v>17698</v>
      </c>
      <c r="C3255" s="40" t="s">
        <v>17699</v>
      </c>
      <c r="D3255" s="40" t="s">
        <v>17700</v>
      </c>
      <c r="E3255" s="41">
        <v>29.17</v>
      </c>
      <c r="F3255" s="40"/>
      <c r="G3255" s="41"/>
      <c r="H3255" s="40"/>
      <c r="I3255" s="41"/>
      <c r="J3255" s="41">
        <f t="shared" si="12"/>
        <v>29.17</v>
      </c>
      <c r="K3255" s="42" t="s">
        <v>5796</v>
      </c>
      <c r="L3255" s="39">
        <v>3179</v>
      </c>
    </row>
    <row r="3256" spans="1:12" ht="11.25" customHeight="1">
      <c r="A3256" s="39">
        <v>3181</v>
      </c>
      <c r="B3256" s="40" t="s">
        <v>8303</v>
      </c>
      <c r="C3256" s="40" t="s">
        <v>17701</v>
      </c>
      <c r="D3256" s="40" t="s">
        <v>17702</v>
      </c>
      <c r="E3256" s="41">
        <v>28.91</v>
      </c>
      <c r="F3256" s="40"/>
      <c r="G3256" s="41"/>
      <c r="H3256" s="40"/>
      <c r="I3256" s="41"/>
      <c r="J3256" s="41">
        <f t="shared" si="12"/>
        <v>28.91</v>
      </c>
      <c r="K3256" s="42" t="s">
        <v>5796</v>
      </c>
      <c r="L3256" s="39">
        <v>3181</v>
      </c>
    </row>
    <row r="3257" spans="1:12" ht="11.25" customHeight="1">
      <c r="A3257" s="39">
        <v>3183</v>
      </c>
      <c r="B3257" s="40" t="s">
        <v>17703</v>
      </c>
      <c r="C3257" s="40" t="s">
        <v>17704</v>
      </c>
      <c r="D3257" s="40" t="s">
        <v>17705</v>
      </c>
      <c r="E3257" s="41">
        <v>28.83</v>
      </c>
      <c r="F3257" s="40"/>
      <c r="G3257" s="41"/>
      <c r="H3257" s="40"/>
      <c r="I3257" s="41"/>
      <c r="J3257" s="41">
        <f t="shared" si="12"/>
        <v>28.83</v>
      </c>
      <c r="K3257" s="42" t="s">
        <v>5796</v>
      </c>
      <c r="L3257" s="39">
        <v>3183</v>
      </c>
    </row>
    <row r="3258" spans="1:12" ht="11.25" customHeight="1">
      <c r="A3258" s="39">
        <v>3184</v>
      </c>
      <c r="B3258" s="40" t="s">
        <v>17706</v>
      </c>
      <c r="C3258" s="40" t="s">
        <v>17707</v>
      </c>
      <c r="D3258" s="40" t="s">
        <v>17708</v>
      </c>
      <c r="E3258" s="41">
        <v>28.82</v>
      </c>
      <c r="F3258" s="40"/>
      <c r="G3258" s="41"/>
      <c r="H3258" s="40"/>
      <c r="I3258" s="41"/>
      <c r="J3258" s="41">
        <f t="shared" si="12"/>
        <v>28.82</v>
      </c>
      <c r="K3258" s="42" t="s">
        <v>5796</v>
      </c>
      <c r="L3258" s="39">
        <v>3184</v>
      </c>
    </row>
    <row r="3259" spans="1:12" ht="11.25" customHeight="1">
      <c r="A3259" s="39">
        <v>3185</v>
      </c>
      <c r="B3259" s="40" t="s">
        <v>17709</v>
      </c>
      <c r="C3259" s="40" t="s">
        <v>17710</v>
      </c>
      <c r="D3259" s="40" t="s">
        <v>17711</v>
      </c>
      <c r="E3259" s="41">
        <v>28.81</v>
      </c>
      <c r="F3259" s="40"/>
      <c r="G3259" s="41"/>
      <c r="H3259" s="40"/>
      <c r="I3259" s="41"/>
      <c r="J3259" s="41">
        <f t="shared" si="12"/>
        <v>28.81</v>
      </c>
      <c r="K3259" s="42" t="s">
        <v>5796</v>
      </c>
      <c r="L3259" s="39">
        <v>3185</v>
      </c>
    </row>
    <row r="3260" spans="1:12" ht="11.25" customHeight="1">
      <c r="A3260" s="39">
        <v>3186</v>
      </c>
      <c r="B3260" s="40" t="s">
        <v>17712</v>
      </c>
      <c r="C3260" s="40" t="s">
        <v>17713</v>
      </c>
      <c r="D3260" s="40" t="s">
        <v>17714</v>
      </c>
      <c r="E3260" s="41">
        <v>28.74</v>
      </c>
      <c r="F3260" s="40"/>
      <c r="G3260" s="41"/>
      <c r="H3260" s="40"/>
      <c r="I3260" s="41"/>
      <c r="J3260" s="41">
        <f t="shared" si="12"/>
        <v>28.74</v>
      </c>
      <c r="K3260" s="42" t="s">
        <v>5796</v>
      </c>
      <c r="L3260" s="39">
        <v>3186</v>
      </c>
    </row>
    <row r="3261" spans="1:12" ht="11.25" customHeight="1">
      <c r="A3261" s="39">
        <v>3188</v>
      </c>
      <c r="B3261" s="40" t="s">
        <v>17715</v>
      </c>
      <c r="C3261" s="40" t="s">
        <v>17716</v>
      </c>
      <c r="D3261" s="40" t="s">
        <v>17717</v>
      </c>
      <c r="E3261" s="41">
        <v>28.68</v>
      </c>
      <c r="F3261" s="40"/>
      <c r="G3261" s="41"/>
      <c r="H3261" s="40"/>
      <c r="I3261" s="41"/>
      <c r="J3261" s="41">
        <f t="shared" si="12"/>
        <v>28.68</v>
      </c>
      <c r="K3261" s="42" t="s">
        <v>5796</v>
      </c>
      <c r="L3261" s="39">
        <v>3188</v>
      </c>
    </row>
    <row r="3262" spans="1:12" ht="11.25" customHeight="1">
      <c r="A3262" s="39">
        <v>3189</v>
      </c>
      <c r="B3262" s="40" t="s">
        <v>17718</v>
      </c>
      <c r="C3262" s="40" t="s">
        <v>17719</v>
      </c>
      <c r="D3262" s="40" t="s">
        <v>6066</v>
      </c>
      <c r="E3262" s="41">
        <v>28.65</v>
      </c>
      <c r="F3262" s="40"/>
      <c r="G3262" s="41"/>
      <c r="H3262" s="40"/>
      <c r="I3262" s="41"/>
      <c r="J3262" s="41">
        <f t="shared" si="12"/>
        <v>28.65</v>
      </c>
      <c r="K3262" s="42" t="s">
        <v>5796</v>
      </c>
      <c r="L3262" s="39">
        <v>3189</v>
      </c>
    </row>
    <row r="3263" spans="1:12" ht="11.25" customHeight="1">
      <c r="A3263" s="39">
        <v>3190</v>
      </c>
      <c r="B3263" s="40" t="s">
        <v>17720</v>
      </c>
      <c r="C3263" s="40" t="s">
        <v>17721</v>
      </c>
      <c r="D3263" s="40" t="s">
        <v>17722</v>
      </c>
      <c r="E3263" s="41">
        <v>28.48</v>
      </c>
      <c r="F3263" s="40"/>
      <c r="G3263" s="41"/>
      <c r="H3263" s="40"/>
      <c r="I3263" s="41"/>
      <c r="J3263" s="41">
        <f t="shared" si="12"/>
        <v>28.48</v>
      </c>
      <c r="K3263" s="42" t="s">
        <v>5796</v>
      </c>
      <c r="L3263" s="39">
        <v>3190</v>
      </c>
    </row>
    <row r="3264" spans="1:12" ht="11.25" customHeight="1">
      <c r="A3264" s="39">
        <v>3191</v>
      </c>
      <c r="B3264" s="40" t="s">
        <v>17723</v>
      </c>
      <c r="C3264" s="40" t="s">
        <v>17724</v>
      </c>
      <c r="D3264" s="40" t="s">
        <v>17725</v>
      </c>
      <c r="E3264" s="41">
        <v>28.35</v>
      </c>
      <c r="F3264" s="40"/>
      <c r="G3264" s="41"/>
      <c r="H3264" s="40"/>
      <c r="I3264" s="41"/>
      <c r="J3264" s="41">
        <f t="shared" si="12"/>
        <v>28.35</v>
      </c>
      <c r="K3264" s="42" t="s">
        <v>5796</v>
      </c>
      <c r="L3264" s="39">
        <v>3191</v>
      </c>
    </row>
    <row r="3265" spans="1:12" ht="11.25" customHeight="1">
      <c r="A3265" s="39">
        <v>3192</v>
      </c>
      <c r="B3265" s="52" t="s">
        <v>8315</v>
      </c>
      <c r="C3265" s="52" t="s">
        <v>17726</v>
      </c>
      <c r="D3265" s="40"/>
      <c r="E3265" s="41"/>
      <c r="F3265" s="40"/>
      <c r="G3265" s="41"/>
      <c r="H3265" s="52" t="s">
        <v>17727</v>
      </c>
      <c r="I3265" s="53">
        <v>28.335907544999952</v>
      </c>
      <c r="J3265" s="41">
        <f t="shared" si="12"/>
        <v>28.335907544999952</v>
      </c>
      <c r="K3265" s="42" t="s">
        <v>5796</v>
      </c>
      <c r="L3265" s="39">
        <v>3192</v>
      </c>
    </row>
    <row r="3266" spans="1:12" ht="11.25" customHeight="1">
      <c r="A3266" s="39">
        <v>3193</v>
      </c>
      <c r="B3266" s="40" t="s">
        <v>8340</v>
      </c>
      <c r="C3266" s="40" t="s">
        <v>17728</v>
      </c>
      <c r="D3266" s="40" t="s">
        <v>17729</v>
      </c>
      <c r="E3266" s="41">
        <v>28.32</v>
      </c>
      <c r="F3266" s="40"/>
      <c r="G3266" s="41"/>
      <c r="H3266" s="40"/>
      <c r="I3266" s="41"/>
      <c r="J3266" s="41">
        <f t="shared" si="12"/>
        <v>28.32</v>
      </c>
      <c r="K3266" s="42" t="s">
        <v>5796</v>
      </c>
      <c r="L3266" s="39">
        <v>3193</v>
      </c>
    </row>
    <row r="3267" spans="1:12" ht="11.25" customHeight="1">
      <c r="A3267" s="39">
        <v>3194</v>
      </c>
      <c r="B3267" s="40" t="s">
        <v>8233</v>
      </c>
      <c r="C3267" s="40" t="s">
        <v>17730</v>
      </c>
      <c r="D3267" s="40" t="s">
        <v>17731</v>
      </c>
      <c r="E3267" s="41">
        <v>26.61</v>
      </c>
      <c r="F3267" s="40"/>
      <c r="G3267" s="41"/>
      <c r="H3267" s="40" t="s">
        <v>17732</v>
      </c>
      <c r="I3267" s="41">
        <v>29.908462499999935</v>
      </c>
      <c r="J3267" s="41">
        <f t="shared" si="12"/>
        <v>28.259231249999967</v>
      </c>
      <c r="K3267" s="42" t="s">
        <v>5796</v>
      </c>
      <c r="L3267" s="39">
        <v>3194</v>
      </c>
    </row>
    <row r="3268" spans="1:12" ht="11.25" customHeight="1">
      <c r="A3268" s="39">
        <v>3195</v>
      </c>
      <c r="B3268" s="40" t="s">
        <v>17733</v>
      </c>
      <c r="C3268" s="40" t="s">
        <v>17734</v>
      </c>
      <c r="D3268" s="40" t="s">
        <v>17735</v>
      </c>
      <c r="E3268" s="41">
        <v>28.19</v>
      </c>
      <c r="F3268" s="40"/>
      <c r="G3268" s="41"/>
      <c r="H3268" s="40"/>
      <c r="I3268" s="41"/>
      <c r="J3268" s="41">
        <f t="shared" si="12"/>
        <v>28.19</v>
      </c>
      <c r="K3268" s="42" t="s">
        <v>5796</v>
      </c>
      <c r="L3268" s="39">
        <v>3195</v>
      </c>
    </row>
    <row r="3269" spans="1:12" ht="11.25" customHeight="1">
      <c r="A3269" s="39">
        <v>3196</v>
      </c>
      <c r="B3269" s="40" t="s">
        <v>17736</v>
      </c>
      <c r="C3269" s="40" t="s">
        <v>17737</v>
      </c>
      <c r="D3269" s="40" t="s">
        <v>17738</v>
      </c>
      <c r="E3269" s="41">
        <v>28.19</v>
      </c>
      <c r="F3269" s="40"/>
      <c r="G3269" s="41"/>
      <c r="H3269" s="40"/>
      <c r="I3269" s="41"/>
      <c r="J3269" s="41">
        <f t="shared" si="12"/>
        <v>28.19</v>
      </c>
      <c r="K3269" s="42" t="s">
        <v>5796</v>
      </c>
      <c r="L3269" s="39">
        <v>3196</v>
      </c>
    </row>
    <row r="3270" spans="1:12" ht="11.25" customHeight="1">
      <c r="A3270" s="39">
        <v>3197</v>
      </c>
      <c r="B3270" s="40" t="s">
        <v>17739</v>
      </c>
      <c r="C3270" s="40" t="s">
        <v>17740</v>
      </c>
      <c r="D3270" s="40" t="s">
        <v>17741</v>
      </c>
      <c r="E3270" s="41">
        <v>28.17</v>
      </c>
      <c r="F3270" s="40"/>
      <c r="G3270" s="41"/>
      <c r="H3270" s="40"/>
      <c r="I3270" s="41"/>
      <c r="J3270" s="41">
        <f t="shared" si="12"/>
        <v>28.17</v>
      </c>
      <c r="K3270" s="42" t="s">
        <v>5796</v>
      </c>
      <c r="L3270" s="39">
        <v>3197</v>
      </c>
    </row>
    <row r="3271" spans="1:12" ht="11.25" customHeight="1">
      <c r="A3271" s="39">
        <v>3198</v>
      </c>
      <c r="B3271" s="40" t="s">
        <v>17742</v>
      </c>
      <c r="C3271" s="40" t="s">
        <v>17743</v>
      </c>
      <c r="D3271" s="40" t="s">
        <v>17744</v>
      </c>
      <c r="E3271" s="41">
        <v>28.01</v>
      </c>
      <c r="F3271" s="40"/>
      <c r="G3271" s="41"/>
      <c r="H3271" s="40"/>
      <c r="I3271" s="41"/>
      <c r="J3271" s="41">
        <f t="shared" si="12"/>
        <v>28.01</v>
      </c>
      <c r="K3271" s="42" t="s">
        <v>5796</v>
      </c>
      <c r="L3271" s="39">
        <v>3198</v>
      </c>
    </row>
    <row r="3272" spans="1:12" ht="11.25" customHeight="1">
      <c r="A3272" s="39">
        <v>3200</v>
      </c>
      <c r="B3272" s="40" t="s">
        <v>8425</v>
      </c>
      <c r="C3272" s="40" t="s">
        <v>17745</v>
      </c>
      <c r="D3272" s="40" t="s">
        <v>17746</v>
      </c>
      <c r="E3272" s="41">
        <v>27.91</v>
      </c>
      <c r="F3272" s="40"/>
      <c r="G3272" s="41"/>
      <c r="H3272" s="40"/>
      <c r="I3272" s="41"/>
      <c r="J3272" s="41">
        <f t="shared" si="12"/>
        <v>27.91</v>
      </c>
      <c r="K3272" s="42" t="s">
        <v>5796</v>
      </c>
      <c r="L3272" s="39">
        <v>3200</v>
      </c>
    </row>
    <row r="3273" spans="1:12" ht="11.25" customHeight="1">
      <c r="A3273" s="39">
        <v>3201</v>
      </c>
      <c r="B3273" s="40" t="s">
        <v>17747</v>
      </c>
      <c r="C3273" s="40" t="s">
        <v>17748</v>
      </c>
      <c r="D3273" s="40" t="s">
        <v>17749</v>
      </c>
      <c r="E3273" s="41">
        <v>27.91</v>
      </c>
      <c r="F3273" s="40"/>
      <c r="G3273" s="41"/>
      <c r="H3273" s="40"/>
      <c r="I3273" s="41"/>
      <c r="J3273" s="41">
        <f t="shared" si="12"/>
        <v>27.91</v>
      </c>
      <c r="K3273" s="42" t="s">
        <v>5796</v>
      </c>
      <c r="L3273" s="39">
        <v>3201</v>
      </c>
    </row>
    <row r="3274" spans="1:12" ht="11.25" customHeight="1">
      <c r="A3274" s="39">
        <v>3202</v>
      </c>
      <c r="B3274" s="40" t="s">
        <v>17750</v>
      </c>
      <c r="C3274" s="40" t="s">
        <v>17751</v>
      </c>
      <c r="D3274" s="40" t="s">
        <v>17752</v>
      </c>
      <c r="E3274" s="41">
        <v>27.83</v>
      </c>
      <c r="F3274" s="40"/>
      <c r="G3274" s="41"/>
      <c r="H3274" s="40"/>
      <c r="I3274" s="41"/>
      <c r="J3274" s="41">
        <f t="shared" si="12"/>
        <v>27.83</v>
      </c>
      <c r="K3274" s="42" t="s">
        <v>5796</v>
      </c>
      <c r="L3274" s="39">
        <v>3202</v>
      </c>
    </row>
    <row r="3275" spans="1:12" ht="11.25" customHeight="1">
      <c r="A3275" s="39">
        <v>3203</v>
      </c>
      <c r="B3275" s="40" t="s">
        <v>17753</v>
      </c>
      <c r="C3275" s="40" t="s">
        <v>17754</v>
      </c>
      <c r="D3275" s="40" t="s">
        <v>17755</v>
      </c>
      <c r="E3275" s="41">
        <v>27.82</v>
      </c>
      <c r="F3275" s="40"/>
      <c r="G3275" s="41"/>
      <c r="H3275" s="40"/>
      <c r="I3275" s="41"/>
      <c r="J3275" s="41">
        <f t="shared" si="12"/>
        <v>27.82</v>
      </c>
      <c r="K3275" s="42" t="s">
        <v>5796</v>
      </c>
      <c r="L3275" s="39">
        <v>3203</v>
      </c>
    </row>
    <row r="3276" spans="1:12" ht="11.25" customHeight="1">
      <c r="A3276" s="39">
        <v>3205</v>
      </c>
      <c r="B3276" s="40" t="s">
        <v>17756</v>
      </c>
      <c r="C3276" s="40" t="s">
        <v>17757</v>
      </c>
      <c r="D3276" s="40" t="s">
        <v>17758</v>
      </c>
      <c r="E3276" s="41">
        <v>27.68</v>
      </c>
      <c r="F3276" s="40"/>
      <c r="G3276" s="41"/>
      <c r="H3276" s="40"/>
      <c r="I3276" s="41"/>
      <c r="J3276" s="41">
        <f t="shared" si="12"/>
        <v>27.68</v>
      </c>
      <c r="K3276" s="42" t="s">
        <v>5796</v>
      </c>
      <c r="L3276" s="39">
        <v>3205</v>
      </c>
    </row>
    <row r="3277" spans="1:12" ht="11.25" customHeight="1">
      <c r="A3277" s="39">
        <v>3207</v>
      </c>
      <c r="B3277" s="40" t="s">
        <v>17759</v>
      </c>
      <c r="C3277" s="40" t="s">
        <v>17760</v>
      </c>
      <c r="D3277" s="40" t="s">
        <v>17761</v>
      </c>
      <c r="E3277" s="41">
        <v>27.53</v>
      </c>
      <c r="F3277" s="40"/>
      <c r="G3277" s="41"/>
      <c r="H3277" s="40"/>
      <c r="I3277" s="41"/>
      <c r="J3277" s="41">
        <f t="shared" si="12"/>
        <v>27.53</v>
      </c>
      <c r="K3277" s="42" t="s">
        <v>5796</v>
      </c>
      <c r="L3277" s="39">
        <v>3207</v>
      </c>
    </row>
    <row r="3278" spans="1:12" ht="11.25" customHeight="1">
      <c r="A3278" s="39">
        <v>3208</v>
      </c>
      <c r="B3278" s="40" t="s">
        <v>17762</v>
      </c>
      <c r="C3278" s="40" t="s">
        <v>17763</v>
      </c>
      <c r="D3278" s="40" t="s">
        <v>17764</v>
      </c>
      <c r="E3278" s="41">
        <v>27.53</v>
      </c>
      <c r="F3278" s="40"/>
      <c r="G3278" s="41"/>
      <c r="H3278" s="40"/>
      <c r="I3278" s="41"/>
      <c r="J3278" s="41">
        <f t="shared" si="12"/>
        <v>27.53</v>
      </c>
      <c r="K3278" s="42" t="s">
        <v>5796</v>
      </c>
      <c r="L3278" s="39">
        <v>3208</v>
      </c>
    </row>
    <row r="3279" spans="1:12" ht="11.25" customHeight="1">
      <c r="A3279" s="39">
        <v>3210</v>
      </c>
      <c r="B3279" s="40" t="s">
        <v>17765</v>
      </c>
      <c r="C3279" s="40" t="s">
        <v>17766</v>
      </c>
      <c r="D3279" s="40" t="s">
        <v>17767</v>
      </c>
      <c r="E3279" s="41">
        <v>27.49</v>
      </c>
      <c r="F3279" s="40"/>
      <c r="G3279" s="41"/>
      <c r="H3279" s="40"/>
      <c r="I3279" s="41"/>
      <c r="J3279" s="41">
        <f t="shared" si="12"/>
        <v>27.49</v>
      </c>
      <c r="K3279" s="42" t="s">
        <v>5796</v>
      </c>
      <c r="L3279" s="39">
        <v>3210</v>
      </c>
    </row>
    <row r="3280" spans="1:12" ht="11.25" customHeight="1">
      <c r="A3280" s="39">
        <v>3211</v>
      </c>
      <c r="B3280" s="40" t="s">
        <v>17768</v>
      </c>
      <c r="C3280" s="40" t="s">
        <v>17769</v>
      </c>
      <c r="D3280" s="40" t="s">
        <v>17770</v>
      </c>
      <c r="E3280" s="41">
        <v>27.49</v>
      </c>
      <c r="F3280" s="40"/>
      <c r="G3280" s="41"/>
      <c r="H3280" s="40"/>
      <c r="I3280" s="41"/>
      <c r="J3280" s="41">
        <f t="shared" si="12"/>
        <v>27.49</v>
      </c>
      <c r="K3280" s="42" t="s">
        <v>5796</v>
      </c>
      <c r="L3280" s="39">
        <v>3211</v>
      </c>
    </row>
    <row r="3281" spans="1:12" ht="11.25" customHeight="1">
      <c r="A3281" s="39">
        <v>3212</v>
      </c>
      <c r="B3281" s="52" t="s">
        <v>8320</v>
      </c>
      <c r="C3281" s="52" t="s">
        <v>17771</v>
      </c>
      <c r="D3281" s="40"/>
      <c r="E3281" s="41"/>
      <c r="F3281" s="40"/>
      <c r="G3281" s="41"/>
      <c r="H3281" s="52" t="s">
        <v>17772</v>
      </c>
      <c r="I3281" s="53">
        <v>27.324762096774254</v>
      </c>
      <c r="J3281" s="41">
        <f t="shared" si="12"/>
        <v>27.324762096774254</v>
      </c>
      <c r="K3281" s="42" t="s">
        <v>5796</v>
      </c>
      <c r="L3281" s="39">
        <v>3212</v>
      </c>
    </row>
    <row r="3282" spans="1:12" ht="11.25" customHeight="1">
      <c r="A3282" s="39">
        <v>3213</v>
      </c>
      <c r="B3282" s="40" t="s">
        <v>17773</v>
      </c>
      <c r="C3282" s="40" t="s">
        <v>17774</v>
      </c>
      <c r="D3282" s="40" t="s">
        <v>17775</v>
      </c>
      <c r="E3282" s="41">
        <v>27.31</v>
      </c>
      <c r="F3282" s="40"/>
      <c r="G3282" s="41"/>
      <c r="H3282" s="40"/>
      <c r="I3282" s="41"/>
      <c r="J3282" s="41">
        <f t="shared" si="12"/>
        <v>27.31</v>
      </c>
      <c r="K3282" s="42" t="s">
        <v>5796</v>
      </c>
      <c r="L3282" s="39">
        <v>3213</v>
      </c>
    </row>
    <row r="3283" spans="1:12" ht="11.25" customHeight="1">
      <c r="A3283" s="39">
        <v>3214</v>
      </c>
      <c r="B3283" s="40" t="s">
        <v>8299</v>
      </c>
      <c r="C3283" s="40" t="s">
        <v>17776</v>
      </c>
      <c r="D3283" s="40" t="s">
        <v>17777</v>
      </c>
      <c r="E3283" s="41">
        <v>27.22</v>
      </c>
      <c r="F3283" s="40"/>
      <c r="G3283" s="41"/>
      <c r="H3283" s="40"/>
      <c r="I3283" s="41"/>
      <c r="J3283" s="41">
        <f t="shared" si="12"/>
        <v>27.22</v>
      </c>
      <c r="K3283" s="42" t="s">
        <v>5796</v>
      </c>
      <c r="L3283" s="39">
        <v>3214</v>
      </c>
    </row>
    <row r="3284" spans="1:12" ht="11.25" customHeight="1">
      <c r="A3284" s="39">
        <v>3215</v>
      </c>
      <c r="B3284" s="40" t="s">
        <v>17778</v>
      </c>
      <c r="C3284" s="40" t="s">
        <v>17779</v>
      </c>
      <c r="D3284" s="40" t="s">
        <v>17780</v>
      </c>
      <c r="E3284" s="41">
        <v>27.19</v>
      </c>
      <c r="F3284" s="40"/>
      <c r="G3284" s="41"/>
      <c r="H3284" s="40"/>
      <c r="I3284" s="41"/>
      <c r="J3284" s="41">
        <f t="shared" si="12"/>
        <v>27.19</v>
      </c>
      <c r="K3284" s="42" t="s">
        <v>5796</v>
      </c>
      <c r="L3284" s="39">
        <v>3215</v>
      </c>
    </row>
    <row r="3285" spans="1:12" ht="11.25" customHeight="1">
      <c r="A3285" s="39">
        <v>3216</v>
      </c>
      <c r="B3285" s="40" t="s">
        <v>8342</v>
      </c>
      <c r="C3285" s="40" t="s">
        <v>17781</v>
      </c>
      <c r="D3285" s="40" t="s">
        <v>17782</v>
      </c>
      <c r="E3285" s="41">
        <v>27.18</v>
      </c>
      <c r="F3285" s="40"/>
      <c r="G3285" s="41"/>
      <c r="H3285" s="40"/>
      <c r="I3285" s="41"/>
      <c r="J3285" s="41">
        <f t="shared" si="12"/>
        <v>27.18</v>
      </c>
      <c r="K3285" s="42" t="s">
        <v>5796</v>
      </c>
      <c r="L3285" s="39">
        <v>3216</v>
      </c>
    </row>
    <row r="3286" spans="1:12" ht="11.25" customHeight="1">
      <c r="A3286" s="39">
        <v>3217</v>
      </c>
      <c r="B3286" s="40" t="s">
        <v>17783</v>
      </c>
      <c r="C3286" s="40" t="s">
        <v>17784</v>
      </c>
      <c r="D3286" s="40" t="s">
        <v>17785</v>
      </c>
      <c r="E3286" s="41">
        <v>27.17</v>
      </c>
      <c r="F3286" s="40"/>
      <c r="G3286" s="41"/>
      <c r="H3286" s="40"/>
      <c r="I3286" s="41"/>
      <c r="J3286" s="41">
        <f t="shared" si="12"/>
        <v>27.17</v>
      </c>
      <c r="K3286" s="42" t="s">
        <v>5796</v>
      </c>
      <c r="L3286" s="39">
        <v>3217</v>
      </c>
    </row>
    <row r="3287" spans="1:12" ht="11.25" customHeight="1">
      <c r="A3287" s="39">
        <v>3218</v>
      </c>
      <c r="B3287" s="40" t="s">
        <v>17786</v>
      </c>
      <c r="C3287" s="40" t="s">
        <v>17787</v>
      </c>
      <c r="D3287" s="40" t="s">
        <v>17788</v>
      </c>
      <c r="E3287" s="41">
        <v>27.16</v>
      </c>
      <c r="F3287" s="40"/>
      <c r="G3287" s="41"/>
      <c r="H3287" s="40"/>
      <c r="I3287" s="41"/>
      <c r="J3287" s="41">
        <f t="shared" si="12"/>
        <v>27.16</v>
      </c>
      <c r="K3287" s="42" t="s">
        <v>5796</v>
      </c>
      <c r="L3287" s="39">
        <v>3218</v>
      </c>
    </row>
    <row r="3288" spans="1:12" ht="11.25" customHeight="1">
      <c r="A3288" s="39">
        <v>3219</v>
      </c>
      <c r="B3288" s="40" t="s">
        <v>17789</v>
      </c>
      <c r="C3288" s="40" t="s">
        <v>17790</v>
      </c>
      <c r="D3288" s="40" t="s">
        <v>3322</v>
      </c>
      <c r="E3288" s="41">
        <v>27.15</v>
      </c>
      <c r="F3288" s="40"/>
      <c r="G3288" s="41"/>
      <c r="H3288" s="40"/>
      <c r="I3288" s="41"/>
      <c r="J3288" s="41">
        <f t="shared" si="12"/>
        <v>27.15</v>
      </c>
      <c r="K3288" s="42" t="s">
        <v>5796</v>
      </c>
      <c r="L3288" s="39">
        <v>3219</v>
      </c>
    </row>
    <row r="3289" spans="1:12" ht="11.25" customHeight="1">
      <c r="A3289" s="39">
        <v>3220</v>
      </c>
      <c r="B3289" s="40" t="s">
        <v>17791</v>
      </c>
      <c r="C3289" s="40" t="s">
        <v>17792</v>
      </c>
      <c r="D3289" s="40" t="s">
        <v>17793</v>
      </c>
      <c r="E3289" s="41">
        <v>27.14</v>
      </c>
      <c r="F3289" s="40"/>
      <c r="G3289" s="41"/>
      <c r="H3289" s="40"/>
      <c r="I3289" s="41"/>
      <c r="J3289" s="41">
        <f t="shared" si="12"/>
        <v>27.14</v>
      </c>
      <c r="K3289" s="42" t="s">
        <v>5796</v>
      </c>
      <c r="L3289" s="39">
        <v>3220</v>
      </c>
    </row>
    <row r="3290" spans="1:12" ht="11.25" customHeight="1">
      <c r="A3290" s="39">
        <v>3223</v>
      </c>
      <c r="B3290" s="40" t="s">
        <v>8350</v>
      </c>
      <c r="C3290" s="40" t="s">
        <v>17794</v>
      </c>
      <c r="D3290" s="40" t="s">
        <v>17795</v>
      </c>
      <c r="E3290" s="41">
        <v>27</v>
      </c>
      <c r="F3290" s="40"/>
      <c r="G3290" s="41"/>
      <c r="H3290" s="40"/>
      <c r="I3290" s="41"/>
      <c r="J3290" s="41">
        <f t="shared" si="12"/>
        <v>27</v>
      </c>
      <c r="K3290" s="42" t="s">
        <v>5796</v>
      </c>
      <c r="L3290" s="39">
        <v>3223</v>
      </c>
    </row>
    <row r="3291" spans="1:12" ht="11.25" customHeight="1">
      <c r="A3291" s="39">
        <v>3224</v>
      </c>
      <c r="B3291" s="40" t="s">
        <v>17796</v>
      </c>
      <c r="C3291" s="40" t="s">
        <v>17797</v>
      </c>
      <c r="D3291" s="40" t="s">
        <v>17798</v>
      </c>
      <c r="E3291" s="41">
        <v>26.91</v>
      </c>
      <c r="F3291" s="40"/>
      <c r="G3291" s="41"/>
      <c r="H3291" s="40"/>
      <c r="I3291" s="41"/>
      <c r="J3291" s="41">
        <f t="shared" si="12"/>
        <v>26.91</v>
      </c>
      <c r="K3291" s="42" t="s">
        <v>5796</v>
      </c>
      <c r="L3291" s="39">
        <v>3224</v>
      </c>
    </row>
    <row r="3292" spans="1:12" ht="11.25" customHeight="1">
      <c r="A3292" s="39">
        <v>3225</v>
      </c>
      <c r="B3292" s="40" t="s">
        <v>17799</v>
      </c>
      <c r="C3292" s="40" t="s">
        <v>17800</v>
      </c>
      <c r="D3292" s="40" t="s">
        <v>17801</v>
      </c>
      <c r="E3292" s="41">
        <v>26.83</v>
      </c>
      <c r="F3292" s="40"/>
      <c r="G3292" s="41"/>
      <c r="H3292" s="40"/>
      <c r="I3292" s="41"/>
      <c r="J3292" s="41">
        <f t="shared" si="12"/>
        <v>26.83</v>
      </c>
      <c r="K3292" s="42" t="s">
        <v>5796</v>
      </c>
      <c r="L3292" s="39">
        <v>3225</v>
      </c>
    </row>
    <row r="3293" spans="1:12" ht="11.25" customHeight="1">
      <c r="A3293" s="39">
        <v>3226</v>
      </c>
      <c r="B3293" s="40" t="s">
        <v>8314</v>
      </c>
      <c r="C3293" s="40" t="s">
        <v>17802</v>
      </c>
      <c r="D3293" s="40" t="s">
        <v>17803</v>
      </c>
      <c r="E3293" s="41">
        <v>26.78</v>
      </c>
      <c r="F3293" s="40"/>
      <c r="G3293" s="41"/>
      <c r="H3293" s="40"/>
      <c r="I3293" s="41"/>
      <c r="J3293" s="41">
        <f t="shared" si="12"/>
        <v>26.78</v>
      </c>
      <c r="K3293" s="42" t="s">
        <v>5796</v>
      </c>
      <c r="L3293" s="39">
        <v>3226</v>
      </c>
    </row>
    <row r="3294" spans="1:12" ht="11.25" customHeight="1">
      <c r="A3294" s="39">
        <v>3227</v>
      </c>
      <c r="B3294" s="40" t="s">
        <v>17804</v>
      </c>
      <c r="C3294" s="40" t="s">
        <v>17805</v>
      </c>
      <c r="D3294" s="40" t="s">
        <v>17806</v>
      </c>
      <c r="E3294" s="41">
        <v>26.75</v>
      </c>
      <c r="F3294" s="40"/>
      <c r="G3294" s="41"/>
      <c r="H3294" s="40"/>
      <c r="I3294" s="41"/>
      <c r="J3294" s="41">
        <f t="shared" si="12"/>
        <v>26.75</v>
      </c>
      <c r="K3294" s="42" t="s">
        <v>5796</v>
      </c>
      <c r="L3294" s="39">
        <v>3227</v>
      </c>
    </row>
    <row r="3295" spans="1:12" ht="11.25" customHeight="1">
      <c r="A3295" s="39">
        <v>3228</v>
      </c>
      <c r="B3295" s="40" t="s">
        <v>17807</v>
      </c>
      <c r="C3295" s="40" t="s">
        <v>17808</v>
      </c>
      <c r="D3295" s="40" t="s">
        <v>17809</v>
      </c>
      <c r="E3295" s="41">
        <v>26.72</v>
      </c>
      <c r="F3295" s="40"/>
      <c r="G3295" s="41"/>
      <c r="H3295" s="40"/>
      <c r="I3295" s="41"/>
      <c r="J3295" s="41">
        <f t="shared" si="12"/>
        <v>26.72</v>
      </c>
      <c r="K3295" s="42" t="s">
        <v>5796</v>
      </c>
      <c r="L3295" s="39">
        <v>3228</v>
      </c>
    </row>
    <row r="3296" spans="1:12" ht="11.25" customHeight="1">
      <c r="A3296" s="39">
        <v>3229</v>
      </c>
      <c r="B3296" s="40" t="s">
        <v>17810</v>
      </c>
      <c r="C3296" s="40" t="s">
        <v>17811</v>
      </c>
      <c r="D3296" s="40" t="s">
        <v>17812</v>
      </c>
      <c r="E3296" s="41">
        <v>26.71</v>
      </c>
      <c r="F3296" s="40"/>
      <c r="G3296" s="41"/>
      <c r="H3296" s="40"/>
      <c r="I3296" s="41"/>
      <c r="J3296" s="41">
        <f t="shared" si="12"/>
        <v>26.71</v>
      </c>
      <c r="K3296" s="42" t="s">
        <v>5796</v>
      </c>
      <c r="L3296" s="39">
        <v>3229</v>
      </c>
    </row>
    <row r="3297" spans="1:12" ht="11.25" customHeight="1">
      <c r="A3297" s="39">
        <v>3231</v>
      </c>
      <c r="B3297" s="40" t="s">
        <v>17813</v>
      </c>
      <c r="C3297" s="40" t="s">
        <v>17814</v>
      </c>
      <c r="D3297" s="40" t="s">
        <v>17815</v>
      </c>
      <c r="E3297" s="41">
        <v>26.68</v>
      </c>
      <c r="F3297" s="40"/>
      <c r="G3297" s="41"/>
      <c r="H3297" s="40"/>
      <c r="I3297" s="41"/>
      <c r="J3297" s="41">
        <f t="shared" si="12"/>
        <v>26.68</v>
      </c>
      <c r="K3297" s="42" t="s">
        <v>5796</v>
      </c>
      <c r="L3297" s="39">
        <v>3231</v>
      </c>
    </row>
    <row r="3298" spans="1:12" ht="11.25" customHeight="1">
      <c r="A3298" s="39">
        <v>3233</v>
      </c>
      <c r="B3298" s="40" t="s">
        <v>17816</v>
      </c>
      <c r="C3298" s="40" t="s">
        <v>17817</v>
      </c>
      <c r="D3298" s="40" t="s">
        <v>17818</v>
      </c>
      <c r="E3298" s="41">
        <v>26.66</v>
      </c>
      <c r="F3298" s="40"/>
      <c r="G3298" s="41"/>
      <c r="H3298" s="40"/>
      <c r="I3298" s="41"/>
      <c r="J3298" s="41">
        <f t="shared" si="12"/>
        <v>26.66</v>
      </c>
      <c r="K3298" s="42" t="s">
        <v>5796</v>
      </c>
      <c r="L3298" s="39">
        <v>3233</v>
      </c>
    </row>
    <row r="3299" spans="1:12" ht="11.25" customHeight="1">
      <c r="A3299" s="39">
        <v>3234</v>
      </c>
      <c r="B3299" s="40" t="s">
        <v>17819</v>
      </c>
      <c r="C3299" s="40" t="s">
        <v>17820</v>
      </c>
      <c r="D3299" s="40" t="s">
        <v>17821</v>
      </c>
      <c r="E3299" s="41">
        <v>26.52</v>
      </c>
      <c r="F3299" s="40"/>
      <c r="G3299" s="41"/>
      <c r="H3299" s="40"/>
      <c r="I3299" s="41"/>
      <c r="J3299" s="41">
        <f t="shared" si="12"/>
        <v>26.52</v>
      </c>
      <c r="K3299" s="42" t="s">
        <v>5796</v>
      </c>
      <c r="L3299" s="39">
        <v>3234</v>
      </c>
    </row>
    <row r="3300" spans="1:12" ht="11.25" customHeight="1">
      <c r="A3300" s="39">
        <v>3235</v>
      </c>
      <c r="B3300" s="40" t="s">
        <v>9013</v>
      </c>
      <c r="C3300" s="40" t="s">
        <v>17822</v>
      </c>
      <c r="D3300" s="40" t="s">
        <v>17823</v>
      </c>
      <c r="E3300" s="41">
        <v>26.44</v>
      </c>
      <c r="F3300" s="40"/>
      <c r="G3300" s="41"/>
      <c r="H3300" s="40"/>
      <c r="I3300" s="41"/>
      <c r="J3300" s="41">
        <f t="shared" si="12"/>
        <v>26.44</v>
      </c>
      <c r="K3300" s="42" t="s">
        <v>5796</v>
      </c>
      <c r="L3300" s="39">
        <v>3235</v>
      </c>
    </row>
    <row r="3301" spans="1:12" ht="11.25" customHeight="1">
      <c r="A3301" s="39">
        <v>3236</v>
      </c>
      <c r="B3301" s="40" t="s">
        <v>17824</v>
      </c>
      <c r="C3301" s="40" t="s">
        <v>17825</v>
      </c>
      <c r="D3301" s="40" t="s">
        <v>17826</v>
      </c>
      <c r="E3301" s="41">
        <v>26.41</v>
      </c>
      <c r="F3301" s="40"/>
      <c r="G3301" s="41"/>
      <c r="H3301" s="40"/>
      <c r="I3301" s="41"/>
      <c r="J3301" s="41">
        <f t="shared" si="12"/>
        <v>26.41</v>
      </c>
      <c r="K3301" s="42" t="s">
        <v>5796</v>
      </c>
      <c r="L3301" s="39">
        <v>3236</v>
      </c>
    </row>
    <row r="3302" spans="1:12" ht="11.25" customHeight="1">
      <c r="A3302" s="39">
        <v>3237</v>
      </c>
      <c r="B3302" s="52" t="s">
        <v>8362</v>
      </c>
      <c r="C3302" s="52" t="s">
        <v>17827</v>
      </c>
      <c r="D3302" s="40"/>
      <c r="E3302" s="41"/>
      <c r="F3302" s="40"/>
      <c r="G3302" s="41"/>
      <c r="H3302" s="52" t="s">
        <v>17828</v>
      </c>
      <c r="I3302" s="53">
        <v>26.395074999999938</v>
      </c>
      <c r="J3302" s="41">
        <f t="shared" si="12"/>
        <v>26.395074999999938</v>
      </c>
      <c r="K3302" s="42" t="s">
        <v>5796</v>
      </c>
      <c r="L3302" s="39">
        <v>3237</v>
      </c>
    </row>
    <row r="3303" spans="1:12" ht="11.25" customHeight="1">
      <c r="A3303" s="39">
        <v>3238</v>
      </c>
      <c r="B3303" s="40" t="s">
        <v>17829</v>
      </c>
      <c r="C3303" s="40" t="s">
        <v>17830</v>
      </c>
      <c r="D3303" s="40" t="s">
        <v>17831</v>
      </c>
      <c r="E3303" s="41">
        <v>26.35</v>
      </c>
      <c r="F3303" s="40"/>
      <c r="G3303" s="41"/>
      <c r="H3303" s="40"/>
      <c r="I3303" s="41"/>
      <c r="J3303" s="41">
        <f t="shared" si="12"/>
        <v>26.35</v>
      </c>
      <c r="K3303" s="42" t="s">
        <v>5796</v>
      </c>
      <c r="L3303" s="39">
        <v>3238</v>
      </c>
    </row>
    <row r="3304" spans="1:12" ht="11.25" customHeight="1">
      <c r="A3304" s="39">
        <v>3239</v>
      </c>
      <c r="B3304" s="40" t="s">
        <v>17832</v>
      </c>
      <c r="C3304" s="40" t="s">
        <v>17833</v>
      </c>
      <c r="D3304" s="40" t="s">
        <v>17834</v>
      </c>
      <c r="E3304" s="41">
        <v>26.26</v>
      </c>
      <c r="F3304" s="40"/>
      <c r="G3304" s="41"/>
      <c r="H3304" s="40"/>
      <c r="I3304" s="41"/>
      <c r="J3304" s="41">
        <f t="shared" si="12"/>
        <v>26.26</v>
      </c>
      <c r="K3304" s="42" t="s">
        <v>5796</v>
      </c>
      <c r="L3304" s="39">
        <v>3239</v>
      </c>
    </row>
    <row r="3305" spans="1:12" ht="11.25" customHeight="1">
      <c r="A3305" s="39">
        <v>3240</v>
      </c>
      <c r="B3305" s="40" t="s">
        <v>17835</v>
      </c>
      <c r="C3305" s="40" t="s">
        <v>17836</v>
      </c>
      <c r="D3305" s="40" t="s">
        <v>17837</v>
      </c>
      <c r="E3305" s="41">
        <v>26.25</v>
      </c>
      <c r="F3305" s="40"/>
      <c r="G3305" s="41"/>
      <c r="H3305" s="40"/>
      <c r="I3305" s="41"/>
      <c r="J3305" s="41">
        <f t="shared" si="12"/>
        <v>26.25</v>
      </c>
      <c r="K3305" s="42" t="s">
        <v>5796</v>
      </c>
      <c r="L3305" s="39">
        <v>3240</v>
      </c>
    </row>
    <row r="3306" spans="1:12" ht="11.25" customHeight="1">
      <c r="A3306" s="39">
        <v>3241</v>
      </c>
      <c r="B3306" s="40" t="s">
        <v>17838</v>
      </c>
      <c r="C3306" s="40" t="s">
        <v>17839</v>
      </c>
      <c r="D3306" s="40" t="s">
        <v>17840</v>
      </c>
      <c r="E3306" s="41">
        <v>26.19</v>
      </c>
      <c r="F3306" s="40"/>
      <c r="G3306" s="41"/>
      <c r="H3306" s="40"/>
      <c r="I3306" s="41"/>
      <c r="J3306" s="41">
        <f t="shared" si="12"/>
        <v>26.19</v>
      </c>
      <c r="K3306" s="42" t="s">
        <v>5796</v>
      </c>
      <c r="L3306" s="39">
        <v>3241</v>
      </c>
    </row>
    <row r="3307" spans="1:12" ht="11.25" customHeight="1">
      <c r="A3307" s="39">
        <v>3242</v>
      </c>
      <c r="B3307" s="40" t="s">
        <v>17841</v>
      </c>
      <c r="C3307" s="40" t="s">
        <v>17842</v>
      </c>
      <c r="D3307" s="40" t="s">
        <v>17843</v>
      </c>
      <c r="E3307" s="41">
        <v>26.14</v>
      </c>
      <c r="F3307" s="40"/>
      <c r="G3307" s="41"/>
      <c r="H3307" s="40"/>
      <c r="I3307" s="41"/>
      <c r="J3307" s="41">
        <f t="shared" si="12"/>
        <v>26.14</v>
      </c>
      <c r="K3307" s="42" t="s">
        <v>5796</v>
      </c>
      <c r="L3307" s="39">
        <v>3242</v>
      </c>
    </row>
    <row r="3308" spans="1:12" ht="11.25" customHeight="1">
      <c r="A3308" s="39">
        <v>3243</v>
      </c>
      <c r="B3308" s="40" t="s">
        <v>17844</v>
      </c>
      <c r="C3308" s="40" t="s">
        <v>17845</v>
      </c>
      <c r="D3308" s="40" t="s">
        <v>17846</v>
      </c>
      <c r="E3308" s="41">
        <v>26.14</v>
      </c>
      <c r="F3308" s="40"/>
      <c r="G3308" s="41"/>
      <c r="H3308" s="40"/>
      <c r="I3308" s="41"/>
      <c r="J3308" s="41">
        <f t="shared" si="12"/>
        <v>26.14</v>
      </c>
      <c r="K3308" s="42" t="s">
        <v>5796</v>
      </c>
      <c r="L3308" s="39">
        <v>3243</v>
      </c>
    </row>
    <row r="3309" spans="1:12" ht="11.25" customHeight="1">
      <c r="A3309" s="39">
        <v>3244</v>
      </c>
      <c r="B3309" s="54" t="s">
        <v>10248</v>
      </c>
      <c r="C3309" s="54" t="s">
        <v>17847</v>
      </c>
      <c r="D3309" s="40"/>
      <c r="E3309" s="41"/>
      <c r="F3309" s="40"/>
      <c r="G3309" s="41"/>
      <c r="H3309" s="54" t="s">
        <v>17848</v>
      </c>
      <c r="I3309" s="41">
        <v>26.108499999999999</v>
      </c>
      <c r="J3309" s="41">
        <f t="shared" si="12"/>
        <v>26.108499999999999</v>
      </c>
      <c r="K3309" s="42" t="s">
        <v>5796</v>
      </c>
      <c r="L3309" s="39">
        <v>3244</v>
      </c>
    </row>
    <row r="3310" spans="1:12" ht="11.25" customHeight="1">
      <c r="A3310" s="39">
        <v>3245</v>
      </c>
      <c r="B3310" s="40" t="s">
        <v>17849</v>
      </c>
      <c r="C3310" s="40" t="s">
        <v>17850</v>
      </c>
      <c r="D3310" s="40" t="s">
        <v>17851</v>
      </c>
      <c r="E3310" s="41">
        <v>26</v>
      </c>
      <c r="F3310" s="40"/>
      <c r="G3310" s="41"/>
      <c r="H3310" s="40"/>
      <c r="I3310" s="41"/>
      <c r="J3310" s="41">
        <f t="shared" si="12"/>
        <v>26</v>
      </c>
      <c r="K3310" s="42" t="s">
        <v>5796</v>
      </c>
      <c r="L3310" s="39">
        <v>3245</v>
      </c>
    </row>
    <row r="3311" spans="1:12" ht="11.25" customHeight="1">
      <c r="A3311" s="39">
        <v>3246</v>
      </c>
      <c r="B3311" s="40" t="s">
        <v>17852</v>
      </c>
      <c r="C3311" s="40" t="s">
        <v>17853</v>
      </c>
      <c r="D3311" s="40" t="s">
        <v>17854</v>
      </c>
      <c r="E3311" s="41">
        <v>25.97</v>
      </c>
      <c r="F3311" s="40"/>
      <c r="G3311" s="41"/>
      <c r="H3311" s="40"/>
      <c r="I3311" s="41"/>
      <c r="J3311" s="41">
        <f t="shared" si="12"/>
        <v>25.97</v>
      </c>
      <c r="K3311" s="42" t="s">
        <v>5796</v>
      </c>
      <c r="L3311" s="39">
        <v>3246</v>
      </c>
    </row>
    <row r="3312" spans="1:12" ht="11.25" customHeight="1">
      <c r="A3312" s="39">
        <v>3247</v>
      </c>
      <c r="B3312" s="40" t="s">
        <v>17855</v>
      </c>
      <c r="C3312" s="40" t="s">
        <v>17856</v>
      </c>
      <c r="D3312" s="40" t="s">
        <v>17857</v>
      </c>
      <c r="E3312" s="41">
        <v>25.94</v>
      </c>
      <c r="F3312" s="40"/>
      <c r="G3312" s="41"/>
      <c r="H3312" s="40"/>
      <c r="I3312" s="41"/>
      <c r="J3312" s="41">
        <f t="shared" si="12"/>
        <v>25.94</v>
      </c>
      <c r="K3312" s="42" t="s">
        <v>5796</v>
      </c>
      <c r="L3312" s="39">
        <v>3247</v>
      </c>
    </row>
    <row r="3313" spans="1:12" ht="11.25" customHeight="1">
      <c r="A3313" s="39">
        <v>3248</v>
      </c>
      <c r="B3313" s="40" t="s">
        <v>17858</v>
      </c>
      <c r="C3313" s="40" t="s">
        <v>17859</v>
      </c>
      <c r="D3313" s="40" t="s">
        <v>17860</v>
      </c>
      <c r="E3313" s="41">
        <v>25.93</v>
      </c>
      <c r="F3313" s="40"/>
      <c r="G3313" s="41"/>
      <c r="H3313" s="40"/>
      <c r="I3313" s="41"/>
      <c r="J3313" s="41">
        <f t="shared" si="12"/>
        <v>25.93</v>
      </c>
      <c r="K3313" s="42" t="s">
        <v>5796</v>
      </c>
      <c r="L3313" s="39">
        <v>3248</v>
      </c>
    </row>
    <row r="3314" spans="1:12" ht="11.25" customHeight="1">
      <c r="A3314" s="39">
        <v>3249</v>
      </c>
      <c r="B3314" s="40" t="s">
        <v>17861</v>
      </c>
      <c r="C3314" s="40" t="s">
        <v>17862</v>
      </c>
      <c r="D3314" s="40" t="s">
        <v>17863</v>
      </c>
      <c r="E3314" s="41">
        <v>25.92</v>
      </c>
      <c r="F3314" s="40"/>
      <c r="G3314" s="41"/>
      <c r="H3314" s="40"/>
      <c r="I3314" s="41"/>
      <c r="J3314" s="41">
        <f t="shared" si="12"/>
        <v>25.92</v>
      </c>
      <c r="K3314" s="42" t="s">
        <v>5796</v>
      </c>
      <c r="L3314" s="39">
        <v>3249</v>
      </c>
    </row>
    <row r="3315" spans="1:12" ht="11.25" customHeight="1">
      <c r="A3315" s="39">
        <v>3250</v>
      </c>
      <c r="B3315" s="40" t="s">
        <v>17864</v>
      </c>
      <c r="C3315" s="40" t="s">
        <v>17865</v>
      </c>
      <c r="D3315" s="40" t="s">
        <v>17866</v>
      </c>
      <c r="E3315" s="41">
        <v>25.88</v>
      </c>
      <c r="F3315" s="40"/>
      <c r="G3315" s="41"/>
      <c r="H3315" s="40"/>
      <c r="I3315" s="41"/>
      <c r="J3315" s="41">
        <f t="shared" si="12"/>
        <v>25.88</v>
      </c>
      <c r="K3315" s="42" t="s">
        <v>5796</v>
      </c>
      <c r="L3315" s="39">
        <v>3250</v>
      </c>
    </row>
    <row r="3316" spans="1:12" ht="11.25" customHeight="1">
      <c r="A3316" s="39">
        <v>3251</v>
      </c>
      <c r="B3316" s="40" t="s">
        <v>17867</v>
      </c>
      <c r="C3316" s="40" t="s">
        <v>17868</v>
      </c>
      <c r="D3316" s="40" t="s">
        <v>17869</v>
      </c>
      <c r="E3316" s="41">
        <v>25.78</v>
      </c>
      <c r="F3316" s="40"/>
      <c r="G3316" s="41"/>
      <c r="H3316" s="40"/>
      <c r="I3316" s="41"/>
      <c r="J3316" s="41">
        <f t="shared" si="12"/>
        <v>25.78</v>
      </c>
      <c r="K3316" s="42" t="s">
        <v>5796</v>
      </c>
      <c r="L3316" s="39">
        <v>3251</v>
      </c>
    </row>
    <row r="3317" spans="1:12" ht="11.25" customHeight="1">
      <c r="A3317" s="39">
        <v>3252</v>
      </c>
      <c r="B3317" s="40" t="s">
        <v>17870</v>
      </c>
      <c r="C3317" s="40" t="s">
        <v>17871</v>
      </c>
      <c r="D3317" s="40" t="s">
        <v>17872</v>
      </c>
      <c r="E3317" s="41">
        <v>25.75</v>
      </c>
      <c r="F3317" s="40"/>
      <c r="G3317" s="41"/>
      <c r="H3317" s="40"/>
      <c r="I3317" s="41"/>
      <c r="J3317" s="41">
        <f t="shared" si="12"/>
        <v>25.75</v>
      </c>
      <c r="K3317" s="42" t="s">
        <v>5796</v>
      </c>
      <c r="L3317" s="39">
        <v>3252</v>
      </c>
    </row>
    <row r="3318" spans="1:12" ht="11.25" customHeight="1">
      <c r="A3318" s="39">
        <v>3253</v>
      </c>
      <c r="B3318" s="40" t="s">
        <v>17873</v>
      </c>
      <c r="C3318" s="40" t="s">
        <v>17874</v>
      </c>
      <c r="D3318" s="40" t="s">
        <v>17875</v>
      </c>
      <c r="E3318" s="41">
        <v>25.74</v>
      </c>
      <c r="F3318" s="40"/>
      <c r="G3318" s="41"/>
      <c r="H3318" s="40"/>
      <c r="I3318" s="41"/>
      <c r="J3318" s="41">
        <f t="shared" ref="J3318:J3572" si="13">AVERAGE(E3318,G3318,I3318)</f>
        <v>25.74</v>
      </c>
      <c r="K3318" s="42" t="s">
        <v>5796</v>
      </c>
      <c r="L3318" s="39">
        <v>3253</v>
      </c>
    </row>
    <row r="3319" spans="1:12" ht="11.25" customHeight="1">
      <c r="A3319" s="39">
        <v>3254</v>
      </c>
      <c r="B3319" s="40" t="s">
        <v>17876</v>
      </c>
      <c r="C3319" s="40" t="s">
        <v>17877</v>
      </c>
      <c r="D3319" s="40" t="s">
        <v>17878</v>
      </c>
      <c r="E3319" s="41">
        <v>25.69</v>
      </c>
      <c r="F3319" s="40"/>
      <c r="G3319" s="41"/>
      <c r="H3319" s="40"/>
      <c r="I3319" s="41"/>
      <c r="J3319" s="41">
        <f t="shared" si="13"/>
        <v>25.69</v>
      </c>
      <c r="K3319" s="42" t="s">
        <v>5796</v>
      </c>
      <c r="L3319" s="39">
        <v>3254</v>
      </c>
    </row>
    <row r="3320" spans="1:12" ht="11.25" customHeight="1">
      <c r="A3320" s="39">
        <v>3255</v>
      </c>
      <c r="B3320" s="40" t="s">
        <v>17879</v>
      </c>
      <c r="C3320" s="40" t="s">
        <v>17880</v>
      </c>
      <c r="D3320" s="40" t="s">
        <v>17881</v>
      </c>
      <c r="E3320" s="41">
        <v>25.68</v>
      </c>
      <c r="F3320" s="40"/>
      <c r="G3320" s="41"/>
      <c r="H3320" s="40"/>
      <c r="I3320" s="41"/>
      <c r="J3320" s="41">
        <f t="shared" si="13"/>
        <v>25.68</v>
      </c>
      <c r="K3320" s="42" t="s">
        <v>5796</v>
      </c>
      <c r="L3320" s="39">
        <v>3255</v>
      </c>
    </row>
    <row r="3321" spans="1:12" ht="11.25" customHeight="1">
      <c r="A3321" s="39">
        <v>3256</v>
      </c>
      <c r="B3321" s="40" t="s">
        <v>17882</v>
      </c>
      <c r="C3321" s="40" t="s">
        <v>17883</v>
      </c>
      <c r="D3321" s="40" t="s">
        <v>17884</v>
      </c>
      <c r="E3321" s="41">
        <v>25.62</v>
      </c>
      <c r="F3321" s="40"/>
      <c r="G3321" s="41"/>
      <c r="H3321" s="40"/>
      <c r="I3321" s="41"/>
      <c r="J3321" s="41">
        <f t="shared" si="13"/>
        <v>25.62</v>
      </c>
      <c r="K3321" s="42" t="s">
        <v>5796</v>
      </c>
      <c r="L3321" s="39">
        <v>3256</v>
      </c>
    </row>
    <row r="3322" spans="1:12" ht="11.25" customHeight="1">
      <c r="A3322" s="39">
        <v>3257</v>
      </c>
      <c r="B3322" s="40" t="s">
        <v>17885</v>
      </c>
      <c r="C3322" s="40" t="s">
        <v>17886</v>
      </c>
      <c r="D3322" s="40" t="s">
        <v>17887</v>
      </c>
      <c r="E3322" s="41">
        <v>25.58</v>
      </c>
      <c r="F3322" s="40"/>
      <c r="G3322" s="41"/>
      <c r="H3322" s="40"/>
      <c r="I3322" s="41"/>
      <c r="J3322" s="41">
        <f t="shared" si="13"/>
        <v>25.58</v>
      </c>
      <c r="K3322" s="42" t="s">
        <v>5796</v>
      </c>
      <c r="L3322" s="39">
        <v>3257</v>
      </c>
    </row>
    <row r="3323" spans="1:12" ht="11.25" customHeight="1">
      <c r="A3323" s="39">
        <v>3258</v>
      </c>
      <c r="B3323" s="40" t="s">
        <v>17888</v>
      </c>
      <c r="C3323" s="40" t="s">
        <v>17889</v>
      </c>
      <c r="D3323" s="40" t="s">
        <v>17890</v>
      </c>
      <c r="E3323" s="41">
        <v>25.57</v>
      </c>
      <c r="F3323" s="40"/>
      <c r="G3323" s="41"/>
      <c r="H3323" s="40"/>
      <c r="I3323" s="41"/>
      <c r="J3323" s="41">
        <f t="shared" si="13"/>
        <v>25.57</v>
      </c>
      <c r="K3323" s="42" t="s">
        <v>5796</v>
      </c>
      <c r="L3323" s="39">
        <v>3258</v>
      </c>
    </row>
    <row r="3324" spans="1:12" ht="11.25" customHeight="1">
      <c r="A3324" s="39">
        <v>3259</v>
      </c>
      <c r="B3324" s="40" t="s">
        <v>17891</v>
      </c>
      <c r="C3324" s="40" t="s">
        <v>17892</v>
      </c>
      <c r="D3324" s="40" t="s">
        <v>17893</v>
      </c>
      <c r="E3324" s="41">
        <v>25.55</v>
      </c>
      <c r="F3324" s="40"/>
      <c r="G3324" s="41"/>
      <c r="H3324" s="40"/>
      <c r="I3324" s="41"/>
      <c r="J3324" s="41">
        <f t="shared" si="13"/>
        <v>25.55</v>
      </c>
      <c r="K3324" s="42" t="s">
        <v>5796</v>
      </c>
      <c r="L3324" s="39">
        <v>3259</v>
      </c>
    </row>
    <row r="3325" spans="1:12" ht="11.25" customHeight="1">
      <c r="A3325" s="39">
        <v>3260</v>
      </c>
      <c r="B3325" s="52" t="s">
        <v>8385</v>
      </c>
      <c r="C3325" s="52" t="s">
        <v>17894</v>
      </c>
      <c r="D3325" s="40"/>
      <c r="E3325" s="41"/>
      <c r="F3325" s="40"/>
      <c r="G3325" s="41"/>
      <c r="H3325" s="52" t="s">
        <v>17895</v>
      </c>
      <c r="I3325" s="53">
        <v>25.488240000000019</v>
      </c>
      <c r="J3325" s="41">
        <f t="shared" si="13"/>
        <v>25.488240000000019</v>
      </c>
      <c r="K3325" s="42" t="s">
        <v>5796</v>
      </c>
      <c r="L3325" s="39">
        <v>3260</v>
      </c>
    </row>
    <row r="3326" spans="1:12" ht="11.25" customHeight="1">
      <c r="A3326" s="39">
        <v>3261</v>
      </c>
      <c r="B3326" s="40" t="s">
        <v>17896</v>
      </c>
      <c r="C3326" s="40" t="s">
        <v>17897</v>
      </c>
      <c r="D3326" s="40" t="s">
        <v>17898</v>
      </c>
      <c r="E3326" s="41">
        <v>25.47</v>
      </c>
      <c r="F3326" s="40"/>
      <c r="G3326" s="41"/>
      <c r="H3326" s="40"/>
      <c r="I3326" s="41"/>
      <c r="J3326" s="41">
        <f t="shared" si="13"/>
        <v>25.47</v>
      </c>
      <c r="K3326" s="42" t="s">
        <v>5796</v>
      </c>
      <c r="L3326" s="39">
        <v>3261</v>
      </c>
    </row>
    <row r="3327" spans="1:12" ht="11.25" customHeight="1">
      <c r="A3327" s="39">
        <v>3262</v>
      </c>
      <c r="B3327" s="54" t="s">
        <v>10240</v>
      </c>
      <c r="C3327" s="54" t="s">
        <v>17899</v>
      </c>
      <c r="D3327" s="40"/>
      <c r="E3327" s="41"/>
      <c r="F3327" s="40"/>
      <c r="G3327" s="41"/>
      <c r="H3327" s="54" t="s">
        <v>17900</v>
      </c>
      <c r="I3327" s="41">
        <v>25.447500000000002</v>
      </c>
      <c r="J3327" s="41">
        <f t="shared" si="13"/>
        <v>25.447500000000002</v>
      </c>
      <c r="K3327" s="42" t="s">
        <v>5796</v>
      </c>
      <c r="L3327" s="39">
        <v>3262</v>
      </c>
    </row>
    <row r="3328" spans="1:12" ht="11.25" customHeight="1">
      <c r="A3328" s="39">
        <v>3263</v>
      </c>
      <c r="B3328" s="40" t="s">
        <v>17901</v>
      </c>
      <c r="C3328" s="40" t="s">
        <v>17902</v>
      </c>
      <c r="D3328" s="40" t="s">
        <v>17903</v>
      </c>
      <c r="E3328" s="41">
        <v>25.41</v>
      </c>
      <c r="F3328" s="40"/>
      <c r="G3328" s="41"/>
      <c r="H3328" s="40"/>
      <c r="I3328" s="41"/>
      <c r="J3328" s="41">
        <f t="shared" si="13"/>
        <v>25.41</v>
      </c>
      <c r="K3328" s="42" t="s">
        <v>5796</v>
      </c>
      <c r="L3328" s="39">
        <v>3263</v>
      </c>
    </row>
    <row r="3329" spans="1:12" ht="11.25" customHeight="1">
      <c r="A3329" s="39">
        <v>3264</v>
      </c>
      <c r="B3329" s="40" t="s">
        <v>17904</v>
      </c>
      <c r="C3329" s="40" t="s">
        <v>17905</v>
      </c>
      <c r="D3329" s="40" t="s">
        <v>17906</v>
      </c>
      <c r="E3329" s="41">
        <v>25.33</v>
      </c>
      <c r="F3329" s="40"/>
      <c r="G3329" s="41"/>
      <c r="H3329" s="40"/>
      <c r="I3329" s="41"/>
      <c r="J3329" s="41">
        <f t="shared" si="13"/>
        <v>25.33</v>
      </c>
      <c r="K3329" s="42" t="s">
        <v>5796</v>
      </c>
      <c r="L3329" s="39">
        <v>3264</v>
      </c>
    </row>
    <row r="3330" spans="1:12" ht="11.25" customHeight="1">
      <c r="A3330" s="39">
        <v>3265</v>
      </c>
      <c r="B3330" s="40" t="s">
        <v>17907</v>
      </c>
      <c r="C3330" s="40" t="s">
        <v>17908</v>
      </c>
      <c r="D3330" s="40" t="s">
        <v>17909</v>
      </c>
      <c r="E3330" s="41">
        <v>25.31</v>
      </c>
      <c r="F3330" s="40"/>
      <c r="G3330" s="41"/>
      <c r="H3330" s="40"/>
      <c r="I3330" s="41"/>
      <c r="J3330" s="41">
        <f t="shared" si="13"/>
        <v>25.31</v>
      </c>
      <c r="K3330" s="42" t="s">
        <v>5796</v>
      </c>
      <c r="L3330" s="39">
        <v>3265</v>
      </c>
    </row>
    <row r="3331" spans="1:12" ht="11.25" customHeight="1">
      <c r="A3331" s="39">
        <v>3266</v>
      </c>
      <c r="B3331" s="40" t="s">
        <v>17910</v>
      </c>
      <c r="C3331" s="40" t="s">
        <v>17911</v>
      </c>
      <c r="D3331" s="40" t="s">
        <v>17912</v>
      </c>
      <c r="E3331" s="41">
        <v>25.3</v>
      </c>
      <c r="F3331" s="40"/>
      <c r="G3331" s="41"/>
      <c r="H3331" s="40"/>
      <c r="I3331" s="41"/>
      <c r="J3331" s="41">
        <f t="shared" si="13"/>
        <v>25.3</v>
      </c>
      <c r="K3331" s="42" t="s">
        <v>5796</v>
      </c>
      <c r="L3331" s="39">
        <v>3266</v>
      </c>
    </row>
    <row r="3332" spans="1:12" ht="11.25" customHeight="1">
      <c r="A3332" s="39">
        <v>3268</v>
      </c>
      <c r="B3332" s="40" t="s">
        <v>17913</v>
      </c>
      <c r="C3332" s="40" t="s">
        <v>17914</v>
      </c>
      <c r="D3332" s="40" t="s">
        <v>17915</v>
      </c>
      <c r="E3332" s="41">
        <v>25.16</v>
      </c>
      <c r="F3332" s="40"/>
      <c r="G3332" s="41"/>
      <c r="H3332" s="40"/>
      <c r="I3332" s="41"/>
      <c r="J3332" s="41">
        <f t="shared" si="13"/>
        <v>25.16</v>
      </c>
      <c r="K3332" s="42" t="s">
        <v>5796</v>
      </c>
      <c r="L3332" s="39">
        <v>3268</v>
      </c>
    </row>
    <row r="3333" spans="1:12" ht="11.25" customHeight="1">
      <c r="A3333" s="39">
        <v>3269</v>
      </c>
      <c r="B3333" s="40" t="s">
        <v>17916</v>
      </c>
      <c r="C3333" s="40" t="s">
        <v>17917</v>
      </c>
      <c r="D3333" s="40" t="s">
        <v>17918</v>
      </c>
      <c r="E3333" s="41">
        <v>25.1</v>
      </c>
      <c r="F3333" s="40"/>
      <c r="G3333" s="41"/>
      <c r="H3333" s="40"/>
      <c r="I3333" s="41"/>
      <c r="J3333" s="41">
        <f t="shared" si="13"/>
        <v>25.1</v>
      </c>
      <c r="K3333" s="42" t="s">
        <v>5796</v>
      </c>
      <c r="L3333" s="39">
        <v>3269</v>
      </c>
    </row>
    <row r="3334" spans="1:12" ht="11.25" customHeight="1">
      <c r="A3334" s="39">
        <v>3270</v>
      </c>
      <c r="B3334" s="40" t="s">
        <v>17919</v>
      </c>
      <c r="C3334" s="40" t="s">
        <v>17920</v>
      </c>
      <c r="D3334" s="40" t="s">
        <v>17921</v>
      </c>
      <c r="E3334" s="41">
        <v>25.08</v>
      </c>
      <c r="F3334" s="40"/>
      <c r="G3334" s="41"/>
      <c r="H3334" s="40"/>
      <c r="I3334" s="41"/>
      <c r="J3334" s="41">
        <f t="shared" si="13"/>
        <v>25.08</v>
      </c>
      <c r="K3334" s="42" t="s">
        <v>5796</v>
      </c>
      <c r="L3334" s="39">
        <v>3270</v>
      </c>
    </row>
    <row r="3335" spans="1:12" ht="11.25" customHeight="1">
      <c r="A3335" s="39">
        <v>3272</v>
      </c>
      <c r="B3335" s="40" t="s">
        <v>17922</v>
      </c>
      <c r="C3335" s="40" t="s">
        <v>17923</v>
      </c>
      <c r="D3335" s="40" t="s">
        <v>17924</v>
      </c>
      <c r="E3335" s="41">
        <v>25.02</v>
      </c>
      <c r="F3335" s="40"/>
      <c r="G3335" s="41"/>
      <c r="H3335" s="40"/>
      <c r="I3335" s="41"/>
      <c r="J3335" s="41">
        <f t="shared" si="13"/>
        <v>25.02</v>
      </c>
      <c r="K3335" s="42" t="s">
        <v>5796</v>
      </c>
      <c r="L3335" s="39">
        <v>3272</v>
      </c>
    </row>
    <row r="3336" spans="1:12" ht="11.25" customHeight="1">
      <c r="A3336" s="39">
        <v>3273</v>
      </c>
      <c r="B3336" s="40" t="s">
        <v>17925</v>
      </c>
      <c r="C3336" s="40" t="s">
        <v>17926</v>
      </c>
      <c r="D3336" s="40" t="s">
        <v>17927</v>
      </c>
      <c r="E3336" s="41">
        <v>24.94</v>
      </c>
      <c r="F3336" s="40"/>
      <c r="G3336" s="41"/>
      <c r="H3336" s="40"/>
      <c r="I3336" s="41"/>
      <c r="J3336" s="41">
        <f t="shared" si="13"/>
        <v>24.94</v>
      </c>
      <c r="K3336" s="42" t="s">
        <v>5796</v>
      </c>
      <c r="L3336" s="39">
        <v>3273</v>
      </c>
    </row>
    <row r="3337" spans="1:12" ht="11.25" customHeight="1">
      <c r="A3337" s="39">
        <v>3274</v>
      </c>
      <c r="B3337" s="40" t="s">
        <v>17928</v>
      </c>
      <c r="C3337" s="40" t="s">
        <v>17929</v>
      </c>
      <c r="D3337" s="40" t="s">
        <v>17930</v>
      </c>
      <c r="E3337" s="41">
        <v>24.94</v>
      </c>
      <c r="F3337" s="40"/>
      <c r="G3337" s="41"/>
      <c r="H3337" s="40"/>
      <c r="I3337" s="41"/>
      <c r="J3337" s="41">
        <f t="shared" si="13"/>
        <v>24.94</v>
      </c>
      <c r="K3337" s="42" t="s">
        <v>5796</v>
      </c>
      <c r="L3337" s="39">
        <v>3274</v>
      </c>
    </row>
    <row r="3338" spans="1:12" ht="11.25" customHeight="1">
      <c r="A3338" s="39">
        <v>3275</v>
      </c>
      <c r="B3338" s="40" t="s">
        <v>17931</v>
      </c>
      <c r="C3338" s="40" t="s">
        <v>17932</v>
      </c>
      <c r="D3338" s="40" t="s">
        <v>17933</v>
      </c>
      <c r="E3338" s="41">
        <v>24.93</v>
      </c>
      <c r="F3338" s="40"/>
      <c r="G3338" s="41"/>
      <c r="H3338" s="40"/>
      <c r="I3338" s="41"/>
      <c r="J3338" s="41">
        <f t="shared" si="13"/>
        <v>24.93</v>
      </c>
      <c r="K3338" s="42" t="s">
        <v>5796</v>
      </c>
      <c r="L3338" s="39">
        <v>3275</v>
      </c>
    </row>
    <row r="3339" spans="1:12" ht="11.25" customHeight="1">
      <c r="A3339" s="39">
        <v>3276</v>
      </c>
      <c r="B3339" s="40" t="s">
        <v>17934</v>
      </c>
      <c r="C3339" s="40" t="s">
        <v>17935</v>
      </c>
      <c r="D3339" s="40" t="s">
        <v>17936</v>
      </c>
      <c r="E3339" s="41">
        <v>24.89</v>
      </c>
      <c r="F3339" s="40"/>
      <c r="G3339" s="41"/>
      <c r="H3339" s="40"/>
      <c r="I3339" s="41"/>
      <c r="J3339" s="41">
        <f t="shared" si="13"/>
        <v>24.89</v>
      </c>
      <c r="K3339" s="42" t="s">
        <v>5796</v>
      </c>
      <c r="L3339" s="39">
        <v>3276</v>
      </c>
    </row>
    <row r="3340" spans="1:12" ht="11.25" customHeight="1">
      <c r="A3340" s="39">
        <v>3277</v>
      </c>
      <c r="B3340" s="40" t="s">
        <v>8202</v>
      </c>
      <c r="C3340" s="40" t="s">
        <v>17937</v>
      </c>
      <c r="D3340" s="40" t="s">
        <v>17938</v>
      </c>
      <c r="E3340" s="41">
        <v>24.8</v>
      </c>
      <c r="F3340" s="40"/>
      <c r="G3340" s="41"/>
      <c r="H3340" s="40"/>
      <c r="I3340" s="41"/>
      <c r="J3340" s="41">
        <f t="shared" si="13"/>
        <v>24.8</v>
      </c>
      <c r="K3340" s="42" t="s">
        <v>5796</v>
      </c>
      <c r="L3340" s="39">
        <v>3277</v>
      </c>
    </row>
    <row r="3341" spans="1:12" ht="11.25" customHeight="1">
      <c r="A3341" s="39">
        <v>3278</v>
      </c>
      <c r="B3341" s="40" t="s">
        <v>17939</v>
      </c>
      <c r="C3341" s="40" t="s">
        <v>17940</v>
      </c>
      <c r="D3341" s="40" t="s">
        <v>17941</v>
      </c>
      <c r="E3341" s="41">
        <v>24.77</v>
      </c>
      <c r="F3341" s="40"/>
      <c r="G3341" s="41"/>
      <c r="H3341" s="40"/>
      <c r="I3341" s="41"/>
      <c r="J3341" s="41">
        <f t="shared" si="13"/>
        <v>24.77</v>
      </c>
      <c r="K3341" s="42" t="s">
        <v>5796</v>
      </c>
      <c r="L3341" s="39">
        <v>3278</v>
      </c>
    </row>
    <row r="3342" spans="1:12" ht="11.25" customHeight="1">
      <c r="A3342" s="39">
        <v>3279</v>
      </c>
      <c r="B3342" s="40" t="s">
        <v>8293</v>
      </c>
      <c r="C3342" s="40" t="s">
        <v>17942</v>
      </c>
      <c r="D3342" s="40" t="s">
        <v>17943</v>
      </c>
      <c r="E3342" s="41">
        <v>24.76</v>
      </c>
      <c r="F3342" s="40"/>
      <c r="G3342" s="41"/>
      <c r="H3342" s="40"/>
      <c r="I3342" s="41"/>
      <c r="J3342" s="41">
        <f t="shared" si="13"/>
        <v>24.76</v>
      </c>
      <c r="K3342" s="42" t="s">
        <v>5796</v>
      </c>
      <c r="L3342" s="39">
        <v>3279</v>
      </c>
    </row>
    <row r="3343" spans="1:12" ht="11.25" customHeight="1">
      <c r="A3343" s="39">
        <v>3280</v>
      </c>
      <c r="B3343" s="40" t="s">
        <v>8309</v>
      </c>
      <c r="C3343" s="40" t="s">
        <v>17944</v>
      </c>
      <c r="D3343" s="40" t="s">
        <v>17945</v>
      </c>
      <c r="E3343" s="41">
        <v>24.7</v>
      </c>
      <c r="F3343" s="40"/>
      <c r="G3343" s="41"/>
      <c r="H3343" s="40"/>
      <c r="I3343" s="41"/>
      <c r="J3343" s="41">
        <f t="shared" si="13"/>
        <v>24.7</v>
      </c>
      <c r="K3343" s="42" t="s">
        <v>5796</v>
      </c>
      <c r="L3343" s="39">
        <v>3280</v>
      </c>
    </row>
    <row r="3344" spans="1:12" ht="11.25" customHeight="1">
      <c r="A3344" s="39">
        <v>3281</v>
      </c>
      <c r="B3344" s="52" t="s">
        <v>8395</v>
      </c>
      <c r="C3344" s="52" t="s">
        <v>17946</v>
      </c>
      <c r="D3344" s="40"/>
      <c r="E3344" s="41"/>
      <c r="F3344" s="40"/>
      <c r="G3344" s="41"/>
      <c r="H3344" s="52" t="s">
        <v>17947</v>
      </c>
      <c r="I3344" s="53">
        <v>24.68415274000003</v>
      </c>
      <c r="J3344" s="41">
        <f t="shared" si="13"/>
        <v>24.68415274000003</v>
      </c>
      <c r="K3344" s="42" t="s">
        <v>5796</v>
      </c>
      <c r="L3344" s="39">
        <v>3281</v>
      </c>
    </row>
    <row r="3345" spans="1:12" ht="11.25" customHeight="1">
      <c r="A3345" s="39">
        <v>3282</v>
      </c>
      <c r="B3345" s="40" t="s">
        <v>17948</v>
      </c>
      <c r="C3345" s="40" t="s">
        <v>17949</v>
      </c>
      <c r="D3345" s="40" t="s">
        <v>17950</v>
      </c>
      <c r="E3345" s="41">
        <v>24.62</v>
      </c>
      <c r="F3345" s="40"/>
      <c r="G3345" s="41"/>
      <c r="H3345" s="40"/>
      <c r="I3345" s="41"/>
      <c r="J3345" s="41">
        <f t="shared" si="13"/>
        <v>24.62</v>
      </c>
      <c r="K3345" s="42" t="s">
        <v>5796</v>
      </c>
      <c r="L3345" s="39">
        <v>3282</v>
      </c>
    </row>
    <row r="3346" spans="1:12" ht="11.25" customHeight="1">
      <c r="A3346" s="39">
        <v>3283</v>
      </c>
      <c r="B3346" s="40" t="s">
        <v>17951</v>
      </c>
      <c r="C3346" s="40" t="s">
        <v>17952</v>
      </c>
      <c r="D3346" s="40" t="s">
        <v>17953</v>
      </c>
      <c r="E3346" s="41">
        <v>24.61</v>
      </c>
      <c r="F3346" s="40"/>
      <c r="G3346" s="41"/>
      <c r="H3346" s="40"/>
      <c r="I3346" s="41"/>
      <c r="J3346" s="41">
        <f t="shared" si="13"/>
        <v>24.61</v>
      </c>
      <c r="K3346" s="42" t="s">
        <v>5796</v>
      </c>
      <c r="L3346" s="39">
        <v>3283</v>
      </c>
    </row>
    <row r="3347" spans="1:12" ht="11.25" customHeight="1">
      <c r="A3347" s="39">
        <v>3284</v>
      </c>
      <c r="B3347" s="40" t="s">
        <v>17954</v>
      </c>
      <c r="C3347" s="40" t="s">
        <v>17955</v>
      </c>
      <c r="D3347" s="40" t="s">
        <v>17956</v>
      </c>
      <c r="E3347" s="41">
        <v>24.59</v>
      </c>
      <c r="F3347" s="40"/>
      <c r="G3347" s="41"/>
      <c r="H3347" s="40"/>
      <c r="I3347" s="41"/>
      <c r="J3347" s="41">
        <f t="shared" si="13"/>
        <v>24.59</v>
      </c>
      <c r="K3347" s="42" t="s">
        <v>5796</v>
      </c>
      <c r="L3347" s="39">
        <v>3284</v>
      </c>
    </row>
    <row r="3348" spans="1:12" ht="11.25" customHeight="1">
      <c r="A3348" s="39">
        <v>3285</v>
      </c>
      <c r="B3348" s="40" t="s">
        <v>17957</v>
      </c>
      <c r="C3348" s="40" t="s">
        <v>17958</v>
      </c>
      <c r="D3348" s="40" t="s">
        <v>17959</v>
      </c>
      <c r="E3348" s="41">
        <v>24.57</v>
      </c>
      <c r="F3348" s="40"/>
      <c r="G3348" s="41"/>
      <c r="H3348" s="40"/>
      <c r="I3348" s="41"/>
      <c r="J3348" s="41">
        <f t="shared" si="13"/>
        <v>24.57</v>
      </c>
      <c r="K3348" s="42" t="s">
        <v>5796</v>
      </c>
      <c r="L3348" s="39">
        <v>3285</v>
      </c>
    </row>
    <row r="3349" spans="1:12" ht="11.25" customHeight="1">
      <c r="A3349" s="39">
        <v>3286</v>
      </c>
      <c r="B3349" s="40" t="s">
        <v>17960</v>
      </c>
      <c r="C3349" s="40" t="s">
        <v>17961</v>
      </c>
      <c r="D3349" s="40" t="s">
        <v>17962</v>
      </c>
      <c r="E3349" s="41">
        <v>24.54</v>
      </c>
      <c r="F3349" s="40"/>
      <c r="G3349" s="41"/>
      <c r="H3349" s="40"/>
      <c r="I3349" s="41"/>
      <c r="J3349" s="41">
        <f t="shared" si="13"/>
        <v>24.54</v>
      </c>
      <c r="K3349" s="42" t="s">
        <v>5796</v>
      </c>
      <c r="L3349" s="39">
        <v>3286</v>
      </c>
    </row>
    <row r="3350" spans="1:12" ht="11.25" customHeight="1">
      <c r="A3350" s="39">
        <v>3287</v>
      </c>
      <c r="B3350" s="40" t="s">
        <v>8205</v>
      </c>
      <c r="C3350" s="40" t="s">
        <v>17963</v>
      </c>
      <c r="D3350" s="40" t="s">
        <v>17964</v>
      </c>
      <c r="E3350" s="41">
        <v>24.52</v>
      </c>
      <c r="F3350" s="40"/>
      <c r="G3350" s="41"/>
      <c r="H3350" s="40"/>
      <c r="I3350" s="41"/>
      <c r="J3350" s="41">
        <f t="shared" si="13"/>
        <v>24.52</v>
      </c>
      <c r="K3350" s="42" t="s">
        <v>5796</v>
      </c>
      <c r="L3350" s="39">
        <v>3287</v>
      </c>
    </row>
    <row r="3351" spans="1:12" ht="11.25" customHeight="1">
      <c r="A3351" s="39">
        <v>3288</v>
      </c>
      <c r="B3351" s="40" t="s">
        <v>17965</v>
      </c>
      <c r="C3351" s="40" t="s">
        <v>17966</v>
      </c>
      <c r="D3351" s="40" t="s">
        <v>17967</v>
      </c>
      <c r="E3351" s="41">
        <v>24.51</v>
      </c>
      <c r="F3351" s="40"/>
      <c r="G3351" s="41"/>
      <c r="H3351" s="40"/>
      <c r="I3351" s="41"/>
      <c r="J3351" s="41">
        <f t="shared" si="13"/>
        <v>24.51</v>
      </c>
      <c r="K3351" s="42" t="s">
        <v>5796</v>
      </c>
      <c r="L3351" s="39">
        <v>3288</v>
      </c>
    </row>
    <row r="3352" spans="1:12" ht="11.25" customHeight="1">
      <c r="A3352" s="39">
        <v>3289</v>
      </c>
      <c r="B3352" s="40" t="s">
        <v>17968</v>
      </c>
      <c r="C3352" s="40" t="s">
        <v>17969</v>
      </c>
      <c r="D3352" s="40" t="s">
        <v>17970</v>
      </c>
      <c r="E3352" s="41">
        <v>24.49</v>
      </c>
      <c r="F3352" s="40"/>
      <c r="G3352" s="41"/>
      <c r="H3352" s="40"/>
      <c r="I3352" s="41"/>
      <c r="J3352" s="41">
        <f t="shared" si="13"/>
        <v>24.49</v>
      </c>
      <c r="K3352" s="42" t="s">
        <v>5796</v>
      </c>
      <c r="L3352" s="39">
        <v>3289</v>
      </c>
    </row>
    <row r="3353" spans="1:12" ht="11.25" customHeight="1">
      <c r="A3353" s="39">
        <v>3290</v>
      </c>
      <c r="B3353" s="40" t="s">
        <v>17971</v>
      </c>
      <c r="C3353" s="40" t="s">
        <v>17972</v>
      </c>
      <c r="D3353" s="40" t="s">
        <v>17973</v>
      </c>
      <c r="E3353" s="41">
        <v>24.49</v>
      </c>
      <c r="F3353" s="40"/>
      <c r="G3353" s="41"/>
      <c r="H3353" s="40"/>
      <c r="I3353" s="41"/>
      <c r="J3353" s="41">
        <f t="shared" si="13"/>
        <v>24.49</v>
      </c>
      <c r="K3353" s="42" t="s">
        <v>5796</v>
      </c>
      <c r="L3353" s="39">
        <v>3290</v>
      </c>
    </row>
    <row r="3354" spans="1:12" ht="11.25" customHeight="1">
      <c r="A3354" s="39">
        <v>3291</v>
      </c>
      <c r="B3354" s="40" t="s">
        <v>17974</v>
      </c>
      <c r="C3354" s="40" t="s">
        <v>17975</v>
      </c>
      <c r="D3354" s="40" t="s">
        <v>17976</v>
      </c>
      <c r="E3354" s="41">
        <v>24.47</v>
      </c>
      <c r="F3354" s="40"/>
      <c r="G3354" s="41"/>
      <c r="H3354" s="40"/>
      <c r="I3354" s="41"/>
      <c r="J3354" s="41">
        <f t="shared" si="13"/>
        <v>24.47</v>
      </c>
      <c r="K3354" s="42" t="s">
        <v>5796</v>
      </c>
      <c r="L3354" s="39">
        <v>3291</v>
      </c>
    </row>
    <row r="3355" spans="1:12" ht="11.25" customHeight="1">
      <c r="A3355" s="39">
        <v>3292</v>
      </c>
      <c r="B3355" s="40" t="s">
        <v>8535</v>
      </c>
      <c r="C3355" s="40" t="s">
        <v>17977</v>
      </c>
      <c r="D3355" s="40" t="s">
        <v>17978</v>
      </c>
      <c r="E3355" s="41">
        <v>24.45</v>
      </c>
      <c r="F3355" s="40"/>
      <c r="G3355" s="41"/>
      <c r="H3355" s="40"/>
      <c r="I3355" s="41"/>
      <c r="J3355" s="41">
        <f t="shared" si="13"/>
        <v>24.45</v>
      </c>
      <c r="K3355" s="42" t="s">
        <v>5796</v>
      </c>
      <c r="L3355" s="39">
        <v>3292</v>
      </c>
    </row>
    <row r="3356" spans="1:12" ht="11.25" customHeight="1">
      <c r="A3356" s="39">
        <v>3293</v>
      </c>
      <c r="B3356" s="40" t="s">
        <v>17979</v>
      </c>
      <c r="C3356" s="40" t="s">
        <v>17980</v>
      </c>
      <c r="D3356" s="40" t="s">
        <v>17981</v>
      </c>
      <c r="E3356" s="41">
        <v>24.43</v>
      </c>
      <c r="F3356" s="40"/>
      <c r="G3356" s="41"/>
      <c r="H3356" s="40"/>
      <c r="I3356" s="41"/>
      <c r="J3356" s="41">
        <f t="shared" si="13"/>
        <v>24.43</v>
      </c>
      <c r="K3356" s="42" t="s">
        <v>5796</v>
      </c>
      <c r="L3356" s="39">
        <v>3293</v>
      </c>
    </row>
    <row r="3357" spans="1:12" ht="11.25" customHeight="1">
      <c r="A3357" s="39">
        <v>3294</v>
      </c>
      <c r="B3357" s="40" t="s">
        <v>8534</v>
      </c>
      <c r="C3357" s="40" t="s">
        <v>17982</v>
      </c>
      <c r="D3357" s="40" t="s">
        <v>17983</v>
      </c>
      <c r="E3357" s="41">
        <v>24.42</v>
      </c>
      <c r="F3357" s="40"/>
      <c r="G3357" s="41"/>
      <c r="H3357" s="40"/>
      <c r="I3357" s="41"/>
      <c r="J3357" s="41">
        <f t="shared" si="13"/>
        <v>24.42</v>
      </c>
      <c r="K3357" s="42" t="s">
        <v>5796</v>
      </c>
      <c r="L3357" s="39">
        <v>3294</v>
      </c>
    </row>
    <row r="3358" spans="1:12" ht="11.25" customHeight="1">
      <c r="A3358" s="39">
        <v>3295</v>
      </c>
      <c r="B3358" s="40" t="s">
        <v>8358</v>
      </c>
      <c r="C3358" s="40" t="s">
        <v>17984</v>
      </c>
      <c r="D3358" s="40" t="s">
        <v>17985</v>
      </c>
      <c r="E3358" s="41">
        <v>24.29</v>
      </c>
      <c r="F3358" s="40"/>
      <c r="G3358" s="41"/>
      <c r="H3358" s="40" t="s">
        <v>17985</v>
      </c>
      <c r="I3358" s="41">
        <v>24.296774193548384</v>
      </c>
      <c r="J3358" s="41">
        <f t="shared" si="13"/>
        <v>24.29338709677419</v>
      </c>
      <c r="K3358" s="42" t="s">
        <v>5796</v>
      </c>
      <c r="L3358" s="39">
        <v>3295</v>
      </c>
    </row>
    <row r="3359" spans="1:12" ht="11.25" customHeight="1">
      <c r="A3359" s="39">
        <v>3296</v>
      </c>
      <c r="B3359" s="40" t="s">
        <v>17986</v>
      </c>
      <c r="C3359" s="40" t="s">
        <v>17987</v>
      </c>
      <c r="D3359" s="40" t="s">
        <v>17988</v>
      </c>
      <c r="E3359" s="41">
        <v>24.28</v>
      </c>
      <c r="F3359" s="40"/>
      <c r="G3359" s="41"/>
      <c r="H3359" s="40"/>
      <c r="I3359" s="41"/>
      <c r="J3359" s="41">
        <f t="shared" si="13"/>
        <v>24.28</v>
      </c>
      <c r="K3359" s="42" t="s">
        <v>5796</v>
      </c>
      <c r="L3359" s="39">
        <v>3296</v>
      </c>
    </row>
    <row r="3360" spans="1:12" ht="11.25" customHeight="1">
      <c r="A3360" s="39">
        <v>3297</v>
      </c>
      <c r="B3360" s="40" t="s">
        <v>17989</v>
      </c>
      <c r="C3360" s="40" t="s">
        <v>17990</v>
      </c>
      <c r="D3360" s="40" t="s">
        <v>17991</v>
      </c>
      <c r="E3360" s="41">
        <v>24.19</v>
      </c>
      <c r="F3360" s="40"/>
      <c r="G3360" s="41"/>
      <c r="H3360" s="40"/>
      <c r="I3360" s="41"/>
      <c r="J3360" s="41">
        <f t="shared" si="13"/>
        <v>24.19</v>
      </c>
      <c r="K3360" s="42" t="s">
        <v>5796</v>
      </c>
      <c r="L3360" s="39">
        <v>3297</v>
      </c>
    </row>
    <row r="3361" spans="1:12" ht="11.25" customHeight="1">
      <c r="A3361" s="39">
        <v>3298</v>
      </c>
      <c r="B3361" s="54" t="s">
        <v>8406</v>
      </c>
      <c r="C3361" s="54" t="s">
        <v>17992</v>
      </c>
      <c r="D3361" s="40"/>
      <c r="E3361" s="41"/>
      <c r="F3361" s="40"/>
      <c r="G3361" s="41"/>
      <c r="H3361" s="54" t="s">
        <v>17993</v>
      </c>
      <c r="I3361" s="41">
        <v>24.17625</v>
      </c>
      <c r="J3361" s="41">
        <f t="shared" si="13"/>
        <v>24.17625</v>
      </c>
      <c r="K3361" s="42" t="s">
        <v>5796</v>
      </c>
      <c r="L3361" s="39">
        <v>3298</v>
      </c>
    </row>
    <row r="3362" spans="1:12" ht="11.25" customHeight="1">
      <c r="A3362" s="39">
        <v>3299</v>
      </c>
      <c r="B3362" s="40" t="s">
        <v>17994</v>
      </c>
      <c r="C3362" s="40" t="s">
        <v>17995</v>
      </c>
      <c r="D3362" s="40" t="s">
        <v>17996</v>
      </c>
      <c r="E3362" s="41">
        <v>24.17</v>
      </c>
      <c r="F3362" s="40"/>
      <c r="G3362" s="41"/>
      <c r="H3362" s="40"/>
      <c r="I3362" s="41"/>
      <c r="J3362" s="41">
        <f t="shared" si="13"/>
        <v>24.17</v>
      </c>
      <c r="K3362" s="42" t="s">
        <v>5796</v>
      </c>
      <c r="L3362" s="39">
        <v>3299</v>
      </c>
    </row>
    <row r="3363" spans="1:12" ht="11.25" customHeight="1">
      <c r="A3363" s="39">
        <v>3300</v>
      </c>
      <c r="B3363" s="40" t="s">
        <v>17997</v>
      </c>
      <c r="C3363" s="40" t="s">
        <v>17998</v>
      </c>
      <c r="D3363" s="40" t="s">
        <v>17999</v>
      </c>
      <c r="E3363" s="41">
        <v>24.17</v>
      </c>
      <c r="F3363" s="40"/>
      <c r="G3363" s="41"/>
      <c r="H3363" s="40"/>
      <c r="I3363" s="41"/>
      <c r="J3363" s="41">
        <f t="shared" si="13"/>
        <v>24.17</v>
      </c>
      <c r="K3363" s="42" t="s">
        <v>5796</v>
      </c>
      <c r="L3363" s="39">
        <v>3300</v>
      </c>
    </row>
    <row r="3364" spans="1:12" ht="11.25" customHeight="1">
      <c r="A3364" s="39">
        <v>3301</v>
      </c>
      <c r="B3364" s="40" t="s">
        <v>18000</v>
      </c>
      <c r="C3364" s="40" t="s">
        <v>18001</v>
      </c>
      <c r="D3364" s="40" t="s">
        <v>18002</v>
      </c>
      <c r="E3364" s="41">
        <v>24.17</v>
      </c>
      <c r="F3364" s="40"/>
      <c r="G3364" s="41"/>
      <c r="H3364" s="40"/>
      <c r="I3364" s="41"/>
      <c r="J3364" s="41">
        <f t="shared" si="13"/>
        <v>24.17</v>
      </c>
      <c r="K3364" s="42" t="s">
        <v>5796</v>
      </c>
      <c r="L3364" s="39">
        <v>3301</v>
      </c>
    </row>
    <row r="3365" spans="1:12" ht="11.25" customHeight="1">
      <c r="A3365" s="39">
        <v>3302</v>
      </c>
      <c r="B3365" s="40" t="s">
        <v>18003</v>
      </c>
      <c r="C3365" s="40" t="s">
        <v>18004</v>
      </c>
      <c r="D3365" s="40" t="s">
        <v>18005</v>
      </c>
      <c r="E3365" s="41">
        <v>24.12</v>
      </c>
      <c r="F3365" s="40"/>
      <c r="G3365" s="41"/>
      <c r="H3365" s="40"/>
      <c r="I3365" s="41"/>
      <c r="J3365" s="41">
        <f t="shared" si="13"/>
        <v>24.12</v>
      </c>
      <c r="K3365" s="42" t="s">
        <v>5796</v>
      </c>
      <c r="L3365" s="39">
        <v>3302</v>
      </c>
    </row>
    <row r="3366" spans="1:12" ht="11.25" customHeight="1">
      <c r="A3366" s="39">
        <v>3303</v>
      </c>
      <c r="B3366" s="40" t="s">
        <v>18006</v>
      </c>
      <c r="C3366" s="40" t="s">
        <v>18007</v>
      </c>
      <c r="D3366" s="40" t="s">
        <v>18008</v>
      </c>
      <c r="E3366" s="41">
        <v>24.11</v>
      </c>
      <c r="F3366" s="40"/>
      <c r="G3366" s="41"/>
      <c r="H3366" s="40"/>
      <c r="I3366" s="41"/>
      <c r="J3366" s="41">
        <f t="shared" si="13"/>
        <v>24.11</v>
      </c>
      <c r="K3366" s="42" t="s">
        <v>5796</v>
      </c>
      <c r="L3366" s="39">
        <v>3303</v>
      </c>
    </row>
    <row r="3367" spans="1:12" ht="11.25" customHeight="1">
      <c r="A3367" s="39">
        <v>3304</v>
      </c>
      <c r="B3367" s="40" t="s">
        <v>18009</v>
      </c>
      <c r="C3367" s="40" t="s">
        <v>18010</v>
      </c>
      <c r="D3367" s="40" t="s">
        <v>18011</v>
      </c>
      <c r="E3367" s="41">
        <v>24.09</v>
      </c>
      <c r="F3367" s="40"/>
      <c r="G3367" s="41"/>
      <c r="H3367" s="40"/>
      <c r="I3367" s="41"/>
      <c r="J3367" s="41">
        <f t="shared" si="13"/>
        <v>24.09</v>
      </c>
      <c r="K3367" s="42" t="s">
        <v>5796</v>
      </c>
      <c r="L3367" s="39">
        <v>3304</v>
      </c>
    </row>
    <row r="3368" spans="1:12" ht="11.25" customHeight="1">
      <c r="A3368" s="39">
        <v>3305</v>
      </c>
      <c r="B3368" s="40" t="s">
        <v>18012</v>
      </c>
      <c r="C3368" s="40" t="s">
        <v>18013</v>
      </c>
      <c r="D3368" s="40" t="s">
        <v>18014</v>
      </c>
      <c r="E3368" s="41">
        <v>24.09</v>
      </c>
      <c r="F3368" s="40"/>
      <c r="G3368" s="41"/>
      <c r="H3368" s="40"/>
      <c r="I3368" s="41"/>
      <c r="J3368" s="41">
        <f t="shared" si="13"/>
        <v>24.09</v>
      </c>
      <c r="K3368" s="42" t="s">
        <v>5796</v>
      </c>
      <c r="L3368" s="39">
        <v>3305</v>
      </c>
    </row>
    <row r="3369" spans="1:12" ht="11.25" customHeight="1">
      <c r="A3369" s="39">
        <v>3306</v>
      </c>
      <c r="B3369" s="40" t="s">
        <v>8464</v>
      </c>
      <c r="C3369" s="40" t="s">
        <v>18015</v>
      </c>
      <c r="D3369" s="40" t="s">
        <v>18016</v>
      </c>
      <c r="E3369" s="41">
        <v>24.09</v>
      </c>
      <c r="F3369" s="40"/>
      <c r="G3369" s="41"/>
      <c r="H3369" s="40"/>
      <c r="I3369" s="41"/>
      <c r="J3369" s="41">
        <f t="shared" si="13"/>
        <v>24.09</v>
      </c>
      <c r="K3369" s="42" t="s">
        <v>5796</v>
      </c>
      <c r="L3369" s="39">
        <v>3306</v>
      </c>
    </row>
    <row r="3370" spans="1:12" ht="11.25" customHeight="1">
      <c r="A3370" s="39">
        <v>3308</v>
      </c>
      <c r="B3370" s="40" t="s">
        <v>18017</v>
      </c>
      <c r="C3370" s="40" t="s">
        <v>18018</v>
      </c>
      <c r="D3370" s="40" t="s">
        <v>18019</v>
      </c>
      <c r="E3370" s="41">
        <v>24.07</v>
      </c>
      <c r="F3370" s="40"/>
      <c r="G3370" s="41"/>
      <c r="H3370" s="40"/>
      <c r="I3370" s="41"/>
      <c r="J3370" s="41">
        <f t="shared" si="13"/>
        <v>24.07</v>
      </c>
      <c r="K3370" s="42" t="s">
        <v>5796</v>
      </c>
      <c r="L3370" s="39">
        <v>3308</v>
      </c>
    </row>
    <row r="3371" spans="1:12" ht="11.25" customHeight="1">
      <c r="A3371" s="39">
        <v>3309</v>
      </c>
      <c r="B3371" s="40" t="s">
        <v>18020</v>
      </c>
      <c r="C3371" s="40" t="s">
        <v>18021</v>
      </c>
      <c r="D3371" s="40" t="s">
        <v>18022</v>
      </c>
      <c r="E3371" s="41">
        <v>24.03</v>
      </c>
      <c r="F3371" s="40"/>
      <c r="G3371" s="41"/>
      <c r="H3371" s="40"/>
      <c r="I3371" s="41"/>
      <c r="J3371" s="41">
        <f t="shared" si="13"/>
        <v>24.03</v>
      </c>
      <c r="K3371" s="42" t="s">
        <v>5796</v>
      </c>
      <c r="L3371" s="39">
        <v>3309</v>
      </c>
    </row>
    <row r="3372" spans="1:12" ht="11.25" customHeight="1">
      <c r="A3372" s="39">
        <v>3310</v>
      </c>
      <c r="B3372" s="40" t="s">
        <v>18023</v>
      </c>
      <c r="C3372" s="40" t="s">
        <v>18024</v>
      </c>
      <c r="D3372" s="40" t="s">
        <v>18025</v>
      </c>
      <c r="E3372" s="41">
        <v>24</v>
      </c>
      <c r="F3372" s="40"/>
      <c r="G3372" s="41"/>
      <c r="H3372" s="40"/>
      <c r="I3372" s="41"/>
      <c r="J3372" s="41">
        <f t="shared" si="13"/>
        <v>24</v>
      </c>
      <c r="K3372" s="42" t="s">
        <v>5796</v>
      </c>
      <c r="L3372" s="39">
        <v>3310</v>
      </c>
    </row>
    <row r="3373" spans="1:12" ht="11.25" customHeight="1">
      <c r="A3373" s="39">
        <v>3311</v>
      </c>
      <c r="B3373" s="40" t="s">
        <v>18026</v>
      </c>
      <c r="C3373" s="40" t="s">
        <v>18027</v>
      </c>
      <c r="D3373" s="40" t="s">
        <v>18028</v>
      </c>
      <c r="E3373" s="41">
        <v>23.98</v>
      </c>
      <c r="F3373" s="40"/>
      <c r="G3373" s="41"/>
      <c r="H3373" s="40"/>
      <c r="I3373" s="41"/>
      <c r="J3373" s="41">
        <f t="shared" si="13"/>
        <v>23.98</v>
      </c>
      <c r="K3373" s="42" t="s">
        <v>5796</v>
      </c>
      <c r="L3373" s="39">
        <v>3311</v>
      </c>
    </row>
    <row r="3374" spans="1:12" ht="11.25" customHeight="1">
      <c r="A3374" s="39">
        <v>3312</v>
      </c>
      <c r="B3374" s="40" t="s">
        <v>18029</v>
      </c>
      <c r="C3374" s="40" t="s">
        <v>18030</v>
      </c>
      <c r="D3374" s="40" t="s">
        <v>18031</v>
      </c>
      <c r="E3374" s="41">
        <v>23.98</v>
      </c>
      <c r="F3374" s="40"/>
      <c r="G3374" s="41"/>
      <c r="H3374" s="40"/>
      <c r="I3374" s="41"/>
      <c r="J3374" s="41">
        <f t="shared" si="13"/>
        <v>23.98</v>
      </c>
      <c r="K3374" s="42" t="s">
        <v>5796</v>
      </c>
      <c r="L3374" s="39">
        <v>3312</v>
      </c>
    </row>
    <row r="3375" spans="1:12" ht="11.25" customHeight="1">
      <c r="A3375" s="39">
        <v>3313</v>
      </c>
      <c r="B3375" s="40" t="s">
        <v>18032</v>
      </c>
      <c r="C3375" s="40" t="s">
        <v>18033</v>
      </c>
      <c r="D3375" s="40" t="s">
        <v>18034</v>
      </c>
      <c r="E3375" s="41">
        <v>23.81</v>
      </c>
      <c r="F3375" s="40"/>
      <c r="G3375" s="41"/>
      <c r="H3375" s="40"/>
      <c r="I3375" s="41"/>
      <c r="J3375" s="41">
        <f t="shared" si="13"/>
        <v>23.81</v>
      </c>
      <c r="K3375" s="42" t="s">
        <v>5796</v>
      </c>
      <c r="L3375" s="39">
        <v>3313</v>
      </c>
    </row>
    <row r="3376" spans="1:12" ht="11.25" customHeight="1">
      <c r="A3376" s="39">
        <v>3314</v>
      </c>
      <c r="B3376" s="40" t="s">
        <v>18035</v>
      </c>
      <c r="C3376" s="40" t="s">
        <v>18036</v>
      </c>
      <c r="D3376" s="40" t="s">
        <v>18037</v>
      </c>
      <c r="E3376" s="41">
        <v>23.73</v>
      </c>
      <c r="F3376" s="40"/>
      <c r="G3376" s="41"/>
      <c r="H3376" s="40"/>
      <c r="I3376" s="41"/>
      <c r="J3376" s="41">
        <f t="shared" si="13"/>
        <v>23.73</v>
      </c>
      <c r="K3376" s="42" t="s">
        <v>5796</v>
      </c>
      <c r="L3376" s="39">
        <v>3314</v>
      </c>
    </row>
    <row r="3377" spans="1:12" ht="11.25" customHeight="1">
      <c r="A3377" s="39">
        <v>3315</v>
      </c>
      <c r="B3377" s="52" t="s">
        <v>8421</v>
      </c>
      <c r="C3377" s="52" t="s">
        <v>18038</v>
      </c>
      <c r="D3377" s="40"/>
      <c r="E3377" s="41"/>
      <c r="F3377" s="40"/>
      <c r="G3377" s="41"/>
      <c r="H3377" s="52" t="s">
        <v>18039</v>
      </c>
      <c r="I3377" s="53">
        <v>23.702904225000072</v>
      </c>
      <c r="J3377" s="41">
        <f t="shared" si="13"/>
        <v>23.702904225000072</v>
      </c>
      <c r="K3377" s="42" t="s">
        <v>5796</v>
      </c>
      <c r="L3377" s="39">
        <v>3315</v>
      </c>
    </row>
    <row r="3378" spans="1:12" ht="11.25" customHeight="1">
      <c r="A3378" s="39">
        <v>3316</v>
      </c>
      <c r="B3378" s="40" t="s">
        <v>18040</v>
      </c>
      <c r="C3378" s="40" t="s">
        <v>18041</v>
      </c>
      <c r="D3378" s="40" t="s">
        <v>18042</v>
      </c>
      <c r="E3378" s="41">
        <v>23.7</v>
      </c>
      <c r="F3378" s="40"/>
      <c r="G3378" s="41"/>
      <c r="H3378" s="40"/>
      <c r="I3378" s="41"/>
      <c r="J3378" s="41">
        <f t="shared" si="13"/>
        <v>23.7</v>
      </c>
      <c r="K3378" s="42" t="s">
        <v>5796</v>
      </c>
      <c r="L3378" s="39">
        <v>3316</v>
      </c>
    </row>
    <row r="3379" spans="1:12" ht="11.25" customHeight="1">
      <c r="A3379" s="39">
        <v>3317</v>
      </c>
      <c r="B3379" s="40" t="s">
        <v>18043</v>
      </c>
      <c r="C3379" s="40" t="s">
        <v>18044</v>
      </c>
      <c r="D3379" s="40" t="s">
        <v>18045</v>
      </c>
      <c r="E3379" s="41">
        <v>23.7</v>
      </c>
      <c r="F3379" s="40"/>
      <c r="G3379" s="41"/>
      <c r="H3379" s="40"/>
      <c r="I3379" s="41"/>
      <c r="J3379" s="41">
        <f t="shared" si="13"/>
        <v>23.7</v>
      </c>
      <c r="K3379" s="42" t="s">
        <v>5796</v>
      </c>
      <c r="L3379" s="39">
        <v>3317</v>
      </c>
    </row>
    <row r="3380" spans="1:12" ht="11.25" customHeight="1">
      <c r="A3380" s="39">
        <v>3318</v>
      </c>
      <c r="B3380" s="40" t="s">
        <v>18046</v>
      </c>
      <c r="C3380" s="40" t="s">
        <v>18047</v>
      </c>
      <c r="D3380" s="40" t="s">
        <v>18048</v>
      </c>
      <c r="E3380" s="41">
        <v>23.63</v>
      </c>
      <c r="F3380" s="40"/>
      <c r="G3380" s="41"/>
      <c r="H3380" s="40"/>
      <c r="I3380" s="41"/>
      <c r="J3380" s="41">
        <f t="shared" si="13"/>
        <v>23.63</v>
      </c>
      <c r="K3380" s="42" t="s">
        <v>5796</v>
      </c>
      <c r="L3380" s="39">
        <v>3318</v>
      </c>
    </row>
    <row r="3381" spans="1:12" ht="11.25" customHeight="1">
      <c r="A3381" s="39">
        <v>3319</v>
      </c>
      <c r="B3381" s="40" t="s">
        <v>18049</v>
      </c>
      <c r="C3381" s="40" t="s">
        <v>18050</v>
      </c>
      <c r="D3381" s="40" t="s">
        <v>18051</v>
      </c>
      <c r="E3381" s="41">
        <v>23.61</v>
      </c>
      <c r="F3381" s="40"/>
      <c r="G3381" s="41"/>
      <c r="H3381" s="40"/>
      <c r="I3381" s="41"/>
      <c r="J3381" s="41">
        <f t="shared" si="13"/>
        <v>23.61</v>
      </c>
      <c r="K3381" s="42" t="s">
        <v>5796</v>
      </c>
      <c r="L3381" s="39">
        <v>3319</v>
      </c>
    </row>
    <row r="3382" spans="1:12" ht="11.25" customHeight="1">
      <c r="A3382" s="39">
        <v>3320</v>
      </c>
      <c r="B3382" s="40" t="s">
        <v>18052</v>
      </c>
      <c r="C3382" s="40" t="s">
        <v>18053</v>
      </c>
      <c r="D3382" s="40" t="s">
        <v>18054</v>
      </c>
      <c r="E3382" s="41">
        <v>23.6</v>
      </c>
      <c r="F3382" s="40"/>
      <c r="G3382" s="41"/>
      <c r="H3382" s="40"/>
      <c r="I3382" s="41"/>
      <c r="J3382" s="41">
        <f t="shared" si="13"/>
        <v>23.6</v>
      </c>
      <c r="K3382" s="42" t="s">
        <v>5796</v>
      </c>
      <c r="L3382" s="39">
        <v>3320</v>
      </c>
    </row>
    <row r="3383" spans="1:12" ht="11.25" customHeight="1">
      <c r="A3383" s="39">
        <v>3322</v>
      </c>
      <c r="B3383" s="40" t="s">
        <v>18055</v>
      </c>
      <c r="C3383" s="40" t="s">
        <v>18056</v>
      </c>
      <c r="D3383" s="40" t="s">
        <v>18057</v>
      </c>
      <c r="E3383" s="41">
        <v>23.57</v>
      </c>
      <c r="F3383" s="40"/>
      <c r="G3383" s="41"/>
      <c r="H3383" s="40"/>
      <c r="I3383" s="41"/>
      <c r="J3383" s="41">
        <f t="shared" si="13"/>
        <v>23.57</v>
      </c>
      <c r="K3383" s="42" t="s">
        <v>5796</v>
      </c>
      <c r="L3383" s="39">
        <v>3322</v>
      </c>
    </row>
    <row r="3384" spans="1:12" ht="11.25" customHeight="1">
      <c r="A3384" s="39">
        <v>3323</v>
      </c>
      <c r="B3384" s="40" t="s">
        <v>18058</v>
      </c>
      <c r="C3384" s="40" t="s">
        <v>18059</v>
      </c>
      <c r="D3384" s="40" t="s">
        <v>18060</v>
      </c>
      <c r="E3384" s="41">
        <v>23.55</v>
      </c>
      <c r="F3384" s="40"/>
      <c r="G3384" s="41"/>
      <c r="H3384" s="40"/>
      <c r="I3384" s="41"/>
      <c r="J3384" s="41">
        <f t="shared" si="13"/>
        <v>23.55</v>
      </c>
      <c r="K3384" s="42" t="s">
        <v>5796</v>
      </c>
      <c r="L3384" s="39">
        <v>3323</v>
      </c>
    </row>
    <row r="3385" spans="1:12" ht="11.25" customHeight="1">
      <c r="A3385" s="39">
        <v>3324</v>
      </c>
      <c r="B3385" s="40" t="s">
        <v>18061</v>
      </c>
      <c r="C3385" s="40" t="s">
        <v>18062</v>
      </c>
      <c r="D3385" s="40" t="s">
        <v>18063</v>
      </c>
      <c r="E3385" s="41">
        <v>23.53</v>
      </c>
      <c r="F3385" s="40"/>
      <c r="G3385" s="41"/>
      <c r="H3385" s="40"/>
      <c r="I3385" s="41"/>
      <c r="J3385" s="41">
        <f t="shared" si="13"/>
        <v>23.53</v>
      </c>
      <c r="K3385" s="42" t="s">
        <v>5796</v>
      </c>
      <c r="L3385" s="39">
        <v>3324</v>
      </c>
    </row>
    <row r="3386" spans="1:12" ht="11.25" customHeight="1">
      <c r="A3386" s="39">
        <v>3326</v>
      </c>
      <c r="B3386" s="40" t="s">
        <v>18064</v>
      </c>
      <c r="C3386" s="40" t="s">
        <v>18065</v>
      </c>
      <c r="D3386" s="40" t="s">
        <v>18066</v>
      </c>
      <c r="E3386" s="41">
        <v>23.44</v>
      </c>
      <c r="F3386" s="40"/>
      <c r="G3386" s="41"/>
      <c r="H3386" s="40"/>
      <c r="I3386" s="41"/>
      <c r="J3386" s="41">
        <f t="shared" si="13"/>
        <v>23.44</v>
      </c>
      <c r="K3386" s="42" t="s">
        <v>5796</v>
      </c>
      <c r="L3386" s="39">
        <v>3326</v>
      </c>
    </row>
    <row r="3387" spans="1:12" ht="11.25" customHeight="1">
      <c r="A3387" s="39">
        <v>3327</v>
      </c>
      <c r="B3387" s="40" t="s">
        <v>18067</v>
      </c>
      <c r="C3387" s="40" t="s">
        <v>18068</v>
      </c>
      <c r="D3387" s="40" t="s">
        <v>18069</v>
      </c>
      <c r="E3387" s="41">
        <v>23.42</v>
      </c>
      <c r="F3387" s="40"/>
      <c r="G3387" s="41"/>
      <c r="H3387" s="40"/>
      <c r="I3387" s="41"/>
      <c r="J3387" s="41">
        <f t="shared" si="13"/>
        <v>23.42</v>
      </c>
      <c r="K3387" s="42" t="s">
        <v>5796</v>
      </c>
      <c r="L3387" s="39">
        <v>3327</v>
      </c>
    </row>
    <row r="3388" spans="1:12" ht="11.25" customHeight="1">
      <c r="A3388" s="39">
        <v>3329</v>
      </c>
      <c r="B3388" s="40" t="s">
        <v>18070</v>
      </c>
      <c r="C3388" s="40" t="s">
        <v>18071</v>
      </c>
      <c r="D3388" s="40" t="s">
        <v>18072</v>
      </c>
      <c r="E3388" s="41">
        <v>23.27</v>
      </c>
      <c r="F3388" s="40"/>
      <c r="G3388" s="41"/>
      <c r="H3388" s="40"/>
      <c r="I3388" s="41"/>
      <c r="J3388" s="41">
        <f t="shared" si="13"/>
        <v>23.27</v>
      </c>
      <c r="K3388" s="42" t="s">
        <v>5796</v>
      </c>
      <c r="L3388" s="39">
        <v>3329</v>
      </c>
    </row>
    <row r="3389" spans="1:12" ht="11.25" customHeight="1">
      <c r="A3389" s="39">
        <v>3330</v>
      </c>
      <c r="B3389" s="40" t="s">
        <v>18073</v>
      </c>
      <c r="C3389" s="40" t="s">
        <v>18074</v>
      </c>
      <c r="D3389" s="40" t="s">
        <v>18075</v>
      </c>
      <c r="E3389" s="41">
        <v>23.27</v>
      </c>
      <c r="F3389" s="40"/>
      <c r="G3389" s="41"/>
      <c r="H3389" s="40"/>
      <c r="I3389" s="41"/>
      <c r="J3389" s="41">
        <f t="shared" si="13"/>
        <v>23.27</v>
      </c>
      <c r="K3389" s="42" t="s">
        <v>5796</v>
      </c>
      <c r="L3389" s="39">
        <v>3330</v>
      </c>
    </row>
    <row r="3390" spans="1:12" ht="11.25" customHeight="1">
      <c r="A3390" s="39">
        <v>3331</v>
      </c>
      <c r="B3390" s="40" t="s">
        <v>18076</v>
      </c>
      <c r="C3390" s="40" t="s">
        <v>18077</v>
      </c>
      <c r="D3390" s="40" t="s">
        <v>18078</v>
      </c>
      <c r="E3390" s="41">
        <v>23.25</v>
      </c>
      <c r="F3390" s="40"/>
      <c r="G3390" s="41"/>
      <c r="H3390" s="40"/>
      <c r="I3390" s="41"/>
      <c r="J3390" s="41">
        <f t="shared" si="13"/>
        <v>23.25</v>
      </c>
      <c r="K3390" s="42" t="s">
        <v>5796</v>
      </c>
      <c r="L3390" s="39">
        <v>3331</v>
      </c>
    </row>
    <row r="3391" spans="1:12" ht="11.25" customHeight="1">
      <c r="A3391" s="39">
        <v>3332</v>
      </c>
      <c r="B3391" s="40" t="s">
        <v>18079</v>
      </c>
      <c r="C3391" s="40" t="s">
        <v>18080</v>
      </c>
      <c r="D3391" s="40" t="s">
        <v>18081</v>
      </c>
      <c r="E3391" s="41">
        <v>23.25</v>
      </c>
      <c r="F3391" s="40"/>
      <c r="G3391" s="41"/>
      <c r="H3391" s="40"/>
      <c r="I3391" s="41"/>
      <c r="J3391" s="41">
        <f t="shared" si="13"/>
        <v>23.25</v>
      </c>
      <c r="K3391" s="42" t="s">
        <v>5796</v>
      </c>
      <c r="L3391" s="39">
        <v>3332</v>
      </c>
    </row>
    <row r="3392" spans="1:12" ht="11.25" customHeight="1">
      <c r="A3392" s="39">
        <v>3333</v>
      </c>
      <c r="B3392" s="40" t="s">
        <v>18082</v>
      </c>
      <c r="C3392" s="40" t="s">
        <v>18083</v>
      </c>
      <c r="D3392" s="40" t="s">
        <v>18084</v>
      </c>
      <c r="E3392" s="41">
        <v>23.25</v>
      </c>
      <c r="F3392" s="40"/>
      <c r="G3392" s="41"/>
      <c r="H3392" s="40"/>
      <c r="I3392" s="41"/>
      <c r="J3392" s="41">
        <f t="shared" si="13"/>
        <v>23.25</v>
      </c>
      <c r="K3392" s="42" t="s">
        <v>5796</v>
      </c>
      <c r="L3392" s="39">
        <v>3333</v>
      </c>
    </row>
    <row r="3393" spans="1:12" ht="11.25" customHeight="1">
      <c r="A3393" s="39">
        <v>3334</v>
      </c>
      <c r="B3393" s="40" t="s">
        <v>18085</v>
      </c>
      <c r="C3393" s="40" t="s">
        <v>18086</v>
      </c>
      <c r="D3393" s="40" t="s">
        <v>18087</v>
      </c>
      <c r="E3393" s="41">
        <v>23.24</v>
      </c>
      <c r="F3393" s="40"/>
      <c r="G3393" s="41"/>
      <c r="H3393" s="40"/>
      <c r="I3393" s="41"/>
      <c r="J3393" s="41">
        <f t="shared" si="13"/>
        <v>23.24</v>
      </c>
      <c r="K3393" s="42" t="s">
        <v>5796</v>
      </c>
      <c r="L3393" s="39">
        <v>3334</v>
      </c>
    </row>
    <row r="3394" spans="1:12" ht="11.25" customHeight="1">
      <c r="A3394" s="39">
        <v>3335</v>
      </c>
      <c r="B3394" s="40" t="s">
        <v>18088</v>
      </c>
      <c r="C3394" s="40" t="s">
        <v>18089</v>
      </c>
      <c r="D3394" s="40" t="s">
        <v>18090</v>
      </c>
      <c r="E3394" s="41">
        <v>23.23</v>
      </c>
      <c r="F3394" s="40"/>
      <c r="G3394" s="41"/>
      <c r="H3394" s="40"/>
      <c r="I3394" s="41"/>
      <c r="J3394" s="41">
        <f t="shared" si="13"/>
        <v>23.23</v>
      </c>
      <c r="K3394" s="42" t="s">
        <v>5796</v>
      </c>
      <c r="L3394" s="39">
        <v>3335</v>
      </c>
    </row>
    <row r="3395" spans="1:12" ht="11.25" customHeight="1">
      <c r="A3395" s="39">
        <v>3336</v>
      </c>
      <c r="B3395" s="40" t="s">
        <v>18091</v>
      </c>
      <c r="C3395" s="40" t="s">
        <v>18092</v>
      </c>
      <c r="D3395" s="40" t="s">
        <v>18093</v>
      </c>
      <c r="E3395" s="41">
        <v>23.23</v>
      </c>
      <c r="F3395" s="40"/>
      <c r="G3395" s="41"/>
      <c r="H3395" s="40"/>
      <c r="I3395" s="41"/>
      <c r="J3395" s="41">
        <f t="shared" si="13"/>
        <v>23.23</v>
      </c>
      <c r="K3395" s="42" t="s">
        <v>5796</v>
      </c>
      <c r="L3395" s="39">
        <v>3336</v>
      </c>
    </row>
    <row r="3396" spans="1:12" ht="11.25" customHeight="1">
      <c r="A3396" s="39">
        <v>3337</v>
      </c>
      <c r="B3396" s="40" t="s">
        <v>18094</v>
      </c>
      <c r="C3396" s="40" t="s">
        <v>18095</v>
      </c>
      <c r="D3396" s="40" t="s">
        <v>18096</v>
      </c>
      <c r="E3396" s="41">
        <v>23.19</v>
      </c>
      <c r="F3396" s="40"/>
      <c r="G3396" s="41"/>
      <c r="H3396" s="40"/>
      <c r="I3396" s="41"/>
      <c r="J3396" s="41">
        <f t="shared" si="13"/>
        <v>23.19</v>
      </c>
      <c r="K3396" s="42" t="s">
        <v>5796</v>
      </c>
      <c r="L3396" s="39">
        <v>3337</v>
      </c>
    </row>
    <row r="3397" spans="1:12" ht="11.25" customHeight="1">
      <c r="A3397" s="39">
        <v>3339</v>
      </c>
      <c r="B3397" s="40" t="s">
        <v>18097</v>
      </c>
      <c r="C3397" s="40" t="s">
        <v>18098</v>
      </c>
      <c r="D3397" s="40" t="s">
        <v>18099</v>
      </c>
      <c r="E3397" s="41">
        <v>23.03</v>
      </c>
      <c r="F3397" s="40"/>
      <c r="G3397" s="41"/>
      <c r="H3397" s="40"/>
      <c r="I3397" s="41"/>
      <c r="J3397" s="41">
        <f t="shared" si="13"/>
        <v>23.03</v>
      </c>
      <c r="K3397" s="42" t="s">
        <v>5796</v>
      </c>
      <c r="L3397" s="39">
        <v>3339</v>
      </c>
    </row>
    <row r="3398" spans="1:12" ht="11.25" customHeight="1">
      <c r="A3398" s="39">
        <v>3340</v>
      </c>
      <c r="B3398" s="40" t="s">
        <v>18100</v>
      </c>
      <c r="C3398" s="40" t="s">
        <v>18101</v>
      </c>
      <c r="D3398" s="40" t="s">
        <v>18102</v>
      </c>
      <c r="E3398" s="41">
        <v>23.03</v>
      </c>
      <c r="F3398" s="40"/>
      <c r="G3398" s="41"/>
      <c r="H3398" s="40"/>
      <c r="I3398" s="41"/>
      <c r="J3398" s="41">
        <f t="shared" si="13"/>
        <v>23.03</v>
      </c>
      <c r="K3398" s="42" t="s">
        <v>5796</v>
      </c>
      <c r="L3398" s="39">
        <v>3340</v>
      </c>
    </row>
    <row r="3399" spans="1:12" ht="11.25" customHeight="1">
      <c r="A3399" s="39">
        <v>3341</v>
      </c>
      <c r="B3399" s="40" t="s">
        <v>18103</v>
      </c>
      <c r="C3399" s="40" t="s">
        <v>18104</v>
      </c>
      <c r="D3399" s="40" t="s">
        <v>18105</v>
      </c>
      <c r="E3399" s="41">
        <v>22.92</v>
      </c>
      <c r="F3399" s="40"/>
      <c r="G3399" s="41"/>
      <c r="H3399" s="40"/>
      <c r="I3399" s="41"/>
      <c r="J3399" s="41">
        <f t="shared" si="13"/>
        <v>22.92</v>
      </c>
      <c r="K3399" s="42" t="s">
        <v>5796</v>
      </c>
      <c r="L3399" s="39">
        <v>3341</v>
      </c>
    </row>
    <row r="3400" spans="1:12" ht="11.25" customHeight="1">
      <c r="A3400" s="39">
        <v>3342</v>
      </c>
      <c r="B3400" s="40" t="s">
        <v>18106</v>
      </c>
      <c r="C3400" s="40" t="s">
        <v>18107</v>
      </c>
      <c r="D3400" s="40" t="s">
        <v>18108</v>
      </c>
      <c r="E3400" s="41">
        <v>22.89</v>
      </c>
      <c r="F3400" s="40"/>
      <c r="G3400" s="41"/>
      <c r="H3400" s="40"/>
      <c r="I3400" s="41"/>
      <c r="J3400" s="41">
        <f t="shared" si="13"/>
        <v>22.89</v>
      </c>
      <c r="K3400" s="42" t="s">
        <v>5796</v>
      </c>
      <c r="L3400" s="39">
        <v>3342</v>
      </c>
    </row>
    <row r="3401" spans="1:12" ht="11.25" customHeight="1">
      <c r="A3401" s="39">
        <v>3344</v>
      </c>
      <c r="B3401" s="40" t="s">
        <v>18109</v>
      </c>
      <c r="C3401" s="40" t="s">
        <v>18110</v>
      </c>
      <c r="D3401" s="40" t="s">
        <v>18111</v>
      </c>
      <c r="E3401" s="41">
        <v>22.86</v>
      </c>
      <c r="F3401" s="40"/>
      <c r="G3401" s="41"/>
      <c r="H3401" s="40"/>
      <c r="I3401" s="41"/>
      <c r="J3401" s="41">
        <f t="shared" si="13"/>
        <v>22.86</v>
      </c>
      <c r="K3401" s="42" t="s">
        <v>5796</v>
      </c>
      <c r="L3401" s="39">
        <v>3344</v>
      </c>
    </row>
    <row r="3402" spans="1:12" ht="11.25" customHeight="1">
      <c r="A3402" s="39">
        <v>3346</v>
      </c>
      <c r="B3402" s="40" t="s">
        <v>18112</v>
      </c>
      <c r="C3402" s="40" t="s">
        <v>18113</v>
      </c>
      <c r="D3402" s="40" t="s">
        <v>18114</v>
      </c>
      <c r="E3402" s="41">
        <v>22.78</v>
      </c>
      <c r="F3402" s="40"/>
      <c r="G3402" s="41"/>
      <c r="H3402" s="40"/>
      <c r="I3402" s="41"/>
      <c r="J3402" s="41">
        <f t="shared" si="13"/>
        <v>22.78</v>
      </c>
      <c r="K3402" s="42" t="s">
        <v>5796</v>
      </c>
      <c r="L3402" s="39">
        <v>3346</v>
      </c>
    </row>
    <row r="3403" spans="1:12" ht="11.25" customHeight="1">
      <c r="A3403" s="39">
        <v>3347</v>
      </c>
      <c r="B3403" s="40" t="s">
        <v>18115</v>
      </c>
      <c r="C3403" s="40" t="s">
        <v>18116</v>
      </c>
      <c r="D3403" s="40" t="s">
        <v>18117</v>
      </c>
      <c r="E3403" s="41">
        <v>22.7</v>
      </c>
      <c r="F3403" s="40"/>
      <c r="G3403" s="41"/>
      <c r="H3403" s="40"/>
      <c r="I3403" s="41"/>
      <c r="J3403" s="41">
        <f t="shared" si="13"/>
        <v>22.7</v>
      </c>
      <c r="K3403" s="42" t="s">
        <v>5796</v>
      </c>
      <c r="L3403" s="39">
        <v>3347</v>
      </c>
    </row>
    <row r="3404" spans="1:12" ht="11.25" customHeight="1">
      <c r="A3404" s="39">
        <v>3348</v>
      </c>
      <c r="B3404" s="40" t="s">
        <v>18118</v>
      </c>
      <c r="C3404" s="40" t="s">
        <v>18119</v>
      </c>
      <c r="D3404" s="40" t="s">
        <v>18120</v>
      </c>
      <c r="E3404" s="41">
        <v>22.7</v>
      </c>
      <c r="F3404" s="40"/>
      <c r="G3404" s="41"/>
      <c r="H3404" s="40"/>
      <c r="I3404" s="41"/>
      <c r="J3404" s="41">
        <f t="shared" si="13"/>
        <v>22.7</v>
      </c>
      <c r="K3404" s="42" t="s">
        <v>5796</v>
      </c>
      <c r="L3404" s="39">
        <v>3348</v>
      </c>
    </row>
    <row r="3405" spans="1:12" ht="11.25" customHeight="1">
      <c r="A3405" s="39">
        <v>3349</v>
      </c>
      <c r="B3405" s="40" t="s">
        <v>8365</v>
      </c>
      <c r="C3405" s="40" t="s">
        <v>18121</v>
      </c>
      <c r="D3405" s="40" t="s">
        <v>18122</v>
      </c>
      <c r="E3405" s="41">
        <v>22.7</v>
      </c>
      <c r="F3405" s="40"/>
      <c r="G3405" s="41"/>
      <c r="H3405" s="40"/>
      <c r="I3405" s="41"/>
      <c r="J3405" s="41">
        <f t="shared" si="13"/>
        <v>22.7</v>
      </c>
      <c r="K3405" s="42" t="s">
        <v>5796</v>
      </c>
      <c r="L3405" s="39">
        <v>3349</v>
      </c>
    </row>
    <row r="3406" spans="1:12" ht="11.25" customHeight="1">
      <c r="A3406" s="39">
        <v>3350</v>
      </c>
      <c r="B3406" s="40" t="s">
        <v>18123</v>
      </c>
      <c r="C3406" s="40" t="s">
        <v>18124</v>
      </c>
      <c r="D3406" s="40" t="s">
        <v>18125</v>
      </c>
      <c r="E3406" s="41">
        <v>22.69</v>
      </c>
      <c r="F3406" s="40"/>
      <c r="G3406" s="41"/>
      <c r="H3406" s="40"/>
      <c r="I3406" s="41"/>
      <c r="J3406" s="41">
        <f t="shared" si="13"/>
        <v>22.69</v>
      </c>
      <c r="K3406" s="42" t="s">
        <v>5796</v>
      </c>
      <c r="L3406" s="39">
        <v>3350</v>
      </c>
    </row>
    <row r="3407" spans="1:12" ht="11.25" customHeight="1">
      <c r="A3407" s="39">
        <v>3351</v>
      </c>
      <c r="B3407" s="40" t="s">
        <v>18126</v>
      </c>
      <c r="C3407" s="40" t="s">
        <v>18127</v>
      </c>
      <c r="D3407" s="40" t="s">
        <v>18128</v>
      </c>
      <c r="E3407" s="41">
        <v>22.67</v>
      </c>
      <c r="F3407" s="40"/>
      <c r="G3407" s="41"/>
      <c r="H3407" s="40"/>
      <c r="I3407" s="41"/>
      <c r="J3407" s="41">
        <f t="shared" si="13"/>
        <v>22.67</v>
      </c>
      <c r="K3407" s="42" t="s">
        <v>5796</v>
      </c>
      <c r="L3407" s="39">
        <v>3351</v>
      </c>
    </row>
    <row r="3408" spans="1:12" ht="11.25" customHeight="1">
      <c r="A3408" s="39">
        <v>3352</v>
      </c>
      <c r="B3408" s="40" t="s">
        <v>18129</v>
      </c>
      <c r="C3408" s="40" t="s">
        <v>18130</v>
      </c>
      <c r="D3408" s="40" t="s">
        <v>18131</v>
      </c>
      <c r="E3408" s="41">
        <v>22.66</v>
      </c>
      <c r="F3408" s="40"/>
      <c r="G3408" s="41"/>
      <c r="H3408" s="40"/>
      <c r="I3408" s="41"/>
      <c r="J3408" s="41">
        <f t="shared" si="13"/>
        <v>22.66</v>
      </c>
      <c r="K3408" s="42" t="s">
        <v>5796</v>
      </c>
      <c r="L3408" s="39">
        <v>3352</v>
      </c>
    </row>
    <row r="3409" spans="1:12" ht="11.25" customHeight="1">
      <c r="A3409" s="39">
        <v>3354</v>
      </c>
      <c r="B3409" s="40" t="s">
        <v>18132</v>
      </c>
      <c r="C3409" s="40" t="s">
        <v>18133</v>
      </c>
      <c r="D3409" s="40" t="s">
        <v>18134</v>
      </c>
      <c r="E3409" s="41">
        <v>22.6</v>
      </c>
      <c r="F3409" s="40"/>
      <c r="G3409" s="41"/>
      <c r="H3409" s="40"/>
      <c r="I3409" s="41"/>
      <c r="J3409" s="41">
        <f t="shared" si="13"/>
        <v>22.6</v>
      </c>
      <c r="K3409" s="42" t="s">
        <v>5796</v>
      </c>
      <c r="L3409" s="39">
        <v>3354</v>
      </c>
    </row>
    <row r="3410" spans="1:12" ht="11.25" customHeight="1">
      <c r="A3410" s="39">
        <v>3355</v>
      </c>
      <c r="B3410" s="40" t="s">
        <v>8647</v>
      </c>
      <c r="C3410" s="40" t="s">
        <v>18135</v>
      </c>
      <c r="D3410" s="40" t="s">
        <v>18136</v>
      </c>
      <c r="E3410" s="41">
        <v>22.59</v>
      </c>
      <c r="F3410" s="40"/>
      <c r="G3410" s="41"/>
      <c r="H3410" s="40"/>
      <c r="I3410" s="41"/>
      <c r="J3410" s="41">
        <f t="shared" si="13"/>
        <v>22.59</v>
      </c>
      <c r="K3410" s="42" t="s">
        <v>5796</v>
      </c>
      <c r="L3410" s="39">
        <v>3355</v>
      </c>
    </row>
    <row r="3411" spans="1:12" ht="11.25" customHeight="1">
      <c r="A3411" s="39">
        <v>3356</v>
      </c>
      <c r="B3411" s="40" t="s">
        <v>18137</v>
      </c>
      <c r="C3411" s="40" t="s">
        <v>18138</v>
      </c>
      <c r="D3411" s="40" t="s">
        <v>18139</v>
      </c>
      <c r="E3411" s="41">
        <v>22.59</v>
      </c>
      <c r="F3411" s="40"/>
      <c r="G3411" s="41"/>
      <c r="H3411" s="40"/>
      <c r="I3411" s="41"/>
      <c r="J3411" s="41">
        <f t="shared" si="13"/>
        <v>22.59</v>
      </c>
      <c r="K3411" s="42" t="s">
        <v>5796</v>
      </c>
      <c r="L3411" s="39">
        <v>3356</v>
      </c>
    </row>
    <row r="3412" spans="1:12" ht="11.25" customHeight="1">
      <c r="A3412" s="39">
        <v>3357</v>
      </c>
      <c r="B3412" s="40" t="s">
        <v>18140</v>
      </c>
      <c r="C3412" s="40" t="s">
        <v>18141</v>
      </c>
      <c r="D3412" s="40" t="s">
        <v>18142</v>
      </c>
      <c r="E3412" s="41">
        <v>22.48</v>
      </c>
      <c r="F3412" s="40"/>
      <c r="G3412" s="41"/>
      <c r="H3412" s="40"/>
      <c r="I3412" s="41"/>
      <c r="J3412" s="41">
        <f t="shared" si="13"/>
        <v>22.48</v>
      </c>
      <c r="K3412" s="42" t="s">
        <v>5796</v>
      </c>
      <c r="L3412" s="39">
        <v>3357</v>
      </c>
    </row>
    <row r="3413" spans="1:12" ht="11.25" customHeight="1">
      <c r="A3413" s="39">
        <v>3358</v>
      </c>
      <c r="B3413" s="40" t="s">
        <v>18143</v>
      </c>
      <c r="C3413" s="40" t="s">
        <v>18144</v>
      </c>
      <c r="D3413" s="40" t="s">
        <v>18145</v>
      </c>
      <c r="E3413" s="41">
        <v>22.44</v>
      </c>
      <c r="F3413" s="40"/>
      <c r="G3413" s="41"/>
      <c r="H3413" s="40"/>
      <c r="I3413" s="41"/>
      <c r="J3413" s="41">
        <f t="shared" si="13"/>
        <v>22.44</v>
      </c>
      <c r="K3413" s="42" t="s">
        <v>5796</v>
      </c>
      <c r="L3413" s="39">
        <v>3358</v>
      </c>
    </row>
    <row r="3414" spans="1:12" ht="11.25" customHeight="1">
      <c r="A3414" s="39">
        <v>3359</v>
      </c>
      <c r="B3414" s="40" t="s">
        <v>18146</v>
      </c>
      <c r="C3414" s="40" t="s">
        <v>18147</v>
      </c>
      <c r="D3414" s="40" t="s">
        <v>18148</v>
      </c>
      <c r="E3414" s="41">
        <v>22.43</v>
      </c>
      <c r="F3414" s="40"/>
      <c r="G3414" s="41"/>
      <c r="H3414" s="40"/>
      <c r="I3414" s="41"/>
      <c r="J3414" s="41">
        <f t="shared" si="13"/>
        <v>22.43</v>
      </c>
      <c r="K3414" s="42" t="s">
        <v>5796</v>
      </c>
      <c r="L3414" s="39">
        <v>3359</v>
      </c>
    </row>
    <row r="3415" spans="1:12" ht="11.25" customHeight="1">
      <c r="A3415" s="39">
        <v>3361</v>
      </c>
      <c r="B3415" s="40" t="s">
        <v>18149</v>
      </c>
      <c r="C3415" s="40" t="s">
        <v>18150</v>
      </c>
      <c r="D3415" s="40" t="s">
        <v>18151</v>
      </c>
      <c r="E3415" s="41">
        <v>22.38</v>
      </c>
      <c r="F3415" s="40"/>
      <c r="G3415" s="41"/>
      <c r="H3415" s="40"/>
      <c r="I3415" s="41"/>
      <c r="J3415" s="41">
        <f t="shared" si="13"/>
        <v>22.38</v>
      </c>
      <c r="K3415" s="42" t="s">
        <v>5796</v>
      </c>
      <c r="L3415" s="39">
        <v>3361</v>
      </c>
    </row>
    <row r="3416" spans="1:12" ht="11.25" customHeight="1">
      <c r="A3416" s="39">
        <v>3362</v>
      </c>
      <c r="B3416" s="40" t="s">
        <v>18152</v>
      </c>
      <c r="C3416" s="40" t="s">
        <v>18153</v>
      </c>
      <c r="D3416" s="40" t="s">
        <v>18154</v>
      </c>
      <c r="E3416" s="41">
        <v>22.36</v>
      </c>
      <c r="F3416" s="40"/>
      <c r="G3416" s="41"/>
      <c r="H3416" s="40"/>
      <c r="I3416" s="41"/>
      <c r="J3416" s="41">
        <f t="shared" si="13"/>
        <v>22.36</v>
      </c>
      <c r="K3416" s="42" t="s">
        <v>5796</v>
      </c>
      <c r="L3416" s="39">
        <v>3362</v>
      </c>
    </row>
    <row r="3417" spans="1:12" ht="11.25" customHeight="1">
      <c r="A3417" s="39">
        <v>3363</v>
      </c>
      <c r="B3417" s="40" t="s">
        <v>18155</v>
      </c>
      <c r="C3417" s="40" t="s">
        <v>18156</v>
      </c>
      <c r="D3417" s="40" t="s">
        <v>18157</v>
      </c>
      <c r="E3417" s="41">
        <v>22.35</v>
      </c>
      <c r="F3417" s="40"/>
      <c r="G3417" s="41"/>
      <c r="H3417" s="40"/>
      <c r="I3417" s="41"/>
      <c r="J3417" s="41">
        <f t="shared" si="13"/>
        <v>22.35</v>
      </c>
      <c r="K3417" s="42" t="s">
        <v>5796</v>
      </c>
      <c r="L3417" s="39">
        <v>3363</v>
      </c>
    </row>
    <row r="3418" spans="1:12" ht="11.25" customHeight="1">
      <c r="A3418" s="39">
        <v>3364</v>
      </c>
      <c r="B3418" s="40" t="s">
        <v>18158</v>
      </c>
      <c r="C3418" s="40" t="s">
        <v>18159</v>
      </c>
      <c r="D3418" s="40" t="s">
        <v>18160</v>
      </c>
      <c r="E3418" s="41">
        <v>22.33</v>
      </c>
      <c r="F3418" s="40"/>
      <c r="G3418" s="41"/>
      <c r="H3418" s="40"/>
      <c r="I3418" s="41"/>
      <c r="J3418" s="41">
        <f t="shared" si="13"/>
        <v>22.33</v>
      </c>
      <c r="K3418" s="42" t="s">
        <v>5796</v>
      </c>
      <c r="L3418" s="39">
        <v>3364</v>
      </c>
    </row>
    <row r="3419" spans="1:12" ht="11.25" customHeight="1">
      <c r="A3419" s="39">
        <v>3365</v>
      </c>
      <c r="B3419" s="54" t="s">
        <v>10238</v>
      </c>
      <c r="C3419" s="54" t="s">
        <v>18161</v>
      </c>
      <c r="D3419" s="40"/>
      <c r="E3419" s="41"/>
      <c r="F3419" s="40"/>
      <c r="G3419" s="41"/>
      <c r="H3419" s="54" t="s">
        <v>18162</v>
      </c>
      <c r="I3419" s="41">
        <v>22.317670450000001</v>
      </c>
      <c r="J3419" s="41">
        <f t="shared" si="13"/>
        <v>22.317670450000001</v>
      </c>
      <c r="K3419" s="42" t="s">
        <v>5796</v>
      </c>
      <c r="L3419" s="39">
        <v>3365</v>
      </c>
    </row>
    <row r="3420" spans="1:12" ht="11.25" customHeight="1">
      <c r="A3420" s="39">
        <v>3366</v>
      </c>
      <c r="B3420" s="40" t="s">
        <v>18163</v>
      </c>
      <c r="C3420" s="40" t="s">
        <v>18164</v>
      </c>
      <c r="D3420" s="40" t="s">
        <v>18165</v>
      </c>
      <c r="E3420" s="41">
        <v>22.3</v>
      </c>
      <c r="F3420" s="40"/>
      <c r="G3420" s="41"/>
      <c r="H3420" s="40"/>
      <c r="I3420" s="41"/>
      <c r="J3420" s="41">
        <f t="shared" si="13"/>
        <v>22.3</v>
      </c>
      <c r="K3420" s="42" t="s">
        <v>5796</v>
      </c>
      <c r="L3420" s="39">
        <v>3366</v>
      </c>
    </row>
    <row r="3421" spans="1:12" ht="11.25" customHeight="1">
      <c r="A3421" s="39">
        <v>3367</v>
      </c>
      <c r="B3421" s="40" t="s">
        <v>8606</v>
      </c>
      <c r="C3421" s="40" t="s">
        <v>18166</v>
      </c>
      <c r="D3421" s="40" t="s">
        <v>18167</v>
      </c>
      <c r="E3421" s="41">
        <v>22.28</v>
      </c>
      <c r="F3421" s="40"/>
      <c r="G3421" s="41"/>
      <c r="H3421" s="40"/>
      <c r="I3421" s="41"/>
      <c r="J3421" s="41">
        <f t="shared" si="13"/>
        <v>22.28</v>
      </c>
      <c r="K3421" s="42" t="s">
        <v>5796</v>
      </c>
      <c r="L3421" s="39">
        <v>3367</v>
      </c>
    </row>
    <row r="3422" spans="1:12" ht="11.25" customHeight="1">
      <c r="A3422" s="39">
        <v>3368</v>
      </c>
      <c r="B3422" s="40" t="s">
        <v>18168</v>
      </c>
      <c r="C3422" s="40" t="s">
        <v>18169</v>
      </c>
      <c r="D3422" s="40" t="s">
        <v>18170</v>
      </c>
      <c r="E3422" s="41">
        <v>22.27</v>
      </c>
      <c r="F3422" s="40"/>
      <c r="G3422" s="41"/>
      <c r="H3422" s="40"/>
      <c r="I3422" s="41"/>
      <c r="J3422" s="41">
        <f t="shared" si="13"/>
        <v>22.27</v>
      </c>
      <c r="K3422" s="42" t="s">
        <v>5796</v>
      </c>
      <c r="L3422" s="39">
        <v>3368</v>
      </c>
    </row>
    <row r="3423" spans="1:12" ht="11.25" customHeight="1">
      <c r="A3423" s="39">
        <v>3369</v>
      </c>
      <c r="B3423" s="52" t="s">
        <v>8459</v>
      </c>
      <c r="C3423" s="52" t="s">
        <v>18171</v>
      </c>
      <c r="D3423" s="40"/>
      <c r="E3423" s="41"/>
      <c r="F3423" s="40"/>
      <c r="G3423" s="41"/>
      <c r="H3423" s="52" t="s">
        <v>18172</v>
      </c>
      <c r="I3423" s="53">
        <v>22.252793919999963</v>
      </c>
      <c r="J3423" s="41">
        <f t="shared" si="13"/>
        <v>22.252793919999963</v>
      </c>
      <c r="K3423" s="42" t="s">
        <v>5796</v>
      </c>
      <c r="L3423" s="39">
        <v>3369</v>
      </c>
    </row>
    <row r="3424" spans="1:12" ht="11.25" customHeight="1">
      <c r="A3424" s="39">
        <v>3370</v>
      </c>
      <c r="B3424" s="40" t="s">
        <v>8622</v>
      </c>
      <c r="C3424" s="40" t="s">
        <v>18173</v>
      </c>
      <c r="D3424" s="40" t="s">
        <v>18174</v>
      </c>
      <c r="E3424" s="41">
        <v>22.24</v>
      </c>
      <c r="F3424" s="40"/>
      <c r="G3424" s="41"/>
      <c r="H3424" s="40"/>
      <c r="I3424" s="41"/>
      <c r="J3424" s="41">
        <f t="shared" si="13"/>
        <v>22.24</v>
      </c>
      <c r="K3424" s="42" t="s">
        <v>5796</v>
      </c>
      <c r="L3424" s="39">
        <v>3370</v>
      </c>
    </row>
    <row r="3425" spans="1:12" ht="11.25" customHeight="1">
      <c r="A3425" s="39">
        <v>3371</v>
      </c>
      <c r="B3425" s="52" t="s">
        <v>8460</v>
      </c>
      <c r="C3425" s="52" t="s">
        <v>18175</v>
      </c>
      <c r="D3425" s="40"/>
      <c r="E3425" s="41"/>
      <c r="F3425" s="40"/>
      <c r="G3425" s="41"/>
      <c r="H3425" s="52" t="s">
        <v>18176</v>
      </c>
      <c r="I3425" s="53">
        <v>22.200034500000001</v>
      </c>
      <c r="J3425" s="41">
        <f t="shared" si="13"/>
        <v>22.200034500000001</v>
      </c>
      <c r="K3425" s="42" t="s">
        <v>5796</v>
      </c>
      <c r="L3425" s="39">
        <v>3371</v>
      </c>
    </row>
    <row r="3426" spans="1:12" ht="11.25" customHeight="1">
      <c r="A3426" s="39">
        <v>3372</v>
      </c>
      <c r="B3426" s="40" t="s">
        <v>18177</v>
      </c>
      <c r="C3426" s="40" t="s">
        <v>18178</v>
      </c>
      <c r="D3426" s="40" t="s">
        <v>18179</v>
      </c>
      <c r="E3426" s="41">
        <v>22.19</v>
      </c>
      <c r="F3426" s="40"/>
      <c r="G3426" s="41"/>
      <c r="H3426" s="40"/>
      <c r="I3426" s="41"/>
      <c r="J3426" s="41">
        <f t="shared" si="13"/>
        <v>22.19</v>
      </c>
      <c r="K3426" s="42" t="s">
        <v>5796</v>
      </c>
      <c r="L3426" s="39">
        <v>3372</v>
      </c>
    </row>
    <row r="3427" spans="1:12" ht="11.25" customHeight="1">
      <c r="A3427" s="39">
        <v>3374</v>
      </c>
      <c r="B3427" s="40" t="s">
        <v>18180</v>
      </c>
      <c r="C3427" s="40" t="s">
        <v>18181</v>
      </c>
      <c r="D3427" s="40" t="s">
        <v>18182</v>
      </c>
      <c r="E3427" s="41">
        <v>22.13</v>
      </c>
      <c r="F3427" s="40"/>
      <c r="G3427" s="41"/>
      <c r="H3427" s="40"/>
      <c r="I3427" s="41"/>
      <c r="J3427" s="41">
        <f t="shared" si="13"/>
        <v>22.13</v>
      </c>
      <c r="K3427" s="42" t="s">
        <v>5796</v>
      </c>
      <c r="L3427" s="39">
        <v>3374</v>
      </c>
    </row>
    <row r="3428" spans="1:12" ht="11.25" customHeight="1">
      <c r="A3428" s="39">
        <v>3375</v>
      </c>
      <c r="B3428" s="40" t="s">
        <v>18183</v>
      </c>
      <c r="C3428" s="40" t="s">
        <v>18184</v>
      </c>
      <c r="D3428" s="40" t="s">
        <v>18185</v>
      </c>
      <c r="E3428" s="41">
        <v>22.11</v>
      </c>
      <c r="F3428" s="40"/>
      <c r="G3428" s="41"/>
      <c r="H3428" s="40"/>
      <c r="I3428" s="41"/>
      <c r="J3428" s="41">
        <f t="shared" si="13"/>
        <v>22.11</v>
      </c>
      <c r="K3428" s="42" t="s">
        <v>5796</v>
      </c>
      <c r="L3428" s="39">
        <v>3375</v>
      </c>
    </row>
    <row r="3429" spans="1:12" ht="11.25" customHeight="1">
      <c r="A3429" s="39">
        <v>3376</v>
      </c>
      <c r="B3429" s="40" t="s">
        <v>8673</v>
      </c>
      <c r="C3429" s="40" t="s">
        <v>18186</v>
      </c>
      <c r="D3429" s="40" t="s">
        <v>18187</v>
      </c>
      <c r="E3429" s="41">
        <v>22.1</v>
      </c>
      <c r="F3429" s="40"/>
      <c r="G3429" s="41"/>
      <c r="H3429" s="40"/>
      <c r="I3429" s="41"/>
      <c r="J3429" s="41">
        <f t="shared" si="13"/>
        <v>22.1</v>
      </c>
      <c r="K3429" s="42" t="s">
        <v>5796</v>
      </c>
      <c r="L3429" s="39">
        <v>3376</v>
      </c>
    </row>
    <row r="3430" spans="1:12" ht="11.25" customHeight="1">
      <c r="A3430" s="39">
        <v>3377</v>
      </c>
      <c r="B3430" s="40" t="s">
        <v>18188</v>
      </c>
      <c r="C3430" s="40" t="s">
        <v>18189</v>
      </c>
      <c r="D3430" s="40" t="s">
        <v>18190</v>
      </c>
      <c r="E3430" s="41">
        <v>22.04</v>
      </c>
      <c r="F3430" s="40"/>
      <c r="G3430" s="41"/>
      <c r="H3430" s="40"/>
      <c r="I3430" s="41"/>
      <c r="J3430" s="41">
        <f t="shared" si="13"/>
        <v>22.04</v>
      </c>
      <c r="K3430" s="42" t="s">
        <v>5796</v>
      </c>
      <c r="L3430" s="39">
        <v>3377</v>
      </c>
    </row>
    <row r="3431" spans="1:12" ht="11.25" customHeight="1">
      <c r="A3431" s="39">
        <v>3378</v>
      </c>
      <c r="B3431" s="52" t="s">
        <v>8463</v>
      </c>
      <c r="C3431" s="52" t="s">
        <v>18191</v>
      </c>
      <c r="D3431" s="40"/>
      <c r="E3431" s="41"/>
      <c r="F3431" s="40"/>
      <c r="G3431" s="41"/>
      <c r="H3431" s="52" t="s">
        <v>18192</v>
      </c>
      <c r="I3431" s="53">
        <v>22.034250000000021</v>
      </c>
      <c r="J3431" s="41">
        <f t="shared" si="13"/>
        <v>22.034250000000021</v>
      </c>
      <c r="K3431" s="42" t="s">
        <v>5796</v>
      </c>
      <c r="L3431" s="39">
        <v>3378</v>
      </c>
    </row>
    <row r="3432" spans="1:12" ht="11.25" customHeight="1">
      <c r="A3432" s="39">
        <v>3379</v>
      </c>
      <c r="B3432" s="40" t="s">
        <v>18193</v>
      </c>
      <c r="C3432" s="40" t="s">
        <v>18194</v>
      </c>
      <c r="D3432" s="40" t="s">
        <v>18195</v>
      </c>
      <c r="E3432" s="41">
        <v>21.81</v>
      </c>
      <c r="F3432" s="40"/>
      <c r="G3432" s="41"/>
      <c r="H3432" s="40"/>
      <c r="I3432" s="41"/>
      <c r="J3432" s="41">
        <f t="shared" si="13"/>
        <v>21.81</v>
      </c>
      <c r="K3432" s="42" t="s">
        <v>5796</v>
      </c>
      <c r="L3432" s="39">
        <v>3379</v>
      </c>
    </row>
    <row r="3433" spans="1:12" ht="11.25" customHeight="1">
      <c r="A3433" s="39">
        <v>3380</v>
      </c>
      <c r="B3433" s="40" t="s">
        <v>18196</v>
      </c>
      <c r="C3433" s="40" t="s">
        <v>18197</v>
      </c>
      <c r="D3433" s="40" t="s">
        <v>18198</v>
      </c>
      <c r="E3433" s="41">
        <v>21.8</v>
      </c>
      <c r="F3433" s="40"/>
      <c r="G3433" s="41"/>
      <c r="H3433" s="40"/>
      <c r="I3433" s="41"/>
      <c r="J3433" s="41">
        <f t="shared" si="13"/>
        <v>21.8</v>
      </c>
      <c r="K3433" s="42" t="s">
        <v>5796</v>
      </c>
      <c r="L3433" s="39">
        <v>3380</v>
      </c>
    </row>
    <row r="3434" spans="1:12" ht="11.25" customHeight="1">
      <c r="A3434" s="39">
        <v>3381</v>
      </c>
      <c r="B3434" s="40" t="s">
        <v>18199</v>
      </c>
      <c r="C3434" s="40" t="s">
        <v>18200</v>
      </c>
      <c r="D3434" s="40" t="s">
        <v>18201</v>
      </c>
      <c r="E3434" s="41">
        <v>21.76</v>
      </c>
      <c r="F3434" s="40"/>
      <c r="G3434" s="41"/>
      <c r="H3434" s="40"/>
      <c r="I3434" s="41"/>
      <c r="J3434" s="41">
        <f t="shared" si="13"/>
        <v>21.76</v>
      </c>
      <c r="K3434" s="42" t="s">
        <v>5796</v>
      </c>
      <c r="L3434" s="39">
        <v>3381</v>
      </c>
    </row>
    <row r="3435" spans="1:12" ht="11.25" customHeight="1">
      <c r="A3435" s="39">
        <v>3382</v>
      </c>
      <c r="B3435" s="40" t="s">
        <v>18202</v>
      </c>
      <c r="C3435" s="40" t="s">
        <v>18203</v>
      </c>
      <c r="D3435" s="40" t="s">
        <v>18204</v>
      </c>
      <c r="E3435" s="41">
        <v>21.75</v>
      </c>
      <c r="F3435" s="40"/>
      <c r="G3435" s="41"/>
      <c r="H3435" s="40"/>
      <c r="I3435" s="41"/>
      <c r="J3435" s="41">
        <f t="shared" si="13"/>
        <v>21.75</v>
      </c>
      <c r="K3435" s="42" t="s">
        <v>5796</v>
      </c>
      <c r="L3435" s="39">
        <v>3382</v>
      </c>
    </row>
    <row r="3436" spans="1:12" ht="11.25" customHeight="1">
      <c r="A3436" s="39">
        <v>3383</v>
      </c>
      <c r="B3436" s="40" t="s">
        <v>18205</v>
      </c>
      <c r="C3436" s="40" t="s">
        <v>18206</v>
      </c>
      <c r="D3436" s="40" t="s">
        <v>18207</v>
      </c>
      <c r="E3436" s="41">
        <v>21.7</v>
      </c>
      <c r="F3436" s="40"/>
      <c r="G3436" s="41"/>
      <c r="H3436" s="40"/>
      <c r="I3436" s="41"/>
      <c r="J3436" s="41">
        <f t="shared" si="13"/>
        <v>21.7</v>
      </c>
      <c r="K3436" s="42" t="s">
        <v>5796</v>
      </c>
      <c r="L3436" s="39">
        <v>3383</v>
      </c>
    </row>
    <row r="3437" spans="1:12" ht="11.25" customHeight="1">
      <c r="A3437" s="39">
        <v>3384</v>
      </c>
      <c r="B3437" s="40" t="s">
        <v>18208</v>
      </c>
      <c r="C3437" s="40" t="s">
        <v>18209</v>
      </c>
      <c r="D3437" s="40" t="s">
        <v>18210</v>
      </c>
      <c r="E3437" s="41">
        <v>21.66</v>
      </c>
      <c r="F3437" s="40"/>
      <c r="G3437" s="41"/>
      <c r="H3437" s="40"/>
      <c r="I3437" s="41"/>
      <c r="J3437" s="41">
        <f t="shared" si="13"/>
        <v>21.66</v>
      </c>
      <c r="K3437" s="42" t="s">
        <v>5796</v>
      </c>
      <c r="L3437" s="39">
        <v>3384</v>
      </c>
    </row>
    <row r="3438" spans="1:12" ht="11.25" customHeight="1">
      <c r="A3438" s="39">
        <v>3385</v>
      </c>
      <c r="B3438" s="40" t="s">
        <v>18211</v>
      </c>
      <c r="C3438" s="40" t="s">
        <v>18212</v>
      </c>
      <c r="D3438" s="40" t="s">
        <v>18213</v>
      </c>
      <c r="E3438" s="41">
        <v>21.64</v>
      </c>
      <c r="F3438" s="40"/>
      <c r="G3438" s="41"/>
      <c r="H3438" s="40"/>
      <c r="I3438" s="41"/>
      <c r="J3438" s="41">
        <f t="shared" si="13"/>
        <v>21.64</v>
      </c>
      <c r="K3438" s="42" t="s">
        <v>5796</v>
      </c>
      <c r="L3438" s="39">
        <v>3385</v>
      </c>
    </row>
    <row r="3439" spans="1:12" ht="11.25" customHeight="1">
      <c r="A3439" s="39">
        <v>3386</v>
      </c>
      <c r="B3439" s="40" t="s">
        <v>18214</v>
      </c>
      <c r="C3439" s="40" t="s">
        <v>18215</v>
      </c>
      <c r="D3439" s="40" t="s">
        <v>18216</v>
      </c>
      <c r="E3439" s="41">
        <v>21.59</v>
      </c>
      <c r="F3439" s="40"/>
      <c r="G3439" s="41"/>
      <c r="H3439" s="40"/>
      <c r="I3439" s="41"/>
      <c r="J3439" s="41">
        <f t="shared" si="13"/>
        <v>21.59</v>
      </c>
      <c r="K3439" s="42" t="s">
        <v>5796</v>
      </c>
      <c r="L3439" s="39">
        <v>3386</v>
      </c>
    </row>
    <row r="3440" spans="1:12" ht="11.25" customHeight="1">
      <c r="A3440" s="39">
        <v>3387</v>
      </c>
      <c r="B3440" s="40" t="s">
        <v>18217</v>
      </c>
      <c r="C3440" s="40" t="s">
        <v>18218</v>
      </c>
      <c r="D3440" s="40" t="s">
        <v>18219</v>
      </c>
      <c r="E3440" s="41">
        <v>21.56</v>
      </c>
      <c r="F3440" s="40"/>
      <c r="G3440" s="41"/>
      <c r="H3440" s="40"/>
      <c r="I3440" s="41"/>
      <c r="J3440" s="41">
        <f t="shared" si="13"/>
        <v>21.56</v>
      </c>
      <c r="K3440" s="42" t="s">
        <v>5796</v>
      </c>
      <c r="L3440" s="39">
        <v>3387</v>
      </c>
    </row>
    <row r="3441" spans="1:12" ht="11.25" customHeight="1">
      <c r="A3441" s="39">
        <v>3388</v>
      </c>
      <c r="B3441" s="40" t="s">
        <v>18220</v>
      </c>
      <c r="C3441" s="40" t="s">
        <v>18221</v>
      </c>
      <c r="D3441" s="40" t="s">
        <v>18222</v>
      </c>
      <c r="E3441" s="41">
        <v>21.53</v>
      </c>
      <c r="F3441" s="40"/>
      <c r="G3441" s="41"/>
      <c r="H3441" s="40"/>
      <c r="I3441" s="41"/>
      <c r="J3441" s="41">
        <f t="shared" si="13"/>
        <v>21.53</v>
      </c>
      <c r="K3441" s="42" t="s">
        <v>5796</v>
      </c>
      <c r="L3441" s="39">
        <v>3388</v>
      </c>
    </row>
    <row r="3442" spans="1:12" ht="11.25" customHeight="1">
      <c r="A3442" s="39">
        <v>3389</v>
      </c>
      <c r="B3442" s="40" t="s">
        <v>18223</v>
      </c>
      <c r="C3442" s="40" t="s">
        <v>18224</v>
      </c>
      <c r="D3442" s="40" t="s">
        <v>18225</v>
      </c>
      <c r="E3442" s="41">
        <v>21.49</v>
      </c>
      <c r="F3442" s="40"/>
      <c r="G3442" s="41"/>
      <c r="H3442" s="40"/>
      <c r="I3442" s="41"/>
      <c r="J3442" s="41">
        <f t="shared" si="13"/>
        <v>21.49</v>
      </c>
      <c r="K3442" s="42" t="s">
        <v>5796</v>
      </c>
      <c r="L3442" s="39">
        <v>3389</v>
      </c>
    </row>
    <row r="3443" spans="1:12" ht="11.25" customHeight="1">
      <c r="A3443" s="39">
        <v>3390</v>
      </c>
      <c r="B3443" s="40" t="s">
        <v>18226</v>
      </c>
      <c r="C3443" s="40" t="s">
        <v>18227</v>
      </c>
      <c r="D3443" s="40" t="s">
        <v>18228</v>
      </c>
      <c r="E3443" s="41">
        <v>21.47</v>
      </c>
      <c r="F3443" s="40"/>
      <c r="G3443" s="41"/>
      <c r="H3443" s="40"/>
      <c r="I3443" s="41"/>
      <c r="J3443" s="41">
        <f t="shared" si="13"/>
        <v>21.47</v>
      </c>
      <c r="K3443" s="42" t="s">
        <v>5796</v>
      </c>
      <c r="L3443" s="39">
        <v>3390</v>
      </c>
    </row>
    <row r="3444" spans="1:12" ht="11.25" customHeight="1">
      <c r="A3444" s="39">
        <v>3391</v>
      </c>
      <c r="B3444" s="40" t="s">
        <v>18229</v>
      </c>
      <c r="C3444" s="40" t="s">
        <v>18230</v>
      </c>
      <c r="D3444" s="40" t="s">
        <v>18231</v>
      </c>
      <c r="E3444" s="41">
        <v>21.45</v>
      </c>
      <c r="F3444" s="40"/>
      <c r="G3444" s="41"/>
      <c r="H3444" s="40"/>
      <c r="I3444" s="41"/>
      <c r="J3444" s="41">
        <f t="shared" si="13"/>
        <v>21.45</v>
      </c>
      <c r="K3444" s="42" t="s">
        <v>5796</v>
      </c>
      <c r="L3444" s="39">
        <v>3391</v>
      </c>
    </row>
    <row r="3445" spans="1:12" ht="11.25" customHeight="1">
      <c r="A3445" s="39">
        <v>3392</v>
      </c>
      <c r="B3445" s="40" t="s">
        <v>18232</v>
      </c>
      <c r="C3445" s="40" t="s">
        <v>18233</v>
      </c>
      <c r="D3445" s="40" t="s">
        <v>18234</v>
      </c>
      <c r="E3445" s="41">
        <v>21.42</v>
      </c>
      <c r="F3445" s="40"/>
      <c r="G3445" s="41"/>
      <c r="H3445" s="40"/>
      <c r="I3445" s="41"/>
      <c r="J3445" s="41">
        <f t="shared" si="13"/>
        <v>21.42</v>
      </c>
      <c r="K3445" s="42" t="s">
        <v>5796</v>
      </c>
      <c r="L3445" s="39">
        <v>3392</v>
      </c>
    </row>
    <row r="3446" spans="1:12" ht="11.25" customHeight="1">
      <c r="A3446" s="39">
        <v>3393</v>
      </c>
      <c r="B3446" s="40" t="s">
        <v>18235</v>
      </c>
      <c r="C3446" s="40" t="s">
        <v>18236</v>
      </c>
      <c r="D3446" s="40" t="s">
        <v>18237</v>
      </c>
      <c r="E3446" s="41">
        <v>21.41</v>
      </c>
      <c r="F3446" s="40"/>
      <c r="G3446" s="41"/>
      <c r="H3446" s="40"/>
      <c r="I3446" s="41"/>
      <c r="J3446" s="41">
        <f t="shared" si="13"/>
        <v>21.41</v>
      </c>
      <c r="K3446" s="42" t="s">
        <v>5796</v>
      </c>
      <c r="L3446" s="39">
        <v>3393</v>
      </c>
    </row>
    <row r="3447" spans="1:12" ht="11.25" customHeight="1">
      <c r="A3447" s="39">
        <v>3394</v>
      </c>
      <c r="B3447" s="40" t="s">
        <v>8481</v>
      </c>
      <c r="C3447" s="40" t="s">
        <v>18238</v>
      </c>
      <c r="D3447" s="40" t="s">
        <v>18239</v>
      </c>
      <c r="E3447" s="41">
        <v>21.36</v>
      </c>
      <c r="F3447" s="40"/>
      <c r="G3447" s="41"/>
      <c r="H3447" s="40"/>
      <c r="I3447" s="41"/>
      <c r="J3447" s="41">
        <f t="shared" si="13"/>
        <v>21.36</v>
      </c>
      <c r="K3447" s="42" t="s">
        <v>5796</v>
      </c>
      <c r="L3447" s="39">
        <v>3394</v>
      </c>
    </row>
    <row r="3448" spans="1:12" ht="11.25" customHeight="1">
      <c r="A3448" s="39">
        <v>3395</v>
      </c>
      <c r="B3448" s="54" t="s">
        <v>8482</v>
      </c>
      <c r="C3448" s="54" t="s">
        <v>18240</v>
      </c>
      <c r="D3448" s="40"/>
      <c r="E3448" s="41"/>
      <c r="F3448" s="40"/>
      <c r="G3448" s="41"/>
      <c r="H3448" s="54" t="s">
        <v>18241</v>
      </c>
      <c r="I3448" s="41">
        <v>21.346454379999997</v>
      </c>
      <c r="J3448" s="41">
        <f t="shared" si="13"/>
        <v>21.346454379999997</v>
      </c>
      <c r="K3448" s="42" t="s">
        <v>5796</v>
      </c>
      <c r="L3448" s="39">
        <v>3395</v>
      </c>
    </row>
    <row r="3449" spans="1:12" ht="11.25" customHeight="1">
      <c r="A3449" s="39">
        <v>3396</v>
      </c>
      <c r="B3449" s="40" t="s">
        <v>18242</v>
      </c>
      <c r="C3449" s="40" t="s">
        <v>18243</v>
      </c>
      <c r="D3449" s="40" t="s">
        <v>18244</v>
      </c>
      <c r="E3449" s="41">
        <v>21.33</v>
      </c>
      <c r="F3449" s="40"/>
      <c r="G3449" s="41"/>
      <c r="H3449" s="40"/>
      <c r="I3449" s="41"/>
      <c r="J3449" s="41">
        <f t="shared" si="13"/>
        <v>21.33</v>
      </c>
      <c r="K3449" s="42" t="s">
        <v>5796</v>
      </c>
      <c r="L3449" s="39">
        <v>3396</v>
      </c>
    </row>
    <row r="3450" spans="1:12" ht="11.25" customHeight="1">
      <c r="A3450" s="39">
        <v>3398</v>
      </c>
      <c r="B3450" s="40" t="s">
        <v>8521</v>
      </c>
      <c r="C3450" s="40" t="s">
        <v>18245</v>
      </c>
      <c r="D3450" s="40" t="s">
        <v>18246</v>
      </c>
      <c r="E3450" s="41">
        <v>21.31</v>
      </c>
      <c r="F3450" s="40"/>
      <c r="G3450" s="41"/>
      <c r="H3450" s="40"/>
      <c r="I3450" s="41"/>
      <c r="J3450" s="41">
        <f t="shared" si="13"/>
        <v>21.31</v>
      </c>
      <c r="K3450" s="42" t="s">
        <v>5796</v>
      </c>
      <c r="L3450" s="39">
        <v>3398</v>
      </c>
    </row>
    <row r="3451" spans="1:12" ht="11.25" customHeight="1">
      <c r="A3451" s="39">
        <v>3399</v>
      </c>
      <c r="B3451" s="40" t="s">
        <v>8509</v>
      </c>
      <c r="C3451" s="40" t="s">
        <v>18247</v>
      </c>
      <c r="D3451" s="40" t="s">
        <v>18248</v>
      </c>
      <c r="E3451" s="41">
        <v>21.24</v>
      </c>
      <c r="F3451" s="40"/>
      <c r="G3451" s="41"/>
      <c r="H3451" s="40"/>
      <c r="I3451" s="41"/>
      <c r="J3451" s="41">
        <f t="shared" si="13"/>
        <v>21.24</v>
      </c>
      <c r="K3451" s="42" t="s">
        <v>5796</v>
      </c>
      <c r="L3451" s="39">
        <v>3399</v>
      </c>
    </row>
    <row r="3452" spans="1:12" ht="11.25" customHeight="1">
      <c r="A3452" s="39">
        <v>3401</v>
      </c>
      <c r="B3452" s="40" t="s">
        <v>18249</v>
      </c>
      <c r="C3452" s="40" t="s">
        <v>18250</v>
      </c>
      <c r="D3452" s="40" t="s">
        <v>18251</v>
      </c>
      <c r="E3452" s="41">
        <v>21.17</v>
      </c>
      <c r="F3452" s="40"/>
      <c r="G3452" s="41"/>
      <c r="H3452" s="40"/>
      <c r="I3452" s="41"/>
      <c r="J3452" s="41">
        <f t="shared" si="13"/>
        <v>21.17</v>
      </c>
      <c r="K3452" s="42" t="s">
        <v>5796</v>
      </c>
      <c r="L3452" s="39">
        <v>3401</v>
      </c>
    </row>
    <row r="3453" spans="1:12" ht="11.25" customHeight="1">
      <c r="A3453" s="39">
        <v>3402</v>
      </c>
      <c r="B3453" s="40" t="s">
        <v>18252</v>
      </c>
      <c r="C3453" s="40" t="s">
        <v>18253</v>
      </c>
      <c r="D3453" s="40" t="s">
        <v>18254</v>
      </c>
      <c r="E3453" s="41">
        <v>21.17</v>
      </c>
      <c r="F3453" s="40"/>
      <c r="G3453" s="41"/>
      <c r="H3453" s="40"/>
      <c r="I3453" s="41"/>
      <c r="J3453" s="41">
        <f t="shared" si="13"/>
        <v>21.17</v>
      </c>
      <c r="K3453" s="42" t="s">
        <v>5796</v>
      </c>
      <c r="L3453" s="39">
        <v>3402</v>
      </c>
    </row>
    <row r="3454" spans="1:12" ht="11.25" customHeight="1">
      <c r="A3454" s="39">
        <v>3403</v>
      </c>
      <c r="B3454" s="40" t="s">
        <v>18255</v>
      </c>
      <c r="C3454" s="40" t="s">
        <v>18256</v>
      </c>
      <c r="D3454" s="40" t="s">
        <v>18257</v>
      </c>
      <c r="E3454" s="41">
        <v>21.16</v>
      </c>
      <c r="F3454" s="40"/>
      <c r="G3454" s="41"/>
      <c r="H3454" s="40"/>
      <c r="I3454" s="41"/>
      <c r="J3454" s="41">
        <f t="shared" si="13"/>
        <v>21.16</v>
      </c>
      <c r="K3454" s="42" t="s">
        <v>5796</v>
      </c>
      <c r="L3454" s="39">
        <v>3403</v>
      </c>
    </row>
    <row r="3455" spans="1:12" ht="11.25" customHeight="1">
      <c r="A3455" s="39">
        <v>3404</v>
      </c>
      <c r="B3455" s="40" t="s">
        <v>18258</v>
      </c>
      <c r="C3455" s="40" t="s">
        <v>18259</v>
      </c>
      <c r="D3455" s="40" t="s">
        <v>18260</v>
      </c>
      <c r="E3455" s="41">
        <v>21.15</v>
      </c>
      <c r="F3455" s="40"/>
      <c r="G3455" s="41"/>
      <c r="H3455" s="40"/>
      <c r="I3455" s="41"/>
      <c r="J3455" s="41">
        <f t="shared" si="13"/>
        <v>21.15</v>
      </c>
      <c r="K3455" s="42" t="s">
        <v>5796</v>
      </c>
      <c r="L3455" s="39">
        <v>3404</v>
      </c>
    </row>
    <row r="3456" spans="1:12" ht="11.25" customHeight="1">
      <c r="A3456" s="39">
        <v>3405</v>
      </c>
      <c r="B3456" s="40" t="s">
        <v>18261</v>
      </c>
      <c r="C3456" s="40" t="s">
        <v>18262</v>
      </c>
      <c r="D3456" s="40" t="s">
        <v>18263</v>
      </c>
      <c r="E3456" s="41">
        <v>21.13</v>
      </c>
      <c r="F3456" s="40"/>
      <c r="G3456" s="41"/>
      <c r="H3456" s="40"/>
      <c r="I3456" s="41"/>
      <c r="J3456" s="41">
        <f t="shared" si="13"/>
        <v>21.13</v>
      </c>
      <c r="K3456" s="42" t="s">
        <v>5796</v>
      </c>
      <c r="L3456" s="39">
        <v>3405</v>
      </c>
    </row>
    <row r="3457" spans="1:12" ht="11.25" customHeight="1">
      <c r="A3457" s="39">
        <v>3406</v>
      </c>
      <c r="B3457" s="52" t="s">
        <v>8489</v>
      </c>
      <c r="C3457" s="52" t="s">
        <v>18264</v>
      </c>
      <c r="D3457" s="40"/>
      <c r="E3457" s="41"/>
      <c r="F3457" s="40"/>
      <c r="G3457" s="41"/>
      <c r="H3457" s="52" t="s">
        <v>18265</v>
      </c>
      <c r="I3457" s="53">
        <v>21.057611000000012</v>
      </c>
      <c r="J3457" s="41">
        <f t="shared" si="13"/>
        <v>21.057611000000012</v>
      </c>
      <c r="K3457" s="42" t="s">
        <v>5796</v>
      </c>
      <c r="L3457" s="39">
        <v>3406</v>
      </c>
    </row>
    <row r="3458" spans="1:12" ht="11.25" customHeight="1">
      <c r="A3458" s="39">
        <v>3407</v>
      </c>
      <c r="B3458" s="40" t="s">
        <v>18266</v>
      </c>
      <c r="C3458" s="40" t="s">
        <v>18267</v>
      </c>
      <c r="D3458" s="40" t="s">
        <v>18268</v>
      </c>
      <c r="E3458" s="41">
        <v>21.04</v>
      </c>
      <c r="F3458" s="40"/>
      <c r="G3458" s="41"/>
      <c r="H3458" s="40"/>
      <c r="I3458" s="41"/>
      <c r="J3458" s="41">
        <f t="shared" si="13"/>
        <v>21.04</v>
      </c>
      <c r="K3458" s="42" t="s">
        <v>5796</v>
      </c>
      <c r="L3458" s="39">
        <v>3407</v>
      </c>
    </row>
    <row r="3459" spans="1:12" ht="11.25" customHeight="1">
      <c r="A3459" s="39">
        <v>3408</v>
      </c>
      <c r="B3459" s="40" t="s">
        <v>18269</v>
      </c>
      <c r="C3459" s="40" t="s">
        <v>18270</v>
      </c>
      <c r="D3459" s="40" t="s">
        <v>18271</v>
      </c>
      <c r="E3459" s="41">
        <v>21.04</v>
      </c>
      <c r="F3459" s="40"/>
      <c r="G3459" s="41"/>
      <c r="H3459" s="40"/>
      <c r="I3459" s="41"/>
      <c r="J3459" s="41">
        <f t="shared" si="13"/>
        <v>21.04</v>
      </c>
      <c r="K3459" s="42" t="s">
        <v>5796</v>
      </c>
      <c r="L3459" s="39">
        <v>3408</v>
      </c>
    </row>
    <row r="3460" spans="1:12" ht="11.25" customHeight="1">
      <c r="A3460" s="39">
        <v>3410</v>
      </c>
      <c r="B3460" s="40" t="s">
        <v>18272</v>
      </c>
      <c r="C3460" s="40" t="s">
        <v>18273</v>
      </c>
      <c r="D3460" s="40" t="s">
        <v>18274</v>
      </c>
      <c r="E3460" s="41">
        <v>20.93</v>
      </c>
      <c r="F3460" s="40"/>
      <c r="G3460" s="41"/>
      <c r="H3460" s="40"/>
      <c r="I3460" s="41"/>
      <c r="J3460" s="41">
        <f t="shared" si="13"/>
        <v>20.93</v>
      </c>
      <c r="K3460" s="42" t="s">
        <v>5796</v>
      </c>
      <c r="L3460" s="39">
        <v>3410</v>
      </c>
    </row>
    <row r="3461" spans="1:12" ht="11.25" customHeight="1">
      <c r="A3461" s="39">
        <v>3411</v>
      </c>
      <c r="B3461" s="40" t="s">
        <v>18275</v>
      </c>
      <c r="C3461" s="40" t="s">
        <v>18276</v>
      </c>
      <c r="D3461" s="40" t="s">
        <v>18277</v>
      </c>
      <c r="E3461" s="41">
        <v>20.91</v>
      </c>
      <c r="F3461" s="40"/>
      <c r="G3461" s="41"/>
      <c r="H3461" s="40"/>
      <c r="I3461" s="41"/>
      <c r="J3461" s="41">
        <f t="shared" si="13"/>
        <v>20.91</v>
      </c>
      <c r="K3461" s="42" t="s">
        <v>5796</v>
      </c>
      <c r="L3461" s="39">
        <v>3411</v>
      </c>
    </row>
    <row r="3462" spans="1:12" ht="11.25" customHeight="1">
      <c r="A3462" s="39">
        <v>3412</v>
      </c>
      <c r="B3462" s="40" t="s">
        <v>18278</v>
      </c>
      <c r="C3462" s="40" t="s">
        <v>18279</v>
      </c>
      <c r="D3462" s="40" t="s">
        <v>18280</v>
      </c>
      <c r="E3462" s="41">
        <v>20.89</v>
      </c>
      <c r="F3462" s="40"/>
      <c r="G3462" s="41"/>
      <c r="H3462" s="40"/>
      <c r="I3462" s="41"/>
      <c r="J3462" s="41">
        <f t="shared" si="13"/>
        <v>20.89</v>
      </c>
      <c r="K3462" s="42" t="s">
        <v>5796</v>
      </c>
      <c r="L3462" s="39">
        <v>3412</v>
      </c>
    </row>
    <row r="3463" spans="1:12" ht="11.25" customHeight="1">
      <c r="A3463" s="39">
        <v>3413</v>
      </c>
      <c r="B3463" s="40" t="s">
        <v>18281</v>
      </c>
      <c r="C3463" s="40" t="s">
        <v>18282</v>
      </c>
      <c r="D3463" s="40" t="s">
        <v>18283</v>
      </c>
      <c r="E3463" s="41">
        <v>20.8</v>
      </c>
      <c r="F3463" s="40"/>
      <c r="G3463" s="41"/>
      <c r="H3463" s="40"/>
      <c r="I3463" s="41"/>
      <c r="J3463" s="41">
        <f t="shared" si="13"/>
        <v>20.8</v>
      </c>
      <c r="K3463" s="42" t="s">
        <v>5796</v>
      </c>
      <c r="L3463" s="39">
        <v>3413</v>
      </c>
    </row>
    <row r="3464" spans="1:12" ht="11.25" customHeight="1">
      <c r="A3464" s="39">
        <v>3414</v>
      </c>
      <c r="B3464" s="40" t="s">
        <v>18284</v>
      </c>
      <c r="C3464" s="40" t="s">
        <v>18285</v>
      </c>
      <c r="D3464" s="40" t="s">
        <v>18286</v>
      </c>
      <c r="E3464" s="41">
        <v>20.78</v>
      </c>
      <c r="F3464" s="40"/>
      <c r="G3464" s="41"/>
      <c r="H3464" s="40"/>
      <c r="I3464" s="41"/>
      <c r="J3464" s="41">
        <f t="shared" si="13"/>
        <v>20.78</v>
      </c>
      <c r="K3464" s="42" t="s">
        <v>5796</v>
      </c>
      <c r="L3464" s="39">
        <v>3414</v>
      </c>
    </row>
    <row r="3465" spans="1:12" ht="11.25" customHeight="1">
      <c r="A3465" s="39">
        <v>3415</v>
      </c>
      <c r="B3465" s="40" t="s">
        <v>18287</v>
      </c>
      <c r="C3465" s="40" t="s">
        <v>18288</v>
      </c>
      <c r="D3465" s="40" t="s">
        <v>18289</v>
      </c>
      <c r="E3465" s="41">
        <v>20.75</v>
      </c>
      <c r="F3465" s="40"/>
      <c r="G3465" s="41"/>
      <c r="H3465" s="40"/>
      <c r="I3465" s="41"/>
      <c r="J3465" s="41">
        <f t="shared" si="13"/>
        <v>20.75</v>
      </c>
      <c r="K3465" s="42" t="s">
        <v>5796</v>
      </c>
      <c r="L3465" s="39">
        <v>3415</v>
      </c>
    </row>
    <row r="3466" spans="1:12" ht="11.25" customHeight="1">
      <c r="A3466" s="39">
        <v>3416</v>
      </c>
      <c r="B3466" s="52" t="s">
        <v>8504</v>
      </c>
      <c r="C3466" s="52" t="s">
        <v>18290</v>
      </c>
      <c r="D3466" s="40"/>
      <c r="E3466" s="41"/>
      <c r="F3466" s="40"/>
      <c r="G3466" s="41"/>
      <c r="H3466" s="52" t="s">
        <v>18291</v>
      </c>
      <c r="I3466" s="53">
        <v>20.698941999999992</v>
      </c>
      <c r="J3466" s="41">
        <f t="shared" si="13"/>
        <v>20.698941999999992</v>
      </c>
      <c r="K3466" s="42" t="s">
        <v>5796</v>
      </c>
      <c r="L3466" s="39">
        <v>3416</v>
      </c>
    </row>
    <row r="3467" spans="1:12" ht="11.25" customHeight="1">
      <c r="A3467" s="39">
        <v>3417</v>
      </c>
      <c r="B3467" s="40" t="s">
        <v>8286</v>
      </c>
      <c r="C3467" s="40" t="s">
        <v>18292</v>
      </c>
      <c r="D3467" s="40" t="s">
        <v>18293</v>
      </c>
      <c r="E3467" s="41">
        <v>20.59</v>
      </c>
      <c r="F3467" s="40"/>
      <c r="G3467" s="41"/>
      <c r="H3467" s="40"/>
      <c r="I3467" s="41"/>
      <c r="J3467" s="41">
        <f t="shared" si="13"/>
        <v>20.59</v>
      </c>
      <c r="K3467" s="42" t="s">
        <v>5796</v>
      </c>
      <c r="L3467" s="39">
        <v>3417</v>
      </c>
    </row>
    <row r="3468" spans="1:12" ht="11.25" customHeight="1">
      <c r="A3468" s="39">
        <v>3418</v>
      </c>
      <c r="B3468" s="40" t="s">
        <v>18294</v>
      </c>
      <c r="C3468" s="40" t="s">
        <v>18295</v>
      </c>
      <c r="D3468" s="40" t="s">
        <v>18296</v>
      </c>
      <c r="E3468" s="41">
        <v>20.58</v>
      </c>
      <c r="F3468" s="40"/>
      <c r="G3468" s="41"/>
      <c r="H3468" s="40"/>
      <c r="I3468" s="41"/>
      <c r="J3468" s="41">
        <f t="shared" si="13"/>
        <v>20.58</v>
      </c>
      <c r="K3468" s="42" t="s">
        <v>5796</v>
      </c>
      <c r="L3468" s="39">
        <v>3418</v>
      </c>
    </row>
    <row r="3469" spans="1:12" ht="11.25" customHeight="1">
      <c r="A3469" s="39">
        <v>3419</v>
      </c>
      <c r="B3469" s="40" t="s">
        <v>18297</v>
      </c>
      <c r="C3469" s="40" t="s">
        <v>18298</v>
      </c>
      <c r="D3469" s="40" t="s">
        <v>18299</v>
      </c>
      <c r="E3469" s="41">
        <v>20.57</v>
      </c>
      <c r="F3469" s="40"/>
      <c r="G3469" s="41"/>
      <c r="H3469" s="40"/>
      <c r="I3469" s="41"/>
      <c r="J3469" s="41">
        <f t="shared" si="13"/>
        <v>20.57</v>
      </c>
      <c r="K3469" s="42" t="s">
        <v>5796</v>
      </c>
      <c r="L3469" s="39">
        <v>3419</v>
      </c>
    </row>
    <row r="3470" spans="1:12" ht="11.25" customHeight="1">
      <c r="A3470" s="39">
        <v>3420</v>
      </c>
      <c r="B3470" s="40" t="s">
        <v>18300</v>
      </c>
      <c r="C3470" s="40" t="s">
        <v>18301</v>
      </c>
      <c r="D3470" s="40" t="s">
        <v>18302</v>
      </c>
      <c r="E3470" s="41">
        <v>20.52</v>
      </c>
      <c r="F3470" s="40"/>
      <c r="G3470" s="41"/>
      <c r="H3470" s="40"/>
      <c r="I3470" s="41"/>
      <c r="J3470" s="41">
        <f t="shared" si="13"/>
        <v>20.52</v>
      </c>
      <c r="K3470" s="42" t="s">
        <v>5796</v>
      </c>
      <c r="L3470" s="39">
        <v>3420</v>
      </c>
    </row>
    <row r="3471" spans="1:12" ht="11.25" customHeight="1">
      <c r="A3471" s="39">
        <v>3421</v>
      </c>
      <c r="B3471" s="40" t="s">
        <v>18303</v>
      </c>
      <c r="C3471" s="40" t="s">
        <v>18304</v>
      </c>
      <c r="D3471" s="40" t="s">
        <v>18305</v>
      </c>
      <c r="E3471" s="41">
        <v>20.29</v>
      </c>
      <c r="F3471" s="40"/>
      <c r="G3471" s="41"/>
      <c r="H3471" s="40"/>
      <c r="I3471" s="41"/>
      <c r="J3471" s="41">
        <f t="shared" si="13"/>
        <v>20.29</v>
      </c>
      <c r="K3471" s="42" t="s">
        <v>5796</v>
      </c>
      <c r="L3471" s="39">
        <v>3421</v>
      </c>
    </row>
    <row r="3472" spans="1:12" ht="11.25" customHeight="1">
      <c r="A3472" s="39">
        <v>3423</v>
      </c>
      <c r="B3472" s="40" t="s">
        <v>18306</v>
      </c>
      <c r="C3472" s="40" t="s">
        <v>18307</v>
      </c>
      <c r="D3472" s="40" t="s">
        <v>18308</v>
      </c>
      <c r="E3472" s="41">
        <v>20.11</v>
      </c>
      <c r="F3472" s="40"/>
      <c r="G3472" s="41"/>
      <c r="H3472" s="40"/>
      <c r="I3472" s="41"/>
      <c r="J3472" s="41">
        <f t="shared" si="13"/>
        <v>20.11</v>
      </c>
      <c r="K3472" s="42" t="s">
        <v>5796</v>
      </c>
      <c r="L3472" s="39">
        <v>3423</v>
      </c>
    </row>
    <row r="3473" spans="1:12" ht="11.25" customHeight="1">
      <c r="A3473" s="39">
        <v>3424</v>
      </c>
      <c r="B3473" s="40" t="s">
        <v>18309</v>
      </c>
      <c r="C3473" s="40" t="s">
        <v>18310</v>
      </c>
      <c r="D3473" s="40" t="s">
        <v>18311</v>
      </c>
      <c r="E3473" s="41">
        <v>20.010000000000002</v>
      </c>
      <c r="F3473" s="40"/>
      <c r="G3473" s="41"/>
      <c r="H3473" s="40"/>
      <c r="I3473" s="41"/>
      <c r="J3473" s="41">
        <f t="shared" si="13"/>
        <v>20.010000000000002</v>
      </c>
      <c r="K3473" s="42" t="s">
        <v>5796</v>
      </c>
      <c r="L3473" s="39">
        <v>3424</v>
      </c>
    </row>
    <row r="3474" spans="1:12" ht="11.25" customHeight="1">
      <c r="A3474" s="39">
        <v>3425</v>
      </c>
      <c r="B3474" s="40" t="s">
        <v>18312</v>
      </c>
      <c r="C3474" s="40" t="s">
        <v>17847</v>
      </c>
      <c r="D3474" s="40" t="s">
        <v>18313</v>
      </c>
      <c r="E3474" s="41">
        <v>20.010000000000002</v>
      </c>
      <c r="F3474" s="40"/>
      <c r="G3474" s="41"/>
      <c r="H3474" s="40"/>
      <c r="I3474" s="41"/>
      <c r="J3474" s="41">
        <f t="shared" si="13"/>
        <v>20.010000000000002</v>
      </c>
      <c r="K3474" s="42" t="s">
        <v>5796</v>
      </c>
      <c r="L3474" s="39">
        <v>3425</v>
      </c>
    </row>
    <row r="3475" spans="1:12" ht="11.25" customHeight="1">
      <c r="A3475" s="39">
        <v>3426</v>
      </c>
      <c r="B3475" s="40" t="s">
        <v>8637</v>
      </c>
      <c r="C3475" s="40" t="s">
        <v>18314</v>
      </c>
      <c r="D3475" s="40" t="s">
        <v>18315</v>
      </c>
      <c r="E3475" s="41">
        <v>20</v>
      </c>
      <c r="F3475" s="40"/>
      <c r="G3475" s="41"/>
      <c r="H3475" s="40"/>
      <c r="I3475" s="41"/>
      <c r="J3475" s="41">
        <f t="shared" si="13"/>
        <v>20</v>
      </c>
      <c r="K3475" s="42" t="s">
        <v>5796</v>
      </c>
      <c r="L3475" s="39">
        <v>3426</v>
      </c>
    </row>
    <row r="3476" spans="1:12" ht="11.25" customHeight="1">
      <c r="A3476" s="39">
        <v>3427</v>
      </c>
      <c r="B3476" s="40" t="s">
        <v>18316</v>
      </c>
      <c r="C3476" s="40" t="s">
        <v>18317</v>
      </c>
      <c r="D3476" s="40" t="s">
        <v>18318</v>
      </c>
      <c r="E3476" s="41">
        <v>19.96</v>
      </c>
      <c r="F3476" s="40"/>
      <c r="G3476" s="41"/>
      <c r="H3476" s="40"/>
      <c r="I3476" s="41"/>
      <c r="J3476" s="41">
        <f t="shared" si="13"/>
        <v>19.96</v>
      </c>
      <c r="K3476" s="42" t="s">
        <v>5796</v>
      </c>
      <c r="L3476" s="39">
        <v>3427</v>
      </c>
    </row>
    <row r="3477" spans="1:12" ht="11.25" customHeight="1">
      <c r="A3477" s="39">
        <v>3428</v>
      </c>
      <c r="B3477" s="40" t="s">
        <v>18319</v>
      </c>
      <c r="C3477" s="40" t="s">
        <v>18320</v>
      </c>
      <c r="D3477" s="40" t="s">
        <v>18321</v>
      </c>
      <c r="E3477" s="41">
        <v>19.96</v>
      </c>
      <c r="F3477" s="40"/>
      <c r="G3477" s="41"/>
      <c r="H3477" s="40"/>
      <c r="I3477" s="41"/>
      <c r="J3477" s="41">
        <f t="shared" si="13"/>
        <v>19.96</v>
      </c>
      <c r="K3477" s="42" t="s">
        <v>5796</v>
      </c>
      <c r="L3477" s="39">
        <v>3428</v>
      </c>
    </row>
    <row r="3478" spans="1:12" ht="11.25" customHeight="1">
      <c r="A3478" s="39">
        <v>3430</v>
      </c>
      <c r="B3478" s="40" t="s">
        <v>18322</v>
      </c>
      <c r="C3478" s="40" t="s">
        <v>18323</v>
      </c>
      <c r="D3478" s="40" t="s">
        <v>18324</v>
      </c>
      <c r="E3478" s="41">
        <v>19.95</v>
      </c>
      <c r="F3478" s="40"/>
      <c r="G3478" s="41"/>
      <c r="H3478" s="40"/>
      <c r="I3478" s="41"/>
      <c r="J3478" s="41">
        <f t="shared" si="13"/>
        <v>19.95</v>
      </c>
      <c r="K3478" s="42" t="s">
        <v>5796</v>
      </c>
      <c r="L3478" s="39">
        <v>3430</v>
      </c>
    </row>
    <row r="3479" spans="1:12" ht="11.25" customHeight="1">
      <c r="A3479" s="39">
        <v>3431</v>
      </c>
      <c r="B3479" s="40" t="s">
        <v>18325</v>
      </c>
      <c r="C3479" s="40" t="s">
        <v>18326</v>
      </c>
      <c r="D3479" s="40" t="s">
        <v>18327</v>
      </c>
      <c r="E3479" s="41">
        <v>19.95</v>
      </c>
      <c r="F3479" s="40"/>
      <c r="G3479" s="41"/>
      <c r="H3479" s="40"/>
      <c r="I3479" s="41"/>
      <c r="J3479" s="41">
        <f t="shared" si="13"/>
        <v>19.95</v>
      </c>
      <c r="K3479" s="42" t="s">
        <v>5796</v>
      </c>
      <c r="L3479" s="39">
        <v>3431</v>
      </c>
    </row>
    <row r="3480" spans="1:12" ht="11.25" customHeight="1">
      <c r="A3480" s="39">
        <v>3432</v>
      </c>
      <c r="B3480" s="40" t="s">
        <v>18328</v>
      </c>
      <c r="C3480" s="40" t="s">
        <v>18329</v>
      </c>
      <c r="D3480" s="40" t="s">
        <v>18330</v>
      </c>
      <c r="E3480" s="41">
        <v>19.93</v>
      </c>
      <c r="F3480" s="40"/>
      <c r="G3480" s="41"/>
      <c r="H3480" s="40"/>
      <c r="I3480" s="41"/>
      <c r="J3480" s="41">
        <f t="shared" si="13"/>
        <v>19.93</v>
      </c>
      <c r="K3480" s="42" t="s">
        <v>5796</v>
      </c>
      <c r="L3480" s="39">
        <v>3432</v>
      </c>
    </row>
    <row r="3481" spans="1:12" ht="11.25" customHeight="1">
      <c r="A3481" s="39">
        <v>3433</v>
      </c>
      <c r="B3481" s="40" t="s">
        <v>18331</v>
      </c>
      <c r="C3481" s="40" t="s">
        <v>18332</v>
      </c>
      <c r="D3481" s="40" t="s">
        <v>18333</v>
      </c>
      <c r="E3481" s="41">
        <v>19.91</v>
      </c>
      <c r="F3481" s="40"/>
      <c r="G3481" s="41"/>
      <c r="H3481" s="40"/>
      <c r="I3481" s="41"/>
      <c r="J3481" s="41">
        <f t="shared" si="13"/>
        <v>19.91</v>
      </c>
      <c r="K3481" s="42" t="s">
        <v>5796</v>
      </c>
      <c r="L3481" s="39">
        <v>3433</v>
      </c>
    </row>
    <row r="3482" spans="1:12" ht="11.25" customHeight="1">
      <c r="A3482" s="39">
        <v>3434</v>
      </c>
      <c r="B3482" s="40" t="s">
        <v>18334</v>
      </c>
      <c r="C3482" s="40" t="s">
        <v>18335</v>
      </c>
      <c r="D3482" s="40" t="s">
        <v>18336</v>
      </c>
      <c r="E3482" s="41">
        <v>19.84</v>
      </c>
      <c r="F3482" s="40"/>
      <c r="G3482" s="41"/>
      <c r="H3482" s="40"/>
      <c r="I3482" s="41"/>
      <c r="J3482" s="41">
        <f t="shared" si="13"/>
        <v>19.84</v>
      </c>
      <c r="K3482" s="42" t="s">
        <v>5796</v>
      </c>
      <c r="L3482" s="39">
        <v>3434</v>
      </c>
    </row>
    <row r="3483" spans="1:12" ht="11.25" customHeight="1">
      <c r="A3483" s="39">
        <v>3435</v>
      </c>
      <c r="B3483" s="52" t="s">
        <v>8533</v>
      </c>
      <c r="C3483" s="52" t="s">
        <v>18337</v>
      </c>
      <c r="D3483" s="40"/>
      <c r="E3483" s="41"/>
      <c r="F3483" s="40"/>
      <c r="G3483" s="41"/>
      <c r="H3483" s="52" t="s">
        <v>18338</v>
      </c>
      <c r="I3483" s="53">
        <v>19.799960399999996</v>
      </c>
      <c r="J3483" s="41">
        <f t="shared" si="13"/>
        <v>19.799960399999996</v>
      </c>
      <c r="K3483" s="42" t="s">
        <v>5796</v>
      </c>
      <c r="L3483" s="39">
        <v>3435</v>
      </c>
    </row>
    <row r="3484" spans="1:12" ht="11.25" customHeight="1">
      <c r="A3484" s="39">
        <v>3436</v>
      </c>
      <c r="B3484" s="40" t="s">
        <v>18339</v>
      </c>
      <c r="C3484" s="40" t="s">
        <v>18340</v>
      </c>
      <c r="D3484" s="40" t="s">
        <v>18341</v>
      </c>
      <c r="E3484" s="41">
        <v>19.77</v>
      </c>
      <c r="F3484" s="40"/>
      <c r="G3484" s="41"/>
      <c r="H3484" s="40"/>
      <c r="I3484" s="41"/>
      <c r="J3484" s="41">
        <f t="shared" si="13"/>
        <v>19.77</v>
      </c>
      <c r="K3484" s="42" t="s">
        <v>5796</v>
      </c>
      <c r="L3484" s="39">
        <v>3436</v>
      </c>
    </row>
    <row r="3485" spans="1:12" ht="11.25" customHeight="1">
      <c r="A3485" s="39">
        <v>3437</v>
      </c>
      <c r="B3485" s="40" t="s">
        <v>18342</v>
      </c>
      <c r="C3485" s="40" t="s">
        <v>18343</v>
      </c>
      <c r="D3485" s="40" t="s">
        <v>18344</v>
      </c>
      <c r="E3485" s="41">
        <v>19.760000000000002</v>
      </c>
      <c r="F3485" s="40"/>
      <c r="G3485" s="41"/>
      <c r="H3485" s="40"/>
      <c r="I3485" s="41"/>
      <c r="J3485" s="41">
        <f t="shared" si="13"/>
        <v>19.760000000000002</v>
      </c>
      <c r="K3485" s="42" t="s">
        <v>5796</v>
      </c>
      <c r="L3485" s="39">
        <v>3437</v>
      </c>
    </row>
    <row r="3486" spans="1:12" ht="11.25" customHeight="1">
      <c r="A3486" s="39">
        <v>3438</v>
      </c>
      <c r="B3486" s="40" t="s">
        <v>18345</v>
      </c>
      <c r="C3486" s="40" t="s">
        <v>18346</v>
      </c>
      <c r="D3486" s="40" t="s">
        <v>18347</v>
      </c>
      <c r="E3486" s="41">
        <v>19.68</v>
      </c>
      <c r="F3486" s="40"/>
      <c r="G3486" s="41"/>
      <c r="H3486" s="40"/>
      <c r="I3486" s="41"/>
      <c r="J3486" s="41">
        <f t="shared" si="13"/>
        <v>19.68</v>
      </c>
      <c r="K3486" s="42" t="s">
        <v>5796</v>
      </c>
      <c r="L3486" s="39">
        <v>3438</v>
      </c>
    </row>
    <row r="3487" spans="1:12" ht="11.25" customHeight="1">
      <c r="A3487" s="39">
        <v>3440</v>
      </c>
      <c r="B3487" s="40" t="s">
        <v>18348</v>
      </c>
      <c r="C3487" s="40" t="s">
        <v>18349</v>
      </c>
      <c r="D3487" s="40" t="s">
        <v>18350</v>
      </c>
      <c r="E3487" s="41">
        <v>19.66</v>
      </c>
      <c r="F3487" s="40"/>
      <c r="G3487" s="41"/>
      <c r="H3487" s="40"/>
      <c r="I3487" s="41"/>
      <c r="J3487" s="41">
        <f t="shared" si="13"/>
        <v>19.66</v>
      </c>
      <c r="K3487" s="42" t="s">
        <v>5796</v>
      </c>
      <c r="L3487" s="39">
        <v>3440</v>
      </c>
    </row>
    <row r="3488" spans="1:12" ht="11.25" customHeight="1">
      <c r="A3488" s="39">
        <v>3441</v>
      </c>
      <c r="B3488" s="40" t="s">
        <v>9221</v>
      </c>
      <c r="C3488" s="40" t="s">
        <v>18351</v>
      </c>
      <c r="D3488" s="40" t="s">
        <v>18352</v>
      </c>
      <c r="E3488" s="41">
        <v>19.649999999999999</v>
      </c>
      <c r="F3488" s="40"/>
      <c r="G3488" s="41"/>
      <c r="H3488" s="40"/>
      <c r="I3488" s="41"/>
      <c r="J3488" s="41">
        <f t="shared" si="13"/>
        <v>19.649999999999999</v>
      </c>
      <c r="K3488" s="42" t="s">
        <v>5796</v>
      </c>
      <c r="L3488" s="39">
        <v>3441</v>
      </c>
    </row>
    <row r="3489" spans="1:12" ht="11.25" customHeight="1">
      <c r="A3489" s="39">
        <v>3442</v>
      </c>
      <c r="B3489" s="40" t="s">
        <v>18353</v>
      </c>
      <c r="C3489" s="40" t="s">
        <v>18354</v>
      </c>
      <c r="D3489" s="40" t="s">
        <v>18355</v>
      </c>
      <c r="E3489" s="41">
        <v>19.61</v>
      </c>
      <c r="F3489" s="40"/>
      <c r="G3489" s="41"/>
      <c r="H3489" s="40"/>
      <c r="I3489" s="41"/>
      <c r="J3489" s="41">
        <f t="shared" si="13"/>
        <v>19.61</v>
      </c>
      <c r="K3489" s="42" t="s">
        <v>5796</v>
      </c>
      <c r="L3489" s="39">
        <v>3442</v>
      </c>
    </row>
    <row r="3490" spans="1:12" ht="11.25" customHeight="1">
      <c r="A3490" s="39">
        <v>3443</v>
      </c>
      <c r="B3490" s="40" t="s">
        <v>18356</v>
      </c>
      <c r="C3490" s="40" t="s">
        <v>18357</v>
      </c>
      <c r="D3490" s="40" t="s">
        <v>18358</v>
      </c>
      <c r="E3490" s="41">
        <v>19.59</v>
      </c>
      <c r="F3490" s="40"/>
      <c r="G3490" s="41"/>
      <c r="H3490" s="40"/>
      <c r="I3490" s="41"/>
      <c r="J3490" s="41">
        <f t="shared" si="13"/>
        <v>19.59</v>
      </c>
      <c r="K3490" s="42" t="s">
        <v>5796</v>
      </c>
      <c r="L3490" s="39">
        <v>3443</v>
      </c>
    </row>
    <row r="3491" spans="1:12" ht="11.25" customHeight="1">
      <c r="A3491" s="39">
        <v>3444</v>
      </c>
      <c r="B3491" s="40" t="s">
        <v>18359</v>
      </c>
      <c r="C3491" s="40" t="s">
        <v>18360</v>
      </c>
      <c r="D3491" s="40" t="s">
        <v>18361</v>
      </c>
      <c r="E3491" s="41">
        <v>19.52</v>
      </c>
      <c r="F3491" s="40"/>
      <c r="G3491" s="41"/>
      <c r="H3491" s="40"/>
      <c r="I3491" s="41"/>
      <c r="J3491" s="41">
        <f t="shared" si="13"/>
        <v>19.52</v>
      </c>
      <c r="K3491" s="42" t="s">
        <v>5796</v>
      </c>
      <c r="L3491" s="39">
        <v>3444</v>
      </c>
    </row>
    <row r="3492" spans="1:12" ht="11.25" customHeight="1">
      <c r="A3492" s="39">
        <v>3445</v>
      </c>
      <c r="B3492" s="40" t="s">
        <v>18362</v>
      </c>
      <c r="C3492" s="40" t="s">
        <v>18363</v>
      </c>
      <c r="D3492" s="40" t="s">
        <v>18364</v>
      </c>
      <c r="E3492" s="41">
        <v>19.46</v>
      </c>
      <c r="F3492" s="40"/>
      <c r="G3492" s="41"/>
      <c r="H3492" s="40"/>
      <c r="I3492" s="41"/>
      <c r="J3492" s="41">
        <f t="shared" si="13"/>
        <v>19.46</v>
      </c>
      <c r="K3492" s="42" t="s">
        <v>5796</v>
      </c>
      <c r="L3492" s="39">
        <v>3445</v>
      </c>
    </row>
    <row r="3493" spans="1:12" ht="11.25" customHeight="1">
      <c r="A3493" s="39">
        <v>3446</v>
      </c>
      <c r="B3493" s="40" t="s">
        <v>8291</v>
      </c>
      <c r="C3493" s="40" t="s">
        <v>18365</v>
      </c>
      <c r="D3493" s="40" t="s">
        <v>18366</v>
      </c>
      <c r="E3493" s="41">
        <v>19.46</v>
      </c>
      <c r="F3493" s="40"/>
      <c r="G3493" s="41"/>
      <c r="H3493" s="40"/>
      <c r="I3493" s="41"/>
      <c r="J3493" s="41">
        <f t="shared" si="13"/>
        <v>19.46</v>
      </c>
      <c r="K3493" s="42" t="s">
        <v>5796</v>
      </c>
      <c r="L3493" s="39">
        <v>3446</v>
      </c>
    </row>
    <row r="3494" spans="1:12" ht="11.25" customHeight="1">
      <c r="A3494" s="39">
        <v>3447</v>
      </c>
      <c r="B3494" s="40" t="s">
        <v>18367</v>
      </c>
      <c r="C3494" s="40" t="s">
        <v>18368</v>
      </c>
      <c r="D3494" s="40" t="s">
        <v>18369</v>
      </c>
      <c r="E3494" s="41">
        <v>19.39</v>
      </c>
      <c r="F3494" s="40"/>
      <c r="G3494" s="41"/>
      <c r="H3494" s="40"/>
      <c r="I3494" s="41"/>
      <c r="J3494" s="41">
        <f t="shared" si="13"/>
        <v>19.39</v>
      </c>
      <c r="K3494" s="42" t="s">
        <v>5796</v>
      </c>
      <c r="L3494" s="39">
        <v>3447</v>
      </c>
    </row>
    <row r="3495" spans="1:12" ht="11.25" customHeight="1">
      <c r="A3495" s="39">
        <v>3448</v>
      </c>
      <c r="B3495" s="40" t="s">
        <v>18370</v>
      </c>
      <c r="C3495" s="40" t="s">
        <v>18371</v>
      </c>
      <c r="D3495" s="40" t="s">
        <v>18372</v>
      </c>
      <c r="E3495" s="41">
        <v>19.37</v>
      </c>
      <c r="F3495" s="40"/>
      <c r="G3495" s="41"/>
      <c r="H3495" s="40"/>
      <c r="I3495" s="41"/>
      <c r="J3495" s="41">
        <f t="shared" si="13"/>
        <v>19.37</v>
      </c>
      <c r="K3495" s="42" t="s">
        <v>5796</v>
      </c>
      <c r="L3495" s="39">
        <v>3448</v>
      </c>
    </row>
    <row r="3496" spans="1:12" ht="11.25" customHeight="1">
      <c r="A3496" s="39">
        <v>3451</v>
      </c>
      <c r="B3496" s="40" t="s">
        <v>18373</v>
      </c>
      <c r="C3496" s="40" t="s">
        <v>18374</v>
      </c>
      <c r="D3496" s="40" t="s">
        <v>18375</v>
      </c>
      <c r="E3496" s="41">
        <v>19.23</v>
      </c>
      <c r="F3496" s="40"/>
      <c r="G3496" s="41"/>
      <c r="H3496" s="40"/>
      <c r="I3496" s="41"/>
      <c r="J3496" s="41">
        <f t="shared" si="13"/>
        <v>19.23</v>
      </c>
      <c r="K3496" s="42" t="s">
        <v>5796</v>
      </c>
      <c r="L3496" s="39">
        <v>3451</v>
      </c>
    </row>
    <row r="3497" spans="1:12" ht="11.25" customHeight="1">
      <c r="A3497" s="39">
        <v>3452</v>
      </c>
      <c r="B3497" s="40" t="s">
        <v>18376</v>
      </c>
      <c r="C3497" s="40" t="s">
        <v>18377</v>
      </c>
      <c r="D3497" s="40" t="s">
        <v>18378</v>
      </c>
      <c r="E3497" s="41">
        <v>19.2</v>
      </c>
      <c r="F3497" s="40"/>
      <c r="G3497" s="41"/>
      <c r="H3497" s="40"/>
      <c r="I3497" s="41"/>
      <c r="J3497" s="41">
        <f t="shared" si="13"/>
        <v>19.2</v>
      </c>
      <c r="K3497" s="42" t="s">
        <v>5796</v>
      </c>
      <c r="L3497" s="39">
        <v>3452</v>
      </c>
    </row>
    <row r="3498" spans="1:12" ht="11.25" customHeight="1">
      <c r="A3498" s="39">
        <v>3453</v>
      </c>
      <c r="B3498" s="40" t="s">
        <v>18379</v>
      </c>
      <c r="C3498" s="40" t="s">
        <v>18380</v>
      </c>
      <c r="D3498" s="40" t="s">
        <v>18381</v>
      </c>
      <c r="E3498" s="41">
        <v>19.2</v>
      </c>
      <c r="F3498" s="40"/>
      <c r="G3498" s="41"/>
      <c r="H3498" s="40"/>
      <c r="I3498" s="41"/>
      <c r="J3498" s="41">
        <f t="shared" si="13"/>
        <v>19.2</v>
      </c>
      <c r="K3498" s="42" t="s">
        <v>5796</v>
      </c>
      <c r="L3498" s="39">
        <v>3453</v>
      </c>
    </row>
    <row r="3499" spans="1:12" ht="11.25" customHeight="1">
      <c r="A3499" s="39">
        <v>3454</v>
      </c>
      <c r="B3499" s="40" t="s">
        <v>18382</v>
      </c>
      <c r="C3499" s="40" t="s">
        <v>18383</v>
      </c>
      <c r="D3499" s="40" t="s">
        <v>18384</v>
      </c>
      <c r="E3499" s="41">
        <v>19.18</v>
      </c>
      <c r="F3499" s="40"/>
      <c r="G3499" s="41"/>
      <c r="H3499" s="40"/>
      <c r="I3499" s="41"/>
      <c r="J3499" s="41">
        <f t="shared" si="13"/>
        <v>19.18</v>
      </c>
      <c r="K3499" s="42" t="s">
        <v>5796</v>
      </c>
      <c r="L3499" s="39">
        <v>3454</v>
      </c>
    </row>
    <row r="3500" spans="1:12" ht="11.25" customHeight="1">
      <c r="A3500" s="39">
        <v>3455</v>
      </c>
      <c r="B3500" s="40" t="s">
        <v>18385</v>
      </c>
      <c r="C3500" s="40" t="s">
        <v>18386</v>
      </c>
      <c r="D3500" s="40" t="s">
        <v>18387</v>
      </c>
      <c r="E3500" s="41">
        <v>19.14</v>
      </c>
      <c r="F3500" s="40"/>
      <c r="G3500" s="41"/>
      <c r="H3500" s="40"/>
      <c r="I3500" s="41"/>
      <c r="J3500" s="41">
        <f t="shared" si="13"/>
        <v>19.14</v>
      </c>
      <c r="K3500" s="42" t="s">
        <v>5796</v>
      </c>
      <c r="L3500" s="39">
        <v>3455</v>
      </c>
    </row>
    <row r="3501" spans="1:12" ht="11.25" customHeight="1">
      <c r="A3501" s="39">
        <v>3456</v>
      </c>
      <c r="B3501" s="40" t="s">
        <v>18388</v>
      </c>
      <c r="C3501" s="40" t="s">
        <v>18389</v>
      </c>
      <c r="D3501" s="40" t="s">
        <v>18390</v>
      </c>
      <c r="E3501" s="41">
        <v>19.11</v>
      </c>
      <c r="F3501" s="40"/>
      <c r="G3501" s="41"/>
      <c r="H3501" s="40"/>
      <c r="I3501" s="41"/>
      <c r="J3501" s="41">
        <f t="shared" si="13"/>
        <v>19.11</v>
      </c>
      <c r="K3501" s="42" t="s">
        <v>5796</v>
      </c>
      <c r="L3501" s="39">
        <v>3456</v>
      </c>
    </row>
    <row r="3502" spans="1:12" ht="11.25" customHeight="1">
      <c r="A3502" s="39">
        <v>3457</v>
      </c>
      <c r="B3502" s="40" t="s">
        <v>18391</v>
      </c>
      <c r="C3502" s="40" t="s">
        <v>18392</v>
      </c>
      <c r="D3502" s="40" t="s">
        <v>18393</v>
      </c>
      <c r="E3502" s="41">
        <v>19.11</v>
      </c>
      <c r="F3502" s="40"/>
      <c r="G3502" s="41"/>
      <c r="H3502" s="40"/>
      <c r="I3502" s="41"/>
      <c r="J3502" s="41">
        <f t="shared" si="13"/>
        <v>19.11</v>
      </c>
      <c r="K3502" s="42" t="s">
        <v>5796</v>
      </c>
      <c r="L3502" s="39">
        <v>3457</v>
      </c>
    </row>
    <row r="3503" spans="1:12" ht="11.25" customHeight="1">
      <c r="A3503" s="39">
        <v>3458</v>
      </c>
      <c r="B3503" s="40" t="s">
        <v>18394</v>
      </c>
      <c r="C3503" s="40" t="s">
        <v>18395</v>
      </c>
      <c r="D3503" s="40" t="s">
        <v>18396</v>
      </c>
      <c r="E3503" s="41">
        <v>19.11</v>
      </c>
      <c r="F3503" s="40"/>
      <c r="G3503" s="41"/>
      <c r="H3503" s="40"/>
      <c r="I3503" s="41"/>
      <c r="J3503" s="41">
        <f t="shared" si="13"/>
        <v>19.11</v>
      </c>
      <c r="K3503" s="42" t="s">
        <v>5796</v>
      </c>
      <c r="L3503" s="39">
        <v>3458</v>
      </c>
    </row>
    <row r="3504" spans="1:12" ht="11.25" customHeight="1">
      <c r="A3504" s="39">
        <v>3459</v>
      </c>
      <c r="B3504" s="40" t="s">
        <v>18397</v>
      </c>
      <c r="C3504" s="40" t="s">
        <v>18398</v>
      </c>
      <c r="D3504" s="40" t="s">
        <v>18399</v>
      </c>
      <c r="E3504" s="41">
        <v>19.100000000000001</v>
      </c>
      <c r="F3504" s="40"/>
      <c r="G3504" s="41"/>
      <c r="H3504" s="40"/>
      <c r="I3504" s="41"/>
      <c r="J3504" s="41">
        <f t="shared" si="13"/>
        <v>19.100000000000001</v>
      </c>
      <c r="K3504" s="42" t="s">
        <v>5796</v>
      </c>
      <c r="L3504" s="39">
        <v>3459</v>
      </c>
    </row>
    <row r="3505" spans="1:12" ht="11.25" customHeight="1">
      <c r="A3505" s="39">
        <v>3460</v>
      </c>
      <c r="B3505" s="40" t="s">
        <v>18400</v>
      </c>
      <c r="C3505" s="40" t="s">
        <v>18401</v>
      </c>
      <c r="D3505" s="40" t="s">
        <v>18402</v>
      </c>
      <c r="E3505" s="41">
        <v>19.09</v>
      </c>
      <c r="F3505" s="40"/>
      <c r="G3505" s="41"/>
      <c r="H3505" s="40"/>
      <c r="I3505" s="41"/>
      <c r="J3505" s="41">
        <f t="shared" si="13"/>
        <v>19.09</v>
      </c>
      <c r="K3505" s="42" t="s">
        <v>5796</v>
      </c>
      <c r="L3505" s="39">
        <v>3460</v>
      </c>
    </row>
    <row r="3506" spans="1:12" ht="11.25" customHeight="1">
      <c r="A3506" s="39">
        <v>3461</v>
      </c>
      <c r="B3506" s="40" t="s">
        <v>18403</v>
      </c>
      <c r="C3506" s="40" t="s">
        <v>18404</v>
      </c>
      <c r="D3506" s="40" t="s">
        <v>18405</v>
      </c>
      <c r="E3506" s="41">
        <v>19.07</v>
      </c>
      <c r="F3506" s="40"/>
      <c r="G3506" s="41"/>
      <c r="H3506" s="40"/>
      <c r="I3506" s="41"/>
      <c r="J3506" s="41">
        <f t="shared" si="13"/>
        <v>19.07</v>
      </c>
      <c r="K3506" s="42" t="s">
        <v>5796</v>
      </c>
      <c r="L3506" s="39">
        <v>3461</v>
      </c>
    </row>
    <row r="3507" spans="1:12" ht="11.25" customHeight="1">
      <c r="A3507" s="39">
        <v>3462</v>
      </c>
      <c r="B3507" s="40" t="s">
        <v>8449</v>
      </c>
      <c r="C3507" s="40" t="s">
        <v>18406</v>
      </c>
      <c r="D3507" s="40" t="s">
        <v>18407</v>
      </c>
      <c r="E3507" s="41">
        <v>19.04</v>
      </c>
      <c r="F3507" s="40"/>
      <c r="G3507" s="41"/>
      <c r="H3507" s="40"/>
      <c r="I3507" s="41"/>
      <c r="J3507" s="41">
        <f t="shared" si="13"/>
        <v>19.04</v>
      </c>
      <c r="K3507" s="42" t="s">
        <v>5796</v>
      </c>
      <c r="L3507" s="39">
        <v>3462</v>
      </c>
    </row>
    <row r="3508" spans="1:12" ht="11.25" customHeight="1">
      <c r="A3508" s="39">
        <v>3463</v>
      </c>
      <c r="B3508" s="40" t="s">
        <v>18408</v>
      </c>
      <c r="C3508" s="40" t="s">
        <v>18409</v>
      </c>
      <c r="D3508" s="40" t="s">
        <v>18410</v>
      </c>
      <c r="E3508" s="41">
        <v>19.03</v>
      </c>
      <c r="F3508" s="40"/>
      <c r="G3508" s="41"/>
      <c r="H3508" s="40"/>
      <c r="I3508" s="41"/>
      <c r="J3508" s="41">
        <f t="shared" si="13"/>
        <v>19.03</v>
      </c>
      <c r="K3508" s="42" t="s">
        <v>5796</v>
      </c>
      <c r="L3508" s="39">
        <v>3463</v>
      </c>
    </row>
    <row r="3509" spans="1:12" ht="11.25" customHeight="1">
      <c r="A3509" s="39">
        <v>3464</v>
      </c>
      <c r="B3509" s="40" t="s">
        <v>18411</v>
      </c>
      <c r="C3509" s="40" t="s">
        <v>18412</v>
      </c>
      <c r="D3509" s="40" t="s">
        <v>18413</v>
      </c>
      <c r="E3509" s="41">
        <v>19.02</v>
      </c>
      <c r="F3509" s="40"/>
      <c r="G3509" s="41"/>
      <c r="H3509" s="40"/>
      <c r="I3509" s="41"/>
      <c r="J3509" s="41">
        <f t="shared" si="13"/>
        <v>19.02</v>
      </c>
      <c r="K3509" s="42" t="s">
        <v>5796</v>
      </c>
      <c r="L3509" s="39">
        <v>3464</v>
      </c>
    </row>
    <row r="3510" spans="1:12" ht="11.25" customHeight="1">
      <c r="A3510" s="39">
        <v>3465</v>
      </c>
      <c r="B3510" s="40" t="s">
        <v>18414</v>
      </c>
      <c r="C3510" s="40" t="s">
        <v>18415</v>
      </c>
      <c r="D3510" s="40" t="s">
        <v>18416</v>
      </c>
      <c r="E3510" s="41">
        <v>19.02</v>
      </c>
      <c r="F3510" s="40"/>
      <c r="G3510" s="41"/>
      <c r="H3510" s="40"/>
      <c r="I3510" s="41"/>
      <c r="J3510" s="41">
        <f t="shared" si="13"/>
        <v>19.02</v>
      </c>
      <c r="K3510" s="42" t="s">
        <v>5796</v>
      </c>
      <c r="L3510" s="39">
        <v>3465</v>
      </c>
    </row>
    <row r="3511" spans="1:12" ht="11.25" customHeight="1">
      <c r="A3511" s="39">
        <v>3466</v>
      </c>
      <c r="B3511" s="40" t="s">
        <v>18417</v>
      </c>
      <c r="C3511" s="40" t="s">
        <v>18418</v>
      </c>
      <c r="D3511" s="40" t="s">
        <v>18419</v>
      </c>
      <c r="E3511" s="41">
        <v>18.89</v>
      </c>
      <c r="F3511" s="40"/>
      <c r="G3511" s="41"/>
      <c r="H3511" s="40"/>
      <c r="I3511" s="41"/>
      <c r="J3511" s="41">
        <f t="shared" si="13"/>
        <v>18.89</v>
      </c>
      <c r="K3511" s="42" t="s">
        <v>5796</v>
      </c>
      <c r="L3511" s="39">
        <v>3466</v>
      </c>
    </row>
    <row r="3512" spans="1:12" ht="11.25" customHeight="1">
      <c r="A3512" s="39">
        <v>3467</v>
      </c>
      <c r="B3512" s="40" t="s">
        <v>8525</v>
      </c>
      <c r="C3512" s="40" t="s">
        <v>18420</v>
      </c>
      <c r="D3512" s="40" t="s">
        <v>18421</v>
      </c>
      <c r="E3512" s="41">
        <v>18.88</v>
      </c>
      <c r="F3512" s="40"/>
      <c r="G3512" s="41"/>
      <c r="H3512" s="40"/>
      <c r="I3512" s="41"/>
      <c r="J3512" s="41">
        <f t="shared" si="13"/>
        <v>18.88</v>
      </c>
      <c r="K3512" s="42" t="s">
        <v>5796</v>
      </c>
      <c r="L3512" s="39">
        <v>3467</v>
      </c>
    </row>
    <row r="3513" spans="1:12" ht="11.25" customHeight="1">
      <c r="A3513" s="39">
        <v>3468</v>
      </c>
      <c r="B3513" s="40" t="s">
        <v>18422</v>
      </c>
      <c r="C3513" s="40" t="s">
        <v>18423</v>
      </c>
      <c r="D3513" s="40" t="s">
        <v>18424</v>
      </c>
      <c r="E3513" s="41">
        <v>18.86</v>
      </c>
      <c r="F3513" s="40"/>
      <c r="G3513" s="41"/>
      <c r="H3513" s="40"/>
      <c r="I3513" s="41"/>
      <c r="J3513" s="41">
        <f t="shared" si="13"/>
        <v>18.86</v>
      </c>
      <c r="K3513" s="42" t="s">
        <v>5796</v>
      </c>
      <c r="L3513" s="39">
        <v>3468</v>
      </c>
    </row>
    <row r="3514" spans="1:12" ht="11.25" customHeight="1">
      <c r="A3514" s="39">
        <v>3470</v>
      </c>
      <c r="B3514" s="40" t="s">
        <v>18425</v>
      </c>
      <c r="C3514" s="40" t="s">
        <v>18426</v>
      </c>
      <c r="D3514" s="40" t="s">
        <v>18427</v>
      </c>
      <c r="E3514" s="41">
        <v>18.850000000000001</v>
      </c>
      <c r="F3514" s="40"/>
      <c r="G3514" s="41"/>
      <c r="H3514" s="40"/>
      <c r="I3514" s="41"/>
      <c r="J3514" s="41">
        <f t="shared" si="13"/>
        <v>18.850000000000001</v>
      </c>
      <c r="K3514" s="42" t="s">
        <v>5796</v>
      </c>
      <c r="L3514" s="39">
        <v>3470</v>
      </c>
    </row>
    <row r="3515" spans="1:12" ht="11.25" customHeight="1">
      <c r="A3515" s="39">
        <v>3471</v>
      </c>
      <c r="B3515" s="40" t="s">
        <v>18428</v>
      </c>
      <c r="C3515" s="40" t="s">
        <v>18429</v>
      </c>
      <c r="D3515" s="40" t="s">
        <v>18430</v>
      </c>
      <c r="E3515" s="41">
        <v>18.829999999999998</v>
      </c>
      <c r="F3515" s="40"/>
      <c r="G3515" s="41"/>
      <c r="H3515" s="40"/>
      <c r="I3515" s="41"/>
      <c r="J3515" s="41">
        <f t="shared" si="13"/>
        <v>18.829999999999998</v>
      </c>
      <c r="K3515" s="42" t="s">
        <v>5796</v>
      </c>
      <c r="L3515" s="39">
        <v>3471</v>
      </c>
    </row>
    <row r="3516" spans="1:12" ht="11.25" customHeight="1">
      <c r="A3516" s="39">
        <v>3472</v>
      </c>
      <c r="B3516" s="40" t="s">
        <v>18431</v>
      </c>
      <c r="C3516" s="40" t="s">
        <v>18432</v>
      </c>
      <c r="D3516" s="40" t="s">
        <v>18433</v>
      </c>
      <c r="E3516" s="41">
        <v>18.809999999999999</v>
      </c>
      <c r="F3516" s="40"/>
      <c r="G3516" s="41"/>
      <c r="H3516" s="40"/>
      <c r="I3516" s="41"/>
      <c r="J3516" s="41">
        <f t="shared" si="13"/>
        <v>18.809999999999999</v>
      </c>
      <c r="K3516" s="42" t="s">
        <v>5796</v>
      </c>
      <c r="L3516" s="39">
        <v>3472</v>
      </c>
    </row>
    <row r="3517" spans="1:12" ht="11.25" customHeight="1">
      <c r="A3517" s="39">
        <v>3473</v>
      </c>
      <c r="B3517" s="40" t="s">
        <v>18434</v>
      </c>
      <c r="C3517" s="40" t="s">
        <v>18435</v>
      </c>
      <c r="D3517" s="40" t="s">
        <v>18436</v>
      </c>
      <c r="E3517" s="41">
        <v>18.809999999999999</v>
      </c>
      <c r="F3517" s="40"/>
      <c r="G3517" s="41"/>
      <c r="H3517" s="40"/>
      <c r="I3517" s="41"/>
      <c r="J3517" s="41">
        <f t="shared" si="13"/>
        <v>18.809999999999999</v>
      </c>
      <c r="K3517" s="42" t="s">
        <v>5796</v>
      </c>
      <c r="L3517" s="39">
        <v>3473</v>
      </c>
    </row>
    <row r="3518" spans="1:12" ht="11.25" customHeight="1">
      <c r="A3518" s="39">
        <v>3474</v>
      </c>
      <c r="B3518" s="40" t="s">
        <v>18437</v>
      </c>
      <c r="C3518" s="40" t="s">
        <v>18438</v>
      </c>
      <c r="D3518" s="40" t="s">
        <v>18439</v>
      </c>
      <c r="E3518" s="41">
        <v>18.670000000000002</v>
      </c>
      <c r="F3518" s="40"/>
      <c r="G3518" s="41"/>
      <c r="H3518" s="40"/>
      <c r="I3518" s="41"/>
      <c r="J3518" s="41">
        <f t="shared" si="13"/>
        <v>18.670000000000002</v>
      </c>
      <c r="K3518" s="42" t="s">
        <v>5796</v>
      </c>
      <c r="L3518" s="39">
        <v>3474</v>
      </c>
    </row>
    <row r="3519" spans="1:12" ht="11.25" customHeight="1">
      <c r="A3519" s="39">
        <v>3475</v>
      </c>
      <c r="B3519" s="40" t="s">
        <v>18440</v>
      </c>
      <c r="C3519" s="40" t="s">
        <v>18441</v>
      </c>
      <c r="D3519" s="40" t="s">
        <v>18442</v>
      </c>
      <c r="E3519" s="41">
        <v>18.66</v>
      </c>
      <c r="F3519" s="40"/>
      <c r="G3519" s="41"/>
      <c r="H3519" s="40"/>
      <c r="I3519" s="41"/>
      <c r="J3519" s="41">
        <f t="shared" si="13"/>
        <v>18.66</v>
      </c>
      <c r="K3519" s="42" t="s">
        <v>5796</v>
      </c>
      <c r="L3519" s="39">
        <v>3475</v>
      </c>
    </row>
    <row r="3520" spans="1:12" ht="11.25" customHeight="1">
      <c r="A3520" s="39">
        <v>3476</v>
      </c>
      <c r="B3520" s="40" t="s">
        <v>18443</v>
      </c>
      <c r="C3520" s="40" t="s">
        <v>18444</v>
      </c>
      <c r="D3520" s="40" t="s">
        <v>18445</v>
      </c>
      <c r="E3520" s="41">
        <v>18.61</v>
      </c>
      <c r="F3520" s="40"/>
      <c r="G3520" s="41"/>
      <c r="H3520" s="40"/>
      <c r="I3520" s="41"/>
      <c r="J3520" s="41">
        <f t="shared" si="13"/>
        <v>18.61</v>
      </c>
      <c r="K3520" s="42" t="s">
        <v>5796</v>
      </c>
      <c r="L3520" s="39">
        <v>3476</v>
      </c>
    </row>
    <row r="3521" spans="1:12" ht="11.25" customHeight="1">
      <c r="A3521" s="39">
        <v>3477</v>
      </c>
      <c r="B3521" s="40" t="s">
        <v>8517</v>
      </c>
      <c r="C3521" s="40" t="s">
        <v>18446</v>
      </c>
      <c r="D3521" s="40" t="s">
        <v>18447</v>
      </c>
      <c r="E3521" s="41">
        <v>18.559999999999999</v>
      </c>
      <c r="F3521" s="40"/>
      <c r="G3521" s="41"/>
      <c r="H3521" s="40"/>
      <c r="I3521" s="41"/>
      <c r="J3521" s="41">
        <f t="shared" si="13"/>
        <v>18.559999999999999</v>
      </c>
      <c r="K3521" s="42" t="s">
        <v>5796</v>
      </c>
      <c r="L3521" s="39">
        <v>3477</v>
      </c>
    </row>
    <row r="3522" spans="1:12" ht="11.25" customHeight="1">
      <c r="A3522" s="39">
        <v>3478</v>
      </c>
      <c r="B3522" s="40" t="s">
        <v>18448</v>
      </c>
      <c r="C3522" s="40" t="s">
        <v>18449</v>
      </c>
      <c r="D3522" s="40" t="s">
        <v>18450</v>
      </c>
      <c r="E3522" s="41">
        <v>18.54</v>
      </c>
      <c r="F3522" s="40"/>
      <c r="G3522" s="41"/>
      <c r="H3522" s="40"/>
      <c r="I3522" s="41"/>
      <c r="J3522" s="41">
        <f t="shared" si="13"/>
        <v>18.54</v>
      </c>
      <c r="K3522" s="42" t="s">
        <v>5796</v>
      </c>
      <c r="L3522" s="39">
        <v>3478</v>
      </c>
    </row>
    <row r="3523" spans="1:12" ht="11.25" customHeight="1">
      <c r="A3523" s="39">
        <v>3479</v>
      </c>
      <c r="B3523" s="40" t="s">
        <v>18451</v>
      </c>
      <c r="C3523" s="40" t="s">
        <v>18452</v>
      </c>
      <c r="D3523" s="40" t="s">
        <v>18453</v>
      </c>
      <c r="E3523" s="41">
        <v>18.53</v>
      </c>
      <c r="F3523" s="40"/>
      <c r="G3523" s="41"/>
      <c r="H3523" s="40"/>
      <c r="I3523" s="41"/>
      <c r="J3523" s="41">
        <f t="shared" si="13"/>
        <v>18.53</v>
      </c>
      <c r="K3523" s="42" t="s">
        <v>5796</v>
      </c>
      <c r="L3523" s="39">
        <v>3479</v>
      </c>
    </row>
    <row r="3524" spans="1:12" ht="11.25" customHeight="1">
      <c r="A3524" s="39">
        <v>3480</v>
      </c>
      <c r="B3524" s="40" t="s">
        <v>18454</v>
      </c>
      <c r="C3524" s="40" t="s">
        <v>18455</v>
      </c>
      <c r="D3524" s="40" t="s">
        <v>18456</v>
      </c>
      <c r="E3524" s="41">
        <v>18.52</v>
      </c>
      <c r="F3524" s="40"/>
      <c r="G3524" s="41"/>
      <c r="H3524" s="40"/>
      <c r="I3524" s="41"/>
      <c r="J3524" s="41">
        <f t="shared" si="13"/>
        <v>18.52</v>
      </c>
      <c r="K3524" s="42" t="s">
        <v>5796</v>
      </c>
      <c r="L3524" s="39">
        <v>3480</v>
      </c>
    </row>
    <row r="3525" spans="1:12" ht="11.25" customHeight="1">
      <c r="A3525" s="39">
        <v>3481</v>
      </c>
      <c r="B3525" s="52" t="s">
        <v>8570</v>
      </c>
      <c r="C3525" s="52" t="s">
        <v>18457</v>
      </c>
      <c r="D3525" s="40"/>
      <c r="E3525" s="41"/>
      <c r="F3525" s="40"/>
      <c r="G3525" s="41"/>
      <c r="H3525" s="52" t="s">
        <v>18458</v>
      </c>
      <c r="I3525" s="53">
        <v>18.509250000000026</v>
      </c>
      <c r="J3525" s="41">
        <f t="shared" si="13"/>
        <v>18.509250000000026</v>
      </c>
      <c r="K3525" s="42" t="s">
        <v>5796</v>
      </c>
      <c r="L3525" s="39">
        <v>3481</v>
      </c>
    </row>
    <row r="3526" spans="1:12" ht="11.25" customHeight="1">
      <c r="A3526" s="39">
        <v>3482</v>
      </c>
      <c r="B3526" s="40" t="s">
        <v>18459</v>
      </c>
      <c r="C3526" s="40" t="s">
        <v>18460</v>
      </c>
      <c r="D3526" s="40" t="s">
        <v>18461</v>
      </c>
      <c r="E3526" s="41">
        <v>18.46</v>
      </c>
      <c r="F3526" s="40"/>
      <c r="G3526" s="41"/>
      <c r="H3526" s="40"/>
      <c r="I3526" s="41"/>
      <c r="J3526" s="41">
        <f t="shared" si="13"/>
        <v>18.46</v>
      </c>
      <c r="K3526" s="42" t="s">
        <v>5796</v>
      </c>
      <c r="L3526" s="39">
        <v>3482</v>
      </c>
    </row>
    <row r="3527" spans="1:12" ht="11.25" customHeight="1">
      <c r="A3527" s="39">
        <v>3483</v>
      </c>
      <c r="B3527" s="40" t="s">
        <v>18462</v>
      </c>
      <c r="C3527" s="40" t="s">
        <v>18463</v>
      </c>
      <c r="D3527" s="40" t="s">
        <v>18464</v>
      </c>
      <c r="E3527" s="41">
        <v>18.46</v>
      </c>
      <c r="F3527" s="40"/>
      <c r="G3527" s="41"/>
      <c r="H3527" s="40"/>
      <c r="I3527" s="41"/>
      <c r="J3527" s="41">
        <f t="shared" si="13"/>
        <v>18.46</v>
      </c>
      <c r="K3527" s="42" t="s">
        <v>5796</v>
      </c>
      <c r="L3527" s="39">
        <v>3483</v>
      </c>
    </row>
    <row r="3528" spans="1:12" ht="11.25" customHeight="1">
      <c r="A3528" s="39">
        <v>3484</v>
      </c>
      <c r="B3528" s="40" t="s">
        <v>18465</v>
      </c>
      <c r="C3528" s="40" t="s">
        <v>18466</v>
      </c>
      <c r="D3528" s="40" t="s">
        <v>18467</v>
      </c>
      <c r="E3528" s="41">
        <v>18.45</v>
      </c>
      <c r="F3528" s="40"/>
      <c r="G3528" s="41"/>
      <c r="H3528" s="40"/>
      <c r="I3528" s="41"/>
      <c r="J3528" s="41">
        <f t="shared" si="13"/>
        <v>18.45</v>
      </c>
      <c r="K3528" s="42" t="s">
        <v>5796</v>
      </c>
      <c r="L3528" s="39">
        <v>3484</v>
      </c>
    </row>
    <row r="3529" spans="1:12" ht="11.25" customHeight="1">
      <c r="A3529" s="39">
        <v>3487</v>
      </c>
      <c r="B3529" s="40" t="s">
        <v>18468</v>
      </c>
      <c r="C3529" s="40" t="s">
        <v>18469</v>
      </c>
      <c r="D3529" s="40" t="s">
        <v>18470</v>
      </c>
      <c r="E3529" s="41">
        <v>18.350000000000001</v>
      </c>
      <c r="F3529" s="40"/>
      <c r="G3529" s="41"/>
      <c r="H3529" s="40"/>
      <c r="I3529" s="41"/>
      <c r="J3529" s="41">
        <f t="shared" si="13"/>
        <v>18.350000000000001</v>
      </c>
      <c r="K3529" s="42" t="s">
        <v>5796</v>
      </c>
      <c r="L3529" s="39">
        <v>3487</v>
      </c>
    </row>
    <row r="3530" spans="1:12" ht="11.25" customHeight="1">
      <c r="A3530" s="39">
        <v>3488</v>
      </c>
      <c r="B3530" s="40" t="s">
        <v>18471</v>
      </c>
      <c r="C3530" s="40" t="s">
        <v>18472</v>
      </c>
      <c r="D3530" s="40" t="s">
        <v>18473</v>
      </c>
      <c r="E3530" s="41">
        <v>18.23</v>
      </c>
      <c r="F3530" s="40"/>
      <c r="G3530" s="41"/>
      <c r="H3530" s="40"/>
      <c r="I3530" s="41"/>
      <c r="J3530" s="41">
        <f t="shared" si="13"/>
        <v>18.23</v>
      </c>
      <c r="K3530" s="42" t="s">
        <v>5796</v>
      </c>
      <c r="L3530" s="39">
        <v>3488</v>
      </c>
    </row>
    <row r="3531" spans="1:12" ht="11.25" customHeight="1">
      <c r="A3531" s="39">
        <v>3489</v>
      </c>
      <c r="B3531" s="40" t="s">
        <v>18474</v>
      </c>
      <c r="C3531" s="40" t="s">
        <v>18475</v>
      </c>
      <c r="D3531" s="40" t="s">
        <v>18476</v>
      </c>
      <c r="E3531" s="41">
        <v>18.22</v>
      </c>
      <c r="F3531" s="40"/>
      <c r="G3531" s="41"/>
      <c r="H3531" s="40"/>
      <c r="I3531" s="41"/>
      <c r="J3531" s="41">
        <f t="shared" si="13"/>
        <v>18.22</v>
      </c>
      <c r="K3531" s="42" t="s">
        <v>5796</v>
      </c>
      <c r="L3531" s="39">
        <v>3489</v>
      </c>
    </row>
    <row r="3532" spans="1:12" ht="11.25" customHeight="1">
      <c r="A3532" s="39">
        <v>3490</v>
      </c>
      <c r="B3532" s="40" t="s">
        <v>18477</v>
      </c>
      <c r="C3532" s="40" t="s">
        <v>18478</v>
      </c>
      <c r="D3532" s="40" t="s">
        <v>18479</v>
      </c>
      <c r="E3532" s="41">
        <v>18.18</v>
      </c>
      <c r="F3532" s="40"/>
      <c r="G3532" s="41"/>
      <c r="H3532" s="40"/>
      <c r="I3532" s="41"/>
      <c r="J3532" s="41">
        <f t="shared" si="13"/>
        <v>18.18</v>
      </c>
      <c r="K3532" s="42" t="s">
        <v>5796</v>
      </c>
      <c r="L3532" s="39">
        <v>3490</v>
      </c>
    </row>
    <row r="3533" spans="1:12" ht="11.25" customHeight="1">
      <c r="A3533" s="39">
        <v>3491</v>
      </c>
      <c r="B3533" s="40" t="s">
        <v>9284</v>
      </c>
      <c r="C3533" s="40" t="s">
        <v>18480</v>
      </c>
      <c r="D3533" s="40" t="s">
        <v>18481</v>
      </c>
      <c r="E3533" s="41">
        <v>18.170000000000002</v>
      </c>
      <c r="F3533" s="40"/>
      <c r="G3533" s="41"/>
      <c r="H3533" s="40"/>
      <c r="I3533" s="41"/>
      <c r="J3533" s="41">
        <f t="shared" si="13"/>
        <v>18.170000000000002</v>
      </c>
      <c r="K3533" s="42" t="s">
        <v>5796</v>
      </c>
      <c r="L3533" s="39">
        <v>3491</v>
      </c>
    </row>
    <row r="3534" spans="1:12" ht="11.25" customHeight="1">
      <c r="A3534" s="39">
        <v>3492</v>
      </c>
      <c r="B3534" s="40" t="s">
        <v>18482</v>
      </c>
      <c r="C3534" s="40" t="s">
        <v>18483</v>
      </c>
      <c r="D3534" s="40" t="s">
        <v>18484</v>
      </c>
      <c r="E3534" s="41">
        <v>18.149999999999999</v>
      </c>
      <c r="F3534" s="40"/>
      <c r="G3534" s="41"/>
      <c r="H3534" s="40"/>
      <c r="I3534" s="41"/>
      <c r="J3534" s="41">
        <f t="shared" si="13"/>
        <v>18.149999999999999</v>
      </c>
      <c r="K3534" s="42" t="s">
        <v>5796</v>
      </c>
      <c r="L3534" s="39">
        <v>3492</v>
      </c>
    </row>
    <row r="3535" spans="1:12" ht="11.25" customHeight="1">
      <c r="A3535" s="39">
        <v>3493</v>
      </c>
      <c r="B3535" s="40" t="s">
        <v>18485</v>
      </c>
      <c r="C3535" s="40" t="s">
        <v>18486</v>
      </c>
      <c r="D3535" s="40" t="s">
        <v>18487</v>
      </c>
      <c r="E3535" s="41">
        <v>18.149999999999999</v>
      </c>
      <c r="F3535" s="40"/>
      <c r="G3535" s="41"/>
      <c r="H3535" s="40"/>
      <c r="I3535" s="41"/>
      <c r="J3535" s="41">
        <f t="shared" si="13"/>
        <v>18.149999999999999</v>
      </c>
      <c r="K3535" s="42" t="s">
        <v>5796</v>
      </c>
      <c r="L3535" s="39">
        <v>3493</v>
      </c>
    </row>
    <row r="3536" spans="1:12" ht="11.25" customHeight="1">
      <c r="A3536" s="39">
        <v>3494</v>
      </c>
      <c r="B3536" s="40" t="s">
        <v>8289</v>
      </c>
      <c r="C3536" s="40" t="s">
        <v>18488</v>
      </c>
      <c r="D3536" s="40" t="s">
        <v>18489</v>
      </c>
      <c r="E3536" s="41">
        <v>18.14</v>
      </c>
      <c r="F3536" s="40"/>
      <c r="G3536" s="41"/>
      <c r="H3536" s="40"/>
      <c r="I3536" s="41"/>
      <c r="J3536" s="41">
        <f t="shared" si="13"/>
        <v>18.14</v>
      </c>
      <c r="K3536" s="42" t="s">
        <v>5796</v>
      </c>
      <c r="L3536" s="39">
        <v>3494</v>
      </c>
    </row>
    <row r="3537" spans="1:12" ht="11.25" customHeight="1">
      <c r="A3537" s="39">
        <v>3495</v>
      </c>
      <c r="B3537" s="40" t="s">
        <v>18490</v>
      </c>
      <c r="C3537" s="40" t="s">
        <v>18491</v>
      </c>
      <c r="D3537" s="40" t="s">
        <v>18492</v>
      </c>
      <c r="E3537" s="41">
        <v>18.05</v>
      </c>
      <c r="F3537" s="40"/>
      <c r="G3537" s="41"/>
      <c r="H3537" s="40"/>
      <c r="I3537" s="41"/>
      <c r="J3537" s="41">
        <f t="shared" si="13"/>
        <v>18.05</v>
      </c>
      <c r="K3537" s="42" t="s">
        <v>5796</v>
      </c>
      <c r="L3537" s="39">
        <v>3495</v>
      </c>
    </row>
    <row r="3538" spans="1:12" ht="11.25" customHeight="1">
      <c r="A3538" s="39">
        <v>3496</v>
      </c>
      <c r="B3538" s="40" t="s">
        <v>18493</v>
      </c>
      <c r="C3538" s="40" t="s">
        <v>18494</v>
      </c>
      <c r="D3538" s="40" t="s">
        <v>18495</v>
      </c>
      <c r="E3538" s="41">
        <v>18.05</v>
      </c>
      <c r="F3538" s="40"/>
      <c r="G3538" s="41"/>
      <c r="H3538" s="40"/>
      <c r="I3538" s="41"/>
      <c r="J3538" s="41">
        <f t="shared" si="13"/>
        <v>18.05</v>
      </c>
      <c r="K3538" s="42" t="s">
        <v>5796</v>
      </c>
      <c r="L3538" s="39">
        <v>3496</v>
      </c>
    </row>
    <row r="3539" spans="1:12" ht="11.25" customHeight="1">
      <c r="A3539" s="39">
        <v>3497</v>
      </c>
      <c r="B3539" s="40" t="s">
        <v>18496</v>
      </c>
      <c r="C3539" s="40" t="s">
        <v>18497</v>
      </c>
      <c r="D3539" s="40" t="s">
        <v>18498</v>
      </c>
      <c r="E3539" s="41">
        <v>18</v>
      </c>
      <c r="F3539" s="40"/>
      <c r="G3539" s="41"/>
      <c r="H3539" s="40"/>
      <c r="I3539" s="41"/>
      <c r="J3539" s="41">
        <f t="shared" si="13"/>
        <v>18</v>
      </c>
      <c r="K3539" s="42" t="s">
        <v>5796</v>
      </c>
      <c r="L3539" s="39">
        <v>3497</v>
      </c>
    </row>
    <row r="3540" spans="1:12" ht="11.25" customHeight="1">
      <c r="A3540" s="39">
        <v>3498</v>
      </c>
      <c r="B3540" s="40" t="s">
        <v>18499</v>
      </c>
      <c r="C3540" s="40" t="s">
        <v>18500</v>
      </c>
      <c r="D3540" s="40" t="s">
        <v>18501</v>
      </c>
      <c r="E3540" s="41">
        <v>17.989999999999998</v>
      </c>
      <c r="F3540" s="40"/>
      <c r="G3540" s="41"/>
      <c r="H3540" s="40"/>
      <c r="I3540" s="41"/>
      <c r="J3540" s="41">
        <f t="shared" si="13"/>
        <v>17.989999999999998</v>
      </c>
      <c r="K3540" s="42" t="s">
        <v>5796</v>
      </c>
      <c r="L3540" s="39">
        <v>3498</v>
      </c>
    </row>
    <row r="3541" spans="1:12" ht="11.25" customHeight="1">
      <c r="A3541" s="39">
        <v>3499</v>
      </c>
      <c r="B3541" s="40" t="s">
        <v>18502</v>
      </c>
      <c r="C3541" s="40" t="s">
        <v>18503</v>
      </c>
      <c r="D3541" s="40" t="s">
        <v>18504</v>
      </c>
      <c r="E3541" s="41">
        <v>17.95</v>
      </c>
      <c r="F3541" s="40"/>
      <c r="G3541" s="41"/>
      <c r="H3541" s="40"/>
      <c r="I3541" s="41"/>
      <c r="J3541" s="41">
        <f t="shared" si="13"/>
        <v>17.95</v>
      </c>
      <c r="K3541" s="42" t="s">
        <v>5796</v>
      </c>
      <c r="L3541" s="39">
        <v>3499</v>
      </c>
    </row>
    <row r="3542" spans="1:12" ht="11.25" customHeight="1">
      <c r="A3542" s="39">
        <v>3500</v>
      </c>
      <c r="B3542" s="40" t="s">
        <v>18505</v>
      </c>
      <c r="C3542" s="40" t="s">
        <v>18506</v>
      </c>
      <c r="D3542" s="40" t="s">
        <v>18507</v>
      </c>
      <c r="E3542" s="41">
        <v>17.93</v>
      </c>
      <c r="F3542" s="40"/>
      <c r="G3542" s="41"/>
      <c r="H3542" s="40"/>
      <c r="I3542" s="41"/>
      <c r="J3542" s="41">
        <f t="shared" si="13"/>
        <v>17.93</v>
      </c>
      <c r="K3542" s="42" t="s">
        <v>5796</v>
      </c>
      <c r="L3542" s="39">
        <v>3500</v>
      </c>
    </row>
    <row r="3543" spans="1:12" ht="11.25" customHeight="1">
      <c r="A3543" s="39">
        <v>3501</v>
      </c>
      <c r="B3543" s="40" t="s">
        <v>18508</v>
      </c>
      <c r="C3543" s="40" t="s">
        <v>18509</v>
      </c>
      <c r="D3543" s="40" t="s">
        <v>18510</v>
      </c>
      <c r="E3543" s="41">
        <v>17.89</v>
      </c>
      <c r="F3543" s="40"/>
      <c r="G3543" s="41"/>
      <c r="H3543" s="40"/>
      <c r="I3543" s="41"/>
      <c r="J3543" s="41">
        <f t="shared" si="13"/>
        <v>17.89</v>
      </c>
      <c r="K3543" s="42" t="s">
        <v>5796</v>
      </c>
      <c r="L3543" s="39">
        <v>3501</v>
      </c>
    </row>
    <row r="3544" spans="1:12" ht="11.25" customHeight="1">
      <c r="A3544" s="39">
        <v>3502</v>
      </c>
      <c r="B3544" s="40" t="s">
        <v>18511</v>
      </c>
      <c r="C3544" s="40" t="s">
        <v>18512</v>
      </c>
      <c r="D3544" s="40" t="s">
        <v>18513</v>
      </c>
      <c r="E3544" s="41">
        <v>17.850000000000001</v>
      </c>
      <c r="F3544" s="40"/>
      <c r="G3544" s="41"/>
      <c r="H3544" s="40"/>
      <c r="I3544" s="41"/>
      <c r="J3544" s="41">
        <f t="shared" si="13"/>
        <v>17.850000000000001</v>
      </c>
      <c r="K3544" s="42" t="s">
        <v>5796</v>
      </c>
      <c r="L3544" s="39">
        <v>3502</v>
      </c>
    </row>
    <row r="3545" spans="1:12" ht="11.25" customHeight="1">
      <c r="A3545" s="39">
        <v>3503</v>
      </c>
      <c r="B3545" s="40" t="s">
        <v>18514</v>
      </c>
      <c r="C3545" s="40" t="s">
        <v>18515</v>
      </c>
      <c r="D3545" s="40" t="s">
        <v>18516</v>
      </c>
      <c r="E3545" s="41">
        <v>17.850000000000001</v>
      </c>
      <c r="F3545" s="40"/>
      <c r="G3545" s="41"/>
      <c r="H3545" s="40"/>
      <c r="I3545" s="41"/>
      <c r="J3545" s="41">
        <f t="shared" si="13"/>
        <v>17.850000000000001</v>
      </c>
      <c r="K3545" s="42" t="s">
        <v>5796</v>
      </c>
      <c r="L3545" s="39">
        <v>3503</v>
      </c>
    </row>
    <row r="3546" spans="1:12" ht="11.25" customHeight="1">
      <c r="A3546" s="39">
        <v>3504</v>
      </c>
      <c r="B3546" s="40" t="s">
        <v>18517</v>
      </c>
      <c r="C3546" s="40" t="s">
        <v>18518</v>
      </c>
      <c r="D3546" s="40" t="s">
        <v>18519</v>
      </c>
      <c r="E3546" s="41">
        <v>17.84</v>
      </c>
      <c r="F3546" s="40"/>
      <c r="G3546" s="41"/>
      <c r="H3546" s="40"/>
      <c r="I3546" s="41"/>
      <c r="J3546" s="41">
        <f t="shared" si="13"/>
        <v>17.84</v>
      </c>
      <c r="K3546" s="42" t="s">
        <v>5796</v>
      </c>
      <c r="L3546" s="39">
        <v>3504</v>
      </c>
    </row>
    <row r="3547" spans="1:12" ht="11.25" customHeight="1">
      <c r="A3547" s="39">
        <v>3505</v>
      </c>
      <c r="B3547" s="40" t="s">
        <v>8330</v>
      </c>
      <c r="C3547" s="40" t="s">
        <v>18520</v>
      </c>
      <c r="D3547" s="40" t="s">
        <v>18521</v>
      </c>
      <c r="E3547" s="41">
        <v>17.829999999999998</v>
      </c>
      <c r="F3547" s="40"/>
      <c r="G3547" s="41"/>
      <c r="H3547" s="40"/>
      <c r="I3547" s="41"/>
      <c r="J3547" s="41">
        <f t="shared" si="13"/>
        <v>17.829999999999998</v>
      </c>
      <c r="K3547" s="42" t="s">
        <v>5796</v>
      </c>
      <c r="L3547" s="39">
        <v>3505</v>
      </c>
    </row>
    <row r="3548" spans="1:12" ht="11.25" customHeight="1">
      <c r="A3548" s="39">
        <v>3506</v>
      </c>
      <c r="B3548" s="52" t="s">
        <v>8594</v>
      </c>
      <c r="C3548" s="52" t="s">
        <v>18522</v>
      </c>
      <c r="D3548" s="40"/>
      <c r="E3548" s="41"/>
      <c r="F3548" s="40"/>
      <c r="G3548" s="41"/>
      <c r="H3548" s="52" t="s">
        <v>18523</v>
      </c>
      <c r="I3548" s="53">
        <v>17.791410000000013</v>
      </c>
      <c r="J3548" s="41">
        <f t="shared" si="13"/>
        <v>17.791410000000013</v>
      </c>
      <c r="K3548" s="42" t="s">
        <v>5796</v>
      </c>
      <c r="L3548" s="39">
        <v>3506</v>
      </c>
    </row>
    <row r="3549" spans="1:12" ht="11.25" customHeight="1">
      <c r="A3549" s="39">
        <v>3507</v>
      </c>
      <c r="B3549" s="40" t="s">
        <v>18524</v>
      </c>
      <c r="C3549" s="40" t="s">
        <v>18525</v>
      </c>
      <c r="D3549" s="40" t="s">
        <v>18526</v>
      </c>
      <c r="E3549" s="41">
        <v>17.78</v>
      </c>
      <c r="F3549" s="40"/>
      <c r="G3549" s="41"/>
      <c r="H3549" s="40"/>
      <c r="I3549" s="41"/>
      <c r="J3549" s="41">
        <f t="shared" si="13"/>
        <v>17.78</v>
      </c>
      <c r="K3549" s="42" t="s">
        <v>5796</v>
      </c>
      <c r="L3549" s="39">
        <v>3507</v>
      </c>
    </row>
    <row r="3550" spans="1:12" ht="11.25" customHeight="1">
      <c r="A3550" s="39">
        <v>3508</v>
      </c>
      <c r="B3550" s="40" t="s">
        <v>18527</v>
      </c>
      <c r="C3550" s="40" t="s">
        <v>18528</v>
      </c>
      <c r="D3550" s="40" t="s">
        <v>18529</v>
      </c>
      <c r="E3550" s="41">
        <v>17.75</v>
      </c>
      <c r="F3550" s="40"/>
      <c r="G3550" s="41"/>
      <c r="H3550" s="40"/>
      <c r="I3550" s="41"/>
      <c r="J3550" s="41">
        <f t="shared" si="13"/>
        <v>17.75</v>
      </c>
      <c r="K3550" s="42" t="s">
        <v>5796</v>
      </c>
      <c r="L3550" s="39">
        <v>3508</v>
      </c>
    </row>
    <row r="3551" spans="1:12" ht="11.25" customHeight="1">
      <c r="A3551" s="39">
        <v>3509</v>
      </c>
      <c r="B3551" s="40" t="s">
        <v>18530</v>
      </c>
      <c r="C3551" s="40" t="s">
        <v>18531</v>
      </c>
      <c r="D3551" s="40" t="s">
        <v>18532</v>
      </c>
      <c r="E3551" s="41">
        <v>17.75</v>
      </c>
      <c r="F3551" s="40"/>
      <c r="G3551" s="41"/>
      <c r="H3551" s="40"/>
      <c r="I3551" s="41"/>
      <c r="J3551" s="41">
        <f t="shared" si="13"/>
        <v>17.75</v>
      </c>
      <c r="K3551" s="42" t="s">
        <v>5796</v>
      </c>
      <c r="L3551" s="39">
        <v>3509</v>
      </c>
    </row>
    <row r="3552" spans="1:12" ht="11.25" customHeight="1">
      <c r="A3552" s="39">
        <v>3510</v>
      </c>
      <c r="B3552" s="40" t="s">
        <v>8485</v>
      </c>
      <c r="C3552" s="40" t="s">
        <v>18533</v>
      </c>
      <c r="D3552" s="40" t="s">
        <v>18534</v>
      </c>
      <c r="E3552" s="41">
        <v>17.75</v>
      </c>
      <c r="F3552" s="40"/>
      <c r="G3552" s="41"/>
      <c r="H3552" s="40"/>
      <c r="I3552" s="41"/>
      <c r="J3552" s="41">
        <f t="shared" si="13"/>
        <v>17.75</v>
      </c>
      <c r="K3552" s="42" t="s">
        <v>5796</v>
      </c>
      <c r="L3552" s="39">
        <v>3510</v>
      </c>
    </row>
    <row r="3553" spans="1:12" ht="11.25" customHeight="1">
      <c r="A3553" s="39">
        <v>3511</v>
      </c>
      <c r="B3553" s="40" t="s">
        <v>18535</v>
      </c>
      <c r="C3553" s="40" t="s">
        <v>18536</v>
      </c>
      <c r="D3553" s="40" t="s">
        <v>18537</v>
      </c>
      <c r="E3553" s="41">
        <v>17.68</v>
      </c>
      <c r="F3553" s="40"/>
      <c r="G3553" s="41"/>
      <c r="H3553" s="40"/>
      <c r="I3553" s="41"/>
      <c r="J3553" s="41">
        <f t="shared" si="13"/>
        <v>17.68</v>
      </c>
      <c r="K3553" s="42" t="s">
        <v>5796</v>
      </c>
      <c r="L3553" s="39">
        <v>3511</v>
      </c>
    </row>
    <row r="3554" spans="1:12" ht="11.25" customHeight="1">
      <c r="A3554" s="39">
        <v>3513</v>
      </c>
      <c r="B3554" s="40" t="s">
        <v>8558</v>
      </c>
      <c r="C3554" s="40" t="s">
        <v>18538</v>
      </c>
      <c r="D3554" s="40" t="s">
        <v>18539</v>
      </c>
      <c r="E3554" s="41">
        <v>17.63</v>
      </c>
      <c r="F3554" s="40"/>
      <c r="G3554" s="41"/>
      <c r="H3554" s="40"/>
      <c r="I3554" s="41"/>
      <c r="J3554" s="41">
        <f t="shared" si="13"/>
        <v>17.63</v>
      </c>
      <c r="K3554" s="42" t="s">
        <v>5796</v>
      </c>
      <c r="L3554" s="39">
        <v>3513</v>
      </c>
    </row>
    <row r="3555" spans="1:12" ht="11.25" customHeight="1">
      <c r="A3555" s="39">
        <v>3514</v>
      </c>
      <c r="B3555" s="40" t="s">
        <v>18540</v>
      </c>
      <c r="C3555" s="40" t="s">
        <v>18541</v>
      </c>
      <c r="D3555" s="40" t="s">
        <v>18542</v>
      </c>
      <c r="E3555" s="41">
        <v>17.62</v>
      </c>
      <c r="F3555" s="40"/>
      <c r="G3555" s="41"/>
      <c r="H3555" s="40"/>
      <c r="I3555" s="41"/>
      <c r="J3555" s="41">
        <f t="shared" si="13"/>
        <v>17.62</v>
      </c>
      <c r="K3555" s="42" t="s">
        <v>5796</v>
      </c>
      <c r="L3555" s="39">
        <v>3514</v>
      </c>
    </row>
    <row r="3556" spans="1:12" ht="11.25" customHeight="1">
      <c r="A3556" s="39">
        <v>3515</v>
      </c>
      <c r="B3556" s="40" t="s">
        <v>18543</v>
      </c>
      <c r="C3556" s="40" t="s">
        <v>18544</v>
      </c>
      <c r="D3556" s="40" t="s">
        <v>18545</v>
      </c>
      <c r="E3556" s="41">
        <v>17.52</v>
      </c>
      <c r="F3556" s="40"/>
      <c r="G3556" s="41"/>
      <c r="H3556" s="40"/>
      <c r="I3556" s="41"/>
      <c r="J3556" s="41">
        <f t="shared" si="13"/>
        <v>17.52</v>
      </c>
      <c r="K3556" s="42" t="s">
        <v>5796</v>
      </c>
      <c r="L3556" s="39">
        <v>3515</v>
      </c>
    </row>
    <row r="3557" spans="1:12" ht="11.25" customHeight="1">
      <c r="A3557" s="39">
        <v>3516</v>
      </c>
      <c r="B3557" s="40" t="s">
        <v>8815</v>
      </c>
      <c r="C3557" s="40" t="s">
        <v>18546</v>
      </c>
      <c r="D3557" s="40" t="s">
        <v>18547</v>
      </c>
      <c r="E3557" s="41">
        <v>17.47</v>
      </c>
      <c r="F3557" s="40"/>
      <c r="G3557" s="41"/>
      <c r="H3557" s="40"/>
      <c r="I3557" s="41"/>
      <c r="J3557" s="41">
        <f t="shared" si="13"/>
        <v>17.47</v>
      </c>
      <c r="K3557" s="42" t="s">
        <v>5796</v>
      </c>
      <c r="L3557" s="39">
        <v>3516</v>
      </c>
    </row>
    <row r="3558" spans="1:12" ht="11.25" customHeight="1">
      <c r="A3558" s="39">
        <v>3517</v>
      </c>
      <c r="B3558" s="52" t="s">
        <v>8610</v>
      </c>
      <c r="C3558" s="52" t="s">
        <v>18548</v>
      </c>
      <c r="D3558" s="40"/>
      <c r="E3558" s="41"/>
      <c r="F3558" s="40"/>
      <c r="G3558" s="41"/>
      <c r="H3558" s="52" t="s">
        <v>18549</v>
      </c>
      <c r="I3558" s="53">
        <v>17.400000000000041</v>
      </c>
      <c r="J3558" s="41">
        <f t="shared" si="13"/>
        <v>17.400000000000041</v>
      </c>
      <c r="K3558" s="42" t="s">
        <v>5796</v>
      </c>
      <c r="L3558" s="39">
        <v>3517</v>
      </c>
    </row>
    <row r="3559" spans="1:12" ht="11.25" customHeight="1">
      <c r="A3559" s="39">
        <v>3518</v>
      </c>
      <c r="B3559" s="40" t="s">
        <v>18550</v>
      </c>
      <c r="C3559" s="40" t="s">
        <v>18551</v>
      </c>
      <c r="D3559" s="40" t="s">
        <v>18552</v>
      </c>
      <c r="E3559" s="41">
        <v>17.309999999999999</v>
      </c>
      <c r="F3559" s="40"/>
      <c r="G3559" s="41"/>
      <c r="H3559" s="40"/>
      <c r="I3559" s="41"/>
      <c r="J3559" s="41">
        <f t="shared" si="13"/>
        <v>17.309999999999999</v>
      </c>
      <c r="K3559" s="42" t="s">
        <v>5796</v>
      </c>
      <c r="L3559" s="39">
        <v>3518</v>
      </c>
    </row>
    <row r="3560" spans="1:12" ht="11.25" customHeight="1">
      <c r="A3560" s="39">
        <v>3520</v>
      </c>
      <c r="B3560" s="40" t="s">
        <v>8572</v>
      </c>
      <c r="C3560" s="40" t="s">
        <v>18553</v>
      </c>
      <c r="D3560" s="40" t="s">
        <v>18554</v>
      </c>
      <c r="E3560" s="41">
        <v>17.27</v>
      </c>
      <c r="F3560" s="40"/>
      <c r="G3560" s="41"/>
      <c r="H3560" s="40"/>
      <c r="I3560" s="41"/>
      <c r="J3560" s="41">
        <f t="shared" si="13"/>
        <v>17.27</v>
      </c>
      <c r="K3560" s="42" t="s">
        <v>5796</v>
      </c>
      <c r="L3560" s="39">
        <v>3520</v>
      </c>
    </row>
    <row r="3561" spans="1:12" ht="11.25" customHeight="1">
      <c r="A3561" s="39">
        <v>3521</v>
      </c>
      <c r="B3561" s="40" t="s">
        <v>18555</v>
      </c>
      <c r="C3561" s="40" t="s">
        <v>18556</v>
      </c>
      <c r="D3561" s="40" t="s">
        <v>18557</v>
      </c>
      <c r="E3561" s="41">
        <v>17.23</v>
      </c>
      <c r="F3561" s="40"/>
      <c r="G3561" s="41"/>
      <c r="H3561" s="40"/>
      <c r="I3561" s="41"/>
      <c r="J3561" s="41">
        <f t="shared" si="13"/>
        <v>17.23</v>
      </c>
      <c r="K3561" s="42" t="s">
        <v>5796</v>
      </c>
      <c r="L3561" s="39">
        <v>3521</v>
      </c>
    </row>
    <row r="3562" spans="1:12" ht="11.25" customHeight="1">
      <c r="A3562" s="39">
        <v>3522</v>
      </c>
      <c r="B3562" s="40" t="s">
        <v>18558</v>
      </c>
      <c r="C3562" s="40" t="s">
        <v>18559</v>
      </c>
      <c r="D3562" s="40" t="s">
        <v>18560</v>
      </c>
      <c r="E3562" s="41">
        <v>17.2</v>
      </c>
      <c r="F3562" s="40"/>
      <c r="G3562" s="41"/>
      <c r="H3562" s="40"/>
      <c r="I3562" s="41"/>
      <c r="J3562" s="41">
        <f t="shared" si="13"/>
        <v>17.2</v>
      </c>
      <c r="K3562" s="42" t="s">
        <v>5796</v>
      </c>
      <c r="L3562" s="39">
        <v>3522</v>
      </c>
    </row>
    <row r="3563" spans="1:12" ht="11.25" customHeight="1">
      <c r="A3563" s="39">
        <v>3523</v>
      </c>
      <c r="B3563" s="40" t="s">
        <v>7958</v>
      </c>
      <c r="C3563" s="40" t="s">
        <v>18561</v>
      </c>
      <c r="D3563" s="40" t="s">
        <v>18562</v>
      </c>
      <c r="E3563" s="41">
        <v>17.2</v>
      </c>
      <c r="F3563" s="40"/>
      <c r="G3563" s="41"/>
      <c r="H3563" s="40"/>
      <c r="I3563" s="41"/>
      <c r="J3563" s="41">
        <f t="shared" si="13"/>
        <v>17.2</v>
      </c>
      <c r="K3563" s="42" t="s">
        <v>5796</v>
      </c>
      <c r="L3563" s="39">
        <v>3523</v>
      </c>
    </row>
    <row r="3564" spans="1:12" ht="11.25" customHeight="1">
      <c r="A3564" s="39">
        <v>3524</v>
      </c>
      <c r="B3564" s="40" t="s">
        <v>8674</v>
      </c>
      <c r="C3564" s="40" t="s">
        <v>18563</v>
      </c>
      <c r="D3564" s="40" t="s">
        <v>18564</v>
      </c>
      <c r="E3564" s="41">
        <v>17.190000000000001</v>
      </c>
      <c r="F3564" s="40"/>
      <c r="G3564" s="41"/>
      <c r="H3564" s="40"/>
      <c r="I3564" s="41"/>
      <c r="J3564" s="41">
        <f t="shared" si="13"/>
        <v>17.190000000000001</v>
      </c>
      <c r="K3564" s="42" t="s">
        <v>5796</v>
      </c>
      <c r="L3564" s="39">
        <v>3524</v>
      </c>
    </row>
    <row r="3565" spans="1:12" ht="11.25" customHeight="1">
      <c r="A3565" s="39">
        <v>3525</v>
      </c>
      <c r="B3565" s="40" t="s">
        <v>18565</v>
      </c>
      <c r="C3565" s="40" t="s">
        <v>18566</v>
      </c>
      <c r="D3565" s="40" t="s">
        <v>18567</v>
      </c>
      <c r="E3565" s="41">
        <v>17.18</v>
      </c>
      <c r="F3565" s="40"/>
      <c r="G3565" s="41"/>
      <c r="H3565" s="40"/>
      <c r="I3565" s="41"/>
      <c r="J3565" s="41">
        <f t="shared" si="13"/>
        <v>17.18</v>
      </c>
      <c r="K3565" s="42" t="s">
        <v>5796</v>
      </c>
      <c r="L3565" s="39">
        <v>3525</v>
      </c>
    </row>
    <row r="3566" spans="1:12" ht="11.25" customHeight="1">
      <c r="A3566" s="39">
        <v>3526</v>
      </c>
      <c r="B3566" s="40" t="s">
        <v>18568</v>
      </c>
      <c r="C3566" s="40" t="s">
        <v>18569</v>
      </c>
      <c r="D3566" s="40" t="s">
        <v>18570</v>
      </c>
      <c r="E3566" s="41">
        <v>17.170000000000002</v>
      </c>
      <c r="F3566" s="40"/>
      <c r="G3566" s="41"/>
      <c r="H3566" s="40"/>
      <c r="I3566" s="41"/>
      <c r="J3566" s="41">
        <f t="shared" si="13"/>
        <v>17.170000000000002</v>
      </c>
      <c r="K3566" s="42" t="s">
        <v>5796</v>
      </c>
      <c r="L3566" s="39">
        <v>3526</v>
      </c>
    </row>
    <row r="3567" spans="1:12" ht="11.25" customHeight="1">
      <c r="A3567" s="39">
        <v>3527</v>
      </c>
      <c r="B3567" s="40" t="s">
        <v>18571</v>
      </c>
      <c r="C3567" s="40" t="s">
        <v>18572</v>
      </c>
      <c r="D3567" s="40" t="s">
        <v>18573</v>
      </c>
      <c r="E3567" s="41">
        <v>17.170000000000002</v>
      </c>
      <c r="F3567" s="40"/>
      <c r="G3567" s="41"/>
      <c r="H3567" s="40"/>
      <c r="I3567" s="41"/>
      <c r="J3567" s="41">
        <f t="shared" si="13"/>
        <v>17.170000000000002</v>
      </c>
      <c r="K3567" s="42" t="s">
        <v>5796</v>
      </c>
      <c r="L3567" s="39">
        <v>3527</v>
      </c>
    </row>
    <row r="3568" spans="1:12" ht="11.25" customHeight="1">
      <c r="A3568" s="39">
        <v>3529</v>
      </c>
      <c r="B3568" s="40" t="s">
        <v>18574</v>
      </c>
      <c r="C3568" s="40" t="s">
        <v>18575</v>
      </c>
      <c r="D3568" s="40" t="s">
        <v>18576</v>
      </c>
      <c r="E3568" s="41">
        <v>17.11</v>
      </c>
      <c r="F3568" s="40"/>
      <c r="G3568" s="41"/>
      <c r="H3568" s="40"/>
      <c r="I3568" s="41"/>
      <c r="J3568" s="41">
        <f t="shared" si="13"/>
        <v>17.11</v>
      </c>
      <c r="K3568" s="42" t="s">
        <v>5796</v>
      </c>
      <c r="L3568" s="39">
        <v>3529</v>
      </c>
    </row>
    <row r="3569" spans="1:12" ht="11.25" customHeight="1">
      <c r="A3569" s="39">
        <v>3530</v>
      </c>
      <c r="B3569" s="40" t="s">
        <v>18577</v>
      </c>
      <c r="C3569" s="40" t="s">
        <v>18578</v>
      </c>
      <c r="D3569" s="40" t="s">
        <v>18579</v>
      </c>
      <c r="E3569" s="41">
        <v>17.11</v>
      </c>
      <c r="F3569" s="40"/>
      <c r="G3569" s="41"/>
      <c r="H3569" s="40"/>
      <c r="I3569" s="41"/>
      <c r="J3569" s="41">
        <f t="shared" si="13"/>
        <v>17.11</v>
      </c>
      <c r="K3569" s="42" t="s">
        <v>5796</v>
      </c>
      <c r="L3569" s="39">
        <v>3530</v>
      </c>
    </row>
    <row r="3570" spans="1:12" ht="11.25" customHeight="1">
      <c r="A3570" s="39">
        <v>3531</v>
      </c>
      <c r="B3570" s="40" t="s">
        <v>18580</v>
      </c>
      <c r="C3570" s="40" t="s">
        <v>18581</v>
      </c>
      <c r="D3570" s="40" t="s">
        <v>18582</v>
      </c>
      <c r="E3570" s="41">
        <v>17.11</v>
      </c>
      <c r="F3570" s="40"/>
      <c r="G3570" s="41"/>
      <c r="H3570" s="40"/>
      <c r="I3570" s="41"/>
      <c r="J3570" s="41">
        <f t="shared" si="13"/>
        <v>17.11</v>
      </c>
      <c r="K3570" s="42" t="s">
        <v>5796</v>
      </c>
      <c r="L3570" s="39">
        <v>3531</v>
      </c>
    </row>
    <row r="3571" spans="1:12" ht="11.25" customHeight="1">
      <c r="A3571" s="39">
        <v>3532</v>
      </c>
      <c r="B3571" s="40" t="s">
        <v>18583</v>
      </c>
      <c r="C3571" s="40" t="s">
        <v>18584</v>
      </c>
      <c r="D3571" s="40" t="s">
        <v>18585</v>
      </c>
      <c r="E3571" s="41">
        <v>17.09</v>
      </c>
      <c r="F3571" s="40"/>
      <c r="G3571" s="41"/>
      <c r="H3571" s="40"/>
      <c r="I3571" s="41"/>
      <c r="J3571" s="41">
        <f t="shared" si="13"/>
        <v>17.09</v>
      </c>
      <c r="K3571" s="42" t="s">
        <v>5796</v>
      </c>
      <c r="L3571" s="39">
        <v>3532</v>
      </c>
    </row>
    <row r="3572" spans="1:12" ht="11.25" customHeight="1">
      <c r="A3572" s="39">
        <v>3533</v>
      </c>
      <c r="B3572" s="40" t="s">
        <v>8490</v>
      </c>
      <c r="C3572" s="40" t="s">
        <v>18586</v>
      </c>
      <c r="D3572" s="40" t="s">
        <v>18587</v>
      </c>
      <c r="E3572" s="41">
        <v>17.079999999999998</v>
      </c>
      <c r="F3572" s="40"/>
      <c r="G3572" s="41"/>
      <c r="H3572" s="40"/>
      <c r="I3572" s="41"/>
      <c r="J3572" s="41">
        <f t="shared" si="13"/>
        <v>17.079999999999998</v>
      </c>
      <c r="K3572" s="42" t="s">
        <v>5796</v>
      </c>
      <c r="L3572" s="39">
        <v>3533</v>
      </c>
    </row>
    <row r="3573" spans="1:12" ht="11.25" customHeight="1">
      <c r="A3573" s="39">
        <v>3534</v>
      </c>
      <c r="B3573" s="40" t="s">
        <v>18588</v>
      </c>
      <c r="C3573" s="40" t="s">
        <v>18589</v>
      </c>
      <c r="D3573" s="40" t="s">
        <v>18590</v>
      </c>
      <c r="E3573" s="41">
        <v>17.079999999999998</v>
      </c>
      <c r="F3573" s="40"/>
      <c r="G3573" s="41"/>
      <c r="H3573" s="40"/>
      <c r="I3573" s="41"/>
      <c r="J3573" s="41">
        <f t="shared" ref="J3573:J3827" si="14">AVERAGE(E3573,G3573,I3573)</f>
        <v>17.079999999999998</v>
      </c>
      <c r="K3573" s="42" t="s">
        <v>5796</v>
      </c>
      <c r="L3573" s="39">
        <v>3534</v>
      </c>
    </row>
    <row r="3574" spans="1:12" ht="11.25" customHeight="1">
      <c r="A3574" s="39">
        <v>3535</v>
      </c>
      <c r="B3574" s="40" t="s">
        <v>18591</v>
      </c>
      <c r="C3574" s="40" t="s">
        <v>18592</v>
      </c>
      <c r="D3574" s="40" t="s">
        <v>18593</v>
      </c>
      <c r="E3574" s="41">
        <v>17.02</v>
      </c>
      <c r="F3574" s="40"/>
      <c r="G3574" s="41"/>
      <c r="H3574" s="40"/>
      <c r="I3574" s="41"/>
      <c r="J3574" s="41">
        <f t="shared" si="14"/>
        <v>17.02</v>
      </c>
      <c r="K3574" s="42" t="s">
        <v>5796</v>
      </c>
      <c r="L3574" s="39">
        <v>3535</v>
      </c>
    </row>
    <row r="3575" spans="1:12" ht="11.25" customHeight="1">
      <c r="A3575" s="39">
        <v>3536</v>
      </c>
      <c r="B3575" s="54" t="s">
        <v>8806</v>
      </c>
      <c r="C3575" s="54" t="s">
        <v>18594</v>
      </c>
      <c r="D3575" s="40"/>
      <c r="E3575" s="41"/>
      <c r="F3575" s="40"/>
      <c r="G3575" s="41"/>
      <c r="H3575" s="54" t="s">
        <v>18595</v>
      </c>
      <c r="I3575" s="41">
        <v>16.975071295000003</v>
      </c>
      <c r="J3575" s="41">
        <f t="shared" si="14"/>
        <v>16.975071295000003</v>
      </c>
      <c r="K3575" s="42" t="s">
        <v>5796</v>
      </c>
      <c r="L3575" s="39">
        <v>3536</v>
      </c>
    </row>
    <row r="3576" spans="1:12" ht="11.25" customHeight="1">
      <c r="A3576" s="39">
        <v>3537</v>
      </c>
      <c r="B3576" s="40" t="s">
        <v>8605</v>
      </c>
      <c r="C3576" s="40" t="s">
        <v>18596</v>
      </c>
      <c r="D3576" s="40" t="s">
        <v>18597</v>
      </c>
      <c r="E3576" s="41">
        <v>16.97</v>
      </c>
      <c r="F3576" s="40"/>
      <c r="G3576" s="41"/>
      <c r="H3576" s="40"/>
      <c r="I3576" s="41"/>
      <c r="J3576" s="41">
        <f t="shared" si="14"/>
        <v>16.97</v>
      </c>
      <c r="K3576" s="42" t="s">
        <v>5796</v>
      </c>
      <c r="L3576" s="39">
        <v>3537</v>
      </c>
    </row>
    <row r="3577" spans="1:12" ht="11.25" customHeight="1">
      <c r="A3577" s="39">
        <v>3538</v>
      </c>
      <c r="B3577" s="40" t="s">
        <v>18598</v>
      </c>
      <c r="C3577" s="40" t="s">
        <v>18599</v>
      </c>
      <c r="D3577" s="40" t="s">
        <v>18600</v>
      </c>
      <c r="E3577" s="41">
        <v>16.96</v>
      </c>
      <c r="F3577" s="40"/>
      <c r="G3577" s="41"/>
      <c r="H3577" s="40"/>
      <c r="I3577" s="41"/>
      <c r="J3577" s="41">
        <f t="shared" si="14"/>
        <v>16.96</v>
      </c>
      <c r="K3577" s="42" t="s">
        <v>5796</v>
      </c>
      <c r="L3577" s="39">
        <v>3538</v>
      </c>
    </row>
    <row r="3578" spans="1:12" ht="11.25" customHeight="1">
      <c r="A3578" s="39">
        <v>3539</v>
      </c>
      <c r="B3578" s="40" t="s">
        <v>18601</v>
      </c>
      <c r="C3578" s="40" t="s">
        <v>18602</v>
      </c>
      <c r="D3578" s="40" t="s">
        <v>18603</v>
      </c>
      <c r="E3578" s="41">
        <v>16.920000000000002</v>
      </c>
      <c r="F3578" s="40"/>
      <c r="G3578" s="41"/>
      <c r="H3578" s="40"/>
      <c r="I3578" s="41"/>
      <c r="J3578" s="41">
        <f t="shared" si="14"/>
        <v>16.920000000000002</v>
      </c>
      <c r="K3578" s="42" t="s">
        <v>5796</v>
      </c>
      <c r="L3578" s="39">
        <v>3539</v>
      </c>
    </row>
    <row r="3579" spans="1:12" ht="11.25" customHeight="1">
      <c r="A3579" s="39">
        <v>3540</v>
      </c>
      <c r="B3579" s="40" t="s">
        <v>18604</v>
      </c>
      <c r="C3579" s="40" t="s">
        <v>18605</v>
      </c>
      <c r="D3579" s="40" t="s">
        <v>18606</v>
      </c>
      <c r="E3579" s="41">
        <v>16.899999999999999</v>
      </c>
      <c r="F3579" s="40"/>
      <c r="G3579" s="41"/>
      <c r="H3579" s="40"/>
      <c r="I3579" s="41"/>
      <c r="J3579" s="41">
        <f t="shared" si="14"/>
        <v>16.899999999999999</v>
      </c>
      <c r="K3579" s="42" t="s">
        <v>5796</v>
      </c>
      <c r="L3579" s="39">
        <v>3540</v>
      </c>
    </row>
    <row r="3580" spans="1:12" ht="11.25" customHeight="1">
      <c r="A3580" s="39">
        <v>3541</v>
      </c>
      <c r="B3580" s="40" t="s">
        <v>18607</v>
      </c>
      <c r="C3580" s="40" t="s">
        <v>18608</v>
      </c>
      <c r="D3580" s="40" t="s">
        <v>18609</v>
      </c>
      <c r="E3580" s="41">
        <v>16.899999999999999</v>
      </c>
      <c r="F3580" s="40"/>
      <c r="G3580" s="41"/>
      <c r="H3580" s="40"/>
      <c r="I3580" s="41"/>
      <c r="J3580" s="41">
        <f t="shared" si="14"/>
        <v>16.899999999999999</v>
      </c>
      <c r="K3580" s="42" t="s">
        <v>5796</v>
      </c>
      <c r="L3580" s="39">
        <v>3541</v>
      </c>
    </row>
    <row r="3581" spans="1:12" ht="11.25" customHeight="1">
      <c r="A3581" s="39">
        <v>3542</v>
      </c>
      <c r="B3581" s="40" t="s">
        <v>18610</v>
      </c>
      <c r="C3581" s="40" t="s">
        <v>18611</v>
      </c>
      <c r="D3581" s="40" t="s">
        <v>18612</v>
      </c>
      <c r="E3581" s="41">
        <v>16.87</v>
      </c>
      <c r="F3581" s="40"/>
      <c r="G3581" s="41"/>
      <c r="H3581" s="40"/>
      <c r="I3581" s="41"/>
      <c r="J3581" s="41">
        <f t="shared" si="14"/>
        <v>16.87</v>
      </c>
      <c r="K3581" s="42" t="s">
        <v>5796</v>
      </c>
      <c r="L3581" s="39">
        <v>3542</v>
      </c>
    </row>
    <row r="3582" spans="1:12" ht="11.25" customHeight="1">
      <c r="A3582" s="39">
        <v>3543</v>
      </c>
      <c r="B3582" s="40" t="s">
        <v>18613</v>
      </c>
      <c r="C3582" s="40" t="s">
        <v>18614</v>
      </c>
      <c r="D3582" s="40" t="s">
        <v>18615</v>
      </c>
      <c r="E3582" s="41">
        <v>16.829999999999998</v>
      </c>
      <c r="F3582" s="40"/>
      <c r="G3582" s="41"/>
      <c r="H3582" s="40"/>
      <c r="I3582" s="41"/>
      <c r="J3582" s="41">
        <f t="shared" si="14"/>
        <v>16.829999999999998</v>
      </c>
      <c r="K3582" s="42" t="s">
        <v>5796</v>
      </c>
      <c r="L3582" s="39">
        <v>3543</v>
      </c>
    </row>
    <row r="3583" spans="1:12" ht="11.25" customHeight="1">
      <c r="A3583" s="39">
        <v>3544</v>
      </c>
      <c r="B3583" s="40" t="s">
        <v>8494</v>
      </c>
      <c r="C3583" s="40" t="s">
        <v>18616</v>
      </c>
      <c r="D3583" s="40" t="s">
        <v>18617</v>
      </c>
      <c r="E3583" s="41">
        <v>16.8</v>
      </c>
      <c r="F3583" s="40"/>
      <c r="G3583" s="41"/>
      <c r="H3583" s="40"/>
      <c r="I3583" s="41"/>
      <c r="J3583" s="41">
        <f t="shared" si="14"/>
        <v>16.8</v>
      </c>
      <c r="K3583" s="42" t="s">
        <v>5796</v>
      </c>
      <c r="L3583" s="39">
        <v>3544</v>
      </c>
    </row>
    <row r="3584" spans="1:12" ht="11.25" customHeight="1">
      <c r="A3584" s="39">
        <v>3545</v>
      </c>
      <c r="B3584" s="40" t="s">
        <v>18618</v>
      </c>
      <c r="C3584" s="40" t="s">
        <v>18619</v>
      </c>
      <c r="D3584" s="40" t="s">
        <v>18620</v>
      </c>
      <c r="E3584" s="41">
        <v>16.77</v>
      </c>
      <c r="F3584" s="40"/>
      <c r="G3584" s="41"/>
      <c r="H3584" s="40"/>
      <c r="I3584" s="41"/>
      <c r="J3584" s="41">
        <f t="shared" si="14"/>
        <v>16.77</v>
      </c>
      <c r="K3584" s="42" t="s">
        <v>5796</v>
      </c>
      <c r="L3584" s="39">
        <v>3545</v>
      </c>
    </row>
    <row r="3585" spans="1:12" ht="11.25" customHeight="1">
      <c r="A3585" s="39">
        <v>3546</v>
      </c>
      <c r="B3585" s="40" t="s">
        <v>18621</v>
      </c>
      <c r="C3585" s="40" t="s">
        <v>18622</v>
      </c>
      <c r="D3585" s="40" t="s">
        <v>18623</v>
      </c>
      <c r="E3585" s="41">
        <v>16.73</v>
      </c>
      <c r="F3585" s="40"/>
      <c r="G3585" s="41"/>
      <c r="H3585" s="40"/>
      <c r="I3585" s="41"/>
      <c r="J3585" s="41">
        <f t="shared" si="14"/>
        <v>16.73</v>
      </c>
      <c r="K3585" s="42" t="s">
        <v>5796</v>
      </c>
      <c r="L3585" s="39">
        <v>3546</v>
      </c>
    </row>
    <row r="3586" spans="1:12" ht="11.25" customHeight="1">
      <c r="A3586" s="39">
        <v>3547</v>
      </c>
      <c r="B3586" s="40" t="s">
        <v>18624</v>
      </c>
      <c r="C3586" s="40" t="s">
        <v>18625</v>
      </c>
      <c r="D3586" s="40" t="s">
        <v>18626</v>
      </c>
      <c r="E3586" s="41">
        <v>16.73</v>
      </c>
      <c r="F3586" s="40"/>
      <c r="G3586" s="41"/>
      <c r="H3586" s="40"/>
      <c r="I3586" s="41"/>
      <c r="J3586" s="41">
        <f t="shared" si="14"/>
        <v>16.73</v>
      </c>
      <c r="K3586" s="42" t="s">
        <v>5796</v>
      </c>
      <c r="L3586" s="39">
        <v>3547</v>
      </c>
    </row>
    <row r="3587" spans="1:12" ht="11.25" customHeight="1">
      <c r="A3587" s="39">
        <v>3548</v>
      </c>
      <c r="B3587" s="40" t="s">
        <v>18627</v>
      </c>
      <c r="C3587" s="40" t="s">
        <v>18628</v>
      </c>
      <c r="D3587" s="40" t="s">
        <v>1178</v>
      </c>
      <c r="E3587" s="41">
        <v>16.73</v>
      </c>
      <c r="F3587" s="40"/>
      <c r="G3587" s="41"/>
      <c r="H3587" s="40"/>
      <c r="I3587" s="41"/>
      <c r="J3587" s="41">
        <f t="shared" si="14"/>
        <v>16.73</v>
      </c>
      <c r="K3587" s="42" t="s">
        <v>5796</v>
      </c>
      <c r="L3587" s="39">
        <v>3548</v>
      </c>
    </row>
    <row r="3588" spans="1:12" ht="11.25" customHeight="1">
      <c r="A3588" s="39">
        <v>3549</v>
      </c>
      <c r="B3588" s="40" t="s">
        <v>18629</v>
      </c>
      <c r="C3588" s="40" t="s">
        <v>18630</v>
      </c>
      <c r="D3588" s="40" t="s">
        <v>18631</v>
      </c>
      <c r="E3588" s="41">
        <v>16.71</v>
      </c>
      <c r="F3588" s="40"/>
      <c r="G3588" s="41"/>
      <c r="H3588" s="40"/>
      <c r="I3588" s="41"/>
      <c r="J3588" s="41">
        <f t="shared" si="14"/>
        <v>16.71</v>
      </c>
      <c r="K3588" s="42" t="s">
        <v>5796</v>
      </c>
      <c r="L3588" s="39">
        <v>3549</v>
      </c>
    </row>
    <row r="3589" spans="1:12" ht="11.25" customHeight="1">
      <c r="A3589" s="39">
        <v>3550</v>
      </c>
      <c r="B3589" s="40" t="s">
        <v>18632</v>
      </c>
      <c r="C3589" s="40" t="s">
        <v>18633</v>
      </c>
      <c r="D3589" s="40" t="s">
        <v>18634</v>
      </c>
      <c r="E3589" s="41">
        <v>16.649999999999999</v>
      </c>
      <c r="F3589" s="40"/>
      <c r="G3589" s="41"/>
      <c r="H3589" s="40"/>
      <c r="I3589" s="41"/>
      <c r="J3589" s="41">
        <f t="shared" si="14"/>
        <v>16.649999999999999</v>
      </c>
      <c r="K3589" s="42" t="s">
        <v>5796</v>
      </c>
      <c r="L3589" s="39">
        <v>3550</v>
      </c>
    </row>
    <row r="3590" spans="1:12" ht="11.25" customHeight="1">
      <c r="A3590" s="39">
        <v>3551</v>
      </c>
      <c r="B3590" s="40" t="s">
        <v>18635</v>
      </c>
      <c r="C3590" s="40" t="s">
        <v>18636</v>
      </c>
      <c r="D3590" s="40" t="s">
        <v>18637</v>
      </c>
      <c r="E3590" s="41">
        <v>16.63</v>
      </c>
      <c r="F3590" s="40"/>
      <c r="G3590" s="41"/>
      <c r="H3590" s="40"/>
      <c r="I3590" s="41"/>
      <c r="J3590" s="41">
        <f t="shared" si="14"/>
        <v>16.63</v>
      </c>
      <c r="K3590" s="42" t="s">
        <v>5796</v>
      </c>
      <c r="L3590" s="39">
        <v>3551</v>
      </c>
    </row>
    <row r="3591" spans="1:12" ht="11.25" customHeight="1">
      <c r="A3591" s="39">
        <v>3552</v>
      </c>
      <c r="B3591" s="40" t="s">
        <v>18638</v>
      </c>
      <c r="C3591" s="40" t="s">
        <v>18639</v>
      </c>
      <c r="D3591" s="40" t="s">
        <v>18640</v>
      </c>
      <c r="E3591" s="41">
        <v>16.600000000000001</v>
      </c>
      <c r="F3591" s="40"/>
      <c r="G3591" s="41"/>
      <c r="H3591" s="40"/>
      <c r="I3591" s="41"/>
      <c r="J3591" s="41">
        <f t="shared" si="14"/>
        <v>16.600000000000001</v>
      </c>
      <c r="K3591" s="42" t="s">
        <v>5796</v>
      </c>
      <c r="L3591" s="39">
        <v>3552</v>
      </c>
    </row>
    <row r="3592" spans="1:12" ht="11.25" customHeight="1">
      <c r="A3592" s="39">
        <v>3553</v>
      </c>
      <c r="B3592" s="40" t="s">
        <v>18641</v>
      </c>
      <c r="C3592" s="40" t="s">
        <v>18642</v>
      </c>
      <c r="D3592" s="40" t="s">
        <v>18643</v>
      </c>
      <c r="E3592" s="41">
        <v>16.55</v>
      </c>
      <c r="F3592" s="40"/>
      <c r="G3592" s="41"/>
      <c r="H3592" s="40"/>
      <c r="I3592" s="41"/>
      <c r="J3592" s="41">
        <f t="shared" si="14"/>
        <v>16.55</v>
      </c>
      <c r="K3592" s="42" t="s">
        <v>5796</v>
      </c>
      <c r="L3592" s="39">
        <v>3553</v>
      </c>
    </row>
    <row r="3593" spans="1:12" ht="11.25" customHeight="1">
      <c r="A3593" s="39">
        <v>3554</v>
      </c>
      <c r="B3593" s="40" t="s">
        <v>18644</v>
      </c>
      <c r="C3593" s="40" t="s">
        <v>18645</v>
      </c>
      <c r="D3593" s="40" t="s">
        <v>18646</v>
      </c>
      <c r="E3593" s="41">
        <v>16.54</v>
      </c>
      <c r="F3593" s="40"/>
      <c r="G3593" s="41"/>
      <c r="H3593" s="40"/>
      <c r="I3593" s="41"/>
      <c r="J3593" s="41">
        <f t="shared" si="14"/>
        <v>16.54</v>
      </c>
      <c r="K3593" s="42" t="s">
        <v>5796</v>
      </c>
      <c r="L3593" s="39">
        <v>3554</v>
      </c>
    </row>
    <row r="3594" spans="1:12" ht="11.25" customHeight="1">
      <c r="A3594" s="39">
        <v>3555</v>
      </c>
      <c r="B3594" s="40" t="s">
        <v>18647</v>
      </c>
      <c r="C3594" s="40" t="s">
        <v>18648</v>
      </c>
      <c r="D3594" s="40" t="s">
        <v>18649</v>
      </c>
      <c r="E3594" s="41">
        <v>16.510000000000002</v>
      </c>
      <c r="F3594" s="40"/>
      <c r="G3594" s="41"/>
      <c r="H3594" s="40"/>
      <c r="I3594" s="41"/>
      <c r="J3594" s="41">
        <f t="shared" si="14"/>
        <v>16.510000000000002</v>
      </c>
      <c r="K3594" s="42" t="s">
        <v>5796</v>
      </c>
      <c r="L3594" s="39">
        <v>3555</v>
      </c>
    </row>
    <row r="3595" spans="1:12" ht="11.25" customHeight="1">
      <c r="A3595" s="39">
        <v>3556</v>
      </c>
      <c r="B3595" s="40" t="s">
        <v>18650</v>
      </c>
      <c r="C3595" s="40" t="s">
        <v>18651</v>
      </c>
      <c r="D3595" s="40" t="s">
        <v>18652</v>
      </c>
      <c r="E3595" s="41">
        <v>16.489999999999998</v>
      </c>
      <c r="F3595" s="40"/>
      <c r="G3595" s="41"/>
      <c r="H3595" s="40"/>
      <c r="I3595" s="41"/>
      <c r="J3595" s="41">
        <f t="shared" si="14"/>
        <v>16.489999999999998</v>
      </c>
      <c r="K3595" s="42" t="s">
        <v>5796</v>
      </c>
      <c r="L3595" s="39">
        <v>3556</v>
      </c>
    </row>
    <row r="3596" spans="1:12" ht="11.25" customHeight="1">
      <c r="A3596" s="39">
        <v>3557</v>
      </c>
      <c r="B3596" s="40" t="s">
        <v>18653</v>
      </c>
      <c r="C3596" s="40" t="s">
        <v>18654</v>
      </c>
      <c r="D3596" s="40" t="s">
        <v>18655</v>
      </c>
      <c r="E3596" s="41">
        <v>16.45</v>
      </c>
      <c r="F3596" s="40"/>
      <c r="G3596" s="41"/>
      <c r="H3596" s="40"/>
      <c r="I3596" s="41"/>
      <c r="J3596" s="41">
        <f t="shared" si="14"/>
        <v>16.45</v>
      </c>
      <c r="K3596" s="42" t="s">
        <v>5796</v>
      </c>
      <c r="L3596" s="39">
        <v>3557</v>
      </c>
    </row>
    <row r="3597" spans="1:12" ht="11.25" customHeight="1">
      <c r="A3597" s="39">
        <v>3558</v>
      </c>
      <c r="B3597" s="40" t="s">
        <v>18656</v>
      </c>
      <c r="C3597" s="40" t="s">
        <v>18657</v>
      </c>
      <c r="D3597" s="40" t="s">
        <v>18658</v>
      </c>
      <c r="E3597" s="41">
        <v>16.43</v>
      </c>
      <c r="F3597" s="40"/>
      <c r="G3597" s="41"/>
      <c r="H3597" s="40"/>
      <c r="I3597" s="41"/>
      <c r="J3597" s="41">
        <f t="shared" si="14"/>
        <v>16.43</v>
      </c>
      <c r="K3597" s="42" t="s">
        <v>5796</v>
      </c>
      <c r="L3597" s="39">
        <v>3558</v>
      </c>
    </row>
    <row r="3598" spans="1:12" ht="11.25" customHeight="1">
      <c r="A3598" s="39">
        <v>3559</v>
      </c>
      <c r="B3598" s="54" t="s">
        <v>18659</v>
      </c>
      <c r="C3598" s="54" t="s">
        <v>18660</v>
      </c>
      <c r="D3598" s="40"/>
      <c r="E3598" s="41"/>
      <c r="F3598" s="40"/>
      <c r="G3598" s="41"/>
      <c r="H3598" s="54" t="s">
        <v>18661</v>
      </c>
      <c r="I3598" s="41">
        <v>16.410625</v>
      </c>
      <c r="J3598" s="41">
        <f t="shared" si="14"/>
        <v>16.410625</v>
      </c>
      <c r="K3598" s="42" t="s">
        <v>5796</v>
      </c>
      <c r="L3598" s="39">
        <v>3559</v>
      </c>
    </row>
    <row r="3599" spans="1:12" ht="11.25" customHeight="1">
      <c r="A3599" s="39">
        <v>3560</v>
      </c>
      <c r="B3599" s="40" t="s">
        <v>18662</v>
      </c>
      <c r="C3599" s="40" t="s">
        <v>18663</v>
      </c>
      <c r="D3599" s="40" t="s">
        <v>18664</v>
      </c>
      <c r="E3599" s="41">
        <v>16.37</v>
      </c>
      <c r="F3599" s="40"/>
      <c r="G3599" s="41"/>
      <c r="H3599" s="40" t="s">
        <v>18664</v>
      </c>
      <c r="I3599" s="41">
        <v>16.376145461290317</v>
      </c>
      <c r="J3599" s="41">
        <f t="shared" si="14"/>
        <v>16.373072730645159</v>
      </c>
      <c r="K3599" s="42" t="s">
        <v>5796</v>
      </c>
      <c r="L3599" s="39">
        <v>3560</v>
      </c>
    </row>
    <row r="3600" spans="1:12" ht="11.25" customHeight="1">
      <c r="A3600" s="39">
        <v>3561</v>
      </c>
      <c r="B3600" s="40" t="s">
        <v>18665</v>
      </c>
      <c r="C3600" s="40" t="s">
        <v>18666</v>
      </c>
      <c r="D3600" s="40" t="s">
        <v>18667</v>
      </c>
      <c r="E3600" s="41">
        <v>16.350000000000001</v>
      </c>
      <c r="F3600" s="40"/>
      <c r="G3600" s="41"/>
      <c r="H3600" s="40"/>
      <c r="I3600" s="41"/>
      <c r="J3600" s="41">
        <f t="shared" si="14"/>
        <v>16.350000000000001</v>
      </c>
      <c r="K3600" s="42" t="s">
        <v>5796</v>
      </c>
      <c r="L3600" s="39">
        <v>3561</v>
      </c>
    </row>
    <row r="3601" spans="1:12" ht="11.25" customHeight="1">
      <c r="A3601" s="39">
        <v>3563</v>
      </c>
      <c r="B3601" s="40" t="s">
        <v>18668</v>
      </c>
      <c r="C3601" s="40" t="s">
        <v>18669</v>
      </c>
      <c r="D3601" s="40" t="s">
        <v>18670</v>
      </c>
      <c r="E3601" s="41">
        <v>16.29</v>
      </c>
      <c r="F3601" s="40"/>
      <c r="G3601" s="41"/>
      <c r="H3601" s="40"/>
      <c r="I3601" s="41"/>
      <c r="J3601" s="41">
        <f t="shared" si="14"/>
        <v>16.29</v>
      </c>
      <c r="K3601" s="42" t="s">
        <v>5796</v>
      </c>
      <c r="L3601" s="39">
        <v>3563</v>
      </c>
    </row>
    <row r="3602" spans="1:12" ht="11.25" customHeight="1">
      <c r="A3602" s="39">
        <v>3564</v>
      </c>
      <c r="B3602" s="40" t="s">
        <v>18671</v>
      </c>
      <c r="C3602" s="40" t="s">
        <v>18672</v>
      </c>
      <c r="D3602" s="40" t="s">
        <v>18673</v>
      </c>
      <c r="E3602" s="41">
        <v>16.29</v>
      </c>
      <c r="F3602" s="40"/>
      <c r="G3602" s="41"/>
      <c r="H3602" s="40"/>
      <c r="I3602" s="41"/>
      <c r="J3602" s="41">
        <f t="shared" si="14"/>
        <v>16.29</v>
      </c>
      <c r="K3602" s="42" t="s">
        <v>5796</v>
      </c>
      <c r="L3602" s="39">
        <v>3564</v>
      </c>
    </row>
    <row r="3603" spans="1:12" ht="11.25" customHeight="1">
      <c r="A3603" s="39">
        <v>3565</v>
      </c>
      <c r="B3603" s="40" t="s">
        <v>18674</v>
      </c>
      <c r="C3603" s="40" t="s">
        <v>18675</v>
      </c>
      <c r="D3603" s="40" t="s">
        <v>18676</v>
      </c>
      <c r="E3603" s="41">
        <v>16.29</v>
      </c>
      <c r="F3603" s="40"/>
      <c r="G3603" s="41"/>
      <c r="H3603" s="40"/>
      <c r="I3603" s="41"/>
      <c r="J3603" s="41">
        <f t="shared" si="14"/>
        <v>16.29</v>
      </c>
      <c r="K3603" s="42" t="s">
        <v>5796</v>
      </c>
      <c r="L3603" s="39">
        <v>3565</v>
      </c>
    </row>
    <row r="3604" spans="1:12" ht="11.25" customHeight="1">
      <c r="A3604" s="39">
        <v>3566</v>
      </c>
      <c r="B3604" s="40" t="s">
        <v>18677</v>
      </c>
      <c r="C3604" s="40" t="s">
        <v>18678</v>
      </c>
      <c r="D3604" s="40" t="s">
        <v>18679</v>
      </c>
      <c r="E3604" s="41">
        <v>16.27</v>
      </c>
      <c r="F3604" s="40"/>
      <c r="G3604" s="41"/>
      <c r="H3604" s="40"/>
      <c r="I3604" s="41"/>
      <c r="J3604" s="41">
        <f t="shared" si="14"/>
        <v>16.27</v>
      </c>
      <c r="K3604" s="42" t="s">
        <v>5796</v>
      </c>
      <c r="L3604" s="39">
        <v>3566</v>
      </c>
    </row>
    <row r="3605" spans="1:12" ht="11.25" customHeight="1">
      <c r="A3605" s="39">
        <v>3567</v>
      </c>
      <c r="B3605" s="40" t="s">
        <v>18680</v>
      </c>
      <c r="C3605" s="40" t="s">
        <v>18681</v>
      </c>
      <c r="D3605" s="40" t="s">
        <v>18682</v>
      </c>
      <c r="E3605" s="41">
        <v>16.260000000000002</v>
      </c>
      <c r="F3605" s="40"/>
      <c r="G3605" s="41"/>
      <c r="H3605" s="40"/>
      <c r="I3605" s="41"/>
      <c r="J3605" s="41">
        <f t="shared" si="14"/>
        <v>16.260000000000002</v>
      </c>
      <c r="K3605" s="42" t="s">
        <v>5796</v>
      </c>
      <c r="L3605" s="39">
        <v>3567</v>
      </c>
    </row>
    <row r="3606" spans="1:12" ht="11.25" customHeight="1">
      <c r="A3606" s="39">
        <v>3568</v>
      </c>
      <c r="B3606" s="40" t="s">
        <v>18683</v>
      </c>
      <c r="C3606" s="40" t="s">
        <v>18684</v>
      </c>
      <c r="D3606" s="40" t="s">
        <v>18685</v>
      </c>
      <c r="E3606" s="41">
        <v>16.25</v>
      </c>
      <c r="F3606" s="40"/>
      <c r="G3606" s="41"/>
      <c r="H3606" s="40"/>
      <c r="I3606" s="41"/>
      <c r="J3606" s="41">
        <f t="shared" si="14"/>
        <v>16.25</v>
      </c>
      <c r="K3606" s="42" t="s">
        <v>5796</v>
      </c>
      <c r="L3606" s="39">
        <v>3568</v>
      </c>
    </row>
    <row r="3607" spans="1:12" ht="11.25" customHeight="1">
      <c r="A3607" s="39">
        <v>3569</v>
      </c>
      <c r="B3607" s="40" t="s">
        <v>8711</v>
      </c>
      <c r="C3607" s="40" t="s">
        <v>18686</v>
      </c>
      <c r="D3607" s="40" t="s">
        <v>18687</v>
      </c>
      <c r="E3607" s="41">
        <v>16.23</v>
      </c>
      <c r="F3607" s="40"/>
      <c r="G3607" s="41"/>
      <c r="H3607" s="40"/>
      <c r="I3607" s="41"/>
      <c r="J3607" s="41">
        <f t="shared" si="14"/>
        <v>16.23</v>
      </c>
      <c r="K3607" s="42" t="s">
        <v>5796</v>
      </c>
      <c r="L3607" s="39">
        <v>3569</v>
      </c>
    </row>
    <row r="3608" spans="1:12" ht="11.25" customHeight="1">
      <c r="A3608" s="39">
        <v>3570</v>
      </c>
      <c r="B3608" s="40" t="s">
        <v>18688</v>
      </c>
      <c r="C3608" s="40" t="s">
        <v>18689</v>
      </c>
      <c r="D3608" s="40" t="s">
        <v>18690</v>
      </c>
      <c r="E3608" s="41">
        <v>16.23</v>
      </c>
      <c r="F3608" s="40"/>
      <c r="G3608" s="41"/>
      <c r="H3608" s="40"/>
      <c r="I3608" s="41"/>
      <c r="J3608" s="41">
        <f t="shared" si="14"/>
        <v>16.23</v>
      </c>
      <c r="K3608" s="42" t="s">
        <v>5796</v>
      </c>
      <c r="L3608" s="39">
        <v>3570</v>
      </c>
    </row>
    <row r="3609" spans="1:12" ht="11.25" customHeight="1">
      <c r="A3609" s="39">
        <v>3571</v>
      </c>
      <c r="B3609" s="40" t="s">
        <v>18691</v>
      </c>
      <c r="C3609" s="40" t="s">
        <v>18692</v>
      </c>
      <c r="D3609" s="40" t="s">
        <v>18693</v>
      </c>
      <c r="E3609" s="41">
        <v>16.18</v>
      </c>
      <c r="F3609" s="40"/>
      <c r="G3609" s="41"/>
      <c r="H3609" s="40"/>
      <c r="I3609" s="41"/>
      <c r="J3609" s="41">
        <f t="shared" si="14"/>
        <v>16.18</v>
      </c>
      <c r="K3609" s="42" t="s">
        <v>5796</v>
      </c>
      <c r="L3609" s="39">
        <v>3571</v>
      </c>
    </row>
    <row r="3610" spans="1:12" ht="11.25" customHeight="1">
      <c r="A3610" s="39">
        <v>3572</v>
      </c>
      <c r="B3610" s="40" t="s">
        <v>18694</v>
      </c>
      <c r="C3610" s="40" t="s">
        <v>18695</v>
      </c>
      <c r="D3610" s="40" t="s">
        <v>18696</v>
      </c>
      <c r="E3610" s="41">
        <v>16.170000000000002</v>
      </c>
      <c r="F3610" s="40"/>
      <c r="G3610" s="41"/>
      <c r="H3610" s="40"/>
      <c r="I3610" s="41"/>
      <c r="J3610" s="41">
        <f t="shared" si="14"/>
        <v>16.170000000000002</v>
      </c>
      <c r="K3610" s="42" t="s">
        <v>5796</v>
      </c>
      <c r="L3610" s="39">
        <v>3572</v>
      </c>
    </row>
    <row r="3611" spans="1:12" ht="11.25" customHeight="1">
      <c r="A3611" s="39">
        <v>3573</v>
      </c>
      <c r="B3611" s="40" t="s">
        <v>18697</v>
      </c>
      <c r="C3611" s="40" t="s">
        <v>18698</v>
      </c>
      <c r="D3611" s="40" t="s">
        <v>18699</v>
      </c>
      <c r="E3611" s="41">
        <v>16.13</v>
      </c>
      <c r="F3611" s="40"/>
      <c r="G3611" s="41"/>
      <c r="H3611" s="40"/>
      <c r="I3611" s="41"/>
      <c r="J3611" s="41">
        <f t="shared" si="14"/>
        <v>16.13</v>
      </c>
      <c r="K3611" s="42" t="s">
        <v>5796</v>
      </c>
      <c r="L3611" s="39">
        <v>3573</v>
      </c>
    </row>
    <row r="3612" spans="1:12" ht="11.25" customHeight="1">
      <c r="A3612" s="39">
        <v>3574</v>
      </c>
      <c r="B3612" s="40" t="s">
        <v>18700</v>
      </c>
      <c r="C3612" s="40" t="s">
        <v>18701</v>
      </c>
      <c r="D3612" s="40" t="s">
        <v>18702</v>
      </c>
      <c r="E3612" s="41">
        <v>16.079999999999998</v>
      </c>
      <c r="F3612" s="40"/>
      <c r="G3612" s="41"/>
      <c r="H3612" s="40"/>
      <c r="I3612" s="41"/>
      <c r="J3612" s="41">
        <f t="shared" si="14"/>
        <v>16.079999999999998</v>
      </c>
      <c r="K3612" s="42" t="s">
        <v>5796</v>
      </c>
      <c r="L3612" s="39">
        <v>3574</v>
      </c>
    </row>
    <row r="3613" spans="1:12" ht="11.25" customHeight="1">
      <c r="A3613" s="39">
        <v>3575</v>
      </c>
      <c r="B3613" s="40" t="s">
        <v>18703</v>
      </c>
      <c r="C3613" s="40" t="s">
        <v>18704</v>
      </c>
      <c r="D3613" s="40" t="s">
        <v>18705</v>
      </c>
      <c r="E3613" s="41">
        <v>16.079999999999998</v>
      </c>
      <c r="F3613" s="40"/>
      <c r="G3613" s="41"/>
      <c r="H3613" s="40"/>
      <c r="I3613" s="41"/>
      <c r="J3613" s="41">
        <f t="shared" si="14"/>
        <v>16.079999999999998</v>
      </c>
      <c r="K3613" s="42" t="s">
        <v>5796</v>
      </c>
      <c r="L3613" s="39">
        <v>3575</v>
      </c>
    </row>
    <row r="3614" spans="1:12" ht="11.25" customHeight="1">
      <c r="A3614" s="39">
        <v>3576</v>
      </c>
      <c r="B3614" s="40" t="s">
        <v>18706</v>
      </c>
      <c r="C3614" s="40" t="s">
        <v>18707</v>
      </c>
      <c r="D3614" s="40" t="s">
        <v>18708</v>
      </c>
      <c r="E3614" s="41">
        <v>16.059999999999999</v>
      </c>
      <c r="F3614" s="40"/>
      <c r="G3614" s="41"/>
      <c r="H3614" s="40"/>
      <c r="I3614" s="41"/>
      <c r="J3614" s="41">
        <f t="shared" si="14"/>
        <v>16.059999999999999</v>
      </c>
      <c r="K3614" s="42" t="s">
        <v>5796</v>
      </c>
      <c r="L3614" s="39">
        <v>3576</v>
      </c>
    </row>
    <row r="3615" spans="1:12" ht="11.25" customHeight="1">
      <c r="A3615" s="39">
        <v>3577</v>
      </c>
      <c r="B3615" s="40" t="s">
        <v>18709</v>
      </c>
      <c r="C3615" s="40" t="s">
        <v>18710</v>
      </c>
      <c r="D3615" s="40" t="s">
        <v>18711</v>
      </c>
      <c r="E3615" s="41">
        <v>16.04</v>
      </c>
      <c r="F3615" s="40"/>
      <c r="G3615" s="41"/>
      <c r="H3615" s="40"/>
      <c r="I3615" s="41"/>
      <c r="J3615" s="41">
        <f t="shared" si="14"/>
        <v>16.04</v>
      </c>
      <c r="K3615" s="42" t="s">
        <v>5796</v>
      </c>
      <c r="L3615" s="39">
        <v>3577</v>
      </c>
    </row>
    <row r="3616" spans="1:12" ht="11.25" customHeight="1">
      <c r="A3616" s="39">
        <v>3578</v>
      </c>
      <c r="B3616" s="40" t="s">
        <v>8710</v>
      </c>
      <c r="C3616" s="40" t="s">
        <v>18712</v>
      </c>
      <c r="D3616" s="40" t="s">
        <v>18713</v>
      </c>
      <c r="E3616" s="41">
        <v>16.03</v>
      </c>
      <c r="F3616" s="40"/>
      <c r="G3616" s="41"/>
      <c r="H3616" s="40"/>
      <c r="I3616" s="41"/>
      <c r="J3616" s="41">
        <f t="shared" si="14"/>
        <v>16.03</v>
      </c>
      <c r="K3616" s="42" t="s">
        <v>5796</v>
      </c>
      <c r="L3616" s="39">
        <v>3578</v>
      </c>
    </row>
    <row r="3617" spans="1:12" ht="11.25" customHeight="1">
      <c r="A3617" s="39">
        <v>3579</v>
      </c>
      <c r="B3617" s="40" t="s">
        <v>18714</v>
      </c>
      <c r="C3617" s="40" t="s">
        <v>18715</v>
      </c>
      <c r="D3617" s="40" t="s">
        <v>18716</v>
      </c>
      <c r="E3617" s="41">
        <v>16.03</v>
      </c>
      <c r="F3617" s="40"/>
      <c r="G3617" s="41"/>
      <c r="H3617" s="40"/>
      <c r="I3617" s="41"/>
      <c r="J3617" s="41">
        <f t="shared" si="14"/>
        <v>16.03</v>
      </c>
      <c r="K3617" s="42" t="s">
        <v>5796</v>
      </c>
      <c r="L3617" s="39">
        <v>3579</v>
      </c>
    </row>
    <row r="3618" spans="1:12" ht="11.25" customHeight="1">
      <c r="A3618" s="39">
        <v>3580</v>
      </c>
      <c r="B3618" s="40" t="s">
        <v>18717</v>
      </c>
      <c r="C3618" s="40" t="s">
        <v>18718</v>
      </c>
      <c r="D3618" s="40" t="s">
        <v>18719</v>
      </c>
      <c r="E3618" s="41">
        <v>16.02</v>
      </c>
      <c r="F3618" s="40"/>
      <c r="G3618" s="41"/>
      <c r="H3618" s="40"/>
      <c r="I3618" s="41"/>
      <c r="J3618" s="41">
        <f t="shared" si="14"/>
        <v>16.02</v>
      </c>
      <c r="K3618" s="42" t="s">
        <v>5796</v>
      </c>
      <c r="L3618" s="39">
        <v>3580</v>
      </c>
    </row>
    <row r="3619" spans="1:12" ht="11.25" customHeight="1">
      <c r="A3619" s="39">
        <v>3581</v>
      </c>
      <c r="B3619" s="40" t="s">
        <v>18720</v>
      </c>
      <c r="C3619" s="40" t="s">
        <v>18721</v>
      </c>
      <c r="D3619" s="40" t="s">
        <v>18722</v>
      </c>
      <c r="E3619" s="41">
        <v>15.97</v>
      </c>
      <c r="F3619" s="40"/>
      <c r="G3619" s="41"/>
      <c r="H3619" s="40"/>
      <c r="I3619" s="41"/>
      <c r="J3619" s="41">
        <f t="shared" si="14"/>
        <v>15.97</v>
      </c>
      <c r="K3619" s="42" t="s">
        <v>5796</v>
      </c>
      <c r="L3619" s="39">
        <v>3581</v>
      </c>
    </row>
    <row r="3620" spans="1:12" ht="11.25" customHeight="1">
      <c r="A3620" s="39">
        <v>3583</v>
      </c>
      <c r="B3620" s="40" t="s">
        <v>18723</v>
      </c>
      <c r="C3620" s="40" t="s">
        <v>18724</v>
      </c>
      <c r="D3620" s="40" t="s">
        <v>18725</v>
      </c>
      <c r="E3620" s="41">
        <v>15.92</v>
      </c>
      <c r="F3620" s="40"/>
      <c r="G3620" s="41"/>
      <c r="H3620" s="40"/>
      <c r="I3620" s="41"/>
      <c r="J3620" s="41">
        <f t="shared" si="14"/>
        <v>15.92</v>
      </c>
      <c r="K3620" s="42" t="s">
        <v>5796</v>
      </c>
      <c r="L3620" s="39">
        <v>3583</v>
      </c>
    </row>
    <row r="3621" spans="1:12" ht="11.25" customHeight="1">
      <c r="A3621" s="39">
        <v>3584</v>
      </c>
      <c r="B3621" s="40" t="s">
        <v>8548</v>
      </c>
      <c r="C3621" s="40" t="s">
        <v>18726</v>
      </c>
      <c r="D3621" s="40" t="s">
        <v>18727</v>
      </c>
      <c r="E3621" s="41">
        <v>15.89</v>
      </c>
      <c r="F3621" s="40"/>
      <c r="G3621" s="41"/>
      <c r="H3621" s="40"/>
      <c r="I3621" s="41"/>
      <c r="J3621" s="41">
        <f t="shared" si="14"/>
        <v>15.89</v>
      </c>
      <c r="K3621" s="42" t="s">
        <v>5796</v>
      </c>
      <c r="L3621" s="39">
        <v>3584</v>
      </c>
    </row>
    <row r="3622" spans="1:12" ht="11.25" customHeight="1">
      <c r="A3622" s="39">
        <v>3585</v>
      </c>
      <c r="B3622" s="40" t="s">
        <v>18728</v>
      </c>
      <c r="C3622" s="40" t="s">
        <v>18729</v>
      </c>
      <c r="D3622" s="40" t="s">
        <v>18730</v>
      </c>
      <c r="E3622" s="41">
        <v>15.84</v>
      </c>
      <c r="F3622" s="40"/>
      <c r="G3622" s="41"/>
      <c r="H3622" s="40"/>
      <c r="I3622" s="41"/>
      <c r="J3622" s="41">
        <f t="shared" si="14"/>
        <v>15.84</v>
      </c>
      <c r="K3622" s="42" t="s">
        <v>5796</v>
      </c>
      <c r="L3622" s="39">
        <v>3585</v>
      </c>
    </row>
    <row r="3623" spans="1:12" ht="11.25" customHeight="1">
      <c r="A3623" s="39">
        <v>3586</v>
      </c>
      <c r="B3623" s="52" t="s">
        <v>8562</v>
      </c>
      <c r="C3623" s="52" t="s">
        <v>18731</v>
      </c>
      <c r="D3623" s="40"/>
      <c r="E3623" s="41"/>
      <c r="F3623" s="40"/>
      <c r="G3623" s="41"/>
      <c r="H3623" s="52" t="s">
        <v>18732</v>
      </c>
      <c r="I3623" s="53">
        <v>15.817129487096798</v>
      </c>
      <c r="J3623" s="41">
        <f t="shared" si="14"/>
        <v>15.817129487096798</v>
      </c>
      <c r="K3623" s="42" t="s">
        <v>5796</v>
      </c>
      <c r="L3623" s="39">
        <v>3586</v>
      </c>
    </row>
    <row r="3624" spans="1:12" ht="11.25" customHeight="1">
      <c r="A3624" s="39">
        <v>3587</v>
      </c>
      <c r="B3624" s="40" t="s">
        <v>18733</v>
      </c>
      <c r="C3624" s="40" t="s">
        <v>18734</v>
      </c>
      <c r="D3624" s="40" t="s">
        <v>18735</v>
      </c>
      <c r="E3624" s="41">
        <v>15.76</v>
      </c>
      <c r="F3624" s="40"/>
      <c r="G3624" s="41"/>
      <c r="H3624" s="40"/>
      <c r="I3624" s="41"/>
      <c r="J3624" s="41">
        <f t="shared" si="14"/>
        <v>15.76</v>
      </c>
      <c r="K3624" s="42" t="s">
        <v>5796</v>
      </c>
      <c r="L3624" s="39">
        <v>3587</v>
      </c>
    </row>
    <row r="3625" spans="1:12" ht="11.25" customHeight="1">
      <c r="A3625" s="39">
        <v>3588</v>
      </c>
      <c r="B3625" s="40" t="s">
        <v>8708</v>
      </c>
      <c r="C3625" s="40" t="s">
        <v>18736</v>
      </c>
      <c r="D3625" s="40" t="s">
        <v>18737</v>
      </c>
      <c r="E3625" s="41">
        <v>15.76</v>
      </c>
      <c r="F3625" s="40"/>
      <c r="G3625" s="41"/>
      <c r="H3625" s="40"/>
      <c r="I3625" s="41"/>
      <c r="J3625" s="41">
        <f t="shared" si="14"/>
        <v>15.76</v>
      </c>
      <c r="K3625" s="42" t="s">
        <v>5796</v>
      </c>
      <c r="L3625" s="39">
        <v>3588</v>
      </c>
    </row>
    <row r="3626" spans="1:12" ht="11.25" customHeight="1">
      <c r="A3626" s="39">
        <v>3589</v>
      </c>
      <c r="B3626" s="40" t="s">
        <v>18738</v>
      </c>
      <c r="C3626" s="40" t="s">
        <v>18739</v>
      </c>
      <c r="D3626" s="40" t="s">
        <v>18740</v>
      </c>
      <c r="E3626" s="41">
        <v>15.7</v>
      </c>
      <c r="F3626" s="40"/>
      <c r="G3626" s="41"/>
      <c r="H3626" s="40"/>
      <c r="I3626" s="41"/>
      <c r="J3626" s="41">
        <f t="shared" si="14"/>
        <v>15.7</v>
      </c>
      <c r="K3626" s="42" t="s">
        <v>5796</v>
      </c>
      <c r="L3626" s="39">
        <v>3589</v>
      </c>
    </row>
    <row r="3627" spans="1:12" ht="11.25" customHeight="1">
      <c r="A3627" s="39">
        <v>3590</v>
      </c>
      <c r="B3627" s="40" t="s">
        <v>18741</v>
      </c>
      <c r="C3627" s="40" t="s">
        <v>18742</v>
      </c>
      <c r="D3627" s="40" t="s">
        <v>18743</v>
      </c>
      <c r="E3627" s="41">
        <v>15.7</v>
      </c>
      <c r="F3627" s="40"/>
      <c r="G3627" s="41"/>
      <c r="H3627" s="40"/>
      <c r="I3627" s="41"/>
      <c r="J3627" s="41">
        <f t="shared" si="14"/>
        <v>15.7</v>
      </c>
      <c r="K3627" s="42" t="s">
        <v>5796</v>
      </c>
      <c r="L3627" s="39">
        <v>3590</v>
      </c>
    </row>
    <row r="3628" spans="1:12" ht="11.25" customHeight="1">
      <c r="A3628" s="39">
        <v>3592</v>
      </c>
      <c r="B3628" s="40" t="s">
        <v>18744</v>
      </c>
      <c r="C3628" s="40" t="s">
        <v>18745</v>
      </c>
      <c r="D3628" s="40" t="s">
        <v>18746</v>
      </c>
      <c r="E3628" s="41">
        <v>15.67</v>
      </c>
      <c r="F3628" s="40"/>
      <c r="G3628" s="41"/>
      <c r="H3628" s="40" t="s">
        <v>18746</v>
      </c>
      <c r="I3628" s="41">
        <v>15.668180020161282</v>
      </c>
      <c r="J3628" s="41">
        <f t="shared" si="14"/>
        <v>15.669090010080641</v>
      </c>
      <c r="K3628" s="42" t="s">
        <v>5796</v>
      </c>
      <c r="L3628" s="39">
        <v>3592</v>
      </c>
    </row>
    <row r="3629" spans="1:12" ht="11.25" customHeight="1">
      <c r="A3629" s="39">
        <v>3593</v>
      </c>
      <c r="B3629" s="40" t="s">
        <v>18747</v>
      </c>
      <c r="C3629" s="40" t="s">
        <v>18748</v>
      </c>
      <c r="D3629" s="40" t="s">
        <v>18749</v>
      </c>
      <c r="E3629" s="41">
        <v>15.64</v>
      </c>
      <c r="F3629" s="40"/>
      <c r="G3629" s="41"/>
      <c r="H3629" s="40"/>
      <c r="I3629" s="41"/>
      <c r="J3629" s="41">
        <f t="shared" si="14"/>
        <v>15.64</v>
      </c>
      <c r="K3629" s="42" t="s">
        <v>5796</v>
      </c>
      <c r="L3629" s="39">
        <v>3593</v>
      </c>
    </row>
    <row r="3630" spans="1:12" ht="11.25" customHeight="1">
      <c r="A3630" s="39">
        <v>3594</v>
      </c>
      <c r="B3630" s="40" t="s">
        <v>18750</v>
      </c>
      <c r="C3630" s="40" t="s">
        <v>18751</v>
      </c>
      <c r="D3630" s="40" t="s">
        <v>18752</v>
      </c>
      <c r="E3630" s="41">
        <v>15.64</v>
      </c>
      <c r="F3630" s="40"/>
      <c r="G3630" s="41"/>
      <c r="H3630" s="40"/>
      <c r="I3630" s="41"/>
      <c r="J3630" s="41">
        <f t="shared" si="14"/>
        <v>15.64</v>
      </c>
      <c r="K3630" s="42" t="s">
        <v>5796</v>
      </c>
      <c r="L3630" s="39">
        <v>3594</v>
      </c>
    </row>
    <row r="3631" spans="1:12" ht="11.25" customHeight="1">
      <c r="A3631" s="39">
        <v>3595</v>
      </c>
      <c r="B3631" s="40" t="s">
        <v>18753</v>
      </c>
      <c r="C3631" s="40" t="s">
        <v>18754</v>
      </c>
      <c r="D3631" s="40" t="s">
        <v>18755</v>
      </c>
      <c r="E3631" s="41">
        <v>15.63</v>
      </c>
      <c r="F3631" s="40"/>
      <c r="G3631" s="41"/>
      <c r="H3631" s="40"/>
      <c r="I3631" s="41"/>
      <c r="J3631" s="41">
        <f t="shared" si="14"/>
        <v>15.63</v>
      </c>
      <c r="K3631" s="42" t="s">
        <v>5796</v>
      </c>
      <c r="L3631" s="39">
        <v>3595</v>
      </c>
    </row>
    <row r="3632" spans="1:12" ht="11.25" customHeight="1">
      <c r="A3632" s="39">
        <v>3596</v>
      </c>
      <c r="B3632" s="40" t="s">
        <v>18756</v>
      </c>
      <c r="C3632" s="40" t="s">
        <v>18757</v>
      </c>
      <c r="D3632" s="40" t="s">
        <v>18758</v>
      </c>
      <c r="E3632" s="41">
        <v>15.61</v>
      </c>
      <c r="F3632" s="40"/>
      <c r="G3632" s="41"/>
      <c r="H3632" s="40"/>
      <c r="I3632" s="41"/>
      <c r="J3632" s="41">
        <f t="shared" si="14"/>
        <v>15.61</v>
      </c>
      <c r="K3632" s="42" t="s">
        <v>5796</v>
      </c>
      <c r="L3632" s="39">
        <v>3596</v>
      </c>
    </row>
    <row r="3633" spans="1:12" ht="11.25" customHeight="1">
      <c r="A3633" s="39">
        <v>3597</v>
      </c>
      <c r="B3633" s="40" t="s">
        <v>18759</v>
      </c>
      <c r="C3633" s="40" t="s">
        <v>18760</v>
      </c>
      <c r="D3633" s="40" t="s">
        <v>18761</v>
      </c>
      <c r="E3633" s="41">
        <v>15.59</v>
      </c>
      <c r="F3633" s="40"/>
      <c r="G3633" s="41"/>
      <c r="H3633" s="40"/>
      <c r="I3633" s="41"/>
      <c r="J3633" s="41">
        <f t="shared" si="14"/>
        <v>15.59</v>
      </c>
      <c r="K3633" s="42" t="s">
        <v>5796</v>
      </c>
      <c r="L3633" s="39">
        <v>3597</v>
      </c>
    </row>
    <row r="3634" spans="1:12" ht="11.25" customHeight="1">
      <c r="A3634" s="39">
        <v>3598</v>
      </c>
      <c r="B3634" s="40" t="s">
        <v>18762</v>
      </c>
      <c r="C3634" s="40" t="s">
        <v>18763</v>
      </c>
      <c r="D3634" s="40" t="s">
        <v>18764</v>
      </c>
      <c r="E3634" s="41">
        <v>15.57</v>
      </c>
      <c r="F3634" s="40"/>
      <c r="G3634" s="41"/>
      <c r="H3634" s="40"/>
      <c r="I3634" s="41"/>
      <c r="J3634" s="41">
        <f t="shared" si="14"/>
        <v>15.57</v>
      </c>
      <c r="K3634" s="42" t="s">
        <v>5796</v>
      </c>
      <c r="L3634" s="39">
        <v>3598</v>
      </c>
    </row>
    <row r="3635" spans="1:12" ht="11.25" customHeight="1">
      <c r="A3635" s="39">
        <v>3599</v>
      </c>
      <c r="B3635" s="40" t="s">
        <v>18765</v>
      </c>
      <c r="C3635" s="40" t="s">
        <v>18766</v>
      </c>
      <c r="D3635" s="40" t="s">
        <v>18767</v>
      </c>
      <c r="E3635" s="41">
        <v>15.56</v>
      </c>
      <c r="F3635" s="40"/>
      <c r="G3635" s="41"/>
      <c r="H3635" s="40"/>
      <c r="I3635" s="41"/>
      <c r="J3635" s="41">
        <f t="shared" si="14"/>
        <v>15.56</v>
      </c>
      <c r="K3635" s="42" t="s">
        <v>5796</v>
      </c>
      <c r="L3635" s="39">
        <v>3599</v>
      </c>
    </row>
    <row r="3636" spans="1:12" ht="11.25" customHeight="1">
      <c r="A3636" s="39">
        <v>3600</v>
      </c>
      <c r="B3636" s="40" t="s">
        <v>18768</v>
      </c>
      <c r="C3636" s="40" t="s">
        <v>18769</v>
      </c>
      <c r="D3636" s="40" t="s">
        <v>18770</v>
      </c>
      <c r="E3636" s="41">
        <v>15.53</v>
      </c>
      <c r="F3636" s="40"/>
      <c r="G3636" s="41"/>
      <c r="H3636" s="40"/>
      <c r="I3636" s="41"/>
      <c r="J3636" s="41">
        <f t="shared" si="14"/>
        <v>15.53</v>
      </c>
      <c r="K3636" s="42" t="s">
        <v>5796</v>
      </c>
      <c r="L3636" s="39">
        <v>3600</v>
      </c>
    </row>
    <row r="3637" spans="1:12" ht="11.25" customHeight="1">
      <c r="A3637" s="39">
        <v>3601</v>
      </c>
      <c r="B3637" s="40" t="s">
        <v>18771</v>
      </c>
      <c r="C3637" s="40" t="s">
        <v>18772</v>
      </c>
      <c r="D3637" s="40" t="s">
        <v>18773</v>
      </c>
      <c r="E3637" s="41">
        <v>15.51</v>
      </c>
      <c r="F3637" s="40"/>
      <c r="G3637" s="41"/>
      <c r="H3637" s="40"/>
      <c r="I3637" s="41"/>
      <c r="J3637" s="41">
        <f t="shared" si="14"/>
        <v>15.51</v>
      </c>
      <c r="K3637" s="42" t="s">
        <v>5796</v>
      </c>
      <c r="L3637" s="39">
        <v>3601</v>
      </c>
    </row>
    <row r="3638" spans="1:12" ht="11.25" customHeight="1">
      <c r="A3638" s="39">
        <v>3602</v>
      </c>
      <c r="B3638" s="54" t="s">
        <v>10245</v>
      </c>
      <c r="C3638" s="54" t="s">
        <v>18774</v>
      </c>
      <c r="D3638" s="40"/>
      <c r="E3638" s="41"/>
      <c r="F3638" s="40"/>
      <c r="G3638" s="41"/>
      <c r="H3638" s="54" t="s">
        <v>18775</v>
      </c>
      <c r="I3638" s="41">
        <v>15.434421240000001</v>
      </c>
      <c r="J3638" s="41">
        <f t="shared" si="14"/>
        <v>15.434421240000001</v>
      </c>
      <c r="K3638" s="42" t="s">
        <v>5796</v>
      </c>
      <c r="L3638" s="39">
        <v>3602</v>
      </c>
    </row>
    <row r="3639" spans="1:12" ht="11.25" customHeight="1">
      <c r="A3639" s="39">
        <v>3603</v>
      </c>
      <c r="B3639" s="40" t="s">
        <v>18776</v>
      </c>
      <c r="C3639" s="40" t="s">
        <v>18777</v>
      </c>
      <c r="D3639" s="40" t="s">
        <v>18778</v>
      </c>
      <c r="E3639" s="41">
        <v>15.43</v>
      </c>
      <c r="F3639" s="40"/>
      <c r="G3639" s="41"/>
      <c r="H3639" s="40"/>
      <c r="I3639" s="41"/>
      <c r="J3639" s="41">
        <f t="shared" si="14"/>
        <v>15.43</v>
      </c>
      <c r="K3639" s="42" t="s">
        <v>5796</v>
      </c>
      <c r="L3639" s="39">
        <v>3603</v>
      </c>
    </row>
    <row r="3640" spans="1:12" ht="11.25" customHeight="1">
      <c r="A3640" s="39">
        <v>3604</v>
      </c>
      <c r="B3640" s="40" t="s">
        <v>18779</v>
      </c>
      <c r="C3640" s="40" t="s">
        <v>18780</v>
      </c>
      <c r="D3640" s="40" t="s">
        <v>18781</v>
      </c>
      <c r="E3640" s="41">
        <v>15.43</v>
      </c>
      <c r="F3640" s="40"/>
      <c r="G3640" s="41"/>
      <c r="H3640" s="40"/>
      <c r="I3640" s="41"/>
      <c r="J3640" s="41">
        <f t="shared" si="14"/>
        <v>15.43</v>
      </c>
      <c r="K3640" s="42" t="s">
        <v>5796</v>
      </c>
      <c r="L3640" s="39">
        <v>3604</v>
      </c>
    </row>
    <row r="3641" spans="1:12" ht="11.25" customHeight="1">
      <c r="A3641" s="39">
        <v>3605</v>
      </c>
      <c r="B3641" s="40" t="s">
        <v>18782</v>
      </c>
      <c r="C3641" s="40" t="s">
        <v>18783</v>
      </c>
      <c r="D3641" s="40" t="s">
        <v>18784</v>
      </c>
      <c r="E3641" s="41">
        <v>15.39</v>
      </c>
      <c r="F3641" s="40"/>
      <c r="G3641" s="41"/>
      <c r="H3641" s="40"/>
      <c r="I3641" s="41"/>
      <c r="J3641" s="41">
        <f t="shared" si="14"/>
        <v>15.39</v>
      </c>
      <c r="K3641" s="42" t="s">
        <v>5796</v>
      </c>
      <c r="L3641" s="39">
        <v>3605</v>
      </c>
    </row>
    <row r="3642" spans="1:12" ht="11.25" customHeight="1">
      <c r="A3642" s="39">
        <v>3606</v>
      </c>
      <c r="B3642" s="40" t="s">
        <v>18785</v>
      </c>
      <c r="C3642" s="40" t="s">
        <v>18786</v>
      </c>
      <c r="D3642" s="40" t="s">
        <v>18787</v>
      </c>
      <c r="E3642" s="41">
        <v>15.39</v>
      </c>
      <c r="F3642" s="40"/>
      <c r="G3642" s="41"/>
      <c r="H3642" s="40"/>
      <c r="I3642" s="41"/>
      <c r="J3642" s="41">
        <f t="shared" si="14"/>
        <v>15.39</v>
      </c>
      <c r="K3642" s="42" t="s">
        <v>5796</v>
      </c>
      <c r="L3642" s="39">
        <v>3606</v>
      </c>
    </row>
    <row r="3643" spans="1:12" ht="11.25" customHeight="1">
      <c r="A3643" s="39">
        <v>3607</v>
      </c>
      <c r="B3643" s="40" t="s">
        <v>18788</v>
      </c>
      <c r="C3643" s="40" t="s">
        <v>18789</v>
      </c>
      <c r="D3643" s="40" t="s">
        <v>18790</v>
      </c>
      <c r="E3643" s="41">
        <v>15.36</v>
      </c>
      <c r="F3643" s="40"/>
      <c r="G3643" s="41"/>
      <c r="H3643" s="40"/>
      <c r="I3643" s="41"/>
      <c r="J3643" s="41">
        <f t="shared" si="14"/>
        <v>15.36</v>
      </c>
      <c r="K3643" s="42" t="s">
        <v>5796</v>
      </c>
      <c r="L3643" s="39">
        <v>3607</v>
      </c>
    </row>
    <row r="3644" spans="1:12" ht="11.25" customHeight="1">
      <c r="A3644" s="39">
        <v>3608</v>
      </c>
      <c r="B3644" s="40" t="s">
        <v>18791</v>
      </c>
      <c r="C3644" s="40" t="s">
        <v>18792</v>
      </c>
      <c r="D3644" s="40" t="s">
        <v>18793</v>
      </c>
      <c r="E3644" s="41">
        <v>15.34</v>
      </c>
      <c r="F3644" s="40"/>
      <c r="G3644" s="41"/>
      <c r="H3644" s="40"/>
      <c r="I3644" s="41"/>
      <c r="J3644" s="41">
        <f t="shared" si="14"/>
        <v>15.34</v>
      </c>
      <c r="K3644" s="42" t="s">
        <v>5796</v>
      </c>
      <c r="L3644" s="39">
        <v>3608</v>
      </c>
    </row>
    <row r="3645" spans="1:12" ht="11.25" customHeight="1">
      <c r="A3645" s="39">
        <v>3609</v>
      </c>
      <c r="B3645" s="52" t="s">
        <v>8687</v>
      </c>
      <c r="C3645" s="52" t="s">
        <v>18794</v>
      </c>
      <c r="D3645" s="40"/>
      <c r="E3645" s="41"/>
      <c r="F3645" s="40"/>
      <c r="G3645" s="41"/>
      <c r="H3645" s="52" t="s">
        <v>18795</v>
      </c>
      <c r="I3645" s="53">
        <v>15.221700000000041</v>
      </c>
      <c r="J3645" s="41">
        <f t="shared" si="14"/>
        <v>15.221700000000041</v>
      </c>
      <c r="K3645" s="42" t="s">
        <v>5796</v>
      </c>
      <c r="L3645" s="39">
        <v>3609</v>
      </c>
    </row>
    <row r="3646" spans="1:12" ht="11.25" customHeight="1">
      <c r="A3646" s="39">
        <v>3610</v>
      </c>
      <c r="B3646" s="40" t="s">
        <v>18796</v>
      </c>
      <c r="C3646" s="40" t="s">
        <v>18797</v>
      </c>
      <c r="D3646" s="40" t="s">
        <v>18798</v>
      </c>
      <c r="E3646" s="41">
        <v>15.21</v>
      </c>
      <c r="F3646" s="40"/>
      <c r="G3646" s="41"/>
      <c r="H3646" s="40"/>
      <c r="I3646" s="41"/>
      <c r="J3646" s="41">
        <f t="shared" si="14"/>
        <v>15.21</v>
      </c>
      <c r="K3646" s="42" t="s">
        <v>5796</v>
      </c>
      <c r="L3646" s="39">
        <v>3610</v>
      </c>
    </row>
    <row r="3647" spans="1:12" ht="11.25" customHeight="1">
      <c r="A3647" s="39">
        <v>3612</v>
      </c>
      <c r="B3647" s="40" t="s">
        <v>18799</v>
      </c>
      <c r="C3647" s="40" t="s">
        <v>18800</v>
      </c>
      <c r="D3647" s="40" t="s">
        <v>18801</v>
      </c>
      <c r="E3647" s="41">
        <v>16.14</v>
      </c>
      <c r="F3647" s="40"/>
      <c r="G3647" s="41"/>
      <c r="H3647" s="40" t="s">
        <v>18801</v>
      </c>
      <c r="I3647" s="41">
        <v>14.135920080645182</v>
      </c>
      <c r="J3647" s="41">
        <f t="shared" si="14"/>
        <v>15.137960040322591</v>
      </c>
      <c r="K3647" s="42" t="s">
        <v>5796</v>
      </c>
      <c r="L3647" s="39">
        <v>3612</v>
      </c>
    </row>
    <row r="3648" spans="1:12" ht="11.25" customHeight="1">
      <c r="A3648" s="39">
        <v>3613</v>
      </c>
      <c r="B3648" s="40" t="s">
        <v>18802</v>
      </c>
      <c r="C3648" s="40" t="s">
        <v>18803</v>
      </c>
      <c r="D3648" s="40" t="s">
        <v>18804</v>
      </c>
      <c r="E3648" s="41">
        <v>15.12</v>
      </c>
      <c r="F3648" s="40"/>
      <c r="G3648" s="41"/>
      <c r="H3648" s="40"/>
      <c r="I3648" s="41"/>
      <c r="J3648" s="41">
        <f t="shared" si="14"/>
        <v>15.12</v>
      </c>
      <c r="K3648" s="42" t="s">
        <v>5796</v>
      </c>
      <c r="L3648" s="39">
        <v>3613</v>
      </c>
    </row>
    <row r="3649" spans="1:12" ht="11.25" customHeight="1">
      <c r="A3649" s="39">
        <v>3614</v>
      </c>
      <c r="B3649" s="40" t="s">
        <v>18805</v>
      </c>
      <c r="C3649" s="40" t="s">
        <v>18806</v>
      </c>
      <c r="D3649" s="40" t="s">
        <v>18807</v>
      </c>
      <c r="E3649" s="41">
        <v>15.06</v>
      </c>
      <c r="F3649" s="40"/>
      <c r="G3649" s="41"/>
      <c r="H3649" s="40"/>
      <c r="I3649" s="41"/>
      <c r="J3649" s="41">
        <f t="shared" si="14"/>
        <v>15.06</v>
      </c>
      <c r="K3649" s="42" t="s">
        <v>5796</v>
      </c>
      <c r="L3649" s="39">
        <v>3614</v>
      </c>
    </row>
    <row r="3650" spans="1:12" ht="11.25" customHeight="1">
      <c r="A3650" s="39">
        <v>3615</v>
      </c>
      <c r="B3650" s="40" t="s">
        <v>18808</v>
      </c>
      <c r="C3650" s="40" t="s">
        <v>18809</v>
      </c>
      <c r="D3650" s="40" t="s">
        <v>18810</v>
      </c>
      <c r="E3650" s="41">
        <v>15.03</v>
      </c>
      <c r="F3650" s="40"/>
      <c r="G3650" s="41"/>
      <c r="H3650" s="40"/>
      <c r="I3650" s="41"/>
      <c r="J3650" s="41">
        <f t="shared" si="14"/>
        <v>15.03</v>
      </c>
      <c r="K3650" s="42" t="s">
        <v>5796</v>
      </c>
      <c r="L3650" s="39">
        <v>3615</v>
      </c>
    </row>
    <row r="3651" spans="1:12" ht="11.25" customHeight="1">
      <c r="A3651" s="39">
        <v>3616</v>
      </c>
      <c r="B3651" s="40" t="s">
        <v>18811</v>
      </c>
      <c r="C3651" s="40" t="s">
        <v>18812</v>
      </c>
      <c r="D3651" s="40" t="s">
        <v>18813</v>
      </c>
      <c r="E3651" s="41">
        <v>15.03</v>
      </c>
      <c r="F3651" s="40"/>
      <c r="G3651" s="41"/>
      <c r="H3651" s="40"/>
      <c r="I3651" s="41"/>
      <c r="J3651" s="41">
        <f t="shared" si="14"/>
        <v>15.03</v>
      </c>
      <c r="K3651" s="42" t="s">
        <v>5796</v>
      </c>
      <c r="L3651" s="39">
        <v>3616</v>
      </c>
    </row>
    <row r="3652" spans="1:12" ht="11.25" customHeight="1">
      <c r="A3652" s="39">
        <v>3617</v>
      </c>
      <c r="B3652" s="40" t="s">
        <v>18814</v>
      </c>
      <c r="C3652" s="40" t="s">
        <v>18815</v>
      </c>
      <c r="D3652" s="40" t="s">
        <v>18816</v>
      </c>
      <c r="E3652" s="41">
        <v>15</v>
      </c>
      <c r="F3652" s="40"/>
      <c r="G3652" s="41"/>
      <c r="H3652" s="40"/>
      <c r="I3652" s="41"/>
      <c r="J3652" s="41">
        <f t="shared" si="14"/>
        <v>15</v>
      </c>
      <c r="K3652" s="42" t="s">
        <v>5796</v>
      </c>
      <c r="L3652" s="39">
        <v>3617</v>
      </c>
    </row>
    <row r="3653" spans="1:12" ht="11.25" customHeight="1">
      <c r="A3653" s="39">
        <v>3618</v>
      </c>
      <c r="B3653" s="40" t="s">
        <v>18817</v>
      </c>
      <c r="C3653" s="40" t="s">
        <v>18818</v>
      </c>
      <c r="D3653" s="40" t="s">
        <v>18819</v>
      </c>
      <c r="E3653" s="41">
        <v>14.49</v>
      </c>
      <c r="F3653" s="40"/>
      <c r="G3653" s="41"/>
      <c r="H3653" s="40" t="s">
        <v>18819</v>
      </c>
      <c r="I3653" s="41">
        <v>15.489965815322581</v>
      </c>
      <c r="J3653" s="41">
        <f t="shared" si="14"/>
        <v>14.98998290766129</v>
      </c>
      <c r="K3653" s="42" t="s">
        <v>5796</v>
      </c>
      <c r="L3653" s="39">
        <v>3618</v>
      </c>
    </row>
    <row r="3654" spans="1:12" ht="11.25" customHeight="1">
      <c r="A3654" s="39">
        <v>3619</v>
      </c>
      <c r="B3654" s="40" t="s">
        <v>18820</v>
      </c>
      <c r="C3654" s="40" t="s">
        <v>18821</v>
      </c>
      <c r="D3654" s="40" t="s">
        <v>18822</v>
      </c>
      <c r="E3654" s="41">
        <v>14.98</v>
      </c>
      <c r="F3654" s="40"/>
      <c r="G3654" s="41"/>
      <c r="H3654" s="40"/>
      <c r="I3654" s="41"/>
      <c r="J3654" s="41">
        <f t="shared" si="14"/>
        <v>14.98</v>
      </c>
      <c r="K3654" s="42" t="s">
        <v>5796</v>
      </c>
      <c r="L3654" s="39">
        <v>3619</v>
      </c>
    </row>
    <row r="3655" spans="1:12" ht="11.25" customHeight="1">
      <c r="A3655" s="39">
        <v>3620</v>
      </c>
      <c r="B3655" s="40" t="s">
        <v>18823</v>
      </c>
      <c r="C3655" s="40" t="s">
        <v>18824</v>
      </c>
      <c r="D3655" s="40" t="s">
        <v>18825</v>
      </c>
      <c r="E3655" s="41">
        <v>14.96</v>
      </c>
      <c r="F3655" s="40"/>
      <c r="G3655" s="41"/>
      <c r="H3655" s="40"/>
      <c r="I3655" s="41"/>
      <c r="J3655" s="41">
        <f t="shared" si="14"/>
        <v>14.96</v>
      </c>
      <c r="K3655" s="42" t="s">
        <v>5796</v>
      </c>
      <c r="L3655" s="39">
        <v>3620</v>
      </c>
    </row>
    <row r="3656" spans="1:12" ht="11.25" customHeight="1">
      <c r="A3656" s="39">
        <v>3621</v>
      </c>
      <c r="B3656" s="40" t="s">
        <v>18826</v>
      </c>
      <c r="C3656" s="40" t="s">
        <v>18827</v>
      </c>
      <c r="D3656" s="40" t="s">
        <v>18828</v>
      </c>
      <c r="E3656" s="41">
        <v>14.95</v>
      </c>
      <c r="F3656" s="40"/>
      <c r="G3656" s="41"/>
      <c r="H3656" s="40"/>
      <c r="I3656" s="41"/>
      <c r="J3656" s="41">
        <f t="shared" si="14"/>
        <v>14.95</v>
      </c>
      <c r="K3656" s="42" t="s">
        <v>5796</v>
      </c>
      <c r="L3656" s="39">
        <v>3621</v>
      </c>
    </row>
    <row r="3657" spans="1:12" ht="11.25" customHeight="1">
      <c r="A3657" s="39">
        <v>3622</v>
      </c>
      <c r="B3657" s="40" t="s">
        <v>18829</v>
      </c>
      <c r="C3657" s="40" t="s">
        <v>18830</v>
      </c>
      <c r="D3657" s="40" t="s">
        <v>18831</v>
      </c>
      <c r="E3657" s="41">
        <v>14.93</v>
      </c>
      <c r="F3657" s="40"/>
      <c r="G3657" s="41"/>
      <c r="H3657" s="40"/>
      <c r="I3657" s="41"/>
      <c r="J3657" s="41">
        <f t="shared" si="14"/>
        <v>14.93</v>
      </c>
      <c r="K3657" s="42" t="s">
        <v>5796</v>
      </c>
      <c r="L3657" s="39">
        <v>3622</v>
      </c>
    </row>
    <row r="3658" spans="1:12" ht="11.25" customHeight="1">
      <c r="A3658" s="39">
        <v>3623</v>
      </c>
      <c r="B3658" s="40" t="s">
        <v>18832</v>
      </c>
      <c r="C3658" s="40" t="s">
        <v>18833</v>
      </c>
      <c r="D3658" s="40" t="s">
        <v>18834</v>
      </c>
      <c r="E3658" s="41">
        <v>14.89</v>
      </c>
      <c r="F3658" s="40"/>
      <c r="G3658" s="41"/>
      <c r="H3658" s="40"/>
      <c r="I3658" s="41"/>
      <c r="J3658" s="41">
        <f t="shared" si="14"/>
        <v>14.89</v>
      </c>
      <c r="K3658" s="42" t="s">
        <v>5796</v>
      </c>
      <c r="L3658" s="39">
        <v>3623</v>
      </c>
    </row>
    <row r="3659" spans="1:12" ht="11.25" customHeight="1">
      <c r="A3659" s="39">
        <v>3624</v>
      </c>
      <c r="B3659" s="40" t="s">
        <v>18835</v>
      </c>
      <c r="C3659" s="40" t="s">
        <v>18836</v>
      </c>
      <c r="D3659" s="40" t="s">
        <v>18837</v>
      </c>
      <c r="E3659" s="41">
        <v>14.88</v>
      </c>
      <c r="F3659" s="40"/>
      <c r="G3659" s="41"/>
      <c r="H3659" s="40"/>
      <c r="I3659" s="41"/>
      <c r="J3659" s="41">
        <f t="shared" si="14"/>
        <v>14.88</v>
      </c>
      <c r="K3659" s="42" t="s">
        <v>5796</v>
      </c>
      <c r="L3659" s="39">
        <v>3624</v>
      </c>
    </row>
    <row r="3660" spans="1:12" ht="11.25" customHeight="1">
      <c r="A3660" s="39">
        <v>3625</v>
      </c>
      <c r="B3660" s="40" t="s">
        <v>18838</v>
      </c>
      <c r="C3660" s="40" t="s">
        <v>18839</v>
      </c>
      <c r="D3660" s="40" t="s">
        <v>18840</v>
      </c>
      <c r="E3660" s="41">
        <v>14.84</v>
      </c>
      <c r="F3660" s="40"/>
      <c r="G3660" s="41"/>
      <c r="H3660" s="40"/>
      <c r="I3660" s="41"/>
      <c r="J3660" s="41">
        <f t="shared" si="14"/>
        <v>14.84</v>
      </c>
      <c r="K3660" s="42" t="s">
        <v>5796</v>
      </c>
      <c r="L3660" s="39">
        <v>3625</v>
      </c>
    </row>
    <row r="3661" spans="1:12" ht="11.25" customHeight="1">
      <c r="A3661" s="39">
        <v>3626</v>
      </c>
      <c r="B3661" s="40" t="s">
        <v>18841</v>
      </c>
      <c r="C3661" s="40" t="s">
        <v>18842</v>
      </c>
      <c r="D3661" s="40" t="s">
        <v>18843</v>
      </c>
      <c r="E3661" s="41">
        <v>14.8</v>
      </c>
      <c r="F3661" s="40"/>
      <c r="G3661" s="41"/>
      <c r="H3661" s="40"/>
      <c r="I3661" s="41"/>
      <c r="J3661" s="41">
        <f t="shared" si="14"/>
        <v>14.8</v>
      </c>
      <c r="K3661" s="42" t="s">
        <v>5796</v>
      </c>
      <c r="L3661" s="39">
        <v>3626</v>
      </c>
    </row>
    <row r="3662" spans="1:12" ht="11.25" customHeight="1">
      <c r="A3662" s="39">
        <v>3627</v>
      </c>
      <c r="B3662" s="40" t="s">
        <v>18844</v>
      </c>
      <c r="C3662" s="40" t="s">
        <v>18845</v>
      </c>
      <c r="D3662" s="40" t="s">
        <v>18846</v>
      </c>
      <c r="E3662" s="41">
        <v>14.72</v>
      </c>
      <c r="F3662" s="40"/>
      <c r="G3662" s="41"/>
      <c r="H3662" s="40"/>
      <c r="I3662" s="41"/>
      <c r="J3662" s="41">
        <f t="shared" si="14"/>
        <v>14.72</v>
      </c>
      <c r="K3662" s="42" t="s">
        <v>5796</v>
      </c>
      <c r="L3662" s="39">
        <v>3627</v>
      </c>
    </row>
    <row r="3663" spans="1:12" ht="11.25" customHeight="1">
      <c r="A3663" s="39">
        <v>3628</v>
      </c>
      <c r="B3663" s="40" t="s">
        <v>18847</v>
      </c>
      <c r="C3663" s="40" t="s">
        <v>18848</v>
      </c>
      <c r="D3663" s="40" t="s">
        <v>18849</v>
      </c>
      <c r="E3663" s="41">
        <v>14.7</v>
      </c>
      <c r="F3663" s="40"/>
      <c r="G3663" s="41"/>
      <c r="H3663" s="40"/>
      <c r="I3663" s="41"/>
      <c r="J3663" s="41">
        <f t="shared" si="14"/>
        <v>14.7</v>
      </c>
      <c r="K3663" s="42" t="s">
        <v>5796</v>
      </c>
      <c r="L3663" s="39">
        <v>3628</v>
      </c>
    </row>
    <row r="3664" spans="1:12" ht="11.25" customHeight="1">
      <c r="A3664" s="39">
        <v>3629</v>
      </c>
      <c r="B3664" s="40" t="s">
        <v>18850</v>
      </c>
      <c r="C3664" s="40" t="s">
        <v>18851</v>
      </c>
      <c r="D3664" s="40" t="s">
        <v>18852</v>
      </c>
      <c r="E3664" s="41">
        <v>14.66</v>
      </c>
      <c r="F3664" s="40"/>
      <c r="G3664" s="41"/>
      <c r="H3664" s="40"/>
      <c r="I3664" s="41"/>
      <c r="J3664" s="41">
        <f t="shared" si="14"/>
        <v>14.66</v>
      </c>
      <c r="K3664" s="42" t="s">
        <v>5796</v>
      </c>
      <c r="L3664" s="39">
        <v>3629</v>
      </c>
    </row>
    <row r="3665" spans="1:12" ht="11.25" customHeight="1">
      <c r="A3665" s="39">
        <v>3630</v>
      </c>
      <c r="B3665" s="40" t="s">
        <v>18853</v>
      </c>
      <c r="C3665" s="40" t="s">
        <v>18854</v>
      </c>
      <c r="D3665" s="40" t="s">
        <v>18855</v>
      </c>
      <c r="E3665" s="41">
        <v>14.65</v>
      </c>
      <c r="F3665" s="40"/>
      <c r="G3665" s="41"/>
      <c r="H3665" s="40"/>
      <c r="I3665" s="41"/>
      <c r="J3665" s="41">
        <f t="shared" si="14"/>
        <v>14.65</v>
      </c>
      <c r="K3665" s="42" t="s">
        <v>5796</v>
      </c>
      <c r="L3665" s="39">
        <v>3630</v>
      </c>
    </row>
    <row r="3666" spans="1:12" ht="11.25" customHeight="1">
      <c r="A3666" s="39">
        <v>3631</v>
      </c>
      <c r="B3666" s="40" t="s">
        <v>18856</v>
      </c>
      <c r="C3666" s="40" t="s">
        <v>18857</v>
      </c>
      <c r="D3666" s="40" t="s">
        <v>18858</v>
      </c>
      <c r="E3666" s="41">
        <v>14.64</v>
      </c>
      <c r="F3666" s="40"/>
      <c r="G3666" s="41"/>
      <c r="H3666" s="40"/>
      <c r="I3666" s="41"/>
      <c r="J3666" s="41">
        <f t="shared" si="14"/>
        <v>14.64</v>
      </c>
      <c r="K3666" s="42" t="s">
        <v>5796</v>
      </c>
      <c r="L3666" s="39">
        <v>3631</v>
      </c>
    </row>
    <row r="3667" spans="1:12" ht="11.25" customHeight="1">
      <c r="A3667" s="39">
        <v>3632</v>
      </c>
      <c r="B3667" s="40" t="s">
        <v>18859</v>
      </c>
      <c r="C3667" s="40" t="s">
        <v>18860</v>
      </c>
      <c r="D3667" s="40" t="s">
        <v>18861</v>
      </c>
      <c r="E3667" s="41">
        <v>14.63</v>
      </c>
      <c r="F3667" s="40"/>
      <c r="G3667" s="41"/>
      <c r="H3667" s="40"/>
      <c r="I3667" s="41"/>
      <c r="J3667" s="41">
        <f t="shared" si="14"/>
        <v>14.63</v>
      </c>
      <c r="K3667" s="42" t="s">
        <v>5796</v>
      </c>
      <c r="L3667" s="39">
        <v>3632</v>
      </c>
    </row>
    <row r="3668" spans="1:12" ht="11.25" customHeight="1">
      <c r="A3668" s="39">
        <v>3633</v>
      </c>
      <c r="B3668" s="40" t="s">
        <v>18862</v>
      </c>
      <c r="C3668" s="40" t="s">
        <v>18863</v>
      </c>
      <c r="D3668" s="40" t="s">
        <v>18864</v>
      </c>
      <c r="E3668" s="41">
        <v>14.63</v>
      </c>
      <c r="F3668" s="40"/>
      <c r="G3668" s="41"/>
      <c r="H3668" s="40"/>
      <c r="I3668" s="41"/>
      <c r="J3668" s="41">
        <f t="shared" si="14"/>
        <v>14.63</v>
      </c>
      <c r="K3668" s="42" t="s">
        <v>5796</v>
      </c>
      <c r="L3668" s="39">
        <v>3633</v>
      </c>
    </row>
    <row r="3669" spans="1:12" ht="11.25" customHeight="1">
      <c r="A3669" s="39">
        <v>3634</v>
      </c>
      <c r="B3669" s="40" t="s">
        <v>18865</v>
      </c>
      <c r="C3669" s="40" t="s">
        <v>18866</v>
      </c>
      <c r="D3669" s="40" t="s">
        <v>18867</v>
      </c>
      <c r="E3669" s="41">
        <v>14.6</v>
      </c>
      <c r="F3669" s="40"/>
      <c r="G3669" s="41"/>
      <c r="H3669" s="40"/>
      <c r="I3669" s="41"/>
      <c r="J3669" s="41">
        <f t="shared" si="14"/>
        <v>14.6</v>
      </c>
      <c r="K3669" s="42" t="s">
        <v>5796</v>
      </c>
      <c r="L3669" s="39">
        <v>3634</v>
      </c>
    </row>
    <row r="3670" spans="1:12" ht="11.25" customHeight="1">
      <c r="A3670" s="39">
        <v>3635</v>
      </c>
      <c r="B3670" s="40" t="s">
        <v>18868</v>
      </c>
      <c r="C3670" s="40" t="s">
        <v>18869</v>
      </c>
      <c r="D3670" s="40" t="s">
        <v>18870</v>
      </c>
      <c r="E3670" s="41">
        <v>14.59</v>
      </c>
      <c r="F3670" s="40"/>
      <c r="G3670" s="41"/>
      <c r="H3670" s="40"/>
      <c r="I3670" s="41"/>
      <c r="J3670" s="41">
        <f t="shared" si="14"/>
        <v>14.59</v>
      </c>
      <c r="K3670" s="42" t="s">
        <v>5796</v>
      </c>
      <c r="L3670" s="39">
        <v>3635</v>
      </c>
    </row>
    <row r="3671" spans="1:12" ht="11.25" customHeight="1">
      <c r="A3671" s="39">
        <v>3636</v>
      </c>
      <c r="B3671" s="40" t="s">
        <v>18871</v>
      </c>
      <c r="C3671" s="40" t="s">
        <v>18872</v>
      </c>
      <c r="D3671" s="40" t="s">
        <v>18873</v>
      </c>
      <c r="E3671" s="41">
        <v>14.56</v>
      </c>
      <c r="F3671" s="40"/>
      <c r="G3671" s="41"/>
      <c r="H3671" s="40"/>
      <c r="I3671" s="41"/>
      <c r="J3671" s="41">
        <f t="shared" si="14"/>
        <v>14.56</v>
      </c>
      <c r="K3671" s="42" t="s">
        <v>5796</v>
      </c>
      <c r="L3671" s="39">
        <v>3636</v>
      </c>
    </row>
    <row r="3672" spans="1:12" ht="11.25" customHeight="1">
      <c r="A3672" s="39">
        <v>3637</v>
      </c>
      <c r="B3672" s="40" t="s">
        <v>18874</v>
      </c>
      <c r="C3672" s="40" t="s">
        <v>18875</v>
      </c>
      <c r="D3672" s="40" t="s">
        <v>18876</v>
      </c>
      <c r="E3672" s="41">
        <v>14.53</v>
      </c>
      <c r="F3672" s="40"/>
      <c r="G3672" s="41"/>
      <c r="H3672" s="40"/>
      <c r="I3672" s="41"/>
      <c r="J3672" s="41">
        <f t="shared" si="14"/>
        <v>14.53</v>
      </c>
      <c r="K3672" s="42" t="s">
        <v>5796</v>
      </c>
      <c r="L3672" s="39">
        <v>3637</v>
      </c>
    </row>
    <row r="3673" spans="1:12" ht="11.25" customHeight="1">
      <c r="A3673" s="39">
        <v>3638</v>
      </c>
      <c r="B3673" s="40" t="s">
        <v>18877</v>
      </c>
      <c r="C3673" s="40" t="s">
        <v>18878</v>
      </c>
      <c r="D3673" s="40" t="s">
        <v>18879</v>
      </c>
      <c r="E3673" s="41">
        <v>14.51</v>
      </c>
      <c r="F3673" s="40"/>
      <c r="G3673" s="41"/>
      <c r="H3673" s="40"/>
      <c r="I3673" s="41"/>
      <c r="J3673" s="41">
        <f t="shared" si="14"/>
        <v>14.51</v>
      </c>
      <c r="K3673" s="42" t="s">
        <v>5796</v>
      </c>
      <c r="L3673" s="39">
        <v>3638</v>
      </c>
    </row>
    <row r="3674" spans="1:12" ht="11.25" customHeight="1">
      <c r="A3674" s="39">
        <v>3639</v>
      </c>
      <c r="B3674" s="40" t="s">
        <v>18880</v>
      </c>
      <c r="C3674" s="40" t="s">
        <v>18881</v>
      </c>
      <c r="D3674" s="40" t="s">
        <v>18882</v>
      </c>
      <c r="E3674" s="41">
        <v>14.5</v>
      </c>
      <c r="F3674" s="40"/>
      <c r="G3674" s="41"/>
      <c r="H3674" s="40"/>
      <c r="I3674" s="41"/>
      <c r="J3674" s="41">
        <f t="shared" si="14"/>
        <v>14.5</v>
      </c>
      <c r="K3674" s="42" t="s">
        <v>5796</v>
      </c>
      <c r="L3674" s="39">
        <v>3639</v>
      </c>
    </row>
    <row r="3675" spans="1:12" ht="11.25" customHeight="1">
      <c r="A3675" s="39">
        <v>3640</v>
      </c>
      <c r="B3675" s="40" t="s">
        <v>18883</v>
      </c>
      <c r="C3675" s="40" t="s">
        <v>18884</v>
      </c>
      <c r="D3675" s="40" t="s">
        <v>18885</v>
      </c>
      <c r="E3675" s="41">
        <v>14.49</v>
      </c>
      <c r="F3675" s="40"/>
      <c r="G3675" s="41"/>
      <c r="H3675" s="40"/>
      <c r="I3675" s="41"/>
      <c r="J3675" s="41">
        <f t="shared" si="14"/>
        <v>14.49</v>
      </c>
      <c r="K3675" s="42" t="s">
        <v>5796</v>
      </c>
      <c r="L3675" s="39">
        <v>3640</v>
      </c>
    </row>
    <row r="3676" spans="1:12" ht="11.25" customHeight="1">
      <c r="A3676" s="39">
        <v>3641</v>
      </c>
      <c r="B3676" s="40" t="s">
        <v>18886</v>
      </c>
      <c r="C3676" s="40" t="s">
        <v>18887</v>
      </c>
      <c r="D3676" s="40" t="s">
        <v>18888</v>
      </c>
      <c r="E3676" s="41">
        <v>14.49</v>
      </c>
      <c r="F3676" s="40"/>
      <c r="G3676" s="41"/>
      <c r="H3676" s="40"/>
      <c r="I3676" s="41"/>
      <c r="J3676" s="41">
        <f t="shared" si="14"/>
        <v>14.49</v>
      </c>
      <c r="K3676" s="42" t="s">
        <v>5796</v>
      </c>
      <c r="L3676" s="39">
        <v>3641</v>
      </c>
    </row>
    <row r="3677" spans="1:12" ht="11.25" customHeight="1">
      <c r="A3677" s="39">
        <v>3642</v>
      </c>
      <c r="B3677" s="40" t="s">
        <v>18889</v>
      </c>
      <c r="C3677" s="40" t="s">
        <v>18890</v>
      </c>
      <c r="D3677" s="40" t="s">
        <v>18891</v>
      </c>
      <c r="E3677" s="41">
        <v>14.42</v>
      </c>
      <c r="F3677" s="40"/>
      <c r="G3677" s="41"/>
      <c r="H3677" s="40"/>
      <c r="I3677" s="41"/>
      <c r="J3677" s="41">
        <f t="shared" si="14"/>
        <v>14.42</v>
      </c>
      <c r="K3677" s="42" t="s">
        <v>5796</v>
      </c>
      <c r="L3677" s="39">
        <v>3642</v>
      </c>
    </row>
    <row r="3678" spans="1:12" ht="11.25" customHeight="1">
      <c r="A3678" s="39">
        <v>3643</v>
      </c>
      <c r="B3678" s="40" t="s">
        <v>18892</v>
      </c>
      <c r="C3678" s="40" t="s">
        <v>18893</v>
      </c>
      <c r="D3678" s="40" t="s">
        <v>18894</v>
      </c>
      <c r="E3678" s="41">
        <v>14.4</v>
      </c>
      <c r="F3678" s="40"/>
      <c r="G3678" s="41"/>
      <c r="H3678" s="40"/>
      <c r="I3678" s="41"/>
      <c r="J3678" s="41">
        <f t="shared" si="14"/>
        <v>14.4</v>
      </c>
      <c r="K3678" s="42" t="s">
        <v>5796</v>
      </c>
      <c r="L3678" s="39">
        <v>3643</v>
      </c>
    </row>
    <row r="3679" spans="1:12" ht="11.25" customHeight="1">
      <c r="A3679" s="39">
        <v>3644</v>
      </c>
      <c r="B3679" s="40" t="s">
        <v>18895</v>
      </c>
      <c r="C3679" s="40" t="s">
        <v>18896</v>
      </c>
      <c r="D3679" s="40" t="s">
        <v>18897</v>
      </c>
      <c r="E3679" s="41">
        <v>14.38</v>
      </c>
      <c r="F3679" s="40"/>
      <c r="G3679" s="41"/>
      <c r="H3679" s="40"/>
      <c r="I3679" s="41"/>
      <c r="J3679" s="41">
        <f t="shared" si="14"/>
        <v>14.38</v>
      </c>
      <c r="K3679" s="42" t="s">
        <v>5796</v>
      </c>
      <c r="L3679" s="39">
        <v>3644</v>
      </c>
    </row>
    <row r="3680" spans="1:12" ht="11.25" customHeight="1">
      <c r="A3680" s="39">
        <v>3645</v>
      </c>
      <c r="B3680" s="40" t="s">
        <v>18898</v>
      </c>
      <c r="C3680" s="40" t="s">
        <v>18899</v>
      </c>
      <c r="D3680" s="40" t="s">
        <v>18900</v>
      </c>
      <c r="E3680" s="41">
        <v>14.37</v>
      </c>
      <c r="F3680" s="40"/>
      <c r="G3680" s="41"/>
      <c r="H3680" s="40"/>
      <c r="I3680" s="41"/>
      <c r="J3680" s="41">
        <f t="shared" si="14"/>
        <v>14.37</v>
      </c>
      <c r="K3680" s="42" t="s">
        <v>5796</v>
      </c>
      <c r="L3680" s="39">
        <v>3645</v>
      </c>
    </row>
    <row r="3681" spans="1:12" ht="11.25" customHeight="1">
      <c r="A3681" s="39">
        <v>3646</v>
      </c>
      <c r="B3681" s="40" t="s">
        <v>18901</v>
      </c>
      <c r="C3681" s="40" t="s">
        <v>18902</v>
      </c>
      <c r="D3681" s="40" t="s">
        <v>18903</v>
      </c>
      <c r="E3681" s="41">
        <v>14.34</v>
      </c>
      <c r="F3681" s="40"/>
      <c r="G3681" s="41"/>
      <c r="H3681" s="40"/>
      <c r="I3681" s="41"/>
      <c r="J3681" s="41">
        <f t="shared" si="14"/>
        <v>14.34</v>
      </c>
      <c r="K3681" s="42" t="s">
        <v>5796</v>
      </c>
      <c r="L3681" s="39">
        <v>3646</v>
      </c>
    </row>
    <row r="3682" spans="1:12" ht="11.25" customHeight="1">
      <c r="A3682" s="39">
        <v>3647</v>
      </c>
      <c r="B3682" s="40" t="s">
        <v>18904</v>
      </c>
      <c r="C3682" s="40" t="s">
        <v>18905</v>
      </c>
      <c r="D3682" s="40" t="s">
        <v>18906</v>
      </c>
      <c r="E3682" s="41">
        <v>14.37</v>
      </c>
      <c r="F3682" s="40"/>
      <c r="G3682" s="41"/>
      <c r="H3682" s="40" t="s">
        <v>18906</v>
      </c>
      <c r="I3682" s="41">
        <v>14.298459677419341</v>
      </c>
      <c r="J3682" s="41">
        <f t="shared" si="14"/>
        <v>14.334229838709671</v>
      </c>
      <c r="K3682" s="42" t="s">
        <v>5796</v>
      </c>
      <c r="L3682" s="39">
        <v>3647</v>
      </c>
    </row>
    <row r="3683" spans="1:12" ht="11.25" customHeight="1">
      <c r="A3683" s="39">
        <v>3648</v>
      </c>
      <c r="B3683" s="40" t="s">
        <v>18907</v>
      </c>
      <c r="C3683" s="40" t="s">
        <v>18908</v>
      </c>
      <c r="D3683" s="40" t="s">
        <v>18909</v>
      </c>
      <c r="E3683" s="41">
        <v>14.28</v>
      </c>
      <c r="F3683" s="40"/>
      <c r="G3683" s="41"/>
      <c r="H3683" s="40"/>
      <c r="I3683" s="41"/>
      <c r="J3683" s="41">
        <f t="shared" si="14"/>
        <v>14.28</v>
      </c>
      <c r="K3683" s="42" t="s">
        <v>5796</v>
      </c>
      <c r="L3683" s="39">
        <v>3648</v>
      </c>
    </row>
    <row r="3684" spans="1:12" ht="11.25" customHeight="1">
      <c r="A3684" s="39">
        <v>3649</v>
      </c>
      <c r="B3684" s="40" t="s">
        <v>8709</v>
      </c>
      <c r="C3684" s="40" t="s">
        <v>18910</v>
      </c>
      <c r="D3684" s="40" t="s">
        <v>18911</v>
      </c>
      <c r="E3684" s="41">
        <v>14.23</v>
      </c>
      <c r="F3684" s="40"/>
      <c r="G3684" s="41"/>
      <c r="H3684" s="40"/>
      <c r="I3684" s="41"/>
      <c r="J3684" s="41">
        <f t="shared" si="14"/>
        <v>14.23</v>
      </c>
      <c r="K3684" s="42" t="s">
        <v>5796</v>
      </c>
      <c r="L3684" s="39">
        <v>3649</v>
      </c>
    </row>
    <row r="3685" spans="1:12" ht="11.25" customHeight="1">
      <c r="A3685" s="39">
        <v>3650</v>
      </c>
      <c r="B3685" s="40" t="s">
        <v>18912</v>
      </c>
      <c r="C3685" s="40" t="s">
        <v>18913</v>
      </c>
      <c r="D3685" s="40" t="s">
        <v>18914</v>
      </c>
      <c r="E3685" s="41">
        <v>14.21</v>
      </c>
      <c r="F3685" s="40"/>
      <c r="G3685" s="41"/>
      <c r="H3685" s="40"/>
      <c r="I3685" s="41"/>
      <c r="J3685" s="41">
        <f t="shared" si="14"/>
        <v>14.21</v>
      </c>
      <c r="K3685" s="42" t="s">
        <v>5796</v>
      </c>
      <c r="L3685" s="39">
        <v>3650</v>
      </c>
    </row>
    <row r="3686" spans="1:12" ht="11.25" customHeight="1">
      <c r="A3686" s="39">
        <v>3651</v>
      </c>
      <c r="B3686" s="40" t="s">
        <v>8468</v>
      </c>
      <c r="C3686" s="40" t="s">
        <v>18915</v>
      </c>
      <c r="D3686" s="40" t="s">
        <v>18916</v>
      </c>
      <c r="E3686" s="41">
        <v>14.17</v>
      </c>
      <c r="F3686" s="40"/>
      <c r="G3686" s="41"/>
      <c r="H3686" s="40"/>
      <c r="I3686" s="41"/>
      <c r="J3686" s="41">
        <f t="shared" si="14"/>
        <v>14.17</v>
      </c>
      <c r="K3686" s="42" t="s">
        <v>5796</v>
      </c>
      <c r="L3686" s="39">
        <v>3651</v>
      </c>
    </row>
    <row r="3687" spans="1:12" ht="11.25" customHeight="1">
      <c r="A3687" s="39">
        <v>3652</v>
      </c>
      <c r="B3687" s="40" t="s">
        <v>18917</v>
      </c>
      <c r="C3687" s="40" t="s">
        <v>18918</v>
      </c>
      <c r="D3687" s="40" t="s">
        <v>18919</v>
      </c>
      <c r="E3687" s="41">
        <v>14.15</v>
      </c>
      <c r="F3687" s="40"/>
      <c r="G3687" s="41"/>
      <c r="H3687" s="40"/>
      <c r="I3687" s="41"/>
      <c r="J3687" s="41">
        <f t="shared" si="14"/>
        <v>14.15</v>
      </c>
      <c r="K3687" s="42" t="s">
        <v>5796</v>
      </c>
      <c r="L3687" s="39">
        <v>3652</v>
      </c>
    </row>
    <row r="3688" spans="1:12" ht="11.25" customHeight="1">
      <c r="A3688" s="39">
        <v>3653</v>
      </c>
      <c r="B3688" s="40" t="s">
        <v>18920</v>
      </c>
      <c r="C3688" s="40" t="s">
        <v>18921</v>
      </c>
      <c r="D3688" s="40" t="s">
        <v>18922</v>
      </c>
      <c r="E3688" s="41">
        <v>14.15</v>
      </c>
      <c r="F3688" s="40"/>
      <c r="G3688" s="41"/>
      <c r="H3688" s="40"/>
      <c r="I3688" s="41"/>
      <c r="J3688" s="41">
        <f t="shared" si="14"/>
        <v>14.15</v>
      </c>
      <c r="K3688" s="42" t="s">
        <v>5796</v>
      </c>
      <c r="L3688" s="39">
        <v>3653</v>
      </c>
    </row>
    <row r="3689" spans="1:12" ht="11.25" customHeight="1">
      <c r="A3689" s="39">
        <v>3654</v>
      </c>
      <c r="B3689" s="40" t="s">
        <v>18923</v>
      </c>
      <c r="C3689" s="40" t="s">
        <v>18924</v>
      </c>
      <c r="D3689" s="40" t="s">
        <v>18925</v>
      </c>
      <c r="E3689" s="41">
        <v>14.14</v>
      </c>
      <c r="F3689" s="40"/>
      <c r="G3689" s="41"/>
      <c r="H3689" s="40"/>
      <c r="I3689" s="41"/>
      <c r="J3689" s="41">
        <f t="shared" si="14"/>
        <v>14.14</v>
      </c>
      <c r="K3689" s="42" t="s">
        <v>5796</v>
      </c>
      <c r="L3689" s="39">
        <v>3654</v>
      </c>
    </row>
    <row r="3690" spans="1:12" ht="11.25" customHeight="1">
      <c r="A3690" s="39">
        <v>3655</v>
      </c>
      <c r="B3690" s="40" t="s">
        <v>18926</v>
      </c>
      <c r="C3690" s="40" t="s">
        <v>18927</v>
      </c>
      <c r="D3690" s="40" t="s">
        <v>18928</v>
      </c>
      <c r="E3690" s="41">
        <v>14.12</v>
      </c>
      <c r="F3690" s="40"/>
      <c r="G3690" s="41"/>
      <c r="H3690" s="40"/>
      <c r="I3690" s="41"/>
      <c r="J3690" s="41">
        <f t="shared" si="14"/>
        <v>14.12</v>
      </c>
      <c r="K3690" s="42" t="s">
        <v>5796</v>
      </c>
      <c r="L3690" s="39">
        <v>3655</v>
      </c>
    </row>
    <row r="3691" spans="1:12" ht="11.25" customHeight="1">
      <c r="A3691" s="39">
        <v>3656</v>
      </c>
      <c r="B3691" s="40" t="s">
        <v>18929</v>
      </c>
      <c r="C3691" s="40" t="s">
        <v>18930</v>
      </c>
      <c r="D3691" s="40" t="s">
        <v>18931</v>
      </c>
      <c r="E3691" s="41">
        <v>14.07</v>
      </c>
      <c r="F3691" s="40"/>
      <c r="G3691" s="41"/>
      <c r="H3691" s="40"/>
      <c r="I3691" s="41"/>
      <c r="J3691" s="41">
        <f t="shared" si="14"/>
        <v>14.07</v>
      </c>
      <c r="K3691" s="42" t="s">
        <v>5796</v>
      </c>
      <c r="L3691" s="39">
        <v>3656</v>
      </c>
    </row>
    <row r="3692" spans="1:12" ht="11.25" customHeight="1">
      <c r="A3692" s="39">
        <v>3657</v>
      </c>
      <c r="B3692" s="40" t="s">
        <v>8680</v>
      </c>
      <c r="C3692" s="40" t="s">
        <v>18932</v>
      </c>
      <c r="D3692" s="40" t="s">
        <v>18933</v>
      </c>
      <c r="E3692" s="41">
        <v>14.04</v>
      </c>
      <c r="F3692" s="40"/>
      <c r="G3692" s="41"/>
      <c r="H3692" s="40"/>
      <c r="I3692" s="41"/>
      <c r="J3692" s="41">
        <f t="shared" si="14"/>
        <v>14.04</v>
      </c>
      <c r="K3692" s="42" t="s">
        <v>5796</v>
      </c>
      <c r="L3692" s="39">
        <v>3657</v>
      </c>
    </row>
    <row r="3693" spans="1:12" ht="11.25" customHeight="1">
      <c r="A3693" s="39">
        <v>3658</v>
      </c>
      <c r="B3693" s="40" t="s">
        <v>18934</v>
      </c>
      <c r="C3693" s="40" t="s">
        <v>18935</v>
      </c>
      <c r="D3693" s="40" t="s">
        <v>18936</v>
      </c>
      <c r="E3693" s="41">
        <v>14.03</v>
      </c>
      <c r="F3693" s="40"/>
      <c r="G3693" s="41"/>
      <c r="H3693" s="40"/>
      <c r="I3693" s="41"/>
      <c r="J3693" s="41">
        <f t="shared" si="14"/>
        <v>14.03</v>
      </c>
      <c r="K3693" s="42" t="s">
        <v>5796</v>
      </c>
      <c r="L3693" s="39">
        <v>3658</v>
      </c>
    </row>
    <row r="3694" spans="1:12" ht="11.25" customHeight="1">
      <c r="A3694" s="39">
        <v>3659</v>
      </c>
      <c r="B3694" s="40" t="s">
        <v>18937</v>
      </c>
      <c r="C3694" s="40" t="s">
        <v>18938</v>
      </c>
      <c r="D3694" s="40" t="s">
        <v>18939</v>
      </c>
      <c r="E3694" s="41">
        <v>14</v>
      </c>
      <c r="F3694" s="40"/>
      <c r="G3694" s="41"/>
      <c r="H3694" s="40"/>
      <c r="I3694" s="41"/>
      <c r="J3694" s="41">
        <f t="shared" si="14"/>
        <v>14</v>
      </c>
      <c r="K3694" s="42" t="s">
        <v>5796</v>
      </c>
      <c r="L3694" s="39">
        <v>3659</v>
      </c>
    </row>
    <row r="3695" spans="1:12" ht="11.25" customHeight="1">
      <c r="A3695" s="39">
        <v>3660</v>
      </c>
      <c r="B3695" s="40" t="s">
        <v>18940</v>
      </c>
      <c r="C3695" s="40" t="s">
        <v>18941</v>
      </c>
      <c r="D3695" s="40" t="s">
        <v>18942</v>
      </c>
      <c r="E3695" s="41">
        <v>13.95</v>
      </c>
      <c r="F3695" s="40"/>
      <c r="G3695" s="41"/>
      <c r="H3695" s="40"/>
      <c r="I3695" s="41"/>
      <c r="J3695" s="41">
        <f t="shared" si="14"/>
        <v>13.95</v>
      </c>
      <c r="K3695" s="42" t="s">
        <v>5796</v>
      </c>
      <c r="L3695" s="39">
        <v>3660</v>
      </c>
    </row>
    <row r="3696" spans="1:12" ht="11.25" customHeight="1">
      <c r="A3696" s="39">
        <v>3661</v>
      </c>
      <c r="B3696" s="40" t="s">
        <v>18943</v>
      </c>
      <c r="C3696" s="40" t="s">
        <v>18944</v>
      </c>
      <c r="D3696" s="40" t="s">
        <v>18945</v>
      </c>
      <c r="E3696" s="41">
        <v>13.94</v>
      </c>
      <c r="F3696" s="40"/>
      <c r="G3696" s="41"/>
      <c r="H3696" s="40"/>
      <c r="I3696" s="41"/>
      <c r="J3696" s="41">
        <f t="shared" si="14"/>
        <v>13.94</v>
      </c>
      <c r="K3696" s="42" t="s">
        <v>5796</v>
      </c>
      <c r="L3696" s="39">
        <v>3661</v>
      </c>
    </row>
    <row r="3697" spans="1:12" ht="11.25" customHeight="1">
      <c r="A3697" s="39">
        <v>3662</v>
      </c>
      <c r="B3697" s="40" t="s">
        <v>18946</v>
      </c>
      <c r="C3697" s="40" t="s">
        <v>18947</v>
      </c>
      <c r="D3697" s="40" t="s">
        <v>18948</v>
      </c>
      <c r="E3697" s="41">
        <v>13.93</v>
      </c>
      <c r="F3697" s="40"/>
      <c r="G3697" s="41"/>
      <c r="H3697" s="40"/>
      <c r="I3697" s="41"/>
      <c r="J3697" s="41">
        <f t="shared" si="14"/>
        <v>13.93</v>
      </c>
      <c r="K3697" s="42" t="s">
        <v>5796</v>
      </c>
      <c r="L3697" s="39">
        <v>3662</v>
      </c>
    </row>
    <row r="3698" spans="1:12" ht="11.25" customHeight="1">
      <c r="A3698" s="39">
        <v>3663</v>
      </c>
      <c r="B3698" s="40" t="s">
        <v>18949</v>
      </c>
      <c r="C3698" s="40" t="s">
        <v>18950</v>
      </c>
      <c r="D3698" s="40" t="s">
        <v>18951</v>
      </c>
      <c r="E3698" s="41">
        <v>13.89</v>
      </c>
      <c r="F3698" s="40"/>
      <c r="G3698" s="41"/>
      <c r="H3698" s="40"/>
      <c r="I3698" s="41"/>
      <c r="J3698" s="41">
        <f t="shared" si="14"/>
        <v>13.89</v>
      </c>
      <c r="K3698" s="42" t="s">
        <v>5796</v>
      </c>
      <c r="L3698" s="39">
        <v>3663</v>
      </c>
    </row>
    <row r="3699" spans="1:12" ht="11.25" customHeight="1">
      <c r="A3699" s="39">
        <v>3664</v>
      </c>
      <c r="B3699" s="40" t="s">
        <v>18952</v>
      </c>
      <c r="C3699" s="40" t="s">
        <v>18953</v>
      </c>
      <c r="D3699" s="40" t="s">
        <v>18954</v>
      </c>
      <c r="E3699" s="41">
        <v>13.88</v>
      </c>
      <c r="F3699" s="40"/>
      <c r="G3699" s="41"/>
      <c r="H3699" s="40"/>
      <c r="I3699" s="41"/>
      <c r="J3699" s="41">
        <f t="shared" si="14"/>
        <v>13.88</v>
      </c>
      <c r="K3699" s="42" t="s">
        <v>5796</v>
      </c>
      <c r="L3699" s="39">
        <v>3664</v>
      </c>
    </row>
    <row r="3700" spans="1:12" ht="11.25" customHeight="1">
      <c r="A3700" s="39">
        <v>3665</v>
      </c>
      <c r="B3700" s="40" t="s">
        <v>18955</v>
      </c>
      <c r="C3700" s="40" t="s">
        <v>18956</v>
      </c>
      <c r="D3700" s="40" t="s">
        <v>18957</v>
      </c>
      <c r="E3700" s="41">
        <v>13.87</v>
      </c>
      <c r="F3700" s="40"/>
      <c r="G3700" s="41"/>
      <c r="H3700" s="40"/>
      <c r="I3700" s="41"/>
      <c r="J3700" s="41">
        <f t="shared" si="14"/>
        <v>13.87</v>
      </c>
      <c r="K3700" s="42" t="s">
        <v>5796</v>
      </c>
      <c r="L3700" s="39">
        <v>3665</v>
      </c>
    </row>
    <row r="3701" spans="1:12" ht="11.25" customHeight="1">
      <c r="A3701" s="39">
        <v>3666</v>
      </c>
      <c r="B3701" s="40" t="s">
        <v>18958</v>
      </c>
      <c r="C3701" s="40" t="s">
        <v>18959</v>
      </c>
      <c r="D3701" s="40" t="s">
        <v>18960</v>
      </c>
      <c r="E3701" s="41">
        <v>13.86</v>
      </c>
      <c r="F3701" s="40"/>
      <c r="G3701" s="41"/>
      <c r="H3701" s="40"/>
      <c r="I3701" s="41"/>
      <c r="J3701" s="41">
        <f t="shared" si="14"/>
        <v>13.86</v>
      </c>
      <c r="K3701" s="42" t="s">
        <v>5796</v>
      </c>
      <c r="L3701" s="39">
        <v>3666</v>
      </c>
    </row>
    <row r="3702" spans="1:12" ht="11.25" customHeight="1">
      <c r="A3702" s="39">
        <v>3667</v>
      </c>
      <c r="B3702" s="40" t="s">
        <v>9141</v>
      </c>
      <c r="C3702" s="40" t="s">
        <v>18961</v>
      </c>
      <c r="D3702" s="40" t="s">
        <v>18962</v>
      </c>
      <c r="E3702" s="41">
        <v>13.83</v>
      </c>
      <c r="F3702" s="40"/>
      <c r="G3702" s="41"/>
      <c r="H3702" s="40"/>
      <c r="I3702" s="41"/>
      <c r="J3702" s="41">
        <f t="shared" si="14"/>
        <v>13.83</v>
      </c>
      <c r="K3702" s="42" t="s">
        <v>5796</v>
      </c>
      <c r="L3702" s="39">
        <v>3667</v>
      </c>
    </row>
    <row r="3703" spans="1:12" ht="11.25" customHeight="1">
      <c r="A3703" s="39">
        <v>3668</v>
      </c>
      <c r="B3703" s="40" t="s">
        <v>18963</v>
      </c>
      <c r="C3703" s="40" t="s">
        <v>18964</v>
      </c>
      <c r="D3703" s="40" t="s">
        <v>18965</v>
      </c>
      <c r="E3703" s="41">
        <v>13.82</v>
      </c>
      <c r="F3703" s="40"/>
      <c r="G3703" s="41"/>
      <c r="H3703" s="40"/>
      <c r="I3703" s="41"/>
      <c r="J3703" s="41">
        <f t="shared" si="14"/>
        <v>13.82</v>
      </c>
      <c r="K3703" s="42" t="s">
        <v>5796</v>
      </c>
      <c r="L3703" s="39">
        <v>3668</v>
      </c>
    </row>
    <row r="3704" spans="1:12" ht="11.25" customHeight="1">
      <c r="A3704" s="39">
        <v>3669</v>
      </c>
      <c r="B3704" s="40" t="s">
        <v>18966</v>
      </c>
      <c r="C3704" s="40" t="s">
        <v>18967</v>
      </c>
      <c r="D3704" s="40" t="s">
        <v>18968</v>
      </c>
      <c r="E3704" s="41">
        <v>13.8</v>
      </c>
      <c r="F3704" s="40"/>
      <c r="G3704" s="41"/>
      <c r="H3704" s="40"/>
      <c r="I3704" s="41"/>
      <c r="J3704" s="41">
        <f t="shared" si="14"/>
        <v>13.8</v>
      </c>
      <c r="K3704" s="42" t="s">
        <v>5796</v>
      </c>
      <c r="L3704" s="39">
        <v>3669</v>
      </c>
    </row>
    <row r="3705" spans="1:12" ht="11.25" customHeight="1">
      <c r="A3705" s="39">
        <v>3670</v>
      </c>
      <c r="B3705" s="40" t="s">
        <v>18969</v>
      </c>
      <c r="C3705" s="40" t="s">
        <v>18970</v>
      </c>
      <c r="D3705" s="40" t="s">
        <v>18971</v>
      </c>
      <c r="E3705" s="41">
        <v>13.79</v>
      </c>
      <c r="F3705" s="40"/>
      <c r="G3705" s="41"/>
      <c r="H3705" s="40"/>
      <c r="I3705" s="41"/>
      <c r="J3705" s="41">
        <f t="shared" si="14"/>
        <v>13.79</v>
      </c>
      <c r="K3705" s="42" t="s">
        <v>5796</v>
      </c>
      <c r="L3705" s="39">
        <v>3670</v>
      </c>
    </row>
    <row r="3706" spans="1:12" ht="11.25" customHeight="1">
      <c r="A3706" s="39">
        <v>3671</v>
      </c>
      <c r="B3706" s="40" t="s">
        <v>18972</v>
      </c>
      <c r="C3706" s="40" t="s">
        <v>18973</v>
      </c>
      <c r="D3706" s="40" t="s">
        <v>18974</v>
      </c>
      <c r="E3706" s="41">
        <v>13.77</v>
      </c>
      <c r="F3706" s="40"/>
      <c r="G3706" s="41"/>
      <c r="H3706" s="40"/>
      <c r="I3706" s="41"/>
      <c r="J3706" s="41">
        <f t="shared" si="14"/>
        <v>13.77</v>
      </c>
      <c r="K3706" s="42" t="s">
        <v>5796</v>
      </c>
      <c r="L3706" s="39">
        <v>3671</v>
      </c>
    </row>
    <row r="3707" spans="1:12" ht="11.25" customHeight="1">
      <c r="A3707" s="39">
        <v>3672</v>
      </c>
      <c r="B3707" s="40" t="s">
        <v>18975</v>
      </c>
      <c r="C3707" s="40" t="s">
        <v>18976</v>
      </c>
      <c r="D3707" s="40" t="s">
        <v>18977</v>
      </c>
      <c r="E3707" s="41">
        <v>13.73</v>
      </c>
      <c r="F3707" s="40"/>
      <c r="G3707" s="41"/>
      <c r="H3707" s="40"/>
      <c r="I3707" s="41"/>
      <c r="J3707" s="41">
        <f t="shared" si="14"/>
        <v>13.73</v>
      </c>
      <c r="K3707" s="42" t="s">
        <v>5796</v>
      </c>
      <c r="L3707" s="39">
        <v>3672</v>
      </c>
    </row>
    <row r="3708" spans="1:12" ht="11.25" customHeight="1">
      <c r="A3708" s="39">
        <v>3673</v>
      </c>
      <c r="B3708" s="40" t="s">
        <v>18978</v>
      </c>
      <c r="C3708" s="40" t="s">
        <v>18979</v>
      </c>
      <c r="D3708" s="40" t="s">
        <v>18980</v>
      </c>
      <c r="E3708" s="41">
        <v>13.73</v>
      </c>
      <c r="F3708" s="40"/>
      <c r="G3708" s="41"/>
      <c r="H3708" s="40"/>
      <c r="I3708" s="41"/>
      <c r="J3708" s="41">
        <f t="shared" si="14"/>
        <v>13.73</v>
      </c>
      <c r="K3708" s="42" t="s">
        <v>5796</v>
      </c>
      <c r="L3708" s="39">
        <v>3673</v>
      </c>
    </row>
    <row r="3709" spans="1:12" ht="11.25" customHeight="1">
      <c r="A3709" s="39">
        <v>3674</v>
      </c>
      <c r="B3709" s="40" t="s">
        <v>8724</v>
      </c>
      <c r="C3709" s="40" t="s">
        <v>18981</v>
      </c>
      <c r="D3709" s="40" t="s">
        <v>18982</v>
      </c>
      <c r="E3709" s="41">
        <v>13.66</v>
      </c>
      <c r="F3709" s="40"/>
      <c r="G3709" s="41"/>
      <c r="H3709" s="40"/>
      <c r="I3709" s="41"/>
      <c r="J3709" s="41">
        <f t="shared" si="14"/>
        <v>13.66</v>
      </c>
      <c r="K3709" s="42" t="s">
        <v>5796</v>
      </c>
      <c r="L3709" s="39">
        <v>3674</v>
      </c>
    </row>
    <row r="3710" spans="1:12" ht="11.25" customHeight="1">
      <c r="A3710" s="39">
        <v>3675</v>
      </c>
      <c r="B3710" s="40" t="s">
        <v>18983</v>
      </c>
      <c r="C3710" s="40" t="s">
        <v>18984</v>
      </c>
      <c r="D3710" s="40" t="s">
        <v>18985</v>
      </c>
      <c r="E3710" s="41">
        <v>13.63</v>
      </c>
      <c r="F3710" s="40"/>
      <c r="G3710" s="41"/>
      <c r="H3710" s="40"/>
      <c r="I3710" s="41"/>
      <c r="J3710" s="41">
        <f t="shared" si="14"/>
        <v>13.63</v>
      </c>
      <c r="K3710" s="42" t="s">
        <v>5796</v>
      </c>
      <c r="L3710" s="39">
        <v>3675</v>
      </c>
    </row>
    <row r="3711" spans="1:12" ht="11.25" customHeight="1">
      <c r="A3711" s="39">
        <v>3676</v>
      </c>
      <c r="B3711" s="40" t="s">
        <v>18986</v>
      </c>
      <c r="C3711" s="40" t="s">
        <v>18987</v>
      </c>
      <c r="D3711" s="40" t="s">
        <v>18988</v>
      </c>
      <c r="E3711" s="41">
        <v>13.63</v>
      </c>
      <c r="F3711" s="40"/>
      <c r="G3711" s="41"/>
      <c r="H3711" s="40"/>
      <c r="I3711" s="41"/>
      <c r="J3711" s="41">
        <f t="shared" si="14"/>
        <v>13.63</v>
      </c>
      <c r="K3711" s="42" t="s">
        <v>5796</v>
      </c>
      <c r="L3711" s="39">
        <v>3676</v>
      </c>
    </row>
    <row r="3712" spans="1:12" ht="11.25" customHeight="1">
      <c r="A3712" s="39">
        <v>3677</v>
      </c>
      <c r="B3712" s="40" t="s">
        <v>18989</v>
      </c>
      <c r="C3712" s="40" t="s">
        <v>18990</v>
      </c>
      <c r="D3712" s="40" t="s">
        <v>18991</v>
      </c>
      <c r="E3712" s="41">
        <v>13.62</v>
      </c>
      <c r="F3712" s="40"/>
      <c r="G3712" s="41"/>
      <c r="H3712" s="40"/>
      <c r="I3712" s="41"/>
      <c r="J3712" s="41">
        <f t="shared" si="14"/>
        <v>13.62</v>
      </c>
      <c r="K3712" s="42" t="s">
        <v>5796</v>
      </c>
      <c r="L3712" s="39">
        <v>3677</v>
      </c>
    </row>
    <row r="3713" spans="1:12" ht="11.25" customHeight="1">
      <c r="A3713" s="39">
        <v>3678</v>
      </c>
      <c r="B3713" s="40" t="s">
        <v>9227</v>
      </c>
      <c r="C3713" s="40" t="s">
        <v>18992</v>
      </c>
      <c r="D3713" s="40" t="s">
        <v>18993</v>
      </c>
      <c r="E3713" s="41">
        <v>13.61</v>
      </c>
      <c r="F3713" s="40"/>
      <c r="G3713" s="41"/>
      <c r="H3713" s="40"/>
      <c r="I3713" s="41"/>
      <c r="J3713" s="41">
        <f t="shared" si="14"/>
        <v>13.61</v>
      </c>
      <c r="K3713" s="42" t="s">
        <v>5796</v>
      </c>
      <c r="L3713" s="39">
        <v>3678</v>
      </c>
    </row>
    <row r="3714" spans="1:12" ht="11.25" customHeight="1">
      <c r="A3714" s="39">
        <v>3679</v>
      </c>
      <c r="B3714" s="40" t="s">
        <v>8767</v>
      </c>
      <c r="C3714" s="40" t="s">
        <v>18994</v>
      </c>
      <c r="D3714" s="40" t="s">
        <v>18995</v>
      </c>
      <c r="E3714" s="41">
        <v>13.56</v>
      </c>
      <c r="F3714" s="40"/>
      <c r="G3714" s="41"/>
      <c r="H3714" s="40"/>
      <c r="I3714" s="41"/>
      <c r="J3714" s="41">
        <f t="shared" si="14"/>
        <v>13.56</v>
      </c>
      <c r="K3714" s="42" t="s">
        <v>5796</v>
      </c>
      <c r="L3714" s="39">
        <v>3679</v>
      </c>
    </row>
    <row r="3715" spans="1:12" ht="11.25" customHeight="1">
      <c r="A3715" s="39">
        <v>3680</v>
      </c>
      <c r="B3715" s="40" t="s">
        <v>9529</v>
      </c>
      <c r="C3715" s="40" t="s">
        <v>18996</v>
      </c>
      <c r="D3715" s="40" t="s">
        <v>18997</v>
      </c>
      <c r="E3715" s="41">
        <v>13.51</v>
      </c>
      <c r="F3715" s="40"/>
      <c r="G3715" s="41"/>
      <c r="H3715" s="40"/>
      <c r="I3715" s="41"/>
      <c r="J3715" s="41">
        <f t="shared" si="14"/>
        <v>13.51</v>
      </c>
      <c r="K3715" s="42" t="s">
        <v>5796</v>
      </c>
      <c r="L3715" s="39">
        <v>3680</v>
      </c>
    </row>
    <row r="3716" spans="1:12" ht="11.25" customHeight="1">
      <c r="A3716" s="39">
        <v>3681</v>
      </c>
      <c r="B3716" s="40" t="s">
        <v>18998</v>
      </c>
      <c r="C3716" s="40" t="s">
        <v>18999</v>
      </c>
      <c r="D3716" s="40" t="s">
        <v>19000</v>
      </c>
      <c r="E3716" s="41">
        <v>13.51</v>
      </c>
      <c r="F3716" s="40"/>
      <c r="G3716" s="41"/>
      <c r="H3716" s="40"/>
      <c r="I3716" s="41"/>
      <c r="J3716" s="41">
        <f t="shared" si="14"/>
        <v>13.51</v>
      </c>
      <c r="K3716" s="42" t="s">
        <v>5796</v>
      </c>
      <c r="L3716" s="39">
        <v>3681</v>
      </c>
    </row>
    <row r="3717" spans="1:12" ht="11.25" customHeight="1">
      <c r="A3717" s="39">
        <v>3682</v>
      </c>
      <c r="B3717" s="40" t="s">
        <v>9061</v>
      </c>
      <c r="C3717" s="40" t="s">
        <v>19001</v>
      </c>
      <c r="D3717" s="40" t="s">
        <v>19002</v>
      </c>
      <c r="E3717" s="41">
        <v>13.5</v>
      </c>
      <c r="F3717" s="40"/>
      <c r="G3717" s="41"/>
      <c r="H3717" s="40"/>
      <c r="I3717" s="41"/>
      <c r="J3717" s="41">
        <f t="shared" si="14"/>
        <v>13.5</v>
      </c>
      <c r="K3717" s="42" t="s">
        <v>5796</v>
      </c>
      <c r="L3717" s="39">
        <v>3682</v>
      </c>
    </row>
    <row r="3718" spans="1:12" ht="11.25" customHeight="1">
      <c r="A3718" s="39">
        <v>3683</v>
      </c>
      <c r="B3718" s="52" t="s">
        <v>8755</v>
      </c>
      <c r="C3718" s="52" t="s">
        <v>19003</v>
      </c>
      <c r="D3718" s="40"/>
      <c r="E3718" s="41"/>
      <c r="F3718" s="40"/>
      <c r="G3718" s="41"/>
      <c r="H3718" s="52" t="s">
        <v>19004</v>
      </c>
      <c r="I3718" s="53">
        <v>13.5</v>
      </c>
      <c r="J3718" s="41">
        <f t="shared" si="14"/>
        <v>13.5</v>
      </c>
      <c r="K3718" s="42" t="s">
        <v>5796</v>
      </c>
      <c r="L3718" s="39">
        <v>3683</v>
      </c>
    </row>
    <row r="3719" spans="1:12" ht="11.25" customHeight="1">
      <c r="A3719" s="39">
        <v>3685</v>
      </c>
      <c r="B3719" s="40" t="s">
        <v>19005</v>
      </c>
      <c r="C3719" s="40" t="s">
        <v>19006</v>
      </c>
      <c r="D3719" s="40" t="s">
        <v>19007</v>
      </c>
      <c r="E3719" s="41">
        <v>13.48</v>
      </c>
      <c r="F3719" s="40"/>
      <c r="G3719" s="41"/>
      <c r="H3719" s="40"/>
      <c r="I3719" s="41"/>
      <c r="J3719" s="41">
        <f t="shared" si="14"/>
        <v>13.48</v>
      </c>
      <c r="K3719" s="42" t="s">
        <v>5796</v>
      </c>
      <c r="L3719" s="39">
        <v>3685</v>
      </c>
    </row>
    <row r="3720" spans="1:12" ht="11.25" customHeight="1">
      <c r="A3720" s="39">
        <v>3686</v>
      </c>
      <c r="B3720" s="40" t="s">
        <v>19008</v>
      </c>
      <c r="C3720" s="40" t="s">
        <v>19009</v>
      </c>
      <c r="D3720" s="40" t="s">
        <v>19010</v>
      </c>
      <c r="E3720" s="41">
        <v>13.48</v>
      </c>
      <c r="F3720" s="40"/>
      <c r="G3720" s="41"/>
      <c r="H3720" s="40"/>
      <c r="I3720" s="41"/>
      <c r="J3720" s="41">
        <f t="shared" si="14"/>
        <v>13.48</v>
      </c>
      <c r="K3720" s="42" t="s">
        <v>5796</v>
      </c>
      <c r="L3720" s="39">
        <v>3686</v>
      </c>
    </row>
    <row r="3721" spans="1:12" ht="11.25" customHeight="1">
      <c r="A3721" s="39">
        <v>3687</v>
      </c>
      <c r="B3721" s="40" t="s">
        <v>19011</v>
      </c>
      <c r="C3721" s="40" t="s">
        <v>19012</v>
      </c>
      <c r="D3721" s="40" t="s">
        <v>19013</v>
      </c>
      <c r="E3721" s="41">
        <v>13.37</v>
      </c>
      <c r="F3721" s="40"/>
      <c r="G3721" s="41"/>
      <c r="H3721" s="40"/>
      <c r="I3721" s="41"/>
      <c r="J3721" s="41">
        <f t="shared" si="14"/>
        <v>13.37</v>
      </c>
      <c r="K3721" s="42" t="s">
        <v>5796</v>
      </c>
      <c r="L3721" s="39">
        <v>3687</v>
      </c>
    </row>
    <row r="3722" spans="1:12" ht="11.25" customHeight="1">
      <c r="A3722" s="39">
        <v>3689</v>
      </c>
      <c r="B3722" s="40" t="s">
        <v>19014</v>
      </c>
      <c r="C3722" s="40" t="s">
        <v>19015</v>
      </c>
      <c r="D3722" s="40" t="s">
        <v>19016</v>
      </c>
      <c r="E3722" s="41">
        <v>13.31</v>
      </c>
      <c r="F3722" s="40"/>
      <c r="G3722" s="41"/>
      <c r="H3722" s="40"/>
      <c r="I3722" s="41"/>
      <c r="J3722" s="41">
        <f t="shared" si="14"/>
        <v>13.31</v>
      </c>
      <c r="K3722" s="42" t="s">
        <v>5796</v>
      </c>
      <c r="L3722" s="39">
        <v>3689</v>
      </c>
    </row>
    <row r="3723" spans="1:12" ht="11.25" customHeight="1">
      <c r="A3723" s="39">
        <v>3690</v>
      </c>
      <c r="B3723" s="40" t="s">
        <v>19017</v>
      </c>
      <c r="C3723" s="40" t="s">
        <v>19018</v>
      </c>
      <c r="D3723" s="40" t="s">
        <v>19019</v>
      </c>
      <c r="E3723" s="41">
        <v>13.28</v>
      </c>
      <c r="F3723" s="40"/>
      <c r="G3723" s="41"/>
      <c r="H3723" s="40"/>
      <c r="I3723" s="41"/>
      <c r="J3723" s="41">
        <f t="shared" si="14"/>
        <v>13.28</v>
      </c>
      <c r="K3723" s="42" t="s">
        <v>5796</v>
      </c>
      <c r="L3723" s="39">
        <v>3690</v>
      </c>
    </row>
    <row r="3724" spans="1:12" ht="11.25" customHeight="1">
      <c r="A3724" s="39">
        <v>3691</v>
      </c>
      <c r="B3724" s="40" t="s">
        <v>19020</v>
      </c>
      <c r="C3724" s="40" t="s">
        <v>19021</v>
      </c>
      <c r="D3724" s="40" t="s">
        <v>19022</v>
      </c>
      <c r="E3724" s="41">
        <v>13.28</v>
      </c>
      <c r="F3724" s="40"/>
      <c r="G3724" s="41"/>
      <c r="H3724" s="40"/>
      <c r="I3724" s="41"/>
      <c r="J3724" s="41">
        <f t="shared" si="14"/>
        <v>13.28</v>
      </c>
      <c r="K3724" s="42" t="s">
        <v>5796</v>
      </c>
      <c r="L3724" s="39">
        <v>3691</v>
      </c>
    </row>
    <row r="3725" spans="1:12" ht="11.25" customHeight="1">
      <c r="A3725" s="39">
        <v>3692</v>
      </c>
      <c r="B3725" s="40" t="s">
        <v>19023</v>
      </c>
      <c r="C3725" s="40" t="s">
        <v>19024</v>
      </c>
      <c r="D3725" s="40" t="s">
        <v>19025</v>
      </c>
      <c r="E3725" s="41">
        <v>13.24</v>
      </c>
      <c r="F3725" s="40"/>
      <c r="G3725" s="41"/>
      <c r="H3725" s="40"/>
      <c r="I3725" s="41"/>
      <c r="J3725" s="41">
        <f t="shared" si="14"/>
        <v>13.24</v>
      </c>
      <c r="K3725" s="42" t="s">
        <v>5796</v>
      </c>
      <c r="L3725" s="39">
        <v>3692</v>
      </c>
    </row>
    <row r="3726" spans="1:12" ht="11.25" customHeight="1">
      <c r="A3726" s="39">
        <v>3693</v>
      </c>
      <c r="B3726" s="40" t="s">
        <v>8808</v>
      </c>
      <c r="C3726" s="40" t="s">
        <v>19026</v>
      </c>
      <c r="D3726" s="40" t="s">
        <v>19027</v>
      </c>
      <c r="E3726" s="41">
        <v>13.22</v>
      </c>
      <c r="F3726" s="40"/>
      <c r="G3726" s="41"/>
      <c r="H3726" s="40"/>
      <c r="I3726" s="41"/>
      <c r="J3726" s="41">
        <f t="shared" si="14"/>
        <v>13.22</v>
      </c>
      <c r="K3726" s="42" t="s">
        <v>5796</v>
      </c>
      <c r="L3726" s="39">
        <v>3693</v>
      </c>
    </row>
    <row r="3727" spans="1:12" ht="11.25" customHeight="1">
      <c r="A3727" s="39">
        <v>3694</v>
      </c>
      <c r="B3727" s="40" t="s">
        <v>19028</v>
      </c>
      <c r="C3727" s="40" t="s">
        <v>19029</v>
      </c>
      <c r="D3727" s="40" t="s">
        <v>19030</v>
      </c>
      <c r="E3727" s="41">
        <v>13.19</v>
      </c>
      <c r="F3727" s="40"/>
      <c r="G3727" s="41"/>
      <c r="H3727" s="40"/>
      <c r="I3727" s="41"/>
      <c r="J3727" s="41">
        <f t="shared" si="14"/>
        <v>13.19</v>
      </c>
      <c r="K3727" s="42" t="s">
        <v>5796</v>
      </c>
      <c r="L3727" s="39">
        <v>3694</v>
      </c>
    </row>
    <row r="3728" spans="1:12" ht="11.25" customHeight="1">
      <c r="A3728" s="39">
        <v>3695</v>
      </c>
      <c r="B3728" s="40" t="s">
        <v>19031</v>
      </c>
      <c r="C3728" s="40" t="s">
        <v>19032</v>
      </c>
      <c r="D3728" s="40" t="s">
        <v>19033</v>
      </c>
      <c r="E3728" s="41">
        <v>13.17</v>
      </c>
      <c r="F3728" s="40"/>
      <c r="G3728" s="41"/>
      <c r="H3728" s="40"/>
      <c r="I3728" s="41"/>
      <c r="J3728" s="41">
        <f t="shared" si="14"/>
        <v>13.17</v>
      </c>
      <c r="K3728" s="42" t="s">
        <v>5796</v>
      </c>
      <c r="L3728" s="39">
        <v>3695</v>
      </c>
    </row>
    <row r="3729" spans="1:12" ht="11.25" customHeight="1">
      <c r="A3729" s="39">
        <v>3696</v>
      </c>
      <c r="B3729" s="40" t="s">
        <v>8744</v>
      </c>
      <c r="C3729" s="40" t="s">
        <v>19034</v>
      </c>
      <c r="D3729" s="40" t="s">
        <v>19035</v>
      </c>
      <c r="E3729" s="41">
        <v>13.17</v>
      </c>
      <c r="F3729" s="40"/>
      <c r="G3729" s="41"/>
      <c r="H3729" s="40"/>
      <c r="I3729" s="41"/>
      <c r="J3729" s="41">
        <f t="shared" si="14"/>
        <v>13.17</v>
      </c>
      <c r="K3729" s="42" t="s">
        <v>5796</v>
      </c>
      <c r="L3729" s="39">
        <v>3696</v>
      </c>
    </row>
    <row r="3730" spans="1:12" ht="11.25" customHeight="1">
      <c r="A3730" s="39">
        <v>3697</v>
      </c>
      <c r="B3730" s="40" t="s">
        <v>19036</v>
      </c>
      <c r="C3730" s="40" t="s">
        <v>19037</v>
      </c>
      <c r="D3730" s="40" t="s">
        <v>19038</v>
      </c>
      <c r="E3730" s="41">
        <v>13.16</v>
      </c>
      <c r="F3730" s="40"/>
      <c r="G3730" s="41"/>
      <c r="H3730" s="40"/>
      <c r="I3730" s="41"/>
      <c r="J3730" s="41">
        <f t="shared" si="14"/>
        <v>13.16</v>
      </c>
      <c r="K3730" s="42" t="s">
        <v>5796</v>
      </c>
      <c r="L3730" s="39">
        <v>3697</v>
      </c>
    </row>
    <row r="3731" spans="1:12" ht="11.25" customHeight="1">
      <c r="A3731" s="39">
        <v>3698</v>
      </c>
      <c r="B3731" s="40" t="s">
        <v>19039</v>
      </c>
      <c r="C3731" s="40" t="s">
        <v>19040</v>
      </c>
      <c r="D3731" s="40" t="s">
        <v>19041</v>
      </c>
      <c r="E3731" s="41">
        <v>13.14</v>
      </c>
      <c r="F3731" s="40"/>
      <c r="G3731" s="41"/>
      <c r="H3731" s="40"/>
      <c r="I3731" s="41"/>
      <c r="J3731" s="41">
        <f t="shared" si="14"/>
        <v>13.14</v>
      </c>
      <c r="K3731" s="42" t="s">
        <v>5796</v>
      </c>
      <c r="L3731" s="39">
        <v>3698</v>
      </c>
    </row>
    <row r="3732" spans="1:12" ht="11.25" customHeight="1">
      <c r="A3732" s="39">
        <v>3699</v>
      </c>
      <c r="B3732" s="40" t="s">
        <v>19042</v>
      </c>
      <c r="C3732" s="40" t="s">
        <v>19043</v>
      </c>
      <c r="D3732" s="40" t="s">
        <v>19044</v>
      </c>
      <c r="E3732" s="41">
        <v>13.14</v>
      </c>
      <c r="F3732" s="40"/>
      <c r="G3732" s="41"/>
      <c r="H3732" s="40"/>
      <c r="I3732" s="41"/>
      <c r="J3732" s="41">
        <f t="shared" si="14"/>
        <v>13.14</v>
      </c>
      <c r="K3732" s="42" t="s">
        <v>5796</v>
      </c>
      <c r="L3732" s="39">
        <v>3699</v>
      </c>
    </row>
    <row r="3733" spans="1:12" ht="11.25" customHeight="1">
      <c r="A3733" s="39">
        <v>3700</v>
      </c>
      <c r="B3733" s="40" t="s">
        <v>19045</v>
      </c>
      <c r="C3733" s="40" t="s">
        <v>19046</v>
      </c>
      <c r="D3733" s="40" t="s">
        <v>19047</v>
      </c>
      <c r="E3733" s="41">
        <v>13.14</v>
      </c>
      <c r="F3733" s="40"/>
      <c r="G3733" s="41"/>
      <c r="H3733" s="40"/>
      <c r="I3733" s="41"/>
      <c r="J3733" s="41">
        <f t="shared" si="14"/>
        <v>13.14</v>
      </c>
      <c r="K3733" s="42" t="s">
        <v>5796</v>
      </c>
      <c r="L3733" s="39">
        <v>3700</v>
      </c>
    </row>
    <row r="3734" spans="1:12" ht="11.25" customHeight="1">
      <c r="A3734" s="39">
        <v>3701</v>
      </c>
      <c r="B3734" s="40" t="s">
        <v>19048</v>
      </c>
      <c r="C3734" s="40" t="s">
        <v>19049</v>
      </c>
      <c r="D3734" s="40" t="s">
        <v>19050</v>
      </c>
      <c r="E3734" s="41">
        <v>13.13</v>
      </c>
      <c r="F3734" s="40"/>
      <c r="G3734" s="41"/>
      <c r="H3734" s="40"/>
      <c r="I3734" s="41"/>
      <c r="J3734" s="41">
        <f t="shared" si="14"/>
        <v>13.13</v>
      </c>
      <c r="K3734" s="42" t="s">
        <v>5796</v>
      </c>
      <c r="L3734" s="39">
        <v>3701</v>
      </c>
    </row>
    <row r="3735" spans="1:12" ht="11.25" customHeight="1">
      <c r="A3735" s="39">
        <v>3702</v>
      </c>
      <c r="B3735" s="40" t="s">
        <v>19051</v>
      </c>
      <c r="C3735" s="40" t="s">
        <v>19052</v>
      </c>
      <c r="D3735" s="40" t="s">
        <v>19053</v>
      </c>
      <c r="E3735" s="41">
        <v>13.12</v>
      </c>
      <c r="F3735" s="40"/>
      <c r="G3735" s="41"/>
      <c r="H3735" s="40"/>
      <c r="I3735" s="41"/>
      <c r="J3735" s="41">
        <f t="shared" si="14"/>
        <v>13.12</v>
      </c>
      <c r="K3735" s="42" t="s">
        <v>5796</v>
      </c>
      <c r="L3735" s="39">
        <v>3702</v>
      </c>
    </row>
    <row r="3736" spans="1:12" ht="11.25" customHeight="1">
      <c r="A3736" s="39">
        <v>3703</v>
      </c>
      <c r="B3736" s="40" t="s">
        <v>19054</v>
      </c>
      <c r="C3736" s="40" t="s">
        <v>19055</v>
      </c>
      <c r="D3736" s="40" t="s">
        <v>19056</v>
      </c>
      <c r="E3736" s="41">
        <v>13.12</v>
      </c>
      <c r="F3736" s="40"/>
      <c r="G3736" s="41"/>
      <c r="H3736" s="40"/>
      <c r="I3736" s="41"/>
      <c r="J3736" s="41">
        <f t="shared" si="14"/>
        <v>13.12</v>
      </c>
      <c r="K3736" s="42" t="s">
        <v>5796</v>
      </c>
      <c r="L3736" s="39">
        <v>3703</v>
      </c>
    </row>
    <row r="3737" spans="1:12" ht="11.25" customHeight="1">
      <c r="A3737" s="39">
        <v>3704</v>
      </c>
      <c r="B3737" s="40" t="s">
        <v>19057</v>
      </c>
      <c r="C3737" s="40" t="s">
        <v>19058</v>
      </c>
      <c r="D3737" s="40" t="s">
        <v>19059</v>
      </c>
      <c r="E3737" s="41">
        <v>13.11</v>
      </c>
      <c r="F3737" s="40"/>
      <c r="G3737" s="41"/>
      <c r="H3737" s="40"/>
      <c r="I3737" s="41"/>
      <c r="J3737" s="41">
        <f t="shared" si="14"/>
        <v>13.11</v>
      </c>
      <c r="K3737" s="42" t="s">
        <v>5796</v>
      </c>
      <c r="L3737" s="39">
        <v>3704</v>
      </c>
    </row>
    <row r="3738" spans="1:12" ht="11.25" customHeight="1">
      <c r="A3738" s="39">
        <v>3705</v>
      </c>
      <c r="B3738" s="40" t="s">
        <v>19060</v>
      </c>
      <c r="C3738" s="40" t="s">
        <v>19061</v>
      </c>
      <c r="D3738" s="40" t="s">
        <v>19062</v>
      </c>
      <c r="E3738" s="41">
        <v>13.09</v>
      </c>
      <c r="F3738" s="40"/>
      <c r="G3738" s="41"/>
      <c r="H3738" s="40"/>
      <c r="I3738" s="41"/>
      <c r="J3738" s="41">
        <f t="shared" si="14"/>
        <v>13.09</v>
      </c>
      <c r="K3738" s="42" t="s">
        <v>5796</v>
      </c>
      <c r="L3738" s="39">
        <v>3705</v>
      </c>
    </row>
    <row r="3739" spans="1:12" ht="11.25" customHeight="1">
      <c r="A3739" s="39">
        <v>3706</v>
      </c>
      <c r="B3739" s="40" t="s">
        <v>19063</v>
      </c>
      <c r="C3739" s="40" t="s">
        <v>19064</v>
      </c>
      <c r="D3739" s="40" t="s">
        <v>19065</v>
      </c>
      <c r="E3739" s="41">
        <v>13.09</v>
      </c>
      <c r="F3739" s="40"/>
      <c r="G3739" s="41"/>
      <c r="H3739" s="40"/>
      <c r="I3739" s="41"/>
      <c r="J3739" s="41">
        <f t="shared" si="14"/>
        <v>13.09</v>
      </c>
      <c r="K3739" s="42" t="s">
        <v>5796</v>
      </c>
      <c r="L3739" s="39">
        <v>3706</v>
      </c>
    </row>
    <row r="3740" spans="1:12" ht="11.25" customHeight="1">
      <c r="A3740" s="39">
        <v>3707</v>
      </c>
      <c r="B3740" s="40" t="s">
        <v>19066</v>
      </c>
      <c r="C3740" s="40" t="s">
        <v>19067</v>
      </c>
      <c r="D3740" s="40" t="s">
        <v>19068</v>
      </c>
      <c r="E3740" s="41">
        <v>13.08</v>
      </c>
      <c r="F3740" s="40"/>
      <c r="G3740" s="41"/>
      <c r="H3740" s="40"/>
      <c r="I3740" s="41"/>
      <c r="J3740" s="41">
        <f t="shared" si="14"/>
        <v>13.08</v>
      </c>
      <c r="K3740" s="42" t="s">
        <v>5796</v>
      </c>
      <c r="L3740" s="39">
        <v>3707</v>
      </c>
    </row>
    <row r="3741" spans="1:12" ht="11.25" customHeight="1">
      <c r="A3741" s="39">
        <v>3708</v>
      </c>
      <c r="B3741" s="40" t="s">
        <v>19069</v>
      </c>
      <c r="C3741" s="40" t="s">
        <v>19070</v>
      </c>
      <c r="D3741" s="40" t="s">
        <v>19071</v>
      </c>
      <c r="E3741" s="41">
        <v>13.07</v>
      </c>
      <c r="F3741" s="40"/>
      <c r="G3741" s="41"/>
      <c r="H3741" s="40"/>
      <c r="I3741" s="41"/>
      <c r="J3741" s="41">
        <f t="shared" si="14"/>
        <v>13.07</v>
      </c>
      <c r="K3741" s="42" t="s">
        <v>5796</v>
      </c>
      <c r="L3741" s="39">
        <v>3708</v>
      </c>
    </row>
    <row r="3742" spans="1:12" ht="11.25" customHeight="1">
      <c r="A3742" s="39">
        <v>3709</v>
      </c>
      <c r="B3742" s="40" t="s">
        <v>19072</v>
      </c>
      <c r="C3742" s="40" t="s">
        <v>19073</v>
      </c>
      <c r="D3742" s="40" t="s">
        <v>19074</v>
      </c>
      <c r="E3742" s="41">
        <v>12.99</v>
      </c>
      <c r="F3742" s="40"/>
      <c r="G3742" s="41"/>
      <c r="H3742" s="40"/>
      <c r="I3742" s="41"/>
      <c r="J3742" s="41">
        <f t="shared" si="14"/>
        <v>12.99</v>
      </c>
      <c r="K3742" s="42" t="s">
        <v>5796</v>
      </c>
      <c r="L3742" s="39">
        <v>3709</v>
      </c>
    </row>
    <row r="3743" spans="1:12" ht="11.25" customHeight="1">
      <c r="A3743" s="39">
        <v>3710</v>
      </c>
      <c r="B3743" s="40" t="s">
        <v>19075</v>
      </c>
      <c r="C3743" s="40" t="s">
        <v>19076</v>
      </c>
      <c r="D3743" s="40" t="s">
        <v>19077</v>
      </c>
      <c r="E3743" s="41">
        <v>12.98</v>
      </c>
      <c r="F3743" s="40"/>
      <c r="G3743" s="41"/>
      <c r="H3743" s="40"/>
      <c r="I3743" s="41"/>
      <c r="J3743" s="41">
        <f t="shared" si="14"/>
        <v>12.98</v>
      </c>
      <c r="K3743" s="42" t="s">
        <v>5796</v>
      </c>
      <c r="L3743" s="39">
        <v>3710</v>
      </c>
    </row>
    <row r="3744" spans="1:12" ht="11.25" customHeight="1">
      <c r="A3744" s="39">
        <v>3711</v>
      </c>
      <c r="B3744" s="40" t="s">
        <v>19078</v>
      </c>
      <c r="C3744" s="40" t="s">
        <v>19079</v>
      </c>
      <c r="D3744" s="40" t="s">
        <v>19080</v>
      </c>
      <c r="E3744" s="41">
        <v>12.95</v>
      </c>
      <c r="F3744" s="40"/>
      <c r="G3744" s="41"/>
      <c r="H3744" s="40"/>
      <c r="I3744" s="41"/>
      <c r="J3744" s="41">
        <f t="shared" si="14"/>
        <v>12.95</v>
      </c>
      <c r="K3744" s="42" t="s">
        <v>5796</v>
      </c>
      <c r="L3744" s="39">
        <v>3711</v>
      </c>
    </row>
    <row r="3745" spans="1:12" ht="11.25" customHeight="1">
      <c r="A3745" s="39">
        <v>3712</v>
      </c>
      <c r="B3745" s="40" t="s">
        <v>19081</v>
      </c>
      <c r="C3745" s="40" t="s">
        <v>19082</v>
      </c>
      <c r="D3745" s="40" t="s">
        <v>19083</v>
      </c>
      <c r="E3745" s="41">
        <v>12.94</v>
      </c>
      <c r="F3745" s="40"/>
      <c r="G3745" s="41"/>
      <c r="H3745" s="40"/>
      <c r="I3745" s="41"/>
      <c r="J3745" s="41">
        <f t="shared" si="14"/>
        <v>12.94</v>
      </c>
      <c r="K3745" s="42" t="s">
        <v>5796</v>
      </c>
      <c r="L3745" s="39">
        <v>3712</v>
      </c>
    </row>
    <row r="3746" spans="1:12" ht="11.25" customHeight="1">
      <c r="A3746" s="39">
        <v>3713</v>
      </c>
      <c r="B3746" s="40" t="s">
        <v>19084</v>
      </c>
      <c r="C3746" s="40" t="s">
        <v>19085</v>
      </c>
      <c r="D3746" s="40" t="s">
        <v>19086</v>
      </c>
      <c r="E3746" s="41">
        <v>12.87</v>
      </c>
      <c r="F3746" s="40"/>
      <c r="G3746" s="41"/>
      <c r="H3746" s="40"/>
      <c r="I3746" s="41"/>
      <c r="J3746" s="41">
        <f t="shared" si="14"/>
        <v>12.87</v>
      </c>
      <c r="K3746" s="42" t="s">
        <v>5796</v>
      </c>
      <c r="L3746" s="39">
        <v>3713</v>
      </c>
    </row>
    <row r="3747" spans="1:12" ht="11.25" customHeight="1">
      <c r="A3747" s="39">
        <v>3714</v>
      </c>
      <c r="B3747" s="40" t="s">
        <v>19087</v>
      </c>
      <c r="C3747" s="40" t="s">
        <v>19088</v>
      </c>
      <c r="D3747" s="40" t="s">
        <v>19089</v>
      </c>
      <c r="E3747" s="41">
        <v>12.82</v>
      </c>
      <c r="F3747" s="40"/>
      <c r="G3747" s="41"/>
      <c r="H3747" s="40"/>
      <c r="I3747" s="41"/>
      <c r="J3747" s="41">
        <f t="shared" si="14"/>
        <v>12.82</v>
      </c>
      <c r="K3747" s="42" t="s">
        <v>5796</v>
      </c>
      <c r="L3747" s="39">
        <v>3714</v>
      </c>
    </row>
    <row r="3748" spans="1:12" ht="11.25" customHeight="1">
      <c r="A3748" s="39">
        <v>3715</v>
      </c>
      <c r="B3748" s="40" t="s">
        <v>19090</v>
      </c>
      <c r="C3748" s="40" t="s">
        <v>19091</v>
      </c>
      <c r="D3748" s="40" t="s">
        <v>19092</v>
      </c>
      <c r="E3748" s="41">
        <v>12.82</v>
      </c>
      <c r="F3748" s="40"/>
      <c r="G3748" s="41"/>
      <c r="H3748" s="40"/>
      <c r="I3748" s="41"/>
      <c r="J3748" s="41">
        <f t="shared" si="14"/>
        <v>12.82</v>
      </c>
      <c r="K3748" s="42" t="s">
        <v>5796</v>
      </c>
      <c r="L3748" s="39">
        <v>3715</v>
      </c>
    </row>
    <row r="3749" spans="1:12" ht="11.25" customHeight="1">
      <c r="A3749" s="39">
        <v>3717</v>
      </c>
      <c r="B3749" s="40" t="s">
        <v>19093</v>
      </c>
      <c r="C3749" s="40" t="s">
        <v>19094</v>
      </c>
      <c r="D3749" s="40" t="s">
        <v>19095</v>
      </c>
      <c r="E3749" s="41">
        <v>12.79</v>
      </c>
      <c r="F3749" s="40"/>
      <c r="G3749" s="41"/>
      <c r="H3749" s="40"/>
      <c r="I3749" s="41"/>
      <c r="J3749" s="41">
        <f t="shared" si="14"/>
        <v>12.79</v>
      </c>
      <c r="K3749" s="42" t="s">
        <v>5796</v>
      </c>
      <c r="L3749" s="39">
        <v>3717</v>
      </c>
    </row>
    <row r="3750" spans="1:12" ht="11.25" customHeight="1">
      <c r="A3750" s="39">
        <v>3718</v>
      </c>
      <c r="B3750" s="40" t="s">
        <v>19096</v>
      </c>
      <c r="C3750" s="40" t="s">
        <v>19097</v>
      </c>
      <c r="D3750" s="40" t="s">
        <v>19098</v>
      </c>
      <c r="E3750" s="41">
        <v>12.79</v>
      </c>
      <c r="F3750" s="40"/>
      <c r="G3750" s="41"/>
      <c r="H3750" s="40"/>
      <c r="I3750" s="41"/>
      <c r="J3750" s="41">
        <f t="shared" si="14"/>
        <v>12.79</v>
      </c>
      <c r="K3750" s="42" t="s">
        <v>5796</v>
      </c>
      <c r="L3750" s="39">
        <v>3718</v>
      </c>
    </row>
    <row r="3751" spans="1:12" ht="11.25" customHeight="1">
      <c r="A3751" s="39">
        <v>3719</v>
      </c>
      <c r="B3751" s="40" t="s">
        <v>8763</v>
      </c>
      <c r="C3751" s="40" t="s">
        <v>19099</v>
      </c>
      <c r="D3751" s="40" t="s">
        <v>19100</v>
      </c>
      <c r="E3751" s="41">
        <v>12.78</v>
      </c>
      <c r="F3751" s="40"/>
      <c r="G3751" s="41"/>
      <c r="H3751" s="40"/>
      <c r="I3751" s="41"/>
      <c r="J3751" s="41">
        <f t="shared" si="14"/>
        <v>12.78</v>
      </c>
      <c r="K3751" s="42" t="s">
        <v>5796</v>
      </c>
      <c r="L3751" s="39">
        <v>3719</v>
      </c>
    </row>
    <row r="3752" spans="1:12" ht="11.25" customHeight="1">
      <c r="A3752" s="39">
        <v>3720</v>
      </c>
      <c r="B3752" s="40" t="s">
        <v>19101</v>
      </c>
      <c r="C3752" s="40" t="s">
        <v>19102</v>
      </c>
      <c r="D3752" s="40" t="s">
        <v>19103</v>
      </c>
      <c r="E3752" s="41">
        <v>12.77</v>
      </c>
      <c r="F3752" s="40"/>
      <c r="G3752" s="41"/>
      <c r="H3752" s="40"/>
      <c r="I3752" s="41"/>
      <c r="J3752" s="41">
        <f t="shared" si="14"/>
        <v>12.77</v>
      </c>
      <c r="K3752" s="42" t="s">
        <v>5796</v>
      </c>
      <c r="L3752" s="39">
        <v>3720</v>
      </c>
    </row>
    <row r="3753" spans="1:12" ht="11.25" customHeight="1">
      <c r="A3753" s="39">
        <v>3721</v>
      </c>
      <c r="B3753" s="40" t="s">
        <v>19104</v>
      </c>
      <c r="C3753" s="40" t="s">
        <v>19105</v>
      </c>
      <c r="D3753" s="40" t="s">
        <v>19106</v>
      </c>
      <c r="E3753" s="41">
        <v>12.75</v>
      </c>
      <c r="F3753" s="40"/>
      <c r="G3753" s="41"/>
      <c r="H3753" s="40"/>
      <c r="I3753" s="41"/>
      <c r="J3753" s="41">
        <f t="shared" si="14"/>
        <v>12.75</v>
      </c>
      <c r="K3753" s="42" t="s">
        <v>5796</v>
      </c>
      <c r="L3753" s="39">
        <v>3721</v>
      </c>
    </row>
    <row r="3754" spans="1:12" ht="11.25" customHeight="1">
      <c r="A3754" s="39">
        <v>3722</v>
      </c>
      <c r="B3754" s="40" t="s">
        <v>9089</v>
      </c>
      <c r="C3754" s="40" t="s">
        <v>19107</v>
      </c>
      <c r="D3754" s="40" t="s">
        <v>19108</v>
      </c>
      <c r="E3754" s="41">
        <v>12.73</v>
      </c>
      <c r="F3754" s="40"/>
      <c r="G3754" s="41"/>
      <c r="H3754" s="40"/>
      <c r="I3754" s="41"/>
      <c r="J3754" s="41">
        <f t="shared" si="14"/>
        <v>12.73</v>
      </c>
      <c r="K3754" s="42" t="s">
        <v>5796</v>
      </c>
      <c r="L3754" s="39">
        <v>3722</v>
      </c>
    </row>
    <row r="3755" spans="1:12" ht="11.25" customHeight="1">
      <c r="A3755" s="39">
        <v>3723</v>
      </c>
      <c r="B3755" s="40" t="s">
        <v>19109</v>
      </c>
      <c r="C3755" s="40" t="s">
        <v>19110</v>
      </c>
      <c r="D3755" s="40" t="s">
        <v>19111</v>
      </c>
      <c r="E3755" s="41">
        <v>12.71</v>
      </c>
      <c r="F3755" s="40"/>
      <c r="G3755" s="41"/>
      <c r="H3755" s="40"/>
      <c r="I3755" s="41"/>
      <c r="J3755" s="41">
        <f t="shared" si="14"/>
        <v>12.71</v>
      </c>
      <c r="K3755" s="42" t="s">
        <v>5796</v>
      </c>
      <c r="L3755" s="39">
        <v>3723</v>
      </c>
    </row>
    <row r="3756" spans="1:12" ht="11.25" customHeight="1">
      <c r="A3756" s="39">
        <v>3724</v>
      </c>
      <c r="B3756" s="40" t="s">
        <v>19112</v>
      </c>
      <c r="C3756" s="40" t="s">
        <v>19113</v>
      </c>
      <c r="D3756" s="40" t="s">
        <v>7032</v>
      </c>
      <c r="E3756" s="41">
        <v>12.68</v>
      </c>
      <c r="F3756" s="40"/>
      <c r="G3756" s="41"/>
      <c r="H3756" s="40"/>
      <c r="I3756" s="41"/>
      <c r="J3756" s="41">
        <f t="shared" si="14"/>
        <v>12.68</v>
      </c>
      <c r="K3756" s="42" t="s">
        <v>5796</v>
      </c>
      <c r="L3756" s="39">
        <v>3724</v>
      </c>
    </row>
    <row r="3757" spans="1:12" ht="11.25" customHeight="1">
      <c r="A3757" s="39">
        <v>3725</v>
      </c>
      <c r="B3757" s="40" t="s">
        <v>9903</v>
      </c>
      <c r="C3757" s="40" t="s">
        <v>19114</v>
      </c>
      <c r="D3757" s="40" t="s">
        <v>19115</v>
      </c>
      <c r="E3757" s="41">
        <v>12.62</v>
      </c>
      <c r="F3757" s="40"/>
      <c r="G3757" s="41"/>
      <c r="H3757" s="40"/>
      <c r="I3757" s="41"/>
      <c r="J3757" s="41">
        <f t="shared" si="14"/>
        <v>12.62</v>
      </c>
      <c r="K3757" s="42" t="s">
        <v>5796</v>
      </c>
      <c r="L3757" s="39">
        <v>3725</v>
      </c>
    </row>
    <row r="3758" spans="1:12" ht="11.25" customHeight="1">
      <c r="A3758" s="39">
        <v>3726</v>
      </c>
      <c r="B3758" s="40" t="s">
        <v>19116</v>
      </c>
      <c r="C3758" s="40" t="s">
        <v>19117</v>
      </c>
      <c r="D3758" s="40" t="s">
        <v>19118</v>
      </c>
      <c r="E3758" s="41">
        <v>12.62</v>
      </c>
      <c r="F3758" s="40"/>
      <c r="G3758" s="41"/>
      <c r="H3758" s="40"/>
      <c r="I3758" s="41"/>
      <c r="J3758" s="41">
        <f t="shared" si="14"/>
        <v>12.62</v>
      </c>
      <c r="K3758" s="42" t="s">
        <v>5796</v>
      </c>
      <c r="L3758" s="39">
        <v>3726</v>
      </c>
    </row>
    <row r="3759" spans="1:12" ht="11.25" customHeight="1">
      <c r="A3759" s="39">
        <v>3727</v>
      </c>
      <c r="B3759" s="40" t="s">
        <v>19119</v>
      </c>
      <c r="C3759" s="40" t="s">
        <v>19120</v>
      </c>
      <c r="D3759" s="40" t="s">
        <v>19121</v>
      </c>
      <c r="E3759" s="41">
        <v>12.61</v>
      </c>
      <c r="F3759" s="40"/>
      <c r="G3759" s="41"/>
      <c r="H3759" s="40"/>
      <c r="I3759" s="41"/>
      <c r="J3759" s="41">
        <f t="shared" si="14"/>
        <v>12.61</v>
      </c>
      <c r="K3759" s="42" t="s">
        <v>5796</v>
      </c>
      <c r="L3759" s="39">
        <v>3727</v>
      </c>
    </row>
    <row r="3760" spans="1:12" ht="11.25" customHeight="1">
      <c r="A3760" s="39">
        <v>3728</v>
      </c>
      <c r="B3760" s="40" t="s">
        <v>19122</v>
      </c>
      <c r="C3760" s="40" t="s">
        <v>19123</v>
      </c>
      <c r="D3760" s="40" t="s">
        <v>19124</v>
      </c>
      <c r="E3760" s="41">
        <v>12.57</v>
      </c>
      <c r="F3760" s="40"/>
      <c r="G3760" s="41"/>
      <c r="H3760" s="40"/>
      <c r="I3760" s="41"/>
      <c r="J3760" s="41">
        <f t="shared" si="14"/>
        <v>12.57</v>
      </c>
      <c r="K3760" s="42" t="s">
        <v>5796</v>
      </c>
      <c r="L3760" s="39">
        <v>3728</v>
      </c>
    </row>
    <row r="3761" spans="1:12" ht="11.25" customHeight="1">
      <c r="A3761" s="39">
        <v>3729</v>
      </c>
      <c r="B3761" s="40" t="s">
        <v>19125</v>
      </c>
      <c r="C3761" s="40" t="s">
        <v>19126</v>
      </c>
      <c r="D3761" s="40" t="s">
        <v>19127</v>
      </c>
      <c r="E3761" s="41">
        <v>12.57</v>
      </c>
      <c r="F3761" s="40"/>
      <c r="G3761" s="41"/>
      <c r="H3761" s="40"/>
      <c r="I3761" s="41"/>
      <c r="J3761" s="41">
        <f t="shared" si="14"/>
        <v>12.57</v>
      </c>
      <c r="K3761" s="42" t="s">
        <v>5796</v>
      </c>
      <c r="L3761" s="39">
        <v>3729</v>
      </c>
    </row>
    <row r="3762" spans="1:12" ht="11.25" customHeight="1">
      <c r="A3762" s="39">
        <v>3730</v>
      </c>
      <c r="B3762" s="40" t="s">
        <v>19128</v>
      </c>
      <c r="C3762" s="40" t="s">
        <v>19129</v>
      </c>
      <c r="D3762" s="40" t="s">
        <v>19130</v>
      </c>
      <c r="E3762" s="41">
        <v>12.57</v>
      </c>
      <c r="F3762" s="40"/>
      <c r="G3762" s="41"/>
      <c r="H3762" s="40"/>
      <c r="I3762" s="41"/>
      <c r="J3762" s="41">
        <f t="shared" si="14"/>
        <v>12.57</v>
      </c>
      <c r="K3762" s="42" t="s">
        <v>5796</v>
      </c>
      <c r="L3762" s="39">
        <v>3730</v>
      </c>
    </row>
    <row r="3763" spans="1:12" ht="11.25" customHeight="1">
      <c r="A3763" s="39">
        <v>3731</v>
      </c>
      <c r="B3763" s="40" t="s">
        <v>19131</v>
      </c>
      <c r="C3763" s="40" t="s">
        <v>19132</v>
      </c>
      <c r="D3763" s="40" t="s">
        <v>19133</v>
      </c>
      <c r="E3763" s="41">
        <v>12.56</v>
      </c>
      <c r="F3763" s="40"/>
      <c r="G3763" s="41"/>
      <c r="H3763" s="40"/>
      <c r="I3763" s="41"/>
      <c r="J3763" s="41">
        <f t="shared" si="14"/>
        <v>12.56</v>
      </c>
      <c r="K3763" s="42" t="s">
        <v>5796</v>
      </c>
      <c r="L3763" s="39">
        <v>3731</v>
      </c>
    </row>
    <row r="3764" spans="1:12" ht="11.25" customHeight="1">
      <c r="A3764" s="39">
        <v>3732</v>
      </c>
      <c r="B3764" s="40" t="s">
        <v>19134</v>
      </c>
      <c r="C3764" s="40" t="s">
        <v>19135</v>
      </c>
      <c r="D3764" s="40" t="s">
        <v>19136</v>
      </c>
      <c r="E3764" s="41">
        <v>12.56</v>
      </c>
      <c r="F3764" s="40"/>
      <c r="G3764" s="41"/>
      <c r="H3764" s="40"/>
      <c r="I3764" s="41"/>
      <c r="J3764" s="41">
        <f t="shared" si="14"/>
        <v>12.56</v>
      </c>
      <c r="K3764" s="42" t="s">
        <v>5796</v>
      </c>
      <c r="L3764" s="39">
        <v>3732</v>
      </c>
    </row>
    <row r="3765" spans="1:12" ht="11.25" customHeight="1">
      <c r="A3765" s="39">
        <v>3733</v>
      </c>
      <c r="B3765" s="40" t="s">
        <v>19137</v>
      </c>
      <c r="C3765" s="40" t="s">
        <v>19138</v>
      </c>
      <c r="D3765" s="40" t="s">
        <v>19139</v>
      </c>
      <c r="E3765" s="41">
        <v>12.56</v>
      </c>
      <c r="F3765" s="40"/>
      <c r="G3765" s="41"/>
      <c r="H3765" s="40"/>
      <c r="I3765" s="41"/>
      <c r="J3765" s="41">
        <f t="shared" si="14"/>
        <v>12.56</v>
      </c>
      <c r="K3765" s="42" t="s">
        <v>5796</v>
      </c>
      <c r="L3765" s="39">
        <v>3733</v>
      </c>
    </row>
    <row r="3766" spans="1:12" ht="11.25" customHeight="1">
      <c r="A3766" s="39">
        <v>3734</v>
      </c>
      <c r="B3766" s="40" t="s">
        <v>19140</v>
      </c>
      <c r="C3766" s="40" t="s">
        <v>19141</v>
      </c>
      <c r="D3766" s="40" t="s">
        <v>19142</v>
      </c>
      <c r="E3766" s="41">
        <v>12.53</v>
      </c>
      <c r="F3766" s="40"/>
      <c r="G3766" s="41"/>
      <c r="H3766" s="40"/>
      <c r="I3766" s="41"/>
      <c r="J3766" s="41">
        <f t="shared" si="14"/>
        <v>12.53</v>
      </c>
      <c r="K3766" s="42" t="s">
        <v>5796</v>
      </c>
      <c r="L3766" s="39">
        <v>3734</v>
      </c>
    </row>
    <row r="3767" spans="1:12" ht="11.25" customHeight="1">
      <c r="A3767" s="39">
        <v>3735</v>
      </c>
      <c r="B3767" s="40" t="s">
        <v>19143</v>
      </c>
      <c r="C3767" s="40" t="s">
        <v>19144</v>
      </c>
      <c r="D3767" s="40" t="s">
        <v>19145</v>
      </c>
      <c r="E3767" s="41">
        <v>12.5</v>
      </c>
      <c r="F3767" s="40"/>
      <c r="G3767" s="41"/>
      <c r="H3767" s="40"/>
      <c r="I3767" s="41"/>
      <c r="J3767" s="41">
        <f t="shared" si="14"/>
        <v>12.5</v>
      </c>
      <c r="K3767" s="42" t="s">
        <v>5796</v>
      </c>
      <c r="L3767" s="39">
        <v>3735</v>
      </c>
    </row>
    <row r="3768" spans="1:12" ht="11.25" customHeight="1">
      <c r="A3768" s="39">
        <v>3736</v>
      </c>
      <c r="B3768" s="40" t="s">
        <v>19146</v>
      </c>
      <c r="C3768" s="40" t="s">
        <v>19147</v>
      </c>
      <c r="D3768" s="40" t="s">
        <v>19148</v>
      </c>
      <c r="E3768" s="41">
        <v>12.48</v>
      </c>
      <c r="F3768" s="40"/>
      <c r="G3768" s="41"/>
      <c r="H3768" s="40"/>
      <c r="I3768" s="41"/>
      <c r="J3768" s="41">
        <f t="shared" si="14"/>
        <v>12.48</v>
      </c>
      <c r="K3768" s="42" t="s">
        <v>5796</v>
      </c>
      <c r="L3768" s="39">
        <v>3736</v>
      </c>
    </row>
    <row r="3769" spans="1:12" ht="11.25" customHeight="1">
      <c r="A3769" s="39">
        <v>3737</v>
      </c>
      <c r="B3769" s="40" t="s">
        <v>19149</v>
      </c>
      <c r="C3769" s="40" t="s">
        <v>19150</v>
      </c>
      <c r="D3769" s="40" t="s">
        <v>19151</v>
      </c>
      <c r="E3769" s="41">
        <v>12.46</v>
      </c>
      <c r="F3769" s="40"/>
      <c r="G3769" s="41"/>
      <c r="H3769" s="40"/>
      <c r="I3769" s="41"/>
      <c r="J3769" s="41">
        <f t="shared" si="14"/>
        <v>12.46</v>
      </c>
      <c r="K3769" s="42" t="s">
        <v>5796</v>
      </c>
      <c r="L3769" s="39">
        <v>3737</v>
      </c>
    </row>
    <row r="3770" spans="1:12" ht="11.25" customHeight="1">
      <c r="A3770" s="39">
        <v>3738</v>
      </c>
      <c r="B3770" s="52" t="s">
        <v>8811</v>
      </c>
      <c r="C3770" s="52" t="s">
        <v>19152</v>
      </c>
      <c r="D3770" s="40"/>
      <c r="E3770" s="41"/>
      <c r="F3770" s="40"/>
      <c r="G3770" s="41"/>
      <c r="H3770" s="52" t="s">
        <v>19153</v>
      </c>
      <c r="I3770" s="53">
        <v>12.404999999999978</v>
      </c>
      <c r="J3770" s="41">
        <f t="shared" si="14"/>
        <v>12.404999999999978</v>
      </c>
      <c r="K3770" s="42" t="s">
        <v>5796</v>
      </c>
      <c r="L3770" s="39">
        <v>3738</v>
      </c>
    </row>
    <row r="3771" spans="1:12" ht="11.25" customHeight="1">
      <c r="A3771" s="39">
        <v>3739</v>
      </c>
      <c r="B3771" s="40" t="s">
        <v>19154</v>
      </c>
      <c r="C3771" s="40" t="s">
        <v>19155</v>
      </c>
      <c r="D3771" s="40" t="s">
        <v>19156</v>
      </c>
      <c r="E3771" s="41">
        <v>12.38</v>
      </c>
      <c r="F3771" s="40"/>
      <c r="G3771" s="41"/>
      <c r="H3771" s="40"/>
      <c r="I3771" s="41"/>
      <c r="J3771" s="41">
        <f t="shared" si="14"/>
        <v>12.38</v>
      </c>
      <c r="K3771" s="42" t="s">
        <v>5796</v>
      </c>
      <c r="L3771" s="39">
        <v>3739</v>
      </c>
    </row>
    <row r="3772" spans="1:12" ht="11.25" customHeight="1">
      <c r="A3772" s="39">
        <v>3740</v>
      </c>
      <c r="B3772" s="40" t="s">
        <v>19157</v>
      </c>
      <c r="C3772" s="40" t="s">
        <v>19158</v>
      </c>
      <c r="D3772" s="40" t="s">
        <v>19159</v>
      </c>
      <c r="E3772" s="41">
        <v>12.37</v>
      </c>
      <c r="F3772" s="40"/>
      <c r="G3772" s="41"/>
      <c r="H3772" s="40"/>
      <c r="I3772" s="41"/>
      <c r="J3772" s="41">
        <f t="shared" si="14"/>
        <v>12.37</v>
      </c>
      <c r="K3772" s="42" t="s">
        <v>5796</v>
      </c>
      <c r="L3772" s="39">
        <v>3740</v>
      </c>
    </row>
    <row r="3773" spans="1:12" ht="11.25" customHeight="1">
      <c r="A3773" s="39">
        <v>3741</v>
      </c>
      <c r="B3773" s="40" t="s">
        <v>19160</v>
      </c>
      <c r="C3773" s="40" t="s">
        <v>19161</v>
      </c>
      <c r="D3773" s="40" t="s">
        <v>19162</v>
      </c>
      <c r="E3773" s="41">
        <v>12.37</v>
      </c>
      <c r="F3773" s="40"/>
      <c r="G3773" s="41"/>
      <c r="H3773" s="40"/>
      <c r="I3773" s="41"/>
      <c r="J3773" s="41">
        <f t="shared" si="14"/>
        <v>12.37</v>
      </c>
      <c r="K3773" s="42" t="s">
        <v>5796</v>
      </c>
      <c r="L3773" s="39">
        <v>3741</v>
      </c>
    </row>
    <row r="3774" spans="1:12" ht="11.25" customHeight="1">
      <c r="A3774" s="39">
        <v>3742</v>
      </c>
      <c r="B3774" s="40" t="s">
        <v>19163</v>
      </c>
      <c r="C3774" s="40" t="s">
        <v>19164</v>
      </c>
      <c r="D3774" s="40" t="s">
        <v>19165</v>
      </c>
      <c r="E3774" s="41">
        <v>12.21</v>
      </c>
      <c r="F3774" s="40"/>
      <c r="G3774" s="41"/>
      <c r="H3774" s="40"/>
      <c r="I3774" s="41"/>
      <c r="J3774" s="41">
        <f t="shared" si="14"/>
        <v>12.21</v>
      </c>
      <c r="K3774" s="42" t="s">
        <v>5796</v>
      </c>
      <c r="L3774" s="39">
        <v>3742</v>
      </c>
    </row>
    <row r="3775" spans="1:12" ht="11.25" customHeight="1">
      <c r="A3775" s="39">
        <v>3743</v>
      </c>
      <c r="B3775" s="40" t="s">
        <v>19166</v>
      </c>
      <c r="C3775" s="40" t="s">
        <v>19167</v>
      </c>
      <c r="D3775" s="40" t="s">
        <v>19168</v>
      </c>
      <c r="E3775" s="41">
        <v>12.19</v>
      </c>
      <c r="F3775" s="40"/>
      <c r="G3775" s="41"/>
      <c r="H3775" s="40" t="s">
        <v>19169</v>
      </c>
      <c r="I3775" s="41">
        <v>12.210088709677452</v>
      </c>
      <c r="J3775" s="41">
        <f t="shared" si="14"/>
        <v>12.200044354838726</v>
      </c>
      <c r="K3775" s="42" t="s">
        <v>5796</v>
      </c>
      <c r="L3775" s="39">
        <v>3743</v>
      </c>
    </row>
    <row r="3776" spans="1:12" ht="11.25" customHeight="1">
      <c r="A3776" s="39">
        <v>3744</v>
      </c>
      <c r="B3776" s="40" t="s">
        <v>9647</v>
      </c>
      <c r="C3776" s="40" t="s">
        <v>19170</v>
      </c>
      <c r="D3776" s="40" t="s">
        <v>19171</v>
      </c>
      <c r="E3776" s="41">
        <v>11.24</v>
      </c>
      <c r="F3776" s="40"/>
      <c r="G3776" s="41"/>
      <c r="H3776" s="40" t="s">
        <v>19171</v>
      </c>
      <c r="I3776" s="41">
        <v>13.157419354838707</v>
      </c>
      <c r="J3776" s="41">
        <f t="shared" si="14"/>
        <v>12.198709677419354</v>
      </c>
      <c r="K3776" s="42" t="s">
        <v>5796</v>
      </c>
      <c r="L3776" s="39">
        <v>3744</v>
      </c>
    </row>
    <row r="3777" spans="1:12" ht="11.25" customHeight="1">
      <c r="A3777" s="39">
        <v>3745</v>
      </c>
      <c r="B3777" s="40" t="s">
        <v>8965</v>
      </c>
      <c r="C3777" s="40" t="s">
        <v>19172</v>
      </c>
      <c r="D3777" s="40" t="s">
        <v>19173</v>
      </c>
      <c r="E3777" s="41">
        <v>12.19</v>
      </c>
      <c r="F3777" s="40"/>
      <c r="G3777" s="41"/>
      <c r="H3777" s="40"/>
      <c r="I3777" s="41"/>
      <c r="J3777" s="41">
        <f t="shared" si="14"/>
        <v>12.19</v>
      </c>
      <c r="K3777" s="42" t="s">
        <v>5796</v>
      </c>
      <c r="L3777" s="39">
        <v>3745</v>
      </c>
    </row>
    <row r="3778" spans="1:12" ht="11.25" customHeight="1">
      <c r="A3778" s="39">
        <v>3746</v>
      </c>
      <c r="B3778" s="52" t="s">
        <v>8827</v>
      </c>
      <c r="C3778" s="52" t="s">
        <v>19174</v>
      </c>
      <c r="D3778" s="40"/>
      <c r="E3778" s="41"/>
      <c r="F3778" s="40"/>
      <c r="G3778" s="41"/>
      <c r="H3778" s="52" t="s">
        <v>19175</v>
      </c>
      <c r="I3778" s="53">
        <v>12.146199999999981</v>
      </c>
      <c r="J3778" s="41">
        <f t="shared" si="14"/>
        <v>12.146199999999981</v>
      </c>
      <c r="K3778" s="42" t="s">
        <v>5796</v>
      </c>
      <c r="L3778" s="39">
        <v>3746</v>
      </c>
    </row>
    <row r="3779" spans="1:12" ht="11.25" customHeight="1">
      <c r="A3779" s="39">
        <v>3747</v>
      </c>
      <c r="B3779" s="40" t="s">
        <v>8829</v>
      </c>
      <c r="C3779" s="40" t="s">
        <v>19176</v>
      </c>
      <c r="D3779" s="40" t="s">
        <v>19177</v>
      </c>
      <c r="E3779" s="41">
        <v>12.13</v>
      </c>
      <c r="F3779" s="40"/>
      <c r="G3779" s="41"/>
      <c r="H3779" s="40"/>
      <c r="I3779" s="41"/>
      <c r="J3779" s="41">
        <f t="shared" si="14"/>
        <v>12.13</v>
      </c>
      <c r="K3779" s="42" t="s">
        <v>5796</v>
      </c>
      <c r="L3779" s="39">
        <v>3747</v>
      </c>
    </row>
    <row r="3780" spans="1:12" ht="11.25" customHeight="1">
      <c r="A3780" s="39">
        <v>3748</v>
      </c>
      <c r="B3780" s="40" t="s">
        <v>19178</v>
      </c>
      <c r="C3780" s="40" t="s">
        <v>19179</v>
      </c>
      <c r="D3780" s="40" t="s">
        <v>19180</v>
      </c>
      <c r="E3780" s="41">
        <v>12.12</v>
      </c>
      <c r="F3780" s="40"/>
      <c r="G3780" s="41"/>
      <c r="H3780" s="40"/>
      <c r="I3780" s="41"/>
      <c r="J3780" s="41">
        <f t="shared" si="14"/>
        <v>12.12</v>
      </c>
      <c r="K3780" s="42" t="s">
        <v>5796</v>
      </c>
      <c r="L3780" s="39">
        <v>3748</v>
      </c>
    </row>
    <row r="3781" spans="1:12" ht="11.25" customHeight="1">
      <c r="A3781" s="39">
        <v>3749</v>
      </c>
      <c r="B3781" s="40" t="s">
        <v>19181</v>
      </c>
      <c r="C3781" s="40" t="s">
        <v>19182</v>
      </c>
      <c r="D3781" s="40" t="s">
        <v>19183</v>
      </c>
      <c r="E3781" s="41">
        <v>12.12</v>
      </c>
      <c r="F3781" s="40"/>
      <c r="G3781" s="41"/>
      <c r="H3781" s="40"/>
      <c r="I3781" s="41"/>
      <c r="J3781" s="41">
        <f t="shared" si="14"/>
        <v>12.12</v>
      </c>
      <c r="K3781" s="42" t="s">
        <v>5796</v>
      </c>
      <c r="L3781" s="39">
        <v>3749</v>
      </c>
    </row>
    <row r="3782" spans="1:12" ht="11.25" customHeight="1">
      <c r="A3782" s="39">
        <v>3750</v>
      </c>
      <c r="B3782" s="40" t="s">
        <v>19184</v>
      </c>
      <c r="C3782" s="40" t="s">
        <v>19185</v>
      </c>
      <c r="D3782" s="40" t="s">
        <v>19186</v>
      </c>
      <c r="E3782" s="41">
        <v>12.08</v>
      </c>
      <c r="F3782" s="40"/>
      <c r="G3782" s="41"/>
      <c r="H3782" s="40"/>
      <c r="I3782" s="41"/>
      <c r="J3782" s="41">
        <f t="shared" si="14"/>
        <v>12.08</v>
      </c>
      <c r="K3782" s="42" t="s">
        <v>5796</v>
      </c>
      <c r="L3782" s="39">
        <v>3750</v>
      </c>
    </row>
    <row r="3783" spans="1:12" ht="11.25" customHeight="1">
      <c r="A3783" s="39">
        <v>3751</v>
      </c>
      <c r="B3783" s="40" t="s">
        <v>8860</v>
      </c>
      <c r="C3783" s="40" t="s">
        <v>19187</v>
      </c>
      <c r="D3783" s="40" t="s">
        <v>19188</v>
      </c>
      <c r="E3783" s="41">
        <v>12.06</v>
      </c>
      <c r="F3783" s="40"/>
      <c r="G3783" s="41"/>
      <c r="H3783" s="40"/>
      <c r="I3783" s="41"/>
      <c r="J3783" s="41">
        <f t="shared" si="14"/>
        <v>12.06</v>
      </c>
      <c r="K3783" s="42" t="s">
        <v>5796</v>
      </c>
      <c r="L3783" s="39">
        <v>3751</v>
      </c>
    </row>
    <row r="3784" spans="1:12" ht="11.25" customHeight="1">
      <c r="A3784" s="39">
        <v>3752</v>
      </c>
      <c r="B3784" s="40" t="s">
        <v>19189</v>
      </c>
      <c r="C3784" s="40" t="s">
        <v>19190</v>
      </c>
      <c r="D3784" s="40" t="s">
        <v>19191</v>
      </c>
      <c r="E3784" s="41">
        <v>12.06</v>
      </c>
      <c r="F3784" s="40"/>
      <c r="G3784" s="41"/>
      <c r="H3784" s="40"/>
      <c r="I3784" s="41"/>
      <c r="J3784" s="41">
        <f t="shared" si="14"/>
        <v>12.06</v>
      </c>
      <c r="K3784" s="42" t="s">
        <v>5796</v>
      </c>
      <c r="L3784" s="39">
        <v>3752</v>
      </c>
    </row>
    <row r="3785" spans="1:12" ht="11.25" customHeight="1">
      <c r="A3785" s="39">
        <v>3753</v>
      </c>
      <c r="B3785" s="40" t="s">
        <v>19192</v>
      </c>
      <c r="C3785" s="40" t="s">
        <v>19193</v>
      </c>
      <c r="D3785" s="40" t="s">
        <v>19194</v>
      </c>
      <c r="E3785" s="41">
        <v>12.05</v>
      </c>
      <c r="F3785" s="40"/>
      <c r="G3785" s="41"/>
      <c r="H3785" s="40"/>
      <c r="I3785" s="41"/>
      <c r="J3785" s="41">
        <f t="shared" si="14"/>
        <v>12.05</v>
      </c>
      <c r="K3785" s="42" t="s">
        <v>5796</v>
      </c>
      <c r="L3785" s="39">
        <v>3753</v>
      </c>
    </row>
    <row r="3786" spans="1:12" ht="11.25" customHeight="1">
      <c r="A3786" s="39">
        <v>3754</v>
      </c>
      <c r="B3786" s="40" t="s">
        <v>19195</v>
      </c>
      <c r="C3786" s="40" t="s">
        <v>19196</v>
      </c>
      <c r="D3786" s="40" t="s">
        <v>19197</v>
      </c>
      <c r="E3786" s="41">
        <v>12.02</v>
      </c>
      <c r="F3786" s="40"/>
      <c r="G3786" s="41"/>
      <c r="H3786" s="40"/>
      <c r="I3786" s="41"/>
      <c r="J3786" s="41">
        <f t="shared" si="14"/>
        <v>12.02</v>
      </c>
      <c r="K3786" s="42" t="s">
        <v>5796</v>
      </c>
      <c r="L3786" s="39">
        <v>3754</v>
      </c>
    </row>
    <row r="3787" spans="1:12" ht="11.25" customHeight="1">
      <c r="A3787" s="39">
        <v>3755</v>
      </c>
      <c r="B3787" s="40" t="s">
        <v>19198</v>
      </c>
      <c r="C3787" s="40" t="s">
        <v>19199</v>
      </c>
      <c r="D3787" s="40" t="s">
        <v>19200</v>
      </c>
      <c r="E3787" s="41">
        <v>12</v>
      </c>
      <c r="F3787" s="40"/>
      <c r="G3787" s="41"/>
      <c r="H3787" s="40"/>
      <c r="I3787" s="41"/>
      <c r="J3787" s="41">
        <f t="shared" si="14"/>
        <v>12</v>
      </c>
      <c r="K3787" s="42" t="s">
        <v>5796</v>
      </c>
      <c r="L3787" s="39">
        <v>3755</v>
      </c>
    </row>
    <row r="3788" spans="1:12" ht="11.25" customHeight="1">
      <c r="A3788" s="39">
        <v>3756</v>
      </c>
      <c r="B3788" s="40" t="s">
        <v>19201</v>
      </c>
      <c r="C3788" s="40" t="s">
        <v>19202</v>
      </c>
      <c r="D3788" s="40" t="s">
        <v>19203</v>
      </c>
      <c r="E3788" s="41">
        <v>11.97</v>
      </c>
      <c r="F3788" s="40"/>
      <c r="G3788" s="41"/>
      <c r="H3788" s="40"/>
      <c r="I3788" s="41"/>
      <c r="J3788" s="41">
        <f t="shared" si="14"/>
        <v>11.97</v>
      </c>
      <c r="K3788" s="42" t="s">
        <v>5796</v>
      </c>
      <c r="L3788" s="39">
        <v>3756</v>
      </c>
    </row>
    <row r="3789" spans="1:12" ht="11.25" customHeight="1">
      <c r="A3789" s="39">
        <v>3758</v>
      </c>
      <c r="B3789" s="40" t="s">
        <v>19204</v>
      </c>
      <c r="C3789" s="40" t="s">
        <v>19205</v>
      </c>
      <c r="D3789" s="40" t="s">
        <v>19206</v>
      </c>
      <c r="E3789" s="41">
        <v>11.93</v>
      </c>
      <c r="F3789" s="40"/>
      <c r="G3789" s="41"/>
      <c r="H3789" s="40"/>
      <c r="I3789" s="41"/>
      <c r="J3789" s="41">
        <f t="shared" si="14"/>
        <v>11.93</v>
      </c>
      <c r="K3789" s="42" t="s">
        <v>5796</v>
      </c>
      <c r="L3789" s="39">
        <v>3758</v>
      </c>
    </row>
    <row r="3790" spans="1:12" ht="11.25" customHeight="1">
      <c r="A3790" s="39">
        <v>3759</v>
      </c>
      <c r="B3790" s="40" t="s">
        <v>19207</v>
      </c>
      <c r="C3790" s="40" t="s">
        <v>19208</v>
      </c>
      <c r="D3790" s="40" t="s">
        <v>19209</v>
      </c>
      <c r="E3790" s="41">
        <v>11.93</v>
      </c>
      <c r="F3790" s="40"/>
      <c r="G3790" s="41"/>
      <c r="H3790" s="40"/>
      <c r="I3790" s="41"/>
      <c r="J3790" s="41">
        <f t="shared" si="14"/>
        <v>11.93</v>
      </c>
      <c r="K3790" s="42" t="s">
        <v>5796</v>
      </c>
      <c r="L3790" s="39">
        <v>3759</v>
      </c>
    </row>
    <row r="3791" spans="1:12" ht="11.25" customHeight="1">
      <c r="A3791" s="39">
        <v>3761</v>
      </c>
      <c r="B3791" s="40" t="s">
        <v>9160</v>
      </c>
      <c r="C3791" s="40" t="s">
        <v>19210</v>
      </c>
      <c r="D3791" s="40" t="s">
        <v>19211</v>
      </c>
      <c r="E3791" s="41">
        <v>11.92</v>
      </c>
      <c r="F3791" s="40"/>
      <c r="G3791" s="41"/>
      <c r="H3791" s="40" t="s">
        <v>19211</v>
      </c>
      <c r="I3791" s="41">
        <v>11.896935483870964</v>
      </c>
      <c r="J3791" s="41">
        <f t="shared" si="14"/>
        <v>11.908467741935482</v>
      </c>
      <c r="K3791" s="42" t="s">
        <v>5796</v>
      </c>
      <c r="L3791" s="39">
        <v>3761</v>
      </c>
    </row>
    <row r="3792" spans="1:12" ht="11.25" customHeight="1">
      <c r="A3792" s="39">
        <v>3762</v>
      </c>
      <c r="B3792" s="52" t="s">
        <v>8845</v>
      </c>
      <c r="C3792" s="52" t="s">
        <v>19212</v>
      </c>
      <c r="D3792" s="40"/>
      <c r="E3792" s="41"/>
      <c r="F3792" s="40"/>
      <c r="G3792" s="41"/>
      <c r="H3792" s="52" t="s">
        <v>19213</v>
      </c>
      <c r="I3792" s="53">
        <v>11.894999999999985</v>
      </c>
      <c r="J3792" s="41">
        <f t="shared" si="14"/>
        <v>11.894999999999985</v>
      </c>
      <c r="K3792" s="42" t="s">
        <v>5796</v>
      </c>
      <c r="L3792" s="39">
        <v>3762</v>
      </c>
    </row>
    <row r="3793" spans="1:12" ht="11.25" customHeight="1">
      <c r="A3793" s="39">
        <v>3763</v>
      </c>
      <c r="B3793" s="40" t="s">
        <v>19214</v>
      </c>
      <c r="C3793" s="40" t="s">
        <v>19215</v>
      </c>
      <c r="D3793" s="40" t="s">
        <v>19216</v>
      </c>
      <c r="E3793" s="41">
        <v>11.87</v>
      </c>
      <c r="F3793" s="40"/>
      <c r="G3793" s="41"/>
      <c r="H3793" s="40"/>
      <c r="I3793" s="41"/>
      <c r="J3793" s="41">
        <f t="shared" si="14"/>
        <v>11.87</v>
      </c>
      <c r="K3793" s="42" t="s">
        <v>5796</v>
      </c>
      <c r="L3793" s="39">
        <v>3763</v>
      </c>
    </row>
    <row r="3794" spans="1:12" ht="11.25" customHeight="1">
      <c r="A3794" s="39">
        <v>3764</v>
      </c>
      <c r="B3794" s="40" t="s">
        <v>19217</v>
      </c>
      <c r="C3794" s="40" t="s">
        <v>19218</v>
      </c>
      <c r="D3794" s="40" t="s">
        <v>19219</v>
      </c>
      <c r="E3794" s="41">
        <v>11.86</v>
      </c>
      <c r="F3794" s="40"/>
      <c r="G3794" s="41"/>
      <c r="H3794" s="40"/>
      <c r="I3794" s="41"/>
      <c r="J3794" s="41">
        <f t="shared" si="14"/>
        <v>11.86</v>
      </c>
      <c r="K3794" s="42" t="s">
        <v>5796</v>
      </c>
      <c r="L3794" s="39">
        <v>3764</v>
      </c>
    </row>
    <row r="3795" spans="1:12" ht="11.25" customHeight="1">
      <c r="A3795" s="39">
        <v>3765</v>
      </c>
      <c r="B3795" s="40" t="s">
        <v>19220</v>
      </c>
      <c r="C3795" s="40" t="s">
        <v>19221</v>
      </c>
      <c r="D3795" s="40" t="s">
        <v>19222</v>
      </c>
      <c r="E3795" s="41">
        <v>11.85</v>
      </c>
      <c r="F3795" s="40"/>
      <c r="G3795" s="41"/>
      <c r="H3795" s="40"/>
      <c r="I3795" s="41"/>
      <c r="J3795" s="41">
        <f t="shared" si="14"/>
        <v>11.85</v>
      </c>
      <c r="K3795" s="42" t="s">
        <v>5796</v>
      </c>
      <c r="L3795" s="39">
        <v>3765</v>
      </c>
    </row>
    <row r="3796" spans="1:12" ht="11.25" customHeight="1">
      <c r="A3796" s="39">
        <v>3766</v>
      </c>
      <c r="B3796" s="40" t="s">
        <v>8836</v>
      </c>
      <c r="C3796" s="40" t="s">
        <v>19223</v>
      </c>
      <c r="D3796" s="40" t="s">
        <v>19224</v>
      </c>
      <c r="E3796" s="41">
        <v>11.79</v>
      </c>
      <c r="F3796" s="40"/>
      <c r="G3796" s="41"/>
      <c r="H3796" s="40"/>
      <c r="I3796" s="41"/>
      <c r="J3796" s="41">
        <f t="shared" si="14"/>
        <v>11.79</v>
      </c>
      <c r="K3796" s="42" t="s">
        <v>5796</v>
      </c>
      <c r="L3796" s="39">
        <v>3766</v>
      </c>
    </row>
    <row r="3797" spans="1:12" ht="11.25" customHeight="1">
      <c r="A3797" s="39">
        <v>3767</v>
      </c>
      <c r="B3797" s="40" t="s">
        <v>19225</v>
      </c>
      <c r="C3797" s="40" t="s">
        <v>19226</v>
      </c>
      <c r="D3797" s="40" t="s">
        <v>19227</v>
      </c>
      <c r="E3797" s="41">
        <v>11.78</v>
      </c>
      <c r="F3797" s="40"/>
      <c r="G3797" s="41"/>
      <c r="H3797" s="40"/>
      <c r="I3797" s="41"/>
      <c r="J3797" s="41">
        <f t="shared" si="14"/>
        <v>11.78</v>
      </c>
      <c r="K3797" s="42" t="s">
        <v>5796</v>
      </c>
      <c r="L3797" s="39">
        <v>3767</v>
      </c>
    </row>
    <row r="3798" spans="1:12" ht="11.25" customHeight="1">
      <c r="A3798" s="39">
        <v>3768</v>
      </c>
      <c r="B3798" s="40" t="s">
        <v>19228</v>
      </c>
      <c r="C3798" s="40" t="s">
        <v>19229</v>
      </c>
      <c r="D3798" s="40" t="s">
        <v>19230</v>
      </c>
      <c r="E3798" s="41">
        <v>11.77</v>
      </c>
      <c r="F3798" s="40"/>
      <c r="G3798" s="41"/>
      <c r="H3798" s="40"/>
      <c r="I3798" s="41"/>
      <c r="J3798" s="41">
        <f t="shared" si="14"/>
        <v>11.77</v>
      </c>
      <c r="K3798" s="42" t="s">
        <v>5796</v>
      </c>
      <c r="L3798" s="39">
        <v>3768</v>
      </c>
    </row>
    <row r="3799" spans="1:12" ht="11.25" customHeight="1">
      <c r="A3799" s="39">
        <v>3769</v>
      </c>
      <c r="B3799" s="40" t="s">
        <v>9063</v>
      </c>
      <c r="C3799" s="40" t="s">
        <v>19231</v>
      </c>
      <c r="D3799" s="40" t="s">
        <v>19232</v>
      </c>
      <c r="E3799" s="41">
        <v>11.76</v>
      </c>
      <c r="F3799" s="40"/>
      <c r="G3799" s="41"/>
      <c r="H3799" s="40"/>
      <c r="I3799" s="41"/>
      <c r="J3799" s="41">
        <f t="shared" si="14"/>
        <v>11.76</v>
      </c>
      <c r="K3799" s="42" t="s">
        <v>5796</v>
      </c>
      <c r="L3799" s="39">
        <v>3769</v>
      </c>
    </row>
    <row r="3800" spans="1:12" ht="11.25" customHeight="1">
      <c r="A3800" s="39">
        <v>3770</v>
      </c>
      <c r="B3800" s="40" t="s">
        <v>19233</v>
      </c>
      <c r="C3800" s="40" t="s">
        <v>19234</v>
      </c>
      <c r="D3800" s="40" t="s">
        <v>19235</v>
      </c>
      <c r="E3800" s="41">
        <v>11.74</v>
      </c>
      <c r="F3800" s="40"/>
      <c r="G3800" s="41"/>
      <c r="H3800" s="40"/>
      <c r="I3800" s="41"/>
      <c r="J3800" s="41">
        <f t="shared" si="14"/>
        <v>11.74</v>
      </c>
      <c r="K3800" s="42" t="s">
        <v>5796</v>
      </c>
      <c r="L3800" s="39">
        <v>3770</v>
      </c>
    </row>
    <row r="3801" spans="1:12" ht="11.25" customHeight="1">
      <c r="A3801" s="39">
        <v>3771</v>
      </c>
      <c r="B3801" s="40" t="s">
        <v>19236</v>
      </c>
      <c r="C3801" s="40" t="s">
        <v>19237</v>
      </c>
      <c r="D3801" s="40" t="s">
        <v>19238</v>
      </c>
      <c r="E3801" s="41">
        <v>11.73</v>
      </c>
      <c r="F3801" s="40"/>
      <c r="G3801" s="41"/>
      <c r="H3801" s="40"/>
      <c r="I3801" s="41"/>
      <c r="J3801" s="41">
        <f t="shared" si="14"/>
        <v>11.73</v>
      </c>
      <c r="K3801" s="42" t="s">
        <v>5796</v>
      </c>
      <c r="L3801" s="39">
        <v>3771</v>
      </c>
    </row>
    <row r="3802" spans="1:12" ht="11.25" customHeight="1">
      <c r="A3802" s="39">
        <v>3772</v>
      </c>
      <c r="B3802" s="40" t="s">
        <v>19239</v>
      </c>
      <c r="C3802" s="40" t="s">
        <v>19240</v>
      </c>
      <c r="D3802" s="40" t="s">
        <v>19241</v>
      </c>
      <c r="E3802" s="41">
        <v>11.73</v>
      </c>
      <c r="F3802" s="40"/>
      <c r="G3802" s="41"/>
      <c r="H3802" s="40"/>
      <c r="I3802" s="41"/>
      <c r="J3802" s="41">
        <f t="shared" si="14"/>
        <v>11.73</v>
      </c>
      <c r="K3802" s="42" t="s">
        <v>5796</v>
      </c>
      <c r="L3802" s="39">
        <v>3772</v>
      </c>
    </row>
    <row r="3803" spans="1:12" ht="11.25" customHeight="1">
      <c r="A3803" s="39">
        <v>3773</v>
      </c>
      <c r="B3803" s="40" t="s">
        <v>19242</v>
      </c>
      <c r="C3803" s="40" t="s">
        <v>19243</v>
      </c>
      <c r="D3803" s="40" t="s">
        <v>19244</v>
      </c>
      <c r="E3803" s="41">
        <v>11.72</v>
      </c>
      <c r="F3803" s="40"/>
      <c r="G3803" s="41"/>
      <c r="H3803" s="40"/>
      <c r="I3803" s="41"/>
      <c r="J3803" s="41">
        <f t="shared" si="14"/>
        <v>11.72</v>
      </c>
      <c r="K3803" s="42" t="s">
        <v>5796</v>
      </c>
      <c r="L3803" s="39">
        <v>3773</v>
      </c>
    </row>
    <row r="3804" spans="1:12" ht="11.25" customHeight="1">
      <c r="A3804" s="39">
        <v>3774</v>
      </c>
      <c r="B3804" s="40" t="s">
        <v>19245</v>
      </c>
      <c r="C3804" s="40" t="s">
        <v>19246</v>
      </c>
      <c r="D3804" s="40" t="s">
        <v>19247</v>
      </c>
      <c r="E3804" s="41">
        <v>11.7</v>
      </c>
      <c r="F3804" s="40"/>
      <c r="G3804" s="41"/>
      <c r="H3804" s="40"/>
      <c r="I3804" s="41"/>
      <c r="J3804" s="41">
        <f t="shared" si="14"/>
        <v>11.7</v>
      </c>
      <c r="K3804" s="42" t="s">
        <v>5796</v>
      </c>
      <c r="L3804" s="39">
        <v>3774</v>
      </c>
    </row>
    <row r="3805" spans="1:12" ht="11.25" customHeight="1">
      <c r="A3805" s="39">
        <v>3775</v>
      </c>
      <c r="B3805" s="40" t="s">
        <v>19248</v>
      </c>
      <c r="C3805" s="40" t="s">
        <v>19249</v>
      </c>
      <c r="D3805" s="40" t="s">
        <v>19250</v>
      </c>
      <c r="E3805" s="41">
        <v>11.67</v>
      </c>
      <c r="F3805" s="40"/>
      <c r="G3805" s="41"/>
      <c r="H3805" s="40"/>
      <c r="I3805" s="41"/>
      <c r="J3805" s="41">
        <f t="shared" si="14"/>
        <v>11.67</v>
      </c>
      <c r="K3805" s="42" t="s">
        <v>5796</v>
      </c>
      <c r="L3805" s="39">
        <v>3775</v>
      </c>
    </row>
    <row r="3806" spans="1:12" ht="11.25" customHeight="1">
      <c r="A3806" s="39">
        <v>3776</v>
      </c>
      <c r="B3806" s="40" t="s">
        <v>19251</v>
      </c>
      <c r="C3806" s="40" t="s">
        <v>19252</v>
      </c>
      <c r="D3806" s="40" t="s">
        <v>19253</v>
      </c>
      <c r="E3806" s="41">
        <v>11.67</v>
      </c>
      <c r="F3806" s="40"/>
      <c r="G3806" s="41"/>
      <c r="H3806" s="40"/>
      <c r="I3806" s="41"/>
      <c r="J3806" s="41">
        <f t="shared" si="14"/>
        <v>11.67</v>
      </c>
      <c r="K3806" s="42" t="s">
        <v>5796</v>
      </c>
      <c r="L3806" s="39">
        <v>3776</v>
      </c>
    </row>
    <row r="3807" spans="1:12" ht="11.25" customHeight="1">
      <c r="A3807" s="39">
        <v>3777</v>
      </c>
      <c r="B3807" s="40" t="s">
        <v>19254</v>
      </c>
      <c r="C3807" s="40" t="s">
        <v>19255</v>
      </c>
      <c r="D3807" s="40" t="s">
        <v>19256</v>
      </c>
      <c r="E3807" s="41">
        <v>11.67</v>
      </c>
      <c r="F3807" s="40"/>
      <c r="G3807" s="41"/>
      <c r="H3807" s="40"/>
      <c r="I3807" s="41"/>
      <c r="J3807" s="41">
        <f t="shared" si="14"/>
        <v>11.67</v>
      </c>
      <c r="K3807" s="42" t="s">
        <v>5796</v>
      </c>
      <c r="L3807" s="39">
        <v>3777</v>
      </c>
    </row>
    <row r="3808" spans="1:12" ht="11.25" customHeight="1">
      <c r="A3808" s="39">
        <v>3778</v>
      </c>
      <c r="B3808" s="40" t="s">
        <v>19257</v>
      </c>
      <c r="C3808" s="40" t="s">
        <v>19258</v>
      </c>
      <c r="D3808" s="40" t="s">
        <v>19259</v>
      </c>
      <c r="E3808" s="41">
        <v>11.66</v>
      </c>
      <c r="F3808" s="40"/>
      <c r="G3808" s="41"/>
      <c r="H3808" s="40"/>
      <c r="I3808" s="41"/>
      <c r="J3808" s="41">
        <f t="shared" si="14"/>
        <v>11.66</v>
      </c>
      <c r="K3808" s="42" t="s">
        <v>5796</v>
      </c>
      <c r="L3808" s="39">
        <v>3778</v>
      </c>
    </row>
    <row r="3809" spans="1:12" ht="11.25" customHeight="1">
      <c r="A3809" s="39">
        <v>3779</v>
      </c>
      <c r="B3809" s="40" t="s">
        <v>19260</v>
      </c>
      <c r="C3809" s="40" t="s">
        <v>19261</v>
      </c>
      <c r="D3809" s="40" t="s">
        <v>19262</v>
      </c>
      <c r="E3809" s="41">
        <v>11.65</v>
      </c>
      <c r="F3809" s="40"/>
      <c r="G3809" s="41"/>
      <c r="H3809" s="40"/>
      <c r="I3809" s="41"/>
      <c r="J3809" s="41">
        <f t="shared" si="14"/>
        <v>11.65</v>
      </c>
      <c r="K3809" s="42" t="s">
        <v>5796</v>
      </c>
      <c r="L3809" s="39">
        <v>3779</v>
      </c>
    </row>
    <row r="3810" spans="1:12" ht="11.25" customHeight="1">
      <c r="A3810" s="39">
        <v>3780</v>
      </c>
      <c r="B3810" s="40" t="s">
        <v>19263</v>
      </c>
      <c r="C3810" s="40" t="s">
        <v>19264</v>
      </c>
      <c r="D3810" s="40" t="s">
        <v>19265</v>
      </c>
      <c r="E3810" s="41">
        <v>11.64</v>
      </c>
      <c r="F3810" s="40"/>
      <c r="G3810" s="41"/>
      <c r="H3810" s="40"/>
      <c r="I3810" s="41"/>
      <c r="J3810" s="41">
        <f t="shared" si="14"/>
        <v>11.64</v>
      </c>
      <c r="K3810" s="42" t="s">
        <v>5796</v>
      </c>
      <c r="L3810" s="39">
        <v>3780</v>
      </c>
    </row>
    <row r="3811" spans="1:12" ht="11.25" customHeight="1">
      <c r="A3811" s="39">
        <v>3781</v>
      </c>
      <c r="B3811" s="40" t="s">
        <v>19266</v>
      </c>
      <c r="C3811" s="40" t="s">
        <v>19267</v>
      </c>
      <c r="D3811" s="40" t="s">
        <v>19268</v>
      </c>
      <c r="E3811" s="41">
        <v>11.61</v>
      </c>
      <c r="F3811" s="40"/>
      <c r="G3811" s="41"/>
      <c r="H3811" s="40"/>
      <c r="I3811" s="41"/>
      <c r="J3811" s="41">
        <f t="shared" si="14"/>
        <v>11.61</v>
      </c>
      <c r="K3811" s="42" t="s">
        <v>5796</v>
      </c>
      <c r="L3811" s="39">
        <v>3781</v>
      </c>
    </row>
    <row r="3812" spans="1:12" ht="11.25" customHeight="1">
      <c r="A3812" s="39">
        <v>3782</v>
      </c>
      <c r="B3812" s="40" t="s">
        <v>19269</v>
      </c>
      <c r="C3812" s="40" t="s">
        <v>19270</v>
      </c>
      <c r="D3812" s="40" t="s">
        <v>19271</v>
      </c>
      <c r="E3812" s="41">
        <v>11.61</v>
      </c>
      <c r="F3812" s="40"/>
      <c r="G3812" s="41"/>
      <c r="H3812" s="40"/>
      <c r="I3812" s="41"/>
      <c r="J3812" s="41">
        <f t="shared" si="14"/>
        <v>11.61</v>
      </c>
      <c r="K3812" s="42" t="s">
        <v>5796</v>
      </c>
      <c r="L3812" s="39">
        <v>3782</v>
      </c>
    </row>
    <row r="3813" spans="1:12" ht="11.25" customHeight="1">
      <c r="A3813" s="39">
        <v>3783</v>
      </c>
      <c r="B3813" s="40" t="s">
        <v>19272</v>
      </c>
      <c r="C3813" s="40" t="s">
        <v>19273</v>
      </c>
      <c r="D3813" s="40" t="s">
        <v>19274</v>
      </c>
      <c r="E3813" s="41">
        <v>11.6</v>
      </c>
      <c r="F3813" s="40"/>
      <c r="G3813" s="41"/>
      <c r="H3813" s="40"/>
      <c r="I3813" s="41"/>
      <c r="J3813" s="41">
        <f t="shared" si="14"/>
        <v>11.6</v>
      </c>
      <c r="K3813" s="42" t="s">
        <v>5796</v>
      </c>
      <c r="L3813" s="39">
        <v>3783</v>
      </c>
    </row>
    <row r="3814" spans="1:12" ht="11.25" customHeight="1">
      <c r="A3814" s="39">
        <v>3784</v>
      </c>
      <c r="B3814" s="40" t="s">
        <v>19275</v>
      </c>
      <c r="C3814" s="40" t="s">
        <v>19276</v>
      </c>
      <c r="D3814" s="40" t="s">
        <v>19277</v>
      </c>
      <c r="E3814" s="41">
        <v>11.6</v>
      </c>
      <c r="F3814" s="40"/>
      <c r="G3814" s="41"/>
      <c r="H3814" s="40"/>
      <c r="I3814" s="41"/>
      <c r="J3814" s="41">
        <f t="shared" si="14"/>
        <v>11.6</v>
      </c>
      <c r="K3814" s="42" t="s">
        <v>5796</v>
      </c>
      <c r="L3814" s="39">
        <v>3784</v>
      </c>
    </row>
    <row r="3815" spans="1:12" ht="11.25" customHeight="1">
      <c r="A3815" s="39">
        <v>3785</v>
      </c>
      <c r="B3815" s="40" t="s">
        <v>19278</v>
      </c>
      <c r="C3815" s="40" t="s">
        <v>19279</v>
      </c>
      <c r="D3815" s="40" t="s">
        <v>19280</v>
      </c>
      <c r="E3815" s="41">
        <v>11.56</v>
      </c>
      <c r="F3815" s="40"/>
      <c r="G3815" s="41"/>
      <c r="H3815" s="40"/>
      <c r="I3815" s="41"/>
      <c r="J3815" s="41">
        <f t="shared" si="14"/>
        <v>11.56</v>
      </c>
      <c r="K3815" s="42" t="s">
        <v>5796</v>
      </c>
      <c r="L3815" s="39">
        <v>3785</v>
      </c>
    </row>
    <row r="3816" spans="1:12" ht="11.25" customHeight="1">
      <c r="A3816" s="39">
        <v>3786</v>
      </c>
      <c r="B3816" s="40" t="s">
        <v>19281</v>
      </c>
      <c r="C3816" s="40" t="s">
        <v>19282</v>
      </c>
      <c r="D3816" s="40" t="s">
        <v>19283</v>
      </c>
      <c r="E3816" s="41">
        <v>11.54</v>
      </c>
      <c r="F3816" s="40"/>
      <c r="G3816" s="41"/>
      <c r="H3816" s="40"/>
      <c r="I3816" s="41"/>
      <c r="J3816" s="41">
        <f t="shared" si="14"/>
        <v>11.54</v>
      </c>
      <c r="K3816" s="42" t="s">
        <v>5796</v>
      </c>
      <c r="L3816" s="39">
        <v>3786</v>
      </c>
    </row>
    <row r="3817" spans="1:12" ht="11.25" customHeight="1">
      <c r="A3817" s="39">
        <v>3787</v>
      </c>
      <c r="B3817" s="40" t="s">
        <v>19284</v>
      </c>
      <c r="C3817" s="40" t="s">
        <v>19285</v>
      </c>
      <c r="D3817" s="40" t="s">
        <v>19286</v>
      </c>
      <c r="E3817" s="41">
        <v>11.51</v>
      </c>
      <c r="F3817" s="40"/>
      <c r="G3817" s="41"/>
      <c r="H3817" s="40"/>
      <c r="I3817" s="41"/>
      <c r="J3817" s="41">
        <f t="shared" si="14"/>
        <v>11.51</v>
      </c>
      <c r="K3817" s="42" t="s">
        <v>5796</v>
      </c>
      <c r="L3817" s="39">
        <v>3787</v>
      </c>
    </row>
    <row r="3818" spans="1:12" ht="11.25" customHeight="1">
      <c r="A3818" s="39">
        <v>3788</v>
      </c>
      <c r="B3818" s="40" t="s">
        <v>19287</v>
      </c>
      <c r="C3818" s="40" t="s">
        <v>19288</v>
      </c>
      <c r="D3818" s="40" t="s">
        <v>19289</v>
      </c>
      <c r="E3818" s="41">
        <v>11.5</v>
      </c>
      <c r="F3818" s="40"/>
      <c r="G3818" s="41"/>
      <c r="H3818" s="40"/>
      <c r="I3818" s="41"/>
      <c r="J3818" s="41">
        <f t="shared" si="14"/>
        <v>11.5</v>
      </c>
      <c r="K3818" s="42" t="s">
        <v>5796</v>
      </c>
      <c r="L3818" s="39">
        <v>3788</v>
      </c>
    </row>
    <row r="3819" spans="1:12" ht="11.25" customHeight="1">
      <c r="A3819" s="39">
        <v>3789</v>
      </c>
      <c r="B3819" s="40" t="s">
        <v>19290</v>
      </c>
      <c r="C3819" s="40" t="s">
        <v>19291</v>
      </c>
      <c r="D3819" s="40" t="s">
        <v>19292</v>
      </c>
      <c r="E3819" s="41">
        <v>11.47</v>
      </c>
      <c r="F3819" s="40"/>
      <c r="G3819" s="41"/>
      <c r="H3819" s="40"/>
      <c r="I3819" s="41"/>
      <c r="J3819" s="41">
        <f t="shared" si="14"/>
        <v>11.47</v>
      </c>
      <c r="K3819" s="42" t="s">
        <v>5796</v>
      </c>
      <c r="L3819" s="39">
        <v>3789</v>
      </c>
    </row>
    <row r="3820" spans="1:12" ht="11.25" customHeight="1">
      <c r="A3820" s="39">
        <v>3790</v>
      </c>
      <c r="B3820" s="40" t="s">
        <v>9028</v>
      </c>
      <c r="C3820" s="40" t="s">
        <v>19293</v>
      </c>
      <c r="D3820" s="40" t="s">
        <v>19294</v>
      </c>
      <c r="E3820" s="41">
        <v>11.47</v>
      </c>
      <c r="F3820" s="40"/>
      <c r="G3820" s="41"/>
      <c r="H3820" s="40"/>
      <c r="I3820" s="41"/>
      <c r="J3820" s="41">
        <f t="shared" si="14"/>
        <v>11.47</v>
      </c>
      <c r="K3820" s="42" t="s">
        <v>5796</v>
      </c>
      <c r="L3820" s="39">
        <v>3790</v>
      </c>
    </row>
    <row r="3821" spans="1:12" ht="11.25" customHeight="1">
      <c r="A3821" s="39">
        <v>3791</v>
      </c>
      <c r="B3821" s="40" t="s">
        <v>19295</v>
      </c>
      <c r="C3821" s="40" t="s">
        <v>19296</v>
      </c>
      <c r="D3821" s="40" t="s">
        <v>19297</v>
      </c>
      <c r="E3821" s="41">
        <v>11.47</v>
      </c>
      <c r="F3821" s="40"/>
      <c r="G3821" s="41"/>
      <c r="H3821" s="40"/>
      <c r="I3821" s="41"/>
      <c r="J3821" s="41">
        <f t="shared" si="14"/>
        <v>11.47</v>
      </c>
      <c r="K3821" s="42" t="s">
        <v>5796</v>
      </c>
      <c r="L3821" s="39">
        <v>3791</v>
      </c>
    </row>
    <row r="3822" spans="1:12" ht="11.25" customHeight="1">
      <c r="A3822" s="39">
        <v>3792</v>
      </c>
      <c r="B3822" s="40" t="s">
        <v>19298</v>
      </c>
      <c r="C3822" s="40" t="s">
        <v>19299</v>
      </c>
      <c r="D3822" s="40" t="s">
        <v>19300</v>
      </c>
      <c r="E3822" s="41">
        <v>11.42</v>
      </c>
      <c r="F3822" s="40"/>
      <c r="G3822" s="41"/>
      <c r="H3822" s="40"/>
      <c r="I3822" s="41"/>
      <c r="J3822" s="41">
        <f t="shared" si="14"/>
        <v>11.42</v>
      </c>
      <c r="K3822" s="42" t="s">
        <v>5796</v>
      </c>
      <c r="L3822" s="39">
        <v>3792</v>
      </c>
    </row>
    <row r="3823" spans="1:12" ht="11.25" customHeight="1">
      <c r="A3823" s="39">
        <v>3793</v>
      </c>
      <c r="B3823" s="40" t="s">
        <v>19301</v>
      </c>
      <c r="C3823" s="40" t="s">
        <v>19302</v>
      </c>
      <c r="D3823" s="40" t="s">
        <v>19303</v>
      </c>
      <c r="E3823" s="41">
        <v>11.4</v>
      </c>
      <c r="F3823" s="40"/>
      <c r="G3823" s="41"/>
      <c r="H3823" s="40"/>
      <c r="I3823" s="41"/>
      <c r="J3823" s="41">
        <f t="shared" si="14"/>
        <v>11.4</v>
      </c>
      <c r="K3823" s="42" t="s">
        <v>5796</v>
      </c>
      <c r="L3823" s="39">
        <v>3793</v>
      </c>
    </row>
    <row r="3824" spans="1:12" ht="11.25" customHeight="1">
      <c r="A3824" s="39">
        <v>3794</v>
      </c>
      <c r="B3824" s="40" t="s">
        <v>19304</v>
      </c>
      <c r="C3824" s="40" t="s">
        <v>19305</v>
      </c>
      <c r="D3824" s="40" t="s">
        <v>19306</v>
      </c>
      <c r="E3824" s="41">
        <v>11.39</v>
      </c>
      <c r="F3824" s="40"/>
      <c r="G3824" s="41"/>
      <c r="H3824" s="40"/>
      <c r="I3824" s="41"/>
      <c r="J3824" s="41">
        <f t="shared" si="14"/>
        <v>11.39</v>
      </c>
      <c r="K3824" s="42" t="s">
        <v>5796</v>
      </c>
      <c r="L3824" s="39">
        <v>3794</v>
      </c>
    </row>
    <row r="3825" spans="1:12" ht="11.25" customHeight="1">
      <c r="A3825" s="39">
        <v>3796</v>
      </c>
      <c r="B3825" s="40" t="s">
        <v>19307</v>
      </c>
      <c r="C3825" s="40" t="s">
        <v>19308</v>
      </c>
      <c r="D3825" s="40" t="s">
        <v>19309</v>
      </c>
      <c r="E3825" s="41">
        <v>11.38</v>
      </c>
      <c r="F3825" s="40"/>
      <c r="G3825" s="41"/>
      <c r="H3825" s="40"/>
      <c r="I3825" s="41"/>
      <c r="J3825" s="41">
        <f t="shared" si="14"/>
        <v>11.38</v>
      </c>
      <c r="K3825" s="42" t="s">
        <v>5796</v>
      </c>
      <c r="L3825" s="39">
        <v>3796</v>
      </c>
    </row>
    <row r="3826" spans="1:12" ht="11.25" customHeight="1">
      <c r="A3826" s="39">
        <v>3797</v>
      </c>
      <c r="B3826" s="40" t="s">
        <v>19310</v>
      </c>
      <c r="C3826" s="40" t="s">
        <v>19311</v>
      </c>
      <c r="D3826" s="40" t="s">
        <v>19312</v>
      </c>
      <c r="E3826" s="41">
        <v>11.38</v>
      </c>
      <c r="F3826" s="40"/>
      <c r="G3826" s="41"/>
      <c r="H3826" s="40"/>
      <c r="I3826" s="41"/>
      <c r="J3826" s="41">
        <f t="shared" si="14"/>
        <v>11.38</v>
      </c>
      <c r="K3826" s="42" t="s">
        <v>5796</v>
      </c>
      <c r="L3826" s="39">
        <v>3797</v>
      </c>
    </row>
    <row r="3827" spans="1:12" ht="11.25" customHeight="1">
      <c r="A3827" s="39">
        <v>3798</v>
      </c>
      <c r="B3827" s="40" t="s">
        <v>9152</v>
      </c>
      <c r="C3827" s="40" t="s">
        <v>19313</v>
      </c>
      <c r="D3827" s="40" t="s">
        <v>19314</v>
      </c>
      <c r="E3827" s="41">
        <v>11.33</v>
      </c>
      <c r="F3827" s="40"/>
      <c r="G3827" s="41"/>
      <c r="H3827" s="40"/>
      <c r="I3827" s="41"/>
      <c r="J3827" s="41">
        <f t="shared" si="14"/>
        <v>11.33</v>
      </c>
      <c r="K3827" s="42" t="s">
        <v>5796</v>
      </c>
      <c r="L3827" s="39">
        <v>3798</v>
      </c>
    </row>
    <row r="3828" spans="1:12" ht="11.25" customHeight="1">
      <c r="A3828" s="39">
        <v>3799</v>
      </c>
      <c r="B3828" s="40" t="s">
        <v>19315</v>
      </c>
      <c r="C3828" s="40" t="s">
        <v>19316</v>
      </c>
      <c r="D3828" s="40" t="s">
        <v>19317</v>
      </c>
      <c r="E3828" s="41">
        <v>11.32</v>
      </c>
      <c r="F3828" s="40"/>
      <c r="G3828" s="41"/>
      <c r="H3828" s="40"/>
      <c r="I3828" s="41"/>
      <c r="J3828" s="41">
        <f t="shared" ref="J3828:J4082" si="15">AVERAGE(E3828,G3828,I3828)</f>
        <v>11.32</v>
      </c>
      <c r="K3828" s="42" t="s">
        <v>5796</v>
      </c>
      <c r="L3828" s="39">
        <v>3799</v>
      </c>
    </row>
    <row r="3829" spans="1:12" ht="11.25" customHeight="1">
      <c r="A3829" s="39">
        <v>3800</v>
      </c>
      <c r="B3829" s="40" t="s">
        <v>19318</v>
      </c>
      <c r="C3829" s="40" t="s">
        <v>19319</v>
      </c>
      <c r="D3829" s="40" t="s">
        <v>19320</v>
      </c>
      <c r="E3829" s="41">
        <v>11.27</v>
      </c>
      <c r="F3829" s="40"/>
      <c r="G3829" s="41"/>
      <c r="H3829" s="40"/>
      <c r="I3829" s="41"/>
      <c r="J3829" s="41">
        <f t="shared" si="15"/>
        <v>11.27</v>
      </c>
      <c r="K3829" s="42" t="s">
        <v>5796</v>
      </c>
      <c r="L3829" s="39">
        <v>3800</v>
      </c>
    </row>
    <row r="3830" spans="1:12" ht="11.25" customHeight="1">
      <c r="A3830" s="39">
        <v>3801</v>
      </c>
      <c r="B3830" s="40" t="s">
        <v>19321</v>
      </c>
      <c r="C3830" s="40" t="s">
        <v>19322</v>
      </c>
      <c r="D3830" s="40" t="s">
        <v>19323</v>
      </c>
      <c r="E3830" s="41">
        <v>11.27</v>
      </c>
      <c r="F3830" s="40"/>
      <c r="G3830" s="41"/>
      <c r="H3830" s="40"/>
      <c r="I3830" s="41"/>
      <c r="J3830" s="41">
        <f t="shared" si="15"/>
        <v>11.27</v>
      </c>
      <c r="K3830" s="42" t="s">
        <v>5796</v>
      </c>
      <c r="L3830" s="39">
        <v>3801</v>
      </c>
    </row>
    <row r="3831" spans="1:12" ht="11.25" customHeight="1">
      <c r="A3831" s="39">
        <v>3802</v>
      </c>
      <c r="B3831" s="54" t="s">
        <v>10236</v>
      </c>
      <c r="C3831" s="54" t="s">
        <v>19324</v>
      </c>
      <c r="D3831" s="40"/>
      <c r="E3831" s="41"/>
      <c r="F3831" s="40"/>
      <c r="G3831" s="41"/>
      <c r="H3831" s="54" t="s">
        <v>19325</v>
      </c>
      <c r="I3831" s="41">
        <v>11.2643799</v>
      </c>
      <c r="J3831" s="41">
        <f t="shared" si="15"/>
        <v>11.2643799</v>
      </c>
      <c r="K3831" s="42" t="s">
        <v>5796</v>
      </c>
      <c r="L3831" s="39">
        <v>3802</v>
      </c>
    </row>
    <row r="3832" spans="1:12" ht="11.25" customHeight="1">
      <c r="A3832" s="39">
        <v>3803</v>
      </c>
      <c r="B3832" s="40" t="s">
        <v>19326</v>
      </c>
      <c r="C3832" s="40" t="s">
        <v>19327</v>
      </c>
      <c r="D3832" s="40" t="s">
        <v>19328</v>
      </c>
      <c r="E3832" s="41">
        <v>11.24</v>
      </c>
      <c r="F3832" s="40"/>
      <c r="G3832" s="41"/>
      <c r="H3832" s="40"/>
      <c r="I3832" s="41"/>
      <c r="J3832" s="41">
        <f t="shared" si="15"/>
        <v>11.24</v>
      </c>
      <c r="K3832" s="42" t="s">
        <v>5796</v>
      </c>
      <c r="L3832" s="39">
        <v>3803</v>
      </c>
    </row>
    <row r="3833" spans="1:12" ht="11.25" customHeight="1">
      <c r="A3833" s="39">
        <v>3804</v>
      </c>
      <c r="B3833" s="40" t="s">
        <v>19329</v>
      </c>
      <c r="C3833" s="40" t="s">
        <v>19330</v>
      </c>
      <c r="D3833" s="40" t="s">
        <v>19331</v>
      </c>
      <c r="E3833" s="41">
        <v>11.23</v>
      </c>
      <c r="F3833" s="40"/>
      <c r="G3833" s="41"/>
      <c r="H3833" s="40"/>
      <c r="I3833" s="41"/>
      <c r="J3833" s="41">
        <f t="shared" si="15"/>
        <v>11.23</v>
      </c>
      <c r="K3833" s="42" t="s">
        <v>5796</v>
      </c>
      <c r="L3833" s="39">
        <v>3804</v>
      </c>
    </row>
    <row r="3834" spans="1:12" ht="11.25" customHeight="1">
      <c r="A3834" s="39">
        <v>3805</v>
      </c>
      <c r="B3834" s="40" t="s">
        <v>19332</v>
      </c>
      <c r="C3834" s="40" t="s">
        <v>19333</v>
      </c>
      <c r="D3834" s="40" t="s">
        <v>19334</v>
      </c>
      <c r="E3834" s="41">
        <v>11.23</v>
      </c>
      <c r="F3834" s="40"/>
      <c r="G3834" s="41"/>
      <c r="H3834" s="40"/>
      <c r="I3834" s="41"/>
      <c r="J3834" s="41">
        <f t="shared" si="15"/>
        <v>11.23</v>
      </c>
      <c r="K3834" s="42" t="s">
        <v>5796</v>
      </c>
      <c r="L3834" s="39">
        <v>3805</v>
      </c>
    </row>
    <row r="3835" spans="1:12" ht="11.25" customHeight="1">
      <c r="A3835" s="39">
        <v>3806</v>
      </c>
      <c r="B3835" s="40" t="s">
        <v>19335</v>
      </c>
      <c r="C3835" s="40" t="s">
        <v>19336</v>
      </c>
      <c r="D3835" s="40" t="s">
        <v>19337</v>
      </c>
      <c r="E3835" s="41">
        <v>11.23</v>
      </c>
      <c r="F3835" s="40"/>
      <c r="G3835" s="41"/>
      <c r="H3835" s="40"/>
      <c r="I3835" s="41"/>
      <c r="J3835" s="41">
        <f t="shared" si="15"/>
        <v>11.23</v>
      </c>
      <c r="K3835" s="42" t="s">
        <v>5796</v>
      </c>
      <c r="L3835" s="39">
        <v>3806</v>
      </c>
    </row>
    <row r="3836" spans="1:12" ht="11.25" customHeight="1">
      <c r="A3836" s="39">
        <v>3807</v>
      </c>
      <c r="B3836" s="40" t="s">
        <v>19338</v>
      </c>
      <c r="C3836" s="40" t="s">
        <v>19339</v>
      </c>
      <c r="D3836" s="40" t="s">
        <v>19340</v>
      </c>
      <c r="E3836" s="41">
        <v>11.22</v>
      </c>
      <c r="F3836" s="40"/>
      <c r="G3836" s="41"/>
      <c r="H3836" s="40"/>
      <c r="I3836" s="41"/>
      <c r="J3836" s="41">
        <f t="shared" si="15"/>
        <v>11.22</v>
      </c>
      <c r="K3836" s="42" t="s">
        <v>5796</v>
      </c>
      <c r="L3836" s="39">
        <v>3807</v>
      </c>
    </row>
    <row r="3837" spans="1:12" ht="11.25" customHeight="1">
      <c r="A3837" s="39">
        <v>3808</v>
      </c>
      <c r="B3837" s="40" t="s">
        <v>19341</v>
      </c>
      <c r="C3837" s="40" t="s">
        <v>19342</v>
      </c>
      <c r="D3837" s="40" t="s">
        <v>19343</v>
      </c>
      <c r="E3837" s="41">
        <v>11.21</v>
      </c>
      <c r="F3837" s="40"/>
      <c r="G3837" s="41"/>
      <c r="H3837" s="40"/>
      <c r="I3837" s="41"/>
      <c r="J3837" s="41">
        <f t="shared" si="15"/>
        <v>11.21</v>
      </c>
      <c r="K3837" s="42" t="s">
        <v>5796</v>
      </c>
      <c r="L3837" s="39">
        <v>3808</v>
      </c>
    </row>
    <row r="3838" spans="1:12" ht="11.25" customHeight="1">
      <c r="A3838" s="39">
        <v>3809</v>
      </c>
      <c r="B3838" s="40" t="s">
        <v>19344</v>
      </c>
      <c r="C3838" s="40" t="s">
        <v>19345</v>
      </c>
      <c r="D3838" s="40" t="s">
        <v>19346</v>
      </c>
      <c r="E3838" s="41">
        <v>11.2</v>
      </c>
      <c r="F3838" s="40"/>
      <c r="G3838" s="41"/>
      <c r="H3838" s="40"/>
      <c r="I3838" s="41"/>
      <c r="J3838" s="41">
        <f t="shared" si="15"/>
        <v>11.2</v>
      </c>
      <c r="K3838" s="42" t="s">
        <v>5796</v>
      </c>
      <c r="L3838" s="39">
        <v>3809</v>
      </c>
    </row>
    <row r="3839" spans="1:12" ht="11.25" customHeight="1">
      <c r="A3839" s="39">
        <v>3810</v>
      </c>
      <c r="B3839" s="40" t="s">
        <v>9530</v>
      </c>
      <c r="C3839" s="40" t="s">
        <v>19347</v>
      </c>
      <c r="D3839" s="40" t="s">
        <v>19348</v>
      </c>
      <c r="E3839" s="41">
        <v>11.19</v>
      </c>
      <c r="F3839" s="40"/>
      <c r="G3839" s="41"/>
      <c r="H3839" s="40"/>
      <c r="I3839" s="41"/>
      <c r="J3839" s="41">
        <f t="shared" si="15"/>
        <v>11.19</v>
      </c>
      <c r="K3839" s="42" t="s">
        <v>5796</v>
      </c>
      <c r="L3839" s="39">
        <v>3810</v>
      </c>
    </row>
    <row r="3840" spans="1:12" ht="11.25" customHeight="1">
      <c r="A3840" s="39">
        <v>3811</v>
      </c>
      <c r="B3840" s="40" t="s">
        <v>19349</v>
      </c>
      <c r="C3840" s="40" t="s">
        <v>19350</v>
      </c>
      <c r="D3840" s="40" t="s">
        <v>19351</v>
      </c>
      <c r="E3840" s="41">
        <v>11.18</v>
      </c>
      <c r="F3840" s="40"/>
      <c r="G3840" s="41"/>
      <c r="H3840" s="40"/>
      <c r="I3840" s="41"/>
      <c r="J3840" s="41">
        <f t="shared" si="15"/>
        <v>11.18</v>
      </c>
      <c r="K3840" s="42" t="s">
        <v>5796</v>
      </c>
      <c r="L3840" s="39">
        <v>3811</v>
      </c>
    </row>
    <row r="3841" spans="1:12" ht="11.25" customHeight="1">
      <c r="A3841" s="39">
        <v>3812</v>
      </c>
      <c r="B3841" s="40" t="s">
        <v>19352</v>
      </c>
      <c r="C3841" s="40" t="s">
        <v>19353</v>
      </c>
      <c r="D3841" s="40" t="s">
        <v>19354</v>
      </c>
      <c r="E3841" s="41">
        <v>11.15</v>
      </c>
      <c r="F3841" s="40"/>
      <c r="G3841" s="41"/>
      <c r="H3841" s="40"/>
      <c r="I3841" s="41"/>
      <c r="J3841" s="41">
        <f t="shared" si="15"/>
        <v>11.15</v>
      </c>
      <c r="K3841" s="42" t="s">
        <v>5796</v>
      </c>
      <c r="L3841" s="39">
        <v>3812</v>
      </c>
    </row>
    <row r="3842" spans="1:12" ht="11.25" customHeight="1">
      <c r="A3842" s="39">
        <v>3813</v>
      </c>
      <c r="B3842" s="40" t="s">
        <v>19355</v>
      </c>
      <c r="C3842" s="40" t="s">
        <v>19356</v>
      </c>
      <c r="D3842" s="40" t="s">
        <v>19357</v>
      </c>
      <c r="E3842" s="41">
        <v>11.15</v>
      </c>
      <c r="F3842" s="40"/>
      <c r="G3842" s="41"/>
      <c r="H3842" s="40"/>
      <c r="I3842" s="41"/>
      <c r="J3842" s="41">
        <f t="shared" si="15"/>
        <v>11.15</v>
      </c>
      <c r="K3842" s="42" t="s">
        <v>5796</v>
      </c>
      <c r="L3842" s="39">
        <v>3813</v>
      </c>
    </row>
    <row r="3843" spans="1:12" ht="11.25" customHeight="1">
      <c r="A3843" s="39">
        <v>3814</v>
      </c>
      <c r="B3843" s="40" t="s">
        <v>19358</v>
      </c>
      <c r="C3843" s="40" t="s">
        <v>19359</v>
      </c>
      <c r="D3843" s="40" t="s">
        <v>19360</v>
      </c>
      <c r="E3843" s="41">
        <v>11.13</v>
      </c>
      <c r="F3843" s="40"/>
      <c r="G3843" s="41"/>
      <c r="H3843" s="40"/>
      <c r="I3843" s="41"/>
      <c r="J3843" s="41">
        <f t="shared" si="15"/>
        <v>11.13</v>
      </c>
      <c r="K3843" s="42" t="s">
        <v>5796</v>
      </c>
      <c r="L3843" s="39">
        <v>3814</v>
      </c>
    </row>
    <row r="3844" spans="1:12" ht="11.25" customHeight="1">
      <c r="A3844" s="39">
        <v>3815</v>
      </c>
      <c r="B3844" s="40" t="s">
        <v>19361</v>
      </c>
      <c r="C3844" s="40" t="s">
        <v>19362</v>
      </c>
      <c r="D3844" s="40" t="s">
        <v>19363</v>
      </c>
      <c r="E3844" s="41">
        <v>11.12</v>
      </c>
      <c r="F3844" s="40"/>
      <c r="G3844" s="41"/>
      <c r="H3844" s="40"/>
      <c r="I3844" s="41"/>
      <c r="J3844" s="41">
        <f t="shared" si="15"/>
        <v>11.12</v>
      </c>
      <c r="K3844" s="42" t="s">
        <v>5796</v>
      </c>
      <c r="L3844" s="39">
        <v>3815</v>
      </c>
    </row>
    <row r="3845" spans="1:12" ht="11.25" customHeight="1">
      <c r="A3845" s="39">
        <v>3816</v>
      </c>
      <c r="B3845" s="40" t="s">
        <v>19364</v>
      </c>
      <c r="C3845" s="40" t="s">
        <v>19365</v>
      </c>
      <c r="D3845" s="40" t="s">
        <v>19366</v>
      </c>
      <c r="E3845" s="41">
        <v>11.1</v>
      </c>
      <c r="F3845" s="40"/>
      <c r="G3845" s="41"/>
      <c r="H3845" s="40"/>
      <c r="I3845" s="41"/>
      <c r="J3845" s="41">
        <f t="shared" si="15"/>
        <v>11.1</v>
      </c>
      <c r="K3845" s="42" t="s">
        <v>5796</v>
      </c>
      <c r="L3845" s="39">
        <v>3816</v>
      </c>
    </row>
    <row r="3846" spans="1:12" ht="11.25" customHeight="1">
      <c r="A3846" s="39">
        <v>3817</v>
      </c>
      <c r="B3846" s="40" t="s">
        <v>19367</v>
      </c>
      <c r="C3846" s="40" t="s">
        <v>19368</v>
      </c>
      <c r="D3846" s="40" t="s">
        <v>19369</v>
      </c>
      <c r="E3846" s="41">
        <v>11.05</v>
      </c>
      <c r="F3846" s="40"/>
      <c r="G3846" s="41"/>
      <c r="H3846" s="40"/>
      <c r="I3846" s="41"/>
      <c r="J3846" s="41">
        <f t="shared" si="15"/>
        <v>11.05</v>
      </c>
      <c r="K3846" s="42" t="s">
        <v>5796</v>
      </c>
      <c r="L3846" s="39">
        <v>3817</v>
      </c>
    </row>
    <row r="3847" spans="1:12" ht="11.25" customHeight="1">
      <c r="A3847" s="39">
        <v>3818</v>
      </c>
      <c r="B3847" s="40" t="s">
        <v>19370</v>
      </c>
      <c r="C3847" s="40" t="s">
        <v>19371</v>
      </c>
      <c r="D3847" s="40" t="s">
        <v>19372</v>
      </c>
      <c r="E3847" s="41">
        <v>11.04</v>
      </c>
      <c r="F3847" s="40"/>
      <c r="G3847" s="41"/>
      <c r="H3847" s="40"/>
      <c r="I3847" s="41"/>
      <c r="J3847" s="41">
        <f t="shared" si="15"/>
        <v>11.04</v>
      </c>
      <c r="K3847" s="42" t="s">
        <v>5796</v>
      </c>
      <c r="L3847" s="39">
        <v>3818</v>
      </c>
    </row>
    <row r="3848" spans="1:12" ht="11.25" customHeight="1">
      <c r="A3848" s="39">
        <v>3819</v>
      </c>
      <c r="B3848" s="52" t="s">
        <v>8887</v>
      </c>
      <c r="C3848" s="52" t="s">
        <v>19373</v>
      </c>
      <c r="D3848" s="40"/>
      <c r="E3848" s="41"/>
      <c r="F3848" s="40"/>
      <c r="G3848" s="41"/>
      <c r="H3848" s="52" t="s">
        <v>19374</v>
      </c>
      <c r="I3848" s="53">
        <v>11.000399999999983</v>
      </c>
      <c r="J3848" s="41">
        <f t="shared" si="15"/>
        <v>11.000399999999983</v>
      </c>
      <c r="K3848" s="42" t="s">
        <v>5796</v>
      </c>
      <c r="L3848" s="39">
        <v>3819</v>
      </c>
    </row>
    <row r="3849" spans="1:12" ht="11.25" customHeight="1">
      <c r="A3849" s="39">
        <v>3820</v>
      </c>
      <c r="B3849" s="54" t="s">
        <v>10242</v>
      </c>
      <c r="C3849" s="54" t="s">
        <v>19375</v>
      </c>
      <c r="D3849" s="40"/>
      <c r="E3849" s="41"/>
      <c r="F3849" s="40"/>
      <c r="G3849" s="41"/>
      <c r="H3849" s="54" t="s">
        <v>19376</v>
      </c>
      <c r="I3849" s="41">
        <v>11.0001</v>
      </c>
      <c r="J3849" s="41">
        <f t="shared" si="15"/>
        <v>11.0001</v>
      </c>
      <c r="K3849" s="42" t="s">
        <v>5796</v>
      </c>
      <c r="L3849" s="39">
        <v>3820</v>
      </c>
    </row>
    <row r="3850" spans="1:12" ht="11.25" customHeight="1">
      <c r="A3850" s="39">
        <v>3821</v>
      </c>
      <c r="B3850" s="52" t="s">
        <v>8888</v>
      </c>
      <c r="C3850" s="52" t="s">
        <v>19377</v>
      </c>
      <c r="D3850" s="40"/>
      <c r="E3850" s="41"/>
      <c r="F3850" s="40"/>
      <c r="G3850" s="41"/>
      <c r="H3850" s="52" t="s">
        <v>19378</v>
      </c>
      <c r="I3850" s="53">
        <v>11</v>
      </c>
      <c r="J3850" s="41">
        <f t="shared" si="15"/>
        <v>11</v>
      </c>
      <c r="K3850" s="42" t="s">
        <v>5796</v>
      </c>
      <c r="L3850" s="39">
        <v>3821</v>
      </c>
    </row>
    <row r="3851" spans="1:12" ht="11.25" customHeight="1">
      <c r="A3851" s="39">
        <v>3822</v>
      </c>
      <c r="B3851" s="40" t="s">
        <v>19379</v>
      </c>
      <c r="C3851" s="40" t="s">
        <v>19380</v>
      </c>
      <c r="D3851" s="40" t="s">
        <v>19381</v>
      </c>
      <c r="E3851" s="41">
        <v>10.97</v>
      </c>
      <c r="F3851" s="40"/>
      <c r="G3851" s="41"/>
      <c r="H3851" s="40"/>
      <c r="I3851" s="41"/>
      <c r="J3851" s="41">
        <f t="shared" si="15"/>
        <v>10.97</v>
      </c>
      <c r="K3851" s="42" t="s">
        <v>5796</v>
      </c>
      <c r="L3851" s="39">
        <v>3822</v>
      </c>
    </row>
    <row r="3852" spans="1:12" ht="11.25" customHeight="1">
      <c r="A3852" s="39">
        <v>3823</v>
      </c>
      <c r="B3852" s="52" t="s">
        <v>8889</v>
      </c>
      <c r="C3852" s="52" t="s">
        <v>19382</v>
      </c>
      <c r="D3852" s="40"/>
      <c r="E3852" s="41"/>
      <c r="F3852" s="40"/>
      <c r="G3852" s="41"/>
      <c r="H3852" s="52" t="s">
        <v>19383</v>
      </c>
      <c r="I3852" s="53">
        <v>10.962149999999999</v>
      </c>
      <c r="J3852" s="41">
        <f t="shared" si="15"/>
        <v>10.962149999999999</v>
      </c>
      <c r="K3852" s="42" t="s">
        <v>5796</v>
      </c>
      <c r="L3852" s="39">
        <v>3823</v>
      </c>
    </row>
    <row r="3853" spans="1:12" ht="11.25" customHeight="1">
      <c r="A3853" s="39">
        <v>3824</v>
      </c>
      <c r="B3853" s="40" t="s">
        <v>8714</v>
      </c>
      <c r="C3853" s="40" t="s">
        <v>19384</v>
      </c>
      <c r="D3853" s="40" t="s">
        <v>19385</v>
      </c>
      <c r="E3853" s="41">
        <v>10.96</v>
      </c>
      <c r="F3853" s="40"/>
      <c r="G3853" s="41"/>
      <c r="H3853" s="40"/>
      <c r="I3853" s="41"/>
      <c r="J3853" s="41">
        <f t="shared" si="15"/>
        <v>10.96</v>
      </c>
      <c r="K3853" s="42" t="s">
        <v>5796</v>
      </c>
      <c r="L3853" s="39">
        <v>3824</v>
      </c>
    </row>
    <row r="3854" spans="1:12" ht="11.25" customHeight="1">
      <c r="A3854" s="39">
        <v>3825</v>
      </c>
      <c r="B3854" s="40" t="s">
        <v>19386</v>
      </c>
      <c r="C3854" s="40" t="s">
        <v>19387</v>
      </c>
      <c r="D3854" s="40" t="s">
        <v>19388</v>
      </c>
      <c r="E3854" s="41">
        <v>10.88</v>
      </c>
      <c r="F3854" s="40"/>
      <c r="G3854" s="41"/>
      <c r="H3854" s="40"/>
      <c r="I3854" s="41"/>
      <c r="J3854" s="41">
        <f t="shared" si="15"/>
        <v>10.88</v>
      </c>
      <c r="K3854" s="42" t="s">
        <v>5796</v>
      </c>
      <c r="L3854" s="39">
        <v>3825</v>
      </c>
    </row>
    <row r="3855" spans="1:12" ht="11.25" customHeight="1">
      <c r="A3855" s="39">
        <v>3826</v>
      </c>
      <c r="B3855" s="40" t="s">
        <v>19389</v>
      </c>
      <c r="C3855" s="40" t="s">
        <v>19390</v>
      </c>
      <c r="D3855" s="40" t="s">
        <v>19391</v>
      </c>
      <c r="E3855" s="41">
        <v>10.86</v>
      </c>
      <c r="F3855" s="40"/>
      <c r="G3855" s="41"/>
      <c r="H3855" s="40"/>
      <c r="I3855" s="41"/>
      <c r="J3855" s="41">
        <f t="shared" si="15"/>
        <v>10.86</v>
      </c>
      <c r="K3855" s="42" t="s">
        <v>5796</v>
      </c>
      <c r="L3855" s="39">
        <v>3826</v>
      </c>
    </row>
    <row r="3856" spans="1:12" ht="11.25" customHeight="1">
      <c r="A3856" s="39">
        <v>3827</v>
      </c>
      <c r="B3856" s="40" t="s">
        <v>19392</v>
      </c>
      <c r="C3856" s="40" t="s">
        <v>19393</v>
      </c>
      <c r="D3856" s="40" t="s">
        <v>19394</v>
      </c>
      <c r="E3856" s="41">
        <v>10.86</v>
      </c>
      <c r="F3856" s="40"/>
      <c r="G3856" s="41"/>
      <c r="H3856" s="40"/>
      <c r="I3856" s="41"/>
      <c r="J3856" s="41">
        <f t="shared" si="15"/>
        <v>10.86</v>
      </c>
      <c r="K3856" s="42" t="s">
        <v>5796</v>
      </c>
      <c r="L3856" s="39">
        <v>3827</v>
      </c>
    </row>
    <row r="3857" spans="1:12" ht="11.25" customHeight="1">
      <c r="A3857" s="39">
        <v>3828</v>
      </c>
      <c r="B3857" s="40" t="s">
        <v>19395</v>
      </c>
      <c r="C3857" s="40" t="s">
        <v>19396</v>
      </c>
      <c r="D3857" s="40" t="s">
        <v>19397</v>
      </c>
      <c r="E3857" s="41">
        <v>10.84</v>
      </c>
      <c r="F3857" s="40"/>
      <c r="G3857" s="41"/>
      <c r="H3857" s="40"/>
      <c r="I3857" s="41"/>
      <c r="J3857" s="41">
        <f t="shared" si="15"/>
        <v>10.84</v>
      </c>
      <c r="K3857" s="42" t="s">
        <v>5796</v>
      </c>
      <c r="L3857" s="39">
        <v>3828</v>
      </c>
    </row>
    <row r="3858" spans="1:12" ht="11.25" customHeight="1">
      <c r="A3858" s="39">
        <v>3829</v>
      </c>
      <c r="B3858" s="40" t="s">
        <v>19398</v>
      </c>
      <c r="C3858" s="40" t="s">
        <v>19399</v>
      </c>
      <c r="D3858" s="40" t="s">
        <v>19400</v>
      </c>
      <c r="E3858" s="41">
        <v>10.82</v>
      </c>
      <c r="F3858" s="40"/>
      <c r="G3858" s="41"/>
      <c r="H3858" s="40"/>
      <c r="I3858" s="41"/>
      <c r="J3858" s="41">
        <f t="shared" si="15"/>
        <v>10.82</v>
      </c>
      <c r="K3858" s="42" t="s">
        <v>5796</v>
      </c>
      <c r="L3858" s="39">
        <v>3829</v>
      </c>
    </row>
    <row r="3859" spans="1:12" ht="11.25" customHeight="1">
      <c r="A3859" s="39">
        <v>3830</v>
      </c>
      <c r="B3859" s="40" t="s">
        <v>19401</v>
      </c>
      <c r="C3859" s="40" t="s">
        <v>19402</v>
      </c>
      <c r="D3859" s="40" t="s">
        <v>19403</v>
      </c>
      <c r="E3859" s="41">
        <v>10.8</v>
      </c>
      <c r="F3859" s="40"/>
      <c r="G3859" s="41"/>
      <c r="H3859" s="40"/>
      <c r="I3859" s="41"/>
      <c r="J3859" s="41">
        <f t="shared" si="15"/>
        <v>10.8</v>
      </c>
      <c r="K3859" s="42" t="s">
        <v>5796</v>
      </c>
      <c r="L3859" s="39">
        <v>3830</v>
      </c>
    </row>
    <row r="3860" spans="1:12" ht="11.25" customHeight="1">
      <c r="A3860" s="39">
        <v>3831</v>
      </c>
      <c r="B3860" s="40" t="s">
        <v>19404</v>
      </c>
      <c r="C3860" s="40" t="s">
        <v>19405</v>
      </c>
      <c r="D3860" s="40" t="s">
        <v>19406</v>
      </c>
      <c r="E3860" s="41">
        <v>10.78</v>
      </c>
      <c r="F3860" s="40"/>
      <c r="G3860" s="41"/>
      <c r="H3860" s="40"/>
      <c r="I3860" s="41"/>
      <c r="J3860" s="41">
        <f t="shared" si="15"/>
        <v>10.78</v>
      </c>
      <c r="K3860" s="42" t="s">
        <v>5796</v>
      </c>
      <c r="L3860" s="39">
        <v>3831</v>
      </c>
    </row>
    <row r="3861" spans="1:12" ht="11.25" customHeight="1">
      <c r="A3861" s="39">
        <v>3832</v>
      </c>
      <c r="B3861" s="40" t="s">
        <v>19407</v>
      </c>
      <c r="C3861" s="40" t="s">
        <v>19408</v>
      </c>
      <c r="D3861" s="40" t="s">
        <v>19409</v>
      </c>
      <c r="E3861" s="41">
        <v>10.78</v>
      </c>
      <c r="F3861" s="40"/>
      <c r="G3861" s="41"/>
      <c r="H3861" s="40"/>
      <c r="I3861" s="41"/>
      <c r="J3861" s="41">
        <f t="shared" si="15"/>
        <v>10.78</v>
      </c>
      <c r="K3861" s="42" t="s">
        <v>5796</v>
      </c>
      <c r="L3861" s="39">
        <v>3832</v>
      </c>
    </row>
    <row r="3862" spans="1:12" ht="11.25" customHeight="1">
      <c r="A3862" s="39">
        <v>3833</v>
      </c>
      <c r="B3862" s="40" t="s">
        <v>19410</v>
      </c>
      <c r="C3862" s="40" t="s">
        <v>19411</v>
      </c>
      <c r="D3862" s="40" t="s">
        <v>19412</v>
      </c>
      <c r="E3862" s="41">
        <v>10.76</v>
      </c>
      <c r="F3862" s="40"/>
      <c r="G3862" s="41"/>
      <c r="H3862" s="40"/>
      <c r="I3862" s="41"/>
      <c r="J3862" s="41">
        <f t="shared" si="15"/>
        <v>10.76</v>
      </c>
      <c r="K3862" s="42" t="s">
        <v>5796</v>
      </c>
      <c r="L3862" s="39">
        <v>3833</v>
      </c>
    </row>
    <row r="3863" spans="1:12" ht="11.25" customHeight="1">
      <c r="A3863" s="39">
        <v>3834</v>
      </c>
      <c r="B3863" s="40" t="s">
        <v>19413</v>
      </c>
      <c r="C3863" s="40" t="s">
        <v>19414</v>
      </c>
      <c r="D3863" s="40" t="s">
        <v>19415</v>
      </c>
      <c r="E3863" s="41">
        <v>10.74</v>
      </c>
      <c r="F3863" s="40"/>
      <c r="G3863" s="41"/>
      <c r="H3863" s="40"/>
      <c r="I3863" s="41"/>
      <c r="J3863" s="41">
        <f t="shared" si="15"/>
        <v>10.74</v>
      </c>
      <c r="K3863" s="42" t="s">
        <v>5796</v>
      </c>
      <c r="L3863" s="39">
        <v>3834</v>
      </c>
    </row>
    <row r="3864" spans="1:12" ht="11.25" customHeight="1">
      <c r="A3864" s="39">
        <v>3835</v>
      </c>
      <c r="B3864" s="40" t="s">
        <v>9009</v>
      </c>
      <c r="C3864" s="40" t="s">
        <v>19416</v>
      </c>
      <c r="D3864" s="40" t="s">
        <v>19417</v>
      </c>
      <c r="E3864" s="41">
        <v>10.74</v>
      </c>
      <c r="F3864" s="40"/>
      <c r="G3864" s="41"/>
      <c r="H3864" s="40"/>
      <c r="I3864" s="41"/>
      <c r="J3864" s="41">
        <f t="shared" si="15"/>
        <v>10.74</v>
      </c>
      <c r="K3864" s="42" t="s">
        <v>5796</v>
      </c>
      <c r="L3864" s="39">
        <v>3835</v>
      </c>
    </row>
    <row r="3865" spans="1:12" ht="11.25" customHeight="1">
      <c r="A3865" s="39">
        <v>3836</v>
      </c>
      <c r="B3865" s="40" t="s">
        <v>9435</v>
      </c>
      <c r="C3865" s="40" t="s">
        <v>19418</v>
      </c>
      <c r="D3865" s="40" t="s">
        <v>19419</v>
      </c>
      <c r="E3865" s="41">
        <v>10.73</v>
      </c>
      <c r="F3865" s="40"/>
      <c r="G3865" s="41"/>
      <c r="H3865" s="40"/>
      <c r="I3865" s="41"/>
      <c r="J3865" s="41">
        <f t="shared" si="15"/>
        <v>10.73</v>
      </c>
      <c r="K3865" s="42" t="s">
        <v>5796</v>
      </c>
      <c r="L3865" s="39">
        <v>3836</v>
      </c>
    </row>
    <row r="3866" spans="1:12" ht="11.25" customHeight="1">
      <c r="A3866" s="39">
        <v>3837</v>
      </c>
      <c r="B3866" s="40" t="s">
        <v>19420</v>
      </c>
      <c r="C3866" s="40" t="s">
        <v>19421</v>
      </c>
      <c r="D3866" s="40" t="s">
        <v>19422</v>
      </c>
      <c r="E3866" s="41">
        <v>10.66</v>
      </c>
      <c r="F3866" s="40"/>
      <c r="G3866" s="41"/>
      <c r="H3866" s="40"/>
      <c r="I3866" s="41"/>
      <c r="J3866" s="41">
        <f t="shared" si="15"/>
        <v>10.66</v>
      </c>
      <c r="K3866" s="42" t="s">
        <v>5796</v>
      </c>
      <c r="L3866" s="39">
        <v>3837</v>
      </c>
    </row>
    <row r="3867" spans="1:12" ht="11.25" customHeight="1">
      <c r="A3867" s="39">
        <v>3838</v>
      </c>
      <c r="B3867" s="40" t="s">
        <v>8695</v>
      </c>
      <c r="C3867" s="40" t="s">
        <v>19423</v>
      </c>
      <c r="D3867" s="40" t="s">
        <v>19424</v>
      </c>
      <c r="E3867" s="41">
        <v>10.64</v>
      </c>
      <c r="F3867" s="40"/>
      <c r="G3867" s="41"/>
      <c r="H3867" s="40"/>
      <c r="I3867" s="41"/>
      <c r="J3867" s="41">
        <f t="shared" si="15"/>
        <v>10.64</v>
      </c>
      <c r="K3867" s="42" t="s">
        <v>5796</v>
      </c>
      <c r="L3867" s="39">
        <v>3838</v>
      </c>
    </row>
    <row r="3868" spans="1:12" ht="11.25" customHeight="1">
      <c r="A3868" s="39">
        <v>3839</v>
      </c>
      <c r="B3868" s="52" t="s">
        <v>8904</v>
      </c>
      <c r="C3868" s="52" t="s">
        <v>19425</v>
      </c>
      <c r="D3868" s="40"/>
      <c r="E3868" s="41"/>
      <c r="F3868" s="40"/>
      <c r="G3868" s="41"/>
      <c r="H3868" s="52" t="s">
        <v>19426</v>
      </c>
      <c r="I3868" s="53">
        <v>10.62518999999998</v>
      </c>
      <c r="J3868" s="41">
        <f t="shared" si="15"/>
        <v>10.62518999999998</v>
      </c>
      <c r="K3868" s="42" t="s">
        <v>5796</v>
      </c>
      <c r="L3868" s="39">
        <v>3839</v>
      </c>
    </row>
    <row r="3869" spans="1:12" ht="11.25" customHeight="1">
      <c r="A3869" s="39">
        <v>3840</v>
      </c>
      <c r="B3869" s="40" t="s">
        <v>19427</v>
      </c>
      <c r="C3869" s="40" t="s">
        <v>19428</v>
      </c>
      <c r="D3869" s="40" t="s">
        <v>19429</v>
      </c>
      <c r="E3869" s="41">
        <v>10.62</v>
      </c>
      <c r="F3869" s="40"/>
      <c r="G3869" s="41"/>
      <c r="H3869" s="40"/>
      <c r="I3869" s="41"/>
      <c r="J3869" s="41">
        <f t="shared" si="15"/>
        <v>10.62</v>
      </c>
      <c r="K3869" s="42" t="s">
        <v>5796</v>
      </c>
      <c r="L3869" s="39">
        <v>3840</v>
      </c>
    </row>
    <row r="3870" spans="1:12" ht="11.25" customHeight="1">
      <c r="A3870" s="39">
        <v>3841</v>
      </c>
      <c r="B3870" s="40" t="s">
        <v>19430</v>
      </c>
      <c r="C3870" s="40" t="s">
        <v>19431</v>
      </c>
      <c r="D3870" s="40" t="s">
        <v>19432</v>
      </c>
      <c r="E3870" s="41">
        <v>10.61</v>
      </c>
      <c r="F3870" s="40"/>
      <c r="G3870" s="41"/>
      <c r="H3870" s="40"/>
      <c r="I3870" s="41"/>
      <c r="J3870" s="41">
        <f t="shared" si="15"/>
        <v>10.61</v>
      </c>
      <c r="K3870" s="42" t="s">
        <v>5796</v>
      </c>
      <c r="L3870" s="39">
        <v>3841</v>
      </c>
    </row>
    <row r="3871" spans="1:12" ht="11.25" customHeight="1">
      <c r="A3871" s="39">
        <v>3842</v>
      </c>
      <c r="B3871" s="40" t="s">
        <v>19433</v>
      </c>
      <c r="C3871" s="40" t="s">
        <v>19434</v>
      </c>
      <c r="D3871" s="40" t="s">
        <v>19435</v>
      </c>
      <c r="E3871" s="41">
        <v>10.61</v>
      </c>
      <c r="F3871" s="40"/>
      <c r="G3871" s="41"/>
      <c r="H3871" s="40"/>
      <c r="I3871" s="41"/>
      <c r="J3871" s="41">
        <f t="shared" si="15"/>
        <v>10.61</v>
      </c>
      <c r="K3871" s="42" t="s">
        <v>5796</v>
      </c>
      <c r="L3871" s="39">
        <v>3842</v>
      </c>
    </row>
    <row r="3872" spans="1:12" ht="11.25" customHeight="1">
      <c r="A3872" s="39">
        <v>3844</v>
      </c>
      <c r="B3872" s="40" t="s">
        <v>19436</v>
      </c>
      <c r="C3872" s="40" t="s">
        <v>19437</v>
      </c>
      <c r="D3872" s="40" t="s">
        <v>19438</v>
      </c>
      <c r="E3872" s="41">
        <v>10.52</v>
      </c>
      <c r="F3872" s="40"/>
      <c r="G3872" s="41"/>
      <c r="H3872" s="40"/>
      <c r="I3872" s="41"/>
      <c r="J3872" s="41">
        <f t="shared" si="15"/>
        <v>10.52</v>
      </c>
      <c r="K3872" s="42" t="s">
        <v>5796</v>
      </c>
      <c r="L3872" s="39">
        <v>3844</v>
      </c>
    </row>
    <row r="3873" spans="1:12" ht="11.25" customHeight="1">
      <c r="A3873" s="39">
        <v>3845</v>
      </c>
      <c r="B3873" s="40" t="s">
        <v>19439</v>
      </c>
      <c r="C3873" s="40" t="s">
        <v>19440</v>
      </c>
      <c r="D3873" s="40" t="s">
        <v>19441</v>
      </c>
      <c r="E3873" s="41">
        <v>10.5</v>
      </c>
      <c r="F3873" s="40"/>
      <c r="G3873" s="41"/>
      <c r="H3873" s="40"/>
      <c r="I3873" s="41"/>
      <c r="J3873" s="41">
        <f t="shared" si="15"/>
        <v>10.5</v>
      </c>
      <c r="K3873" s="42" t="s">
        <v>5796</v>
      </c>
      <c r="L3873" s="39">
        <v>3845</v>
      </c>
    </row>
    <row r="3874" spans="1:12" ht="11.25" customHeight="1">
      <c r="A3874" s="39">
        <v>3846</v>
      </c>
      <c r="B3874" s="52" t="s">
        <v>8911</v>
      </c>
      <c r="C3874" s="52" t="s">
        <v>19442</v>
      </c>
      <c r="D3874" s="40"/>
      <c r="E3874" s="41"/>
      <c r="F3874" s="40"/>
      <c r="G3874" s="41"/>
      <c r="H3874" s="52" t="s">
        <v>19443</v>
      </c>
      <c r="I3874" s="53">
        <v>10.499475000000004</v>
      </c>
      <c r="J3874" s="41">
        <f t="shared" si="15"/>
        <v>10.499475000000004</v>
      </c>
      <c r="K3874" s="42" t="s">
        <v>5796</v>
      </c>
      <c r="L3874" s="39">
        <v>3846</v>
      </c>
    </row>
    <row r="3875" spans="1:12" ht="11.25" customHeight="1">
      <c r="A3875" s="39">
        <v>3847</v>
      </c>
      <c r="B3875" s="40" t="s">
        <v>9087</v>
      </c>
      <c r="C3875" s="40" t="s">
        <v>19444</v>
      </c>
      <c r="D3875" s="40" t="s">
        <v>19445</v>
      </c>
      <c r="E3875" s="41">
        <v>10.48</v>
      </c>
      <c r="F3875" s="40"/>
      <c r="G3875" s="41"/>
      <c r="H3875" s="40"/>
      <c r="I3875" s="41"/>
      <c r="J3875" s="41">
        <f t="shared" si="15"/>
        <v>10.48</v>
      </c>
      <c r="K3875" s="42" t="s">
        <v>5796</v>
      </c>
      <c r="L3875" s="39">
        <v>3847</v>
      </c>
    </row>
    <row r="3876" spans="1:12" ht="11.25" customHeight="1">
      <c r="A3876" s="39">
        <v>3848</v>
      </c>
      <c r="B3876" s="40" t="s">
        <v>19446</v>
      </c>
      <c r="C3876" s="40" t="s">
        <v>19447</v>
      </c>
      <c r="D3876" s="40" t="s">
        <v>19448</v>
      </c>
      <c r="E3876" s="41">
        <v>10.48</v>
      </c>
      <c r="F3876" s="40"/>
      <c r="G3876" s="41"/>
      <c r="H3876" s="40"/>
      <c r="I3876" s="41"/>
      <c r="J3876" s="41">
        <f t="shared" si="15"/>
        <v>10.48</v>
      </c>
      <c r="K3876" s="42" t="s">
        <v>5796</v>
      </c>
      <c r="L3876" s="39">
        <v>3848</v>
      </c>
    </row>
    <row r="3877" spans="1:12" ht="11.25" customHeight="1">
      <c r="A3877" s="39">
        <v>3849</v>
      </c>
      <c r="B3877" s="40" t="s">
        <v>19449</v>
      </c>
      <c r="C3877" s="40" t="s">
        <v>19450</v>
      </c>
      <c r="D3877" s="40" t="s">
        <v>19451</v>
      </c>
      <c r="E3877" s="41">
        <v>10.46</v>
      </c>
      <c r="F3877" s="40"/>
      <c r="G3877" s="41"/>
      <c r="H3877" s="40"/>
      <c r="I3877" s="41"/>
      <c r="J3877" s="41">
        <f t="shared" si="15"/>
        <v>10.46</v>
      </c>
      <c r="K3877" s="42" t="s">
        <v>5796</v>
      </c>
      <c r="L3877" s="39">
        <v>3849</v>
      </c>
    </row>
    <row r="3878" spans="1:12" ht="11.25" customHeight="1">
      <c r="A3878" s="39">
        <v>3850</v>
      </c>
      <c r="B3878" s="40" t="s">
        <v>19452</v>
      </c>
      <c r="C3878" s="40" t="s">
        <v>19453</v>
      </c>
      <c r="D3878" s="40" t="s">
        <v>19454</v>
      </c>
      <c r="E3878" s="41">
        <v>10.45</v>
      </c>
      <c r="F3878" s="40"/>
      <c r="G3878" s="41"/>
      <c r="H3878" s="40"/>
      <c r="I3878" s="41"/>
      <c r="J3878" s="41">
        <f t="shared" si="15"/>
        <v>10.45</v>
      </c>
      <c r="K3878" s="42" t="s">
        <v>5796</v>
      </c>
      <c r="L3878" s="39">
        <v>3850</v>
      </c>
    </row>
    <row r="3879" spans="1:12" ht="11.25" customHeight="1">
      <c r="A3879" s="39">
        <v>3851</v>
      </c>
      <c r="B3879" s="40" t="s">
        <v>19455</v>
      </c>
      <c r="C3879" s="40" t="s">
        <v>19456</v>
      </c>
      <c r="D3879" s="40" t="s">
        <v>19457</v>
      </c>
      <c r="E3879" s="41">
        <v>10.44</v>
      </c>
      <c r="F3879" s="40"/>
      <c r="G3879" s="41"/>
      <c r="H3879" s="40"/>
      <c r="I3879" s="41"/>
      <c r="J3879" s="41">
        <f t="shared" si="15"/>
        <v>10.44</v>
      </c>
      <c r="K3879" s="42" t="s">
        <v>5796</v>
      </c>
      <c r="L3879" s="39">
        <v>3851</v>
      </c>
    </row>
    <row r="3880" spans="1:12" ht="11.25" customHeight="1">
      <c r="A3880" s="39">
        <v>3852</v>
      </c>
      <c r="B3880" s="52" t="s">
        <v>8917</v>
      </c>
      <c r="C3880" s="52" t="s">
        <v>19458</v>
      </c>
      <c r="D3880" s="40"/>
      <c r="E3880" s="41"/>
      <c r="F3880" s="40"/>
      <c r="G3880" s="41"/>
      <c r="H3880" s="52" t="s">
        <v>3187</v>
      </c>
      <c r="I3880" s="53">
        <v>10.43353950000003</v>
      </c>
      <c r="J3880" s="41">
        <f t="shared" si="15"/>
        <v>10.43353950000003</v>
      </c>
      <c r="K3880" s="42" t="s">
        <v>5796</v>
      </c>
      <c r="L3880" s="39">
        <v>3852</v>
      </c>
    </row>
    <row r="3881" spans="1:12" ht="11.25" customHeight="1">
      <c r="A3881" s="39">
        <v>3853</v>
      </c>
      <c r="B3881" s="52" t="s">
        <v>8918</v>
      </c>
      <c r="C3881" s="52" t="s">
        <v>19459</v>
      </c>
      <c r="D3881" s="40"/>
      <c r="E3881" s="41"/>
      <c r="F3881" s="40"/>
      <c r="G3881" s="41"/>
      <c r="H3881" s="52" t="s">
        <v>19460</v>
      </c>
      <c r="I3881" s="53">
        <v>10.42080000000001</v>
      </c>
      <c r="J3881" s="41">
        <f t="shared" si="15"/>
        <v>10.42080000000001</v>
      </c>
      <c r="K3881" s="42" t="s">
        <v>5796</v>
      </c>
      <c r="L3881" s="39">
        <v>3853</v>
      </c>
    </row>
    <row r="3882" spans="1:12" ht="11.25" customHeight="1">
      <c r="A3882" s="39">
        <v>3854</v>
      </c>
      <c r="B3882" s="40" t="s">
        <v>19461</v>
      </c>
      <c r="C3882" s="40" t="s">
        <v>19462</v>
      </c>
      <c r="D3882" s="40" t="s">
        <v>19463</v>
      </c>
      <c r="E3882" s="41">
        <v>10.39</v>
      </c>
      <c r="F3882" s="40"/>
      <c r="G3882" s="41"/>
      <c r="H3882" s="40"/>
      <c r="I3882" s="41"/>
      <c r="J3882" s="41">
        <f t="shared" si="15"/>
        <v>10.39</v>
      </c>
      <c r="K3882" s="42" t="s">
        <v>5796</v>
      </c>
      <c r="L3882" s="39">
        <v>3854</v>
      </c>
    </row>
    <row r="3883" spans="1:12" ht="11.25" customHeight="1">
      <c r="A3883" s="39">
        <v>3855</v>
      </c>
      <c r="B3883" s="40" t="s">
        <v>19464</v>
      </c>
      <c r="C3883" s="40" t="s">
        <v>19465</v>
      </c>
      <c r="D3883" s="40" t="s">
        <v>19466</v>
      </c>
      <c r="E3883" s="41">
        <v>10.39</v>
      </c>
      <c r="F3883" s="40"/>
      <c r="G3883" s="41"/>
      <c r="H3883" s="40"/>
      <c r="I3883" s="41"/>
      <c r="J3883" s="41">
        <f t="shared" si="15"/>
        <v>10.39</v>
      </c>
      <c r="K3883" s="42" t="s">
        <v>5796</v>
      </c>
      <c r="L3883" s="39">
        <v>3855</v>
      </c>
    </row>
    <row r="3884" spans="1:12" ht="11.25" customHeight="1">
      <c r="A3884" s="39">
        <v>3856</v>
      </c>
      <c r="B3884" s="40" t="s">
        <v>8955</v>
      </c>
      <c r="C3884" s="40" t="s">
        <v>19467</v>
      </c>
      <c r="D3884" s="40" t="s">
        <v>19468</v>
      </c>
      <c r="E3884" s="41">
        <v>10.36</v>
      </c>
      <c r="F3884" s="40"/>
      <c r="G3884" s="41"/>
      <c r="H3884" s="40"/>
      <c r="I3884" s="41"/>
      <c r="J3884" s="41">
        <f t="shared" si="15"/>
        <v>10.36</v>
      </c>
      <c r="K3884" s="42" t="s">
        <v>5796</v>
      </c>
      <c r="L3884" s="39">
        <v>3856</v>
      </c>
    </row>
    <row r="3885" spans="1:12" ht="11.25" customHeight="1">
      <c r="A3885" s="39">
        <v>3857</v>
      </c>
      <c r="B3885" s="54" t="s">
        <v>10247</v>
      </c>
      <c r="C3885" s="54" t="s">
        <v>19469</v>
      </c>
      <c r="D3885" s="40"/>
      <c r="E3885" s="41"/>
      <c r="F3885" s="40"/>
      <c r="G3885" s="41"/>
      <c r="H3885" s="54" t="s">
        <v>19470</v>
      </c>
      <c r="I3885" s="41">
        <v>10.3179005</v>
      </c>
      <c r="J3885" s="41">
        <f t="shared" si="15"/>
        <v>10.3179005</v>
      </c>
      <c r="K3885" s="42" t="s">
        <v>5796</v>
      </c>
      <c r="L3885" s="39">
        <v>3857</v>
      </c>
    </row>
    <row r="3886" spans="1:12" ht="11.25" customHeight="1">
      <c r="A3886" s="39">
        <v>3858</v>
      </c>
      <c r="B3886" s="40" t="s">
        <v>9102</v>
      </c>
      <c r="C3886" s="40" t="s">
        <v>19471</v>
      </c>
      <c r="D3886" s="40" t="s">
        <v>19472</v>
      </c>
      <c r="E3886" s="41">
        <v>9.7799999999999994</v>
      </c>
      <c r="F3886" s="40"/>
      <c r="G3886" s="41"/>
      <c r="H3886" s="40" t="s">
        <v>19472</v>
      </c>
      <c r="I3886" s="41">
        <v>10.850079495483866</v>
      </c>
      <c r="J3886" s="41">
        <f t="shared" si="15"/>
        <v>10.315039747741933</v>
      </c>
      <c r="K3886" s="42" t="s">
        <v>5796</v>
      </c>
      <c r="L3886" s="39">
        <v>3858</v>
      </c>
    </row>
    <row r="3887" spans="1:12" ht="11.25" customHeight="1">
      <c r="A3887" s="39">
        <v>3859</v>
      </c>
      <c r="B3887" s="52" t="s">
        <v>8927</v>
      </c>
      <c r="C3887" s="52" t="s">
        <v>19473</v>
      </c>
      <c r="D3887" s="40"/>
      <c r="E3887" s="41"/>
      <c r="F3887" s="40"/>
      <c r="G3887" s="41"/>
      <c r="H3887" s="52" t="s">
        <v>19474</v>
      </c>
      <c r="I3887" s="53">
        <v>10.315000000000033</v>
      </c>
      <c r="J3887" s="41">
        <f t="shared" si="15"/>
        <v>10.315000000000033</v>
      </c>
      <c r="K3887" s="42" t="s">
        <v>5796</v>
      </c>
      <c r="L3887" s="39">
        <v>3859</v>
      </c>
    </row>
    <row r="3888" spans="1:12" ht="11.25" customHeight="1">
      <c r="A3888" s="39">
        <v>3860</v>
      </c>
      <c r="B3888" s="40" t="s">
        <v>19475</v>
      </c>
      <c r="C3888" s="40" t="s">
        <v>19476</v>
      </c>
      <c r="D3888" s="40" t="s">
        <v>19477</v>
      </c>
      <c r="E3888" s="41">
        <v>10.3</v>
      </c>
      <c r="F3888" s="40"/>
      <c r="G3888" s="41"/>
      <c r="H3888" s="40"/>
      <c r="I3888" s="41"/>
      <c r="J3888" s="41">
        <f t="shared" si="15"/>
        <v>10.3</v>
      </c>
      <c r="K3888" s="42" t="s">
        <v>5796</v>
      </c>
      <c r="L3888" s="39">
        <v>3860</v>
      </c>
    </row>
    <row r="3889" spans="1:12" ht="11.25" customHeight="1">
      <c r="A3889" s="39">
        <v>3861</v>
      </c>
      <c r="B3889" s="40" t="s">
        <v>19478</v>
      </c>
      <c r="C3889" s="40" t="s">
        <v>19479</v>
      </c>
      <c r="D3889" s="40" t="s">
        <v>19480</v>
      </c>
      <c r="E3889" s="41">
        <v>10.29</v>
      </c>
      <c r="F3889" s="40"/>
      <c r="G3889" s="41"/>
      <c r="H3889" s="40"/>
      <c r="I3889" s="41"/>
      <c r="J3889" s="41">
        <f t="shared" si="15"/>
        <v>10.29</v>
      </c>
      <c r="K3889" s="42" t="s">
        <v>5796</v>
      </c>
      <c r="L3889" s="39">
        <v>3861</v>
      </c>
    </row>
    <row r="3890" spans="1:12" ht="11.25" customHeight="1">
      <c r="A3890" s="39">
        <v>3862</v>
      </c>
      <c r="B3890" s="40" t="s">
        <v>19481</v>
      </c>
      <c r="C3890" s="40" t="s">
        <v>19482</v>
      </c>
      <c r="D3890" s="40" t="s">
        <v>19483</v>
      </c>
      <c r="E3890" s="41">
        <v>10.28</v>
      </c>
      <c r="F3890" s="40"/>
      <c r="G3890" s="41"/>
      <c r="H3890" s="40"/>
      <c r="I3890" s="41"/>
      <c r="J3890" s="41">
        <f t="shared" si="15"/>
        <v>10.28</v>
      </c>
      <c r="K3890" s="42" t="s">
        <v>5796</v>
      </c>
      <c r="L3890" s="39">
        <v>3862</v>
      </c>
    </row>
    <row r="3891" spans="1:12" ht="11.25" customHeight="1">
      <c r="A3891" s="39">
        <v>3864</v>
      </c>
      <c r="B3891" s="40" t="s">
        <v>8935</v>
      </c>
      <c r="C3891" s="40" t="s">
        <v>19484</v>
      </c>
      <c r="D3891" s="40" t="s">
        <v>19485</v>
      </c>
      <c r="E3891" s="41">
        <v>10.23</v>
      </c>
      <c r="F3891" s="40"/>
      <c r="G3891" s="41"/>
      <c r="H3891" s="40"/>
      <c r="I3891" s="41"/>
      <c r="J3891" s="41">
        <f t="shared" si="15"/>
        <v>10.23</v>
      </c>
      <c r="K3891" s="42" t="s">
        <v>5796</v>
      </c>
      <c r="L3891" s="39">
        <v>3864</v>
      </c>
    </row>
    <row r="3892" spans="1:12" ht="11.25" customHeight="1">
      <c r="A3892" s="39">
        <v>3865</v>
      </c>
      <c r="B3892" s="40" t="s">
        <v>19486</v>
      </c>
      <c r="C3892" s="40" t="s">
        <v>19487</v>
      </c>
      <c r="D3892" s="40" t="s">
        <v>19488</v>
      </c>
      <c r="E3892" s="41">
        <v>10.199999999999999</v>
      </c>
      <c r="F3892" s="40"/>
      <c r="G3892" s="41"/>
      <c r="H3892" s="40"/>
      <c r="I3892" s="41"/>
      <c r="J3892" s="41">
        <f t="shared" si="15"/>
        <v>10.199999999999999</v>
      </c>
      <c r="K3892" s="42" t="s">
        <v>5796</v>
      </c>
      <c r="L3892" s="39">
        <v>3865</v>
      </c>
    </row>
    <row r="3893" spans="1:12" ht="11.25" customHeight="1">
      <c r="A3893" s="39">
        <v>3866</v>
      </c>
      <c r="B3893" s="40" t="s">
        <v>19489</v>
      </c>
      <c r="C3893" s="40" t="s">
        <v>19490</v>
      </c>
      <c r="D3893" s="40" t="s">
        <v>19491</v>
      </c>
      <c r="E3893" s="41">
        <v>10.199999999999999</v>
      </c>
      <c r="F3893" s="40"/>
      <c r="G3893" s="41"/>
      <c r="H3893" s="40"/>
      <c r="I3893" s="41"/>
      <c r="J3893" s="41">
        <f t="shared" si="15"/>
        <v>10.199999999999999</v>
      </c>
      <c r="K3893" s="42" t="s">
        <v>5796</v>
      </c>
      <c r="L3893" s="39">
        <v>3866</v>
      </c>
    </row>
    <row r="3894" spans="1:12" ht="11.25" customHeight="1">
      <c r="A3894" s="39">
        <v>3867</v>
      </c>
      <c r="B3894" s="40" t="s">
        <v>19492</v>
      </c>
      <c r="C3894" s="40" t="s">
        <v>19493</v>
      </c>
      <c r="D3894" s="40" t="s">
        <v>19494</v>
      </c>
      <c r="E3894" s="41">
        <v>10.19</v>
      </c>
      <c r="F3894" s="40"/>
      <c r="G3894" s="41"/>
      <c r="H3894" s="40"/>
      <c r="I3894" s="41"/>
      <c r="J3894" s="41">
        <f t="shared" si="15"/>
        <v>10.19</v>
      </c>
      <c r="K3894" s="42" t="s">
        <v>5796</v>
      </c>
      <c r="L3894" s="39">
        <v>3867</v>
      </c>
    </row>
    <row r="3895" spans="1:12" ht="11.25" customHeight="1">
      <c r="A3895" s="39">
        <v>3868</v>
      </c>
      <c r="B3895" s="40" t="s">
        <v>19495</v>
      </c>
      <c r="C3895" s="40" t="s">
        <v>19496</v>
      </c>
      <c r="D3895" s="40" t="s">
        <v>19497</v>
      </c>
      <c r="E3895" s="41">
        <v>10.17</v>
      </c>
      <c r="F3895" s="40"/>
      <c r="G3895" s="41"/>
      <c r="H3895" s="40"/>
      <c r="I3895" s="41"/>
      <c r="J3895" s="41">
        <f t="shared" si="15"/>
        <v>10.17</v>
      </c>
      <c r="K3895" s="42" t="s">
        <v>5796</v>
      </c>
      <c r="L3895" s="39">
        <v>3868</v>
      </c>
    </row>
    <row r="3896" spans="1:12" ht="11.25" customHeight="1">
      <c r="A3896" s="39">
        <v>3869</v>
      </c>
      <c r="B3896" s="40" t="s">
        <v>19498</v>
      </c>
      <c r="C3896" s="40" t="s">
        <v>19499</v>
      </c>
      <c r="D3896" s="40" t="s">
        <v>19500</v>
      </c>
      <c r="E3896" s="41">
        <v>10.17</v>
      </c>
      <c r="F3896" s="40"/>
      <c r="G3896" s="41"/>
      <c r="H3896" s="40"/>
      <c r="I3896" s="41"/>
      <c r="J3896" s="41">
        <f t="shared" si="15"/>
        <v>10.17</v>
      </c>
      <c r="K3896" s="42" t="s">
        <v>5796</v>
      </c>
      <c r="L3896" s="39">
        <v>3869</v>
      </c>
    </row>
    <row r="3897" spans="1:12" ht="11.25" customHeight="1">
      <c r="A3897" s="39">
        <v>3870</v>
      </c>
      <c r="B3897" s="40" t="s">
        <v>19501</v>
      </c>
      <c r="C3897" s="40" t="s">
        <v>19502</v>
      </c>
      <c r="D3897" s="40" t="s">
        <v>19503</v>
      </c>
      <c r="E3897" s="41">
        <v>10.17</v>
      </c>
      <c r="F3897" s="40"/>
      <c r="G3897" s="41"/>
      <c r="H3897" s="40"/>
      <c r="I3897" s="41"/>
      <c r="J3897" s="41">
        <f t="shared" si="15"/>
        <v>10.17</v>
      </c>
      <c r="K3897" s="42" t="s">
        <v>5796</v>
      </c>
      <c r="L3897" s="39">
        <v>3870</v>
      </c>
    </row>
    <row r="3898" spans="1:12" ht="11.25" customHeight="1">
      <c r="A3898" s="39">
        <v>3871</v>
      </c>
      <c r="B3898" s="40" t="s">
        <v>19504</v>
      </c>
      <c r="C3898" s="40" t="s">
        <v>19505</v>
      </c>
      <c r="D3898" s="40" t="s">
        <v>18595</v>
      </c>
      <c r="E3898" s="41">
        <v>10.15</v>
      </c>
      <c r="F3898" s="40"/>
      <c r="G3898" s="41"/>
      <c r="H3898" s="40"/>
      <c r="I3898" s="41"/>
      <c r="J3898" s="41">
        <f t="shared" si="15"/>
        <v>10.15</v>
      </c>
      <c r="K3898" s="42" t="s">
        <v>5796</v>
      </c>
      <c r="L3898" s="39">
        <v>3871</v>
      </c>
    </row>
    <row r="3899" spans="1:12" ht="11.25" customHeight="1">
      <c r="A3899" s="39">
        <v>3872</v>
      </c>
      <c r="B3899" s="40" t="s">
        <v>19506</v>
      </c>
      <c r="C3899" s="40" t="s">
        <v>19507</v>
      </c>
      <c r="D3899" s="40" t="s">
        <v>19508</v>
      </c>
      <c r="E3899" s="41">
        <v>10.14</v>
      </c>
      <c r="F3899" s="40"/>
      <c r="G3899" s="41"/>
      <c r="H3899" s="40"/>
      <c r="I3899" s="41"/>
      <c r="J3899" s="41">
        <f t="shared" si="15"/>
        <v>10.14</v>
      </c>
      <c r="K3899" s="42" t="s">
        <v>5796</v>
      </c>
      <c r="L3899" s="39">
        <v>3872</v>
      </c>
    </row>
    <row r="3900" spans="1:12" ht="11.25" customHeight="1">
      <c r="A3900" s="39">
        <v>3873</v>
      </c>
      <c r="B3900" s="40" t="s">
        <v>19509</v>
      </c>
      <c r="C3900" s="40" t="s">
        <v>19510</v>
      </c>
      <c r="D3900" s="40" t="s">
        <v>19511</v>
      </c>
      <c r="E3900" s="41">
        <v>10.119999999999999</v>
      </c>
      <c r="F3900" s="40"/>
      <c r="G3900" s="41"/>
      <c r="H3900" s="40"/>
      <c r="I3900" s="41"/>
      <c r="J3900" s="41">
        <f t="shared" si="15"/>
        <v>10.119999999999999</v>
      </c>
      <c r="K3900" s="42" t="s">
        <v>5796</v>
      </c>
      <c r="L3900" s="39">
        <v>3873</v>
      </c>
    </row>
    <row r="3901" spans="1:12" ht="11.25" customHeight="1">
      <c r="A3901" s="39">
        <v>3874</v>
      </c>
      <c r="B3901" s="40" t="s">
        <v>9514</v>
      </c>
      <c r="C3901" s="40" t="s">
        <v>19512</v>
      </c>
      <c r="D3901" s="40" t="s">
        <v>19513</v>
      </c>
      <c r="E3901" s="41">
        <v>10.1</v>
      </c>
      <c r="F3901" s="40"/>
      <c r="G3901" s="41"/>
      <c r="H3901" s="40"/>
      <c r="I3901" s="41"/>
      <c r="J3901" s="41">
        <f t="shared" si="15"/>
        <v>10.1</v>
      </c>
      <c r="K3901" s="42" t="s">
        <v>5796</v>
      </c>
      <c r="L3901" s="39">
        <v>3874</v>
      </c>
    </row>
    <row r="3902" spans="1:12" ht="11.25" customHeight="1">
      <c r="A3902" s="39">
        <v>3875</v>
      </c>
      <c r="B3902" s="40" t="s">
        <v>8921</v>
      </c>
      <c r="C3902" s="40" t="s">
        <v>19514</v>
      </c>
      <c r="D3902" s="40" t="s">
        <v>19515</v>
      </c>
      <c r="E3902" s="41">
        <v>10.09</v>
      </c>
      <c r="F3902" s="40"/>
      <c r="G3902" s="41"/>
      <c r="H3902" s="40"/>
      <c r="I3902" s="41"/>
      <c r="J3902" s="41">
        <f t="shared" si="15"/>
        <v>10.09</v>
      </c>
      <c r="K3902" s="42" t="s">
        <v>5796</v>
      </c>
      <c r="L3902" s="39">
        <v>3875</v>
      </c>
    </row>
    <row r="3903" spans="1:12" ht="11.25" customHeight="1">
      <c r="A3903" s="39">
        <v>3877</v>
      </c>
      <c r="B3903" s="40" t="s">
        <v>19516</v>
      </c>
      <c r="C3903" s="40" t="s">
        <v>19517</v>
      </c>
      <c r="D3903" s="40" t="s">
        <v>19518</v>
      </c>
      <c r="E3903" s="41">
        <v>10.06</v>
      </c>
      <c r="F3903" s="40"/>
      <c r="G3903" s="41"/>
      <c r="H3903" s="40"/>
      <c r="I3903" s="41"/>
      <c r="J3903" s="41">
        <f t="shared" si="15"/>
        <v>10.06</v>
      </c>
      <c r="K3903" s="42" t="s">
        <v>5796</v>
      </c>
      <c r="L3903" s="39">
        <v>3877</v>
      </c>
    </row>
    <row r="3904" spans="1:12" ht="11.25" customHeight="1">
      <c r="A3904" s="39">
        <v>3878</v>
      </c>
      <c r="B3904" s="40" t="s">
        <v>19519</v>
      </c>
      <c r="C3904" s="40" t="s">
        <v>19520</v>
      </c>
      <c r="D3904" s="40" t="s">
        <v>19521</v>
      </c>
      <c r="E3904" s="41">
        <v>10.06</v>
      </c>
      <c r="F3904" s="40"/>
      <c r="G3904" s="41"/>
      <c r="H3904" s="40"/>
      <c r="I3904" s="41"/>
      <c r="J3904" s="41">
        <f t="shared" si="15"/>
        <v>10.06</v>
      </c>
      <c r="K3904" s="42" t="s">
        <v>5796</v>
      </c>
      <c r="L3904" s="39">
        <v>3878</v>
      </c>
    </row>
    <row r="3905" spans="1:12" ht="11.25" customHeight="1">
      <c r="A3905" s="39">
        <v>3879</v>
      </c>
      <c r="B3905" s="40" t="s">
        <v>19522</v>
      </c>
      <c r="C3905" s="40" t="s">
        <v>19523</v>
      </c>
      <c r="D3905" s="40" t="s">
        <v>19524</v>
      </c>
      <c r="E3905" s="41">
        <v>10.06</v>
      </c>
      <c r="F3905" s="40"/>
      <c r="G3905" s="41"/>
      <c r="H3905" s="40"/>
      <c r="I3905" s="41"/>
      <c r="J3905" s="41">
        <f t="shared" si="15"/>
        <v>10.06</v>
      </c>
      <c r="K3905" s="42" t="s">
        <v>5796</v>
      </c>
      <c r="L3905" s="39">
        <v>3879</v>
      </c>
    </row>
    <row r="3906" spans="1:12" ht="11.25" customHeight="1">
      <c r="A3906" s="39">
        <v>3880</v>
      </c>
      <c r="B3906" s="40" t="s">
        <v>19525</v>
      </c>
      <c r="C3906" s="40" t="s">
        <v>19526</v>
      </c>
      <c r="D3906" s="40" t="s">
        <v>19527</v>
      </c>
      <c r="E3906" s="41">
        <v>10.050000000000001</v>
      </c>
      <c r="F3906" s="40"/>
      <c r="G3906" s="41"/>
      <c r="H3906" s="40"/>
      <c r="I3906" s="41"/>
      <c r="J3906" s="41">
        <f t="shared" si="15"/>
        <v>10.050000000000001</v>
      </c>
      <c r="K3906" s="42" t="s">
        <v>5796</v>
      </c>
      <c r="L3906" s="39">
        <v>3880</v>
      </c>
    </row>
    <row r="3907" spans="1:12" ht="11.25" customHeight="1">
      <c r="A3907" s="39">
        <v>3881</v>
      </c>
      <c r="B3907" s="40" t="s">
        <v>19528</v>
      </c>
      <c r="C3907" s="40" t="s">
        <v>19529</v>
      </c>
      <c r="D3907" s="40" t="s">
        <v>19530</v>
      </c>
      <c r="E3907" s="41">
        <v>10.01</v>
      </c>
      <c r="F3907" s="40"/>
      <c r="G3907" s="41"/>
      <c r="H3907" s="40"/>
      <c r="I3907" s="41"/>
      <c r="J3907" s="41">
        <f t="shared" si="15"/>
        <v>10.01</v>
      </c>
      <c r="K3907" s="42" t="s">
        <v>5796</v>
      </c>
      <c r="L3907" s="39">
        <v>3881</v>
      </c>
    </row>
    <row r="3908" spans="1:12" ht="11.25" customHeight="1">
      <c r="A3908" s="39">
        <v>3882</v>
      </c>
      <c r="B3908" s="40" t="s">
        <v>19531</v>
      </c>
      <c r="C3908" s="40" t="s">
        <v>19532</v>
      </c>
      <c r="D3908" s="40" t="s">
        <v>19533</v>
      </c>
      <c r="E3908" s="41">
        <v>10</v>
      </c>
      <c r="F3908" s="40"/>
      <c r="G3908" s="41"/>
      <c r="H3908" s="40"/>
      <c r="I3908" s="41"/>
      <c r="J3908" s="41">
        <f t="shared" si="15"/>
        <v>10</v>
      </c>
      <c r="K3908" s="42" t="s">
        <v>5796</v>
      </c>
      <c r="L3908" s="39">
        <v>3882</v>
      </c>
    </row>
    <row r="3909" spans="1:12" ht="11.25" customHeight="1">
      <c r="A3909" s="39">
        <v>3883</v>
      </c>
      <c r="B3909" s="40" t="s">
        <v>19534</v>
      </c>
      <c r="C3909" s="40" t="s">
        <v>19535</v>
      </c>
      <c r="D3909" s="40" t="s">
        <v>19536</v>
      </c>
      <c r="E3909" s="41">
        <v>10</v>
      </c>
      <c r="F3909" s="40"/>
      <c r="G3909" s="41"/>
      <c r="H3909" s="40"/>
      <c r="I3909" s="41"/>
      <c r="J3909" s="41">
        <f t="shared" si="15"/>
        <v>10</v>
      </c>
      <c r="K3909" s="42" t="s">
        <v>5796</v>
      </c>
      <c r="L3909" s="39">
        <v>3883</v>
      </c>
    </row>
    <row r="3910" spans="1:12" ht="11.25" customHeight="1">
      <c r="A3910" s="39">
        <v>3884</v>
      </c>
      <c r="B3910" s="40" t="s">
        <v>19537</v>
      </c>
      <c r="C3910" s="40" t="s">
        <v>19538</v>
      </c>
      <c r="D3910" s="40" t="s">
        <v>19539</v>
      </c>
      <c r="E3910" s="41">
        <v>9.98</v>
      </c>
      <c r="F3910" s="40"/>
      <c r="G3910" s="41"/>
      <c r="H3910" s="40"/>
      <c r="I3910" s="41"/>
      <c r="J3910" s="41">
        <f t="shared" si="15"/>
        <v>9.98</v>
      </c>
      <c r="K3910" s="42" t="s">
        <v>5796</v>
      </c>
      <c r="L3910" s="39">
        <v>3884</v>
      </c>
    </row>
    <row r="3911" spans="1:12" ht="11.25" customHeight="1">
      <c r="A3911" s="39">
        <v>3885</v>
      </c>
      <c r="B3911" s="40" t="s">
        <v>19540</v>
      </c>
      <c r="C3911" s="40" t="s">
        <v>19541</v>
      </c>
      <c r="D3911" s="40" t="s">
        <v>19542</v>
      </c>
      <c r="E3911" s="41">
        <v>9.9700000000000006</v>
      </c>
      <c r="F3911" s="40"/>
      <c r="G3911" s="41"/>
      <c r="H3911" s="40"/>
      <c r="I3911" s="41"/>
      <c r="J3911" s="41">
        <f t="shared" si="15"/>
        <v>9.9700000000000006</v>
      </c>
      <c r="K3911" s="42" t="s">
        <v>5796</v>
      </c>
      <c r="L3911" s="39">
        <v>3885</v>
      </c>
    </row>
    <row r="3912" spans="1:12" ht="11.25" customHeight="1">
      <c r="A3912" s="39">
        <v>3886</v>
      </c>
      <c r="B3912" s="40" t="s">
        <v>19543</v>
      </c>
      <c r="C3912" s="40" t="s">
        <v>19544</v>
      </c>
      <c r="D3912" s="40" t="s">
        <v>19545</v>
      </c>
      <c r="E3912" s="41">
        <v>9.9600000000000009</v>
      </c>
      <c r="F3912" s="40"/>
      <c r="G3912" s="41"/>
      <c r="H3912" s="40"/>
      <c r="I3912" s="41"/>
      <c r="J3912" s="41">
        <f t="shared" si="15"/>
        <v>9.9600000000000009</v>
      </c>
      <c r="K3912" s="42" t="s">
        <v>5796</v>
      </c>
      <c r="L3912" s="39">
        <v>3886</v>
      </c>
    </row>
    <row r="3913" spans="1:12" ht="11.25" customHeight="1">
      <c r="A3913" s="39">
        <v>3887</v>
      </c>
      <c r="B3913" s="52" t="s">
        <v>8943</v>
      </c>
      <c r="C3913" s="52" t="s">
        <v>19546</v>
      </c>
      <c r="D3913" s="40"/>
      <c r="E3913" s="41"/>
      <c r="F3913" s="40"/>
      <c r="G3913" s="41"/>
      <c r="H3913" s="52" t="s">
        <v>19547</v>
      </c>
      <c r="I3913" s="53">
        <v>9.9500000000000242</v>
      </c>
      <c r="J3913" s="41">
        <f t="shared" si="15"/>
        <v>9.9500000000000242</v>
      </c>
      <c r="K3913" s="42" t="s">
        <v>5796</v>
      </c>
      <c r="L3913" s="39">
        <v>3887</v>
      </c>
    </row>
    <row r="3914" spans="1:12" ht="11.25" customHeight="1">
      <c r="A3914" s="39">
        <v>3888</v>
      </c>
      <c r="B3914" s="40" t="s">
        <v>19548</v>
      </c>
      <c r="C3914" s="40" t="s">
        <v>19549</v>
      </c>
      <c r="D3914" s="40" t="s">
        <v>19550</v>
      </c>
      <c r="E3914" s="41">
        <v>9.9499999999999993</v>
      </c>
      <c r="F3914" s="40"/>
      <c r="G3914" s="41"/>
      <c r="H3914" s="40"/>
      <c r="I3914" s="41"/>
      <c r="J3914" s="41">
        <f t="shared" si="15"/>
        <v>9.9499999999999993</v>
      </c>
      <c r="K3914" s="42" t="s">
        <v>5796</v>
      </c>
      <c r="L3914" s="39">
        <v>3888</v>
      </c>
    </row>
    <row r="3915" spans="1:12" ht="11.25" customHeight="1">
      <c r="A3915" s="39">
        <v>3889</v>
      </c>
      <c r="B3915" s="40" t="s">
        <v>19551</v>
      </c>
      <c r="C3915" s="40" t="s">
        <v>19552</v>
      </c>
      <c r="D3915" s="40" t="s">
        <v>19553</v>
      </c>
      <c r="E3915" s="41">
        <v>9.94</v>
      </c>
      <c r="F3915" s="40"/>
      <c r="G3915" s="41"/>
      <c r="H3915" s="40"/>
      <c r="I3915" s="41"/>
      <c r="J3915" s="41">
        <f t="shared" si="15"/>
        <v>9.94</v>
      </c>
      <c r="K3915" s="42" t="s">
        <v>5796</v>
      </c>
      <c r="L3915" s="39">
        <v>3889</v>
      </c>
    </row>
    <row r="3916" spans="1:12" ht="11.25" customHeight="1">
      <c r="A3916" s="39">
        <v>3890</v>
      </c>
      <c r="B3916" s="40" t="s">
        <v>19554</v>
      </c>
      <c r="C3916" s="40" t="s">
        <v>19555</v>
      </c>
      <c r="D3916" s="40" t="s">
        <v>19556</v>
      </c>
      <c r="E3916" s="41">
        <v>9.93</v>
      </c>
      <c r="F3916" s="40"/>
      <c r="G3916" s="41"/>
      <c r="H3916" s="40"/>
      <c r="I3916" s="41"/>
      <c r="J3916" s="41">
        <f t="shared" si="15"/>
        <v>9.93</v>
      </c>
      <c r="K3916" s="42" t="s">
        <v>5796</v>
      </c>
      <c r="L3916" s="39">
        <v>3890</v>
      </c>
    </row>
    <row r="3917" spans="1:12" ht="11.25" customHeight="1">
      <c r="A3917" s="39">
        <v>3891</v>
      </c>
      <c r="B3917" s="40" t="s">
        <v>19557</v>
      </c>
      <c r="C3917" s="40" t="s">
        <v>19558</v>
      </c>
      <c r="D3917" s="40" t="s">
        <v>19559</v>
      </c>
      <c r="E3917" s="41">
        <v>9.92</v>
      </c>
      <c r="F3917" s="40"/>
      <c r="G3917" s="41"/>
      <c r="H3917" s="40"/>
      <c r="I3917" s="41"/>
      <c r="J3917" s="41">
        <f t="shared" si="15"/>
        <v>9.92</v>
      </c>
      <c r="K3917" s="42" t="s">
        <v>5796</v>
      </c>
      <c r="L3917" s="39">
        <v>3891</v>
      </c>
    </row>
    <row r="3918" spans="1:12" ht="11.25" customHeight="1">
      <c r="A3918" s="39">
        <v>3892</v>
      </c>
      <c r="B3918" s="40" t="s">
        <v>19560</v>
      </c>
      <c r="C3918" s="40" t="s">
        <v>19561</v>
      </c>
      <c r="D3918" s="40" t="s">
        <v>19562</v>
      </c>
      <c r="E3918" s="41">
        <v>9.9</v>
      </c>
      <c r="F3918" s="40"/>
      <c r="G3918" s="41"/>
      <c r="H3918" s="40"/>
      <c r="I3918" s="41"/>
      <c r="J3918" s="41">
        <f t="shared" si="15"/>
        <v>9.9</v>
      </c>
      <c r="K3918" s="42" t="s">
        <v>5796</v>
      </c>
      <c r="L3918" s="39">
        <v>3892</v>
      </c>
    </row>
    <row r="3919" spans="1:12" ht="11.25" customHeight="1">
      <c r="A3919" s="39">
        <v>3893</v>
      </c>
      <c r="B3919" s="40" t="s">
        <v>19563</v>
      </c>
      <c r="C3919" s="40" t="s">
        <v>19564</v>
      </c>
      <c r="D3919" s="40" t="s">
        <v>19565</v>
      </c>
      <c r="E3919" s="41">
        <v>9.9</v>
      </c>
      <c r="F3919" s="40"/>
      <c r="G3919" s="41"/>
      <c r="H3919" s="40"/>
      <c r="I3919" s="41"/>
      <c r="J3919" s="41">
        <f t="shared" si="15"/>
        <v>9.9</v>
      </c>
      <c r="K3919" s="42" t="s">
        <v>5796</v>
      </c>
      <c r="L3919" s="39">
        <v>3893</v>
      </c>
    </row>
    <row r="3920" spans="1:12" ht="11.25" customHeight="1">
      <c r="A3920" s="39">
        <v>3894</v>
      </c>
      <c r="B3920" s="40" t="s">
        <v>19566</v>
      </c>
      <c r="C3920" s="40" t="s">
        <v>19567</v>
      </c>
      <c r="D3920" s="40" t="s">
        <v>19568</v>
      </c>
      <c r="E3920" s="41">
        <v>9.89</v>
      </c>
      <c r="F3920" s="40"/>
      <c r="G3920" s="41"/>
      <c r="H3920" s="40"/>
      <c r="I3920" s="41"/>
      <c r="J3920" s="41">
        <f t="shared" si="15"/>
        <v>9.89</v>
      </c>
      <c r="K3920" s="42" t="s">
        <v>5796</v>
      </c>
      <c r="L3920" s="39">
        <v>3894</v>
      </c>
    </row>
    <row r="3921" spans="1:12" ht="11.25" customHeight="1">
      <c r="A3921" s="39">
        <v>3895</v>
      </c>
      <c r="B3921" s="40" t="s">
        <v>19569</v>
      </c>
      <c r="C3921" s="40" t="s">
        <v>19570</v>
      </c>
      <c r="D3921" s="40" t="s">
        <v>19571</v>
      </c>
      <c r="E3921" s="41">
        <v>9.89</v>
      </c>
      <c r="F3921" s="40"/>
      <c r="G3921" s="41"/>
      <c r="H3921" s="40"/>
      <c r="I3921" s="41"/>
      <c r="J3921" s="41">
        <f t="shared" si="15"/>
        <v>9.89</v>
      </c>
      <c r="K3921" s="42" t="s">
        <v>5796</v>
      </c>
      <c r="L3921" s="39">
        <v>3895</v>
      </c>
    </row>
    <row r="3922" spans="1:12" ht="11.25" customHeight="1">
      <c r="A3922" s="39">
        <v>3896</v>
      </c>
      <c r="B3922" s="40" t="s">
        <v>8999</v>
      </c>
      <c r="C3922" s="40" t="s">
        <v>19572</v>
      </c>
      <c r="D3922" s="40" t="s">
        <v>19573</v>
      </c>
      <c r="E3922" s="41">
        <v>9.8800000000000008</v>
      </c>
      <c r="F3922" s="40"/>
      <c r="G3922" s="41"/>
      <c r="H3922" s="40"/>
      <c r="I3922" s="41"/>
      <c r="J3922" s="41">
        <f t="shared" si="15"/>
        <v>9.8800000000000008</v>
      </c>
      <c r="K3922" s="42" t="s">
        <v>5796</v>
      </c>
      <c r="L3922" s="39">
        <v>3896</v>
      </c>
    </row>
    <row r="3923" spans="1:12" ht="11.25" customHeight="1">
      <c r="A3923" s="39">
        <v>3897</v>
      </c>
      <c r="B3923" s="40" t="s">
        <v>19574</v>
      </c>
      <c r="C3923" s="40" t="s">
        <v>19575</v>
      </c>
      <c r="D3923" s="40" t="s">
        <v>19576</v>
      </c>
      <c r="E3923" s="41">
        <v>9.86</v>
      </c>
      <c r="F3923" s="40"/>
      <c r="G3923" s="41"/>
      <c r="H3923" s="40"/>
      <c r="I3923" s="41"/>
      <c r="J3923" s="41">
        <f t="shared" si="15"/>
        <v>9.86</v>
      </c>
      <c r="K3923" s="42" t="s">
        <v>5796</v>
      </c>
      <c r="L3923" s="39">
        <v>3897</v>
      </c>
    </row>
    <row r="3924" spans="1:12" ht="11.25" customHeight="1">
      <c r="A3924" s="39">
        <v>3898</v>
      </c>
      <c r="B3924" s="40" t="s">
        <v>19577</v>
      </c>
      <c r="C3924" s="40" t="s">
        <v>19578</v>
      </c>
      <c r="D3924" s="40" t="s">
        <v>19579</v>
      </c>
      <c r="E3924" s="41">
        <v>9.84</v>
      </c>
      <c r="F3924" s="40"/>
      <c r="G3924" s="41"/>
      <c r="H3924" s="40"/>
      <c r="I3924" s="41"/>
      <c r="J3924" s="41">
        <f t="shared" si="15"/>
        <v>9.84</v>
      </c>
      <c r="K3924" s="42" t="s">
        <v>5796</v>
      </c>
      <c r="L3924" s="39">
        <v>3898</v>
      </c>
    </row>
    <row r="3925" spans="1:12" ht="11.25" customHeight="1">
      <c r="A3925" s="39">
        <v>3899</v>
      </c>
      <c r="B3925" s="40" t="s">
        <v>19580</v>
      </c>
      <c r="C3925" s="40" t="s">
        <v>19581</v>
      </c>
      <c r="D3925" s="40" t="s">
        <v>19582</v>
      </c>
      <c r="E3925" s="41">
        <v>9.81</v>
      </c>
      <c r="F3925" s="40"/>
      <c r="G3925" s="41"/>
      <c r="H3925" s="40"/>
      <c r="I3925" s="41"/>
      <c r="J3925" s="41">
        <f t="shared" si="15"/>
        <v>9.81</v>
      </c>
      <c r="K3925" s="42" t="s">
        <v>5796</v>
      </c>
      <c r="L3925" s="39">
        <v>3899</v>
      </c>
    </row>
    <row r="3926" spans="1:12" ht="11.25" customHeight="1">
      <c r="A3926" s="39">
        <v>3901</v>
      </c>
      <c r="B3926" s="40" t="s">
        <v>9665</v>
      </c>
      <c r="C3926" s="40" t="s">
        <v>19583</v>
      </c>
      <c r="D3926" s="40" t="s">
        <v>19584</v>
      </c>
      <c r="E3926" s="41">
        <v>9.77</v>
      </c>
      <c r="F3926" s="40"/>
      <c r="G3926" s="41"/>
      <c r="H3926" s="40"/>
      <c r="I3926" s="41"/>
      <c r="J3926" s="41">
        <f t="shared" si="15"/>
        <v>9.77</v>
      </c>
      <c r="K3926" s="42" t="s">
        <v>5796</v>
      </c>
      <c r="L3926" s="39">
        <v>3901</v>
      </c>
    </row>
    <row r="3927" spans="1:12" ht="11.25" customHeight="1">
      <c r="A3927" s="39">
        <v>3902</v>
      </c>
      <c r="B3927" s="40" t="s">
        <v>19585</v>
      </c>
      <c r="C3927" s="40" t="s">
        <v>19586</v>
      </c>
      <c r="D3927" s="40" t="s">
        <v>19587</v>
      </c>
      <c r="E3927" s="41">
        <v>9.76</v>
      </c>
      <c r="F3927" s="40"/>
      <c r="G3927" s="41"/>
      <c r="H3927" s="40"/>
      <c r="I3927" s="41"/>
      <c r="J3927" s="41">
        <f t="shared" si="15"/>
        <v>9.76</v>
      </c>
      <c r="K3927" s="42" t="s">
        <v>5796</v>
      </c>
      <c r="L3927" s="39">
        <v>3902</v>
      </c>
    </row>
    <row r="3928" spans="1:12" ht="11.25" customHeight="1">
      <c r="A3928" s="39">
        <v>3903</v>
      </c>
      <c r="B3928" s="40" t="s">
        <v>19588</v>
      </c>
      <c r="C3928" s="40" t="s">
        <v>19589</v>
      </c>
      <c r="D3928" s="40" t="s">
        <v>19590</v>
      </c>
      <c r="E3928" s="41">
        <v>9.73</v>
      </c>
      <c r="F3928" s="40"/>
      <c r="G3928" s="41"/>
      <c r="H3928" s="40"/>
      <c r="I3928" s="41"/>
      <c r="J3928" s="41">
        <f t="shared" si="15"/>
        <v>9.73</v>
      </c>
      <c r="K3928" s="42" t="s">
        <v>5796</v>
      </c>
      <c r="L3928" s="39">
        <v>3903</v>
      </c>
    </row>
    <row r="3929" spans="1:12" ht="11.25" customHeight="1">
      <c r="A3929" s="39">
        <v>3905</v>
      </c>
      <c r="B3929" s="40" t="s">
        <v>19591</v>
      </c>
      <c r="C3929" s="40" t="s">
        <v>19592</v>
      </c>
      <c r="D3929" s="40" t="s">
        <v>19593</v>
      </c>
      <c r="E3929" s="41">
        <v>9.6999999999999993</v>
      </c>
      <c r="F3929" s="40"/>
      <c r="G3929" s="41"/>
      <c r="H3929" s="40"/>
      <c r="I3929" s="41"/>
      <c r="J3929" s="41">
        <f t="shared" si="15"/>
        <v>9.6999999999999993</v>
      </c>
      <c r="K3929" s="42" t="s">
        <v>5796</v>
      </c>
      <c r="L3929" s="39">
        <v>3905</v>
      </c>
    </row>
    <row r="3930" spans="1:12" ht="11.25" customHeight="1">
      <c r="A3930" s="39">
        <v>3906</v>
      </c>
      <c r="B3930" s="40" t="s">
        <v>19594</v>
      </c>
      <c r="C3930" s="40" t="s">
        <v>19595</v>
      </c>
      <c r="D3930" s="40" t="s">
        <v>19596</v>
      </c>
      <c r="E3930" s="41">
        <v>9.7100000000000009</v>
      </c>
      <c r="F3930" s="40"/>
      <c r="G3930" s="41"/>
      <c r="H3930" s="40" t="s">
        <v>19597</v>
      </c>
      <c r="I3930" s="41">
        <v>9.6797826612903286</v>
      </c>
      <c r="J3930" s="41">
        <f t="shared" si="15"/>
        <v>9.6948913306451647</v>
      </c>
      <c r="K3930" s="42" t="s">
        <v>5796</v>
      </c>
      <c r="L3930" s="39">
        <v>3906</v>
      </c>
    </row>
    <row r="3931" spans="1:12" ht="11.25" customHeight="1">
      <c r="A3931" s="39">
        <v>3907</v>
      </c>
      <c r="B3931" s="40" t="s">
        <v>19598</v>
      </c>
      <c r="C3931" s="40" t="s">
        <v>19599</v>
      </c>
      <c r="D3931" s="40" t="s">
        <v>19600</v>
      </c>
      <c r="E3931" s="41">
        <v>9.69</v>
      </c>
      <c r="F3931" s="40"/>
      <c r="G3931" s="41"/>
      <c r="H3931" s="40"/>
      <c r="I3931" s="41"/>
      <c r="J3931" s="41">
        <f t="shared" si="15"/>
        <v>9.69</v>
      </c>
      <c r="K3931" s="42" t="s">
        <v>5796</v>
      </c>
      <c r="L3931" s="39">
        <v>3907</v>
      </c>
    </row>
    <row r="3932" spans="1:12" ht="11.25" customHeight="1">
      <c r="A3932" s="39">
        <v>3908</v>
      </c>
      <c r="B3932" s="40" t="s">
        <v>19601</v>
      </c>
      <c r="C3932" s="40" t="s">
        <v>19602</v>
      </c>
      <c r="D3932" s="40" t="s">
        <v>19603</v>
      </c>
      <c r="E3932" s="41">
        <v>9.68</v>
      </c>
      <c r="F3932" s="40"/>
      <c r="G3932" s="41"/>
      <c r="H3932" s="40"/>
      <c r="I3932" s="41"/>
      <c r="J3932" s="41">
        <f t="shared" si="15"/>
        <v>9.68</v>
      </c>
      <c r="K3932" s="42" t="s">
        <v>5796</v>
      </c>
      <c r="L3932" s="39">
        <v>3908</v>
      </c>
    </row>
    <row r="3933" spans="1:12" ht="11.25" customHeight="1">
      <c r="A3933" s="39">
        <v>3909</v>
      </c>
      <c r="B3933" s="40" t="s">
        <v>19604</v>
      </c>
      <c r="C3933" s="40" t="s">
        <v>19605</v>
      </c>
      <c r="D3933" s="40" t="s">
        <v>19606</v>
      </c>
      <c r="E3933" s="41">
        <v>9.68</v>
      </c>
      <c r="F3933" s="40"/>
      <c r="G3933" s="41"/>
      <c r="H3933" s="40"/>
      <c r="I3933" s="41"/>
      <c r="J3933" s="41">
        <f t="shared" si="15"/>
        <v>9.68</v>
      </c>
      <c r="K3933" s="42" t="s">
        <v>5796</v>
      </c>
      <c r="L3933" s="39">
        <v>3909</v>
      </c>
    </row>
    <row r="3934" spans="1:12" ht="11.25" customHeight="1">
      <c r="A3934" s="39">
        <v>3910</v>
      </c>
      <c r="B3934" s="40" t="s">
        <v>19607</v>
      </c>
      <c r="C3934" s="40" t="s">
        <v>19608</v>
      </c>
      <c r="D3934" s="40" t="s">
        <v>19609</v>
      </c>
      <c r="E3934" s="41">
        <v>9.67</v>
      </c>
      <c r="F3934" s="40"/>
      <c r="G3934" s="41"/>
      <c r="H3934" s="40"/>
      <c r="I3934" s="41"/>
      <c r="J3934" s="41">
        <f t="shared" si="15"/>
        <v>9.67</v>
      </c>
      <c r="K3934" s="42" t="s">
        <v>5796</v>
      </c>
      <c r="L3934" s="39">
        <v>3910</v>
      </c>
    </row>
    <row r="3935" spans="1:12" ht="11.25" customHeight="1">
      <c r="A3935" s="39">
        <v>3911</v>
      </c>
      <c r="B3935" s="40" t="s">
        <v>19610</v>
      </c>
      <c r="C3935" s="40" t="s">
        <v>19611</v>
      </c>
      <c r="D3935" s="40" t="s">
        <v>19612</v>
      </c>
      <c r="E3935" s="41">
        <v>9.65</v>
      </c>
      <c r="F3935" s="40"/>
      <c r="G3935" s="41"/>
      <c r="H3935" s="40"/>
      <c r="I3935" s="41"/>
      <c r="J3935" s="41">
        <f t="shared" si="15"/>
        <v>9.65</v>
      </c>
      <c r="K3935" s="42" t="s">
        <v>5796</v>
      </c>
      <c r="L3935" s="39">
        <v>3911</v>
      </c>
    </row>
    <row r="3936" spans="1:12" ht="11.25" customHeight="1">
      <c r="A3936" s="39">
        <v>3912</v>
      </c>
      <c r="B3936" s="40" t="s">
        <v>19613</v>
      </c>
      <c r="C3936" s="40" t="s">
        <v>19614</v>
      </c>
      <c r="D3936" s="40" t="s">
        <v>19615</v>
      </c>
      <c r="E3936" s="41">
        <v>9.6</v>
      </c>
      <c r="F3936" s="40"/>
      <c r="G3936" s="41"/>
      <c r="H3936" s="40"/>
      <c r="I3936" s="41"/>
      <c r="J3936" s="41">
        <f t="shared" si="15"/>
        <v>9.6</v>
      </c>
      <c r="K3936" s="42" t="s">
        <v>5796</v>
      </c>
      <c r="L3936" s="39">
        <v>3912</v>
      </c>
    </row>
    <row r="3937" spans="1:12" ht="11.25" customHeight="1">
      <c r="A3937" s="39">
        <v>3913</v>
      </c>
      <c r="B3937" s="40" t="s">
        <v>19616</v>
      </c>
      <c r="C3937" s="40" t="s">
        <v>19617</v>
      </c>
      <c r="D3937" s="40" t="s">
        <v>19618</v>
      </c>
      <c r="E3937" s="41">
        <v>9.59</v>
      </c>
      <c r="F3937" s="40"/>
      <c r="G3937" s="41"/>
      <c r="H3937" s="40"/>
      <c r="I3937" s="41"/>
      <c r="J3937" s="41">
        <f t="shared" si="15"/>
        <v>9.59</v>
      </c>
      <c r="K3937" s="42" t="s">
        <v>5796</v>
      </c>
      <c r="L3937" s="39">
        <v>3913</v>
      </c>
    </row>
    <row r="3938" spans="1:12" ht="11.25" customHeight="1">
      <c r="A3938" s="39">
        <v>3914</v>
      </c>
      <c r="B3938" s="40" t="s">
        <v>19619</v>
      </c>
      <c r="C3938" s="40" t="s">
        <v>19620</v>
      </c>
      <c r="D3938" s="40" t="s">
        <v>19621</v>
      </c>
      <c r="E3938" s="41">
        <v>9.58</v>
      </c>
      <c r="F3938" s="40"/>
      <c r="G3938" s="41"/>
      <c r="H3938" s="40"/>
      <c r="I3938" s="41"/>
      <c r="J3938" s="41">
        <f t="shared" si="15"/>
        <v>9.58</v>
      </c>
      <c r="K3938" s="42" t="s">
        <v>5796</v>
      </c>
      <c r="L3938" s="39">
        <v>3914</v>
      </c>
    </row>
    <row r="3939" spans="1:12" ht="11.25" customHeight="1">
      <c r="A3939" s="39">
        <v>3915</v>
      </c>
      <c r="B3939" s="40" t="s">
        <v>19622</v>
      </c>
      <c r="C3939" s="40" t="s">
        <v>19623</v>
      </c>
      <c r="D3939" s="40" t="s">
        <v>19624</v>
      </c>
      <c r="E3939" s="41">
        <v>9.5500000000000007</v>
      </c>
      <c r="F3939" s="40"/>
      <c r="G3939" s="41"/>
      <c r="H3939" s="40"/>
      <c r="I3939" s="41"/>
      <c r="J3939" s="41">
        <f t="shared" si="15"/>
        <v>9.5500000000000007</v>
      </c>
      <c r="K3939" s="42" t="s">
        <v>5796</v>
      </c>
      <c r="L3939" s="39">
        <v>3915</v>
      </c>
    </row>
    <row r="3940" spans="1:12" ht="11.25" customHeight="1">
      <c r="A3940" s="39">
        <v>3916</v>
      </c>
      <c r="B3940" s="40" t="s">
        <v>19625</v>
      </c>
      <c r="C3940" s="40" t="s">
        <v>19626</v>
      </c>
      <c r="D3940" s="40" t="s">
        <v>19627</v>
      </c>
      <c r="E3940" s="41">
        <v>9.5500000000000007</v>
      </c>
      <c r="F3940" s="40"/>
      <c r="G3940" s="41"/>
      <c r="H3940" s="40"/>
      <c r="I3940" s="41"/>
      <c r="J3940" s="41">
        <f t="shared" si="15"/>
        <v>9.5500000000000007</v>
      </c>
      <c r="K3940" s="42" t="s">
        <v>5796</v>
      </c>
      <c r="L3940" s="39">
        <v>3916</v>
      </c>
    </row>
    <row r="3941" spans="1:12" ht="11.25" customHeight="1">
      <c r="A3941" s="39">
        <v>3917</v>
      </c>
      <c r="B3941" s="40" t="s">
        <v>8776</v>
      </c>
      <c r="C3941" s="40" t="s">
        <v>19628</v>
      </c>
      <c r="D3941" s="40" t="s">
        <v>19629</v>
      </c>
      <c r="E3941" s="41">
        <v>9.5399999999999991</v>
      </c>
      <c r="F3941" s="40"/>
      <c r="G3941" s="41"/>
      <c r="H3941" s="40"/>
      <c r="I3941" s="41"/>
      <c r="J3941" s="41">
        <f t="shared" si="15"/>
        <v>9.5399999999999991</v>
      </c>
      <c r="K3941" s="42" t="s">
        <v>5796</v>
      </c>
      <c r="L3941" s="39">
        <v>3917</v>
      </c>
    </row>
    <row r="3942" spans="1:12" ht="11.25" customHeight="1">
      <c r="A3942" s="39">
        <v>3918</v>
      </c>
      <c r="B3942" s="52" t="s">
        <v>8980</v>
      </c>
      <c r="C3942" s="52" t="s">
        <v>19630</v>
      </c>
      <c r="D3942" s="40"/>
      <c r="E3942" s="41"/>
      <c r="F3942" s="40"/>
      <c r="G3942" s="41"/>
      <c r="H3942" s="52" t="s">
        <v>19631</v>
      </c>
      <c r="I3942" s="53">
        <v>9.5026668000000196</v>
      </c>
      <c r="J3942" s="41">
        <f t="shared" si="15"/>
        <v>9.5026668000000196</v>
      </c>
      <c r="K3942" s="42" t="s">
        <v>5796</v>
      </c>
      <c r="L3942" s="39">
        <v>3918</v>
      </c>
    </row>
    <row r="3943" spans="1:12" ht="11.25" customHeight="1">
      <c r="A3943" s="39">
        <v>3919</v>
      </c>
      <c r="B3943" s="40" t="s">
        <v>19632</v>
      </c>
      <c r="C3943" s="40" t="s">
        <v>19633</v>
      </c>
      <c r="D3943" s="40" t="s">
        <v>19634</v>
      </c>
      <c r="E3943" s="41">
        <v>9.5</v>
      </c>
      <c r="F3943" s="40"/>
      <c r="G3943" s="41"/>
      <c r="H3943" s="40"/>
      <c r="I3943" s="41"/>
      <c r="J3943" s="41">
        <f t="shared" si="15"/>
        <v>9.5</v>
      </c>
      <c r="K3943" s="42" t="s">
        <v>5796</v>
      </c>
      <c r="L3943" s="39">
        <v>3919</v>
      </c>
    </row>
    <row r="3944" spans="1:12" ht="11.25" customHeight="1">
      <c r="A3944" s="39">
        <v>3920</v>
      </c>
      <c r="B3944" s="40" t="s">
        <v>19635</v>
      </c>
      <c r="C3944" s="40" t="s">
        <v>19636</v>
      </c>
      <c r="D3944" s="40" t="s">
        <v>19637</v>
      </c>
      <c r="E3944" s="41">
        <v>9.5</v>
      </c>
      <c r="F3944" s="40"/>
      <c r="G3944" s="41"/>
      <c r="H3944" s="40" t="s">
        <v>19637</v>
      </c>
      <c r="I3944" s="41">
        <v>9.4960755040322482</v>
      </c>
      <c r="J3944" s="41">
        <f t="shared" si="15"/>
        <v>9.4980377520161241</v>
      </c>
      <c r="K3944" s="42" t="s">
        <v>5796</v>
      </c>
      <c r="L3944" s="39">
        <v>3920</v>
      </c>
    </row>
    <row r="3945" spans="1:12" ht="11.25" customHeight="1">
      <c r="A3945" s="39">
        <v>3921</v>
      </c>
      <c r="B3945" s="40" t="s">
        <v>19638</v>
      </c>
      <c r="C3945" s="40" t="s">
        <v>19639</v>
      </c>
      <c r="D3945" s="40" t="s">
        <v>19640</v>
      </c>
      <c r="E3945" s="41">
        <v>9.49</v>
      </c>
      <c r="F3945" s="40"/>
      <c r="G3945" s="41"/>
      <c r="H3945" s="40"/>
      <c r="I3945" s="41"/>
      <c r="J3945" s="41">
        <f t="shared" si="15"/>
        <v>9.49</v>
      </c>
      <c r="K3945" s="42" t="s">
        <v>5796</v>
      </c>
      <c r="L3945" s="39">
        <v>3921</v>
      </c>
    </row>
    <row r="3946" spans="1:12" ht="11.25" customHeight="1">
      <c r="A3946" s="39">
        <v>3922</v>
      </c>
      <c r="B3946" s="40" t="s">
        <v>19641</v>
      </c>
      <c r="C3946" s="40" t="s">
        <v>19642</v>
      </c>
      <c r="D3946" s="40" t="s">
        <v>19643</v>
      </c>
      <c r="E3946" s="41">
        <v>9.49</v>
      </c>
      <c r="F3946" s="40"/>
      <c r="G3946" s="41"/>
      <c r="H3946" s="40"/>
      <c r="I3946" s="41"/>
      <c r="J3946" s="41">
        <f t="shared" si="15"/>
        <v>9.49</v>
      </c>
      <c r="K3946" s="42" t="s">
        <v>5796</v>
      </c>
      <c r="L3946" s="39">
        <v>3922</v>
      </c>
    </row>
    <row r="3947" spans="1:12" ht="11.25" customHeight="1">
      <c r="A3947" s="39">
        <v>3923</v>
      </c>
      <c r="B3947" s="40" t="s">
        <v>19644</v>
      </c>
      <c r="C3947" s="40" t="s">
        <v>19645</v>
      </c>
      <c r="D3947" s="40" t="s">
        <v>19646</v>
      </c>
      <c r="E3947" s="41">
        <v>9.4499999999999993</v>
      </c>
      <c r="F3947" s="40"/>
      <c r="G3947" s="41"/>
      <c r="H3947" s="40"/>
      <c r="I3947" s="41"/>
      <c r="J3947" s="41">
        <f t="shared" si="15"/>
        <v>9.4499999999999993</v>
      </c>
      <c r="K3947" s="42" t="s">
        <v>5796</v>
      </c>
      <c r="L3947" s="39">
        <v>3923</v>
      </c>
    </row>
    <row r="3948" spans="1:12" ht="11.25" customHeight="1">
      <c r="A3948" s="39">
        <v>3924</v>
      </c>
      <c r="B3948" s="40" t="s">
        <v>19647</v>
      </c>
      <c r="C3948" s="40" t="s">
        <v>19648</v>
      </c>
      <c r="D3948" s="40" t="s">
        <v>19649</v>
      </c>
      <c r="E3948" s="41">
        <v>9.4499999999999993</v>
      </c>
      <c r="F3948" s="40"/>
      <c r="G3948" s="41"/>
      <c r="H3948" s="40"/>
      <c r="I3948" s="41"/>
      <c r="J3948" s="41">
        <f t="shared" si="15"/>
        <v>9.4499999999999993</v>
      </c>
      <c r="K3948" s="42" t="s">
        <v>5796</v>
      </c>
      <c r="L3948" s="39">
        <v>3924</v>
      </c>
    </row>
    <row r="3949" spans="1:12" ht="11.25" customHeight="1">
      <c r="A3949" s="39">
        <v>3925</v>
      </c>
      <c r="B3949" s="40" t="s">
        <v>19650</v>
      </c>
      <c r="C3949" s="40" t="s">
        <v>19651</v>
      </c>
      <c r="D3949" s="40" t="s">
        <v>19652</v>
      </c>
      <c r="E3949" s="41">
        <v>9.43</v>
      </c>
      <c r="F3949" s="40"/>
      <c r="G3949" s="41"/>
      <c r="H3949" s="40"/>
      <c r="I3949" s="41"/>
      <c r="J3949" s="41">
        <f t="shared" si="15"/>
        <v>9.43</v>
      </c>
      <c r="K3949" s="42" t="s">
        <v>5796</v>
      </c>
      <c r="L3949" s="39">
        <v>3925</v>
      </c>
    </row>
    <row r="3950" spans="1:12" ht="11.25" customHeight="1">
      <c r="A3950" s="39">
        <v>3926</v>
      </c>
      <c r="B3950" s="52" t="s">
        <v>9054</v>
      </c>
      <c r="C3950" s="52" t="s">
        <v>19653</v>
      </c>
      <c r="D3950" s="40"/>
      <c r="E3950" s="41"/>
      <c r="F3950" s="40"/>
      <c r="G3950" s="41"/>
      <c r="H3950" s="52" t="s">
        <v>19654</v>
      </c>
      <c r="I3950" s="53">
        <v>9.4062300000000256</v>
      </c>
      <c r="J3950" s="41">
        <f t="shared" si="15"/>
        <v>9.4062300000000256</v>
      </c>
      <c r="K3950" s="42" t="s">
        <v>5796</v>
      </c>
      <c r="L3950" s="39">
        <v>3926</v>
      </c>
    </row>
    <row r="3951" spans="1:12" ht="11.25" customHeight="1">
      <c r="A3951" s="39">
        <v>3927</v>
      </c>
      <c r="B3951" s="40" t="s">
        <v>19655</v>
      </c>
      <c r="C3951" s="40" t="s">
        <v>19656</v>
      </c>
      <c r="D3951" s="40" t="s">
        <v>19657</v>
      </c>
      <c r="E3951" s="41">
        <v>9.3800000000000008</v>
      </c>
      <c r="F3951" s="40"/>
      <c r="G3951" s="41"/>
      <c r="H3951" s="40"/>
      <c r="I3951" s="41"/>
      <c r="J3951" s="41">
        <f t="shared" si="15"/>
        <v>9.3800000000000008</v>
      </c>
      <c r="K3951" s="42" t="s">
        <v>5796</v>
      </c>
      <c r="L3951" s="39">
        <v>3927</v>
      </c>
    </row>
    <row r="3952" spans="1:12" ht="11.25" customHeight="1">
      <c r="A3952" s="39">
        <v>3928</v>
      </c>
      <c r="B3952" s="52" t="s">
        <v>8989</v>
      </c>
      <c r="C3952" s="52" t="s">
        <v>19658</v>
      </c>
      <c r="D3952" s="40"/>
      <c r="E3952" s="41"/>
      <c r="F3952" s="40"/>
      <c r="G3952" s="41"/>
      <c r="H3952" s="52" t="s">
        <v>19659</v>
      </c>
      <c r="I3952" s="53">
        <v>9.3286982250000055</v>
      </c>
      <c r="J3952" s="41">
        <f t="shared" si="15"/>
        <v>9.3286982250000055</v>
      </c>
      <c r="K3952" s="42" t="s">
        <v>5796</v>
      </c>
      <c r="L3952" s="39">
        <v>3928</v>
      </c>
    </row>
    <row r="3953" spans="1:12" ht="11.25" customHeight="1">
      <c r="A3953" s="39">
        <v>3929</v>
      </c>
      <c r="B3953" s="40" t="s">
        <v>19660</v>
      </c>
      <c r="C3953" s="40" t="s">
        <v>19661</v>
      </c>
      <c r="D3953" s="40" t="s">
        <v>19662</v>
      </c>
      <c r="E3953" s="41">
        <v>9.32</v>
      </c>
      <c r="F3953" s="40"/>
      <c r="G3953" s="41"/>
      <c r="H3953" s="40"/>
      <c r="I3953" s="41"/>
      <c r="J3953" s="41">
        <f t="shared" si="15"/>
        <v>9.32</v>
      </c>
      <c r="K3953" s="42" t="s">
        <v>5796</v>
      </c>
      <c r="L3953" s="39">
        <v>3929</v>
      </c>
    </row>
    <row r="3954" spans="1:12" ht="11.25" customHeight="1">
      <c r="A3954" s="39">
        <v>3930</v>
      </c>
      <c r="B3954" s="40" t="s">
        <v>9445</v>
      </c>
      <c r="C3954" s="40" t="s">
        <v>19663</v>
      </c>
      <c r="D3954" s="40" t="s">
        <v>19664</v>
      </c>
      <c r="E3954" s="41">
        <v>9.31</v>
      </c>
      <c r="F3954" s="40"/>
      <c r="G3954" s="41"/>
      <c r="H3954" s="40"/>
      <c r="I3954" s="41"/>
      <c r="J3954" s="41">
        <f t="shared" si="15"/>
        <v>9.31</v>
      </c>
      <c r="K3954" s="42" t="s">
        <v>5796</v>
      </c>
      <c r="L3954" s="39">
        <v>3930</v>
      </c>
    </row>
    <row r="3955" spans="1:12" ht="11.25" customHeight="1">
      <c r="A3955" s="39">
        <v>3931</v>
      </c>
      <c r="B3955" s="40" t="s">
        <v>19665</v>
      </c>
      <c r="C3955" s="40" t="s">
        <v>19666</v>
      </c>
      <c r="D3955" s="40" t="s">
        <v>19667</v>
      </c>
      <c r="E3955" s="41">
        <v>9.31</v>
      </c>
      <c r="F3955" s="40"/>
      <c r="G3955" s="41"/>
      <c r="H3955" s="40"/>
      <c r="I3955" s="41"/>
      <c r="J3955" s="41">
        <f t="shared" si="15"/>
        <v>9.31</v>
      </c>
      <c r="K3955" s="42" t="s">
        <v>5796</v>
      </c>
      <c r="L3955" s="39">
        <v>3931</v>
      </c>
    </row>
    <row r="3956" spans="1:12" ht="11.25" customHeight="1">
      <c r="A3956" s="39">
        <v>3932</v>
      </c>
      <c r="B3956" s="40" t="s">
        <v>19668</v>
      </c>
      <c r="C3956" s="40" t="s">
        <v>19669</v>
      </c>
      <c r="D3956" s="40" t="s">
        <v>19670</v>
      </c>
      <c r="E3956" s="41">
        <v>9.3000000000000007</v>
      </c>
      <c r="F3956" s="40"/>
      <c r="G3956" s="41"/>
      <c r="H3956" s="40"/>
      <c r="I3956" s="41"/>
      <c r="J3956" s="41">
        <f t="shared" si="15"/>
        <v>9.3000000000000007</v>
      </c>
      <c r="K3956" s="42" t="s">
        <v>5796</v>
      </c>
      <c r="L3956" s="39">
        <v>3932</v>
      </c>
    </row>
    <row r="3957" spans="1:12" ht="11.25" customHeight="1">
      <c r="A3957" s="39">
        <v>3933</v>
      </c>
      <c r="B3957" s="40" t="s">
        <v>19671</v>
      </c>
      <c r="C3957" s="40" t="s">
        <v>19672</v>
      </c>
      <c r="D3957" s="40" t="s">
        <v>19673</v>
      </c>
      <c r="E3957" s="41">
        <v>9.3000000000000007</v>
      </c>
      <c r="F3957" s="40"/>
      <c r="G3957" s="41"/>
      <c r="H3957" s="40"/>
      <c r="I3957" s="41"/>
      <c r="J3957" s="41">
        <f t="shared" si="15"/>
        <v>9.3000000000000007</v>
      </c>
      <c r="K3957" s="42" t="s">
        <v>5796</v>
      </c>
      <c r="L3957" s="39">
        <v>3933</v>
      </c>
    </row>
    <row r="3958" spans="1:12" ht="11.25" customHeight="1">
      <c r="A3958" s="39">
        <v>3934</v>
      </c>
      <c r="B3958" s="40" t="s">
        <v>19674</v>
      </c>
      <c r="C3958" s="40" t="s">
        <v>19675</v>
      </c>
      <c r="D3958" s="40" t="s">
        <v>19676</v>
      </c>
      <c r="E3958" s="41">
        <v>9.3000000000000007</v>
      </c>
      <c r="F3958" s="40"/>
      <c r="G3958" s="41"/>
      <c r="H3958" s="40"/>
      <c r="I3958" s="41"/>
      <c r="J3958" s="41">
        <f t="shared" si="15"/>
        <v>9.3000000000000007</v>
      </c>
      <c r="K3958" s="42" t="s">
        <v>5796</v>
      </c>
      <c r="L3958" s="39">
        <v>3934</v>
      </c>
    </row>
    <row r="3959" spans="1:12" ht="11.25" customHeight="1">
      <c r="A3959" s="39">
        <v>3935</v>
      </c>
      <c r="B3959" s="40" t="s">
        <v>19677</v>
      </c>
      <c r="C3959" s="40" t="s">
        <v>19678</v>
      </c>
      <c r="D3959" s="40" t="s">
        <v>19679</v>
      </c>
      <c r="E3959" s="41">
        <v>9.2799999999999994</v>
      </c>
      <c r="F3959" s="40"/>
      <c r="G3959" s="41"/>
      <c r="H3959" s="40" t="s">
        <v>19680</v>
      </c>
      <c r="I3959" s="41">
        <v>9.2903184725806423</v>
      </c>
      <c r="J3959" s="41">
        <f t="shared" si="15"/>
        <v>9.2851592362903208</v>
      </c>
      <c r="K3959" s="42" t="s">
        <v>5796</v>
      </c>
      <c r="L3959" s="39">
        <v>3935</v>
      </c>
    </row>
    <row r="3960" spans="1:12" ht="11.25" customHeight="1">
      <c r="A3960" s="39">
        <v>3936</v>
      </c>
      <c r="B3960" s="40" t="s">
        <v>19681</v>
      </c>
      <c r="C3960" s="40" t="s">
        <v>19682</v>
      </c>
      <c r="D3960" s="40" t="s">
        <v>19683</v>
      </c>
      <c r="E3960" s="41">
        <v>9.2799999999999994</v>
      </c>
      <c r="F3960" s="40"/>
      <c r="G3960" s="41"/>
      <c r="H3960" s="40"/>
      <c r="I3960" s="41"/>
      <c r="J3960" s="41">
        <f t="shared" si="15"/>
        <v>9.2799999999999994</v>
      </c>
      <c r="K3960" s="42" t="s">
        <v>5796</v>
      </c>
      <c r="L3960" s="39">
        <v>3936</v>
      </c>
    </row>
    <row r="3961" spans="1:12" ht="11.25" customHeight="1">
      <c r="A3961" s="39">
        <v>3937</v>
      </c>
      <c r="B3961" s="40" t="s">
        <v>19684</v>
      </c>
      <c r="C3961" s="40" t="s">
        <v>19685</v>
      </c>
      <c r="D3961" s="40" t="s">
        <v>19686</v>
      </c>
      <c r="E3961" s="41">
        <v>9.25</v>
      </c>
      <c r="F3961" s="40"/>
      <c r="G3961" s="41"/>
      <c r="H3961" s="40"/>
      <c r="I3961" s="41"/>
      <c r="J3961" s="41">
        <f t="shared" si="15"/>
        <v>9.25</v>
      </c>
      <c r="K3961" s="42" t="s">
        <v>5796</v>
      </c>
      <c r="L3961" s="39">
        <v>3937</v>
      </c>
    </row>
    <row r="3962" spans="1:12" ht="11.25" customHeight="1">
      <c r="A3962" s="39">
        <v>3938</v>
      </c>
      <c r="B3962" s="40" t="s">
        <v>19687</v>
      </c>
      <c r="C3962" s="40" t="s">
        <v>19688</v>
      </c>
      <c r="D3962" s="40" t="s">
        <v>19689</v>
      </c>
      <c r="E3962" s="41">
        <v>9.24</v>
      </c>
      <c r="F3962" s="40"/>
      <c r="G3962" s="41"/>
      <c r="H3962" s="40"/>
      <c r="I3962" s="41"/>
      <c r="J3962" s="41">
        <f t="shared" si="15"/>
        <v>9.24</v>
      </c>
      <c r="K3962" s="42" t="s">
        <v>5796</v>
      </c>
      <c r="L3962" s="39">
        <v>3938</v>
      </c>
    </row>
    <row r="3963" spans="1:12" ht="11.25" customHeight="1">
      <c r="A3963" s="39">
        <v>3939</v>
      </c>
      <c r="B3963" s="40" t="s">
        <v>19690</v>
      </c>
      <c r="C3963" s="40" t="s">
        <v>19691</v>
      </c>
      <c r="D3963" s="40" t="s">
        <v>19692</v>
      </c>
      <c r="E3963" s="41">
        <v>9.1999999999999993</v>
      </c>
      <c r="F3963" s="40"/>
      <c r="G3963" s="41"/>
      <c r="H3963" s="40"/>
      <c r="I3963" s="41"/>
      <c r="J3963" s="41">
        <f t="shared" si="15"/>
        <v>9.1999999999999993</v>
      </c>
      <c r="K3963" s="42" t="s">
        <v>5796</v>
      </c>
      <c r="L3963" s="39">
        <v>3939</v>
      </c>
    </row>
    <row r="3964" spans="1:12" ht="11.25" customHeight="1">
      <c r="A3964" s="39">
        <v>3940</v>
      </c>
      <c r="B3964" s="40" t="s">
        <v>19693</v>
      </c>
      <c r="C3964" s="40" t="s">
        <v>19694</v>
      </c>
      <c r="D3964" s="40" t="s">
        <v>19695</v>
      </c>
      <c r="E3964" s="41">
        <v>9.1999999999999993</v>
      </c>
      <c r="F3964" s="40"/>
      <c r="G3964" s="41"/>
      <c r="H3964" s="40"/>
      <c r="I3964" s="41"/>
      <c r="J3964" s="41">
        <f t="shared" si="15"/>
        <v>9.1999999999999993</v>
      </c>
      <c r="K3964" s="42" t="s">
        <v>5796</v>
      </c>
      <c r="L3964" s="39">
        <v>3940</v>
      </c>
    </row>
    <row r="3965" spans="1:12" ht="11.25" customHeight="1">
      <c r="A3965" s="39">
        <v>3941</v>
      </c>
      <c r="B3965" s="40" t="s">
        <v>19696</v>
      </c>
      <c r="C3965" s="40" t="s">
        <v>19697</v>
      </c>
      <c r="D3965" s="40" t="s">
        <v>19698</v>
      </c>
      <c r="E3965" s="41">
        <v>9.16</v>
      </c>
      <c r="F3965" s="40"/>
      <c r="G3965" s="41"/>
      <c r="H3965" s="40"/>
      <c r="I3965" s="41"/>
      <c r="J3965" s="41">
        <f t="shared" si="15"/>
        <v>9.16</v>
      </c>
      <c r="K3965" s="42" t="s">
        <v>5796</v>
      </c>
      <c r="L3965" s="39">
        <v>3941</v>
      </c>
    </row>
    <row r="3966" spans="1:12" ht="11.25" customHeight="1">
      <c r="A3966" s="39">
        <v>3943</v>
      </c>
      <c r="B3966" s="40" t="s">
        <v>19699</v>
      </c>
      <c r="C3966" s="40" t="s">
        <v>19700</v>
      </c>
      <c r="D3966" s="40" t="s">
        <v>19701</v>
      </c>
      <c r="E3966" s="41">
        <v>9.15</v>
      </c>
      <c r="F3966" s="40"/>
      <c r="G3966" s="41"/>
      <c r="H3966" s="40"/>
      <c r="I3966" s="41"/>
      <c r="J3966" s="41">
        <f t="shared" si="15"/>
        <v>9.15</v>
      </c>
      <c r="K3966" s="42" t="s">
        <v>5796</v>
      </c>
      <c r="L3966" s="39">
        <v>3943</v>
      </c>
    </row>
    <row r="3967" spans="1:12" ht="11.25" customHeight="1">
      <c r="A3967" s="39">
        <v>3944</v>
      </c>
      <c r="B3967" s="40" t="s">
        <v>19702</v>
      </c>
      <c r="C3967" s="40" t="s">
        <v>19703</v>
      </c>
      <c r="D3967" s="40" t="s">
        <v>19704</v>
      </c>
      <c r="E3967" s="41">
        <v>9.14</v>
      </c>
      <c r="F3967" s="40"/>
      <c r="G3967" s="41"/>
      <c r="H3967" s="40"/>
      <c r="I3967" s="41"/>
      <c r="J3967" s="41">
        <f t="shared" si="15"/>
        <v>9.14</v>
      </c>
      <c r="K3967" s="42" t="s">
        <v>5796</v>
      </c>
      <c r="L3967" s="39">
        <v>3944</v>
      </c>
    </row>
    <row r="3968" spans="1:12" ht="11.25" customHeight="1">
      <c r="A3968" s="39">
        <v>3945</v>
      </c>
      <c r="B3968" s="40" t="s">
        <v>9042</v>
      </c>
      <c r="C3968" s="40" t="s">
        <v>19705</v>
      </c>
      <c r="D3968" s="40" t="s">
        <v>19706</v>
      </c>
      <c r="E3968" s="41">
        <v>9.14</v>
      </c>
      <c r="F3968" s="40"/>
      <c r="G3968" s="41"/>
      <c r="H3968" s="40"/>
      <c r="I3968" s="41"/>
      <c r="J3968" s="41">
        <f t="shared" si="15"/>
        <v>9.14</v>
      </c>
      <c r="K3968" s="42" t="s">
        <v>5796</v>
      </c>
      <c r="L3968" s="39">
        <v>3945</v>
      </c>
    </row>
    <row r="3969" spans="1:12" ht="11.25" customHeight="1">
      <c r="A3969" s="39">
        <v>3946</v>
      </c>
      <c r="B3969" s="40" t="s">
        <v>19707</v>
      </c>
      <c r="C3969" s="40" t="s">
        <v>19708</v>
      </c>
      <c r="D3969" s="40" t="s">
        <v>19709</v>
      </c>
      <c r="E3969" s="41">
        <v>9.1300000000000008</v>
      </c>
      <c r="F3969" s="40"/>
      <c r="G3969" s="41"/>
      <c r="H3969" s="40"/>
      <c r="I3969" s="41"/>
      <c r="J3969" s="41">
        <f t="shared" si="15"/>
        <v>9.1300000000000008</v>
      </c>
      <c r="K3969" s="42" t="s">
        <v>5796</v>
      </c>
      <c r="L3969" s="39">
        <v>3946</v>
      </c>
    </row>
    <row r="3970" spans="1:12" ht="11.25" customHeight="1">
      <c r="A3970" s="39">
        <v>3947</v>
      </c>
      <c r="B3970" s="40" t="s">
        <v>19710</v>
      </c>
      <c r="C3970" s="40" t="s">
        <v>19711</v>
      </c>
      <c r="D3970" s="40" t="s">
        <v>19712</v>
      </c>
      <c r="E3970" s="41">
        <v>9.11</v>
      </c>
      <c r="F3970" s="40"/>
      <c r="G3970" s="41"/>
      <c r="H3970" s="40"/>
      <c r="I3970" s="41"/>
      <c r="J3970" s="41">
        <f t="shared" si="15"/>
        <v>9.11</v>
      </c>
      <c r="K3970" s="42" t="s">
        <v>5796</v>
      </c>
      <c r="L3970" s="39">
        <v>3947</v>
      </c>
    </row>
    <row r="3971" spans="1:12" ht="11.25" customHeight="1">
      <c r="A3971" s="39">
        <v>3948</v>
      </c>
      <c r="B3971" s="52" t="s">
        <v>9014</v>
      </c>
      <c r="C3971" s="52" t="s">
        <v>19713</v>
      </c>
      <c r="D3971" s="40"/>
      <c r="E3971" s="41"/>
      <c r="F3971" s="40"/>
      <c r="G3971" s="41"/>
      <c r="H3971" s="52" t="s">
        <v>19714</v>
      </c>
      <c r="I3971" s="53">
        <v>9.1071930000000272</v>
      </c>
      <c r="J3971" s="41">
        <f t="shared" si="15"/>
        <v>9.1071930000000272</v>
      </c>
      <c r="K3971" s="42" t="s">
        <v>5796</v>
      </c>
      <c r="L3971" s="39">
        <v>3948</v>
      </c>
    </row>
    <row r="3972" spans="1:12" ht="11.25" customHeight="1">
      <c r="A3972" s="39">
        <v>3949</v>
      </c>
      <c r="B3972" s="54" t="s">
        <v>10246</v>
      </c>
      <c r="C3972" s="54" t="s">
        <v>19715</v>
      </c>
      <c r="D3972" s="40"/>
      <c r="E3972" s="41"/>
      <c r="F3972" s="40"/>
      <c r="G3972" s="41"/>
      <c r="H3972" s="54" t="s">
        <v>19716</v>
      </c>
      <c r="I3972" s="41">
        <v>9.0977999999999994</v>
      </c>
      <c r="J3972" s="41">
        <f t="shared" si="15"/>
        <v>9.0977999999999994</v>
      </c>
      <c r="K3972" s="42" t="s">
        <v>5796</v>
      </c>
      <c r="L3972" s="39">
        <v>3949</v>
      </c>
    </row>
    <row r="3973" spans="1:12" ht="11.25" customHeight="1">
      <c r="A3973" s="39">
        <v>3950</v>
      </c>
      <c r="B3973" s="40" t="s">
        <v>19717</v>
      </c>
      <c r="C3973" s="40" t="s">
        <v>19718</v>
      </c>
      <c r="D3973" s="40" t="s">
        <v>19719</v>
      </c>
      <c r="E3973" s="41">
        <v>9.08</v>
      </c>
      <c r="F3973" s="40"/>
      <c r="G3973" s="41"/>
      <c r="H3973" s="40"/>
      <c r="I3973" s="41"/>
      <c r="J3973" s="41">
        <f t="shared" si="15"/>
        <v>9.08</v>
      </c>
      <c r="K3973" s="42" t="s">
        <v>5796</v>
      </c>
      <c r="L3973" s="39">
        <v>3950</v>
      </c>
    </row>
    <row r="3974" spans="1:12" ht="11.25" customHeight="1">
      <c r="A3974" s="39">
        <v>3951</v>
      </c>
      <c r="B3974" s="40" t="s">
        <v>19720</v>
      </c>
      <c r="C3974" s="40" t="s">
        <v>19721</v>
      </c>
      <c r="D3974" s="40" t="s">
        <v>19722</v>
      </c>
      <c r="E3974" s="41">
        <v>9.0500000000000007</v>
      </c>
      <c r="F3974" s="40"/>
      <c r="G3974" s="41"/>
      <c r="H3974" s="40"/>
      <c r="I3974" s="41"/>
      <c r="J3974" s="41">
        <f t="shared" si="15"/>
        <v>9.0500000000000007</v>
      </c>
      <c r="K3974" s="42" t="s">
        <v>5796</v>
      </c>
      <c r="L3974" s="39">
        <v>3951</v>
      </c>
    </row>
    <row r="3975" spans="1:12" ht="11.25" customHeight="1">
      <c r="A3975" s="39">
        <v>3952</v>
      </c>
      <c r="B3975" s="40" t="s">
        <v>19723</v>
      </c>
      <c r="C3975" s="40" t="s">
        <v>19724</v>
      </c>
      <c r="D3975" s="40" t="s">
        <v>19725</v>
      </c>
      <c r="E3975" s="41">
        <v>9.02</v>
      </c>
      <c r="F3975" s="40"/>
      <c r="G3975" s="41"/>
      <c r="H3975" s="40"/>
      <c r="I3975" s="41"/>
      <c r="J3975" s="41">
        <f t="shared" si="15"/>
        <v>9.02</v>
      </c>
      <c r="K3975" s="42" t="s">
        <v>5796</v>
      </c>
      <c r="L3975" s="39">
        <v>3952</v>
      </c>
    </row>
    <row r="3976" spans="1:12" ht="11.25" customHeight="1">
      <c r="A3976" s="39">
        <v>3953</v>
      </c>
      <c r="B3976" s="40" t="s">
        <v>19726</v>
      </c>
      <c r="C3976" s="40" t="s">
        <v>19727</v>
      </c>
      <c r="D3976" s="40" t="s">
        <v>19728</v>
      </c>
      <c r="E3976" s="41">
        <v>9.02</v>
      </c>
      <c r="F3976" s="40"/>
      <c r="G3976" s="41"/>
      <c r="H3976" s="40"/>
      <c r="I3976" s="41"/>
      <c r="J3976" s="41">
        <f t="shared" si="15"/>
        <v>9.02</v>
      </c>
      <c r="K3976" s="42" t="s">
        <v>5796</v>
      </c>
      <c r="L3976" s="39">
        <v>3953</v>
      </c>
    </row>
    <row r="3977" spans="1:12" ht="11.25" customHeight="1">
      <c r="A3977" s="39">
        <v>3954</v>
      </c>
      <c r="B3977" s="40" t="s">
        <v>19729</v>
      </c>
      <c r="C3977" s="40" t="s">
        <v>19730</v>
      </c>
      <c r="D3977" s="40" t="s">
        <v>19731</v>
      </c>
      <c r="E3977" s="41">
        <v>9.01</v>
      </c>
      <c r="F3977" s="40"/>
      <c r="G3977" s="41"/>
      <c r="H3977" s="40"/>
      <c r="I3977" s="41"/>
      <c r="J3977" s="41">
        <f t="shared" si="15"/>
        <v>9.01</v>
      </c>
      <c r="K3977" s="42" t="s">
        <v>5796</v>
      </c>
      <c r="L3977" s="39">
        <v>3954</v>
      </c>
    </row>
    <row r="3978" spans="1:12" ht="11.25" customHeight="1">
      <c r="A3978" s="39">
        <v>3955</v>
      </c>
      <c r="B3978" s="40" t="s">
        <v>19732</v>
      </c>
      <c r="C3978" s="40" t="s">
        <v>19733</v>
      </c>
      <c r="D3978" s="40" t="s">
        <v>19734</v>
      </c>
      <c r="E3978" s="41">
        <v>9</v>
      </c>
      <c r="F3978" s="40"/>
      <c r="G3978" s="41"/>
      <c r="H3978" s="40"/>
      <c r="I3978" s="41"/>
      <c r="J3978" s="41">
        <f t="shared" si="15"/>
        <v>9</v>
      </c>
      <c r="K3978" s="42" t="s">
        <v>5796</v>
      </c>
      <c r="L3978" s="39">
        <v>3955</v>
      </c>
    </row>
    <row r="3979" spans="1:12" ht="11.25" customHeight="1">
      <c r="A3979" s="39">
        <v>3956</v>
      </c>
      <c r="B3979" s="52" t="s">
        <v>9026</v>
      </c>
      <c r="C3979" s="52" t="s">
        <v>19735</v>
      </c>
      <c r="D3979" s="40"/>
      <c r="E3979" s="41"/>
      <c r="F3979" s="40"/>
      <c r="G3979" s="41"/>
      <c r="H3979" s="52" t="s">
        <v>19736</v>
      </c>
      <c r="I3979" s="53">
        <v>9</v>
      </c>
      <c r="J3979" s="41">
        <f t="shared" si="15"/>
        <v>9</v>
      </c>
      <c r="K3979" s="42" t="s">
        <v>5796</v>
      </c>
      <c r="L3979" s="39">
        <v>3956</v>
      </c>
    </row>
    <row r="3980" spans="1:12" ht="11.25" customHeight="1">
      <c r="A3980" s="39">
        <v>3957</v>
      </c>
      <c r="B3980" s="40" t="s">
        <v>19737</v>
      </c>
      <c r="C3980" s="40" t="s">
        <v>19738</v>
      </c>
      <c r="D3980" s="40" t="s">
        <v>19739</v>
      </c>
      <c r="E3980" s="41">
        <v>8.98</v>
      </c>
      <c r="F3980" s="40"/>
      <c r="G3980" s="41"/>
      <c r="H3980" s="40"/>
      <c r="I3980" s="41"/>
      <c r="J3980" s="41">
        <f t="shared" si="15"/>
        <v>8.98</v>
      </c>
      <c r="K3980" s="42" t="s">
        <v>5796</v>
      </c>
      <c r="L3980" s="39">
        <v>3957</v>
      </c>
    </row>
    <row r="3981" spans="1:12" ht="11.25" customHeight="1">
      <c r="A3981" s="39">
        <v>3958</v>
      </c>
      <c r="B3981" s="40" t="s">
        <v>19740</v>
      </c>
      <c r="C3981" s="40" t="s">
        <v>19741</v>
      </c>
      <c r="D3981" s="40" t="s">
        <v>19742</v>
      </c>
      <c r="E3981" s="41">
        <v>8.98</v>
      </c>
      <c r="F3981" s="40"/>
      <c r="G3981" s="41"/>
      <c r="H3981" s="40"/>
      <c r="I3981" s="41"/>
      <c r="J3981" s="41">
        <f t="shared" si="15"/>
        <v>8.98</v>
      </c>
      <c r="K3981" s="42" t="s">
        <v>5796</v>
      </c>
      <c r="L3981" s="39">
        <v>3958</v>
      </c>
    </row>
    <row r="3982" spans="1:12" ht="11.25" customHeight="1">
      <c r="A3982" s="39">
        <v>3959</v>
      </c>
      <c r="B3982" s="40" t="s">
        <v>19743</v>
      </c>
      <c r="C3982" s="40" t="s">
        <v>19744</v>
      </c>
      <c r="D3982" s="40" t="s">
        <v>19745</v>
      </c>
      <c r="E3982" s="41">
        <v>8.98</v>
      </c>
      <c r="F3982" s="40"/>
      <c r="G3982" s="41"/>
      <c r="H3982" s="40"/>
      <c r="I3982" s="41"/>
      <c r="J3982" s="41">
        <f t="shared" si="15"/>
        <v>8.98</v>
      </c>
      <c r="K3982" s="42" t="s">
        <v>5796</v>
      </c>
      <c r="L3982" s="39">
        <v>3959</v>
      </c>
    </row>
    <row r="3983" spans="1:12" ht="11.25" customHeight="1">
      <c r="A3983" s="39">
        <v>3960</v>
      </c>
      <c r="B3983" s="40" t="s">
        <v>19746</v>
      </c>
      <c r="C3983" s="40" t="s">
        <v>19747</v>
      </c>
      <c r="D3983" s="40" t="s">
        <v>19748</v>
      </c>
      <c r="E3983" s="41">
        <v>8.98</v>
      </c>
      <c r="F3983" s="40"/>
      <c r="G3983" s="41"/>
      <c r="H3983" s="40"/>
      <c r="I3983" s="41"/>
      <c r="J3983" s="41">
        <f t="shared" si="15"/>
        <v>8.98</v>
      </c>
      <c r="K3983" s="42" t="s">
        <v>5796</v>
      </c>
      <c r="L3983" s="39">
        <v>3960</v>
      </c>
    </row>
    <row r="3984" spans="1:12" ht="11.25" customHeight="1">
      <c r="A3984" s="39">
        <v>3961</v>
      </c>
      <c r="B3984" s="40" t="s">
        <v>9103</v>
      </c>
      <c r="C3984" s="40" t="s">
        <v>19749</v>
      </c>
      <c r="D3984" s="40" t="s">
        <v>19750</v>
      </c>
      <c r="E3984" s="41">
        <v>8.98</v>
      </c>
      <c r="F3984" s="40"/>
      <c r="G3984" s="41"/>
      <c r="H3984" s="40"/>
      <c r="I3984" s="41"/>
      <c r="J3984" s="41">
        <f t="shared" si="15"/>
        <v>8.98</v>
      </c>
      <c r="K3984" s="42" t="s">
        <v>5796</v>
      </c>
      <c r="L3984" s="39">
        <v>3961</v>
      </c>
    </row>
    <row r="3985" spans="1:12" ht="11.25" customHeight="1">
      <c r="A3985" s="39">
        <v>3962</v>
      </c>
      <c r="B3985" s="40" t="s">
        <v>19751</v>
      </c>
      <c r="C3985" s="40" t="s">
        <v>19752</v>
      </c>
      <c r="D3985" s="40" t="s">
        <v>19753</v>
      </c>
      <c r="E3985" s="41">
        <v>8.9700000000000006</v>
      </c>
      <c r="F3985" s="40"/>
      <c r="G3985" s="41"/>
      <c r="H3985" s="40"/>
      <c r="I3985" s="41"/>
      <c r="J3985" s="41">
        <f t="shared" si="15"/>
        <v>8.9700000000000006</v>
      </c>
      <c r="K3985" s="42" t="s">
        <v>5796</v>
      </c>
      <c r="L3985" s="39">
        <v>3962</v>
      </c>
    </row>
    <row r="3986" spans="1:12" ht="11.25" customHeight="1">
      <c r="A3986" s="39">
        <v>3964</v>
      </c>
      <c r="B3986" s="40" t="s">
        <v>19754</v>
      </c>
      <c r="C3986" s="40" t="s">
        <v>19755</v>
      </c>
      <c r="D3986" s="40" t="s">
        <v>19756</v>
      </c>
      <c r="E3986" s="41">
        <v>8.93</v>
      </c>
      <c r="F3986" s="40"/>
      <c r="G3986" s="41"/>
      <c r="H3986" s="40"/>
      <c r="I3986" s="41"/>
      <c r="J3986" s="41">
        <f t="shared" si="15"/>
        <v>8.93</v>
      </c>
      <c r="K3986" s="42" t="s">
        <v>5796</v>
      </c>
      <c r="L3986" s="39">
        <v>3964</v>
      </c>
    </row>
    <row r="3987" spans="1:12" ht="11.25" customHeight="1">
      <c r="A3987" s="39">
        <v>3965</v>
      </c>
      <c r="B3987" s="40" t="s">
        <v>19757</v>
      </c>
      <c r="C3987" s="40" t="s">
        <v>19758</v>
      </c>
      <c r="D3987" s="40" t="s">
        <v>19759</v>
      </c>
      <c r="E3987" s="41">
        <v>8.93</v>
      </c>
      <c r="F3987" s="40"/>
      <c r="G3987" s="41"/>
      <c r="H3987" s="40"/>
      <c r="I3987" s="41"/>
      <c r="J3987" s="41">
        <f t="shared" si="15"/>
        <v>8.93</v>
      </c>
      <c r="K3987" s="42" t="s">
        <v>5796</v>
      </c>
      <c r="L3987" s="39">
        <v>3965</v>
      </c>
    </row>
    <row r="3988" spans="1:12" ht="11.25" customHeight="1">
      <c r="A3988" s="39">
        <v>3966</v>
      </c>
      <c r="B3988" s="40" t="s">
        <v>19760</v>
      </c>
      <c r="C3988" s="40" t="s">
        <v>19761</v>
      </c>
      <c r="D3988" s="40" t="s">
        <v>19762</v>
      </c>
      <c r="E3988" s="41">
        <v>8.9</v>
      </c>
      <c r="F3988" s="40"/>
      <c r="G3988" s="41"/>
      <c r="H3988" s="40"/>
      <c r="I3988" s="41"/>
      <c r="J3988" s="41">
        <f t="shared" si="15"/>
        <v>8.9</v>
      </c>
      <c r="K3988" s="42" t="s">
        <v>5796</v>
      </c>
      <c r="L3988" s="39">
        <v>3966</v>
      </c>
    </row>
    <row r="3989" spans="1:12" ht="11.25" customHeight="1">
      <c r="A3989" s="39">
        <v>3967</v>
      </c>
      <c r="B3989" s="40" t="s">
        <v>19763</v>
      </c>
      <c r="C3989" s="40" t="s">
        <v>19764</v>
      </c>
      <c r="D3989" s="40" t="s">
        <v>19765</v>
      </c>
      <c r="E3989" s="41">
        <v>8.8800000000000008</v>
      </c>
      <c r="F3989" s="40"/>
      <c r="G3989" s="41"/>
      <c r="H3989" s="40"/>
      <c r="I3989" s="41"/>
      <c r="J3989" s="41">
        <f t="shared" si="15"/>
        <v>8.8800000000000008</v>
      </c>
      <c r="K3989" s="42" t="s">
        <v>5796</v>
      </c>
      <c r="L3989" s="39">
        <v>3967</v>
      </c>
    </row>
    <row r="3990" spans="1:12" ht="11.25" customHeight="1">
      <c r="A3990" s="39">
        <v>3968</v>
      </c>
      <c r="B3990" s="40" t="s">
        <v>19766</v>
      </c>
      <c r="C3990" s="40" t="s">
        <v>19767</v>
      </c>
      <c r="D3990" s="40" t="s">
        <v>19768</v>
      </c>
      <c r="E3990" s="41">
        <v>8.84</v>
      </c>
      <c r="F3990" s="40"/>
      <c r="G3990" s="41"/>
      <c r="H3990" s="40"/>
      <c r="I3990" s="41"/>
      <c r="J3990" s="41">
        <f t="shared" si="15"/>
        <v>8.84</v>
      </c>
      <c r="K3990" s="42" t="s">
        <v>5796</v>
      </c>
      <c r="L3990" s="39">
        <v>3968</v>
      </c>
    </row>
    <row r="3991" spans="1:12" ht="11.25" customHeight="1">
      <c r="A3991" s="39">
        <v>3969</v>
      </c>
      <c r="B3991" s="40" t="s">
        <v>19769</v>
      </c>
      <c r="C3991" s="40" t="s">
        <v>19770</v>
      </c>
      <c r="D3991" s="40" t="s">
        <v>19771</v>
      </c>
      <c r="E3991" s="41">
        <v>8.83</v>
      </c>
      <c r="F3991" s="40"/>
      <c r="G3991" s="41"/>
      <c r="H3991" s="40"/>
      <c r="I3991" s="41"/>
      <c r="J3991" s="41">
        <f t="shared" si="15"/>
        <v>8.83</v>
      </c>
      <c r="K3991" s="42" t="s">
        <v>5796</v>
      </c>
      <c r="L3991" s="39">
        <v>3969</v>
      </c>
    </row>
    <row r="3992" spans="1:12" ht="11.25" customHeight="1">
      <c r="A3992" s="39">
        <v>3970</v>
      </c>
      <c r="B3992" s="40" t="s">
        <v>19772</v>
      </c>
      <c r="C3992" s="40" t="s">
        <v>19773</v>
      </c>
      <c r="D3992" s="40" t="s">
        <v>19774</v>
      </c>
      <c r="E3992" s="41">
        <v>8.83</v>
      </c>
      <c r="F3992" s="40"/>
      <c r="G3992" s="41"/>
      <c r="H3992" s="40"/>
      <c r="I3992" s="41"/>
      <c r="J3992" s="41">
        <f t="shared" si="15"/>
        <v>8.83</v>
      </c>
      <c r="K3992" s="42" t="s">
        <v>5796</v>
      </c>
      <c r="L3992" s="39">
        <v>3970</v>
      </c>
    </row>
    <row r="3993" spans="1:12" ht="11.25" customHeight="1">
      <c r="A3993" s="39">
        <v>3971</v>
      </c>
      <c r="B3993" s="40" t="s">
        <v>19775</v>
      </c>
      <c r="C3993" s="40" t="s">
        <v>19776</v>
      </c>
      <c r="D3993" s="40" t="s">
        <v>19777</v>
      </c>
      <c r="E3993" s="41">
        <v>8.83</v>
      </c>
      <c r="F3993" s="40"/>
      <c r="G3993" s="41"/>
      <c r="H3993" s="40"/>
      <c r="I3993" s="41"/>
      <c r="J3993" s="41">
        <f t="shared" si="15"/>
        <v>8.83</v>
      </c>
      <c r="K3993" s="42" t="s">
        <v>5796</v>
      </c>
      <c r="L3993" s="39">
        <v>3971</v>
      </c>
    </row>
    <row r="3994" spans="1:12" ht="11.25" customHeight="1">
      <c r="A3994" s="39">
        <v>3972</v>
      </c>
      <c r="B3994" s="40" t="s">
        <v>19778</v>
      </c>
      <c r="C3994" s="40" t="s">
        <v>19779</v>
      </c>
      <c r="D3994" s="40" t="s">
        <v>19780</v>
      </c>
      <c r="E3994" s="41">
        <v>8.7899999999999991</v>
      </c>
      <c r="F3994" s="40"/>
      <c r="G3994" s="41"/>
      <c r="H3994" s="40" t="s">
        <v>19780</v>
      </c>
      <c r="I3994" s="41">
        <v>8.8623857193548474</v>
      </c>
      <c r="J3994" s="41">
        <f t="shared" si="15"/>
        <v>8.8261928596774233</v>
      </c>
      <c r="K3994" s="42" t="s">
        <v>5796</v>
      </c>
      <c r="L3994" s="39">
        <v>3972</v>
      </c>
    </row>
    <row r="3995" spans="1:12" ht="11.25" customHeight="1">
      <c r="A3995" s="39">
        <v>3973</v>
      </c>
      <c r="B3995" s="40" t="s">
        <v>19781</v>
      </c>
      <c r="C3995" s="40" t="s">
        <v>19782</v>
      </c>
      <c r="D3995" s="40" t="s">
        <v>19783</v>
      </c>
      <c r="E3995" s="41">
        <v>8.81</v>
      </c>
      <c r="F3995" s="40"/>
      <c r="G3995" s="41"/>
      <c r="H3995" s="40"/>
      <c r="I3995" s="41"/>
      <c r="J3995" s="41">
        <f t="shared" si="15"/>
        <v>8.81</v>
      </c>
      <c r="K3995" s="42" t="s">
        <v>5796</v>
      </c>
      <c r="L3995" s="39">
        <v>3973</v>
      </c>
    </row>
    <row r="3996" spans="1:12" ht="11.25" customHeight="1">
      <c r="A3996" s="39">
        <v>3974</v>
      </c>
      <c r="B3996" s="40" t="s">
        <v>8945</v>
      </c>
      <c r="C3996" s="40" t="s">
        <v>19784</v>
      </c>
      <c r="D3996" s="40" t="s">
        <v>19785</v>
      </c>
      <c r="E3996" s="41">
        <v>8.8000000000000007</v>
      </c>
      <c r="F3996" s="40"/>
      <c r="G3996" s="41"/>
      <c r="H3996" s="40"/>
      <c r="I3996" s="41"/>
      <c r="J3996" s="41">
        <f t="shared" si="15"/>
        <v>8.8000000000000007</v>
      </c>
      <c r="K3996" s="42" t="s">
        <v>5796</v>
      </c>
      <c r="L3996" s="39">
        <v>3974</v>
      </c>
    </row>
    <row r="3997" spans="1:12" ht="11.25" customHeight="1">
      <c r="A3997" s="39">
        <v>3975</v>
      </c>
      <c r="B3997" s="40" t="s">
        <v>19786</v>
      </c>
      <c r="C3997" s="40" t="s">
        <v>19787</v>
      </c>
      <c r="D3997" s="40" t="s">
        <v>19788</v>
      </c>
      <c r="E3997" s="41">
        <v>8.7799999999999994</v>
      </c>
      <c r="F3997" s="40"/>
      <c r="G3997" s="41"/>
      <c r="H3997" s="40"/>
      <c r="I3997" s="41"/>
      <c r="J3997" s="41">
        <f t="shared" si="15"/>
        <v>8.7799999999999994</v>
      </c>
      <c r="K3997" s="42" t="s">
        <v>5796</v>
      </c>
      <c r="L3997" s="39">
        <v>3975</v>
      </c>
    </row>
    <row r="3998" spans="1:12" ht="11.25" customHeight="1">
      <c r="A3998" s="39">
        <v>3976</v>
      </c>
      <c r="B3998" s="40" t="s">
        <v>19789</v>
      </c>
      <c r="C3998" s="40" t="s">
        <v>19790</v>
      </c>
      <c r="D3998" s="40" t="s">
        <v>19791</v>
      </c>
      <c r="E3998" s="41">
        <v>8.7799999999999994</v>
      </c>
      <c r="F3998" s="40"/>
      <c r="G3998" s="41"/>
      <c r="H3998" s="40"/>
      <c r="I3998" s="41"/>
      <c r="J3998" s="41">
        <f t="shared" si="15"/>
        <v>8.7799999999999994</v>
      </c>
      <c r="K3998" s="42" t="s">
        <v>5796</v>
      </c>
      <c r="L3998" s="39">
        <v>3976</v>
      </c>
    </row>
    <row r="3999" spans="1:12" ht="11.25" customHeight="1">
      <c r="A3999" s="39">
        <v>3977</v>
      </c>
      <c r="B3999" s="40" t="s">
        <v>19792</v>
      </c>
      <c r="C3999" s="40" t="s">
        <v>19793</v>
      </c>
      <c r="D3999" s="40" t="s">
        <v>19794</v>
      </c>
      <c r="E3999" s="41">
        <v>8.7799999999999994</v>
      </c>
      <c r="F3999" s="40"/>
      <c r="G3999" s="41"/>
      <c r="H3999" s="40"/>
      <c r="I3999" s="41"/>
      <c r="J3999" s="41">
        <f t="shared" si="15"/>
        <v>8.7799999999999994</v>
      </c>
      <c r="K3999" s="42" t="s">
        <v>5796</v>
      </c>
      <c r="L3999" s="39">
        <v>3977</v>
      </c>
    </row>
    <row r="4000" spans="1:12" ht="11.25" customHeight="1">
      <c r="A4000" s="39">
        <v>3979</v>
      </c>
      <c r="B4000" s="40" t="s">
        <v>19795</v>
      </c>
      <c r="C4000" s="40" t="s">
        <v>19796</v>
      </c>
      <c r="D4000" s="40" t="s">
        <v>19797</v>
      </c>
      <c r="E4000" s="41">
        <v>8.74</v>
      </c>
      <c r="F4000" s="40"/>
      <c r="G4000" s="41"/>
      <c r="H4000" s="40"/>
      <c r="I4000" s="41"/>
      <c r="J4000" s="41">
        <f t="shared" si="15"/>
        <v>8.74</v>
      </c>
      <c r="K4000" s="42" t="s">
        <v>5796</v>
      </c>
      <c r="L4000" s="39">
        <v>3979</v>
      </c>
    </row>
    <row r="4001" spans="1:12" ht="11.25" customHeight="1">
      <c r="A4001" s="39">
        <v>3980</v>
      </c>
      <c r="B4001" s="40" t="s">
        <v>19798</v>
      </c>
      <c r="C4001" s="40" t="s">
        <v>19799</v>
      </c>
      <c r="D4001" s="40" t="s">
        <v>19800</v>
      </c>
      <c r="E4001" s="41">
        <v>8.6999999999999993</v>
      </c>
      <c r="F4001" s="40"/>
      <c r="G4001" s="41"/>
      <c r="H4001" s="40"/>
      <c r="I4001" s="41"/>
      <c r="J4001" s="41">
        <f t="shared" si="15"/>
        <v>8.6999999999999993</v>
      </c>
      <c r="K4001" s="42" t="s">
        <v>5796</v>
      </c>
      <c r="L4001" s="39">
        <v>3980</v>
      </c>
    </row>
    <row r="4002" spans="1:12" ht="11.25" customHeight="1">
      <c r="A4002" s="39">
        <v>3981</v>
      </c>
      <c r="B4002" s="40" t="s">
        <v>19801</v>
      </c>
      <c r="C4002" s="40" t="s">
        <v>19802</v>
      </c>
      <c r="D4002" s="40" t="s">
        <v>19803</v>
      </c>
      <c r="E4002" s="41">
        <v>8.69</v>
      </c>
      <c r="F4002" s="40"/>
      <c r="G4002" s="41"/>
      <c r="H4002" s="40"/>
      <c r="I4002" s="41"/>
      <c r="J4002" s="41">
        <f t="shared" si="15"/>
        <v>8.69</v>
      </c>
      <c r="K4002" s="42" t="s">
        <v>5796</v>
      </c>
      <c r="L4002" s="39">
        <v>3981</v>
      </c>
    </row>
    <row r="4003" spans="1:12" ht="11.25" customHeight="1">
      <c r="A4003" s="39">
        <v>3982</v>
      </c>
      <c r="B4003" s="40" t="s">
        <v>19804</v>
      </c>
      <c r="C4003" s="40" t="s">
        <v>19805</v>
      </c>
      <c r="D4003" s="40" t="s">
        <v>19806</v>
      </c>
      <c r="E4003" s="41">
        <v>8.65</v>
      </c>
      <c r="F4003" s="40"/>
      <c r="G4003" s="41"/>
      <c r="H4003" s="40"/>
      <c r="I4003" s="41"/>
      <c r="J4003" s="41">
        <f t="shared" si="15"/>
        <v>8.65</v>
      </c>
      <c r="K4003" s="42" t="s">
        <v>5796</v>
      </c>
      <c r="L4003" s="39">
        <v>3982</v>
      </c>
    </row>
    <row r="4004" spans="1:12" ht="11.25" customHeight="1">
      <c r="A4004" s="39">
        <v>3983</v>
      </c>
      <c r="B4004" s="52" t="s">
        <v>9056</v>
      </c>
      <c r="C4004" s="52" t="s">
        <v>19807</v>
      </c>
      <c r="D4004" s="40"/>
      <c r="E4004" s="41"/>
      <c r="F4004" s="40"/>
      <c r="G4004" s="41"/>
      <c r="H4004" s="52" t="s">
        <v>19808</v>
      </c>
      <c r="I4004" s="53">
        <v>8.6313599999999848</v>
      </c>
      <c r="J4004" s="41">
        <f t="shared" si="15"/>
        <v>8.6313599999999848</v>
      </c>
      <c r="K4004" s="42" t="s">
        <v>5796</v>
      </c>
      <c r="L4004" s="39">
        <v>3983</v>
      </c>
    </row>
    <row r="4005" spans="1:12" ht="11.25" customHeight="1">
      <c r="A4005" s="39">
        <v>3984</v>
      </c>
      <c r="B4005" s="40" t="s">
        <v>19809</v>
      </c>
      <c r="C4005" s="40" t="s">
        <v>19810</v>
      </c>
      <c r="D4005" s="40" t="s">
        <v>19811</v>
      </c>
      <c r="E4005" s="41">
        <v>8.6300000000000008</v>
      </c>
      <c r="F4005" s="40"/>
      <c r="G4005" s="41"/>
      <c r="H4005" s="40"/>
      <c r="I4005" s="41"/>
      <c r="J4005" s="41">
        <f t="shared" si="15"/>
        <v>8.6300000000000008</v>
      </c>
      <c r="K4005" s="42" t="s">
        <v>5796</v>
      </c>
      <c r="L4005" s="39">
        <v>3984</v>
      </c>
    </row>
    <row r="4006" spans="1:12" ht="11.25" customHeight="1">
      <c r="A4006" s="39">
        <v>3985</v>
      </c>
      <c r="B4006" s="40" t="s">
        <v>19812</v>
      </c>
      <c r="C4006" s="40" t="s">
        <v>19813</v>
      </c>
      <c r="D4006" s="40" t="s">
        <v>19814</v>
      </c>
      <c r="E4006" s="41">
        <v>8.6300000000000008</v>
      </c>
      <c r="F4006" s="40"/>
      <c r="G4006" s="41"/>
      <c r="H4006" s="40"/>
      <c r="I4006" s="41"/>
      <c r="J4006" s="41">
        <f t="shared" si="15"/>
        <v>8.6300000000000008</v>
      </c>
      <c r="K4006" s="42" t="s">
        <v>5796</v>
      </c>
      <c r="L4006" s="39">
        <v>3985</v>
      </c>
    </row>
    <row r="4007" spans="1:12" ht="11.25" customHeight="1">
      <c r="A4007" s="39">
        <v>3986</v>
      </c>
      <c r="B4007" s="40" t="s">
        <v>19815</v>
      </c>
      <c r="C4007" s="40" t="s">
        <v>19816</v>
      </c>
      <c r="D4007" s="40" t="s">
        <v>19817</v>
      </c>
      <c r="E4007" s="41">
        <v>8.6300000000000008</v>
      </c>
      <c r="F4007" s="40"/>
      <c r="G4007" s="41"/>
      <c r="H4007" s="40"/>
      <c r="I4007" s="41"/>
      <c r="J4007" s="41">
        <f t="shared" si="15"/>
        <v>8.6300000000000008</v>
      </c>
      <c r="K4007" s="42" t="s">
        <v>5796</v>
      </c>
      <c r="L4007" s="39">
        <v>3986</v>
      </c>
    </row>
    <row r="4008" spans="1:12" ht="11.25" customHeight="1">
      <c r="A4008" s="39">
        <v>3987</v>
      </c>
      <c r="B4008" s="40" t="s">
        <v>9462</v>
      </c>
      <c r="C4008" s="40" t="s">
        <v>19818</v>
      </c>
      <c r="D4008" s="40" t="s">
        <v>19819</v>
      </c>
      <c r="E4008" s="41">
        <v>8.6300000000000008</v>
      </c>
      <c r="F4008" s="40"/>
      <c r="G4008" s="41"/>
      <c r="H4008" s="40"/>
      <c r="I4008" s="41"/>
      <c r="J4008" s="41">
        <f t="shared" si="15"/>
        <v>8.6300000000000008</v>
      </c>
      <c r="K4008" s="42" t="s">
        <v>5796</v>
      </c>
      <c r="L4008" s="39">
        <v>3987</v>
      </c>
    </row>
    <row r="4009" spans="1:12" ht="11.25" customHeight="1">
      <c r="A4009" s="39">
        <v>3988</v>
      </c>
      <c r="B4009" s="40" t="s">
        <v>9193</v>
      </c>
      <c r="C4009" s="40" t="s">
        <v>19820</v>
      </c>
      <c r="D4009" s="40" t="s">
        <v>19821</v>
      </c>
      <c r="E4009" s="41">
        <v>8.6</v>
      </c>
      <c r="F4009" s="40"/>
      <c r="G4009" s="41"/>
      <c r="H4009" s="40"/>
      <c r="I4009" s="41"/>
      <c r="J4009" s="41">
        <f t="shared" si="15"/>
        <v>8.6</v>
      </c>
      <c r="K4009" s="42" t="s">
        <v>5796</v>
      </c>
      <c r="L4009" s="39">
        <v>3988</v>
      </c>
    </row>
    <row r="4010" spans="1:12" ht="11.25" customHeight="1">
      <c r="A4010" s="39">
        <v>3989</v>
      </c>
      <c r="B4010" s="40" t="s">
        <v>19822</v>
      </c>
      <c r="C4010" s="40" t="s">
        <v>19823</v>
      </c>
      <c r="D4010" s="40" t="s">
        <v>19824</v>
      </c>
      <c r="E4010" s="41">
        <v>8.58</v>
      </c>
      <c r="F4010" s="40"/>
      <c r="G4010" s="41"/>
      <c r="H4010" s="40"/>
      <c r="I4010" s="41"/>
      <c r="J4010" s="41">
        <f t="shared" si="15"/>
        <v>8.58</v>
      </c>
      <c r="K4010" s="42" t="s">
        <v>5796</v>
      </c>
      <c r="L4010" s="39">
        <v>3989</v>
      </c>
    </row>
    <row r="4011" spans="1:12" ht="11.25" customHeight="1">
      <c r="A4011" s="39">
        <v>3990</v>
      </c>
      <c r="B4011" s="40" t="s">
        <v>19825</v>
      </c>
      <c r="C4011" s="40" t="s">
        <v>19826</v>
      </c>
      <c r="D4011" s="40" t="s">
        <v>19827</v>
      </c>
      <c r="E4011" s="41">
        <v>8.57</v>
      </c>
      <c r="F4011" s="40"/>
      <c r="G4011" s="41"/>
      <c r="H4011" s="40"/>
      <c r="I4011" s="41"/>
      <c r="J4011" s="41">
        <f t="shared" si="15"/>
        <v>8.57</v>
      </c>
      <c r="K4011" s="42" t="s">
        <v>5796</v>
      </c>
      <c r="L4011" s="39">
        <v>3990</v>
      </c>
    </row>
    <row r="4012" spans="1:12" ht="11.25" customHeight="1">
      <c r="A4012" s="39">
        <v>3991</v>
      </c>
      <c r="B4012" s="40" t="s">
        <v>19828</v>
      </c>
      <c r="C4012" s="40" t="s">
        <v>19829</v>
      </c>
      <c r="D4012" s="40" t="s">
        <v>19830</v>
      </c>
      <c r="E4012" s="41">
        <v>8.57</v>
      </c>
      <c r="F4012" s="40"/>
      <c r="G4012" s="41"/>
      <c r="H4012" s="40"/>
      <c r="I4012" s="41"/>
      <c r="J4012" s="41">
        <f t="shared" si="15"/>
        <v>8.57</v>
      </c>
      <c r="K4012" s="42" t="s">
        <v>5796</v>
      </c>
      <c r="L4012" s="39">
        <v>3991</v>
      </c>
    </row>
    <row r="4013" spans="1:12" ht="11.25" customHeight="1">
      <c r="A4013" s="39">
        <v>3992</v>
      </c>
      <c r="B4013" s="40" t="s">
        <v>19831</v>
      </c>
      <c r="C4013" s="40" t="s">
        <v>19832</v>
      </c>
      <c r="D4013" s="40" t="s">
        <v>19833</v>
      </c>
      <c r="E4013" s="41">
        <v>8.5500000000000007</v>
      </c>
      <c r="F4013" s="40"/>
      <c r="G4013" s="41"/>
      <c r="H4013" s="40"/>
      <c r="I4013" s="41"/>
      <c r="J4013" s="41">
        <f t="shared" si="15"/>
        <v>8.5500000000000007</v>
      </c>
      <c r="K4013" s="42" t="s">
        <v>5796</v>
      </c>
      <c r="L4013" s="39">
        <v>3992</v>
      </c>
    </row>
    <row r="4014" spans="1:12" ht="11.25" customHeight="1">
      <c r="A4014" s="39">
        <v>3993</v>
      </c>
      <c r="B4014" s="40" t="s">
        <v>19834</v>
      </c>
      <c r="C4014" s="40" t="s">
        <v>19835</v>
      </c>
      <c r="D4014" s="40" t="s">
        <v>19836</v>
      </c>
      <c r="E4014" s="41">
        <v>8.5399999999999991</v>
      </c>
      <c r="F4014" s="40"/>
      <c r="G4014" s="41"/>
      <c r="H4014" s="40"/>
      <c r="I4014" s="41"/>
      <c r="J4014" s="41">
        <f t="shared" si="15"/>
        <v>8.5399999999999991</v>
      </c>
      <c r="K4014" s="42" t="s">
        <v>5796</v>
      </c>
      <c r="L4014" s="39">
        <v>3993</v>
      </c>
    </row>
    <row r="4015" spans="1:12" ht="11.25" customHeight="1">
      <c r="A4015" s="39">
        <v>3994</v>
      </c>
      <c r="B4015" s="40" t="s">
        <v>19837</v>
      </c>
      <c r="C4015" s="40" t="s">
        <v>19838</v>
      </c>
      <c r="D4015" s="40" t="s">
        <v>19839</v>
      </c>
      <c r="E4015" s="41">
        <v>8.5399999999999991</v>
      </c>
      <c r="F4015" s="40"/>
      <c r="G4015" s="41"/>
      <c r="H4015" s="40"/>
      <c r="I4015" s="41"/>
      <c r="J4015" s="41">
        <f t="shared" si="15"/>
        <v>8.5399999999999991</v>
      </c>
      <c r="K4015" s="42" t="s">
        <v>5796</v>
      </c>
      <c r="L4015" s="39">
        <v>3994</v>
      </c>
    </row>
    <row r="4016" spans="1:12" ht="11.25" customHeight="1">
      <c r="A4016" s="39">
        <v>3995</v>
      </c>
      <c r="B4016" s="40" t="s">
        <v>19840</v>
      </c>
      <c r="C4016" s="40" t="s">
        <v>19841</v>
      </c>
      <c r="D4016" s="40" t="s">
        <v>19842</v>
      </c>
      <c r="E4016" s="41">
        <v>8.5399999999999991</v>
      </c>
      <c r="F4016" s="40"/>
      <c r="G4016" s="41"/>
      <c r="H4016" s="40"/>
      <c r="I4016" s="41"/>
      <c r="J4016" s="41">
        <f t="shared" si="15"/>
        <v>8.5399999999999991</v>
      </c>
      <c r="K4016" s="42" t="s">
        <v>5796</v>
      </c>
      <c r="L4016" s="39">
        <v>3995</v>
      </c>
    </row>
    <row r="4017" spans="1:12" ht="11.25" customHeight="1">
      <c r="A4017" s="39">
        <v>3996</v>
      </c>
      <c r="B4017" s="40" t="s">
        <v>19843</v>
      </c>
      <c r="C4017" s="40" t="s">
        <v>19844</v>
      </c>
      <c r="D4017" s="40" t="s">
        <v>19845</v>
      </c>
      <c r="E4017" s="41">
        <v>8.5399999999999991</v>
      </c>
      <c r="F4017" s="40"/>
      <c r="G4017" s="41"/>
      <c r="H4017" s="40"/>
      <c r="I4017" s="41"/>
      <c r="J4017" s="41">
        <f t="shared" si="15"/>
        <v>8.5399999999999991</v>
      </c>
      <c r="K4017" s="42" t="s">
        <v>5796</v>
      </c>
      <c r="L4017" s="39">
        <v>3996</v>
      </c>
    </row>
    <row r="4018" spans="1:12" ht="11.25" customHeight="1">
      <c r="A4018" s="39">
        <v>3997</v>
      </c>
      <c r="B4018" s="40" t="s">
        <v>19846</v>
      </c>
      <c r="C4018" s="40" t="s">
        <v>19847</v>
      </c>
      <c r="D4018" s="40" t="s">
        <v>19848</v>
      </c>
      <c r="E4018" s="41">
        <v>8.52</v>
      </c>
      <c r="F4018" s="40"/>
      <c r="G4018" s="41"/>
      <c r="H4018" s="40"/>
      <c r="I4018" s="41"/>
      <c r="J4018" s="41">
        <f t="shared" si="15"/>
        <v>8.52</v>
      </c>
      <c r="K4018" s="42" t="s">
        <v>5796</v>
      </c>
      <c r="L4018" s="39">
        <v>3997</v>
      </c>
    </row>
    <row r="4019" spans="1:12" ht="11.25" customHeight="1">
      <c r="A4019" s="39">
        <v>3998</v>
      </c>
      <c r="B4019" s="40" t="s">
        <v>9079</v>
      </c>
      <c r="C4019" s="40" t="s">
        <v>19849</v>
      </c>
      <c r="D4019" s="40" t="s">
        <v>19850</v>
      </c>
      <c r="E4019" s="41">
        <v>8.51</v>
      </c>
      <c r="F4019" s="40"/>
      <c r="G4019" s="41"/>
      <c r="H4019" s="40"/>
      <c r="I4019" s="41"/>
      <c r="J4019" s="41">
        <f t="shared" si="15"/>
        <v>8.51</v>
      </c>
      <c r="K4019" s="42" t="s">
        <v>5796</v>
      </c>
      <c r="L4019" s="39">
        <v>3998</v>
      </c>
    </row>
    <row r="4020" spans="1:12" ht="11.25" customHeight="1">
      <c r="A4020" s="39">
        <v>3999</v>
      </c>
      <c r="B4020" s="52" t="s">
        <v>9070</v>
      </c>
      <c r="C4020" s="52" t="s">
        <v>19851</v>
      </c>
      <c r="D4020" s="40"/>
      <c r="E4020" s="41"/>
      <c r="F4020" s="40"/>
      <c r="G4020" s="41"/>
      <c r="H4020" s="52" t="s">
        <v>19852</v>
      </c>
      <c r="I4020" s="53">
        <v>8.5</v>
      </c>
      <c r="J4020" s="41">
        <f t="shared" si="15"/>
        <v>8.5</v>
      </c>
      <c r="K4020" s="42" t="s">
        <v>5796</v>
      </c>
      <c r="L4020" s="39">
        <v>3999</v>
      </c>
    </row>
    <row r="4021" spans="1:12" ht="11.25" customHeight="1">
      <c r="A4021" s="39">
        <v>4000</v>
      </c>
      <c r="B4021" s="40" t="s">
        <v>19853</v>
      </c>
      <c r="C4021" s="40" t="s">
        <v>19854</v>
      </c>
      <c r="D4021" s="40" t="s">
        <v>19855</v>
      </c>
      <c r="E4021" s="41">
        <v>8.49</v>
      </c>
      <c r="F4021" s="40"/>
      <c r="G4021" s="41"/>
      <c r="H4021" s="40"/>
      <c r="I4021" s="41"/>
      <c r="J4021" s="41">
        <f t="shared" si="15"/>
        <v>8.49</v>
      </c>
      <c r="K4021" s="42" t="s">
        <v>5796</v>
      </c>
      <c r="L4021" s="39">
        <v>4000</v>
      </c>
    </row>
    <row r="4022" spans="1:12" ht="11.25" customHeight="1">
      <c r="A4022" s="39">
        <v>4001</v>
      </c>
      <c r="B4022" s="52" t="s">
        <v>9071</v>
      </c>
      <c r="C4022" s="52" t="s">
        <v>19856</v>
      </c>
      <c r="D4022" s="40"/>
      <c r="E4022" s="41"/>
      <c r="F4022" s="40"/>
      <c r="G4022" s="41"/>
      <c r="H4022" s="52" t="s">
        <v>19857</v>
      </c>
      <c r="I4022" s="53">
        <v>8.4809999999999963</v>
      </c>
      <c r="J4022" s="41">
        <f t="shared" si="15"/>
        <v>8.4809999999999963</v>
      </c>
      <c r="K4022" s="42" t="s">
        <v>5796</v>
      </c>
      <c r="L4022" s="39">
        <v>4001</v>
      </c>
    </row>
    <row r="4023" spans="1:12" ht="11.25" customHeight="1">
      <c r="A4023" s="39">
        <v>4002</v>
      </c>
      <c r="B4023" s="40" t="s">
        <v>9008</v>
      </c>
      <c r="C4023" s="40" t="s">
        <v>19858</v>
      </c>
      <c r="D4023" s="40" t="s">
        <v>19859</v>
      </c>
      <c r="E4023" s="41">
        <v>8.48</v>
      </c>
      <c r="F4023" s="40"/>
      <c r="G4023" s="41"/>
      <c r="H4023" s="40"/>
      <c r="I4023" s="41"/>
      <c r="J4023" s="41">
        <f t="shared" si="15"/>
        <v>8.48</v>
      </c>
      <c r="K4023" s="42" t="s">
        <v>5796</v>
      </c>
      <c r="L4023" s="39">
        <v>4002</v>
      </c>
    </row>
    <row r="4024" spans="1:12" ht="11.25" customHeight="1">
      <c r="A4024" s="39">
        <v>4003</v>
      </c>
      <c r="B4024" s="40" t="s">
        <v>19860</v>
      </c>
      <c r="C4024" s="40" t="s">
        <v>19861</v>
      </c>
      <c r="D4024" s="40" t="s">
        <v>19862</v>
      </c>
      <c r="E4024" s="41">
        <v>8.48</v>
      </c>
      <c r="F4024" s="40"/>
      <c r="G4024" s="41"/>
      <c r="H4024" s="40"/>
      <c r="I4024" s="41"/>
      <c r="J4024" s="41">
        <f t="shared" si="15"/>
        <v>8.48</v>
      </c>
      <c r="K4024" s="42" t="s">
        <v>5796</v>
      </c>
      <c r="L4024" s="39">
        <v>4003</v>
      </c>
    </row>
    <row r="4025" spans="1:12" ht="11.25" customHeight="1">
      <c r="A4025" s="39">
        <v>4004</v>
      </c>
      <c r="B4025" s="52" t="s">
        <v>9073</v>
      </c>
      <c r="C4025" s="52" t="s">
        <v>19863</v>
      </c>
      <c r="D4025" s="40"/>
      <c r="E4025" s="41"/>
      <c r="F4025" s="40"/>
      <c r="G4025" s="41"/>
      <c r="H4025" s="52" t="s">
        <v>19864</v>
      </c>
      <c r="I4025" s="53">
        <v>8.4775566250000125</v>
      </c>
      <c r="J4025" s="41">
        <f t="shared" si="15"/>
        <v>8.4775566250000125</v>
      </c>
      <c r="K4025" s="42" t="s">
        <v>5796</v>
      </c>
      <c r="L4025" s="39">
        <v>4004</v>
      </c>
    </row>
    <row r="4026" spans="1:12" ht="11.25" customHeight="1">
      <c r="A4026" s="39">
        <v>4005</v>
      </c>
      <c r="B4026" s="40" t="s">
        <v>19865</v>
      </c>
      <c r="C4026" s="40" t="s">
        <v>19866</v>
      </c>
      <c r="D4026" s="40" t="s">
        <v>19867</v>
      </c>
      <c r="E4026" s="41">
        <v>8.4700000000000006</v>
      </c>
      <c r="F4026" s="40"/>
      <c r="G4026" s="41"/>
      <c r="H4026" s="40"/>
      <c r="I4026" s="41"/>
      <c r="J4026" s="41">
        <f t="shared" si="15"/>
        <v>8.4700000000000006</v>
      </c>
      <c r="K4026" s="42" t="s">
        <v>5796</v>
      </c>
      <c r="L4026" s="39">
        <v>4005</v>
      </c>
    </row>
    <row r="4027" spans="1:12" ht="11.25" customHeight="1">
      <c r="A4027" s="39">
        <v>4006</v>
      </c>
      <c r="B4027" s="40" t="s">
        <v>19868</v>
      </c>
      <c r="C4027" s="40" t="s">
        <v>19869</v>
      </c>
      <c r="D4027" s="40" t="s">
        <v>19870</v>
      </c>
      <c r="E4027" s="41">
        <v>8.4499999999999993</v>
      </c>
      <c r="F4027" s="40"/>
      <c r="G4027" s="41"/>
      <c r="H4027" s="40" t="s">
        <v>19870</v>
      </c>
      <c r="I4027" s="41">
        <v>8.4524402016129052</v>
      </c>
      <c r="J4027" s="41">
        <f t="shared" si="15"/>
        <v>8.4512201008064523</v>
      </c>
      <c r="K4027" s="42" t="s">
        <v>5796</v>
      </c>
      <c r="L4027" s="39">
        <v>4006</v>
      </c>
    </row>
    <row r="4028" spans="1:12" ht="11.25" customHeight="1">
      <c r="A4028" s="39">
        <v>4007</v>
      </c>
      <c r="B4028" s="40" t="s">
        <v>19871</v>
      </c>
      <c r="C4028" s="40" t="s">
        <v>19872</v>
      </c>
      <c r="D4028" s="40" t="s">
        <v>19873</v>
      </c>
      <c r="E4028" s="41">
        <v>8.43</v>
      </c>
      <c r="F4028" s="40"/>
      <c r="G4028" s="41"/>
      <c r="H4028" s="40"/>
      <c r="I4028" s="41"/>
      <c r="J4028" s="41">
        <f t="shared" si="15"/>
        <v>8.43</v>
      </c>
      <c r="K4028" s="42" t="s">
        <v>5796</v>
      </c>
      <c r="L4028" s="39">
        <v>4007</v>
      </c>
    </row>
    <row r="4029" spans="1:12" ht="11.25" customHeight="1">
      <c r="A4029" s="39">
        <v>4009</v>
      </c>
      <c r="B4029" s="40" t="s">
        <v>19874</v>
      </c>
      <c r="C4029" s="40" t="s">
        <v>19875</v>
      </c>
      <c r="D4029" s="40" t="s">
        <v>19876</v>
      </c>
      <c r="E4029" s="41">
        <v>8.41</v>
      </c>
      <c r="F4029" s="40"/>
      <c r="G4029" s="41"/>
      <c r="H4029" s="40"/>
      <c r="I4029" s="41"/>
      <c r="J4029" s="41">
        <f t="shared" si="15"/>
        <v>8.41</v>
      </c>
      <c r="K4029" s="42" t="s">
        <v>5796</v>
      </c>
      <c r="L4029" s="39">
        <v>4009</v>
      </c>
    </row>
    <row r="4030" spans="1:12" ht="11.25" customHeight="1">
      <c r="A4030" s="39">
        <v>4010</v>
      </c>
      <c r="B4030" s="40" t="s">
        <v>19877</v>
      </c>
      <c r="C4030" s="40" t="s">
        <v>19878</v>
      </c>
      <c r="D4030" s="40" t="s">
        <v>19879</v>
      </c>
      <c r="E4030" s="41">
        <v>8.4</v>
      </c>
      <c r="F4030" s="40"/>
      <c r="G4030" s="41"/>
      <c r="H4030" s="40"/>
      <c r="I4030" s="41"/>
      <c r="J4030" s="41">
        <f t="shared" si="15"/>
        <v>8.4</v>
      </c>
      <c r="K4030" s="42" t="s">
        <v>5796</v>
      </c>
      <c r="L4030" s="39">
        <v>4010</v>
      </c>
    </row>
    <row r="4031" spans="1:12" ht="11.25" customHeight="1">
      <c r="A4031" s="39">
        <v>4011</v>
      </c>
      <c r="B4031" s="40" t="s">
        <v>19880</v>
      </c>
      <c r="C4031" s="40" t="s">
        <v>19881</v>
      </c>
      <c r="D4031" s="40" t="s">
        <v>19882</v>
      </c>
      <c r="E4031" s="41">
        <v>8.3800000000000008</v>
      </c>
      <c r="F4031" s="40"/>
      <c r="G4031" s="41"/>
      <c r="H4031" s="40"/>
      <c r="I4031" s="41"/>
      <c r="J4031" s="41">
        <f t="shared" si="15"/>
        <v>8.3800000000000008</v>
      </c>
      <c r="K4031" s="42" t="s">
        <v>5796</v>
      </c>
      <c r="L4031" s="39">
        <v>4011</v>
      </c>
    </row>
    <row r="4032" spans="1:12" ht="11.25" customHeight="1">
      <c r="A4032" s="39">
        <v>4012</v>
      </c>
      <c r="B4032" s="40" t="s">
        <v>19883</v>
      </c>
      <c r="C4032" s="40" t="s">
        <v>19884</v>
      </c>
      <c r="D4032" s="40" t="s">
        <v>19885</v>
      </c>
      <c r="E4032" s="41">
        <v>8.35</v>
      </c>
      <c r="F4032" s="40"/>
      <c r="G4032" s="41"/>
      <c r="H4032" s="40"/>
      <c r="I4032" s="41"/>
      <c r="J4032" s="41">
        <f t="shared" si="15"/>
        <v>8.35</v>
      </c>
      <c r="K4032" s="42" t="s">
        <v>5796</v>
      </c>
      <c r="L4032" s="39">
        <v>4012</v>
      </c>
    </row>
    <row r="4033" spans="1:12" ht="11.25" customHeight="1">
      <c r="A4033" s="39">
        <v>4013</v>
      </c>
      <c r="B4033" s="40" t="s">
        <v>8986</v>
      </c>
      <c r="C4033" s="40" t="s">
        <v>19886</v>
      </c>
      <c r="D4033" s="40" t="s">
        <v>19887</v>
      </c>
      <c r="E4033" s="41">
        <v>8.33</v>
      </c>
      <c r="F4033" s="40"/>
      <c r="G4033" s="41"/>
      <c r="H4033" s="40"/>
      <c r="I4033" s="41"/>
      <c r="J4033" s="41">
        <f t="shared" si="15"/>
        <v>8.33</v>
      </c>
      <c r="K4033" s="42" t="s">
        <v>5796</v>
      </c>
      <c r="L4033" s="39">
        <v>4013</v>
      </c>
    </row>
    <row r="4034" spans="1:12" ht="11.25" customHeight="1">
      <c r="A4034" s="39">
        <v>4014</v>
      </c>
      <c r="B4034" s="40" t="s">
        <v>19888</v>
      </c>
      <c r="C4034" s="40" t="s">
        <v>19889</v>
      </c>
      <c r="D4034" s="40" t="s">
        <v>19890</v>
      </c>
      <c r="E4034" s="41">
        <v>8.33</v>
      </c>
      <c r="F4034" s="40"/>
      <c r="G4034" s="41"/>
      <c r="H4034" s="40"/>
      <c r="I4034" s="41"/>
      <c r="J4034" s="41">
        <f t="shared" si="15"/>
        <v>8.33</v>
      </c>
      <c r="K4034" s="42" t="s">
        <v>5796</v>
      </c>
      <c r="L4034" s="39">
        <v>4014</v>
      </c>
    </row>
    <row r="4035" spans="1:12" ht="11.25" customHeight="1">
      <c r="A4035" s="39">
        <v>4015</v>
      </c>
      <c r="B4035" s="40" t="s">
        <v>19891</v>
      </c>
      <c r="C4035" s="40" t="s">
        <v>19892</v>
      </c>
      <c r="D4035" s="40" t="s">
        <v>19893</v>
      </c>
      <c r="E4035" s="41">
        <v>8.33</v>
      </c>
      <c r="F4035" s="40"/>
      <c r="G4035" s="41"/>
      <c r="H4035" s="40"/>
      <c r="I4035" s="41"/>
      <c r="J4035" s="41">
        <f t="shared" si="15"/>
        <v>8.33</v>
      </c>
      <c r="K4035" s="42" t="s">
        <v>5796</v>
      </c>
      <c r="L4035" s="39">
        <v>4015</v>
      </c>
    </row>
    <row r="4036" spans="1:12" ht="11.25" customHeight="1">
      <c r="A4036" s="39">
        <v>4016</v>
      </c>
      <c r="B4036" s="40" t="s">
        <v>19894</v>
      </c>
      <c r="C4036" s="40" t="s">
        <v>19895</v>
      </c>
      <c r="D4036" s="40" t="s">
        <v>19896</v>
      </c>
      <c r="E4036" s="41">
        <v>8.3000000000000007</v>
      </c>
      <c r="F4036" s="40"/>
      <c r="G4036" s="41"/>
      <c r="H4036" s="40"/>
      <c r="I4036" s="41"/>
      <c r="J4036" s="41">
        <f t="shared" si="15"/>
        <v>8.3000000000000007</v>
      </c>
      <c r="K4036" s="42" t="s">
        <v>5796</v>
      </c>
      <c r="L4036" s="39">
        <v>4016</v>
      </c>
    </row>
    <row r="4037" spans="1:12" ht="11.25" customHeight="1">
      <c r="A4037" s="39">
        <v>4018</v>
      </c>
      <c r="B4037" s="40" t="s">
        <v>19897</v>
      </c>
      <c r="C4037" s="40" t="s">
        <v>19898</v>
      </c>
      <c r="D4037" s="40" t="s">
        <v>19899</v>
      </c>
      <c r="E4037" s="41">
        <v>8.27</v>
      </c>
      <c r="F4037" s="40"/>
      <c r="G4037" s="41"/>
      <c r="H4037" s="40"/>
      <c r="I4037" s="41"/>
      <c r="J4037" s="41">
        <f t="shared" si="15"/>
        <v>8.27</v>
      </c>
      <c r="K4037" s="42" t="s">
        <v>5796</v>
      </c>
      <c r="L4037" s="39">
        <v>4018</v>
      </c>
    </row>
    <row r="4038" spans="1:12" ht="11.25" customHeight="1">
      <c r="A4038" s="39">
        <v>4019</v>
      </c>
      <c r="B4038" s="40" t="s">
        <v>19900</v>
      </c>
      <c r="C4038" s="40" t="s">
        <v>19901</v>
      </c>
      <c r="D4038" s="40" t="s">
        <v>19902</v>
      </c>
      <c r="E4038" s="41">
        <v>8.24</v>
      </c>
      <c r="F4038" s="40"/>
      <c r="G4038" s="41"/>
      <c r="H4038" s="40"/>
      <c r="I4038" s="41"/>
      <c r="J4038" s="41">
        <f t="shared" si="15"/>
        <v>8.24</v>
      </c>
      <c r="K4038" s="42" t="s">
        <v>5796</v>
      </c>
      <c r="L4038" s="39">
        <v>4019</v>
      </c>
    </row>
    <row r="4039" spans="1:12" ht="11.25" customHeight="1">
      <c r="A4039" s="39">
        <v>4020</v>
      </c>
      <c r="B4039" s="40" t="s">
        <v>19903</v>
      </c>
      <c r="C4039" s="40" t="s">
        <v>19904</v>
      </c>
      <c r="D4039" s="40" t="s">
        <v>19905</v>
      </c>
      <c r="E4039" s="41">
        <v>8.2200000000000006</v>
      </c>
      <c r="F4039" s="40"/>
      <c r="G4039" s="41"/>
      <c r="H4039" s="40"/>
      <c r="I4039" s="41"/>
      <c r="J4039" s="41">
        <f t="shared" si="15"/>
        <v>8.2200000000000006</v>
      </c>
      <c r="K4039" s="42" t="s">
        <v>5796</v>
      </c>
      <c r="L4039" s="39">
        <v>4020</v>
      </c>
    </row>
    <row r="4040" spans="1:12" ht="11.25" customHeight="1">
      <c r="A4040" s="39">
        <v>4021</v>
      </c>
      <c r="B4040" s="40" t="s">
        <v>19906</v>
      </c>
      <c r="C4040" s="40" t="s">
        <v>19907</v>
      </c>
      <c r="D4040" s="40" t="s">
        <v>19908</v>
      </c>
      <c r="E4040" s="41">
        <v>8.18</v>
      </c>
      <c r="F4040" s="40"/>
      <c r="G4040" s="41"/>
      <c r="H4040" s="40"/>
      <c r="I4040" s="41"/>
      <c r="J4040" s="41">
        <f t="shared" si="15"/>
        <v>8.18</v>
      </c>
      <c r="K4040" s="42" t="s">
        <v>5796</v>
      </c>
      <c r="L4040" s="39">
        <v>4021</v>
      </c>
    </row>
    <row r="4041" spans="1:12" ht="11.25" customHeight="1">
      <c r="A4041" s="39">
        <v>4022</v>
      </c>
      <c r="B4041" s="40" t="s">
        <v>8854</v>
      </c>
      <c r="C4041" s="40" t="s">
        <v>19909</v>
      </c>
      <c r="D4041" s="40" t="s">
        <v>19910</v>
      </c>
      <c r="E4041" s="41">
        <v>8.18</v>
      </c>
      <c r="F4041" s="40"/>
      <c r="G4041" s="41"/>
      <c r="H4041" s="40"/>
      <c r="I4041" s="41"/>
      <c r="J4041" s="41">
        <f t="shared" si="15"/>
        <v>8.18</v>
      </c>
      <c r="K4041" s="42" t="s">
        <v>5796</v>
      </c>
      <c r="L4041" s="39">
        <v>4022</v>
      </c>
    </row>
    <row r="4042" spans="1:12" ht="11.25" customHeight="1">
      <c r="A4042" s="39">
        <v>4023</v>
      </c>
      <c r="B4042" s="40" t="s">
        <v>19911</v>
      </c>
      <c r="C4042" s="40" t="s">
        <v>19912</v>
      </c>
      <c r="D4042" s="40" t="s">
        <v>19913</v>
      </c>
      <c r="E4042" s="41">
        <v>8.17</v>
      </c>
      <c r="F4042" s="40"/>
      <c r="G4042" s="41"/>
      <c r="H4042" s="40"/>
      <c r="I4042" s="41"/>
      <c r="J4042" s="41">
        <f t="shared" si="15"/>
        <v>8.17</v>
      </c>
      <c r="K4042" s="42" t="s">
        <v>5796</v>
      </c>
      <c r="L4042" s="39">
        <v>4023</v>
      </c>
    </row>
    <row r="4043" spans="1:12" ht="11.25" customHeight="1">
      <c r="A4043" s="39">
        <v>4024</v>
      </c>
      <c r="B4043" s="40" t="s">
        <v>19914</v>
      </c>
      <c r="C4043" s="40" t="s">
        <v>19915</v>
      </c>
      <c r="D4043" s="40" t="s">
        <v>19916</v>
      </c>
      <c r="E4043" s="41">
        <v>8.17</v>
      </c>
      <c r="F4043" s="40"/>
      <c r="G4043" s="41"/>
      <c r="H4043" s="40"/>
      <c r="I4043" s="41"/>
      <c r="J4043" s="41">
        <f t="shared" si="15"/>
        <v>8.17</v>
      </c>
      <c r="K4043" s="42" t="s">
        <v>5796</v>
      </c>
      <c r="L4043" s="39">
        <v>4024</v>
      </c>
    </row>
    <row r="4044" spans="1:12" ht="11.25" customHeight="1">
      <c r="A4044" s="39">
        <v>4025</v>
      </c>
      <c r="B4044" s="52" t="s">
        <v>9097</v>
      </c>
      <c r="C4044" s="52" t="s">
        <v>19917</v>
      </c>
      <c r="D4044" s="40"/>
      <c r="E4044" s="41"/>
      <c r="F4044" s="40"/>
      <c r="G4044" s="41"/>
      <c r="H4044" s="52" t="s">
        <v>19918</v>
      </c>
      <c r="I4044" s="53">
        <v>8.16520000000002</v>
      </c>
      <c r="J4044" s="41">
        <f t="shared" si="15"/>
        <v>8.16520000000002</v>
      </c>
      <c r="K4044" s="42" t="s">
        <v>5796</v>
      </c>
      <c r="L4044" s="39">
        <v>4025</v>
      </c>
    </row>
    <row r="4045" spans="1:12" ht="11.25" customHeight="1">
      <c r="A4045" s="39">
        <v>4026</v>
      </c>
      <c r="B4045" s="40" t="s">
        <v>19919</v>
      </c>
      <c r="C4045" s="40" t="s">
        <v>19920</v>
      </c>
      <c r="D4045" s="40" t="s">
        <v>19921</v>
      </c>
      <c r="E4045" s="41">
        <v>8.14</v>
      </c>
      <c r="F4045" s="40"/>
      <c r="G4045" s="41"/>
      <c r="H4045" s="40"/>
      <c r="I4045" s="41"/>
      <c r="J4045" s="41">
        <f t="shared" si="15"/>
        <v>8.14</v>
      </c>
      <c r="K4045" s="42" t="s">
        <v>5796</v>
      </c>
      <c r="L4045" s="39">
        <v>4026</v>
      </c>
    </row>
    <row r="4046" spans="1:12" ht="11.25" customHeight="1">
      <c r="A4046" s="39">
        <v>4027</v>
      </c>
      <c r="B4046" s="40" t="s">
        <v>19922</v>
      </c>
      <c r="C4046" s="40" t="s">
        <v>19923</v>
      </c>
      <c r="D4046" s="40" t="s">
        <v>19924</v>
      </c>
      <c r="E4046" s="41">
        <v>8.14</v>
      </c>
      <c r="F4046" s="40"/>
      <c r="G4046" s="41"/>
      <c r="H4046" s="40"/>
      <c r="I4046" s="41"/>
      <c r="J4046" s="41">
        <f t="shared" si="15"/>
        <v>8.14</v>
      </c>
      <c r="K4046" s="42" t="s">
        <v>5796</v>
      </c>
      <c r="L4046" s="39">
        <v>4027</v>
      </c>
    </row>
    <row r="4047" spans="1:12" ht="11.25" customHeight="1">
      <c r="A4047" s="39">
        <v>4028</v>
      </c>
      <c r="B4047" s="40" t="s">
        <v>19925</v>
      </c>
      <c r="C4047" s="40" t="s">
        <v>19926</v>
      </c>
      <c r="D4047" s="40" t="s">
        <v>19927</v>
      </c>
      <c r="E4047" s="41">
        <v>8.1300000000000008</v>
      </c>
      <c r="F4047" s="40"/>
      <c r="G4047" s="41"/>
      <c r="H4047" s="40"/>
      <c r="I4047" s="41"/>
      <c r="J4047" s="41">
        <f t="shared" si="15"/>
        <v>8.1300000000000008</v>
      </c>
      <c r="K4047" s="42" t="s">
        <v>5796</v>
      </c>
      <c r="L4047" s="39">
        <v>4028</v>
      </c>
    </row>
    <row r="4048" spans="1:12" ht="11.25" customHeight="1">
      <c r="A4048" s="39">
        <v>4030</v>
      </c>
      <c r="B4048" s="40" t="s">
        <v>9099</v>
      </c>
      <c r="C4048" s="40" t="s">
        <v>19928</v>
      </c>
      <c r="D4048" s="40" t="s">
        <v>19929</v>
      </c>
      <c r="E4048" s="41">
        <v>8.11</v>
      </c>
      <c r="F4048" s="40"/>
      <c r="G4048" s="41"/>
      <c r="H4048" s="40"/>
      <c r="I4048" s="41"/>
      <c r="J4048" s="41">
        <f t="shared" si="15"/>
        <v>8.11</v>
      </c>
      <c r="K4048" s="42" t="s">
        <v>5796</v>
      </c>
      <c r="L4048" s="39">
        <v>4030</v>
      </c>
    </row>
    <row r="4049" spans="1:12" ht="11.25" customHeight="1">
      <c r="A4049" s="39">
        <v>4031</v>
      </c>
      <c r="B4049" s="40" t="s">
        <v>19930</v>
      </c>
      <c r="C4049" s="40" t="s">
        <v>19931</v>
      </c>
      <c r="D4049" s="40" t="s">
        <v>19932</v>
      </c>
      <c r="E4049" s="41">
        <v>8.1</v>
      </c>
      <c r="F4049" s="40"/>
      <c r="G4049" s="41"/>
      <c r="H4049" s="40"/>
      <c r="I4049" s="41"/>
      <c r="J4049" s="41">
        <f t="shared" si="15"/>
        <v>8.1</v>
      </c>
      <c r="K4049" s="42" t="s">
        <v>5796</v>
      </c>
      <c r="L4049" s="39">
        <v>4031</v>
      </c>
    </row>
    <row r="4050" spans="1:12" ht="11.25" customHeight="1">
      <c r="A4050" s="39">
        <v>4032</v>
      </c>
      <c r="B4050" s="40" t="s">
        <v>19933</v>
      </c>
      <c r="C4050" s="40" t="s">
        <v>19934</v>
      </c>
      <c r="D4050" s="40" t="s">
        <v>19935</v>
      </c>
      <c r="E4050" s="41">
        <v>8.1</v>
      </c>
      <c r="F4050" s="40"/>
      <c r="G4050" s="41"/>
      <c r="H4050" s="40"/>
      <c r="I4050" s="41"/>
      <c r="J4050" s="41">
        <f t="shared" si="15"/>
        <v>8.1</v>
      </c>
      <c r="K4050" s="42" t="s">
        <v>5796</v>
      </c>
      <c r="L4050" s="39">
        <v>4032</v>
      </c>
    </row>
    <row r="4051" spans="1:12" ht="11.25" customHeight="1">
      <c r="A4051" s="39">
        <v>4033</v>
      </c>
      <c r="B4051" s="40" t="s">
        <v>19936</v>
      </c>
      <c r="C4051" s="40" t="s">
        <v>19937</v>
      </c>
      <c r="D4051" s="40" t="s">
        <v>19938</v>
      </c>
      <c r="E4051" s="41">
        <v>8.0500000000000007</v>
      </c>
      <c r="F4051" s="40"/>
      <c r="G4051" s="41"/>
      <c r="H4051" s="40"/>
      <c r="I4051" s="41"/>
      <c r="J4051" s="41">
        <f t="shared" si="15"/>
        <v>8.0500000000000007</v>
      </c>
      <c r="K4051" s="42" t="s">
        <v>5796</v>
      </c>
      <c r="L4051" s="39">
        <v>4033</v>
      </c>
    </row>
    <row r="4052" spans="1:12" ht="11.25" customHeight="1">
      <c r="A4052" s="39">
        <v>4034</v>
      </c>
      <c r="B4052" s="40" t="s">
        <v>19939</v>
      </c>
      <c r="C4052" s="40" t="s">
        <v>19940</v>
      </c>
      <c r="D4052" s="40" t="s">
        <v>19941</v>
      </c>
      <c r="E4052" s="41">
        <v>8.0500000000000007</v>
      </c>
      <c r="F4052" s="40"/>
      <c r="G4052" s="41"/>
      <c r="H4052" s="40"/>
      <c r="I4052" s="41"/>
      <c r="J4052" s="41">
        <f t="shared" si="15"/>
        <v>8.0500000000000007</v>
      </c>
      <c r="K4052" s="42" t="s">
        <v>5796</v>
      </c>
      <c r="L4052" s="39">
        <v>4034</v>
      </c>
    </row>
    <row r="4053" spans="1:12" ht="11.25" customHeight="1">
      <c r="A4053" s="39">
        <v>4035</v>
      </c>
      <c r="B4053" s="40" t="s">
        <v>9069</v>
      </c>
      <c r="C4053" s="40" t="s">
        <v>19942</v>
      </c>
      <c r="D4053" s="40" t="s">
        <v>19943</v>
      </c>
      <c r="E4053" s="41">
        <v>8.0399999999999991</v>
      </c>
      <c r="F4053" s="40"/>
      <c r="G4053" s="41"/>
      <c r="H4053" s="40"/>
      <c r="I4053" s="41"/>
      <c r="J4053" s="41">
        <f t="shared" si="15"/>
        <v>8.0399999999999991</v>
      </c>
      <c r="K4053" s="42" t="s">
        <v>5796</v>
      </c>
      <c r="L4053" s="39">
        <v>4035</v>
      </c>
    </row>
    <row r="4054" spans="1:12" ht="11.25" customHeight="1">
      <c r="A4054" s="39">
        <v>4036</v>
      </c>
      <c r="B4054" s="40" t="s">
        <v>19944</v>
      </c>
      <c r="C4054" s="40" t="s">
        <v>19945</v>
      </c>
      <c r="D4054" s="40" t="s">
        <v>19946</v>
      </c>
      <c r="E4054" s="41">
        <v>8.02</v>
      </c>
      <c r="F4054" s="40"/>
      <c r="G4054" s="41"/>
      <c r="H4054" s="40"/>
      <c r="I4054" s="41"/>
      <c r="J4054" s="41">
        <f t="shared" si="15"/>
        <v>8.02</v>
      </c>
      <c r="K4054" s="42" t="s">
        <v>5796</v>
      </c>
      <c r="L4054" s="39">
        <v>4036</v>
      </c>
    </row>
    <row r="4055" spans="1:12" ht="11.25" customHeight="1">
      <c r="A4055" s="39">
        <v>4037</v>
      </c>
      <c r="B4055" s="40" t="s">
        <v>19947</v>
      </c>
      <c r="C4055" s="40" t="s">
        <v>19948</v>
      </c>
      <c r="D4055" s="40" t="s">
        <v>19949</v>
      </c>
      <c r="E4055" s="41">
        <v>8.01</v>
      </c>
      <c r="F4055" s="40"/>
      <c r="G4055" s="41"/>
      <c r="H4055" s="40"/>
      <c r="I4055" s="41"/>
      <c r="J4055" s="41">
        <f t="shared" si="15"/>
        <v>8.01</v>
      </c>
      <c r="K4055" s="42" t="s">
        <v>5796</v>
      </c>
      <c r="L4055" s="39">
        <v>4037</v>
      </c>
    </row>
    <row r="4056" spans="1:12" ht="11.25" customHeight="1">
      <c r="A4056" s="39">
        <v>4038</v>
      </c>
      <c r="B4056" s="40" t="s">
        <v>19950</v>
      </c>
      <c r="C4056" s="40" t="s">
        <v>19951</v>
      </c>
      <c r="D4056" s="40" t="s">
        <v>19952</v>
      </c>
      <c r="E4056" s="41">
        <v>8</v>
      </c>
      <c r="F4056" s="40"/>
      <c r="G4056" s="41"/>
      <c r="H4056" s="40"/>
      <c r="I4056" s="41"/>
      <c r="J4056" s="41">
        <f t="shared" si="15"/>
        <v>8</v>
      </c>
      <c r="K4056" s="42" t="s">
        <v>5796</v>
      </c>
      <c r="L4056" s="39">
        <v>4038</v>
      </c>
    </row>
    <row r="4057" spans="1:12" ht="11.25" customHeight="1">
      <c r="A4057" s="39">
        <v>4039</v>
      </c>
      <c r="B4057" s="40" t="s">
        <v>19953</v>
      </c>
      <c r="C4057" s="40" t="s">
        <v>19954</v>
      </c>
      <c r="D4057" s="40" t="s">
        <v>19955</v>
      </c>
      <c r="E4057" s="41">
        <v>7.99</v>
      </c>
      <c r="F4057" s="40"/>
      <c r="G4057" s="41"/>
      <c r="H4057" s="40"/>
      <c r="I4057" s="41"/>
      <c r="J4057" s="41">
        <f t="shared" si="15"/>
        <v>7.99</v>
      </c>
      <c r="K4057" s="42" t="s">
        <v>5796</v>
      </c>
      <c r="L4057" s="39">
        <v>4039</v>
      </c>
    </row>
    <row r="4058" spans="1:12" ht="11.25" customHeight="1">
      <c r="A4058" s="39">
        <v>4040</v>
      </c>
      <c r="B4058" s="40" t="s">
        <v>19956</v>
      </c>
      <c r="C4058" s="40" t="s">
        <v>19957</v>
      </c>
      <c r="D4058" s="40" t="s">
        <v>19958</v>
      </c>
      <c r="E4058" s="41">
        <v>7.97</v>
      </c>
      <c r="F4058" s="40"/>
      <c r="G4058" s="41"/>
      <c r="H4058" s="40"/>
      <c r="I4058" s="41"/>
      <c r="J4058" s="41">
        <f t="shared" si="15"/>
        <v>7.97</v>
      </c>
      <c r="K4058" s="42" t="s">
        <v>5796</v>
      </c>
      <c r="L4058" s="39">
        <v>4040</v>
      </c>
    </row>
    <row r="4059" spans="1:12" ht="11.25" customHeight="1">
      <c r="A4059" s="39">
        <v>4041</v>
      </c>
      <c r="B4059" s="40" t="s">
        <v>9093</v>
      </c>
      <c r="C4059" s="40" t="s">
        <v>19959</v>
      </c>
      <c r="D4059" s="40" t="s">
        <v>19960</v>
      </c>
      <c r="E4059" s="41">
        <v>7.96</v>
      </c>
      <c r="F4059" s="40"/>
      <c r="G4059" s="41"/>
      <c r="H4059" s="40"/>
      <c r="I4059" s="41"/>
      <c r="J4059" s="41">
        <f t="shared" si="15"/>
        <v>7.96</v>
      </c>
      <c r="K4059" s="42" t="s">
        <v>5796</v>
      </c>
      <c r="L4059" s="39">
        <v>4041</v>
      </c>
    </row>
    <row r="4060" spans="1:12" ht="11.25" customHeight="1">
      <c r="A4060" s="39">
        <v>4042</v>
      </c>
      <c r="B4060" s="40" t="s">
        <v>8712</v>
      </c>
      <c r="C4060" s="40" t="s">
        <v>19961</v>
      </c>
      <c r="D4060" s="40" t="s">
        <v>19962</v>
      </c>
      <c r="E4060" s="41">
        <v>7.92</v>
      </c>
      <c r="F4060" s="40"/>
      <c r="G4060" s="41"/>
      <c r="H4060" s="40"/>
      <c r="I4060" s="41"/>
      <c r="J4060" s="41">
        <f t="shared" si="15"/>
        <v>7.92</v>
      </c>
      <c r="K4060" s="42" t="s">
        <v>5796</v>
      </c>
      <c r="L4060" s="39">
        <v>4042</v>
      </c>
    </row>
    <row r="4061" spans="1:12" ht="11.25" customHeight="1">
      <c r="A4061" s="39">
        <v>4043</v>
      </c>
      <c r="B4061" s="40" t="s">
        <v>19963</v>
      </c>
      <c r="C4061" s="40" t="s">
        <v>19964</v>
      </c>
      <c r="D4061" s="40" t="s">
        <v>19965</v>
      </c>
      <c r="E4061" s="41">
        <v>7.91</v>
      </c>
      <c r="F4061" s="40"/>
      <c r="G4061" s="41"/>
      <c r="H4061" s="40"/>
      <c r="I4061" s="41"/>
      <c r="J4061" s="41">
        <f t="shared" si="15"/>
        <v>7.91</v>
      </c>
      <c r="K4061" s="42" t="s">
        <v>5796</v>
      </c>
      <c r="L4061" s="39">
        <v>4043</v>
      </c>
    </row>
    <row r="4062" spans="1:12" ht="11.25" customHeight="1">
      <c r="A4062" s="39">
        <v>4044</v>
      </c>
      <c r="B4062" s="40" t="s">
        <v>19966</v>
      </c>
      <c r="C4062" s="40" t="s">
        <v>19967</v>
      </c>
      <c r="D4062" s="40" t="s">
        <v>19968</v>
      </c>
      <c r="E4062" s="41">
        <v>7.91</v>
      </c>
      <c r="F4062" s="40"/>
      <c r="G4062" s="41"/>
      <c r="H4062" s="40"/>
      <c r="I4062" s="41"/>
      <c r="J4062" s="41">
        <f t="shared" si="15"/>
        <v>7.91</v>
      </c>
      <c r="K4062" s="42" t="s">
        <v>5796</v>
      </c>
      <c r="L4062" s="39">
        <v>4044</v>
      </c>
    </row>
    <row r="4063" spans="1:12" ht="11.25" customHeight="1">
      <c r="A4063" s="39">
        <v>4045</v>
      </c>
      <c r="B4063" s="40" t="s">
        <v>19969</v>
      </c>
      <c r="C4063" s="40" t="s">
        <v>19970</v>
      </c>
      <c r="D4063" s="40" t="s">
        <v>19971</v>
      </c>
      <c r="E4063" s="41">
        <v>7.9</v>
      </c>
      <c r="F4063" s="40"/>
      <c r="G4063" s="41"/>
      <c r="H4063" s="40"/>
      <c r="I4063" s="41"/>
      <c r="J4063" s="41">
        <f t="shared" si="15"/>
        <v>7.9</v>
      </c>
      <c r="K4063" s="42" t="s">
        <v>5796</v>
      </c>
      <c r="L4063" s="39">
        <v>4045</v>
      </c>
    </row>
    <row r="4064" spans="1:12" ht="11.25" customHeight="1">
      <c r="A4064" s="39">
        <v>4046</v>
      </c>
      <c r="B4064" s="40" t="s">
        <v>19972</v>
      </c>
      <c r="C4064" s="40" t="s">
        <v>19973</v>
      </c>
      <c r="D4064" s="40" t="s">
        <v>19974</v>
      </c>
      <c r="E4064" s="41">
        <v>7.87</v>
      </c>
      <c r="F4064" s="40"/>
      <c r="G4064" s="41"/>
      <c r="H4064" s="40"/>
      <c r="I4064" s="41"/>
      <c r="J4064" s="41">
        <f t="shared" si="15"/>
        <v>7.87</v>
      </c>
      <c r="K4064" s="42" t="s">
        <v>5796</v>
      </c>
      <c r="L4064" s="39">
        <v>4046</v>
      </c>
    </row>
    <row r="4065" spans="1:12" ht="11.25" customHeight="1">
      <c r="A4065" s="39">
        <v>4047</v>
      </c>
      <c r="B4065" s="40" t="s">
        <v>19975</v>
      </c>
      <c r="C4065" s="40" t="s">
        <v>19976</v>
      </c>
      <c r="D4065" s="40" t="s">
        <v>19977</v>
      </c>
      <c r="E4065" s="41">
        <v>7.87</v>
      </c>
      <c r="F4065" s="40"/>
      <c r="G4065" s="41"/>
      <c r="H4065" s="40"/>
      <c r="I4065" s="41"/>
      <c r="J4065" s="41">
        <f t="shared" si="15"/>
        <v>7.87</v>
      </c>
      <c r="K4065" s="42" t="s">
        <v>5796</v>
      </c>
      <c r="L4065" s="39">
        <v>4047</v>
      </c>
    </row>
    <row r="4066" spans="1:12" ht="11.25" customHeight="1">
      <c r="A4066" s="39">
        <v>4048</v>
      </c>
      <c r="B4066" s="40" t="s">
        <v>19978</v>
      </c>
      <c r="C4066" s="40" t="s">
        <v>19979</v>
      </c>
      <c r="D4066" s="40" t="s">
        <v>19980</v>
      </c>
      <c r="E4066" s="41">
        <v>7.85</v>
      </c>
      <c r="F4066" s="40"/>
      <c r="G4066" s="41"/>
      <c r="H4066" s="40"/>
      <c r="I4066" s="41"/>
      <c r="J4066" s="41">
        <f t="shared" si="15"/>
        <v>7.85</v>
      </c>
      <c r="K4066" s="42" t="s">
        <v>5796</v>
      </c>
      <c r="L4066" s="39">
        <v>4048</v>
      </c>
    </row>
    <row r="4067" spans="1:12" ht="11.25" customHeight="1">
      <c r="A4067" s="39">
        <v>4049</v>
      </c>
      <c r="B4067" s="40" t="s">
        <v>19981</v>
      </c>
      <c r="C4067" s="40" t="s">
        <v>19982</v>
      </c>
      <c r="D4067" s="40" t="s">
        <v>19983</v>
      </c>
      <c r="E4067" s="41">
        <v>7.83</v>
      </c>
      <c r="F4067" s="40"/>
      <c r="G4067" s="41"/>
      <c r="H4067" s="40"/>
      <c r="I4067" s="41"/>
      <c r="J4067" s="41">
        <f t="shared" si="15"/>
        <v>7.83</v>
      </c>
      <c r="K4067" s="42" t="s">
        <v>5796</v>
      </c>
      <c r="L4067" s="39">
        <v>4049</v>
      </c>
    </row>
    <row r="4068" spans="1:12" ht="11.25" customHeight="1">
      <c r="A4068" s="39">
        <v>4050</v>
      </c>
      <c r="B4068" s="40" t="s">
        <v>19984</v>
      </c>
      <c r="C4068" s="40" t="s">
        <v>19985</v>
      </c>
      <c r="D4068" s="40" t="s">
        <v>19986</v>
      </c>
      <c r="E4068" s="41">
        <v>7.83</v>
      </c>
      <c r="F4068" s="40"/>
      <c r="G4068" s="41"/>
      <c r="H4068" s="40"/>
      <c r="I4068" s="41"/>
      <c r="J4068" s="41">
        <f t="shared" si="15"/>
        <v>7.83</v>
      </c>
      <c r="K4068" s="42" t="s">
        <v>5796</v>
      </c>
      <c r="L4068" s="39">
        <v>4050</v>
      </c>
    </row>
    <row r="4069" spans="1:12" ht="11.25" customHeight="1">
      <c r="A4069" s="39">
        <v>4051</v>
      </c>
      <c r="B4069" s="40" t="s">
        <v>19987</v>
      </c>
      <c r="C4069" s="40" t="s">
        <v>19988</v>
      </c>
      <c r="D4069" s="40" t="s">
        <v>19989</v>
      </c>
      <c r="E4069" s="41">
        <v>7.82</v>
      </c>
      <c r="F4069" s="40"/>
      <c r="G4069" s="41"/>
      <c r="H4069" s="40"/>
      <c r="I4069" s="41"/>
      <c r="J4069" s="41">
        <f t="shared" si="15"/>
        <v>7.82</v>
      </c>
      <c r="K4069" s="42" t="s">
        <v>5796</v>
      </c>
      <c r="L4069" s="39">
        <v>4051</v>
      </c>
    </row>
    <row r="4070" spans="1:12" ht="11.25" customHeight="1">
      <c r="A4070" s="39">
        <v>4052</v>
      </c>
      <c r="B4070" s="40" t="s">
        <v>19990</v>
      </c>
      <c r="C4070" s="40" t="s">
        <v>19991</v>
      </c>
      <c r="D4070" s="40" t="s">
        <v>19992</v>
      </c>
      <c r="E4070" s="41">
        <v>7.81</v>
      </c>
      <c r="F4070" s="40"/>
      <c r="G4070" s="41"/>
      <c r="H4070" s="40"/>
      <c r="I4070" s="41"/>
      <c r="J4070" s="41">
        <f t="shared" si="15"/>
        <v>7.81</v>
      </c>
      <c r="K4070" s="42" t="s">
        <v>5796</v>
      </c>
      <c r="L4070" s="39">
        <v>4052</v>
      </c>
    </row>
    <row r="4071" spans="1:12" ht="11.25" customHeight="1">
      <c r="A4071" s="39">
        <v>4053</v>
      </c>
      <c r="B4071" s="40" t="s">
        <v>19993</v>
      </c>
      <c r="C4071" s="40" t="s">
        <v>19994</v>
      </c>
      <c r="D4071" s="40" t="s">
        <v>19995</v>
      </c>
      <c r="E4071" s="41">
        <v>7.8</v>
      </c>
      <c r="F4071" s="40"/>
      <c r="G4071" s="41"/>
      <c r="H4071" s="40"/>
      <c r="I4071" s="41"/>
      <c r="J4071" s="41">
        <f t="shared" si="15"/>
        <v>7.8</v>
      </c>
      <c r="K4071" s="42" t="s">
        <v>5796</v>
      </c>
      <c r="L4071" s="39">
        <v>4053</v>
      </c>
    </row>
    <row r="4072" spans="1:12" ht="11.25" customHeight="1">
      <c r="A4072" s="39">
        <v>4054</v>
      </c>
      <c r="B4072" s="40" t="s">
        <v>19996</v>
      </c>
      <c r="C4072" s="40" t="s">
        <v>19997</v>
      </c>
      <c r="D4072" s="40" t="s">
        <v>19998</v>
      </c>
      <c r="E4072" s="41">
        <v>7.79</v>
      </c>
      <c r="F4072" s="40"/>
      <c r="G4072" s="41"/>
      <c r="H4072" s="40"/>
      <c r="I4072" s="41"/>
      <c r="J4072" s="41">
        <f t="shared" si="15"/>
        <v>7.79</v>
      </c>
      <c r="K4072" s="42" t="s">
        <v>5796</v>
      </c>
      <c r="L4072" s="39">
        <v>4054</v>
      </c>
    </row>
    <row r="4073" spans="1:12" ht="11.25" customHeight="1">
      <c r="A4073" s="39">
        <v>4055</v>
      </c>
      <c r="B4073" s="40" t="s">
        <v>19999</v>
      </c>
      <c r="C4073" s="40" t="s">
        <v>20000</v>
      </c>
      <c r="D4073" s="40" t="s">
        <v>20001</v>
      </c>
      <c r="E4073" s="41">
        <v>7.77</v>
      </c>
      <c r="F4073" s="40"/>
      <c r="G4073" s="41"/>
      <c r="H4073" s="40"/>
      <c r="I4073" s="41"/>
      <c r="J4073" s="41">
        <f t="shared" si="15"/>
        <v>7.77</v>
      </c>
      <c r="K4073" s="42" t="s">
        <v>5796</v>
      </c>
      <c r="L4073" s="39">
        <v>4055</v>
      </c>
    </row>
    <row r="4074" spans="1:12" ht="11.25" customHeight="1">
      <c r="A4074" s="39">
        <v>4056</v>
      </c>
      <c r="B4074" s="40" t="s">
        <v>9139</v>
      </c>
      <c r="C4074" s="40" t="s">
        <v>20002</v>
      </c>
      <c r="D4074" s="40" t="s">
        <v>20003</v>
      </c>
      <c r="E4074" s="41">
        <v>7.75</v>
      </c>
      <c r="F4074" s="40"/>
      <c r="G4074" s="41"/>
      <c r="H4074" s="40"/>
      <c r="I4074" s="41"/>
      <c r="J4074" s="41">
        <f t="shared" si="15"/>
        <v>7.75</v>
      </c>
      <c r="K4074" s="42" t="s">
        <v>5796</v>
      </c>
      <c r="L4074" s="39">
        <v>4056</v>
      </c>
    </row>
    <row r="4075" spans="1:12" ht="11.25" customHeight="1">
      <c r="A4075" s="39">
        <v>4057</v>
      </c>
      <c r="B4075" s="40" t="s">
        <v>20004</v>
      </c>
      <c r="C4075" s="40" t="s">
        <v>20005</v>
      </c>
      <c r="D4075" s="40" t="s">
        <v>20006</v>
      </c>
      <c r="E4075" s="41">
        <v>7.73</v>
      </c>
      <c r="F4075" s="40"/>
      <c r="G4075" s="41"/>
      <c r="H4075" s="40"/>
      <c r="I4075" s="41"/>
      <c r="J4075" s="41">
        <f t="shared" si="15"/>
        <v>7.73</v>
      </c>
      <c r="K4075" s="42" t="s">
        <v>5796</v>
      </c>
      <c r="L4075" s="39">
        <v>4057</v>
      </c>
    </row>
    <row r="4076" spans="1:12" ht="11.25" customHeight="1">
      <c r="A4076" s="39">
        <v>4058</v>
      </c>
      <c r="B4076" s="40" t="s">
        <v>20007</v>
      </c>
      <c r="C4076" s="40" t="s">
        <v>20008</v>
      </c>
      <c r="D4076" s="40" t="s">
        <v>20009</v>
      </c>
      <c r="E4076" s="41">
        <v>7.73</v>
      </c>
      <c r="F4076" s="40"/>
      <c r="G4076" s="41"/>
      <c r="H4076" s="40"/>
      <c r="I4076" s="41"/>
      <c r="J4076" s="41">
        <f t="shared" si="15"/>
        <v>7.73</v>
      </c>
      <c r="K4076" s="42" t="s">
        <v>5796</v>
      </c>
      <c r="L4076" s="39">
        <v>4058</v>
      </c>
    </row>
    <row r="4077" spans="1:12" ht="11.25" customHeight="1">
      <c r="A4077" s="39">
        <v>4059</v>
      </c>
      <c r="B4077" s="40" t="s">
        <v>20010</v>
      </c>
      <c r="C4077" s="40" t="s">
        <v>20011</v>
      </c>
      <c r="D4077" s="40" t="s">
        <v>20012</v>
      </c>
      <c r="E4077" s="41">
        <v>7.73</v>
      </c>
      <c r="F4077" s="40"/>
      <c r="G4077" s="41"/>
      <c r="H4077" s="40"/>
      <c r="I4077" s="41"/>
      <c r="J4077" s="41">
        <f t="shared" si="15"/>
        <v>7.73</v>
      </c>
      <c r="K4077" s="42" t="s">
        <v>5796</v>
      </c>
      <c r="L4077" s="39">
        <v>4059</v>
      </c>
    </row>
    <row r="4078" spans="1:12" ht="11.25" customHeight="1">
      <c r="A4078" s="39">
        <v>4060</v>
      </c>
      <c r="B4078" s="52" t="s">
        <v>9126</v>
      </c>
      <c r="C4078" s="52" t="s">
        <v>20013</v>
      </c>
      <c r="D4078" s="40"/>
      <c r="E4078" s="41"/>
      <c r="F4078" s="40"/>
      <c r="G4078" s="41"/>
      <c r="H4078" s="52" t="s">
        <v>20014</v>
      </c>
      <c r="I4078" s="53">
        <v>7.7136490000000091</v>
      </c>
      <c r="J4078" s="41">
        <f t="shared" si="15"/>
        <v>7.7136490000000091</v>
      </c>
      <c r="K4078" s="42" t="s">
        <v>5796</v>
      </c>
      <c r="L4078" s="39">
        <v>4060</v>
      </c>
    </row>
    <row r="4079" spans="1:12" ht="11.25" customHeight="1">
      <c r="A4079" s="39">
        <v>4061</v>
      </c>
      <c r="B4079" s="40" t="s">
        <v>20015</v>
      </c>
      <c r="C4079" s="40" t="s">
        <v>20016</v>
      </c>
      <c r="D4079" s="40" t="s">
        <v>20017</v>
      </c>
      <c r="E4079" s="41">
        <v>7.7</v>
      </c>
      <c r="F4079" s="40"/>
      <c r="G4079" s="41"/>
      <c r="H4079" s="40"/>
      <c r="I4079" s="41"/>
      <c r="J4079" s="41">
        <f t="shared" si="15"/>
        <v>7.7</v>
      </c>
      <c r="K4079" s="42" t="s">
        <v>5796</v>
      </c>
      <c r="L4079" s="39">
        <v>4061</v>
      </c>
    </row>
    <row r="4080" spans="1:12" ht="11.25" customHeight="1">
      <c r="A4080" s="39">
        <v>4062</v>
      </c>
      <c r="B4080" s="40" t="s">
        <v>20018</v>
      </c>
      <c r="C4080" s="40" t="s">
        <v>20019</v>
      </c>
      <c r="D4080" s="40" t="s">
        <v>20020</v>
      </c>
      <c r="E4080" s="41">
        <v>7.7</v>
      </c>
      <c r="F4080" s="40"/>
      <c r="G4080" s="41"/>
      <c r="H4080" s="40"/>
      <c r="I4080" s="41"/>
      <c r="J4080" s="41">
        <f t="shared" si="15"/>
        <v>7.7</v>
      </c>
      <c r="K4080" s="42" t="s">
        <v>5796</v>
      </c>
      <c r="L4080" s="39">
        <v>4062</v>
      </c>
    </row>
    <row r="4081" spans="1:12" ht="11.25" customHeight="1">
      <c r="A4081" s="39">
        <v>4063</v>
      </c>
      <c r="B4081" s="40" t="s">
        <v>9130</v>
      </c>
      <c r="C4081" s="40" t="s">
        <v>20021</v>
      </c>
      <c r="D4081" s="40" t="s">
        <v>20022</v>
      </c>
      <c r="E4081" s="41">
        <v>7.7</v>
      </c>
      <c r="F4081" s="40"/>
      <c r="G4081" s="41"/>
      <c r="H4081" s="40"/>
      <c r="I4081" s="41"/>
      <c r="J4081" s="41">
        <f t="shared" si="15"/>
        <v>7.7</v>
      </c>
      <c r="K4081" s="42" t="s">
        <v>5796</v>
      </c>
      <c r="L4081" s="39">
        <v>4063</v>
      </c>
    </row>
    <row r="4082" spans="1:12" ht="11.25" customHeight="1">
      <c r="A4082" s="39">
        <v>4064</v>
      </c>
      <c r="B4082" s="40" t="s">
        <v>20023</v>
      </c>
      <c r="C4082" s="40" t="s">
        <v>20024</v>
      </c>
      <c r="D4082" s="40" t="s">
        <v>20025</v>
      </c>
      <c r="E4082" s="41">
        <v>7.7</v>
      </c>
      <c r="F4082" s="40"/>
      <c r="G4082" s="41"/>
      <c r="H4082" s="40"/>
      <c r="I4082" s="41"/>
      <c r="J4082" s="41">
        <f t="shared" si="15"/>
        <v>7.7</v>
      </c>
      <c r="K4082" s="42" t="s">
        <v>5796</v>
      </c>
      <c r="L4082" s="39">
        <v>4064</v>
      </c>
    </row>
    <row r="4083" spans="1:12" ht="11.25" customHeight="1">
      <c r="A4083" s="39">
        <v>4065</v>
      </c>
      <c r="B4083" s="40" t="s">
        <v>20026</v>
      </c>
      <c r="C4083" s="40" t="s">
        <v>20027</v>
      </c>
      <c r="D4083" s="40" t="s">
        <v>20028</v>
      </c>
      <c r="E4083" s="41">
        <v>7.69</v>
      </c>
      <c r="F4083" s="40"/>
      <c r="G4083" s="41"/>
      <c r="H4083" s="40"/>
      <c r="I4083" s="41"/>
      <c r="J4083" s="41">
        <f t="shared" ref="J4083:J4337" si="16">AVERAGE(E4083,G4083,I4083)</f>
        <v>7.69</v>
      </c>
      <c r="K4083" s="42" t="s">
        <v>5796</v>
      </c>
      <c r="L4083" s="39">
        <v>4065</v>
      </c>
    </row>
    <row r="4084" spans="1:12" ht="11.25" customHeight="1">
      <c r="A4084" s="39">
        <v>4066</v>
      </c>
      <c r="B4084" s="40" t="s">
        <v>20029</v>
      </c>
      <c r="C4084" s="40" t="s">
        <v>20030</v>
      </c>
      <c r="D4084" s="40" t="s">
        <v>20031</v>
      </c>
      <c r="E4084" s="41">
        <v>7.69</v>
      </c>
      <c r="F4084" s="40"/>
      <c r="G4084" s="41"/>
      <c r="H4084" s="40"/>
      <c r="I4084" s="41"/>
      <c r="J4084" s="41">
        <f t="shared" si="16"/>
        <v>7.69</v>
      </c>
      <c r="K4084" s="42" t="s">
        <v>5796</v>
      </c>
      <c r="L4084" s="39">
        <v>4066</v>
      </c>
    </row>
    <row r="4085" spans="1:12" ht="11.25" customHeight="1">
      <c r="A4085" s="39">
        <v>4068</v>
      </c>
      <c r="B4085" s="40" t="s">
        <v>20032</v>
      </c>
      <c r="C4085" s="40" t="s">
        <v>20033</v>
      </c>
      <c r="D4085" s="40" t="s">
        <v>20034</v>
      </c>
      <c r="E4085" s="41">
        <v>7.64</v>
      </c>
      <c r="F4085" s="40"/>
      <c r="G4085" s="41"/>
      <c r="H4085" s="40"/>
      <c r="I4085" s="41"/>
      <c r="J4085" s="41">
        <f t="shared" si="16"/>
        <v>7.64</v>
      </c>
      <c r="K4085" s="42" t="s">
        <v>5796</v>
      </c>
      <c r="L4085" s="39">
        <v>4068</v>
      </c>
    </row>
    <row r="4086" spans="1:12" ht="11.25" customHeight="1">
      <c r="A4086" s="39">
        <v>4069</v>
      </c>
      <c r="B4086" s="40" t="s">
        <v>20035</v>
      </c>
      <c r="C4086" s="40" t="s">
        <v>20036</v>
      </c>
      <c r="D4086" s="40" t="s">
        <v>20037</v>
      </c>
      <c r="E4086" s="41">
        <v>7.64</v>
      </c>
      <c r="F4086" s="40"/>
      <c r="G4086" s="41"/>
      <c r="H4086" s="40"/>
      <c r="I4086" s="41"/>
      <c r="J4086" s="41">
        <f t="shared" si="16"/>
        <v>7.64</v>
      </c>
      <c r="K4086" s="42" t="s">
        <v>5796</v>
      </c>
      <c r="L4086" s="39">
        <v>4069</v>
      </c>
    </row>
    <row r="4087" spans="1:12" ht="11.25" customHeight="1">
      <c r="A4087" s="39">
        <v>4070</v>
      </c>
      <c r="B4087" s="52" t="s">
        <v>9137</v>
      </c>
      <c r="C4087" s="52" t="s">
        <v>20038</v>
      </c>
      <c r="D4087" s="40"/>
      <c r="E4087" s="41"/>
      <c r="F4087" s="40"/>
      <c r="G4087" s="41"/>
      <c r="H4087" s="52" t="s">
        <v>20039</v>
      </c>
      <c r="I4087" s="53">
        <v>7.6301580000000211</v>
      </c>
      <c r="J4087" s="41">
        <f t="shared" si="16"/>
        <v>7.6301580000000211</v>
      </c>
      <c r="K4087" s="42" t="s">
        <v>5796</v>
      </c>
      <c r="L4087" s="39">
        <v>4070</v>
      </c>
    </row>
    <row r="4088" spans="1:12" ht="11.25" customHeight="1">
      <c r="A4088" s="39">
        <v>4071</v>
      </c>
      <c r="B4088" s="40" t="s">
        <v>20040</v>
      </c>
      <c r="C4088" s="40" t="s">
        <v>20041</v>
      </c>
      <c r="D4088" s="40" t="s">
        <v>20042</v>
      </c>
      <c r="E4088" s="41">
        <v>7.63</v>
      </c>
      <c r="F4088" s="40"/>
      <c r="G4088" s="41"/>
      <c r="H4088" s="40"/>
      <c r="I4088" s="41"/>
      <c r="J4088" s="41">
        <f t="shared" si="16"/>
        <v>7.63</v>
      </c>
      <c r="K4088" s="42" t="s">
        <v>5796</v>
      </c>
      <c r="L4088" s="39">
        <v>4071</v>
      </c>
    </row>
    <row r="4089" spans="1:12" ht="11.25" customHeight="1">
      <c r="A4089" s="39">
        <v>4072</v>
      </c>
      <c r="B4089" s="40" t="s">
        <v>20043</v>
      </c>
      <c r="C4089" s="40" t="s">
        <v>20044</v>
      </c>
      <c r="D4089" s="40" t="s">
        <v>20045</v>
      </c>
      <c r="E4089" s="41">
        <v>7.59</v>
      </c>
      <c r="F4089" s="40"/>
      <c r="G4089" s="41"/>
      <c r="H4089" s="40"/>
      <c r="I4089" s="41"/>
      <c r="J4089" s="41">
        <f t="shared" si="16"/>
        <v>7.59</v>
      </c>
      <c r="K4089" s="42" t="s">
        <v>5796</v>
      </c>
      <c r="L4089" s="39">
        <v>4072</v>
      </c>
    </row>
    <row r="4090" spans="1:12" ht="11.25" customHeight="1">
      <c r="A4090" s="39">
        <v>4073</v>
      </c>
      <c r="B4090" s="40" t="s">
        <v>20046</v>
      </c>
      <c r="C4090" s="40" t="s">
        <v>20047</v>
      </c>
      <c r="D4090" s="40" t="s">
        <v>20048</v>
      </c>
      <c r="E4090" s="41">
        <v>7.58</v>
      </c>
      <c r="F4090" s="40"/>
      <c r="G4090" s="41"/>
      <c r="H4090" s="40"/>
      <c r="I4090" s="41"/>
      <c r="J4090" s="41">
        <f t="shared" si="16"/>
        <v>7.58</v>
      </c>
      <c r="K4090" s="42" t="s">
        <v>5796</v>
      </c>
      <c r="L4090" s="39">
        <v>4073</v>
      </c>
    </row>
    <row r="4091" spans="1:12" ht="11.25" customHeight="1">
      <c r="A4091" s="39">
        <v>4074</v>
      </c>
      <c r="B4091" s="40" t="s">
        <v>20049</v>
      </c>
      <c r="C4091" s="40" t="s">
        <v>20050</v>
      </c>
      <c r="D4091" s="40" t="s">
        <v>20051</v>
      </c>
      <c r="E4091" s="41">
        <v>7.58</v>
      </c>
      <c r="F4091" s="40"/>
      <c r="G4091" s="41"/>
      <c r="H4091" s="40"/>
      <c r="I4091" s="41"/>
      <c r="J4091" s="41">
        <f t="shared" si="16"/>
        <v>7.58</v>
      </c>
      <c r="K4091" s="42" t="s">
        <v>5796</v>
      </c>
      <c r="L4091" s="39">
        <v>4074</v>
      </c>
    </row>
    <row r="4092" spans="1:12" ht="11.25" customHeight="1">
      <c r="A4092" s="39">
        <v>4075</v>
      </c>
      <c r="B4092" s="40" t="s">
        <v>20052</v>
      </c>
      <c r="C4092" s="40" t="s">
        <v>20053</v>
      </c>
      <c r="D4092" s="40" t="s">
        <v>20054</v>
      </c>
      <c r="E4092" s="41">
        <v>7.58</v>
      </c>
      <c r="F4092" s="40"/>
      <c r="G4092" s="41"/>
      <c r="H4092" s="40"/>
      <c r="I4092" s="41"/>
      <c r="J4092" s="41">
        <f t="shared" si="16"/>
        <v>7.58</v>
      </c>
      <c r="K4092" s="42" t="s">
        <v>5796</v>
      </c>
      <c r="L4092" s="39">
        <v>4075</v>
      </c>
    </row>
    <row r="4093" spans="1:12" ht="11.25" customHeight="1">
      <c r="A4093" s="39">
        <v>4076</v>
      </c>
      <c r="B4093" s="40" t="s">
        <v>9283</v>
      </c>
      <c r="C4093" s="40" t="s">
        <v>20055</v>
      </c>
      <c r="D4093" s="40" t="s">
        <v>20056</v>
      </c>
      <c r="E4093" s="41">
        <v>7.57</v>
      </c>
      <c r="F4093" s="40"/>
      <c r="G4093" s="41"/>
      <c r="H4093" s="40"/>
      <c r="I4093" s="41"/>
      <c r="J4093" s="41">
        <f t="shared" si="16"/>
        <v>7.57</v>
      </c>
      <c r="K4093" s="42" t="s">
        <v>5796</v>
      </c>
      <c r="L4093" s="39">
        <v>4076</v>
      </c>
    </row>
    <row r="4094" spans="1:12" ht="11.25" customHeight="1">
      <c r="A4094" s="39">
        <v>4077</v>
      </c>
      <c r="B4094" s="52" t="s">
        <v>9145</v>
      </c>
      <c r="C4094" s="52" t="s">
        <v>20057</v>
      </c>
      <c r="D4094" s="40"/>
      <c r="E4094" s="41"/>
      <c r="F4094" s="40"/>
      <c r="G4094" s="41"/>
      <c r="H4094" s="52" t="s">
        <v>20058</v>
      </c>
      <c r="I4094" s="53">
        <v>7.5503999999999918</v>
      </c>
      <c r="J4094" s="41">
        <f t="shared" si="16"/>
        <v>7.5503999999999918</v>
      </c>
      <c r="K4094" s="42" t="s">
        <v>5796</v>
      </c>
      <c r="L4094" s="39">
        <v>4077</v>
      </c>
    </row>
    <row r="4095" spans="1:12" ht="11.25" customHeight="1">
      <c r="A4095" s="39">
        <v>4078</v>
      </c>
      <c r="B4095" s="40" t="s">
        <v>20059</v>
      </c>
      <c r="C4095" s="40" t="s">
        <v>20060</v>
      </c>
      <c r="D4095" s="40" t="s">
        <v>20061</v>
      </c>
      <c r="E4095" s="41">
        <v>7.54</v>
      </c>
      <c r="F4095" s="40"/>
      <c r="G4095" s="41"/>
      <c r="H4095" s="40"/>
      <c r="I4095" s="41"/>
      <c r="J4095" s="41">
        <f t="shared" si="16"/>
        <v>7.54</v>
      </c>
      <c r="K4095" s="42" t="s">
        <v>5796</v>
      </c>
      <c r="L4095" s="39">
        <v>4078</v>
      </c>
    </row>
    <row r="4096" spans="1:12" ht="11.25" customHeight="1">
      <c r="A4096" s="39">
        <v>4079</v>
      </c>
      <c r="B4096" s="40" t="s">
        <v>20062</v>
      </c>
      <c r="C4096" s="40" t="s">
        <v>20063</v>
      </c>
      <c r="D4096" s="40" t="s">
        <v>20064</v>
      </c>
      <c r="E4096" s="41">
        <v>7.54</v>
      </c>
      <c r="F4096" s="40"/>
      <c r="G4096" s="41"/>
      <c r="H4096" s="40"/>
      <c r="I4096" s="41"/>
      <c r="J4096" s="41">
        <f t="shared" si="16"/>
        <v>7.54</v>
      </c>
      <c r="K4096" s="42" t="s">
        <v>5796</v>
      </c>
      <c r="L4096" s="39">
        <v>4079</v>
      </c>
    </row>
    <row r="4097" spans="1:12" ht="11.25" customHeight="1">
      <c r="A4097" s="39">
        <v>4080</v>
      </c>
      <c r="B4097" s="40" t="s">
        <v>20065</v>
      </c>
      <c r="C4097" s="40" t="s">
        <v>20066</v>
      </c>
      <c r="D4097" s="40" t="s">
        <v>20067</v>
      </c>
      <c r="E4097" s="41">
        <v>7.52</v>
      </c>
      <c r="F4097" s="40"/>
      <c r="G4097" s="41"/>
      <c r="H4097" s="40"/>
      <c r="I4097" s="41"/>
      <c r="J4097" s="41">
        <f t="shared" si="16"/>
        <v>7.52</v>
      </c>
      <c r="K4097" s="42" t="s">
        <v>5796</v>
      </c>
      <c r="L4097" s="39">
        <v>4080</v>
      </c>
    </row>
    <row r="4098" spans="1:12" ht="11.25" customHeight="1">
      <c r="A4098" s="39">
        <v>4081</v>
      </c>
      <c r="B4098" s="40" t="s">
        <v>20068</v>
      </c>
      <c r="C4098" s="40" t="s">
        <v>20069</v>
      </c>
      <c r="D4098" s="40" t="s">
        <v>20070</v>
      </c>
      <c r="E4098" s="41">
        <v>7.51</v>
      </c>
      <c r="F4098" s="40"/>
      <c r="G4098" s="41"/>
      <c r="H4098" s="40" t="s">
        <v>20070</v>
      </c>
      <c r="I4098" s="41">
        <v>7.5002189838709779</v>
      </c>
      <c r="J4098" s="41">
        <f t="shared" si="16"/>
        <v>7.5051094919354888</v>
      </c>
      <c r="K4098" s="42" t="s">
        <v>5796</v>
      </c>
      <c r="L4098" s="39">
        <v>4081</v>
      </c>
    </row>
    <row r="4099" spans="1:12" ht="11.25" customHeight="1">
      <c r="A4099" s="39">
        <v>4082</v>
      </c>
      <c r="B4099" s="40" t="s">
        <v>20071</v>
      </c>
      <c r="C4099" s="40" t="s">
        <v>20072</v>
      </c>
      <c r="D4099" s="40" t="s">
        <v>20073</v>
      </c>
      <c r="E4099" s="41">
        <v>7.49</v>
      </c>
      <c r="F4099" s="40"/>
      <c r="G4099" s="41"/>
      <c r="H4099" s="40"/>
      <c r="I4099" s="41"/>
      <c r="J4099" s="41">
        <f t="shared" si="16"/>
        <v>7.49</v>
      </c>
      <c r="K4099" s="42" t="s">
        <v>5796</v>
      </c>
      <c r="L4099" s="39">
        <v>4082</v>
      </c>
    </row>
    <row r="4100" spans="1:12" ht="11.25" customHeight="1">
      <c r="A4100" s="39">
        <v>4083</v>
      </c>
      <c r="B4100" s="40" t="s">
        <v>20074</v>
      </c>
      <c r="C4100" s="40" t="s">
        <v>20075</v>
      </c>
      <c r="D4100" s="40" t="s">
        <v>20076</v>
      </c>
      <c r="E4100" s="41">
        <v>7.48</v>
      </c>
      <c r="F4100" s="40"/>
      <c r="G4100" s="41"/>
      <c r="H4100" s="40"/>
      <c r="I4100" s="41"/>
      <c r="J4100" s="41">
        <f t="shared" si="16"/>
        <v>7.48</v>
      </c>
      <c r="K4100" s="42" t="s">
        <v>5796</v>
      </c>
      <c r="L4100" s="39">
        <v>4083</v>
      </c>
    </row>
    <row r="4101" spans="1:12" ht="11.25" customHeight="1">
      <c r="A4101" s="39">
        <v>4084</v>
      </c>
      <c r="B4101" s="40" t="s">
        <v>20077</v>
      </c>
      <c r="C4101" s="40" t="s">
        <v>20078</v>
      </c>
      <c r="D4101" s="40" t="s">
        <v>20079</v>
      </c>
      <c r="E4101" s="41">
        <v>7.45</v>
      </c>
      <c r="F4101" s="40"/>
      <c r="G4101" s="41"/>
      <c r="H4101" s="40"/>
      <c r="I4101" s="41"/>
      <c r="J4101" s="41">
        <f t="shared" si="16"/>
        <v>7.45</v>
      </c>
      <c r="K4101" s="42" t="s">
        <v>5796</v>
      </c>
      <c r="L4101" s="39">
        <v>4084</v>
      </c>
    </row>
    <row r="4102" spans="1:12" ht="11.25" customHeight="1">
      <c r="A4102" s="39">
        <v>4085</v>
      </c>
      <c r="B4102" s="40" t="s">
        <v>9074</v>
      </c>
      <c r="C4102" s="40" t="s">
        <v>20080</v>
      </c>
      <c r="D4102" s="40" t="s">
        <v>20081</v>
      </c>
      <c r="E4102" s="41">
        <v>7.44</v>
      </c>
      <c r="F4102" s="40"/>
      <c r="G4102" s="41"/>
      <c r="H4102" s="40"/>
      <c r="I4102" s="41"/>
      <c r="J4102" s="41">
        <f t="shared" si="16"/>
        <v>7.44</v>
      </c>
      <c r="K4102" s="42" t="s">
        <v>5796</v>
      </c>
      <c r="L4102" s="39">
        <v>4085</v>
      </c>
    </row>
    <row r="4103" spans="1:12" ht="11.25" customHeight="1">
      <c r="A4103" s="39">
        <v>4087</v>
      </c>
      <c r="B4103" s="40" t="s">
        <v>20082</v>
      </c>
      <c r="C4103" s="40" t="s">
        <v>20083</v>
      </c>
      <c r="D4103" s="40" t="s">
        <v>20084</v>
      </c>
      <c r="E4103" s="41">
        <v>7.43</v>
      </c>
      <c r="F4103" s="40"/>
      <c r="G4103" s="41"/>
      <c r="H4103" s="40"/>
      <c r="I4103" s="41"/>
      <c r="J4103" s="41">
        <f t="shared" si="16"/>
        <v>7.43</v>
      </c>
      <c r="K4103" s="42" t="s">
        <v>5796</v>
      </c>
      <c r="L4103" s="39">
        <v>4087</v>
      </c>
    </row>
    <row r="4104" spans="1:12" ht="11.25" customHeight="1">
      <c r="A4104" s="39">
        <v>4088</v>
      </c>
      <c r="B4104" s="40" t="s">
        <v>9204</v>
      </c>
      <c r="C4104" s="40" t="s">
        <v>20085</v>
      </c>
      <c r="D4104" s="40" t="s">
        <v>20086</v>
      </c>
      <c r="E4104" s="41">
        <v>7.43</v>
      </c>
      <c r="F4104" s="40"/>
      <c r="G4104" s="41"/>
      <c r="H4104" s="40"/>
      <c r="I4104" s="41"/>
      <c r="J4104" s="41">
        <f t="shared" si="16"/>
        <v>7.43</v>
      </c>
      <c r="K4104" s="42" t="s">
        <v>5796</v>
      </c>
      <c r="L4104" s="39">
        <v>4088</v>
      </c>
    </row>
    <row r="4105" spans="1:12" ht="11.25" customHeight="1">
      <c r="A4105" s="39">
        <v>4089</v>
      </c>
      <c r="B4105" s="40" t="s">
        <v>9373</v>
      </c>
      <c r="C4105" s="40" t="s">
        <v>20087</v>
      </c>
      <c r="D4105" s="40" t="s">
        <v>20088</v>
      </c>
      <c r="E4105" s="41">
        <v>7.41</v>
      </c>
      <c r="F4105" s="40"/>
      <c r="G4105" s="41"/>
      <c r="H4105" s="40"/>
      <c r="I4105" s="41"/>
      <c r="J4105" s="41">
        <f t="shared" si="16"/>
        <v>7.41</v>
      </c>
      <c r="K4105" s="42" t="s">
        <v>5796</v>
      </c>
      <c r="L4105" s="39">
        <v>4089</v>
      </c>
    </row>
    <row r="4106" spans="1:12" ht="11.25" customHeight="1">
      <c r="A4106" s="39">
        <v>4090</v>
      </c>
      <c r="B4106" s="40" t="s">
        <v>20089</v>
      </c>
      <c r="C4106" s="40" t="s">
        <v>20090</v>
      </c>
      <c r="D4106" s="40" t="s">
        <v>20091</v>
      </c>
      <c r="E4106" s="41">
        <v>7.39</v>
      </c>
      <c r="F4106" s="40"/>
      <c r="G4106" s="41"/>
      <c r="H4106" s="40"/>
      <c r="I4106" s="41"/>
      <c r="J4106" s="41">
        <f t="shared" si="16"/>
        <v>7.39</v>
      </c>
      <c r="K4106" s="42" t="s">
        <v>5796</v>
      </c>
      <c r="L4106" s="39">
        <v>4090</v>
      </c>
    </row>
    <row r="4107" spans="1:12" ht="11.25" customHeight="1">
      <c r="A4107" s="39">
        <v>4091</v>
      </c>
      <c r="B4107" s="40" t="s">
        <v>20092</v>
      </c>
      <c r="C4107" s="40" t="s">
        <v>20093</v>
      </c>
      <c r="D4107" s="40" t="s">
        <v>20094</v>
      </c>
      <c r="E4107" s="41">
        <v>7.38</v>
      </c>
      <c r="F4107" s="40"/>
      <c r="G4107" s="41"/>
      <c r="H4107" s="40"/>
      <c r="I4107" s="41"/>
      <c r="J4107" s="41">
        <f t="shared" si="16"/>
        <v>7.38</v>
      </c>
      <c r="K4107" s="42" t="s">
        <v>5796</v>
      </c>
      <c r="L4107" s="39">
        <v>4091</v>
      </c>
    </row>
    <row r="4108" spans="1:12" ht="11.25" customHeight="1">
      <c r="A4108" s="39">
        <v>4092</v>
      </c>
      <c r="B4108" s="40" t="s">
        <v>20095</v>
      </c>
      <c r="C4108" s="40" t="s">
        <v>20096</v>
      </c>
      <c r="D4108" s="40" t="s">
        <v>20097</v>
      </c>
      <c r="E4108" s="41">
        <v>7.38</v>
      </c>
      <c r="F4108" s="40"/>
      <c r="G4108" s="41"/>
      <c r="H4108" s="40"/>
      <c r="I4108" s="41"/>
      <c r="J4108" s="41">
        <f t="shared" si="16"/>
        <v>7.38</v>
      </c>
      <c r="K4108" s="42" t="s">
        <v>5796</v>
      </c>
      <c r="L4108" s="39">
        <v>4092</v>
      </c>
    </row>
    <row r="4109" spans="1:12" ht="11.25" customHeight="1">
      <c r="A4109" s="39">
        <v>4093</v>
      </c>
      <c r="B4109" s="40" t="s">
        <v>20098</v>
      </c>
      <c r="C4109" s="40" t="s">
        <v>20099</v>
      </c>
      <c r="D4109" s="40" t="s">
        <v>20100</v>
      </c>
      <c r="E4109" s="41">
        <v>7.37</v>
      </c>
      <c r="F4109" s="40"/>
      <c r="G4109" s="41"/>
      <c r="H4109" s="40"/>
      <c r="I4109" s="41"/>
      <c r="J4109" s="41">
        <f t="shared" si="16"/>
        <v>7.37</v>
      </c>
      <c r="K4109" s="42" t="s">
        <v>5796</v>
      </c>
      <c r="L4109" s="39">
        <v>4093</v>
      </c>
    </row>
    <row r="4110" spans="1:12" ht="11.25" customHeight="1">
      <c r="A4110" s="39">
        <v>4094</v>
      </c>
      <c r="B4110" s="40" t="s">
        <v>20101</v>
      </c>
      <c r="C4110" s="40" t="s">
        <v>20102</v>
      </c>
      <c r="D4110" s="40" t="s">
        <v>20103</v>
      </c>
      <c r="E4110" s="41">
        <v>7.37</v>
      </c>
      <c r="F4110" s="40"/>
      <c r="G4110" s="41"/>
      <c r="H4110" s="40"/>
      <c r="I4110" s="41"/>
      <c r="J4110" s="41">
        <f t="shared" si="16"/>
        <v>7.37</v>
      </c>
      <c r="K4110" s="42" t="s">
        <v>5796</v>
      </c>
      <c r="L4110" s="39">
        <v>4094</v>
      </c>
    </row>
    <row r="4111" spans="1:12" ht="11.25" customHeight="1">
      <c r="A4111" s="39">
        <v>4095</v>
      </c>
      <c r="B4111" s="40" t="s">
        <v>20104</v>
      </c>
      <c r="C4111" s="40" t="s">
        <v>20105</v>
      </c>
      <c r="D4111" s="40" t="s">
        <v>20106</v>
      </c>
      <c r="E4111" s="41">
        <v>7.35</v>
      </c>
      <c r="F4111" s="40"/>
      <c r="G4111" s="41"/>
      <c r="H4111" s="40"/>
      <c r="I4111" s="41"/>
      <c r="J4111" s="41">
        <f t="shared" si="16"/>
        <v>7.35</v>
      </c>
      <c r="K4111" s="42" t="s">
        <v>5796</v>
      </c>
      <c r="L4111" s="39">
        <v>4095</v>
      </c>
    </row>
    <row r="4112" spans="1:12" ht="11.25" customHeight="1">
      <c r="A4112" s="39">
        <v>4096</v>
      </c>
      <c r="B4112" s="40" t="s">
        <v>20107</v>
      </c>
      <c r="C4112" s="40" t="s">
        <v>20108</v>
      </c>
      <c r="D4112" s="40" t="s">
        <v>20109</v>
      </c>
      <c r="E4112" s="41">
        <v>7.35</v>
      </c>
      <c r="F4112" s="40"/>
      <c r="G4112" s="41"/>
      <c r="H4112" s="40"/>
      <c r="I4112" s="41"/>
      <c r="J4112" s="41">
        <f t="shared" si="16"/>
        <v>7.35</v>
      </c>
      <c r="K4112" s="42" t="s">
        <v>5796</v>
      </c>
      <c r="L4112" s="39">
        <v>4096</v>
      </c>
    </row>
    <row r="4113" spans="1:12" ht="11.25" customHeight="1">
      <c r="A4113" s="39">
        <v>4097</v>
      </c>
      <c r="B4113" s="40" t="s">
        <v>20110</v>
      </c>
      <c r="C4113" s="40" t="s">
        <v>20111</v>
      </c>
      <c r="D4113" s="40" t="s">
        <v>20112</v>
      </c>
      <c r="E4113" s="41">
        <v>7.35</v>
      </c>
      <c r="F4113" s="40"/>
      <c r="G4113" s="41"/>
      <c r="H4113" s="40"/>
      <c r="I4113" s="41"/>
      <c r="J4113" s="41">
        <f t="shared" si="16"/>
        <v>7.35</v>
      </c>
      <c r="K4113" s="42" t="s">
        <v>5796</v>
      </c>
      <c r="L4113" s="39">
        <v>4097</v>
      </c>
    </row>
    <row r="4114" spans="1:12" ht="11.25" customHeight="1">
      <c r="A4114" s="39">
        <v>4098</v>
      </c>
      <c r="B4114" s="40" t="s">
        <v>20113</v>
      </c>
      <c r="C4114" s="40" t="s">
        <v>20114</v>
      </c>
      <c r="D4114" s="40" t="s">
        <v>20115</v>
      </c>
      <c r="E4114" s="41">
        <v>7.34</v>
      </c>
      <c r="F4114" s="40"/>
      <c r="G4114" s="41"/>
      <c r="H4114" s="40"/>
      <c r="I4114" s="41"/>
      <c r="J4114" s="41">
        <f t="shared" si="16"/>
        <v>7.34</v>
      </c>
      <c r="K4114" s="42" t="s">
        <v>5796</v>
      </c>
      <c r="L4114" s="39">
        <v>4098</v>
      </c>
    </row>
    <row r="4115" spans="1:12" ht="11.25" customHeight="1">
      <c r="A4115" s="39">
        <v>4099</v>
      </c>
      <c r="B4115" s="40" t="s">
        <v>20116</v>
      </c>
      <c r="C4115" s="40" t="s">
        <v>20117</v>
      </c>
      <c r="D4115" s="40" t="s">
        <v>20118</v>
      </c>
      <c r="E4115" s="41">
        <v>7.32</v>
      </c>
      <c r="F4115" s="40"/>
      <c r="G4115" s="41"/>
      <c r="H4115" s="40"/>
      <c r="I4115" s="41"/>
      <c r="J4115" s="41">
        <f t="shared" si="16"/>
        <v>7.32</v>
      </c>
      <c r="K4115" s="42" t="s">
        <v>5796</v>
      </c>
      <c r="L4115" s="39">
        <v>4099</v>
      </c>
    </row>
    <row r="4116" spans="1:12" ht="11.25" customHeight="1">
      <c r="A4116" s="39">
        <v>4100</v>
      </c>
      <c r="B4116" s="40" t="s">
        <v>9212</v>
      </c>
      <c r="C4116" s="40" t="s">
        <v>20119</v>
      </c>
      <c r="D4116" s="40" t="s">
        <v>20120</v>
      </c>
      <c r="E4116" s="41">
        <v>7.32</v>
      </c>
      <c r="F4116" s="40"/>
      <c r="G4116" s="41"/>
      <c r="H4116" s="40"/>
      <c r="I4116" s="41"/>
      <c r="J4116" s="41">
        <f t="shared" si="16"/>
        <v>7.32</v>
      </c>
      <c r="K4116" s="42" t="s">
        <v>5796</v>
      </c>
      <c r="L4116" s="39">
        <v>4100</v>
      </c>
    </row>
    <row r="4117" spans="1:12" ht="11.25" customHeight="1">
      <c r="A4117" s="39">
        <v>4101</v>
      </c>
      <c r="B4117" s="40" t="s">
        <v>20121</v>
      </c>
      <c r="C4117" s="40" t="s">
        <v>20122</v>
      </c>
      <c r="D4117" s="40" t="s">
        <v>20123</v>
      </c>
      <c r="E4117" s="41">
        <v>7.32</v>
      </c>
      <c r="F4117" s="40"/>
      <c r="G4117" s="41"/>
      <c r="H4117" s="40"/>
      <c r="I4117" s="41"/>
      <c r="J4117" s="41">
        <f t="shared" si="16"/>
        <v>7.32</v>
      </c>
      <c r="K4117" s="42" t="s">
        <v>5796</v>
      </c>
      <c r="L4117" s="39">
        <v>4101</v>
      </c>
    </row>
    <row r="4118" spans="1:12" ht="11.25" customHeight="1">
      <c r="A4118" s="39">
        <v>4102</v>
      </c>
      <c r="B4118" s="40" t="s">
        <v>20124</v>
      </c>
      <c r="C4118" s="40" t="s">
        <v>20125</v>
      </c>
      <c r="D4118" s="40" t="s">
        <v>20126</v>
      </c>
      <c r="E4118" s="41">
        <v>7.31</v>
      </c>
      <c r="F4118" s="40"/>
      <c r="G4118" s="41"/>
      <c r="H4118" s="40"/>
      <c r="I4118" s="41"/>
      <c r="J4118" s="41">
        <f t="shared" si="16"/>
        <v>7.31</v>
      </c>
      <c r="K4118" s="42" t="s">
        <v>5796</v>
      </c>
      <c r="L4118" s="39">
        <v>4102</v>
      </c>
    </row>
    <row r="4119" spans="1:12" ht="11.25" customHeight="1">
      <c r="A4119" s="39">
        <v>4103</v>
      </c>
      <c r="B4119" s="40" t="s">
        <v>9787</v>
      </c>
      <c r="C4119" s="40" t="s">
        <v>20127</v>
      </c>
      <c r="D4119" s="40" t="s">
        <v>20128</v>
      </c>
      <c r="E4119" s="41">
        <v>7.3</v>
      </c>
      <c r="F4119" s="40"/>
      <c r="G4119" s="41"/>
      <c r="H4119" s="40"/>
      <c r="I4119" s="41"/>
      <c r="J4119" s="41">
        <f t="shared" si="16"/>
        <v>7.3</v>
      </c>
      <c r="K4119" s="42" t="s">
        <v>5796</v>
      </c>
      <c r="L4119" s="39">
        <v>4103</v>
      </c>
    </row>
    <row r="4120" spans="1:12" ht="11.25" customHeight="1">
      <c r="A4120" s="39">
        <v>4104</v>
      </c>
      <c r="B4120" s="40" t="s">
        <v>20129</v>
      </c>
      <c r="C4120" s="40" t="s">
        <v>20130</v>
      </c>
      <c r="D4120" s="40" t="s">
        <v>20131</v>
      </c>
      <c r="E4120" s="41">
        <v>7.3</v>
      </c>
      <c r="F4120" s="40"/>
      <c r="G4120" s="41"/>
      <c r="H4120" s="40"/>
      <c r="I4120" s="41"/>
      <c r="J4120" s="41">
        <f t="shared" si="16"/>
        <v>7.3</v>
      </c>
      <c r="K4120" s="42" t="s">
        <v>5796</v>
      </c>
      <c r="L4120" s="39">
        <v>4104</v>
      </c>
    </row>
    <row r="4121" spans="1:12" ht="11.25" customHeight="1">
      <c r="A4121" s="39">
        <v>4105</v>
      </c>
      <c r="B4121" s="40" t="s">
        <v>20132</v>
      </c>
      <c r="C4121" s="40" t="s">
        <v>20133</v>
      </c>
      <c r="D4121" s="40" t="s">
        <v>20134</v>
      </c>
      <c r="E4121" s="41">
        <v>7.28</v>
      </c>
      <c r="F4121" s="40"/>
      <c r="G4121" s="41"/>
      <c r="H4121" s="40"/>
      <c r="I4121" s="41"/>
      <c r="J4121" s="41">
        <f t="shared" si="16"/>
        <v>7.28</v>
      </c>
      <c r="K4121" s="42" t="s">
        <v>5796</v>
      </c>
      <c r="L4121" s="39">
        <v>4105</v>
      </c>
    </row>
    <row r="4122" spans="1:12" ht="11.25" customHeight="1">
      <c r="A4122" s="39">
        <v>4106</v>
      </c>
      <c r="B4122" s="40" t="s">
        <v>9151</v>
      </c>
      <c r="C4122" s="40" t="s">
        <v>20135</v>
      </c>
      <c r="D4122" s="40" t="s">
        <v>20136</v>
      </c>
      <c r="E4122" s="41">
        <v>7.26</v>
      </c>
      <c r="F4122" s="40"/>
      <c r="G4122" s="41"/>
      <c r="H4122" s="40"/>
      <c r="I4122" s="41"/>
      <c r="J4122" s="41">
        <f t="shared" si="16"/>
        <v>7.26</v>
      </c>
      <c r="K4122" s="42" t="s">
        <v>5796</v>
      </c>
      <c r="L4122" s="39">
        <v>4106</v>
      </c>
    </row>
    <row r="4123" spans="1:12" ht="11.25" customHeight="1">
      <c r="A4123" s="39">
        <v>4107</v>
      </c>
      <c r="B4123" s="40" t="s">
        <v>20137</v>
      </c>
      <c r="C4123" s="40" t="s">
        <v>20138</v>
      </c>
      <c r="D4123" s="40" t="s">
        <v>20139</v>
      </c>
      <c r="E4123" s="41">
        <v>7.25</v>
      </c>
      <c r="F4123" s="40"/>
      <c r="G4123" s="41"/>
      <c r="H4123" s="40"/>
      <c r="I4123" s="41"/>
      <c r="J4123" s="41">
        <f t="shared" si="16"/>
        <v>7.25</v>
      </c>
      <c r="K4123" s="42" t="s">
        <v>5796</v>
      </c>
      <c r="L4123" s="39">
        <v>4107</v>
      </c>
    </row>
    <row r="4124" spans="1:12" ht="11.25" customHeight="1">
      <c r="A4124" s="39">
        <v>4108</v>
      </c>
      <c r="B4124" s="40" t="s">
        <v>20140</v>
      </c>
      <c r="C4124" s="40" t="s">
        <v>20141</v>
      </c>
      <c r="D4124" s="40" t="s">
        <v>20142</v>
      </c>
      <c r="E4124" s="41">
        <v>7.25</v>
      </c>
      <c r="F4124" s="40"/>
      <c r="G4124" s="41"/>
      <c r="H4124" s="40"/>
      <c r="I4124" s="41"/>
      <c r="J4124" s="41">
        <f t="shared" si="16"/>
        <v>7.25</v>
      </c>
      <c r="K4124" s="42" t="s">
        <v>5796</v>
      </c>
      <c r="L4124" s="39">
        <v>4108</v>
      </c>
    </row>
    <row r="4125" spans="1:12" ht="11.25" customHeight="1">
      <c r="A4125" s="39">
        <v>4109</v>
      </c>
      <c r="B4125" s="40" t="s">
        <v>20143</v>
      </c>
      <c r="C4125" s="40" t="s">
        <v>20144</v>
      </c>
      <c r="D4125" s="40" t="s">
        <v>20145</v>
      </c>
      <c r="E4125" s="41">
        <v>7.23</v>
      </c>
      <c r="F4125" s="40"/>
      <c r="G4125" s="41"/>
      <c r="H4125" s="40"/>
      <c r="I4125" s="41"/>
      <c r="J4125" s="41">
        <f t="shared" si="16"/>
        <v>7.23</v>
      </c>
      <c r="K4125" s="42" t="s">
        <v>5796</v>
      </c>
      <c r="L4125" s="39">
        <v>4109</v>
      </c>
    </row>
    <row r="4126" spans="1:12" ht="11.25" customHeight="1">
      <c r="A4126" s="39">
        <v>4110</v>
      </c>
      <c r="B4126" s="52" t="s">
        <v>9174</v>
      </c>
      <c r="C4126" s="52" t="s">
        <v>20146</v>
      </c>
      <c r="D4126" s="40"/>
      <c r="E4126" s="41"/>
      <c r="F4126" s="40"/>
      <c r="G4126" s="41"/>
      <c r="H4126" s="52" t="s">
        <v>20147</v>
      </c>
      <c r="I4126" s="53">
        <v>7.221037440000007</v>
      </c>
      <c r="J4126" s="41">
        <f t="shared" si="16"/>
        <v>7.221037440000007</v>
      </c>
      <c r="K4126" s="42" t="s">
        <v>5796</v>
      </c>
      <c r="L4126" s="39">
        <v>4110</v>
      </c>
    </row>
    <row r="4127" spans="1:12" ht="11.25" customHeight="1">
      <c r="A4127" s="39">
        <v>4111</v>
      </c>
      <c r="B4127" s="40" t="s">
        <v>9178</v>
      </c>
      <c r="C4127" s="40" t="s">
        <v>20148</v>
      </c>
      <c r="D4127" s="40" t="s">
        <v>20149</v>
      </c>
      <c r="E4127" s="41">
        <v>7.19</v>
      </c>
      <c r="F4127" s="40"/>
      <c r="G4127" s="41"/>
      <c r="H4127" s="40"/>
      <c r="I4127" s="41"/>
      <c r="J4127" s="41">
        <f t="shared" si="16"/>
        <v>7.19</v>
      </c>
      <c r="K4127" s="42" t="s">
        <v>5796</v>
      </c>
      <c r="L4127" s="39">
        <v>4111</v>
      </c>
    </row>
    <row r="4128" spans="1:12" ht="11.25" customHeight="1">
      <c r="A4128" s="39">
        <v>4112</v>
      </c>
      <c r="B4128" s="40" t="s">
        <v>20150</v>
      </c>
      <c r="C4128" s="40" t="s">
        <v>20151</v>
      </c>
      <c r="D4128" s="40" t="s">
        <v>20152</v>
      </c>
      <c r="E4128" s="41">
        <v>7.16</v>
      </c>
      <c r="F4128" s="40"/>
      <c r="G4128" s="41"/>
      <c r="H4128" s="40"/>
      <c r="I4128" s="41"/>
      <c r="J4128" s="41">
        <f t="shared" si="16"/>
        <v>7.16</v>
      </c>
      <c r="K4128" s="42" t="s">
        <v>5796</v>
      </c>
      <c r="L4128" s="39">
        <v>4112</v>
      </c>
    </row>
    <row r="4129" spans="1:12" ht="11.25" customHeight="1">
      <c r="A4129" s="39">
        <v>4114</v>
      </c>
      <c r="B4129" s="52" t="s">
        <v>9188</v>
      </c>
      <c r="C4129" s="52" t="s">
        <v>20153</v>
      </c>
      <c r="D4129" s="40"/>
      <c r="E4129" s="41"/>
      <c r="F4129" s="40"/>
      <c r="G4129" s="41"/>
      <c r="H4129" s="52" t="s">
        <v>20154</v>
      </c>
      <c r="I4129" s="53">
        <v>7.1284650000000047</v>
      </c>
      <c r="J4129" s="41">
        <f t="shared" si="16"/>
        <v>7.1284650000000047</v>
      </c>
      <c r="K4129" s="42" t="s">
        <v>5796</v>
      </c>
      <c r="L4129" s="39">
        <v>4114</v>
      </c>
    </row>
    <row r="4130" spans="1:12" ht="11.25" customHeight="1">
      <c r="A4130" s="39">
        <v>4115</v>
      </c>
      <c r="B4130" s="40" t="s">
        <v>20155</v>
      </c>
      <c r="C4130" s="40" t="s">
        <v>20156</v>
      </c>
      <c r="D4130" s="40" t="s">
        <v>20157</v>
      </c>
      <c r="E4130" s="41">
        <v>7.12</v>
      </c>
      <c r="F4130" s="40"/>
      <c r="G4130" s="41"/>
      <c r="H4130" s="40"/>
      <c r="I4130" s="41"/>
      <c r="J4130" s="41">
        <f t="shared" si="16"/>
        <v>7.12</v>
      </c>
      <c r="K4130" s="42" t="s">
        <v>5796</v>
      </c>
      <c r="L4130" s="39">
        <v>4115</v>
      </c>
    </row>
    <row r="4131" spans="1:12" ht="11.25" customHeight="1">
      <c r="A4131" s="39">
        <v>4116</v>
      </c>
      <c r="B4131" s="40" t="s">
        <v>20158</v>
      </c>
      <c r="C4131" s="40" t="s">
        <v>20159</v>
      </c>
      <c r="D4131" s="40" t="s">
        <v>20160</v>
      </c>
      <c r="E4131" s="41">
        <v>7.12</v>
      </c>
      <c r="F4131" s="40"/>
      <c r="G4131" s="41"/>
      <c r="H4131" s="40"/>
      <c r="I4131" s="41"/>
      <c r="J4131" s="41">
        <f t="shared" si="16"/>
        <v>7.12</v>
      </c>
      <c r="K4131" s="42" t="s">
        <v>5796</v>
      </c>
      <c r="L4131" s="39">
        <v>4116</v>
      </c>
    </row>
    <row r="4132" spans="1:12" ht="11.25" customHeight="1">
      <c r="A4132" s="39">
        <v>4117</v>
      </c>
      <c r="B4132" s="40" t="s">
        <v>9167</v>
      </c>
      <c r="C4132" s="40" t="s">
        <v>20161</v>
      </c>
      <c r="D4132" s="40" t="s">
        <v>20162</v>
      </c>
      <c r="E4132" s="41">
        <v>7.1</v>
      </c>
      <c r="F4132" s="40"/>
      <c r="G4132" s="41"/>
      <c r="H4132" s="40"/>
      <c r="I4132" s="41"/>
      <c r="J4132" s="41">
        <f t="shared" si="16"/>
        <v>7.1</v>
      </c>
      <c r="K4132" s="42" t="s">
        <v>5796</v>
      </c>
      <c r="L4132" s="39">
        <v>4117</v>
      </c>
    </row>
    <row r="4133" spans="1:12" ht="11.25" customHeight="1">
      <c r="A4133" s="39">
        <v>4118</v>
      </c>
      <c r="B4133" s="40" t="s">
        <v>9255</v>
      </c>
      <c r="C4133" s="40" t="s">
        <v>20163</v>
      </c>
      <c r="D4133" s="40" t="s">
        <v>20164</v>
      </c>
      <c r="E4133" s="41">
        <v>7.08</v>
      </c>
      <c r="F4133" s="40"/>
      <c r="G4133" s="41"/>
      <c r="H4133" s="40"/>
      <c r="I4133" s="41"/>
      <c r="J4133" s="41">
        <f t="shared" si="16"/>
        <v>7.08</v>
      </c>
      <c r="K4133" s="42" t="s">
        <v>5796</v>
      </c>
      <c r="L4133" s="39">
        <v>4118</v>
      </c>
    </row>
    <row r="4134" spans="1:12" ht="11.25" customHeight="1">
      <c r="A4134" s="39">
        <v>4119</v>
      </c>
      <c r="B4134" s="40" t="s">
        <v>20165</v>
      </c>
      <c r="C4134" s="40" t="s">
        <v>20166</v>
      </c>
      <c r="D4134" s="40" t="s">
        <v>20167</v>
      </c>
      <c r="E4134" s="41">
        <v>7.07</v>
      </c>
      <c r="F4134" s="40"/>
      <c r="G4134" s="41"/>
      <c r="H4134" s="40"/>
      <c r="I4134" s="41"/>
      <c r="J4134" s="41">
        <f t="shared" si="16"/>
        <v>7.07</v>
      </c>
      <c r="K4134" s="42" t="s">
        <v>5796</v>
      </c>
      <c r="L4134" s="39">
        <v>4119</v>
      </c>
    </row>
    <row r="4135" spans="1:12" ht="11.25" customHeight="1">
      <c r="A4135" s="39">
        <v>4120</v>
      </c>
      <c r="B4135" s="40" t="s">
        <v>20168</v>
      </c>
      <c r="C4135" s="40" t="s">
        <v>20169</v>
      </c>
      <c r="D4135" s="40" t="s">
        <v>20170</v>
      </c>
      <c r="E4135" s="41">
        <v>7.03</v>
      </c>
      <c r="F4135" s="40"/>
      <c r="G4135" s="41"/>
      <c r="H4135" s="40"/>
      <c r="I4135" s="41"/>
      <c r="J4135" s="41">
        <f t="shared" si="16"/>
        <v>7.03</v>
      </c>
      <c r="K4135" s="42" t="s">
        <v>5796</v>
      </c>
      <c r="L4135" s="39">
        <v>4120</v>
      </c>
    </row>
    <row r="4136" spans="1:12" ht="11.25" customHeight="1">
      <c r="A4136" s="39">
        <v>4121</v>
      </c>
      <c r="B4136" s="52" t="s">
        <v>9199</v>
      </c>
      <c r="C4136" s="52" t="s">
        <v>20171</v>
      </c>
      <c r="D4136" s="40"/>
      <c r="E4136" s="41"/>
      <c r="F4136" s="40"/>
      <c r="G4136" s="41"/>
      <c r="H4136" s="52" t="s">
        <v>20172</v>
      </c>
      <c r="I4136" s="53">
        <v>7.0001399999999903</v>
      </c>
      <c r="J4136" s="41">
        <f t="shared" si="16"/>
        <v>7.0001399999999903</v>
      </c>
      <c r="K4136" s="42" t="s">
        <v>5796</v>
      </c>
      <c r="L4136" s="39">
        <v>4121</v>
      </c>
    </row>
    <row r="4137" spans="1:12" ht="11.25" customHeight="1">
      <c r="A4137" s="39">
        <v>4122</v>
      </c>
      <c r="B4137" s="40" t="s">
        <v>20173</v>
      </c>
      <c r="C4137" s="40" t="s">
        <v>20174</v>
      </c>
      <c r="D4137" s="40" t="s">
        <v>20175</v>
      </c>
      <c r="E4137" s="41">
        <v>6.98</v>
      </c>
      <c r="F4137" s="40"/>
      <c r="G4137" s="41"/>
      <c r="H4137" s="40"/>
      <c r="I4137" s="41"/>
      <c r="J4137" s="41">
        <f t="shared" si="16"/>
        <v>6.98</v>
      </c>
      <c r="K4137" s="42" t="s">
        <v>5796</v>
      </c>
      <c r="L4137" s="39">
        <v>4122</v>
      </c>
    </row>
    <row r="4138" spans="1:12" ht="11.25" customHeight="1">
      <c r="A4138" s="39">
        <v>4123</v>
      </c>
      <c r="B4138" s="40" t="s">
        <v>20176</v>
      </c>
      <c r="C4138" s="40" t="s">
        <v>20177</v>
      </c>
      <c r="D4138" s="40" t="s">
        <v>20178</v>
      </c>
      <c r="E4138" s="41">
        <v>6.95</v>
      </c>
      <c r="F4138" s="40"/>
      <c r="G4138" s="41"/>
      <c r="H4138" s="40"/>
      <c r="I4138" s="41"/>
      <c r="J4138" s="41">
        <f t="shared" si="16"/>
        <v>6.95</v>
      </c>
      <c r="K4138" s="42" t="s">
        <v>5796</v>
      </c>
      <c r="L4138" s="39">
        <v>4123</v>
      </c>
    </row>
    <row r="4139" spans="1:12" ht="11.25" customHeight="1">
      <c r="A4139" s="39">
        <v>4124</v>
      </c>
      <c r="B4139" s="40" t="s">
        <v>20179</v>
      </c>
      <c r="C4139" s="40" t="s">
        <v>20180</v>
      </c>
      <c r="D4139" s="40" t="s">
        <v>20181</v>
      </c>
      <c r="E4139" s="41">
        <v>6.94</v>
      </c>
      <c r="F4139" s="40"/>
      <c r="G4139" s="41"/>
      <c r="H4139" s="40"/>
      <c r="I4139" s="41"/>
      <c r="J4139" s="41">
        <f t="shared" si="16"/>
        <v>6.94</v>
      </c>
      <c r="K4139" s="42" t="s">
        <v>5796</v>
      </c>
      <c r="L4139" s="39">
        <v>4124</v>
      </c>
    </row>
    <row r="4140" spans="1:12" ht="11.25" customHeight="1">
      <c r="A4140" s="39">
        <v>4125</v>
      </c>
      <c r="B4140" s="40" t="s">
        <v>20182</v>
      </c>
      <c r="C4140" s="40" t="s">
        <v>20183</v>
      </c>
      <c r="D4140" s="40" t="s">
        <v>20184</v>
      </c>
      <c r="E4140" s="41">
        <v>6.93</v>
      </c>
      <c r="F4140" s="40"/>
      <c r="G4140" s="41"/>
      <c r="H4140" s="40"/>
      <c r="I4140" s="41"/>
      <c r="J4140" s="41">
        <f t="shared" si="16"/>
        <v>6.93</v>
      </c>
      <c r="K4140" s="42" t="s">
        <v>5796</v>
      </c>
      <c r="L4140" s="39">
        <v>4125</v>
      </c>
    </row>
    <row r="4141" spans="1:12" ht="11.25" customHeight="1">
      <c r="A4141" s="39">
        <v>4126</v>
      </c>
      <c r="B4141" s="40" t="s">
        <v>20185</v>
      </c>
      <c r="C4141" s="40" t="s">
        <v>20186</v>
      </c>
      <c r="D4141" s="40" t="s">
        <v>20187</v>
      </c>
      <c r="E4141" s="41">
        <v>6.93</v>
      </c>
      <c r="F4141" s="40"/>
      <c r="G4141" s="41"/>
      <c r="H4141" s="40"/>
      <c r="I4141" s="41"/>
      <c r="J4141" s="41">
        <f t="shared" si="16"/>
        <v>6.93</v>
      </c>
      <c r="K4141" s="42" t="s">
        <v>5796</v>
      </c>
      <c r="L4141" s="39">
        <v>4126</v>
      </c>
    </row>
    <row r="4142" spans="1:12" ht="11.25" customHeight="1">
      <c r="A4142" s="39">
        <v>4127</v>
      </c>
      <c r="B4142" s="40" t="s">
        <v>20188</v>
      </c>
      <c r="C4142" s="40" t="s">
        <v>20189</v>
      </c>
      <c r="D4142" s="40" t="s">
        <v>20190</v>
      </c>
      <c r="E4142" s="41">
        <v>6.91</v>
      </c>
      <c r="F4142" s="40"/>
      <c r="G4142" s="41"/>
      <c r="H4142" s="40"/>
      <c r="I4142" s="41"/>
      <c r="J4142" s="41">
        <f t="shared" si="16"/>
        <v>6.91</v>
      </c>
      <c r="K4142" s="42" t="s">
        <v>5796</v>
      </c>
      <c r="L4142" s="39">
        <v>4127</v>
      </c>
    </row>
    <row r="4143" spans="1:12" ht="11.25" customHeight="1">
      <c r="A4143" s="39">
        <v>4128</v>
      </c>
      <c r="B4143" s="40" t="s">
        <v>9510</v>
      </c>
      <c r="C4143" s="40" t="s">
        <v>20191</v>
      </c>
      <c r="D4143" s="40" t="s">
        <v>20192</v>
      </c>
      <c r="E4143" s="41">
        <v>6.91</v>
      </c>
      <c r="F4143" s="40"/>
      <c r="G4143" s="41"/>
      <c r="H4143" s="40"/>
      <c r="I4143" s="41"/>
      <c r="J4143" s="41">
        <f t="shared" si="16"/>
        <v>6.91</v>
      </c>
      <c r="K4143" s="42" t="s">
        <v>5796</v>
      </c>
      <c r="L4143" s="39">
        <v>4128</v>
      </c>
    </row>
    <row r="4144" spans="1:12" ht="11.25" customHeight="1">
      <c r="A4144" s="39">
        <v>4129</v>
      </c>
      <c r="B4144" s="40" t="s">
        <v>20193</v>
      </c>
      <c r="C4144" s="40" t="s">
        <v>20194</v>
      </c>
      <c r="D4144" s="40" t="s">
        <v>20195</v>
      </c>
      <c r="E4144" s="41">
        <v>6.9</v>
      </c>
      <c r="F4144" s="40"/>
      <c r="G4144" s="41"/>
      <c r="H4144" s="40"/>
      <c r="I4144" s="41"/>
      <c r="J4144" s="41">
        <f t="shared" si="16"/>
        <v>6.9</v>
      </c>
      <c r="K4144" s="42" t="s">
        <v>5796</v>
      </c>
      <c r="L4144" s="39">
        <v>4129</v>
      </c>
    </row>
    <row r="4145" spans="1:12" ht="11.25" customHeight="1">
      <c r="A4145" s="39">
        <v>4130</v>
      </c>
      <c r="B4145" s="52" t="s">
        <v>9213</v>
      </c>
      <c r="C4145" s="52" t="s">
        <v>20196</v>
      </c>
      <c r="D4145" s="40"/>
      <c r="E4145" s="41"/>
      <c r="F4145" s="40"/>
      <c r="G4145" s="41"/>
      <c r="H4145" s="52" t="s">
        <v>20197</v>
      </c>
      <c r="I4145" s="53">
        <v>6.8893124999999875</v>
      </c>
      <c r="J4145" s="41">
        <f t="shared" si="16"/>
        <v>6.8893124999999875</v>
      </c>
      <c r="K4145" s="42" t="s">
        <v>5796</v>
      </c>
      <c r="L4145" s="39">
        <v>4130</v>
      </c>
    </row>
    <row r="4146" spans="1:12" ht="11.25" customHeight="1">
      <c r="A4146" s="39">
        <v>4131</v>
      </c>
      <c r="B4146" s="40" t="s">
        <v>20198</v>
      </c>
      <c r="C4146" s="40" t="s">
        <v>20199</v>
      </c>
      <c r="D4146" s="40" t="s">
        <v>20200</v>
      </c>
      <c r="E4146" s="41">
        <v>6.88</v>
      </c>
      <c r="F4146" s="40"/>
      <c r="G4146" s="41"/>
      <c r="H4146" s="40"/>
      <c r="I4146" s="41"/>
      <c r="J4146" s="41">
        <f t="shared" si="16"/>
        <v>6.88</v>
      </c>
      <c r="K4146" s="42" t="s">
        <v>5796</v>
      </c>
      <c r="L4146" s="39">
        <v>4131</v>
      </c>
    </row>
    <row r="4147" spans="1:12" ht="11.25" customHeight="1">
      <c r="A4147" s="39">
        <v>4132</v>
      </c>
      <c r="B4147" s="40" t="s">
        <v>9119</v>
      </c>
      <c r="C4147" s="40" t="s">
        <v>20201</v>
      </c>
      <c r="D4147" s="40" t="s">
        <v>20202</v>
      </c>
      <c r="E4147" s="41">
        <v>6.87</v>
      </c>
      <c r="F4147" s="40"/>
      <c r="G4147" s="41"/>
      <c r="H4147" s="40"/>
      <c r="I4147" s="41"/>
      <c r="J4147" s="41">
        <f t="shared" si="16"/>
        <v>6.87</v>
      </c>
      <c r="K4147" s="42" t="s">
        <v>5796</v>
      </c>
      <c r="L4147" s="39">
        <v>4132</v>
      </c>
    </row>
    <row r="4148" spans="1:12" ht="11.25" customHeight="1">
      <c r="A4148" s="39">
        <v>4133</v>
      </c>
      <c r="B4148" s="40" t="s">
        <v>9254</v>
      </c>
      <c r="C4148" s="40" t="s">
        <v>20203</v>
      </c>
      <c r="D4148" s="40" t="s">
        <v>20204</v>
      </c>
      <c r="E4148" s="41">
        <v>6.87</v>
      </c>
      <c r="F4148" s="40"/>
      <c r="G4148" s="41"/>
      <c r="H4148" s="40"/>
      <c r="I4148" s="41"/>
      <c r="J4148" s="41">
        <f t="shared" si="16"/>
        <v>6.87</v>
      </c>
      <c r="K4148" s="42" t="s">
        <v>5796</v>
      </c>
      <c r="L4148" s="39">
        <v>4133</v>
      </c>
    </row>
    <row r="4149" spans="1:12" ht="11.25" customHeight="1">
      <c r="A4149" s="39">
        <v>4134</v>
      </c>
      <c r="B4149" s="40" t="s">
        <v>20205</v>
      </c>
      <c r="C4149" s="40" t="s">
        <v>20206</v>
      </c>
      <c r="D4149" s="40" t="s">
        <v>20207</v>
      </c>
      <c r="E4149" s="41">
        <v>6.86</v>
      </c>
      <c r="F4149" s="40"/>
      <c r="G4149" s="41"/>
      <c r="H4149" s="40"/>
      <c r="I4149" s="41"/>
      <c r="J4149" s="41">
        <f t="shared" si="16"/>
        <v>6.86</v>
      </c>
      <c r="K4149" s="42" t="s">
        <v>5796</v>
      </c>
      <c r="L4149" s="39">
        <v>4134</v>
      </c>
    </row>
    <row r="4150" spans="1:12" ht="11.25" customHeight="1">
      <c r="A4150" s="39">
        <v>4135</v>
      </c>
      <c r="B4150" s="40" t="s">
        <v>20208</v>
      </c>
      <c r="C4150" s="40" t="s">
        <v>20209</v>
      </c>
      <c r="D4150" s="40" t="s">
        <v>20210</v>
      </c>
      <c r="E4150" s="41">
        <v>6.85</v>
      </c>
      <c r="F4150" s="40"/>
      <c r="G4150" s="41"/>
      <c r="H4150" s="40"/>
      <c r="I4150" s="41"/>
      <c r="J4150" s="41">
        <f t="shared" si="16"/>
        <v>6.85</v>
      </c>
      <c r="K4150" s="42" t="s">
        <v>5796</v>
      </c>
      <c r="L4150" s="39">
        <v>4135</v>
      </c>
    </row>
    <row r="4151" spans="1:12" ht="11.25" customHeight="1">
      <c r="A4151" s="39">
        <v>4136</v>
      </c>
      <c r="B4151" s="40" t="s">
        <v>20211</v>
      </c>
      <c r="C4151" s="40" t="s">
        <v>20212</v>
      </c>
      <c r="D4151" s="40" t="s">
        <v>20213</v>
      </c>
      <c r="E4151" s="41">
        <v>6.85</v>
      </c>
      <c r="F4151" s="40"/>
      <c r="G4151" s="41"/>
      <c r="H4151" s="40"/>
      <c r="I4151" s="41"/>
      <c r="J4151" s="41">
        <f t="shared" si="16"/>
        <v>6.85</v>
      </c>
      <c r="K4151" s="42" t="s">
        <v>5796</v>
      </c>
      <c r="L4151" s="39">
        <v>4136</v>
      </c>
    </row>
    <row r="4152" spans="1:12" ht="11.25" customHeight="1">
      <c r="A4152" s="39">
        <v>4137</v>
      </c>
      <c r="B4152" s="40" t="s">
        <v>20214</v>
      </c>
      <c r="C4152" s="40" t="s">
        <v>20215</v>
      </c>
      <c r="D4152" s="40" t="s">
        <v>20216</v>
      </c>
      <c r="E4152" s="41">
        <v>6.85</v>
      </c>
      <c r="F4152" s="40"/>
      <c r="G4152" s="41"/>
      <c r="H4152" s="40"/>
      <c r="I4152" s="41"/>
      <c r="J4152" s="41">
        <f t="shared" si="16"/>
        <v>6.85</v>
      </c>
      <c r="K4152" s="42" t="s">
        <v>5796</v>
      </c>
      <c r="L4152" s="39">
        <v>4137</v>
      </c>
    </row>
    <row r="4153" spans="1:12" ht="11.25" customHeight="1">
      <c r="A4153" s="39">
        <v>4138</v>
      </c>
      <c r="B4153" s="40" t="s">
        <v>20217</v>
      </c>
      <c r="C4153" s="40" t="s">
        <v>20218</v>
      </c>
      <c r="D4153" s="40" t="s">
        <v>20219</v>
      </c>
      <c r="E4153" s="41">
        <v>6.82</v>
      </c>
      <c r="F4153" s="40"/>
      <c r="G4153" s="41"/>
      <c r="H4153" s="40"/>
      <c r="I4153" s="41"/>
      <c r="J4153" s="41">
        <f t="shared" si="16"/>
        <v>6.82</v>
      </c>
      <c r="K4153" s="42" t="s">
        <v>5796</v>
      </c>
      <c r="L4153" s="39">
        <v>4138</v>
      </c>
    </row>
    <row r="4154" spans="1:12" ht="11.25" customHeight="1">
      <c r="A4154" s="39">
        <v>4139</v>
      </c>
      <c r="B4154" s="40" t="s">
        <v>20220</v>
      </c>
      <c r="C4154" s="40" t="s">
        <v>20221</v>
      </c>
      <c r="D4154" s="40" t="s">
        <v>20222</v>
      </c>
      <c r="E4154" s="41">
        <v>6.81</v>
      </c>
      <c r="F4154" s="40"/>
      <c r="G4154" s="41"/>
      <c r="H4154" s="40"/>
      <c r="I4154" s="41"/>
      <c r="J4154" s="41">
        <f t="shared" si="16"/>
        <v>6.81</v>
      </c>
      <c r="K4154" s="42" t="s">
        <v>5796</v>
      </c>
      <c r="L4154" s="39">
        <v>4139</v>
      </c>
    </row>
    <row r="4155" spans="1:12" ht="11.25" customHeight="1">
      <c r="A4155" s="39">
        <v>4140</v>
      </c>
      <c r="B4155" s="40" t="s">
        <v>20223</v>
      </c>
      <c r="C4155" s="40" t="s">
        <v>20224</v>
      </c>
      <c r="D4155" s="40" t="s">
        <v>20225</v>
      </c>
      <c r="E4155" s="41">
        <v>6.81</v>
      </c>
      <c r="F4155" s="40"/>
      <c r="G4155" s="41"/>
      <c r="H4155" s="40"/>
      <c r="I4155" s="41"/>
      <c r="J4155" s="41">
        <f t="shared" si="16"/>
        <v>6.81</v>
      </c>
      <c r="K4155" s="42" t="s">
        <v>5796</v>
      </c>
      <c r="L4155" s="39">
        <v>4140</v>
      </c>
    </row>
    <row r="4156" spans="1:12" ht="11.25" customHeight="1">
      <c r="A4156" s="39">
        <v>4141</v>
      </c>
      <c r="B4156" s="40" t="s">
        <v>20226</v>
      </c>
      <c r="C4156" s="40" t="s">
        <v>20227</v>
      </c>
      <c r="D4156" s="40" t="s">
        <v>20228</v>
      </c>
      <c r="E4156" s="41">
        <v>6.77</v>
      </c>
      <c r="F4156" s="40"/>
      <c r="G4156" s="41"/>
      <c r="H4156" s="40"/>
      <c r="I4156" s="41"/>
      <c r="J4156" s="41">
        <f t="shared" si="16"/>
        <v>6.77</v>
      </c>
      <c r="K4156" s="42" t="s">
        <v>5796</v>
      </c>
      <c r="L4156" s="39">
        <v>4141</v>
      </c>
    </row>
    <row r="4157" spans="1:12" ht="11.25" customHeight="1">
      <c r="A4157" s="39">
        <v>4142</v>
      </c>
      <c r="B4157" s="40" t="s">
        <v>20229</v>
      </c>
      <c r="C4157" s="40" t="s">
        <v>20230</v>
      </c>
      <c r="D4157" s="40" t="s">
        <v>20231</v>
      </c>
      <c r="E4157" s="41">
        <v>6.77</v>
      </c>
      <c r="F4157" s="40"/>
      <c r="G4157" s="41"/>
      <c r="H4157" s="40"/>
      <c r="I4157" s="41"/>
      <c r="J4157" s="41">
        <f t="shared" si="16"/>
        <v>6.77</v>
      </c>
      <c r="K4157" s="42" t="s">
        <v>5796</v>
      </c>
      <c r="L4157" s="39">
        <v>4142</v>
      </c>
    </row>
    <row r="4158" spans="1:12" ht="11.25" customHeight="1">
      <c r="A4158" s="39">
        <v>4143</v>
      </c>
      <c r="B4158" s="40" t="s">
        <v>20232</v>
      </c>
      <c r="C4158" s="40" t="s">
        <v>20233</v>
      </c>
      <c r="D4158" s="40" t="s">
        <v>20234</v>
      </c>
      <c r="E4158" s="41">
        <v>6.76</v>
      </c>
      <c r="F4158" s="40"/>
      <c r="G4158" s="41"/>
      <c r="H4158" s="40"/>
      <c r="I4158" s="41"/>
      <c r="J4158" s="41">
        <f t="shared" si="16"/>
        <v>6.76</v>
      </c>
      <c r="K4158" s="42" t="s">
        <v>5796</v>
      </c>
      <c r="L4158" s="39">
        <v>4143</v>
      </c>
    </row>
    <row r="4159" spans="1:12" ht="11.25" customHeight="1">
      <c r="A4159" s="39">
        <v>4144</v>
      </c>
      <c r="B4159" s="40" t="s">
        <v>20235</v>
      </c>
      <c r="C4159" s="40" t="s">
        <v>20236</v>
      </c>
      <c r="D4159" s="40" t="s">
        <v>20237</v>
      </c>
      <c r="E4159" s="41">
        <v>6.74</v>
      </c>
      <c r="F4159" s="40"/>
      <c r="G4159" s="41"/>
      <c r="H4159" s="40"/>
      <c r="I4159" s="41"/>
      <c r="J4159" s="41">
        <f t="shared" si="16"/>
        <v>6.74</v>
      </c>
      <c r="K4159" s="42" t="s">
        <v>5796</v>
      </c>
      <c r="L4159" s="39">
        <v>4144</v>
      </c>
    </row>
    <row r="4160" spans="1:12" ht="11.25" customHeight="1">
      <c r="A4160" s="39">
        <v>4145</v>
      </c>
      <c r="B4160" s="40" t="s">
        <v>20238</v>
      </c>
      <c r="C4160" s="40" t="s">
        <v>20239</v>
      </c>
      <c r="D4160" s="40" t="s">
        <v>20240</v>
      </c>
      <c r="E4160" s="41">
        <v>6.73</v>
      </c>
      <c r="F4160" s="40"/>
      <c r="G4160" s="41"/>
      <c r="H4160" s="40"/>
      <c r="I4160" s="41"/>
      <c r="J4160" s="41">
        <f t="shared" si="16"/>
        <v>6.73</v>
      </c>
      <c r="K4160" s="42" t="s">
        <v>5796</v>
      </c>
      <c r="L4160" s="39">
        <v>4145</v>
      </c>
    </row>
    <row r="4161" spans="1:12" ht="11.25" customHeight="1">
      <c r="A4161" s="39">
        <v>4146</v>
      </c>
      <c r="B4161" s="40" t="s">
        <v>20241</v>
      </c>
      <c r="C4161" s="40" t="s">
        <v>20242</v>
      </c>
      <c r="D4161" s="40" t="s">
        <v>20243</v>
      </c>
      <c r="E4161" s="41">
        <v>6.73</v>
      </c>
      <c r="F4161" s="40"/>
      <c r="G4161" s="41"/>
      <c r="H4161" s="40"/>
      <c r="I4161" s="41"/>
      <c r="J4161" s="41">
        <f t="shared" si="16"/>
        <v>6.73</v>
      </c>
      <c r="K4161" s="42" t="s">
        <v>5796</v>
      </c>
      <c r="L4161" s="39">
        <v>4146</v>
      </c>
    </row>
    <row r="4162" spans="1:12" ht="11.25" customHeight="1">
      <c r="A4162" s="39">
        <v>4147</v>
      </c>
      <c r="B4162" s="40" t="s">
        <v>9159</v>
      </c>
      <c r="C4162" s="40" t="s">
        <v>20244</v>
      </c>
      <c r="D4162" s="40" t="s">
        <v>20245</v>
      </c>
      <c r="E4162" s="41">
        <v>6.73</v>
      </c>
      <c r="F4162" s="40"/>
      <c r="G4162" s="41"/>
      <c r="H4162" s="40"/>
      <c r="I4162" s="41"/>
      <c r="J4162" s="41">
        <f t="shared" si="16"/>
        <v>6.73</v>
      </c>
      <c r="K4162" s="42" t="s">
        <v>5796</v>
      </c>
      <c r="L4162" s="39">
        <v>4147</v>
      </c>
    </row>
    <row r="4163" spans="1:12" ht="11.25" customHeight="1">
      <c r="A4163" s="39">
        <v>4148</v>
      </c>
      <c r="B4163" s="54" t="s">
        <v>10234</v>
      </c>
      <c r="C4163" s="54" t="s">
        <v>20246</v>
      </c>
      <c r="D4163" s="40"/>
      <c r="E4163" s="41"/>
      <c r="F4163" s="40"/>
      <c r="G4163" s="41"/>
      <c r="H4163" s="54" t="s">
        <v>20247</v>
      </c>
      <c r="I4163" s="41">
        <v>6.7265280000000001</v>
      </c>
      <c r="J4163" s="41">
        <f t="shared" si="16"/>
        <v>6.7265280000000001</v>
      </c>
      <c r="K4163" s="42" t="s">
        <v>5796</v>
      </c>
      <c r="L4163" s="39">
        <v>4148</v>
      </c>
    </row>
    <row r="4164" spans="1:12" ht="11.25" customHeight="1">
      <c r="A4164" s="39">
        <v>4149</v>
      </c>
      <c r="B4164" s="40" t="s">
        <v>20248</v>
      </c>
      <c r="C4164" s="40" t="s">
        <v>20249</v>
      </c>
      <c r="D4164" s="40" t="s">
        <v>20250</v>
      </c>
      <c r="E4164" s="41">
        <v>6.72</v>
      </c>
      <c r="F4164" s="40"/>
      <c r="G4164" s="41"/>
      <c r="H4164" s="40"/>
      <c r="I4164" s="41"/>
      <c r="J4164" s="41">
        <f t="shared" si="16"/>
        <v>6.72</v>
      </c>
      <c r="K4164" s="42" t="s">
        <v>5796</v>
      </c>
      <c r="L4164" s="39">
        <v>4149</v>
      </c>
    </row>
    <row r="4165" spans="1:12" ht="11.25" customHeight="1">
      <c r="A4165" s="39">
        <v>4151</v>
      </c>
      <c r="B4165" s="40" t="s">
        <v>20251</v>
      </c>
      <c r="C4165" s="40" t="s">
        <v>20252</v>
      </c>
      <c r="D4165" s="40" t="s">
        <v>20253</v>
      </c>
      <c r="E4165" s="41">
        <v>6.71</v>
      </c>
      <c r="F4165" s="40"/>
      <c r="G4165" s="41"/>
      <c r="H4165" s="40"/>
      <c r="I4165" s="41"/>
      <c r="J4165" s="41">
        <f t="shared" si="16"/>
        <v>6.71</v>
      </c>
      <c r="K4165" s="42" t="s">
        <v>5796</v>
      </c>
      <c r="L4165" s="39">
        <v>4151</v>
      </c>
    </row>
    <row r="4166" spans="1:12" ht="11.25" customHeight="1">
      <c r="A4166" s="39">
        <v>4152</v>
      </c>
      <c r="B4166" s="52" t="s">
        <v>9244</v>
      </c>
      <c r="C4166" s="52" t="s">
        <v>20254</v>
      </c>
      <c r="D4166" s="40"/>
      <c r="E4166" s="41"/>
      <c r="F4166" s="40"/>
      <c r="G4166" s="41"/>
      <c r="H4166" s="52" t="s">
        <v>20255</v>
      </c>
      <c r="I4166" s="53">
        <v>6.7071640000000077</v>
      </c>
      <c r="J4166" s="41">
        <f t="shared" si="16"/>
        <v>6.7071640000000077</v>
      </c>
      <c r="K4166" s="42" t="s">
        <v>5796</v>
      </c>
      <c r="L4166" s="39">
        <v>4152</v>
      </c>
    </row>
    <row r="4167" spans="1:12" ht="11.25" customHeight="1">
      <c r="A4167" s="39">
        <v>4153</v>
      </c>
      <c r="B4167" s="40" t="s">
        <v>20256</v>
      </c>
      <c r="C4167" s="40" t="s">
        <v>20257</v>
      </c>
      <c r="D4167" s="40" t="s">
        <v>20258</v>
      </c>
      <c r="E4167" s="41">
        <v>6.7</v>
      </c>
      <c r="F4167" s="40"/>
      <c r="G4167" s="41"/>
      <c r="H4167" s="40"/>
      <c r="I4167" s="41"/>
      <c r="J4167" s="41">
        <f t="shared" si="16"/>
        <v>6.7</v>
      </c>
      <c r="K4167" s="42" t="s">
        <v>5796</v>
      </c>
      <c r="L4167" s="39">
        <v>4153</v>
      </c>
    </row>
    <row r="4168" spans="1:12" ht="11.25" customHeight="1">
      <c r="A4168" s="39">
        <v>4154</v>
      </c>
      <c r="B4168" s="40" t="s">
        <v>20259</v>
      </c>
      <c r="C4168" s="40" t="s">
        <v>20260</v>
      </c>
      <c r="D4168" s="40" t="s">
        <v>20261</v>
      </c>
      <c r="E4168" s="41">
        <v>6.7</v>
      </c>
      <c r="F4168" s="40"/>
      <c r="G4168" s="41"/>
      <c r="H4168" s="40"/>
      <c r="I4168" s="41"/>
      <c r="J4168" s="41">
        <f t="shared" si="16"/>
        <v>6.7</v>
      </c>
      <c r="K4168" s="42" t="s">
        <v>5796</v>
      </c>
      <c r="L4168" s="39">
        <v>4154</v>
      </c>
    </row>
    <row r="4169" spans="1:12" ht="11.25" customHeight="1">
      <c r="A4169" s="39">
        <v>4155</v>
      </c>
      <c r="B4169" s="40" t="s">
        <v>9245</v>
      </c>
      <c r="C4169" s="40" t="s">
        <v>20262</v>
      </c>
      <c r="D4169" s="40" t="s">
        <v>20263</v>
      </c>
      <c r="E4169" s="41">
        <v>6.69</v>
      </c>
      <c r="F4169" s="40"/>
      <c r="G4169" s="41"/>
      <c r="H4169" s="40"/>
      <c r="I4169" s="41"/>
      <c r="J4169" s="41">
        <f t="shared" si="16"/>
        <v>6.69</v>
      </c>
      <c r="K4169" s="42" t="s">
        <v>5796</v>
      </c>
      <c r="L4169" s="39">
        <v>4155</v>
      </c>
    </row>
    <row r="4170" spans="1:12" ht="11.25" customHeight="1">
      <c r="A4170" s="39">
        <v>4156</v>
      </c>
      <c r="B4170" s="40" t="s">
        <v>20264</v>
      </c>
      <c r="C4170" s="40" t="s">
        <v>20265</v>
      </c>
      <c r="D4170" s="40" t="s">
        <v>20266</v>
      </c>
      <c r="E4170" s="41">
        <v>6.69</v>
      </c>
      <c r="F4170" s="40"/>
      <c r="G4170" s="41"/>
      <c r="H4170" s="40"/>
      <c r="I4170" s="41"/>
      <c r="J4170" s="41">
        <f t="shared" si="16"/>
        <v>6.69</v>
      </c>
      <c r="K4170" s="42" t="s">
        <v>5796</v>
      </c>
      <c r="L4170" s="39">
        <v>4156</v>
      </c>
    </row>
    <row r="4171" spans="1:12" ht="11.25" customHeight="1">
      <c r="A4171" s="39">
        <v>4157</v>
      </c>
      <c r="B4171" s="40" t="s">
        <v>20267</v>
      </c>
      <c r="C4171" s="40" t="s">
        <v>20268</v>
      </c>
      <c r="D4171" s="40" t="s">
        <v>20269</v>
      </c>
      <c r="E4171" s="41">
        <v>6.68</v>
      </c>
      <c r="F4171" s="40"/>
      <c r="G4171" s="41"/>
      <c r="H4171" s="40"/>
      <c r="I4171" s="41"/>
      <c r="J4171" s="41">
        <f t="shared" si="16"/>
        <v>6.68</v>
      </c>
      <c r="K4171" s="42" t="s">
        <v>5796</v>
      </c>
      <c r="L4171" s="39">
        <v>4157</v>
      </c>
    </row>
    <row r="4172" spans="1:12" ht="11.25" customHeight="1">
      <c r="A4172" s="39">
        <v>4158</v>
      </c>
      <c r="B4172" s="40" t="s">
        <v>9896</v>
      </c>
      <c r="C4172" s="40" t="s">
        <v>20270</v>
      </c>
      <c r="D4172" s="40" t="s">
        <v>20271</v>
      </c>
      <c r="E4172" s="41">
        <v>6.68</v>
      </c>
      <c r="F4172" s="40"/>
      <c r="G4172" s="41"/>
      <c r="H4172" s="40"/>
      <c r="I4172" s="41"/>
      <c r="J4172" s="41">
        <f t="shared" si="16"/>
        <v>6.68</v>
      </c>
      <c r="K4172" s="42" t="s">
        <v>5796</v>
      </c>
      <c r="L4172" s="39">
        <v>4158</v>
      </c>
    </row>
    <row r="4173" spans="1:12" ht="11.25" customHeight="1">
      <c r="A4173" s="39">
        <v>4159</v>
      </c>
      <c r="B4173" s="40" t="s">
        <v>20272</v>
      </c>
      <c r="C4173" s="40" t="s">
        <v>20273</v>
      </c>
      <c r="D4173" s="40" t="s">
        <v>20274</v>
      </c>
      <c r="E4173" s="41">
        <v>6.68</v>
      </c>
      <c r="F4173" s="40"/>
      <c r="G4173" s="41"/>
      <c r="H4173" s="40"/>
      <c r="I4173" s="41"/>
      <c r="J4173" s="41">
        <f t="shared" si="16"/>
        <v>6.68</v>
      </c>
      <c r="K4173" s="42" t="s">
        <v>5796</v>
      </c>
      <c r="L4173" s="39">
        <v>4159</v>
      </c>
    </row>
    <row r="4174" spans="1:12" ht="11.25" customHeight="1">
      <c r="A4174" s="39">
        <v>4160</v>
      </c>
      <c r="B4174" s="40" t="s">
        <v>20275</v>
      </c>
      <c r="C4174" s="40" t="s">
        <v>20276</v>
      </c>
      <c r="D4174" s="40" t="s">
        <v>20277</v>
      </c>
      <c r="E4174" s="41">
        <v>6.67</v>
      </c>
      <c r="F4174" s="40"/>
      <c r="G4174" s="41"/>
      <c r="H4174" s="40"/>
      <c r="I4174" s="41"/>
      <c r="J4174" s="41">
        <f t="shared" si="16"/>
        <v>6.67</v>
      </c>
      <c r="K4174" s="42" t="s">
        <v>5796</v>
      </c>
      <c r="L4174" s="39">
        <v>4160</v>
      </c>
    </row>
    <row r="4175" spans="1:12" ht="11.25" customHeight="1">
      <c r="A4175" s="39">
        <v>4162</v>
      </c>
      <c r="B4175" s="40" t="s">
        <v>20278</v>
      </c>
      <c r="C4175" s="40" t="s">
        <v>20279</v>
      </c>
      <c r="D4175" s="40" t="s">
        <v>20280</v>
      </c>
      <c r="E4175" s="41">
        <v>6.66</v>
      </c>
      <c r="F4175" s="40"/>
      <c r="G4175" s="41"/>
      <c r="H4175" s="40"/>
      <c r="I4175" s="41"/>
      <c r="J4175" s="41">
        <f t="shared" si="16"/>
        <v>6.66</v>
      </c>
      <c r="K4175" s="42" t="s">
        <v>5796</v>
      </c>
      <c r="L4175" s="39">
        <v>4162</v>
      </c>
    </row>
    <row r="4176" spans="1:12" ht="11.25" customHeight="1">
      <c r="A4176" s="39">
        <v>4163</v>
      </c>
      <c r="B4176" s="40" t="s">
        <v>20281</v>
      </c>
      <c r="C4176" s="40" t="s">
        <v>20282</v>
      </c>
      <c r="D4176" s="40" t="s">
        <v>20283</v>
      </c>
      <c r="E4176" s="41">
        <v>6.66</v>
      </c>
      <c r="F4176" s="40"/>
      <c r="G4176" s="41"/>
      <c r="H4176" s="40"/>
      <c r="I4176" s="41"/>
      <c r="J4176" s="41">
        <f t="shared" si="16"/>
        <v>6.66</v>
      </c>
      <c r="K4176" s="42" t="s">
        <v>5796</v>
      </c>
      <c r="L4176" s="39">
        <v>4163</v>
      </c>
    </row>
    <row r="4177" spans="1:12" ht="11.25" customHeight="1">
      <c r="A4177" s="39">
        <v>4164</v>
      </c>
      <c r="B4177" s="40" t="s">
        <v>9242</v>
      </c>
      <c r="C4177" s="40" t="s">
        <v>20284</v>
      </c>
      <c r="D4177" s="40" t="s">
        <v>20285</v>
      </c>
      <c r="E4177" s="41">
        <v>6.64</v>
      </c>
      <c r="F4177" s="40"/>
      <c r="G4177" s="41"/>
      <c r="H4177" s="40"/>
      <c r="I4177" s="41"/>
      <c r="J4177" s="41">
        <f t="shared" si="16"/>
        <v>6.64</v>
      </c>
      <c r="K4177" s="42" t="s">
        <v>5796</v>
      </c>
      <c r="L4177" s="39">
        <v>4164</v>
      </c>
    </row>
    <row r="4178" spans="1:12" ht="11.25" customHeight="1">
      <c r="A4178" s="39">
        <v>4165</v>
      </c>
      <c r="B4178" s="40" t="s">
        <v>20286</v>
      </c>
      <c r="C4178" s="40" t="s">
        <v>20287</v>
      </c>
      <c r="D4178" s="40" t="s">
        <v>20288</v>
      </c>
      <c r="E4178" s="41">
        <v>6.63</v>
      </c>
      <c r="F4178" s="40"/>
      <c r="G4178" s="41"/>
      <c r="H4178" s="40"/>
      <c r="I4178" s="41"/>
      <c r="J4178" s="41">
        <f t="shared" si="16"/>
        <v>6.63</v>
      </c>
      <c r="K4178" s="42" t="s">
        <v>5796</v>
      </c>
      <c r="L4178" s="39">
        <v>4165</v>
      </c>
    </row>
    <row r="4179" spans="1:12" ht="11.25" customHeight="1">
      <c r="A4179" s="39">
        <v>4166</v>
      </c>
      <c r="B4179" s="40" t="s">
        <v>20289</v>
      </c>
      <c r="C4179" s="40" t="s">
        <v>20290</v>
      </c>
      <c r="D4179" s="40" t="s">
        <v>20291</v>
      </c>
      <c r="E4179" s="41">
        <v>6.6</v>
      </c>
      <c r="F4179" s="40"/>
      <c r="G4179" s="41"/>
      <c r="H4179" s="40"/>
      <c r="I4179" s="41"/>
      <c r="J4179" s="41">
        <f t="shared" si="16"/>
        <v>6.6</v>
      </c>
      <c r="K4179" s="42" t="s">
        <v>5796</v>
      </c>
      <c r="L4179" s="39">
        <v>4166</v>
      </c>
    </row>
    <row r="4180" spans="1:12" ht="11.25" customHeight="1">
      <c r="A4180" s="39">
        <v>4167</v>
      </c>
      <c r="B4180" s="40" t="s">
        <v>20292</v>
      </c>
      <c r="C4180" s="40" t="s">
        <v>20293</v>
      </c>
      <c r="D4180" s="40" t="s">
        <v>20294</v>
      </c>
      <c r="E4180" s="41">
        <v>6.58</v>
      </c>
      <c r="F4180" s="40"/>
      <c r="G4180" s="41"/>
      <c r="H4180" s="40"/>
      <c r="I4180" s="41"/>
      <c r="J4180" s="41">
        <f t="shared" si="16"/>
        <v>6.58</v>
      </c>
      <c r="K4180" s="42" t="s">
        <v>5796</v>
      </c>
      <c r="L4180" s="39">
        <v>4167</v>
      </c>
    </row>
    <row r="4181" spans="1:12" ht="11.25" customHeight="1">
      <c r="A4181" s="39">
        <v>4168</v>
      </c>
      <c r="B4181" s="40" t="s">
        <v>20295</v>
      </c>
      <c r="C4181" s="40" t="s">
        <v>20296</v>
      </c>
      <c r="D4181" s="40" t="s">
        <v>20297</v>
      </c>
      <c r="E4181" s="41">
        <v>6.58</v>
      </c>
      <c r="F4181" s="40"/>
      <c r="G4181" s="41"/>
      <c r="H4181" s="40"/>
      <c r="I4181" s="41"/>
      <c r="J4181" s="41">
        <f t="shared" si="16"/>
        <v>6.58</v>
      </c>
      <c r="K4181" s="42" t="s">
        <v>5796</v>
      </c>
      <c r="L4181" s="39">
        <v>4168</v>
      </c>
    </row>
    <row r="4182" spans="1:12" ht="11.25" customHeight="1">
      <c r="A4182" s="39">
        <v>4169</v>
      </c>
      <c r="B4182" s="40" t="s">
        <v>20298</v>
      </c>
      <c r="C4182" s="40" t="s">
        <v>20299</v>
      </c>
      <c r="D4182" s="40" t="s">
        <v>20300</v>
      </c>
      <c r="E4182" s="41">
        <v>6.56</v>
      </c>
      <c r="F4182" s="40"/>
      <c r="G4182" s="41"/>
      <c r="H4182" s="40"/>
      <c r="I4182" s="41"/>
      <c r="J4182" s="41">
        <f t="shared" si="16"/>
        <v>6.56</v>
      </c>
      <c r="K4182" s="42" t="s">
        <v>5796</v>
      </c>
      <c r="L4182" s="39">
        <v>4169</v>
      </c>
    </row>
    <row r="4183" spans="1:12" ht="11.25" customHeight="1">
      <c r="A4183" s="39">
        <v>4170</v>
      </c>
      <c r="B4183" s="40" t="s">
        <v>20301</v>
      </c>
      <c r="C4183" s="40" t="s">
        <v>20302</v>
      </c>
      <c r="D4183" s="40" t="s">
        <v>20303</v>
      </c>
      <c r="E4183" s="41">
        <v>6.56</v>
      </c>
      <c r="F4183" s="40"/>
      <c r="G4183" s="41"/>
      <c r="H4183" s="40"/>
      <c r="I4183" s="41"/>
      <c r="J4183" s="41">
        <f t="shared" si="16"/>
        <v>6.56</v>
      </c>
      <c r="K4183" s="42" t="s">
        <v>5796</v>
      </c>
      <c r="L4183" s="39">
        <v>4170</v>
      </c>
    </row>
    <row r="4184" spans="1:12" ht="11.25" customHeight="1">
      <c r="A4184" s="39">
        <v>4171</v>
      </c>
      <c r="B4184" s="40" t="s">
        <v>20304</v>
      </c>
      <c r="C4184" s="40" t="s">
        <v>20305</v>
      </c>
      <c r="D4184" s="40" t="s">
        <v>20306</v>
      </c>
      <c r="E4184" s="41">
        <v>6.56</v>
      </c>
      <c r="F4184" s="40"/>
      <c r="G4184" s="41"/>
      <c r="H4184" s="40"/>
      <c r="I4184" s="41"/>
      <c r="J4184" s="41">
        <f t="shared" si="16"/>
        <v>6.56</v>
      </c>
      <c r="K4184" s="42" t="s">
        <v>5796</v>
      </c>
      <c r="L4184" s="39">
        <v>4171</v>
      </c>
    </row>
    <row r="4185" spans="1:12" ht="11.25" customHeight="1">
      <c r="A4185" s="39">
        <v>4172</v>
      </c>
      <c r="B4185" s="40" t="s">
        <v>20307</v>
      </c>
      <c r="C4185" s="40" t="s">
        <v>20308</v>
      </c>
      <c r="D4185" s="40" t="s">
        <v>20309</v>
      </c>
      <c r="E4185" s="41">
        <v>6.55</v>
      </c>
      <c r="F4185" s="40"/>
      <c r="G4185" s="41"/>
      <c r="H4185" s="40"/>
      <c r="I4185" s="41"/>
      <c r="J4185" s="41">
        <f t="shared" si="16"/>
        <v>6.55</v>
      </c>
      <c r="K4185" s="42" t="s">
        <v>5796</v>
      </c>
      <c r="L4185" s="39">
        <v>4172</v>
      </c>
    </row>
    <row r="4186" spans="1:12" ht="11.25" customHeight="1">
      <c r="A4186" s="39">
        <v>4173</v>
      </c>
      <c r="B4186" s="40" t="s">
        <v>20310</v>
      </c>
      <c r="C4186" s="40" t="s">
        <v>20311</v>
      </c>
      <c r="D4186" s="40" t="s">
        <v>20312</v>
      </c>
      <c r="E4186" s="41">
        <v>6.54</v>
      </c>
      <c r="F4186" s="40"/>
      <c r="G4186" s="41"/>
      <c r="H4186" s="40"/>
      <c r="I4186" s="41"/>
      <c r="J4186" s="41">
        <f t="shared" si="16"/>
        <v>6.54</v>
      </c>
      <c r="K4186" s="42" t="s">
        <v>5796</v>
      </c>
      <c r="L4186" s="39">
        <v>4173</v>
      </c>
    </row>
    <row r="4187" spans="1:12" ht="11.25" customHeight="1">
      <c r="A4187" s="39">
        <v>4174</v>
      </c>
      <c r="B4187" s="40" t="s">
        <v>20313</v>
      </c>
      <c r="C4187" s="40" t="s">
        <v>20314</v>
      </c>
      <c r="D4187" s="40" t="s">
        <v>20315</v>
      </c>
      <c r="E4187" s="41">
        <v>6.54</v>
      </c>
      <c r="F4187" s="40"/>
      <c r="G4187" s="41"/>
      <c r="H4187" s="40"/>
      <c r="I4187" s="41"/>
      <c r="J4187" s="41">
        <f t="shared" si="16"/>
        <v>6.54</v>
      </c>
      <c r="K4187" s="42" t="s">
        <v>5796</v>
      </c>
      <c r="L4187" s="39">
        <v>4174</v>
      </c>
    </row>
    <row r="4188" spans="1:12" ht="11.25" customHeight="1">
      <c r="A4188" s="39">
        <v>4175</v>
      </c>
      <c r="B4188" s="40" t="s">
        <v>20316</v>
      </c>
      <c r="C4188" s="40" t="s">
        <v>20317</v>
      </c>
      <c r="D4188" s="40" t="s">
        <v>20318</v>
      </c>
      <c r="E4188" s="41">
        <v>6.53</v>
      </c>
      <c r="F4188" s="40"/>
      <c r="G4188" s="41"/>
      <c r="H4188" s="40"/>
      <c r="I4188" s="41"/>
      <c r="J4188" s="41">
        <f t="shared" si="16"/>
        <v>6.53</v>
      </c>
      <c r="K4188" s="42" t="s">
        <v>5796</v>
      </c>
      <c r="L4188" s="39">
        <v>4175</v>
      </c>
    </row>
    <row r="4189" spans="1:12" ht="11.25" customHeight="1">
      <c r="A4189" s="39">
        <v>4176</v>
      </c>
      <c r="B4189" s="40" t="s">
        <v>20319</v>
      </c>
      <c r="C4189" s="40" t="s">
        <v>20320</v>
      </c>
      <c r="D4189" s="40" t="s">
        <v>20321</v>
      </c>
      <c r="E4189" s="41">
        <v>6.52</v>
      </c>
      <c r="F4189" s="40"/>
      <c r="G4189" s="41"/>
      <c r="H4189" s="40"/>
      <c r="I4189" s="41"/>
      <c r="J4189" s="41">
        <f t="shared" si="16"/>
        <v>6.52</v>
      </c>
      <c r="K4189" s="42" t="s">
        <v>5796</v>
      </c>
      <c r="L4189" s="39">
        <v>4176</v>
      </c>
    </row>
    <row r="4190" spans="1:12" ht="11.25" customHeight="1">
      <c r="A4190" s="39">
        <v>4177</v>
      </c>
      <c r="B4190" s="40" t="s">
        <v>20322</v>
      </c>
      <c r="C4190" s="40" t="s">
        <v>20323</v>
      </c>
      <c r="D4190" s="40" t="s">
        <v>20324</v>
      </c>
      <c r="E4190" s="41">
        <v>6.51</v>
      </c>
      <c r="F4190" s="40"/>
      <c r="G4190" s="41"/>
      <c r="H4190" s="40"/>
      <c r="I4190" s="41"/>
      <c r="J4190" s="41">
        <f t="shared" si="16"/>
        <v>6.51</v>
      </c>
      <c r="K4190" s="42" t="s">
        <v>5796</v>
      </c>
      <c r="L4190" s="39">
        <v>4177</v>
      </c>
    </row>
    <row r="4191" spans="1:12" ht="11.25" customHeight="1">
      <c r="A4191" s="39">
        <v>4178</v>
      </c>
      <c r="B4191" s="40" t="s">
        <v>20325</v>
      </c>
      <c r="C4191" s="40" t="s">
        <v>20326</v>
      </c>
      <c r="D4191" s="40" t="s">
        <v>20327</v>
      </c>
      <c r="E4191" s="41">
        <v>6.5</v>
      </c>
      <c r="F4191" s="40"/>
      <c r="G4191" s="41"/>
      <c r="H4191" s="40"/>
      <c r="I4191" s="41"/>
      <c r="J4191" s="41">
        <f t="shared" si="16"/>
        <v>6.5</v>
      </c>
      <c r="K4191" s="42" t="s">
        <v>5796</v>
      </c>
      <c r="L4191" s="39">
        <v>4178</v>
      </c>
    </row>
    <row r="4192" spans="1:12" ht="11.25" customHeight="1">
      <c r="A4192" s="39">
        <v>4179</v>
      </c>
      <c r="B4192" s="40" t="s">
        <v>20328</v>
      </c>
      <c r="C4192" s="40" t="s">
        <v>20329</v>
      </c>
      <c r="D4192" s="40" t="s">
        <v>20330</v>
      </c>
      <c r="E4192" s="41">
        <v>6.48</v>
      </c>
      <c r="F4192" s="40"/>
      <c r="G4192" s="41"/>
      <c r="H4192" s="40"/>
      <c r="I4192" s="41"/>
      <c r="J4192" s="41">
        <f t="shared" si="16"/>
        <v>6.48</v>
      </c>
      <c r="K4192" s="42" t="s">
        <v>5796</v>
      </c>
      <c r="L4192" s="39">
        <v>4179</v>
      </c>
    </row>
    <row r="4193" spans="1:12" ht="11.25" customHeight="1">
      <c r="A4193" s="39">
        <v>4180</v>
      </c>
      <c r="B4193" s="40" t="s">
        <v>20331</v>
      </c>
      <c r="C4193" s="40" t="s">
        <v>20332</v>
      </c>
      <c r="D4193" s="40" t="s">
        <v>20333</v>
      </c>
      <c r="E4193" s="41">
        <v>6.42</v>
      </c>
      <c r="F4193" s="40"/>
      <c r="G4193" s="41"/>
      <c r="H4193" s="40"/>
      <c r="I4193" s="41"/>
      <c r="J4193" s="41">
        <f t="shared" si="16"/>
        <v>6.42</v>
      </c>
      <c r="K4193" s="42" t="s">
        <v>5796</v>
      </c>
      <c r="L4193" s="39">
        <v>4180</v>
      </c>
    </row>
    <row r="4194" spans="1:12" ht="11.25" customHeight="1">
      <c r="A4194" s="39">
        <v>4181</v>
      </c>
      <c r="B4194" s="40" t="s">
        <v>20334</v>
      </c>
      <c r="C4194" s="40" t="s">
        <v>20335</v>
      </c>
      <c r="D4194" s="40" t="s">
        <v>20336</v>
      </c>
      <c r="E4194" s="41">
        <v>6.42</v>
      </c>
      <c r="F4194" s="40"/>
      <c r="G4194" s="41"/>
      <c r="H4194" s="40"/>
      <c r="I4194" s="41"/>
      <c r="J4194" s="41">
        <f t="shared" si="16"/>
        <v>6.42</v>
      </c>
      <c r="K4194" s="42" t="s">
        <v>5796</v>
      </c>
      <c r="L4194" s="39">
        <v>4181</v>
      </c>
    </row>
    <row r="4195" spans="1:12" ht="11.25" customHeight="1">
      <c r="A4195" s="39">
        <v>4182</v>
      </c>
      <c r="B4195" s="40" t="s">
        <v>20337</v>
      </c>
      <c r="C4195" s="40" t="s">
        <v>20338</v>
      </c>
      <c r="D4195" s="40" t="s">
        <v>20339</v>
      </c>
      <c r="E4195" s="41">
        <v>6.37</v>
      </c>
      <c r="F4195" s="40"/>
      <c r="G4195" s="41"/>
      <c r="H4195" s="40"/>
      <c r="I4195" s="41"/>
      <c r="J4195" s="41">
        <f t="shared" si="16"/>
        <v>6.37</v>
      </c>
      <c r="K4195" s="42" t="s">
        <v>5796</v>
      </c>
      <c r="L4195" s="39">
        <v>4182</v>
      </c>
    </row>
    <row r="4196" spans="1:12" ht="11.25" customHeight="1">
      <c r="A4196" s="39">
        <v>4183</v>
      </c>
      <c r="B4196" s="40" t="s">
        <v>20340</v>
      </c>
      <c r="C4196" s="40" t="s">
        <v>20341</v>
      </c>
      <c r="D4196" s="40" t="s">
        <v>20342</v>
      </c>
      <c r="E4196" s="41">
        <v>6.37</v>
      </c>
      <c r="F4196" s="40"/>
      <c r="G4196" s="41"/>
      <c r="H4196" s="40"/>
      <c r="I4196" s="41"/>
      <c r="J4196" s="41">
        <f t="shared" si="16"/>
        <v>6.37</v>
      </c>
      <c r="K4196" s="42" t="s">
        <v>5796</v>
      </c>
      <c r="L4196" s="39">
        <v>4183</v>
      </c>
    </row>
    <row r="4197" spans="1:12" ht="11.25" customHeight="1">
      <c r="A4197" s="39">
        <v>4184</v>
      </c>
      <c r="B4197" s="40" t="s">
        <v>20343</v>
      </c>
      <c r="C4197" s="40" t="s">
        <v>20344</v>
      </c>
      <c r="D4197" s="40" t="s">
        <v>20345</v>
      </c>
      <c r="E4197" s="41">
        <v>6.37</v>
      </c>
      <c r="F4197" s="40"/>
      <c r="G4197" s="41"/>
      <c r="H4197" s="40"/>
      <c r="I4197" s="41"/>
      <c r="J4197" s="41">
        <f t="shared" si="16"/>
        <v>6.37</v>
      </c>
      <c r="K4197" s="42" t="s">
        <v>5796</v>
      </c>
      <c r="L4197" s="39">
        <v>4184</v>
      </c>
    </row>
    <row r="4198" spans="1:12" ht="11.25" customHeight="1">
      <c r="A4198" s="39">
        <v>4185</v>
      </c>
      <c r="B4198" s="40" t="s">
        <v>20346</v>
      </c>
      <c r="C4198" s="40" t="s">
        <v>20347</v>
      </c>
      <c r="D4198" s="40" t="s">
        <v>20348</v>
      </c>
      <c r="E4198" s="41">
        <v>6.35</v>
      </c>
      <c r="F4198" s="40"/>
      <c r="G4198" s="41"/>
      <c r="H4198" s="40"/>
      <c r="I4198" s="41"/>
      <c r="J4198" s="41">
        <f t="shared" si="16"/>
        <v>6.35</v>
      </c>
      <c r="K4198" s="42" t="s">
        <v>5796</v>
      </c>
      <c r="L4198" s="39">
        <v>4185</v>
      </c>
    </row>
    <row r="4199" spans="1:12" ht="11.25" customHeight="1">
      <c r="A4199" s="39">
        <v>4186</v>
      </c>
      <c r="B4199" s="40" t="s">
        <v>20349</v>
      </c>
      <c r="C4199" s="40" t="s">
        <v>20350</v>
      </c>
      <c r="D4199" s="40" t="s">
        <v>20351</v>
      </c>
      <c r="E4199" s="41">
        <v>6.34</v>
      </c>
      <c r="F4199" s="40"/>
      <c r="G4199" s="41"/>
      <c r="H4199" s="40"/>
      <c r="I4199" s="41"/>
      <c r="J4199" s="41">
        <f t="shared" si="16"/>
        <v>6.34</v>
      </c>
      <c r="K4199" s="42" t="s">
        <v>5796</v>
      </c>
      <c r="L4199" s="39">
        <v>4186</v>
      </c>
    </row>
    <row r="4200" spans="1:12" ht="11.25" customHeight="1">
      <c r="A4200" s="39">
        <v>4187</v>
      </c>
      <c r="B4200" s="40" t="s">
        <v>20352</v>
      </c>
      <c r="C4200" s="40" t="s">
        <v>20353</v>
      </c>
      <c r="D4200" s="40" t="s">
        <v>20354</v>
      </c>
      <c r="E4200" s="41">
        <v>6.34</v>
      </c>
      <c r="F4200" s="40"/>
      <c r="G4200" s="41"/>
      <c r="H4200" s="40"/>
      <c r="I4200" s="41"/>
      <c r="J4200" s="41">
        <f t="shared" si="16"/>
        <v>6.34</v>
      </c>
      <c r="K4200" s="42" t="s">
        <v>5796</v>
      </c>
      <c r="L4200" s="39">
        <v>4187</v>
      </c>
    </row>
    <row r="4201" spans="1:12" ht="11.25" customHeight="1">
      <c r="A4201" s="39">
        <v>4188</v>
      </c>
      <c r="B4201" s="40" t="s">
        <v>20355</v>
      </c>
      <c r="C4201" s="40" t="s">
        <v>20356</v>
      </c>
      <c r="D4201" s="40" t="s">
        <v>20357</v>
      </c>
      <c r="E4201" s="41">
        <v>6.33</v>
      </c>
      <c r="F4201" s="40"/>
      <c r="G4201" s="41"/>
      <c r="H4201" s="40"/>
      <c r="I4201" s="41"/>
      <c r="J4201" s="41">
        <f t="shared" si="16"/>
        <v>6.33</v>
      </c>
      <c r="K4201" s="42" t="s">
        <v>5796</v>
      </c>
      <c r="L4201" s="39">
        <v>4188</v>
      </c>
    </row>
    <row r="4202" spans="1:12" ht="11.25" customHeight="1">
      <c r="A4202" s="39">
        <v>4189</v>
      </c>
      <c r="B4202" s="40" t="s">
        <v>20358</v>
      </c>
      <c r="C4202" s="40" t="s">
        <v>20359</v>
      </c>
      <c r="D4202" s="40" t="s">
        <v>20360</v>
      </c>
      <c r="E4202" s="41">
        <v>6.31</v>
      </c>
      <c r="F4202" s="40"/>
      <c r="G4202" s="41"/>
      <c r="H4202" s="40"/>
      <c r="I4202" s="41"/>
      <c r="J4202" s="41">
        <f t="shared" si="16"/>
        <v>6.31</v>
      </c>
      <c r="K4202" s="42" t="s">
        <v>5796</v>
      </c>
      <c r="L4202" s="39">
        <v>4189</v>
      </c>
    </row>
    <row r="4203" spans="1:12" ht="11.25" customHeight="1">
      <c r="A4203" s="39">
        <v>4190</v>
      </c>
      <c r="B4203" s="40" t="s">
        <v>20361</v>
      </c>
      <c r="C4203" s="40" t="s">
        <v>20362</v>
      </c>
      <c r="D4203" s="40" t="s">
        <v>20363</v>
      </c>
      <c r="E4203" s="41">
        <v>6.29</v>
      </c>
      <c r="F4203" s="40"/>
      <c r="G4203" s="41"/>
      <c r="H4203" s="40"/>
      <c r="I4203" s="41"/>
      <c r="J4203" s="41">
        <f t="shared" si="16"/>
        <v>6.29</v>
      </c>
      <c r="K4203" s="42" t="s">
        <v>5796</v>
      </c>
      <c r="L4203" s="39">
        <v>4190</v>
      </c>
    </row>
    <row r="4204" spans="1:12" ht="11.25" customHeight="1">
      <c r="A4204" s="39">
        <v>4191</v>
      </c>
      <c r="B4204" s="40" t="s">
        <v>20364</v>
      </c>
      <c r="C4204" s="40" t="s">
        <v>20365</v>
      </c>
      <c r="D4204" s="40" t="s">
        <v>20366</v>
      </c>
      <c r="E4204" s="41">
        <v>6.28</v>
      </c>
      <c r="F4204" s="40"/>
      <c r="G4204" s="41"/>
      <c r="H4204" s="40"/>
      <c r="I4204" s="41"/>
      <c r="J4204" s="41">
        <f t="shared" si="16"/>
        <v>6.28</v>
      </c>
      <c r="K4204" s="42" t="s">
        <v>5796</v>
      </c>
      <c r="L4204" s="39">
        <v>4191</v>
      </c>
    </row>
    <row r="4205" spans="1:12" ht="11.25" customHeight="1">
      <c r="A4205" s="39">
        <v>4192</v>
      </c>
      <c r="B4205" s="40" t="s">
        <v>20367</v>
      </c>
      <c r="C4205" s="40" t="s">
        <v>20368</v>
      </c>
      <c r="D4205" s="40" t="s">
        <v>20369</v>
      </c>
      <c r="E4205" s="41">
        <v>6.27</v>
      </c>
      <c r="F4205" s="40"/>
      <c r="G4205" s="41"/>
      <c r="H4205" s="40"/>
      <c r="I4205" s="41"/>
      <c r="J4205" s="41">
        <f t="shared" si="16"/>
        <v>6.27</v>
      </c>
      <c r="K4205" s="42" t="s">
        <v>5796</v>
      </c>
      <c r="L4205" s="39">
        <v>4192</v>
      </c>
    </row>
    <row r="4206" spans="1:12" ht="11.25" customHeight="1">
      <c r="A4206" s="39">
        <v>4193</v>
      </c>
      <c r="B4206" s="40" t="s">
        <v>20370</v>
      </c>
      <c r="C4206" s="40" t="s">
        <v>20371</v>
      </c>
      <c r="D4206" s="40" t="s">
        <v>20372</v>
      </c>
      <c r="E4206" s="41">
        <v>6.24</v>
      </c>
      <c r="F4206" s="40"/>
      <c r="G4206" s="41"/>
      <c r="H4206" s="40"/>
      <c r="I4206" s="41"/>
      <c r="J4206" s="41">
        <f t="shared" si="16"/>
        <v>6.24</v>
      </c>
      <c r="K4206" s="42" t="s">
        <v>5796</v>
      </c>
      <c r="L4206" s="39">
        <v>4193</v>
      </c>
    </row>
    <row r="4207" spans="1:12" ht="11.25" customHeight="1">
      <c r="A4207" s="39">
        <v>4194</v>
      </c>
      <c r="B4207" s="40" t="s">
        <v>20373</v>
      </c>
      <c r="C4207" s="40" t="s">
        <v>20374</v>
      </c>
      <c r="D4207" s="40" t="s">
        <v>20375</v>
      </c>
      <c r="E4207" s="41">
        <v>6.24</v>
      </c>
      <c r="F4207" s="40"/>
      <c r="G4207" s="41"/>
      <c r="H4207" s="40"/>
      <c r="I4207" s="41"/>
      <c r="J4207" s="41">
        <f t="shared" si="16"/>
        <v>6.24</v>
      </c>
      <c r="K4207" s="42" t="s">
        <v>5796</v>
      </c>
      <c r="L4207" s="39">
        <v>4194</v>
      </c>
    </row>
    <row r="4208" spans="1:12" ht="11.25" customHeight="1">
      <c r="A4208" s="39">
        <v>4195</v>
      </c>
      <c r="B4208" s="40" t="s">
        <v>20376</v>
      </c>
      <c r="C4208" s="40" t="s">
        <v>20377</v>
      </c>
      <c r="D4208" s="40" t="s">
        <v>20378</v>
      </c>
      <c r="E4208" s="41">
        <v>6.22</v>
      </c>
      <c r="F4208" s="40"/>
      <c r="G4208" s="41"/>
      <c r="H4208" s="40"/>
      <c r="I4208" s="41"/>
      <c r="J4208" s="41">
        <f t="shared" si="16"/>
        <v>6.22</v>
      </c>
      <c r="K4208" s="42" t="s">
        <v>5796</v>
      </c>
      <c r="L4208" s="39">
        <v>4195</v>
      </c>
    </row>
    <row r="4209" spans="1:12" ht="11.25" customHeight="1">
      <c r="A4209" s="39">
        <v>4196</v>
      </c>
      <c r="B4209" s="40" t="s">
        <v>20379</v>
      </c>
      <c r="C4209" s="40" t="s">
        <v>20380</v>
      </c>
      <c r="D4209" s="40" t="s">
        <v>20381</v>
      </c>
      <c r="E4209" s="41">
        <v>6.22</v>
      </c>
      <c r="F4209" s="40"/>
      <c r="G4209" s="41"/>
      <c r="H4209" s="40"/>
      <c r="I4209" s="41"/>
      <c r="J4209" s="41">
        <f t="shared" si="16"/>
        <v>6.22</v>
      </c>
      <c r="K4209" s="42" t="s">
        <v>5796</v>
      </c>
      <c r="L4209" s="39">
        <v>4196</v>
      </c>
    </row>
    <row r="4210" spans="1:12" ht="11.25" customHeight="1">
      <c r="A4210" s="39">
        <v>4197</v>
      </c>
      <c r="B4210" s="40" t="s">
        <v>20382</v>
      </c>
      <c r="C4210" s="40" t="s">
        <v>20383</v>
      </c>
      <c r="D4210" s="40" t="s">
        <v>20384</v>
      </c>
      <c r="E4210" s="41">
        <v>6.22</v>
      </c>
      <c r="F4210" s="40"/>
      <c r="G4210" s="41"/>
      <c r="H4210" s="40"/>
      <c r="I4210" s="41"/>
      <c r="J4210" s="41">
        <f t="shared" si="16"/>
        <v>6.22</v>
      </c>
      <c r="K4210" s="42" t="s">
        <v>5796</v>
      </c>
      <c r="L4210" s="39">
        <v>4197</v>
      </c>
    </row>
    <row r="4211" spans="1:12" ht="11.25" customHeight="1">
      <c r="A4211" s="39">
        <v>4198</v>
      </c>
      <c r="B4211" s="40" t="s">
        <v>20385</v>
      </c>
      <c r="C4211" s="40" t="s">
        <v>20386</v>
      </c>
      <c r="D4211" s="40" t="s">
        <v>20387</v>
      </c>
      <c r="E4211" s="41">
        <v>6.21</v>
      </c>
      <c r="F4211" s="40"/>
      <c r="G4211" s="41"/>
      <c r="H4211" s="40"/>
      <c r="I4211" s="41"/>
      <c r="J4211" s="41">
        <f t="shared" si="16"/>
        <v>6.21</v>
      </c>
      <c r="K4211" s="42" t="s">
        <v>5796</v>
      </c>
      <c r="L4211" s="39">
        <v>4198</v>
      </c>
    </row>
    <row r="4212" spans="1:12" ht="11.25" customHeight="1">
      <c r="A4212" s="39">
        <v>4199</v>
      </c>
      <c r="B4212" s="40" t="s">
        <v>20388</v>
      </c>
      <c r="C4212" s="40" t="s">
        <v>20389</v>
      </c>
      <c r="D4212" s="40" t="s">
        <v>20390</v>
      </c>
      <c r="E4212" s="41">
        <v>6.21</v>
      </c>
      <c r="F4212" s="40"/>
      <c r="G4212" s="41"/>
      <c r="H4212" s="40"/>
      <c r="I4212" s="41"/>
      <c r="J4212" s="41">
        <f t="shared" si="16"/>
        <v>6.21</v>
      </c>
      <c r="K4212" s="42" t="s">
        <v>5796</v>
      </c>
      <c r="L4212" s="39">
        <v>4199</v>
      </c>
    </row>
    <row r="4213" spans="1:12" ht="11.25" customHeight="1">
      <c r="A4213" s="39">
        <v>4200</v>
      </c>
      <c r="B4213" s="40" t="s">
        <v>20391</v>
      </c>
      <c r="C4213" s="40" t="s">
        <v>20392</v>
      </c>
      <c r="D4213" s="40" t="s">
        <v>20393</v>
      </c>
      <c r="E4213" s="41">
        <v>6.2</v>
      </c>
      <c r="F4213" s="40"/>
      <c r="G4213" s="41"/>
      <c r="H4213" s="40"/>
      <c r="I4213" s="41"/>
      <c r="J4213" s="41">
        <f t="shared" si="16"/>
        <v>6.2</v>
      </c>
      <c r="K4213" s="42" t="s">
        <v>5796</v>
      </c>
      <c r="L4213" s="39">
        <v>4200</v>
      </c>
    </row>
    <row r="4214" spans="1:12" ht="11.25" customHeight="1">
      <c r="A4214" s="39">
        <v>4201</v>
      </c>
      <c r="B4214" s="40" t="s">
        <v>20394</v>
      </c>
      <c r="C4214" s="40" t="s">
        <v>20395</v>
      </c>
      <c r="D4214" s="40" t="s">
        <v>20396</v>
      </c>
      <c r="E4214" s="41">
        <v>6.18</v>
      </c>
      <c r="F4214" s="40"/>
      <c r="G4214" s="41"/>
      <c r="H4214" s="40"/>
      <c r="I4214" s="41"/>
      <c r="J4214" s="41">
        <f t="shared" si="16"/>
        <v>6.18</v>
      </c>
      <c r="K4214" s="42" t="s">
        <v>5796</v>
      </c>
      <c r="L4214" s="39">
        <v>4201</v>
      </c>
    </row>
    <row r="4215" spans="1:12" ht="11.25" customHeight="1">
      <c r="A4215" s="39">
        <v>4202</v>
      </c>
      <c r="B4215" s="40" t="s">
        <v>20397</v>
      </c>
      <c r="C4215" s="40" t="s">
        <v>20398</v>
      </c>
      <c r="D4215" s="40" t="s">
        <v>20399</v>
      </c>
      <c r="E4215" s="41">
        <v>6.17</v>
      </c>
      <c r="F4215" s="40"/>
      <c r="G4215" s="41"/>
      <c r="H4215" s="40"/>
      <c r="I4215" s="41"/>
      <c r="J4215" s="41">
        <f t="shared" si="16"/>
        <v>6.17</v>
      </c>
      <c r="K4215" s="42" t="s">
        <v>5796</v>
      </c>
      <c r="L4215" s="39">
        <v>4202</v>
      </c>
    </row>
    <row r="4216" spans="1:12" ht="11.25" customHeight="1">
      <c r="A4216" s="39">
        <v>4203</v>
      </c>
      <c r="B4216" s="40" t="s">
        <v>20400</v>
      </c>
      <c r="C4216" s="40" t="s">
        <v>20401</v>
      </c>
      <c r="D4216" s="40" t="s">
        <v>20402</v>
      </c>
      <c r="E4216" s="41">
        <v>6.15</v>
      </c>
      <c r="F4216" s="40"/>
      <c r="G4216" s="41"/>
      <c r="H4216" s="40"/>
      <c r="I4216" s="41"/>
      <c r="J4216" s="41">
        <f t="shared" si="16"/>
        <v>6.15</v>
      </c>
      <c r="K4216" s="42" t="s">
        <v>5796</v>
      </c>
      <c r="L4216" s="39">
        <v>4203</v>
      </c>
    </row>
    <row r="4217" spans="1:12" ht="11.25" customHeight="1">
      <c r="A4217" s="39">
        <v>4204</v>
      </c>
      <c r="B4217" s="40" t="s">
        <v>20403</v>
      </c>
      <c r="C4217" s="40" t="s">
        <v>20404</v>
      </c>
      <c r="D4217" s="40" t="s">
        <v>20405</v>
      </c>
      <c r="E4217" s="41">
        <v>6.15</v>
      </c>
      <c r="F4217" s="40"/>
      <c r="G4217" s="41"/>
      <c r="H4217" s="40"/>
      <c r="I4217" s="41"/>
      <c r="J4217" s="41">
        <f t="shared" si="16"/>
        <v>6.15</v>
      </c>
      <c r="K4217" s="42" t="s">
        <v>5796</v>
      </c>
      <c r="L4217" s="39">
        <v>4204</v>
      </c>
    </row>
    <row r="4218" spans="1:12" ht="11.25" customHeight="1">
      <c r="A4218" s="39">
        <v>4205</v>
      </c>
      <c r="B4218" s="40" t="s">
        <v>20406</v>
      </c>
      <c r="C4218" s="40" t="s">
        <v>20407</v>
      </c>
      <c r="D4218" s="40" t="s">
        <v>20408</v>
      </c>
      <c r="E4218" s="41">
        <v>6.13</v>
      </c>
      <c r="F4218" s="40"/>
      <c r="G4218" s="41"/>
      <c r="H4218" s="40"/>
      <c r="I4218" s="41"/>
      <c r="J4218" s="41">
        <f t="shared" si="16"/>
        <v>6.13</v>
      </c>
      <c r="K4218" s="42" t="s">
        <v>5796</v>
      </c>
      <c r="L4218" s="39">
        <v>4205</v>
      </c>
    </row>
    <row r="4219" spans="1:12" ht="11.25" customHeight="1">
      <c r="A4219" s="39">
        <v>4206</v>
      </c>
      <c r="B4219" s="40" t="s">
        <v>20409</v>
      </c>
      <c r="C4219" s="40" t="s">
        <v>20410</v>
      </c>
      <c r="D4219" s="40" t="s">
        <v>20411</v>
      </c>
      <c r="E4219" s="41">
        <v>6.13</v>
      </c>
      <c r="F4219" s="40"/>
      <c r="G4219" s="41"/>
      <c r="H4219" s="40"/>
      <c r="I4219" s="41"/>
      <c r="J4219" s="41">
        <f t="shared" si="16"/>
        <v>6.13</v>
      </c>
      <c r="K4219" s="42" t="s">
        <v>5796</v>
      </c>
      <c r="L4219" s="39">
        <v>4206</v>
      </c>
    </row>
    <row r="4220" spans="1:12" ht="11.25" customHeight="1">
      <c r="A4220" s="39">
        <v>4208</v>
      </c>
      <c r="B4220" s="54" t="s">
        <v>10235</v>
      </c>
      <c r="C4220" s="54" t="s">
        <v>20412</v>
      </c>
      <c r="D4220" s="40"/>
      <c r="E4220" s="41"/>
      <c r="F4220" s="40"/>
      <c r="G4220" s="41"/>
      <c r="H4220" s="54" t="s">
        <v>20413</v>
      </c>
      <c r="I4220" s="41">
        <v>6.1050000000000004</v>
      </c>
      <c r="J4220" s="41">
        <f t="shared" si="16"/>
        <v>6.1050000000000004</v>
      </c>
      <c r="K4220" s="42" t="s">
        <v>5796</v>
      </c>
      <c r="L4220" s="39">
        <v>4208</v>
      </c>
    </row>
    <row r="4221" spans="1:12" ht="11.25" customHeight="1">
      <c r="A4221" s="39">
        <v>4209</v>
      </c>
      <c r="B4221" s="40" t="s">
        <v>9297</v>
      </c>
      <c r="C4221" s="40" t="s">
        <v>20414</v>
      </c>
      <c r="D4221" s="40" t="s">
        <v>20415</v>
      </c>
      <c r="E4221" s="41">
        <v>6.09</v>
      </c>
      <c r="F4221" s="40"/>
      <c r="G4221" s="41"/>
      <c r="H4221" s="40"/>
      <c r="I4221" s="41"/>
      <c r="J4221" s="41">
        <f t="shared" si="16"/>
        <v>6.09</v>
      </c>
      <c r="K4221" s="42" t="s">
        <v>5796</v>
      </c>
      <c r="L4221" s="39">
        <v>4209</v>
      </c>
    </row>
    <row r="4222" spans="1:12" ht="11.25" customHeight="1">
      <c r="A4222" s="39">
        <v>4210</v>
      </c>
      <c r="B4222" s="40" t="s">
        <v>9626</v>
      </c>
      <c r="C4222" s="40" t="s">
        <v>20416</v>
      </c>
      <c r="D4222" s="40" t="s">
        <v>20417</v>
      </c>
      <c r="E4222" s="41">
        <v>6.09</v>
      </c>
      <c r="F4222" s="40"/>
      <c r="G4222" s="41"/>
      <c r="H4222" s="40"/>
      <c r="I4222" s="41"/>
      <c r="J4222" s="41">
        <f t="shared" si="16"/>
        <v>6.09</v>
      </c>
      <c r="K4222" s="42" t="s">
        <v>5796</v>
      </c>
      <c r="L4222" s="39">
        <v>4210</v>
      </c>
    </row>
    <row r="4223" spans="1:12" ht="11.25" customHeight="1">
      <c r="A4223" s="39">
        <v>4211</v>
      </c>
      <c r="B4223" s="40" t="s">
        <v>20418</v>
      </c>
      <c r="C4223" s="40" t="s">
        <v>20419</v>
      </c>
      <c r="D4223" s="40" t="s">
        <v>20420</v>
      </c>
      <c r="E4223" s="41">
        <v>6.08</v>
      </c>
      <c r="F4223" s="40"/>
      <c r="G4223" s="41"/>
      <c r="H4223" s="40"/>
      <c r="I4223" s="41"/>
      <c r="J4223" s="41">
        <f t="shared" si="16"/>
        <v>6.08</v>
      </c>
      <c r="K4223" s="42" t="s">
        <v>5796</v>
      </c>
      <c r="L4223" s="39">
        <v>4211</v>
      </c>
    </row>
    <row r="4224" spans="1:12" ht="11.25" customHeight="1">
      <c r="A4224" s="39">
        <v>4212</v>
      </c>
      <c r="B4224" s="40" t="s">
        <v>20421</v>
      </c>
      <c r="C4224" s="40" t="s">
        <v>20422</v>
      </c>
      <c r="D4224" s="40" t="s">
        <v>20423</v>
      </c>
      <c r="E4224" s="41">
        <v>6.07</v>
      </c>
      <c r="F4224" s="40"/>
      <c r="G4224" s="41"/>
      <c r="H4224" s="40"/>
      <c r="I4224" s="41"/>
      <c r="J4224" s="41">
        <f t="shared" si="16"/>
        <v>6.07</v>
      </c>
      <c r="K4224" s="42" t="s">
        <v>5796</v>
      </c>
      <c r="L4224" s="39">
        <v>4212</v>
      </c>
    </row>
    <row r="4225" spans="1:12" ht="11.25" customHeight="1">
      <c r="A4225" s="39">
        <v>4213</v>
      </c>
      <c r="B4225" s="40" t="s">
        <v>20424</v>
      </c>
      <c r="C4225" s="40" t="s">
        <v>20425</v>
      </c>
      <c r="D4225" s="40" t="s">
        <v>20426</v>
      </c>
      <c r="E4225" s="41">
        <v>6.06</v>
      </c>
      <c r="F4225" s="40"/>
      <c r="G4225" s="41"/>
      <c r="H4225" s="40"/>
      <c r="I4225" s="41"/>
      <c r="J4225" s="41">
        <f t="shared" si="16"/>
        <v>6.06</v>
      </c>
      <c r="K4225" s="42" t="s">
        <v>5796</v>
      </c>
      <c r="L4225" s="39">
        <v>4213</v>
      </c>
    </row>
    <row r="4226" spans="1:12" ht="11.25" customHeight="1">
      <c r="A4226" s="39">
        <v>4214</v>
      </c>
      <c r="B4226" s="40" t="s">
        <v>20427</v>
      </c>
      <c r="C4226" s="40" t="s">
        <v>20428</v>
      </c>
      <c r="D4226" s="40" t="s">
        <v>20429</v>
      </c>
      <c r="E4226" s="41">
        <v>6.06</v>
      </c>
      <c r="F4226" s="40"/>
      <c r="G4226" s="41"/>
      <c r="H4226" s="40"/>
      <c r="I4226" s="41"/>
      <c r="J4226" s="41">
        <f t="shared" si="16"/>
        <v>6.06</v>
      </c>
      <c r="K4226" s="42" t="s">
        <v>5796</v>
      </c>
      <c r="L4226" s="39">
        <v>4214</v>
      </c>
    </row>
    <row r="4227" spans="1:12" ht="11.25" customHeight="1">
      <c r="A4227" s="39">
        <v>4215</v>
      </c>
      <c r="B4227" s="40" t="s">
        <v>20430</v>
      </c>
      <c r="C4227" s="40" t="s">
        <v>20431</v>
      </c>
      <c r="D4227" s="40" t="s">
        <v>20432</v>
      </c>
      <c r="E4227" s="41">
        <v>6.05</v>
      </c>
      <c r="F4227" s="40"/>
      <c r="G4227" s="41"/>
      <c r="H4227" s="40"/>
      <c r="I4227" s="41"/>
      <c r="J4227" s="41">
        <f t="shared" si="16"/>
        <v>6.05</v>
      </c>
      <c r="K4227" s="42" t="s">
        <v>5796</v>
      </c>
      <c r="L4227" s="39">
        <v>4215</v>
      </c>
    </row>
    <row r="4228" spans="1:12" ht="11.25" customHeight="1">
      <c r="A4228" s="39">
        <v>4216</v>
      </c>
      <c r="B4228" s="40" t="s">
        <v>20433</v>
      </c>
      <c r="C4228" s="40" t="s">
        <v>20434</v>
      </c>
      <c r="D4228" s="40" t="s">
        <v>20435</v>
      </c>
      <c r="E4228" s="41">
        <v>6.04</v>
      </c>
      <c r="F4228" s="40"/>
      <c r="G4228" s="41"/>
      <c r="H4228" s="40"/>
      <c r="I4228" s="41"/>
      <c r="J4228" s="41">
        <f t="shared" si="16"/>
        <v>6.04</v>
      </c>
      <c r="K4228" s="42" t="s">
        <v>5796</v>
      </c>
      <c r="L4228" s="39">
        <v>4216</v>
      </c>
    </row>
    <row r="4229" spans="1:12" ht="11.25" customHeight="1">
      <c r="A4229" s="39">
        <v>4217</v>
      </c>
      <c r="B4229" s="40" t="s">
        <v>20436</v>
      </c>
      <c r="C4229" s="40" t="s">
        <v>20437</v>
      </c>
      <c r="D4229" s="40" t="s">
        <v>20438</v>
      </c>
      <c r="E4229" s="41">
        <v>6.04</v>
      </c>
      <c r="F4229" s="40"/>
      <c r="G4229" s="41"/>
      <c r="H4229" s="40"/>
      <c r="I4229" s="41"/>
      <c r="J4229" s="41">
        <f t="shared" si="16"/>
        <v>6.04</v>
      </c>
      <c r="K4229" s="42" t="s">
        <v>5796</v>
      </c>
      <c r="L4229" s="39">
        <v>4217</v>
      </c>
    </row>
    <row r="4230" spans="1:12" ht="11.25" customHeight="1">
      <c r="A4230" s="39">
        <v>4218</v>
      </c>
      <c r="B4230" s="40" t="s">
        <v>20439</v>
      </c>
      <c r="C4230" s="40" t="s">
        <v>20440</v>
      </c>
      <c r="D4230" s="40" t="s">
        <v>20441</v>
      </c>
      <c r="E4230" s="41">
        <v>6.04</v>
      </c>
      <c r="F4230" s="40"/>
      <c r="G4230" s="41"/>
      <c r="H4230" s="40"/>
      <c r="I4230" s="41"/>
      <c r="J4230" s="41">
        <f t="shared" si="16"/>
        <v>6.04</v>
      </c>
      <c r="K4230" s="42" t="s">
        <v>5796</v>
      </c>
      <c r="L4230" s="39">
        <v>4218</v>
      </c>
    </row>
    <row r="4231" spans="1:12" ht="11.25" customHeight="1">
      <c r="A4231" s="39">
        <v>4219</v>
      </c>
      <c r="B4231" s="40" t="s">
        <v>20442</v>
      </c>
      <c r="C4231" s="40" t="s">
        <v>20443</v>
      </c>
      <c r="D4231" s="40" t="s">
        <v>20444</v>
      </c>
      <c r="E4231" s="41">
        <v>6.02</v>
      </c>
      <c r="F4231" s="40"/>
      <c r="G4231" s="41"/>
      <c r="H4231" s="40" t="s">
        <v>20444</v>
      </c>
      <c r="I4231" s="41">
        <v>6.0137177419354861</v>
      </c>
      <c r="J4231" s="41">
        <f t="shared" si="16"/>
        <v>6.0168588709677433</v>
      </c>
      <c r="K4231" s="42" t="s">
        <v>5796</v>
      </c>
      <c r="L4231" s="39">
        <v>4219</v>
      </c>
    </row>
    <row r="4232" spans="1:12" ht="11.25" customHeight="1">
      <c r="A4232" s="39">
        <v>4220</v>
      </c>
      <c r="B4232" s="40" t="s">
        <v>20445</v>
      </c>
      <c r="C4232" s="40" t="s">
        <v>20446</v>
      </c>
      <c r="D4232" s="40" t="s">
        <v>20447</v>
      </c>
      <c r="E4232" s="41">
        <v>6.01</v>
      </c>
      <c r="F4232" s="40"/>
      <c r="G4232" s="41"/>
      <c r="H4232" s="40"/>
      <c r="I4232" s="41"/>
      <c r="J4232" s="41">
        <f t="shared" si="16"/>
        <v>6.01</v>
      </c>
      <c r="K4232" s="42" t="s">
        <v>5796</v>
      </c>
      <c r="L4232" s="39">
        <v>4220</v>
      </c>
    </row>
    <row r="4233" spans="1:12" ht="11.25" customHeight="1">
      <c r="A4233" s="39">
        <v>4221</v>
      </c>
      <c r="B4233" s="40" t="s">
        <v>20448</v>
      </c>
      <c r="C4233" s="40" t="s">
        <v>20449</v>
      </c>
      <c r="D4233" s="40" t="s">
        <v>20450</v>
      </c>
      <c r="E4233" s="41">
        <v>6.01</v>
      </c>
      <c r="F4233" s="40"/>
      <c r="G4233" s="41"/>
      <c r="H4233" s="40"/>
      <c r="I4233" s="41"/>
      <c r="J4233" s="41">
        <f t="shared" si="16"/>
        <v>6.01</v>
      </c>
      <c r="K4233" s="42" t="s">
        <v>5796</v>
      </c>
      <c r="L4233" s="39">
        <v>4221</v>
      </c>
    </row>
    <row r="4234" spans="1:12" ht="11.25" customHeight="1">
      <c r="A4234" s="39">
        <v>4222</v>
      </c>
      <c r="B4234" s="40" t="s">
        <v>20451</v>
      </c>
      <c r="C4234" s="40" t="s">
        <v>20452</v>
      </c>
      <c r="D4234" s="40" t="s">
        <v>20453</v>
      </c>
      <c r="E4234" s="41">
        <v>6.01</v>
      </c>
      <c r="F4234" s="40"/>
      <c r="G4234" s="41"/>
      <c r="H4234" s="40"/>
      <c r="I4234" s="41"/>
      <c r="J4234" s="41">
        <f t="shared" si="16"/>
        <v>6.01</v>
      </c>
      <c r="K4234" s="42" t="s">
        <v>5796</v>
      </c>
      <c r="L4234" s="39">
        <v>4222</v>
      </c>
    </row>
    <row r="4235" spans="1:12" ht="11.25" customHeight="1">
      <c r="A4235" s="39">
        <v>4223</v>
      </c>
      <c r="B4235" s="40" t="s">
        <v>20454</v>
      </c>
      <c r="C4235" s="40" t="s">
        <v>20455</v>
      </c>
      <c r="D4235" s="40" t="s">
        <v>20456</v>
      </c>
      <c r="E4235" s="41">
        <v>6</v>
      </c>
      <c r="F4235" s="40"/>
      <c r="G4235" s="41"/>
      <c r="H4235" s="40"/>
      <c r="I4235" s="41"/>
      <c r="J4235" s="41">
        <f t="shared" si="16"/>
        <v>6</v>
      </c>
      <c r="K4235" s="42" t="s">
        <v>5796</v>
      </c>
      <c r="L4235" s="39">
        <v>4223</v>
      </c>
    </row>
    <row r="4236" spans="1:12" ht="11.25" customHeight="1">
      <c r="A4236" s="39">
        <v>4224</v>
      </c>
      <c r="B4236" s="40" t="s">
        <v>20457</v>
      </c>
      <c r="C4236" s="40" t="s">
        <v>20458</v>
      </c>
      <c r="D4236" s="40" t="s">
        <v>20459</v>
      </c>
      <c r="E4236" s="41">
        <v>5.99</v>
      </c>
      <c r="F4236" s="40"/>
      <c r="G4236" s="41"/>
      <c r="H4236" s="40"/>
      <c r="I4236" s="41"/>
      <c r="J4236" s="41">
        <f t="shared" si="16"/>
        <v>5.99</v>
      </c>
      <c r="K4236" s="42" t="s">
        <v>5796</v>
      </c>
      <c r="L4236" s="39">
        <v>4224</v>
      </c>
    </row>
    <row r="4237" spans="1:12" ht="11.25" customHeight="1">
      <c r="A4237" s="39">
        <v>4225</v>
      </c>
      <c r="B4237" s="40" t="s">
        <v>20460</v>
      </c>
      <c r="C4237" s="40" t="s">
        <v>20461</v>
      </c>
      <c r="D4237" s="40" t="s">
        <v>20462</v>
      </c>
      <c r="E4237" s="41">
        <v>5.97</v>
      </c>
      <c r="F4237" s="40"/>
      <c r="G4237" s="41"/>
      <c r="H4237" s="40"/>
      <c r="I4237" s="41"/>
      <c r="J4237" s="41">
        <f t="shared" si="16"/>
        <v>5.97</v>
      </c>
      <c r="K4237" s="42" t="s">
        <v>5796</v>
      </c>
      <c r="L4237" s="39">
        <v>4225</v>
      </c>
    </row>
    <row r="4238" spans="1:12" ht="11.25" customHeight="1">
      <c r="A4238" s="39">
        <v>4227</v>
      </c>
      <c r="B4238" s="40" t="s">
        <v>20463</v>
      </c>
      <c r="C4238" s="40" t="s">
        <v>20464</v>
      </c>
      <c r="D4238" s="40" t="s">
        <v>20465</v>
      </c>
      <c r="E4238" s="41">
        <v>5.96</v>
      </c>
      <c r="F4238" s="40"/>
      <c r="G4238" s="41"/>
      <c r="H4238" s="40"/>
      <c r="I4238" s="41"/>
      <c r="J4238" s="41">
        <f t="shared" si="16"/>
        <v>5.96</v>
      </c>
      <c r="K4238" s="42" t="s">
        <v>5796</v>
      </c>
      <c r="L4238" s="39">
        <v>4227</v>
      </c>
    </row>
    <row r="4239" spans="1:12" ht="11.25" customHeight="1">
      <c r="A4239" s="39">
        <v>4228</v>
      </c>
      <c r="B4239" s="40" t="s">
        <v>20466</v>
      </c>
      <c r="C4239" s="40" t="s">
        <v>20467</v>
      </c>
      <c r="D4239" s="40" t="s">
        <v>20468</v>
      </c>
      <c r="E4239" s="41">
        <v>5.95</v>
      </c>
      <c r="F4239" s="40"/>
      <c r="G4239" s="41"/>
      <c r="H4239" s="40"/>
      <c r="I4239" s="41"/>
      <c r="J4239" s="41">
        <f t="shared" si="16"/>
        <v>5.95</v>
      </c>
      <c r="K4239" s="42" t="s">
        <v>5796</v>
      </c>
      <c r="L4239" s="39">
        <v>4228</v>
      </c>
    </row>
    <row r="4240" spans="1:12" ht="11.25" customHeight="1">
      <c r="A4240" s="39">
        <v>4229</v>
      </c>
      <c r="B4240" s="40" t="s">
        <v>20469</v>
      </c>
      <c r="C4240" s="40" t="s">
        <v>20470</v>
      </c>
      <c r="D4240" s="40" t="s">
        <v>20471</v>
      </c>
      <c r="E4240" s="41">
        <v>5.92</v>
      </c>
      <c r="F4240" s="40"/>
      <c r="G4240" s="41"/>
      <c r="H4240" s="40"/>
      <c r="I4240" s="41"/>
      <c r="J4240" s="41">
        <f t="shared" si="16"/>
        <v>5.92</v>
      </c>
      <c r="K4240" s="42" t="s">
        <v>5796</v>
      </c>
      <c r="L4240" s="39">
        <v>4229</v>
      </c>
    </row>
    <row r="4241" spans="1:12" ht="11.25" customHeight="1">
      <c r="A4241" s="39">
        <v>4230</v>
      </c>
      <c r="B4241" s="52" t="s">
        <v>9323</v>
      </c>
      <c r="C4241" s="52" t="s">
        <v>20472</v>
      </c>
      <c r="D4241" s="40"/>
      <c r="E4241" s="41"/>
      <c r="F4241" s="40"/>
      <c r="G4241" s="41"/>
      <c r="H4241" s="52" t="s">
        <v>20473</v>
      </c>
      <c r="I4241" s="53">
        <v>5.9130535900000032</v>
      </c>
      <c r="J4241" s="41">
        <f t="shared" si="16"/>
        <v>5.9130535900000032</v>
      </c>
      <c r="K4241" s="42" t="s">
        <v>5796</v>
      </c>
      <c r="L4241" s="39">
        <v>4230</v>
      </c>
    </row>
    <row r="4242" spans="1:12" ht="11.25" customHeight="1">
      <c r="A4242" s="39">
        <v>4231</v>
      </c>
      <c r="B4242" s="52" t="s">
        <v>9324</v>
      </c>
      <c r="C4242" s="52" t="s">
        <v>20474</v>
      </c>
      <c r="D4242" s="40"/>
      <c r="E4242" s="41"/>
      <c r="F4242" s="40"/>
      <c r="G4242" s="41"/>
      <c r="H4242" s="52" t="s">
        <v>20475</v>
      </c>
      <c r="I4242" s="53">
        <v>5.9014260000000069</v>
      </c>
      <c r="J4242" s="41">
        <f t="shared" si="16"/>
        <v>5.9014260000000069</v>
      </c>
      <c r="K4242" s="42" t="s">
        <v>5796</v>
      </c>
      <c r="L4242" s="39">
        <v>4231</v>
      </c>
    </row>
    <row r="4243" spans="1:12" ht="11.25" customHeight="1">
      <c r="A4243" s="39">
        <v>4232</v>
      </c>
      <c r="B4243" s="40" t="s">
        <v>20476</v>
      </c>
      <c r="C4243" s="40" t="s">
        <v>20477</v>
      </c>
      <c r="D4243" s="40" t="s">
        <v>20478</v>
      </c>
      <c r="E4243" s="41">
        <v>5.9</v>
      </c>
      <c r="F4243" s="40"/>
      <c r="G4243" s="41"/>
      <c r="H4243" s="40"/>
      <c r="I4243" s="41"/>
      <c r="J4243" s="41">
        <f t="shared" si="16"/>
        <v>5.9</v>
      </c>
      <c r="K4243" s="42" t="s">
        <v>5796</v>
      </c>
      <c r="L4243" s="39">
        <v>4232</v>
      </c>
    </row>
    <row r="4244" spans="1:12" ht="11.25" customHeight="1">
      <c r="A4244" s="39">
        <v>4233</v>
      </c>
      <c r="B4244" s="40" t="s">
        <v>20479</v>
      </c>
      <c r="C4244" s="40" t="s">
        <v>20480</v>
      </c>
      <c r="D4244" s="40" t="s">
        <v>20481</v>
      </c>
      <c r="E4244" s="41">
        <v>5.9</v>
      </c>
      <c r="F4244" s="40"/>
      <c r="G4244" s="41"/>
      <c r="H4244" s="40"/>
      <c r="I4244" s="41"/>
      <c r="J4244" s="41">
        <f t="shared" si="16"/>
        <v>5.9</v>
      </c>
      <c r="K4244" s="42" t="s">
        <v>5796</v>
      </c>
      <c r="L4244" s="39">
        <v>4233</v>
      </c>
    </row>
    <row r="4245" spans="1:12" ht="11.25" customHeight="1">
      <c r="A4245" s="39">
        <v>4234</v>
      </c>
      <c r="B4245" s="40" t="s">
        <v>20482</v>
      </c>
      <c r="C4245" s="40" t="s">
        <v>20483</v>
      </c>
      <c r="D4245" s="40" t="s">
        <v>20484</v>
      </c>
      <c r="E4245" s="41">
        <v>5.89</v>
      </c>
      <c r="F4245" s="40"/>
      <c r="G4245" s="41"/>
      <c r="H4245" s="40"/>
      <c r="I4245" s="41"/>
      <c r="J4245" s="41">
        <f t="shared" si="16"/>
        <v>5.89</v>
      </c>
      <c r="K4245" s="42" t="s">
        <v>5796</v>
      </c>
      <c r="L4245" s="39">
        <v>4234</v>
      </c>
    </row>
    <row r="4246" spans="1:12" ht="11.25" customHeight="1">
      <c r="A4246" s="39">
        <v>4235</v>
      </c>
      <c r="B4246" s="40" t="s">
        <v>20485</v>
      </c>
      <c r="C4246" s="40" t="s">
        <v>20486</v>
      </c>
      <c r="D4246" s="40" t="s">
        <v>20487</v>
      </c>
      <c r="E4246" s="41">
        <v>5.89</v>
      </c>
      <c r="F4246" s="40"/>
      <c r="G4246" s="41"/>
      <c r="H4246" s="40" t="s">
        <v>20487</v>
      </c>
      <c r="I4246" s="41">
        <v>5.8406400000000058</v>
      </c>
      <c r="J4246" s="41">
        <f t="shared" si="16"/>
        <v>5.8653200000000023</v>
      </c>
      <c r="K4246" s="42" t="s">
        <v>5796</v>
      </c>
      <c r="L4246" s="39">
        <v>4235</v>
      </c>
    </row>
    <row r="4247" spans="1:12" ht="11.25" customHeight="1">
      <c r="A4247" s="39">
        <v>4236</v>
      </c>
      <c r="B4247" s="40" t="s">
        <v>20488</v>
      </c>
      <c r="C4247" s="40" t="s">
        <v>20489</v>
      </c>
      <c r="D4247" s="40" t="s">
        <v>20490</v>
      </c>
      <c r="E4247" s="41">
        <v>5.86</v>
      </c>
      <c r="F4247" s="40"/>
      <c r="G4247" s="41"/>
      <c r="H4247" s="40"/>
      <c r="I4247" s="41"/>
      <c r="J4247" s="41">
        <f t="shared" si="16"/>
        <v>5.86</v>
      </c>
      <c r="K4247" s="42" t="s">
        <v>5796</v>
      </c>
      <c r="L4247" s="39">
        <v>4236</v>
      </c>
    </row>
    <row r="4248" spans="1:12" ht="11.25" customHeight="1">
      <c r="A4248" s="39">
        <v>4238</v>
      </c>
      <c r="B4248" s="40" t="s">
        <v>20491</v>
      </c>
      <c r="C4248" s="40" t="s">
        <v>20492</v>
      </c>
      <c r="D4248" s="40" t="s">
        <v>20493</v>
      </c>
      <c r="E4248" s="41">
        <v>5.85</v>
      </c>
      <c r="F4248" s="40"/>
      <c r="G4248" s="41"/>
      <c r="H4248" s="40"/>
      <c r="I4248" s="41"/>
      <c r="J4248" s="41">
        <f t="shared" si="16"/>
        <v>5.85</v>
      </c>
      <c r="K4248" s="42" t="s">
        <v>5796</v>
      </c>
      <c r="L4248" s="39">
        <v>4238</v>
      </c>
    </row>
    <row r="4249" spans="1:12" ht="11.25" customHeight="1">
      <c r="A4249" s="39">
        <v>4239</v>
      </c>
      <c r="B4249" s="40" t="s">
        <v>20494</v>
      </c>
      <c r="C4249" s="40" t="s">
        <v>20495</v>
      </c>
      <c r="D4249" s="40" t="s">
        <v>20496</v>
      </c>
      <c r="E4249" s="41">
        <v>5.85</v>
      </c>
      <c r="F4249" s="40"/>
      <c r="G4249" s="41"/>
      <c r="H4249" s="40"/>
      <c r="I4249" s="41"/>
      <c r="J4249" s="41">
        <f t="shared" si="16"/>
        <v>5.85</v>
      </c>
      <c r="K4249" s="42" t="s">
        <v>5796</v>
      </c>
      <c r="L4249" s="39">
        <v>4239</v>
      </c>
    </row>
    <row r="4250" spans="1:12" ht="11.25" customHeight="1">
      <c r="A4250" s="39">
        <v>4240</v>
      </c>
      <c r="B4250" s="40" t="s">
        <v>20497</v>
      </c>
      <c r="C4250" s="40" t="s">
        <v>20498</v>
      </c>
      <c r="D4250" s="40" t="s">
        <v>20499</v>
      </c>
      <c r="E4250" s="41">
        <v>5.83</v>
      </c>
      <c r="F4250" s="40"/>
      <c r="G4250" s="41"/>
      <c r="H4250" s="40"/>
      <c r="I4250" s="41"/>
      <c r="J4250" s="41">
        <f t="shared" si="16"/>
        <v>5.83</v>
      </c>
      <c r="K4250" s="42" t="s">
        <v>5796</v>
      </c>
      <c r="L4250" s="39">
        <v>4240</v>
      </c>
    </row>
    <row r="4251" spans="1:12" ht="11.25" customHeight="1">
      <c r="A4251" s="39">
        <v>4241</v>
      </c>
      <c r="B4251" s="40" t="s">
        <v>20500</v>
      </c>
      <c r="C4251" s="40" t="s">
        <v>20501</v>
      </c>
      <c r="D4251" s="40" t="s">
        <v>20502</v>
      </c>
      <c r="E4251" s="41">
        <v>5.82</v>
      </c>
      <c r="F4251" s="40"/>
      <c r="G4251" s="41"/>
      <c r="H4251" s="40"/>
      <c r="I4251" s="41"/>
      <c r="J4251" s="41">
        <f t="shared" si="16"/>
        <v>5.82</v>
      </c>
      <c r="K4251" s="42" t="s">
        <v>5796</v>
      </c>
      <c r="L4251" s="39">
        <v>4241</v>
      </c>
    </row>
    <row r="4252" spans="1:12" ht="11.25" customHeight="1">
      <c r="A4252" s="39">
        <v>4242</v>
      </c>
      <c r="B4252" s="40" t="s">
        <v>20503</v>
      </c>
      <c r="C4252" s="40" t="s">
        <v>20504</v>
      </c>
      <c r="D4252" s="40" t="s">
        <v>20505</v>
      </c>
      <c r="E4252" s="41">
        <v>5.81</v>
      </c>
      <c r="F4252" s="40"/>
      <c r="G4252" s="41"/>
      <c r="H4252" s="40"/>
      <c r="I4252" s="41"/>
      <c r="J4252" s="41">
        <f t="shared" si="16"/>
        <v>5.81</v>
      </c>
      <c r="K4252" s="42" t="s">
        <v>5796</v>
      </c>
      <c r="L4252" s="39">
        <v>4242</v>
      </c>
    </row>
    <row r="4253" spans="1:12" ht="11.25" customHeight="1">
      <c r="A4253" s="39">
        <v>4243</v>
      </c>
      <c r="B4253" s="40" t="s">
        <v>20506</v>
      </c>
      <c r="C4253" s="40" t="s">
        <v>20507</v>
      </c>
      <c r="D4253" s="40" t="s">
        <v>20508</v>
      </c>
      <c r="E4253" s="41">
        <v>5.8</v>
      </c>
      <c r="F4253" s="40"/>
      <c r="G4253" s="41"/>
      <c r="H4253" s="40"/>
      <c r="I4253" s="41"/>
      <c r="J4253" s="41">
        <f t="shared" si="16"/>
        <v>5.8</v>
      </c>
      <c r="K4253" s="42" t="s">
        <v>5796</v>
      </c>
      <c r="L4253" s="39">
        <v>4243</v>
      </c>
    </row>
    <row r="4254" spans="1:12" ht="11.25" customHeight="1">
      <c r="A4254" s="39">
        <v>4244</v>
      </c>
      <c r="B4254" s="52" t="s">
        <v>9344</v>
      </c>
      <c r="C4254" s="52" t="s">
        <v>20509</v>
      </c>
      <c r="D4254" s="40"/>
      <c r="E4254" s="41"/>
      <c r="F4254" s="40"/>
      <c r="G4254" s="41"/>
      <c r="H4254" s="52" t="s">
        <v>20510</v>
      </c>
      <c r="I4254" s="53">
        <v>5.7830249999999905</v>
      </c>
      <c r="J4254" s="41">
        <f t="shared" si="16"/>
        <v>5.7830249999999905</v>
      </c>
      <c r="K4254" s="42" t="s">
        <v>5796</v>
      </c>
      <c r="L4254" s="39">
        <v>4244</v>
      </c>
    </row>
    <row r="4255" spans="1:12" ht="11.25" customHeight="1">
      <c r="A4255" s="39">
        <v>4245</v>
      </c>
      <c r="B4255" s="40" t="s">
        <v>20511</v>
      </c>
      <c r="C4255" s="40" t="s">
        <v>20512</v>
      </c>
      <c r="D4255" s="40" t="s">
        <v>20513</v>
      </c>
      <c r="E4255" s="41">
        <v>5.78</v>
      </c>
      <c r="F4255" s="40"/>
      <c r="G4255" s="41"/>
      <c r="H4255" s="40"/>
      <c r="I4255" s="41"/>
      <c r="J4255" s="41">
        <f t="shared" si="16"/>
        <v>5.78</v>
      </c>
      <c r="K4255" s="42" t="s">
        <v>5796</v>
      </c>
      <c r="L4255" s="39">
        <v>4245</v>
      </c>
    </row>
    <row r="4256" spans="1:12" ht="11.25" customHeight="1">
      <c r="A4256" s="39">
        <v>4246</v>
      </c>
      <c r="B4256" s="40" t="s">
        <v>20514</v>
      </c>
      <c r="C4256" s="40" t="s">
        <v>20515</v>
      </c>
      <c r="D4256" s="40" t="s">
        <v>20516</v>
      </c>
      <c r="E4256" s="41">
        <v>5.78</v>
      </c>
      <c r="F4256" s="40"/>
      <c r="G4256" s="41"/>
      <c r="H4256" s="40"/>
      <c r="I4256" s="41"/>
      <c r="J4256" s="41">
        <f t="shared" si="16"/>
        <v>5.78</v>
      </c>
      <c r="K4256" s="42" t="s">
        <v>5796</v>
      </c>
      <c r="L4256" s="39">
        <v>4246</v>
      </c>
    </row>
    <row r="4257" spans="1:12" ht="11.25" customHeight="1">
      <c r="A4257" s="39">
        <v>4247</v>
      </c>
      <c r="B4257" s="40" t="s">
        <v>9339</v>
      </c>
      <c r="C4257" s="40" t="s">
        <v>20517</v>
      </c>
      <c r="D4257" s="40" t="s">
        <v>20518</v>
      </c>
      <c r="E4257" s="41">
        <v>5.78</v>
      </c>
      <c r="F4257" s="40"/>
      <c r="G4257" s="41"/>
      <c r="H4257" s="40"/>
      <c r="I4257" s="41"/>
      <c r="J4257" s="41">
        <f t="shared" si="16"/>
        <v>5.78</v>
      </c>
      <c r="K4257" s="42" t="s">
        <v>5796</v>
      </c>
      <c r="L4257" s="39">
        <v>4247</v>
      </c>
    </row>
    <row r="4258" spans="1:12" ht="11.25" customHeight="1">
      <c r="A4258" s="39">
        <v>4248</v>
      </c>
      <c r="B4258" s="40" t="s">
        <v>20519</v>
      </c>
      <c r="C4258" s="40" t="s">
        <v>20520</v>
      </c>
      <c r="D4258" s="40" t="s">
        <v>20521</v>
      </c>
      <c r="E4258" s="41">
        <v>5.75</v>
      </c>
      <c r="F4258" s="40"/>
      <c r="G4258" s="41"/>
      <c r="H4258" s="40"/>
      <c r="I4258" s="41"/>
      <c r="J4258" s="41">
        <f t="shared" si="16"/>
        <v>5.75</v>
      </c>
      <c r="K4258" s="42" t="s">
        <v>5796</v>
      </c>
      <c r="L4258" s="39">
        <v>4248</v>
      </c>
    </row>
    <row r="4259" spans="1:12" ht="11.25" customHeight="1">
      <c r="A4259" s="39">
        <v>4249</v>
      </c>
      <c r="B4259" s="40" t="s">
        <v>20522</v>
      </c>
      <c r="C4259" s="40" t="s">
        <v>20523</v>
      </c>
      <c r="D4259" s="40" t="s">
        <v>20524</v>
      </c>
      <c r="E4259" s="41">
        <v>5.73</v>
      </c>
      <c r="F4259" s="40"/>
      <c r="G4259" s="41"/>
      <c r="H4259" s="40"/>
      <c r="I4259" s="41"/>
      <c r="J4259" s="41">
        <f t="shared" si="16"/>
        <v>5.73</v>
      </c>
      <c r="K4259" s="42" t="s">
        <v>5796</v>
      </c>
      <c r="L4259" s="39">
        <v>4249</v>
      </c>
    </row>
    <row r="4260" spans="1:12" ht="11.25" customHeight="1">
      <c r="A4260" s="39">
        <v>4250</v>
      </c>
      <c r="B4260" s="40" t="s">
        <v>20525</v>
      </c>
      <c r="C4260" s="40" t="s">
        <v>20526</v>
      </c>
      <c r="D4260" s="40" t="s">
        <v>20527</v>
      </c>
      <c r="E4260" s="41">
        <v>5.72</v>
      </c>
      <c r="F4260" s="40"/>
      <c r="G4260" s="41"/>
      <c r="H4260" s="40"/>
      <c r="I4260" s="41"/>
      <c r="J4260" s="41">
        <f t="shared" si="16"/>
        <v>5.72</v>
      </c>
      <c r="K4260" s="42" t="s">
        <v>5796</v>
      </c>
      <c r="L4260" s="39">
        <v>4250</v>
      </c>
    </row>
    <row r="4261" spans="1:12" ht="11.25" customHeight="1">
      <c r="A4261" s="39">
        <v>4251</v>
      </c>
      <c r="B4261" s="40" t="s">
        <v>20528</v>
      </c>
      <c r="C4261" s="40" t="s">
        <v>20529</v>
      </c>
      <c r="D4261" s="40" t="s">
        <v>20530</v>
      </c>
      <c r="E4261" s="41">
        <v>5.72</v>
      </c>
      <c r="F4261" s="40"/>
      <c r="G4261" s="41"/>
      <c r="H4261" s="40"/>
      <c r="I4261" s="41"/>
      <c r="J4261" s="41">
        <f t="shared" si="16"/>
        <v>5.72</v>
      </c>
      <c r="K4261" s="42" t="s">
        <v>5796</v>
      </c>
      <c r="L4261" s="39">
        <v>4251</v>
      </c>
    </row>
    <row r="4262" spans="1:12" ht="11.25" customHeight="1">
      <c r="A4262" s="39">
        <v>4252</v>
      </c>
      <c r="B4262" s="40" t="s">
        <v>20531</v>
      </c>
      <c r="C4262" s="40" t="s">
        <v>20532</v>
      </c>
      <c r="D4262" s="40" t="s">
        <v>20533</v>
      </c>
      <c r="E4262" s="41">
        <v>5.71</v>
      </c>
      <c r="F4262" s="40"/>
      <c r="G4262" s="41"/>
      <c r="H4262" s="40"/>
      <c r="I4262" s="41"/>
      <c r="J4262" s="41">
        <f t="shared" si="16"/>
        <v>5.71</v>
      </c>
      <c r="K4262" s="42" t="s">
        <v>5796</v>
      </c>
      <c r="L4262" s="39">
        <v>4252</v>
      </c>
    </row>
    <row r="4263" spans="1:12" ht="11.25" customHeight="1">
      <c r="A4263" s="39">
        <v>4253</v>
      </c>
      <c r="B4263" s="40" t="s">
        <v>20534</v>
      </c>
      <c r="C4263" s="40" t="s">
        <v>20535</v>
      </c>
      <c r="D4263" s="40" t="s">
        <v>20536</v>
      </c>
      <c r="E4263" s="41">
        <v>5.7</v>
      </c>
      <c r="F4263" s="40"/>
      <c r="G4263" s="41"/>
      <c r="H4263" s="40"/>
      <c r="I4263" s="41"/>
      <c r="J4263" s="41">
        <f t="shared" si="16"/>
        <v>5.7</v>
      </c>
      <c r="K4263" s="42" t="s">
        <v>5796</v>
      </c>
      <c r="L4263" s="39">
        <v>4253</v>
      </c>
    </row>
    <row r="4264" spans="1:12" ht="11.25" customHeight="1">
      <c r="A4264" s="39">
        <v>4254</v>
      </c>
      <c r="B4264" s="40" t="s">
        <v>20537</v>
      </c>
      <c r="C4264" s="40" t="s">
        <v>20538</v>
      </c>
      <c r="D4264" s="40" t="s">
        <v>20539</v>
      </c>
      <c r="E4264" s="41">
        <v>5.7</v>
      </c>
      <c r="F4264" s="40"/>
      <c r="G4264" s="41"/>
      <c r="H4264" s="40"/>
      <c r="I4264" s="41"/>
      <c r="J4264" s="41">
        <f t="shared" si="16"/>
        <v>5.7</v>
      </c>
      <c r="K4264" s="42" t="s">
        <v>5796</v>
      </c>
      <c r="L4264" s="39">
        <v>4254</v>
      </c>
    </row>
    <row r="4265" spans="1:12" ht="11.25" customHeight="1">
      <c r="A4265" s="39">
        <v>4255</v>
      </c>
      <c r="B4265" s="40" t="s">
        <v>20540</v>
      </c>
      <c r="C4265" s="40" t="s">
        <v>20541</v>
      </c>
      <c r="D4265" s="40" t="s">
        <v>20542</v>
      </c>
      <c r="E4265" s="41">
        <v>5.7</v>
      </c>
      <c r="F4265" s="40"/>
      <c r="G4265" s="41"/>
      <c r="H4265" s="40"/>
      <c r="I4265" s="41"/>
      <c r="J4265" s="41">
        <f t="shared" si="16"/>
        <v>5.7</v>
      </c>
      <c r="K4265" s="42" t="s">
        <v>5796</v>
      </c>
      <c r="L4265" s="39">
        <v>4255</v>
      </c>
    </row>
    <row r="4266" spans="1:12" ht="11.25" customHeight="1">
      <c r="A4266" s="39">
        <v>4256</v>
      </c>
      <c r="B4266" s="40" t="s">
        <v>20543</v>
      </c>
      <c r="C4266" s="40" t="s">
        <v>20544</v>
      </c>
      <c r="D4266" s="40" t="s">
        <v>20545</v>
      </c>
      <c r="E4266" s="41">
        <v>5.69</v>
      </c>
      <c r="F4266" s="40"/>
      <c r="G4266" s="41"/>
      <c r="H4266" s="40"/>
      <c r="I4266" s="41"/>
      <c r="J4266" s="41">
        <f t="shared" si="16"/>
        <v>5.69</v>
      </c>
      <c r="K4266" s="42" t="s">
        <v>5796</v>
      </c>
      <c r="L4266" s="39">
        <v>4256</v>
      </c>
    </row>
    <row r="4267" spans="1:12" ht="11.25" customHeight="1">
      <c r="A4267" s="39">
        <v>4257</v>
      </c>
      <c r="B4267" s="40" t="s">
        <v>20546</v>
      </c>
      <c r="C4267" s="40" t="s">
        <v>20547</v>
      </c>
      <c r="D4267" s="40" t="s">
        <v>20548</v>
      </c>
      <c r="E4267" s="41">
        <v>5.69</v>
      </c>
      <c r="F4267" s="40"/>
      <c r="G4267" s="41"/>
      <c r="H4267" s="40"/>
      <c r="I4267" s="41"/>
      <c r="J4267" s="41">
        <f t="shared" si="16"/>
        <v>5.69</v>
      </c>
      <c r="K4267" s="42" t="s">
        <v>5796</v>
      </c>
      <c r="L4267" s="39">
        <v>4257</v>
      </c>
    </row>
    <row r="4268" spans="1:12" ht="11.25" customHeight="1">
      <c r="A4268" s="39">
        <v>4258</v>
      </c>
      <c r="B4268" s="40" t="s">
        <v>20549</v>
      </c>
      <c r="C4268" s="40" t="s">
        <v>20550</v>
      </c>
      <c r="D4268" s="40" t="s">
        <v>20551</v>
      </c>
      <c r="E4268" s="41">
        <v>5.69</v>
      </c>
      <c r="F4268" s="40"/>
      <c r="G4268" s="41"/>
      <c r="H4268" s="40"/>
      <c r="I4268" s="41"/>
      <c r="J4268" s="41">
        <f t="shared" si="16"/>
        <v>5.69</v>
      </c>
      <c r="K4268" s="42" t="s">
        <v>5796</v>
      </c>
      <c r="L4268" s="39">
        <v>4258</v>
      </c>
    </row>
    <row r="4269" spans="1:12" ht="11.25" customHeight="1">
      <c r="A4269" s="39">
        <v>4259</v>
      </c>
      <c r="B4269" s="40" t="s">
        <v>20552</v>
      </c>
      <c r="C4269" s="40" t="s">
        <v>20553</v>
      </c>
      <c r="D4269" s="40" t="s">
        <v>20554</v>
      </c>
      <c r="E4269" s="41">
        <v>5.66</v>
      </c>
      <c r="F4269" s="40"/>
      <c r="G4269" s="41"/>
      <c r="H4269" s="40"/>
      <c r="I4269" s="41"/>
      <c r="J4269" s="41">
        <f t="shared" si="16"/>
        <v>5.66</v>
      </c>
      <c r="K4269" s="42" t="s">
        <v>5796</v>
      </c>
      <c r="L4269" s="39">
        <v>4259</v>
      </c>
    </row>
    <row r="4270" spans="1:12" ht="11.25" customHeight="1">
      <c r="A4270" s="39">
        <v>4260</v>
      </c>
      <c r="B4270" s="40" t="s">
        <v>20555</v>
      </c>
      <c r="C4270" s="40" t="s">
        <v>20556</v>
      </c>
      <c r="D4270" s="40" t="s">
        <v>20557</v>
      </c>
      <c r="E4270" s="41">
        <v>5.66</v>
      </c>
      <c r="F4270" s="40"/>
      <c r="G4270" s="41"/>
      <c r="H4270" s="40"/>
      <c r="I4270" s="41"/>
      <c r="J4270" s="41">
        <f t="shared" si="16"/>
        <v>5.66</v>
      </c>
      <c r="K4270" s="42" t="s">
        <v>5796</v>
      </c>
      <c r="L4270" s="39">
        <v>4260</v>
      </c>
    </row>
    <row r="4271" spans="1:12" ht="11.25" customHeight="1">
      <c r="A4271" s="39">
        <v>4261</v>
      </c>
      <c r="B4271" s="40" t="s">
        <v>20558</v>
      </c>
      <c r="C4271" s="40" t="s">
        <v>20559</v>
      </c>
      <c r="D4271" s="40" t="s">
        <v>20560</v>
      </c>
      <c r="E4271" s="41">
        <v>5.65</v>
      </c>
      <c r="F4271" s="40"/>
      <c r="G4271" s="41"/>
      <c r="H4271" s="40"/>
      <c r="I4271" s="41"/>
      <c r="J4271" s="41">
        <f t="shared" si="16"/>
        <v>5.65</v>
      </c>
      <c r="K4271" s="42" t="s">
        <v>5796</v>
      </c>
      <c r="L4271" s="39">
        <v>4261</v>
      </c>
    </row>
    <row r="4272" spans="1:12" ht="11.25" customHeight="1">
      <c r="A4272" s="39">
        <v>4262</v>
      </c>
      <c r="B4272" s="40" t="s">
        <v>20561</v>
      </c>
      <c r="C4272" s="40" t="s">
        <v>20562</v>
      </c>
      <c r="D4272" s="40" t="s">
        <v>20563</v>
      </c>
      <c r="E4272" s="41">
        <v>5.64</v>
      </c>
      <c r="F4272" s="40"/>
      <c r="G4272" s="41"/>
      <c r="H4272" s="40"/>
      <c r="I4272" s="41"/>
      <c r="J4272" s="41">
        <f t="shared" si="16"/>
        <v>5.64</v>
      </c>
      <c r="K4272" s="42" t="s">
        <v>5796</v>
      </c>
      <c r="L4272" s="39">
        <v>4262</v>
      </c>
    </row>
    <row r="4273" spans="1:12" ht="11.25" customHeight="1">
      <c r="A4273" s="39">
        <v>4263</v>
      </c>
      <c r="B4273" s="40" t="s">
        <v>20564</v>
      </c>
      <c r="C4273" s="40" t="s">
        <v>20565</v>
      </c>
      <c r="D4273" s="40" t="s">
        <v>20566</v>
      </c>
      <c r="E4273" s="41">
        <v>5.64</v>
      </c>
      <c r="F4273" s="40"/>
      <c r="G4273" s="41"/>
      <c r="H4273" s="40"/>
      <c r="I4273" s="41"/>
      <c r="J4273" s="41">
        <f t="shared" si="16"/>
        <v>5.64</v>
      </c>
      <c r="K4273" s="42" t="s">
        <v>5796</v>
      </c>
      <c r="L4273" s="39">
        <v>4263</v>
      </c>
    </row>
    <row r="4274" spans="1:12" ht="11.25" customHeight="1">
      <c r="A4274" s="39">
        <v>4264</v>
      </c>
      <c r="B4274" s="40" t="s">
        <v>20567</v>
      </c>
      <c r="C4274" s="40" t="s">
        <v>20568</v>
      </c>
      <c r="D4274" s="40" t="s">
        <v>20569</v>
      </c>
      <c r="E4274" s="41">
        <v>5.58</v>
      </c>
      <c r="F4274" s="40"/>
      <c r="G4274" s="41"/>
      <c r="H4274" s="40"/>
      <c r="I4274" s="41"/>
      <c r="J4274" s="41">
        <f t="shared" si="16"/>
        <v>5.58</v>
      </c>
      <c r="K4274" s="42" t="s">
        <v>5796</v>
      </c>
      <c r="L4274" s="39">
        <v>4264</v>
      </c>
    </row>
    <row r="4275" spans="1:12" ht="11.25" customHeight="1">
      <c r="A4275" s="39">
        <v>4265</v>
      </c>
      <c r="B4275" s="40" t="s">
        <v>20570</v>
      </c>
      <c r="C4275" s="40" t="s">
        <v>20571</v>
      </c>
      <c r="D4275" s="40" t="s">
        <v>20572</v>
      </c>
      <c r="E4275" s="41">
        <v>5.57</v>
      </c>
      <c r="F4275" s="40"/>
      <c r="G4275" s="41"/>
      <c r="H4275" s="40"/>
      <c r="I4275" s="41"/>
      <c r="J4275" s="41">
        <f t="shared" si="16"/>
        <v>5.57</v>
      </c>
      <c r="K4275" s="42" t="s">
        <v>5796</v>
      </c>
      <c r="L4275" s="39">
        <v>4265</v>
      </c>
    </row>
    <row r="4276" spans="1:12" ht="11.25" customHeight="1">
      <c r="A4276" s="39">
        <v>4266</v>
      </c>
      <c r="B4276" s="40" t="s">
        <v>20573</v>
      </c>
      <c r="C4276" s="40" t="s">
        <v>20574</v>
      </c>
      <c r="D4276" s="40" t="s">
        <v>20575</v>
      </c>
      <c r="E4276" s="41">
        <v>5.55</v>
      </c>
      <c r="F4276" s="40"/>
      <c r="G4276" s="41"/>
      <c r="H4276" s="40"/>
      <c r="I4276" s="41"/>
      <c r="J4276" s="41">
        <f t="shared" si="16"/>
        <v>5.55</v>
      </c>
      <c r="K4276" s="42" t="s">
        <v>5796</v>
      </c>
      <c r="L4276" s="39">
        <v>4266</v>
      </c>
    </row>
    <row r="4277" spans="1:12" ht="11.25" customHeight="1">
      <c r="A4277" s="39">
        <v>4267</v>
      </c>
      <c r="B4277" s="40" t="s">
        <v>20576</v>
      </c>
      <c r="C4277" s="40" t="s">
        <v>20577</v>
      </c>
      <c r="D4277" s="40" t="s">
        <v>20578</v>
      </c>
      <c r="E4277" s="41">
        <v>5.54</v>
      </c>
      <c r="F4277" s="40"/>
      <c r="G4277" s="41"/>
      <c r="H4277" s="40"/>
      <c r="I4277" s="41"/>
      <c r="J4277" s="41">
        <f t="shared" si="16"/>
        <v>5.54</v>
      </c>
      <c r="K4277" s="42" t="s">
        <v>5796</v>
      </c>
      <c r="L4277" s="39">
        <v>4267</v>
      </c>
    </row>
    <row r="4278" spans="1:12" ht="11.25" customHeight="1">
      <c r="A4278" s="39">
        <v>4268</v>
      </c>
      <c r="B4278" s="40" t="s">
        <v>20579</v>
      </c>
      <c r="C4278" s="40" t="s">
        <v>20580</v>
      </c>
      <c r="D4278" s="40" t="s">
        <v>20581</v>
      </c>
      <c r="E4278" s="41">
        <v>5.52</v>
      </c>
      <c r="F4278" s="40"/>
      <c r="G4278" s="41"/>
      <c r="H4278" s="40"/>
      <c r="I4278" s="41"/>
      <c r="J4278" s="41">
        <f t="shared" si="16"/>
        <v>5.52</v>
      </c>
      <c r="K4278" s="42" t="s">
        <v>5796</v>
      </c>
      <c r="L4278" s="39">
        <v>4268</v>
      </c>
    </row>
    <row r="4279" spans="1:12" ht="11.25" customHeight="1">
      <c r="A4279" s="39">
        <v>4269</v>
      </c>
      <c r="B4279" s="40" t="s">
        <v>20582</v>
      </c>
      <c r="C4279" s="40" t="s">
        <v>20583</v>
      </c>
      <c r="D4279" s="40" t="s">
        <v>20584</v>
      </c>
      <c r="E4279" s="41">
        <v>5.52</v>
      </c>
      <c r="F4279" s="40"/>
      <c r="G4279" s="41"/>
      <c r="H4279" s="40" t="s">
        <v>20585</v>
      </c>
      <c r="I4279" s="41">
        <v>5.5171874999999986</v>
      </c>
      <c r="J4279" s="41">
        <f t="shared" si="16"/>
        <v>5.5185937499999991</v>
      </c>
      <c r="K4279" s="42" t="s">
        <v>5796</v>
      </c>
      <c r="L4279" s="39">
        <v>4269</v>
      </c>
    </row>
    <row r="4280" spans="1:12" ht="11.25" customHeight="1">
      <c r="A4280" s="39">
        <v>4270</v>
      </c>
      <c r="B4280" s="40" t="s">
        <v>20586</v>
      </c>
      <c r="C4280" s="40" t="s">
        <v>20587</v>
      </c>
      <c r="D4280" s="40" t="s">
        <v>20588</v>
      </c>
      <c r="E4280" s="41">
        <v>5.51</v>
      </c>
      <c r="F4280" s="40"/>
      <c r="G4280" s="41"/>
      <c r="H4280" s="40"/>
      <c r="I4280" s="41"/>
      <c r="J4280" s="41">
        <f t="shared" si="16"/>
        <v>5.51</v>
      </c>
      <c r="K4280" s="42" t="s">
        <v>5796</v>
      </c>
      <c r="L4280" s="39">
        <v>4270</v>
      </c>
    </row>
    <row r="4281" spans="1:12" ht="11.25" customHeight="1">
      <c r="A4281" s="39">
        <v>4271</v>
      </c>
      <c r="B4281" s="40" t="s">
        <v>20589</v>
      </c>
      <c r="C4281" s="40" t="s">
        <v>20590</v>
      </c>
      <c r="D4281" s="40" t="s">
        <v>20591</v>
      </c>
      <c r="E4281" s="41">
        <v>5.5</v>
      </c>
      <c r="F4281" s="40"/>
      <c r="G4281" s="41"/>
      <c r="H4281" s="40"/>
      <c r="I4281" s="41"/>
      <c r="J4281" s="41">
        <f t="shared" si="16"/>
        <v>5.5</v>
      </c>
      <c r="K4281" s="42" t="s">
        <v>5796</v>
      </c>
      <c r="L4281" s="39">
        <v>4271</v>
      </c>
    </row>
    <row r="4282" spans="1:12" ht="11.25" customHeight="1">
      <c r="A4282" s="39">
        <v>4272</v>
      </c>
      <c r="B4282" s="40" t="s">
        <v>20592</v>
      </c>
      <c r="C4282" s="40" t="s">
        <v>20593</v>
      </c>
      <c r="D4282" s="40" t="s">
        <v>20594</v>
      </c>
      <c r="E4282" s="41">
        <v>5.5</v>
      </c>
      <c r="F4282" s="40"/>
      <c r="G4282" s="41"/>
      <c r="H4282" s="40"/>
      <c r="I4282" s="41"/>
      <c r="J4282" s="41">
        <f t="shared" si="16"/>
        <v>5.5</v>
      </c>
      <c r="K4282" s="42" t="s">
        <v>5796</v>
      </c>
      <c r="L4282" s="39">
        <v>4272</v>
      </c>
    </row>
    <row r="4283" spans="1:12" ht="11.25" customHeight="1">
      <c r="A4283" s="39">
        <v>4273</v>
      </c>
      <c r="B4283" s="40" t="s">
        <v>9095</v>
      </c>
      <c r="C4283" s="40" t="s">
        <v>20595</v>
      </c>
      <c r="D4283" s="40" t="s">
        <v>20596</v>
      </c>
      <c r="E4283" s="41">
        <v>5.5</v>
      </c>
      <c r="F4283" s="40"/>
      <c r="G4283" s="41"/>
      <c r="H4283" s="40"/>
      <c r="I4283" s="41"/>
      <c r="J4283" s="41">
        <f t="shared" si="16"/>
        <v>5.5</v>
      </c>
      <c r="K4283" s="42" t="s">
        <v>5796</v>
      </c>
      <c r="L4283" s="39">
        <v>4273</v>
      </c>
    </row>
    <row r="4284" spans="1:12" ht="11.25" customHeight="1">
      <c r="A4284" s="39">
        <v>4274</v>
      </c>
      <c r="B4284" s="52" t="s">
        <v>9376</v>
      </c>
      <c r="C4284" s="52" t="s">
        <v>20597</v>
      </c>
      <c r="D4284" s="40"/>
      <c r="E4284" s="41"/>
      <c r="F4284" s="40"/>
      <c r="G4284" s="41"/>
      <c r="H4284" s="52" t="s">
        <v>20598</v>
      </c>
      <c r="I4284" s="53">
        <v>5.5</v>
      </c>
      <c r="J4284" s="41">
        <f t="shared" si="16"/>
        <v>5.5</v>
      </c>
      <c r="K4284" s="42" t="s">
        <v>5796</v>
      </c>
      <c r="L4284" s="39">
        <v>4274</v>
      </c>
    </row>
    <row r="4285" spans="1:12" ht="11.25" customHeight="1">
      <c r="A4285" s="39">
        <v>4275</v>
      </c>
      <c r="B4285" s="40" t="s">
        <v>20599</v>
      </c>
      <c r="C4285" s="40" t="s">
        <v>20600</v>
      </c>
      <c r="D4285" s="40" t="s">
        <v>20601</v>
      </c>
      <c r="E4285" s="41">
        <v>5.49</v>
      </c>
      <c r="F4285" s="40"/>
      <c r="G4285" s="41"/>
      <c r="H4285" s="40"/>
      <c r="I4285" s="41"/>
      <c r="J4285" s="41">
        <f t="shared" si="16"/>
        <v>5.49</v>
      </c>
      <c r="K4285" s="42" t="s">
        <v>5796</v>
      </c>
      <c r="L4285" s="39">
        <v>4275</v>
      </c>
    </row>
    <row r="4286" spans="1:12" ht="11.25" customHeight="1">
      <c r="A4286" s="39">
        <v>4276</v>
      </c>
      <c r="B4286" s="40" t="s">
        <v>20602</v>
      </c>
      <c r="C4286" s="40" t="s">
        <v>20603</v>
      </c>
      <c r="D4286" s="40" t="s">
        <v>20604</v>
      </c>
      <c r="E4286" s="41">
        <v>5.46</v>
      </c>
      <c r="F4286" s="40"/>
      <c r="G4286" s="41"/>
      <c r="H4286" s="40"/>
      <c r="I4286" s="41"/>
      <c r="J4286" s="41">
        <f t="shared" si="16"/>
        <v>5.46</v>
      </c>
      <c r="K4286" s="42" t="s">
        <v>5796</v>
      </c>
      <c r="L4286" s="39">
        <v>4276</v>
      </c>
    </row>
    <row r="4287" spans="1:12" ht="11.25" customHeight="1">
      <c r="A4287" s="39">
        <v>4277</v>
      </c>
      <c r="B4287" s="40" t="s">
        <v>20605</v>
      </c>
      <c r="C4287" s="40" t="s">
        <v>20606</v>
      </c>
      <c r="D4287" s="40" t="s">
        <v>20607</v>
      </c>
      <c r="E4287" s="41">
        <v>5.45</v>
      </c>
      <c r="F4287" s="40"/>
      <c r="G4287" s="41"/>
      <c r="H4287" s="40"/>
      <c r="I4287" s="41"/>
      <c r="J4287" s="41">
        <f t="shared" si="16"/>
        <v>5.45</v>
      </c>
      <c r="K4287" s="42" t="s">
        <v>5796</v>
      </c>
      <c r="L4287" s="39">
        <v>4277</v>
      </c>
    </row>
    <row r="4288" spans="1:12" ht="11.25" customHeight="1">
      <c r="A4288" s="39">
        <v>4278</v>
      </c>
      <c r="B4288" s="40" t="s">
        <v>20608</v>
      </c>
      <c r="C4288" s="40" t="s">
        <v>20609</v>
      </c>
      <c r="D4288" s="40" t="s">
        <v>20610</v>
      </c>
      <c r="E4288" s="41">
        <v>5.45</v>
      </c>
      <c r="F4288" s="40"/>
      <c r="G4288" s="41"/>
      <c r="H4288" s="40"/>
      <c r="I4288" s="41"/>
      <c r="J4288" s="41">
        <f t="shared" si="16"/>
        <v>5.45</v>
      </c>
      <c r="K4288" s="42" t="s">
        <v>5796</v>
      </c>
      <c r="L4288" s="39">
        <v>4278</v>
      </c>
    </row>
    <row r="4289" spans="1:12" ht="11.25" customHeight="1">
      <c r="A4289" s="39">
        <v>4279</v>
      </c>
      <c r="B4289" s="40" t="s">
        <v>20611</v>
      </c>
      <c r="C4289" s="40" t="s">
        <v>20612</v>
      </c>
      <c r="D4289" s="40" t="s">
        <v>20613</v>
      </c>
      <c r="E4289" s="41">
        <v>5.44</v>
      </c>
      <c r="F4289" s="40"/>
      <c r="G4289" s="41"/>
      <c r="H4289" s="40"/>
      <c r="I4289" s="41"/>
      <c r="J4289" s="41">
        <f t="shared" si="16"/>
        <v>5.44</v>
      </c>
      <c r="K4289" s="42" t="s">
        <v>5796</v>
      </c>
      <c r="L4289" s="39">
        <v>4279</v>
      </c>
    </row>
    <row r="4290" spans="1:12" ht="11.25" customHeight="1">
      <c r="A4290" s="39">
        <v>4280</v>
      </c>
      <c r="B4290" s="40" t="s">
        <v>20614</v>
      </c>
      <c r="C4290" s="40" t="s">
        <v>20615</v>
      </c>
      <c r="D4290" s="40" t="s">
        <v>20616</v>
      </c>
      <c r="E4290" s="41">
        <v>5.44</v>
      </c>
      <c r="F4290" s="40"/>
      <c r="G4290" s="41"/>
      <c r="H4290" s="40"/>
      <c r="I4290" s="41"/>
      <c r="J4290" s="41">
        <f t="shared" si="16"/>
        <v>5.44</v>
      </c>
      <c r="K4290" s="42" t="s">
        <v>5796</v>
      </c>
      <c r="L4290" s="39">
        <v>4280</v>
      </c>
    </row>
    <row r="4291" spans="1:12" ht="11.25" customHeight="1">
      <c r="A4291" s="39">
        <v>4281</v>
      </c>
      <c r="B4291" s="40" t="s">
        <v>20617</v>
      </c>
      <c r="C4291" s="40" t="s">
        <v>20618</v>
      </c>
      <c r="D4291" s="40" t="s">
        <v>20619</v>
      </c>
      <c r="E4291" s="41">
        <v>5.42</v>
      </c>
      <c r="F4291" s="40"/>
      <c r="G4291" s="41"/>
      <c r="H4291" s="40"/>
      <c r="I4291" s="41"/>
      <c r="J4291" s="41">
        <f t="shared" si="16"/>
        <v>5.42</v>
      </c>
      <c r="K4291" s="42" t="s">
        <v>5796</v>
      </c>
      <c r="L4291" s="39">
        <v>4281</v>
      </c>
    </row>
    <row r="4292" spans="1:12" ht="11.25" customHeight="1">
      <c r="A4292" s="39">
        <v>4282</v>
      </c>
      <c r="B4292" s="40" t="s">
        <v>20620</v>
      </c>
      <c r="C4292" s="40" t="s">
        <v>20621</v>
      </c>
      <c r="D4292" s="40" t="s">
        <v>20622</v>
      </c>
      <c r="E4292" s="41">
        <v>5.42</v>
      </c>
      <c r="F4292" s="40"/>
      <c r="G4292" s="41"/>
      <c r="H4292" s="40"/>
      <c r="I4292" s="41"/>
      <c r="J4292" s="41">
        <f t="shared" si="16"/>
        <v>5.42</v>
      </c>
      <c r="K4292" s="42" t="s">
        <v>5796</v>
      </c>
      <c r="L4292" s="39">
        <v>4282</v>
      </c>
    </row>
    <row r="4293" spans="1:12" ht="11.25" customHeight="1">
      <c r="A4293" s="39">
        <v>4283</v>
      </c>
      <c r="B4293" s="40" t="s">
        <v>9368</v>
      </c>
      <c r="C4293" s="40" t="s">
        <v>20623</v>
      </c>
      <c r="D4293" s="40" t="s">
        <v>20624</v>
      </c>
      <c r="E4293" s="41">
        <v>5.42</v>
      </c>
      <c r="F4293" s="40"/>
      <c r="G4293" s="41"/>
      <c r="H4293" s="40"/>
      <c r="I4293" s="41"/>
      <c r="J4293" s="41">
        <f t="shared" si="16"/>
        <v>5.42</v>
      </c>
      <c r="K4293" s="42" t="s">
        <v>5796</v>
      </c>
      <c r="L4293" s="39">
        <v>4283</v>
      </c>
    </row>
    <row r="4294" spans="1:12" ht="11.25" customHeight="1">
      <c r="A4294" s="39">
        <v>4284</v>
      </c>
      <c r="B4294" s="40" t="s">
        <v>20625</v>
      </c>
      <c r="C4294" s="40" t="s">
        <v>20626</v>
      </c>
      <c r="D4294" s="40" t="s">
        <v>20627</v>
      </c>
      <c r="E4294" s="41">
        <v>5.4</v>
      </c>
      <c r="F4294" s="40"/>
      <c r="G4294" s="41"/>
      <c r="H4294" s="40"/>
      <c r="I4294" s="41"/>
      <c r="J4294" s="41">
        <f t="shared" si="16"/>
        <v>5.4</v>
      </c>
      <c r="K4294" s="42" t="s">
        <v>5796</v>
      </c>
      <c r="L4294" s="39">
        <v>4284</v>
      </c>
    </row>
    <row r="4295" spans="1:12" ht="11.25" customHeight="1">
      <c r="A4295" s="39">
        <v>4285</v>
      </c>
      <c r="B4295" s="40" t="s">
        <v>20628</v>
      </c>
      <c r="C4295" s="40" t="s">
        <v>20629</v>
      </c>
      <c r="D4295" s="40" t="s">
        <v>20630</v>
      </c>
      <c r="E4295" s="41">
        <v>5.4</v>
      </c>
      <c r="F4295" s="40"/>
      <c r="G4295" s="41"/>
      <c r="H4295" s="40"/>
      <c r="I4295" s="41"/>
      <c r="J4295" s="41">
        <f t="shared" si="16"/>
        <v>5.4</v>
      </c>
      <c r="K4295" s="42" t="s">
        <v>5796</v>
      </c>
      <c r="L4295" s="39">
        <v>4285</v>
      </c>
    </row>
    <row r="4296" spans="1:12" ht="11.25" customHeight="1">
      <c r="A4296" s="39">
        <v>4286</v>
      </c>
      <c r="B4296" s="40" t="s">
        <v>20631</v>
      </c>
      <c r="C4296" s="40" t="s">
        <v>20632</v>
      </c>
      <c r="D4296" s="40" t="s">
        <v>20633</v>
      </c>
      <c r="E4296" s="41">
        <v>5.37</v>
      </c>
      <c r="F4296" s="40"/>
      <c r="G4296" s="41"/>
      <c r="H4296" s="40"/>
      <c r="I4296" s="41"/>
      <c r="J4296" s="41">
        <f t="shared" si="16"/>
        <v>5.37</v>
      </c>
      <c r="K4296" s="42" t="s">
        <v>5796</v>
      </c>
      <c r="L4296" s="39">
        <v>4286</v>
      </c>
    </row>
    <row r="4297" spans="1:12" ht="11.25" customHeight="1">
      <c r="A4297" s="39">
        <v>4287</v>
      </c>
      <c r="B4297" s="40" t="s">
        <v>20634</v>
      </c>
      <c r="C4297" s="40" t="s">
        <v>20635</v>
      </c>
      <c r="D4297" s="40" t="s">
        <v>20636</v>
      </c>
      <c r="E4297" s="41">
        <v>5.37</v>
      </c>
      <c r="F4297" s="40"/>
      <c r="G4297" s="41"/>
      <c r="H4297" s="40"/>
      <c r="I4297" s="41"/>
      <c r="J4297" s="41">
        <f t="shared" si="16"/>
        <v>5.37</v>
      </c>
      <c r="K4297" s="42" t="s">
        <v>5796</v>
      </c>
      <c r="L4297" s="39">
        <v>4287</v>
      </c>
    </row>
    <row r="4298" spans="1:12" ht="11.25" customHeight="1">
      <c r="A4298" s="39">
        <v>4288</v>
      </c>
      <c r="B4298" s="40" t="s">
        <v>20637</v>
      </c>
      <c r="C4298" s="40" t="s">
        <v>20638</v>
      </c>
      <c r="D4298" s="40" t="s">
        <v>20639</v>
      </c>
      <c r="E4298" s="41">
        <v>5.35</v>
      </c>
      <c r="F4298" s="40"/>
      <c r="G4298" s="41"/>
      <c r="H4298" s="40"/>
      <c r="I4298" s="41"/>
      <c r="J4298" s="41">
        <f t="shared" si="16"/>
        <v>5.35</v>
      </c>
      <c r="K4298" s="42" t="s">
        <v>5796</v>
      </c>
      <c r="L4298" s="39">
        <v>4288</v>
      </c>
    </row>
    <row r="4299" spans="1:12" ht="11.25" customHeight="1">
      <c r="A4299" s="39">
        <v>4289</v>
      </c>
      <c r="B4299" s="40" t="s">
        <v>20640</v>
      </c>
      <c r="C4299" s="40" t="s">
        <v>20641</v>
      </c>
      <c r="D4299" s="40" t="s">
        <v>20642</v>
      </c>
      <c r="E4299" s="41">
        <v>5.34</v>
      </c>
      <c r="F4299" s="40"/>
      <c r="G4299" s="41"/>
      <c r="H4299" s="40"/>
      <c r="I4299" s="41"/>
      <c r="J4299" s="41">
        <f t="shared" si="16"/>
        <v>5.34</v>
      </c>
      <c r="K4299" s="42" t="s">
        <v>5796</v>
      </c>
      <c r="L4299" s="39">
        <v>4289</v>
      </c>
    </row>
    <row r="4300" spans="1:12" ht="11.25" customHeight="1">
      <c r="A4300" s="39">
        <v>4290</v>
      </c>
      <c r="B4300" s="40" t="s">
        <v>20643</v>
      </c>
      <c r="C4300" s="40" t="s">
        <v>20644</v>
      </c>
      <c r="D4300" s="40" t="s">
        <v>20645</v>
      </c>
      <c r="E4300" s="41">
        <v>5.32</v>
      </c>
      <c r="F4300" s="40"/>
      <c r="G4300" s="41"/>
      <c r="H4300" s="40"/>
      <c r="I4300" s="41"/>
      <c r="J4300" s="41">
        <f t="shared" si="16"/>
        <v>5.32</v>
      </c>
      <c r="K4300" s="42" t="s">
        <v>5796</v>
      </c>
      <c r="L4300" s="39">
        <v>4290</v>
      </c>
    </row>
    <row r="4301" spans="1:12" ht="11.25" customHeight="1">
      <c r="A4301" s="39">
        <v>4291</v>
      </c>
      <c r="B4301" s="40" t="s">
        <v>20646</v>
      </c>
      <c r="C4301" s="40" t="s">
        <v>20647</v>
      </c>
      <c r="D4301" s="40" t="s">
        <v>20648</v>
      </c>
      <c r="E4301" s="41">
        <v>5.31</v>
      </c>
      <c r="F4301" s="40"/>
      <c r="G4301" s="41"/>
      <c r="H4301" s="40"/>
      <c r="I4301" s="41"/>
      <c r="J4301" s="41">
        <f t="shared" si="16"/>
        <v>5.31</v>
      </c>
      <c r="K4301" s="42" t="s">
        <v>5796</v>
      </c>
      <c r="L4301" s="39">
        <v>4291</v>
      </c>
    </row>
    <row r="4302" spans="1:12" ht="11.25" customHeight="1">
      <c r="A4302" s="39">
        <v>4292</v>
      </c>
      <c r="B4302" s="40" t="s">
        <v>9076</v>
      </c>
      <c r="C4302" s="40" t="s">
        <v>20649</v>
      </c>
      <c r="D4302" s="40" t="s">
        <v>20650</v>
      </c>
      <c r="E4302" s="41">
        <v>5.31</v>
      </c>
      <c r="F4302" s="40"/>
      <c r="G4302" s="41"/>
      <c r="H4302" s="40"/>
      <c r="I4302" s="41"/>
      <c r="J4302" s="41">
        <f t="shared" si="16"/>
        <v>5.31</v>
      </c>
      <c r="K4302" s="42" t="s">
        <v>5796</v>
      </c>
      <c r="L4302" s="39">
        <v>4292</v>
      </c>
    </row>
    <row r="4303" spans="1:12" ht="11.25" customHeight="1">
      <c r="A4303" s="39">
        <v>4293</v>
      </c>
      <c r="B4303" s="40" t="s">
        <v>20651</v>
      </c>
      <c r="C4303" s="40" t="s">
        <v>20652</v>
      </c>
      <c r="D4303" s="40" t="s">
        <v>20653</v>
      </c>
      <c r="E4303" s="41">
        <v>5.3</v>
      </c>
      <c r="F4303" s="40"/>
      <c r="G4303" s="41"/>
      <c r="H4303" s="40"/>
      <c r="I4303" s="41"/>
      <c r="J4303" s="41">
        <f t="shared" si="16"/>
        <v>5.3</v>
      </c>
      <c r="K4303" s="42" t="s">
        <v>5796</v>
      </c>
      <c r="L4303" s="39">
        <v>4293</v>
      </c>
    </row>
    <row r="4304" spans="1:12" ht="11.25" customHeight="1">
      <c r="A4304" s="39">
        <v>4294</v>
      </c>
      <c r="B4304" s="40" t="s">
        <v>20654</v>
      </c>
      <c r="C4304" s="40" t="s">
        <v>20655</v>
      </c>
      <c r="D4304" s="40" t="s">
        <v>20656</v>
      </c>
      <c r="E4304" s="41">
        <v>5.3</v>
      </c>
      <c r="F4304" s="40"/>
      <c r="G4304" s="41"/>
      <c r="H4304" s="40"/>
      <c r="I4304" s="41"/>
      <c r="J4304" s="41">
        <f t="shared" si="16"/>
        <v>5.3</v>
      </c>
      <c r="K4304" s="42" t="s">
        <v>5796</v>
      </c>
      <c r="L4304" s="39">
        <v>4294</v>
      </c>
    </row>
    <row r="4305" spans="1:12" ht="11.25" customHeight="1">
      <c r="A4305" s="39">
        <v>4295</v>
      </c>
      <c r="B4305" s="40" t="s">
        <v>20657</v>
      </c>
      <c r="C4305" s="40" t="s">
        <v>20658</v>
      </c>
      <c r="D4305" s="40" t="s">
        <v>20659</v>
      </c>
      <c r="E4305" s="41">
        <v>5.29</v>
      </c>
      <c r="F4305" s="40"/>
      <c r="G4305" s="41"/>
      <c r="H4305" s="40"/>
      <c r="I4305" s="41"/>
      <c r="J4305" s="41">
        <f t="shared" si="16"/>
        <v>5.29</v>
      </c>
      <c r="K4305" s="42" t="s">
        <v>5796</v>
      </c>
      <c r="L4305" s="39">
        <v>4295</v>
      </c>
    </row>
    <row r="4306" spans="1:12" ht="11.25" customHeight="1">
      <c r="A4306" s="39">
        <v>4296</v>
      </c>
      <c r="B4306" s="40" t="s">
        <v>9539</v>
      </c>
      <c r="C4306" s="40" t="s">
        <v>20660</v>
      </c>
      <c r="D4306" s="40" t="s">
        <v>20661</v>
      </c>
      <c r="E4306" s="41">
        <v>5.29</v>
      </c>
      <c r="F4306" s="40"/>
      <c r="G4306" s="41"/>
      <c r="H4306" s="40"/>
      <c r="I4306" s="41"/>
      <c r="J4306" s="41">
        <f t="shared" si="16"/>
        <v>5.29</v>
      </c>
      <c r="K4306" s="42" t="s">
        <v>5796</v>
      </c>
      <c r="L4306" s="39">
        <v>4296</v>
      </c>
    </row>
    <row r="4307" spans="1:12" ht="11.25" customHeight="1">
      <c r="A4307" s="39">
        <v>4297</v>
      </c>
      <c r="B4307" s="40" t="s">
        <v>20662</v>
      </c>
      <c r="C4307" s="40" t="s">
        <v>20663</v>
      </c>
      <c r="D4307" s="40" t="s">
        <v>20664</v>
      </c>
      <c r="E4307" s="41">
        <v>5.28</v>
      </c>
      <c r="F4307" s="40"/>
      <c r="G4307" s="41"/>
      <c r="H4307" s="40"/>
      <c r="I4307" s="41"/>
      <c r="J4307" s="41">
        <f t="shared" si="16"/>
        <v>5.28</v>
      </c>
      <c r="K4307" s="42" t="s">
        <v>5796</v>
      </c>
      <c r="L4307" s="39">
        <v>4297</v>
      </c>
    </row>
    <row r="4308" spans="1:12" ht="11.25" customHeight="1">
      <c r="A4308" s="39">
        <v>4298</v>
      </c>
      <c r="B4308" s="40" t="s">
        <v>9408</v>
      </c>
      <c r="C4308" s="40" t="s">
        <v>20665</v>
      </c>
      <c r="D4308" s="40" t="s">
        <v>20666</v>
      </c>
      <c r="E4308" s="41">
        <v>5.28</v>
      </c>
      <c r="F4308" s="40"/>
      <c r="G4308" s="41"/>
      <c r="H4308" s="40"/>
      <c r="I4308" s="41"/>
      <c r="J4308" s="41">
        <f t="shared" si="16"/>
        <v>5.28</v>
      </c>
      <c r="K4308" s="42" t="s">
        <v>5796</v>
      </c>
      <c r="L4308" s="39">
        <v>4298</v>
      </c>
    </row>
    <row r="4309" spans="1:12" ht="11.25" customHeight="1">
      <c r="A4309" s="39">
        <v>4299</v>
      </c>
      <c r="B4309" s="40" t="s">
        <v>20667</v>
      </c>
      <c r="C4309" s="40" t="s">
        <v>20668</v>
      </c>
      <c r="D4309" s="40" t="s">
        <v>20669</v>
      </c>
      <c r="E4309" s="41">
        <v>5.27</v>
      </c>
      <c r="F4309" s="40"/>
      <c r="G4309" s="41"/>
      <c r="H4309" s="40"/>
      <c r="I4309" s="41"/>
      <c r="J4309" s="41">
        <f t="shared" si="16"/>
        <v>5.27</v>
      </c>
      <c r="K4309" s="42" t="s">
        <v>5796</v>
      </c>
      <c r="L4309" s="39">
        <v>4299</v>
      </c>
    </row>
    <row r="4310" spans="1:12" ht="11.25" customHeight="1">
      <c r="A4310" s="39">
        <v>4300</v>
      </c>
      <c r="B4310" s="40" t="s">
        <v>9395</v>
      </c>
      <c r="C4310" s="40" t="s">
        <v>20670</v>
      </c>
      <c r="D4310" s="40" t="s">
        <v>20671</v>
      </c>
      <c r="E4310" s="41">
        <v>5.27</v>
      </c>
      <c r="F4310" s="40"/>
      <c r="G4310" s="41"/>
      <c r="H4310" s="40"/>
      <c r="I4310" s="41"/>
      <c r="J4310" s="41">
        <f t="shared" si="16"/>
        <v>5.27</v>
      </c>
      <c r="K4310" s="42" t="s">
        <v>5796</v>
      </c>
      <c r="L4310" s="39">
        <v>4300</v>
      </c>
    </row>
    <row r="4311" spans="1:12" ht="11.25" customHeight="1">
      <c r="A4311" s="39">
        <v>4301</v>
      </c>
      <c r="B4311" s="52" t="s">
        <v>9410</v>
      </c>
      <c r="C4311" s="52" t="s">
        <v>20672</v>
      </c>
      <c r="D4311" s="40"/>
      <c r="E4311" s="41"/>
      <c r="F4311" s="40"/>
      <c r="G4311" s="41"/>
      <c r="H4311" s="52" t="s">
        <v>20673</v>
      </c>
      <c r="I4311" s="53">
        <v>5.2599999999999936</v>
      </c>
      <c r="J4311" s="41">
        <f t="shared" si="16"/>
        <v>5.2599999999999936</v>
      </c>
      <c r="K4311" s="42" t="s">
        <v>5796</v>
      </c>
      <c r="L4311" s="39">
        <v>4301</v>
      </c>
    </row>
    <row r="4312" spans="1:12" ht="11.25" customHeight="1">
      <c r="A4312" s="39">
        <v>4302</v>
      </c>
      <c r="B4312" s="40" t="s">
        <v>20674</v>
      </c>
      <c r="C4312" s="40" t="s">
        <v>20675</v>
      </c>
      <c r="D4312" s="40" t="s">
        <v>20676</v>
      </c>
      <c r="E4312" s="41">
        <v>5.24</v>
      </c>
      <c r="F4312" s="40"/>
      <c r="G4312" s="41"/>
      <c r="H4312" s="40"/>
      <c r="I4312" s="41"/>
      <c r="J4312" s="41">
        <f t="shared" si="16"/>
        <v>5.24</v>
      </c>
      <c r="K4312" s="42" t="s">
        <v>5796</v>
      </c>
      <c r="L4312" s="39">
        <v>4302</v>
      </c>
    </row>
    <row r="4313" spans="1:12" ht="11.25" customHeight="1">
      <c r="A4313" s="39">
        <v>4303</v>
      </c>
      <c r="B4313" s="40" t="s">
        <v>20677</v>
      </c>
      <c r="C4313" s="40" t="s">
        <v>20678</v>
      </c>
      <c r="D4313" s="40" t="s">
        <v>20679</v>
      </c>
      <c r="E4313" s="41">
        <v>5.24</v>
      </c>
      <c r="F4313" s="40"/>
      <c r="G4313" s="41"/>
      <c r="H4313" s="40"/>
      <c r="I4313" s="41"/>
      <c r="J4313" s="41">
        <f t="shared" si="16"/>
        <v>5.24</v>
      </c>
      <c r="K4313" s="42" t="s">
        <v>5796</v>
      </c>
      <c r="L4313" s="39">
        <v>4303</v>
      </c>
    </row>
    <row r="4314" spans="1:12" ht="11.25" customHeight="1">
      <c r="A4314" s="39">
        <v>4304</v>
      </c>
      <c r="B4314" s="40" t="s">
        <v>20680</v>
      </c>
      <c r="C4314" s="40" t="s">
        <v>20681</v>
      </c>
      <c r="D4314" s="40" t="s">
        <v>20682</v>
      </c>
      <c r="E4314" s="41">
        <v>5.23</v>
      </c>
      <c r="F4314" s="40"/>
      <c r="G4314" s="41"/>
      <c r="H4314" s="40"/>
      <c r="I4314" s="41"/>
      <c r="J4314" s="41">
        <f t="shared" si="16"/>
        <v>5.23</v>
      </c>
      <c r="K4314" s="42" t="s">
        <v>5796</v>
      </c>
      <c r="L4314" s="39">
        <v>4304</v>
      </c>
    </row>
    <row r="4315" spans="1:12" ht="11.25" customHeight="1">
      <c r="A4315" s="39">
        <v>4305</v>
      </c>
      <c r="B4315" s="40" t="s">
        <v>20683</v>
      </c>
      <c r="C4315" s="40" t="s">
        <v>20684</v>
      </c>
      <c r="D4315" s="40" t="s">
        <v>20685</v>
      </c>
      <c r="E4315" s="41">
        <v>5.23</v>
      </c>
      <c r="F4315" s="40"/>
      <c r="G4315" s="41"/>
      <c r="H4315" s="40"/>
      <c r="I4315" s="41"/>
      <c r="J4315" s="41">
        <f t="shared" si="16"/>
        <v>5.23</v>
      </c>
      <c r="K4315" s="42" t="s">
        <v>5796</v>
      </c>
      <c r="L4315" s="39">
        <v>4305</v>
      </c>
    </row>
    <row r="4316" spans="1:12" ht="11.25" customHeight="1">
      <c r="A4316" s="39">
        <v>4306</v>
      </c>
      <c r="B4316" s="40" t="s">
        <v>20686</v>
      </c>
      <c r="C4316" s="40" t="s">
        <v>20687</v>
      </c>
      <c r="D4316" s="40" t="s">
        <v>20688</v>
      </c>
      <c r="E4316" s="41">
        <v>5.23</v>
      </c>
      <c r="F4316" s="40"/>
      <c r="G4316" s="41"/>
      <c r="H4316" s="40"/>
      <c r="I4316" s="41"/>
      <c r="J4316" s="41">
        <f t="shared" si="16"/>
        <v>5.23</v>
      </c>
      <c r="K4316" s="42" t="s">
        <v>5796</v>
      </c>
      <c r="L4316" s="39">
        <v>4306</v>
      </c>
    </row>
    <row r="4317" spans="1:12" ht="11.25" customHeight="1">
      <c r="A4317" s="39">
        <v>4307</v>
      </c>
      <c r="B4317" s="40" t="s">
        <v>20689</v>
      </c>
      <c r="C4317" s="40" t="s">
        <v>20690</v>
      </c>
      <c r="D4317" s="40" t="s">
        <v>20691</v>
      </c>
      <c r="E4317" s="41">
        <v>5.21</v>
      </c>
      <c r="F4317" s="40"/>
      <c r="G4317" s="41"/>
      <c r="H4317" s="40"/>
      <c r="I4317" s="41"/>
      <c r="J4317" s="41">
        <f t="shared" si="16"/>
        <v>5.21</v>
      </c>
      <c r="K4317" s="42" t="s">
        <v>5796</v>
      </c>
      <c r="L4317" s="39">
        <v>4307</v>
      </c>
    </row>
    <row r="4318" spans="1:12" ht="11.25" customHeight="1">
      <c r="A4318" s="39">
        <v>4308</v>
      </c>
      <c r="B4318" s="40" t="s">
        <v>20692</v>
      </c>
      <c r="C4318" s="40" t="s">
        <v>20693</v>
      </c>
      <c r="D4318" s="40" t="s">
        <v>20694</v>
      </c>
      <c r="E4318" s="41">
        <v>5.21</v>
      </c>
      <c r="F4318" s="40"/>
      <c r="G4318" s="41"/>
      <c r="H4318" s="40"/>
      <c r="I4318" s="41"/>
      <c r="J4318" s="41">
        <f t="shared" si="16"/>
        <v>5.21</v>
      </c>
      <c r="K4318" s="42" t="s">
        <v>5796</v>
      </c>
      <c r="L4318" s="39">
        <v>4308</v>
      </c>
    </row>
    <row r="4319" spans="1:12" ht="11.25" customHeight="1">
      <c r="A4319" s="39">
        <v>4309</v>
      </c>
      <c r="B4319" s="52" t="s">
        <v>9414</v>
      </c>
      <c r="C4319" s="52" t="s">
        <v>20695</v>
      </c>
      <c r="D4319" s="40"/>
      <c r="E4319" s="41"/>
      <c r="F4319" s="40"/>
      <c r="G4319" s="41"/>
      <c r="H4319" s="52" t="s">
        <v>20696</v>
      </c>
      <c r="I4319" s="53">
        <v>5.2083337499999951</v>
      </c>
      <c r="J4319" s="41">
        <f t="shared" si="16"/>
        <v>5.2083337499999951</v>
      </c>
      <c r="K4319" s="42" t="s">
        <v>5796</v>
      </c>
      <c r="L4319" s="39">
        <v>4309</v>
      </c>
    </row>
    <row r="4320" spans="1:12" ht="11.25" customHeight="1">
      <c r="A4320" s="39">
        <v>4310</v>
      </c>
      <c r="B4320" s="40" t="s">
        <v>20697</v>
      </c>
      <c r="C4320" s="40" t="s">
        <v>20698</v>
      </c>
      <c r="D4320" s="40" t="s">
        <v>20699</v>
      </c>
      <c r="E4320" s="41">
        <v>5.2</v>
      </c>
      <c r="F4320" s="40"/>
      <c r="G4320" s="41"/>
      <c r="H4320" s="40"/>
      <c r="I4320" s="41"/>
      <c r="J4320" s="41">
        <f t="shared" si="16"/>
        <v>5.2</v>
      </c>
      <c r="K4320" s="42" t="s">
        <v>5796</v>
      </c>
      <c r="L4320" s="39">
        <v>4310</v>
      </c>
    </row>
    <row r="4321" spans="1:12" ht="11.25" customHeight="1">
      <c r="A4321" s="39">
        <v>4311</v>
      </c>
      <c r="B4321" s="40" t="s">
        <v>9416</v>
      </c>
      <c r="C4321" s="40" t="s">
        <v>20700</v>
      </c>
      <c r="D4321" s="40" t="s">
        <v>20701</v>
      </c>
      <c r="E4321" s="41">
        <v>5.19</v>
      </c>
      <c r="F4321" s="40"/>
      <c r="G4321" s="41"/>
      <c r="H4321" s="40"/>
      <c r="I4321" s="41"/>
      <c r="J4321" s="41">
        <f t="shared" si="16"/>
        <v>5.19</v>
      </c>
      <c r="K4321" s="42" t="s">
        <v>5796</v>
      </c>
      <c r="L4321" s="39">
        <v>4311</v>
      </c>
    </row>
    <row r="4322" spans="1:12" ht="11.25" customHeight="1">
      <c r="A4322" s="39">
        <v>4312</v>
      </c>
      <c r="B4322" s="40" t="s">
        <v>20702</v>
      </c>
      <c r="C4322" s="40" t="s">
        <v>20703</v>
      </c>
      <c r="D4322" s="40" t="s">
        <v>20704</v>
      </c>
      <c r="E4322" s="41">
        <v>5.17</v>
      </c>
      <c r="F4322" s="40"/>
      <c r="G4322" s="41"/>
      <c r="H4322" s="40"/>
      <c r="I4322" s="41"/>
      <c r="J4322" s="41">
        <f t="shared" si="16"/>
        <v>5.17</v>
      </c>
      <c r="K4322" s="42" t="s">
        <v>5796</v>
      </c>
      <c r="L4322" s="39">
        <v>4312</v>
      </c>
    </row>
    <row r="4323" spans="1:12" ht="11.25" customHeight="1">
      <c r="A4323" s="39">
        <v>4313</v>
      </c>
      <c r="B4323" s="40" t="s">
        <v>20705</v>
      </c>
      <c r="C4323" s="40" t="s">
        <v>20706</v>
      </c>
      <c r="D4323" s="40" t="s">
        <v>20707</v>
      </c>
      <c r="E4323" s="41">
        <v>5.17</v>
      </c>
      <c r="F4323" s="40"/>
      <c r="G4323" s="41"/>
      <c r="H4323" s="40"/>
      <c r="I4323" s="41"/>
      <c r="J4323" s="41">
        <f t="shared" si="16"/>
        <v>5.17</v>
      </c>
      <c r="K4323" s="42" t="s">
        <v>5796</v>
      </c>
      <c r="L4323" s="39">
        <v>4313</v>
      </c>
    </row>
    <row r="4324" spans="1:12" ht="11.25" customHeight="1">
      <c r="A4324" s="39">
        <v>4314</v>
      </c>
      <c r="B4324" s="40" t="s">
        <v>20708</v>
      </c>
      <c r="C4324" s="40" t="s">
        <v>20709</v>
      </c>
      <c r="D4324" s="40" t="s">
        <v>20710</v>
      </c>
      <c r="E4324" s="41">
        <v>5.17</v>
      </c>
      <c r="F4324" s="40"/>
      <c r="G4324" s="41"/>
      <c r="H4324" s="40"/>
      <c r="I4324" s="41"/>
      <c r="J4324" s="41">
        <f t="shared" si="16"/>
        <v>5.17</v>
      </c>
      <c r="K4324" s="42" t="s">
        <v>5796</v>
      </c>
      <c r="L4324" s="39">
        <v>4314</v>
      </c>
    </row>
    <row r="4325" spans="1:12" ht="11.25" customHeight="1">
      <c r="A4325" s="39">
        <v>4315</v>
      </c>
      <c r="B4325" s="40" t="s">
        <v>20711</v>
      </c>
      <c r="C4325" s="40" t="s">
        <v>20712</v>
      </c>
      <c r="D4325" s="40" t="s">
        <v>20713</v>
      </c>
      <c r="E4325" s="41">
        <v>5.16</v>
      </c>
      <c r="F4325" s="40"/>
      <c r="G4325" s="41"/>
      <c r="H4325" s="40"/>
      <c r="I4325" s="41"/>
      <c r="J4325" s="41">
        <f t="shared" si="16"/>
        <v>5.16</v>
      </c>
      <c r="K4325" s="42" t="s">
        <v>5796</v>
      </c>
      <c r="L4325" s="39">
        <v>4315</v>
      </c>
    </row>
    <row r="4326" spans="1:12" ht="11.25" customHeight="1">
      <c r="A4326" s="39">
        <v>4316</v>
      </c>
      <c r="B4326" s="40" t="s">
        <v>20714</v>
      </c>
      <c r="C4326" s="40" t="s">
        <v>20715</v>
      </c>
      <c r="D4326" s="40" t="s">
        <v>20716</v>
      </c>
      <c r="E4326" s="41">
        <v>5.15</v>
      </c>
      <c r="F4326" s="40"/>
      <c r="G4326" s="41"/>
      <c r="H4326" s="40"/>
      <c r="I4326" s="41"/>
      <c r="J4326" s="41">
        <f t="shared" si="16"/>
        <v>5.15</v>
      </c>
      <c r="K4326" s="42" t="s">
        <v>5796</v>
      </c>
      <c r="L4326" s="39">
        <v>4316</v>
      </c>
    </row>
    <row r="4327" spans="1:12" ht="11.25" customHeight="1">
      <c r="A4327" s="39">
        <v>4317</v>
      </c>
      <c r="B4327" s="40" t="s">
        <v>20717</v>
      </c>
      <c r="C4327" s="40" t="s">
        <v>20718</v>
      </c>
      <c r="D4327" s="40" t="s">
        <v>20719</v>
      </c>
      <c r="E4327" s="41">
        <v>5.14</v>
      </c>
      <c r="F4327" s="40"/>
      <c r="G4327" s="41"/>
      <c r="H4327" s="40"/>
      <c r="I4327" s="41"/>
      <c r="J4327" s="41">
        <f t="shared" si="16"/>
        <v>5.14</v>
      </c>
      <c r="K4327" s="42" t="s">
        <v>5796</v>
      </c>
      <c r="L4327" s="39">
        <v>4317</v>
      </c>
    </row>
    <row r="4328" spans="1:12" ht="11.25" customHeight="1">
      <c r="A4328" s="39">
        <v>4318</v>
      </c>
      <c r="B4328" s="40" t="s">
        <v>20720</v>
      </c>
      <c r="C4328" s="40" t="s">
        <v>20721</v>
      </c>
      <c r="D4328" s="40" t="s">
        <v>20722</v>
      </c>
      <c r="E4328" s="41">
        <v>5.12</v>
      </c>
      <c r="F4328" s="40"/>
      <c r="G4328" s="41"/>
      <c r="H4328" s="40"/>
      <c r="I4328" s="41"/>
      <c r="J4328" s="41">
        <f t="shared" si="16"/>
        <v>5.12</v>
      </c>
      <c r="K4328" s="42" t="s">
        <v>5796</v>
      </c>
      <c r="L4328" s="39">
        <v>4318</v>
      </c>
    </row>
    <row r="4329" spans="1:12" ht="11.25" customHeight="1">
      <c r="A4329" s="39">
        <v>4319</v>
      </c>
      <c r="B4329" s="40" t="s">
        <v>20723</v>
      </c>
      <c r="C4329" s="40" t="s">
        <v>20724</v>
      </c>
      <c r="D4329" s="40" t="s">
        <v>20725</v>
      </c>
      <c r="E4329" s="41">
        <v>5.12</v>
      </c>
      <c r="F4329" s="40"/>
      <c r="G4329" s="41"/>
      <c r="H4329" s="40"/>
      <c r="I4329" s="41"/>
      <c r="J4329" s="41">
        <f t="shared" si="16"/>
        <v>5.12</v>
      </c>
      <c r="K4329" s="42" t="s">
        <v>5796</v>
      </c>
      <c r="L4329" s="39">
        <v>4319</v>
      </c>
    </row>
    <row r="4330" spans="1:12" ht="11.25" customHeight="1">
      <c r="A4330" s="39">
        <v>4320</v>
      </c>
      <c r="B4330" s="40" t="s">
        <v>9421</v>
      </c>
      <c r="C4330" s="40" t="s">
        <v>20726</v>
      </c>
      <c r="D4330" s="40" t="s">
        <v>20727</v>
      </c>
      <c r="E4330" s="41">
        <v>5.12</v>
      </c>
      <c r="F4330" s="40"/>
      <c r="G4330" s="41"/>
      <c r="H4330" s="40"/>
      <c r="I4330" s="41"/>
      <c r="J4330" s="41">
        <f t="shared" si="16"/>
        <v>5.12</v>
      </c>
      <c r="K4330" s="42" t="s">
        <v>5796</v>
      </c>
      <c r="L4330" s="39">
        <v>4320</v>
      </c>
    </row>
    <row r="4331" spans="1:12" ht="11.25" customHeight="1">
      <c r="A4331" s="39">
        <v>4321</v>
      </c>
      <c r="B4331" s="40" t="s">
        <v>20728</v>
      </c>
      <c r="C4331" s="40" t="s">
        <v>20729</v>
      </c>
      <c r="D4331" s="40" t="s">
        <v>20730</v>
      </c>
      <c r="E4331" s="41">
        <v>5.12</v>
      </c>
      <c r="F4331" s="40"/>
      <c r="G4331" s="41"/>
      <c r="H4331" s="40"/>
      <c r="I4331" s="41"/>
      <c r="J4331" s="41">
        <f t="shared" si="16"/>
        <v>5.12</v>
      </c>
      <c r="K4331" s="42" t="s">
        <v>5796</v>
      </c>
      <c r="L4331" s="39">
        <v>4321</v>
      </c>
    </row>
    <row r="4332" spans="1:12" ht="11.25" customHeight="1">
      <c r="A4332" s="39">
        <v>4322</v>
      </c>
      <c r="B4332" s="40" t="s">
        <v>20731</v>
      </c>
      <c r="C4332" s="40" t="s">
        <v>20732</v>
      </c>
      <c r="D4332" s="40" t="s">
        <v>20733</v>
      </c>
      <c r="E4332" s="41">
        <v>5.0999999999999996</v>
      </c>
      <c r="F4332" s="40"/>
      <c r="G4332" s="41"/>
      <c r="H4332" s="40"/>
      <c r="I4332" s="41"/>
      <c r="J4332" s="41">
        <f t="shared" si="16"/>
        <v>5.0999999999999996</v>
      </c>
      <c r="K4332" s="42" t="s">
        <v>5796</v>
      </c>
      <c r="L4332" s="39">
        <v>4322</v>
      </c>
    </row>
    <row r="4333" spans="1:12" ht="11.25" customHeight="1">
      <c r="A4333" s="39">
        <v>4323</v>
      </c>
      <c r="B4333" s="40" t="s">
        <v>20734</v>
      </c>
      <c r="C4333" s="40" t="s">
        <v>20735</v>
      </c>
      <c r="D4333" s="40" t="s">
        <v>20736</v>
      </c>
      <c r="E4333" s="41">
        <v>5.08</v>
      </c>
      <c r="F4333" s="40"/>
      <c r="G4333" s="41"/>
      <c r="H4333" s="40"/>
      <c r="I4333" s="41"/>
      <c r="J4333" s="41">
        <f t="shared" si="16"/>
        <v>5.08</v>
      </c>
      <c r="K4333" s="42" t="s">
        <v>5796</v>
      </c>
      <c r="L4333" s="39">
        <v>4323</v>
      </c>
    </row>
    <row r="4334" spans="1:12" ht="11.25" customHeight="1">
      <c r="A4334" s="39">
        <v>4324</v>
      </c>
      <c r="B4334" s="40" t="s">
        <v>20737</v>
      </c>
      <c r="C4334" s="40" t="s">
        <v>20738</v>
      </c>
      <c r="D4334" s="40" t="s">
        <v>20739</v>
      </c>
      <c r="E4334" s="41">
        <v>5.05</v>
      </c>
      <c r="F4334" s="40"/>
      <c r="G4334" s="41"/>
      <c r="H4334" s="40"/>
      <c r="I4334" s="41"/>
      <c r="J4334" s="41">
        <f t="shared" si="16"/>
        <v>5.05</v>
      </c>
      <c r="K4334" s="42" t="s">
        <v>5796</v>
      </c>
      <c r="L4334" s="39">
        <v>4324</v>
      </c>
    </row>
    <row r="4335" spans="1:12" ht="11.25" customHeight="1">
      <c r="A4335" s="39">
        <v>4325</v>
      </c>
      <c r="B4335" s="40" t="s">
        <v>20740</v>
      </c>
      <c r="C4335" s="40" t="s">
        <v>20741</v>
      </c>
      <c r="D4335" s="40" t="s">
        <v>20742</v>
      </c>
      <c r="E4335" s="41">
        <v>5.05</v>
      </c>
      <c r="F4335" s="40"/>
      <c r="G4335" s="41"/>
      <c r="H4335" s="40"/>
      <c r="I4335" s="41"/>
      <c r="J4335" s="41">
        <f t="shared" si="16"/>
        <v>5.05</v>
      </c>
      <c r="K4335" s="42" t="s">
        <v>5796</v>
      </c>
      <c r="L4335" s="39">
        <v>4325</v>
      </c>
    </row>
    <row r="4336" spans="1:12" ht="11.25" customHeight="1">
      <c r="A4336" s="39">
        <v>4326</v>
      </c>
      <c r="B4336" s="54" t="s">
        <v>10244</v>
      </c>
      <c r="C4336" s="54" t="s">
        <v>20743</v>
      </c>
      <c r="D4336" s="40"/>
      <c r="E4336" s="41"/>
      <c r="F4336" s="40"/>
      <c r="G4336" s="41"/>
      <c r="H4336" s="54" t="s">
        <v>20744</v>
      </c>
      <c r="I4336" s="41">
        <v>5.05</v>
      </c>
      <c r="J4336" s="41">
        <f t="shared" si="16"/>
        <v>5.05</v>
      </c>
      <c r="K4336" s="42" t="s">
        <v>5796</v>
      </c>
      <c r="L4336" s="39">
        <v>4326</v>
      </c>
    </row>
    <row r="4337" spans="1:12" ht="11.25" customHeight="1">
      <c r="A4337" s="39">
        <v>4327</v>
      </c>
      <c r="B4337" s="40" t="s">
        <v>20745</v>
      </c>
      <c r="C4337" s="40" t="s">
        <v>20746</v>
      </c>
      <c r="D4337" s="40" t="s">
        <v>20747</v>
      </c>
      <c r="E4337" s="41">
        <v>5.0199999999999996</v>
      </c>
      <c r="F4337" s="40"/>
      <c r="G4337" s="41"/>
      <c r="H4337" s="40"/>
      <c r="I4337" s="41"/>
      <c r="J4337" s="41">
        <f t="shared" si="16"/>
        <v>5.0199999999999996</v>
      </c>
      <c r="K4337" s="42" t="s">
        <v>5796</v>
      </c>
      <c r="L4337" s="39">
        <v>4327</v>
      </c>
    </row>
    <row r="4338" spans="1:12" ht="11.25" customHeight="1">
      <c r="A4338" s="39">
        <v>4328</v>
      </c>
      <c r="B4338" s="40" t="s">
        <v>20748</v>
      </c>
      <c r="C4338" s="40" t="s">
        <v>20749</v>
      </c>
      <c r="D4338" s="40" t="s">
        <v>20750</v>
      </c>
      <c r="E4338" s="41">
        <v>5</v>
      </c>
      <c r="F4338" s="40"/>
      <c r="G4338" s="41"/>
      <c r="H4338" s="40"/>
      <c r="I4338" s="41"/>
      <c r="J4338" s="41">
        <f t="shared" ref="J4338:J4592" si="17">AVERAGE(E4338,G4338,I4338)</f>
        <v>5</v>
      </c>
      <c r="K4338" s="42" t="s">
        <v>5796</v>
      </c>
      <c r="L4338" s="39">
        <v>4328</v>
      </c>
    </row>
    <row r="4339" spans="1:12" ht="11.25" customHeight="1">
      <c r="A4339" s="39">
        <v>4329</v>
      </c>
      <c r="B4339" s="40" t="s">
        <v>9832</v>
      </c>
      <c r="C4339" s="40" t="s">
        <v>20751</v>
      </c>
      <c r="D4339" s="40" t="s">
        <v>20752</v>
      </c>
      <c r="E4339" s="41">
        <v>5</v>
      </c>
      <c r="F4339" s="40"/>
      <c r="G4339" s="41"/>
      <c r="H4339" s="40"/>
      <c r="I4339" s="41"/>
      <c r="J4339" s="41">
        <f t="shared" si="17"/>
        <v>5</v>
      </c>
      <c r="K4339" s="42" t="s">
        <v>5796</v>
      </c>
      <c r="L4339" s="39">
        <v>4329</v>
      </c>
    </row>
    <row r="4340" spans="1:12" ht="11.25" customHeight="1">
      <c r="A4340" s="39">
        <v>4330</v>
      </c>
      <c r="B4340" s="40" t="s">
        <v>20753</v>
      </c>
      <c r="C4340" s="40" t="s">
        <v>20754</v>
      </c>
      <c r="D4340" s="40" t="s">
        <v>20755</v>
      </c>
      <c r="E4340" s="41">
        <v>5</v>
      </c>
      <c r="F4340" s="40"/>
      <c r="G4340" s="41"/>
      <c r="H4340" s="40"/>
      <c r="I4340" s="41"/>
      <c r="J4340" s="41">
        <f t="shared" si="17"/>
        <v>5</v>
      </c>
      <c r="K4340" s="42" t="s">
        <v>5796</v>
      </c>
      <c r="L4340" s="39">
        <v>4330</v>
      </c>
    </row>
    <row r="4341" spans="1:12" ht="11.25" customHeight="1">
      <c r="A4341" s="39">
        <v>4331</v>
      </c>
      <c r="B4341" s="52" t="s">
        <v>9433</v>
      </c>
      <c r="C4341" s="52" t="s">
        <v>20756</v>
      </c>
      <c r="D4341" s="40"/>
      <c r="E4341" s="41"/>
      <c r="F4341" s="40"/>
      <c r="G4341" s="41"/>
      <c r="H4341" s="52" t="s">
        <v>20757</v>
      </c>
      <c r="I4341" s="53">
        <v>5</v>
      </c>
      <c r="J4341" s="41">
        <f t="shared" si="17"/>
        <v>5</v>
      </c>
      <c r="K4341" s="42" t="s">
        <v>5796</v>
      </c>
      <c r="L4341" s="39">
        <v>4331</v>
      </c>
    </row>
    <row r="4342" spans="1:12" ht="11.25" customHeight="1">
      <c r="A4342" s="39">
        <v>4332</v>
      </c>
      <c r="B4342" s="40" t="s">
        <v>20758</v>
      </c>
      <c r="C4342" s="40" t="s">
        <v>20759</v>
      </c>
      <c r="D4342" s="40" t="s">
        <v>20760</v>
      </c>
      <c r="E4342" s="41">
        <v>4.99</v>
      </c>
      <c r="F4342" s="40"/>
      <c r="G4342" s="41"/>
      <c r="H4342" s="40"/>
      <c r="I4342" s="41"/>
      <c r="J4342" s="41">
        <f t="shared" si="17"/>
        <v>4.99</v>
      </c>
      <c r="K4342" s="42" t="s">
        <v>5796</v>
      </c>
      <c r="L4342" s="39">
        <v>4332</v>
      </c>
    </row>
    <row r="4343" spans="1:12" ht="11.25" customHeight="1">
      <c r="A4343" s="39">
        <v>4333</v>
      </c>
      <c r="B4343" s="52" t="s">
        <v>9441</v>
      </c>
      <c r="C4343" s="52" t="s">
        <v>20761</v>
      </c>
      <c r="D4343" s="40"/>
      <c r="E4343" s="41"/>
      <c r="F4343" s="40"/>
      <c r="G4343" s="41"/>
      <c r="H4343" s="52" t="s">
        <v>20762</v>
      </c>
      <c r="I4343" s="53">
        <v>4.9789000000000065</v>
      </c>
      <c r="J4343" s="41">
        <f t="shared" si="17"/>
        <v>4.9789000000000065</v>
      </c>
      <c r="K4343" s="42" t="s">
        <v>5796</v>
      </c>
      <c r="L4343" s="39">
        <v>4333</v>
      </c>
    </row>
    <row r="4344" spans="1:12" ht="11.25" customHeight="1">
      <c r="A4344" s="39">
        <v>4334</v>
      </c>
      <c r="B4344" s="40" t="s">
        <v>20763</v>
      </c>
      <c r="C4344" s="40" t="s">
        <v>20764</v>
      </c>
      <c r="D4344" s="40" t="s">
        <v>20765</v>
      </c>
      <c r="E4344" s="41">
        <v>4.96</v>
      </c>
      <c r="F4344" s="40"/>
      <c r="G4344" s="41"/>
      <c r="H4344" s="40"/>
      <c r="I4344" s="41"/>
      <c r="J4344" s="41">
        <f t="shared" si="17"/>
        <v>4.96</v>
      </c>
      <c r="K4344" s="42" t="s">
        <v>5796</v>
      </c>
      <c r="L4344" s="39">
        <v>4334</v>
      </c>
    </row>
    <row r="4345" spans="1:12" ht="11.25" customHeight="1">
      <c r="A4345" s="39">
        <v>4335</v>
      </c>
      <c r="B4345" s="40" t="s">
        <v>20766</v>
      </c>
      <c r="C4345" s="40" t="s">
        <v>20767</v>
      </c>
      <c r="D4345" s="40" t="s">
        <v>20768</v>
      </c>
      <c r="E4345" s="41">
        <v>4.9400000000000004</v>
      </c>
      <c r="F4345" s="40"/>
      <c r="G4345" s="41"/>
      <c r="H4345" s="40"/>
      <c r="I4345" s="41"/>
      <c r="J4345" s="41">
        <f t="shared" si="17"/>
        <v>4.9400000000000004</v>
      </c>
      <c r="K4345" s="42" t="s">
        <v>5796</v>
      </c>
      <c r="L4345" s="39">
        <v>4335</v>
      </c>
    </row>
    <row r="4346" spans="1:12" ht="11.25" customHeight="1">
      <c r="A4346" s="39">
        <v>4336</v>
      </c>
      <c r="B4346" s="40" t="s">
        <v>20769</v>
      </c>
      <c r="C4346" s="40" t="s">
        <v>20770</v>
      </c>
      <c r="D4346" s="40" t="s">
        <v>20771</v>
      </c>
      <c r="E4346" s="41">
        <v>4.93</v>
      </c>
      <c r="F4346" s="40"/>
      <c r="G4346" s="41"/>
      <c r="H4346" s="40"/>
      <c r="I4346" s="41"/>
      <c r="J4346" s="41">
        <f t="shared" si="17"/>
        <v>4.93</v>
      </c>
      <c r="K4346" s="42" t="s">
        <v>5796</v>
      </c>
      <c r="L4346" s="39">
        <v>4336</v>
      </c>
    </row>
    <row r="4347" spans="1:12" ht="11.25" customHeight="1">
      <c r="A4347" s="39">
        <v>4337</v>
      </c>
      <c r="B4347" s="40" t="s">
        <v>20772</v>
      </c>
      <c r="C4347" s="40" t="s">
        <v>20773</v>
      </c>
      <c r="D4347" s="40" t="s">
        <v>20774</v>
      </c>
      <c r="E4347" s="41">
        <v>4.93</v>
      </c>
      <c r="F4347" s="40"/>
      <c r="G4347" s="41"/>
      <c r="H4347" s="40"/>
      <c r="I4347" s="41"/>
      <c r="J4347" s="41">
        <f t="shared" si="17"/>
        <v>4.93</v>
      </c>
      <c r="K4347" s="42" t="s">
        <v>5796</v>
      </c>
      <c r="L4347" s="39">
        <v>4337</v>
      </c>
    </row>
    <row r="4348" spans="1:12" ht="11.25" customHeight="1">
      <c r="A4348" s="39">
        <v>4338</v>
      </c>
      <c r="B4348" s="52" t="s">
        <v>9449</v>
      </c>
      <c r="C4348" s="52" t="s">
        <v>20775</v>
      </c>
      <c r="D4348" s="40"/>
      <c r="E4348" s="41"/>
      <c r="F4348" s="40"/>
      <c r="G4348" s="41"/>
      <c r="H4348" s="52" t="s">
        <v>20776</v>
      </c>
      <c r="I4348" s="53">
        <v>4.929226250000009</v>
      </c>
      <c r="J4348" s="41">
        <f t="shared" si="17"/>
        <v>4.929226250000009</v>
      </c>
      <c r="K4348" s="42" t="s">
        <v>5796</v>
      </c>
      <c r="L4348" s="39">
        <v>4338</v>
      </c>
    </row>
    <row r="4349" spans="1:12" ht="11.25" customHeight="1">
      <c r="A4349" s="39">
        <v>4339</v>
      </c>
      <c r="B4349" s="40" t="s">
        <v>20777</v>
      </c>
      <c r="C4349" s="40" t="s">
        <v>20778</v>
      </c>
      <c r="D4349" s="40" t="s">
        <v>20779</v>
      </c>
      <c r="E4349" s="41">
        <v>4.92</v>
      </c>
      <c r="F4349" s="40"/>
      <c r="G4349" s="41"/>
      <c r="H4349" s="40"/>
      <c r="I4349" s="41"/>
      <c r="J4349" s="41">
        <f t="shared" si="17"/>
        <v>4.92</v>
      </c>
      <c r="K4349" s="42" t="s">
        <v>5796</v>
      </c>
      <c r="L4349" s="39">
        <v>4339</v>
      </c>
    </row>
    <row r="4350" spans="1:12" ht="11.25" customHeight="1">
      <c r="A4350" s="39">
        <v>4340</v>
      </c>
      <c r="B4350" s="40" t="s">
        <v>20780</v>
      </c>
      <c r="C4350" s="40" t="s">
        <v>20781</v>
      </c>
      <c r="D4350" s="40" t="s">
        <v>20782</v>
      </c>
      <c r="E4350" s="41">
        <v>4.8899999999999997</v>
      </c>
      <c r="F4350" s="40"/>
      <c r="G4350" s="41"/>
      <c r="H4350" s="40"/>
      <c r="I4350" s="41"/>
      <c r="J4350" s="41">
        <f t="shared" si="17"/>
        <v>4.8899999999999997</v>
      </c>
      <c r="K4350" s="42" t="s">
        <v>5796</v>
      </c>
      <c r="L4350" s="39">
        <v>4340</v>
      </c>
    </row>
    <row r="4351" spans="1:12" ht="11.25" customHeight="1">
      <c r="A4351" s="39">
        <v>4341</v>
      </c>
      <c r="B4351" s="40" t="s">
        <v>20783</v>
      </c>
      <c r="C4351" s="40" t="s">
        <v>20784</v>
      </c>
      <c r="D4351" s="40" t="s">
        <v>20785</v>
      </c>
      <c r="E4351" s="41">
        <v>4.8899999999999997</v>
      </c>
      <c r="F4351" s="40"/>
      <c r="G4351" s="41"/>
      <c r="H4351" s="40"/>
      <c r="I4351" s="41"/>
      <c r="J4351" s="41">
        <f t="shared" si="17"/>
        <v>4.8899999999999997</v>
      </c>
      <c r="K4351" s="42" t="s">
        <v>5796</v>
      </c>
      <c r="L4351" s="39">
        <v>4341</v>
      </c>
    </row>
    <row r="4352" spans="1:12" ht="11.25" customHeight="1">
      <c r="A4352" s="39">
        <v>4342</v>
      </c>
      <c r="B4352" s="52" t="s">
        <v>9453</v>
      </c>
      <c r="C4352" s="52" t="s">
        <v>20786</v>
      </c>
      <c r="D4352" s="40"/>
      <c r="E4352" s="41"/>
      <c r="F4352" s="40"/>
      <c r="G4352" s="41"/>
      <c r="H4352" s="52" t="s">
        <v>20787</v>
      </c>
      <c r="I4352" s="53">
        <v>4.8877499999999916</v>
      </c>
      <c r="J4352" s="41">
        <f t="shared" si="17"/>
        <v>4.8877499999999916</v>
      </c>
      <c r="K4352" s="42" t="s">
        <v>5796</v>
      </c>
      <c r="L4352" s="39">
        <v>4342</v>
      </c>
    </row>
    <row r="4353" spans="1:12" ht="11.25" customHeight="1">
      <c r="A4353" s="39">
        <v>4343</v>
      </c>
      <c r="B4353" s="40" t="s">
        <v>20788</v>
      </c>
      <c r="C4353" s="40" t="s">
        <v>20789</v>
      </c>
      <c r="D4353" s="40" t="s">
        <v>20790</v>
      </c>
      <c r="E4353" s="41">
        <v>4.88</v>
      </c>
      <c r="F4353" s="40"/>
      <c r="G4353" s="41"/>
      <c r="H4353" s="40"/>
      <c r="I4353" s="41"/>
      <c r="J4353" s="41">
        <f t="shared" si="17"/>
        <v>4.88</v>
      </c>
      <c r="K4353" s="42" t="s">
        <v>5796</v>
      </c>
      <c r="L4353" s="39">
        <v>4343</v>
      </c>
    </row>
    <row r="4354" spans="1:12" ht="11.25" customHeight="1">
      <c r="A4354" s="39">
        <v>4344</v>
      </c>
      <c r="B4354" s="52" t="s">
        <v>9454</v>
      </c>
      <c r="C4354" s="52" t="s">
        <v>20791</v>
      </c>
      <c r="D4354" s="40"/>
      <c r="E4354" s="41"/>
      <c r="F4354" s="40"/>
      <c r="G4354" s="41"/>
      <c r="H4354" s="52" t="s">
        <v>20792</v>
      </c>
      <c r="I4354" s="53">
        <v>4.8727489999999998</v>
      </c>
      <c r="J4354" s="41">
        <f t="shared" si="17"/>
        <v>4.8727489999999998</v>
      </c>
      <c r="K4354" s="42" t="s">
        <v>5796</v>
      </c>
      <c r="L4354" s="39">
        <v>4344</v>
      </c>
    </row>
    <row r="4355" spans="1:12" ht="11.25" customHeight="1">
      <c r="A4355" s="39">
        <v>4345</v>
      </c>
      <c r="B4355" s="40" t="s">
        <v>20793</v>
      </c>
      <c r="C4355" s="40" t="s">
        <v>20794</v>
      </c>
      <c r="D4355" s="40" t="s">
        <v>20795</v>
      </c>
      <c r="E4355" s="41">
        <v>4.87</v>
      </c>
      <c r="F4355" s="40"/>
      <c r="G4355" s="41"/>
      <c r="H4355" s="40"/>
      <c r="I4355" s="41"/>
      <c r="J4355" s="41">
        <f t="shared" si="17"/>
        <v>4.87</v>
      </c>
      <c r="K4355" s="42" t="s">
        <v>5796</v>
      </c>
      <c r="L4355" s="39">
        <v>4345</v>
      </c>
    </row>
    <row r="4356" spans="1:12" ht="11.25" customHeight="1">
      <c r="A4356" s="39">
        <v>4346</v>
      </c>
      <c r="B4356" s="40" t="s">
        <v>9792</v>
      </c>
      <c r="C4356" s="40" t="s">
        <v>20796</v>
      </c>
      <c r="D4356" s="40" t="s">
        <v>20797</v>
      </c>
      <c r="E4356" s="41">
        <v>4.87</v>
      </c>
      <c r="F4356" s="40"/>
      <c r="G4356" s="41"/>
      <c r="H4356" s="40"/>
      <c r="I4356" s="41"/>
      <c r="J4356" s="41">
        <f t="shared" si="17"/>
        <v>4.87</v>
      </c>
      <c r="K4356" s="42" t="s">
        <v>5796</v>
      </c>
      <c r="L4356" s="39">
        <v>4346</v>
      </c>
    </row>
    <row r="4357" spans="1:12" ht="11.25" customHeight="1">
      <c r="A4357" s="39">
        <v>4347</v>
      </c>
      <c r="B4357" s="40" t="s">
        <v>20798</v>
      </c>
      <c r="C4357" s="40" t="s">
        <v>20799</v>
      </c>
      <c r="D4357" s="40" t="s">
        <v>20800</v>
      </c>
      <c r="E4357" s="41">
        <v>4.87</v>
      </c>
      <c r="F4357" s="40"/>
      <c r="G4357" s="41"/>
      <c r="H4357" s="40"/>
      <c r="I4357" s="41"/>
      <c r="J4357" s="41">
        <f t="shared" si="17"/>
        <v>4.87</v>
      </c>
      <c r="K4357" s="42" t="s">
        <v>5796</v>
      </c>
      <c r="L4357" s="39">
        <v>4347</v>
      </c>
    </row>
    <row r="4358" spans="1:12" ht="11.25" customHeight="1">
      <c r="A4358" s="39">
        <v>4348</v>
      </c>
      <c r="B4358" s="40" t="s">
        <v>9458</v>
      </c>
      <c r="C4358" s="40" t="s">
        <v>20801</v>
      </c>
      <c r="D4358" s="40" t="s">
        <v>20802</v>
      </c>
      <c r="E4358" s="41">
        <v>4.8499999999999996</v>
      </c>
      <c r="F4358" s="40"/>
      <c r="G4358" s="41"/>
      <c r="H4358" s="40"/>
      <c r="I4358" s="41"/>
      <c r="J4358" s="41">
        <f t="shared" si="17"/>
        <v>4.8499999999999996</v>
      </c>
      <c r="K4358" s="42" t="s">
        <v>5796</v>
      </c>
      <c r="L4358" s="39">
        <v>4348</v>
      </c>
    </row>
    <row r="4359" spans="1:12" ht="11.25" customHeight="1">
      <c r="A4359" s="39">
        <v>4349</v>
      </c>
      <c r="B4359" s="40" t="s">
        <v>20803</v>
      </c>
      <c r="C4359" s="40" t="s">
        <v>20804</v>
      </c>
      <c r="D4359" s="40" t="s">
        <v>20805</v>
      </c>
      <c r="E4359" s="41">
        <v>4.84</v>
      </c>
      <c r="F4359" s="40"/>
      <c r="G4359" s="41"/>
      <c r="H4359" s="40"/>
      <c r="I4359" s="41"/>
      <c r="J4359" s="41">
        <f t="shared" si="17"/>
        <v>4.84</v>
      </c>
      <c r="K4359" s="42" t="s">
        <v>5796</v>
      </c>
      <c r="L4359" s="39">
        <v>4349</v>
      </c>
    </row>
    <row r="4360" spans="1:12" ht="11.25" customHeight="1">
      <c r="A4360" s="39">
        <v>4350</v>
      </c>
      <c r="B4360" s="40" t="s">
        <v>20806</v>
      </c>
      <c r="C4360" s="40" t="s">
        <v>20807</v>
      </c>
      <c r="D4360" s="40" t="s">
        <v>20808</v>
      </c>
      <c r="E4360" s="41">
        <v>4.82</v>
      </c>
      <c r="F4360" s="40"/>
      <c r="G4360" s="41"/>
      <c r="H4360" s="40"/>
      <c r="I4360" s="41"/>
      <c r="J4360" s="41">
        <f t="shared" si="17"/>
        <v>4.82</v>
      </c>
      <c r="K4360" s="42" t="s">
        <v>5796</v>
      </c>
      <c r="L4360" s="39">
        <v>4350</v>
      </c>
    </row>
    <row r="4361" spans="1:12" ht="11.25" customHeight="1">
      <c r="A4361" s="39">
        <v>4351</v>
      </c>
      <c r="B4361" s="40" t="s">
        <v>9438</v>
      </c>
      <c r="C4361" s="40" t="s">
        <v>20809</v>
      </c>
      <c r="D4361" s="40" t="s">
        <v>20810</v>
      </c>
      <c r="E4361" s="41">
        <v>4.82</v>
      </c>
      <c r="F4361" s="40"/>
      <c r="G4361" s="41"/>
      <c r="H4361" s="40"/>
      <c r="I4361" s="41"/>
      <c r="J4361" s="41">
        <f t="shared" si="17"/>
        <v>4.82</v>
      </c>
      <c r="K4361" s="42" t="s">
        <v>5796</v>
      </c>
      <c r="L4361" s="39">
        <v>4351</v>
      </c>
    </row>
    <row r="4362" spans="1:12" ht="11.25" customHeight="1">
      <c r="A4362" s="39">
        <v>4352</v>
      </c>
      <c r="B4362" s="40" t="s">
        <v>9407</v>
      </c>
      <c r="C4362" s="40" t="s">
        <v>20811</v>
      </c>
      <c r="D4362" s="40" t="s">
        <v>20812</v>
      </c>
      <c r="E4362" s="41">
        <v>4.82</v>
      </c>
      <c r="F4362" s="40"/>
      <c r="G4362" s="41"/>
      <c r="H4362" s="40"/>
      <c r="I4362" s="41"/>
      <c r="J4362" s="41">
        <f t="shared" si="17"/>
        <v>4.82</v>
      </c>
      <c r="K4362" s="42" t="s">
        <v>5796</v>
      </c>
      <c r="L4362" s="39">
        <v>4352</v>
      </c>
    </row>
    <row r="4363" spans="1:12" ht="11.25" customHeight="1">
      <c r="A4363" s="39">
        <v>4353</v>
      </c>
      <c r="B4363" s="40" t="s">
        <v>20813</v>
      </c>
      <c r="C4363" s="40" t="s">
        <v>20814</v>
      </c>
      <c r="D4363" s="40" t="s">
        <v>20815</v>
      </c>
      <c r="E4363" s="41">
        <v>4.82</v>
      </c>
      <c r="F4363" s="40"/>
      <c r="G4363" s="41"/>
      <c r="H4363" s="40"/>
      <c r="I4363" s="41"/>
      <c r="J4363" s="41">
        <f t="shared" si="17"/>
        <v>4.82</v>
      </c>
      <c r="K4363" s="42" t="s">
        <v>5796</v>
      </c>
      <c r="L4363" s="39">
        <v>4353</v>
      </c>
    </row>
    <row r="4364" spans="1:12" ht="11.25" customHeight="1">
      <c r="A4364" s="39">
        <v>4354</v>
      </c>
      <c r="B4364" s="40" t="s">
        <v>20816</v>
      </c>
      <c r="C4364" s="40" t="s">
        <v>20817</v>
      </c>
      <c r="D4364" s="40" t="s">
        <v>20818</v>
      </c>
      <c r="E4364" s="41">
        <v>4.8</v>
      </c>
      <c r="F4364" s="40"/>
      <c r="G4364" s="41"/>
      <c r="H4364" s="40"/>
      <c r="I4364" s="41"/>
      <c r="J4364" s="41">
        <f t="shared" si="17"/>
        <v>4.8</v>
      </c>
      <c r="K4364" s="42" t="s">
        <v>5796</v>
      </c>
      <c r="L4364" s="39">
        <v>4354</v>
      </c>
    </row>
    <row r="4365" spans="1:12" ht="11.25" customHeight="1">
      <c r="A4365" s="39">
        <v>4355</v>
      </c>
      <c r="B4365" s="40" t="s">
        <v>20819</v>
      </c>
      <c r="C4365" s="40" t="s">
        <v>20820</v>
      </c>
      <c r="D4365" s="40" t="s">
        <v>20821</v>
      </c>
      <c r="E4365" s="41">
        <v>4.79</v>
      </c>
      <c r="F4365" s="40"/>
      <c r="G4365" s="41"/>
      <c r="H4365" s="40"/>
      <c r="I4365" s="41"/>
      <c r="J4365" s="41">
        <f t="shared" si="17"/>
        <v>4.79</v>
      </c>
      <c r="K4365" s="42" t="s">
        <v>5796</v>
      </c>
      <c r="L4365" s="39">
        <v>4355</v>
      </c>
    </row>
    <row r="4366" spans="1:12" ht="11.25" customHeight="1">
      <c r="A4366" s="39">
        <v>4356</v>
      </c>
      <c r="B4366" s="40" t="s">
        <v>20822</v>
      </c>
      <c r="C4366" s="40" t="s">
        <v>20823</v>
      </c>
      <c r="D4366" s="40" t="s">
        <v>20824</v>
      </c>
      <c r="E4366" s="41">
        <v>4.76</v>
      </c>
      <c r="F4366" s="40"/>
      <c r="G4366" s="41"/>
      <c r="H4366" s="40"/>
      <c r="I4366" s="41"/>
      <c r="J4366" s="41">
        <f t="shared" si="17"/>
        <v>4.76</v>
      </c>
      <c r="K4366" s="42" t="s">
        <v>5796</v>
      </c>
      <c r="L4366" s="39">
        <v>4356</v>
      </c>
    </row>
    <row r="4367" spans="1:12" ht="11.25" customHeight="1">
      <c r="A4367" s="39">
        <v>4357</v>
      </c>
      <c r="B4367" s="40" t="s">
        <v>20825</v>
      </c>
      <c r="C4367" s="40" t="s">
        <v>20826</v>
      </c>
      <c r="D4367" s="40" t="s">
        <v>20827</v>
      </c>
      <c r="E4367" s="41">
        <v>4.75</v>
      </c>
      <c r="F4367" s="40"/>
      <c r="G4367" s="41"/>
      <c r="H4367" s="40"/>
      <c r="I4367" s="41"/>
      <c r="J4367" s="41">
        <f t="shared" si="17"/>
        <v>4.75</v>
      </c>
      <c r="K4367" s="42" t="s">
        <v>5796</v>
      </c>
      <c r="L4367" s="39">
        <v>4357</v>
      </c>
    </row>
    <row r="4368" spans="1:12" ht="11.25" customHeight="1">
      <c r="A4368" s="39">
        <v>4358</v>
      </c>
      <c r="B4368" s="40" t="s">
        <v>9472</v>
      </c>
      <c r="C4368" s="40" t="s">
        <v>20828</v>
      </c>
      <c r="D4368" s="40" t="s">
        <v>20829</v>
      </c>
      <c r="E4368" s="41">
        <v>4.75</v>
      </c>
      <c r="F4368" s="40"/>
      <c r="G4368" s="41"/>
      <c r="H4368" s="40"/>
      <c r="I4368" s="41"/>
      <c r="J4368" s="41">
        <f t="shared" si="17"/>
        <v>4.75</v>
      </c>
      <c r="K4368" s="42" t="s">
        <v>5796</v>
      </c>
      <c r="L4368" s="39">
        <v>4358</v>
      </c>
    </row>
    <row r="4369" spans="1:12" ht="11.25" customHeight="1">
      <c r="A4369" s="39">
        <v>4359</v>
      </c>
      <c r="B4369" s="40" t="s">
        <v>20830</v>
      </c>
      <c r="C4369" s="40" t="s">
        <v>20831</v>
      </c>
      <c r="D4369" s="40" t="s">
        <v>20832</v>
      </c>
      <c r="E4369" s="41">
        <v>4.74</v>
      </c>
      <c r="F4369" s="40"/>
      <c r="G4369" s="41"/>
      <c r="H4369" s="40"/>
      <c r="I4369" s="41"/>
      <c r="J4369" s="41">
        <f t="shared" si="17"/>
        <v>4.74</v>
      </c>
      <c r="K4369" s="42" t="s">
        <v>5796</v>
      </c>
      <c r="L4369" s="39">
        <v>4359</v>
      </c>
    </row>
    <row r="4370" spans="1:12" ht="11.25" customHeight="1">
      <c r="A4370" s="39">
        <v>4360</v>
      </c>
      <c r="B4370" s="40" t="s">
        <v>9473</v>
      </c>
      <c r="C4370" s="40" t="s">
        <v>20833</v>
      </c>
      <c r="D4370" s="40" t="s">
        <v>20834</v>
      </c>
      <c r="E4370" s="41">
        <v>4.74</v>
      </c>
      <c r="F4370" s="40"/>
      <c r="G4370" s="41"/>
      <c r="H4370" s="40"/>
      <c r="I4370" s="41"/>
      <c r="J4370" s="41">
        <f t="shared" si="17"/>
        <v>4.74</v>
      </c>
      <c r="K4370" s="42" t="s">
        <v>5796</v>
      </c>
      <c r="L4370" s="39">
        <v>4360</v>
      </c>
    </row>
    <row r="4371" spans="1:12" ht="11.25" customHeight="1">
      <c r="A4371" s="39">
        <v>4361</v>
      </c>
      <c r="B4371" s="40" t="s">
        <v>20835</v>
      </c>
      <c r="C4371" s="40" t="s">
        <v>20836</v>
      </c>
      <c r="D4371" s="40" t="s">
        <v>20837</v>
      </c>
      <c r="E4371" s="41">
        <v>4.72</v>
      </c>
      <c r="F4371" s="40"/>
      <c r="G4371" s="41"/>
      <c r="H4371" s="40"/>
      <c r="I4371" s="41"/>
      <c r="J4371" s="41">
        <f t="shared" si="17"/>
        <v>4.72</v>
      </c>
      <c r="K4371" s="42" t="s">
        <v>5796</v>
      </c>
      <c r="L4371" s="39">
        <v>4361</v>
      </c>
    </row>
    <row r="4372" spans="1:12" ht="11.25" customHeight="1">
      <c r="A4372" s="39">
        <v>4362</v>
      </c>
      <c r="B4372" s="40" t="s">
        <v>20838</v>
      </c>
      <c r="C4372" s="40" t="s">
        <v>20839</v>
      </c>
      <c r="D4372" s="40" t="s">
        <v>20840</v>
      </c>
      <c r="E4372" s="41">
        <v>4.72</v>
      </c>
      <c r="F4372" s="40"/>
      <c r="G4372" s="41"/>
      <c r="H4372" s="40"/>
      <c r="I4372" s="41"/>
      <c r="J4372" s="41">
        <f t="shared" si="17"/>
        <v>4.72</v>
      </c>
      <c r="K4372" s="42" t="s">
        <v>5796</v>
      </c>
      <c r="L4372" s="39">
        <v>4362</v>
      </c>
    </row>
    <row r="4373" spans="1:12" ht="11.25" customHeight="1">
      <c r="A4373" s="39">
        <v>4363</v>
      </c>
      <c r="B4373" s="40" t="s">
        <v>9477</v>
      </c>
      <c r="C4373" s="40" t="s">
        <v>20841</v>
      </c>
      <c r="D4373" s="40" t="s">
        <v>20842</v>
      </c>
      <c r="E4373" s="41">
        <v>4.72</v>
      </c>
      <c r="F4373" s="40"/>
      <c r="G4373" s="41"/>
      <c r="H4373" s="40"/>
      <c r="I4373" s="41"/>
      <c r="J4373" s="41">
        <f t="shared" si="17"/>
        <v>4.72</v>
      </c>
      <c r="K4373" s="42" t="s">
        <v>5796</v>
      </c>
      <c r="L4373" s="39">
        <v>4363</v>
      </c>
    </row>
    <row r="4374" spans="1:12" ht="11.25" customHeight="1">
      <c r="A4374" s="39">
        <v>4364</v>
      </c>
      <c r="B4374" s="40" t="s">
        <v>20843</v>
      </c>
      <c r="C4374" s="40" t="s">
        <v>20844</v>
      </c>
      <c r="D4374" s="40" t="s">
        <v>20845</v>
      </c>
      <c r="E4374" s="41">
        <v>4.71</v>
      </c>
      <c r="F4374" s="40"/>
      <c r="G4374" s="41"/>
      <c r="H4374" s="40"/>
      <c r="I4374" s="41"/>
      <c r="J4374" s="41">
        <f t="shared" si="17"/>
        <v>4.71</v>
      </c>
      <c r="K4374" s="42" t="s">
        <v>5796</v>
      </c>
      <c r="L4374" s="39">
        <v>4364</v>
      </c>
    </row>
    <row r="4375" spans="1:12" ht="11.25" customHeight="1">
      <c r="A4375" s="39">
        <v>4365</v>
      </c>
      <c r="B4375" s="40" t="s">
        <v>20846</v>
      </c>
      <c r="C4375" s="40" t="s">
        <v>20847</v>
      </c>
      <c r="D4375" s="40" t="s">
        <v>20848</v>
      </c>
      <c r="E4375" s="41">
        <v>4.6900000000000004</v>
      </c>
      <c r="F4375" s="40"/>
      <c r="G4375" s="41"/>
      <c r="H4375" s="40"/>
      <c r="I4375" s="41"/>
      <c r="J4375" s="41">
        <f t="shared" si="17"/>
        <v>4.6900000000000004</v>
      </c>
      <c r="K4375" s="42" t="s">
        <v>5796</v>
      </c>
      <c r="L4375" s="39">
        <v>4365</v>
      </c>
    </row>
    <row r="4376" spans="1:12" ht="11.25" customHeight="1">
      <c r="A4376" s="39">
        <v>4366</v>
      </c>
      <c r="B4376" s="40" t="s">
        <v>20849</v>
      </c>
      <c r="C4376" s="40" t="s">
        <v>20850</v>
      </c>
      <c r="D4376" s="40" t="s">
        <v>20851</v>
      </c>
      <c r="E4376" s="41">
        <v>4.6900000000000004</v>
      </c>
      <c r="F4376" s="40"/>
      <c r="G4376" s="41"/>
      <c r="H4376" s="40"/>
      <c r="I4376" s="41"/>
      <c r="J4376" s="41">
        <f t="shared" si="17"/>
        <v>4.6900000000000004</v>
      </c>
      <c r="K4376" s="42" t="s">
        <v>5796</v>
      </c>
      <c r="L4376" s="39">
        <v>4366</v>
      </c>
    </row>
    <row r="4377" spans="1:12" ht="11.25" customHeight="1">
      <c r="A4377" s="39">
        <v>4367</v>
      </c>
      <c r="B4377" s="40" t="s">
        <v>20852</v>
      </c>
      <c r="C4377" s="40" t="s">
        <v>20853</v>
      </c>
      <c r="D4377" s="40" t="s">
        <v>20854</v>
      </c>
      <c r="E4377" s="41">
        <v>4.6900000000000004</v>
      </c>
      <c r="F4377" s="40"/>
      <c r="G4377" s="41"/>
      <c r="H4377" s="40"/>
      <c r="I4377" s="41"/>
      <c r="J4377" s="41">
        <f t="shared" si="17"/>
        <v>4.6900000000000004</v>
      </c>
      <c r="K4377" s="42" t="s">
        <v>5796</v>
      </c>
      <c r="L4377" s="39">
        <v>4367</v>
      </c>
    </row>
    <row r="4378" spans="1:12" ht="11.25" customHeight="1">
      <c r="A4378" s="39">
        <v>4368</v>
      </c>
      <c r="B4378" s="40" t="s">
        <v>20855</v>
      </c>
      <c r="C4378" s="40" t="s">
        <v>20856</v>
      </c>
      <c r="D4378" s="40" t="s">
        <v>20857</v>
      </c>
      <c r="E4378" s="41">
        <v>4.6900000000000004</v>
      </c>
      <c r="F4378" s="40"/>
      <c r="G4378" s="41"/>
      <c r="H4378" s="40"/>
      <c r="I4378" s="41"/>
      <c r="J4378" s="41">
        <f t="shared" si="17"/>
        <v>4.6900000000000004</v>
      </c>
      <c r="K4378" s="42" t="s">
        <v>5796</v>
      </c>
      <c r="L4378" s="39">
        <v>4368</v>
      </c>
    </row>
    <row r="4379" spans="1:12" ht="11.25" customHeight="1">
      <c r="A4379" s="39">
        <v>4369</v>
      </c>
      <c r="B4379" s="40" t="s">
        <v>20858</v>
      </c>
      <c r="C4379" s="40" t="s">
        <v>20859</v>
      </c>
      <c r="D4379" s="40" t="s">
        <v>20860</v>
      </c>
      <c r="E4379" s="41">
        <v>4.68</v>
      </c>
      <c r="F4379" s="40"/>
      <c r="G4379" s="41"/>
      <c r="H4379" s="40"/>
      <c r="I4379" s="41"/>
      <c r="J4379" s="41">
        <f t="shared" si="17"/>
        <v>4.68</v>
      </c>
      <c r="K4379" s="42" t="s">
        <v>5796</v>
      </c>
      <c r="L4379" s="39">
        <v>4369</v>
      </c>
    </row>
    <row r="4380" spans="1:12" ht="11.25" customHeight="1">
      <c r="A4380" s="39">
        <v>4370</v>
      </c>
      <c r="B4380" s="40" t="s">
        <v>20861</v>
      </c>
      <c r="C4380" s="40" t="s">
        <v>20862</v>
      </c>
      <c r="D4380" s="40" t="s">
        <v>20863</v>
      </c>
      <c r="E4380" s="41">
        <v>4.68</v>
      </c>
      <c r="F4380" s="40"/>
      <c r="G4380" s="41"/>
      <c r="H4380" s="40"/>
      <c r="I4380" s="41"/>
      <c r="J4380" s="41">
        <f t="shared" si="17"/>
        <v>4.68</v>
      </c>
      <c r="K4380" s="42" t="s">
        <v>5796</v>
      </c>
      <c r="L4380" s="39">
        <v>4370</v>
      </c>
    </row>
    <row r="4381" spans="1:12" ht="11.25" customHeight="1">
      <c r="A4381" s="39">
        <v>4371</v>
      </c>
      <c r="B4381" s="40" t="s">
        <v>20864</v>
      </c>
      <c r="C4381" s="40" t="s">
        <v>20865</v>
      </c>
      <c r="D4381" s="40" t="s">
        <v>20866</v>
      </c>
      <c r="E4381" s="41">
        <v>4.68</v>
      </c>
      <c r="F4381" s="40"/>
      <c r="G4381" s="41"/>
      <c r="H4381" s="40"/>
      <c r="I4381" s="41"/>
      <c r="J4381" s="41">
        <f t="shared" si="17"/>
        <v>4.68</v>
      </c>
      <c r="K4381" s="42" t="s">
        <v>5796</v>
      </c>
      <c r="L4381" s="39">
        <v>4371</v>
      </c>
    </row>
    <row r="4382" spans="1:12" ht="11.25" customHeight="1">
      <c r="A4382" s="39">
        <v>4372</v>
      </c>
      <c r="B4382" s="40" t="s">
        <v>20867</v>
      </c>
      <c r="C4382" s="40" t="s">
        <v>20868</v>
      </c>
      <c r="D4382" s="40" t="s">
        <v>20869</v>
      </c>
      <c r="E4382" s="41">
        <v>4.67</v>
      </c>
      <c r="F4382" s="40"/>
      <c r="G4382" s="41"/>
      <c r="H4382" s="40"/>
      <c r="I4382" s="41"/>
      <c r="J4382" s="41">
        <f t="shared" si="17"/>
        <v>4.67</v>
      </c>
      <c r="K4382" s="42" t="s">
        <v>5796</v>
      </c>
      <c r="L4382" s="39">
        <v>4372</v>
      </c>
    </row>
    <row r="4383" spans="1:12" ht="11.25" customHeight="1">
      <c r="A4383" s="39">
        <v>4373</v>
      </c>
      <c r="B4383" s="40" t="s">
        <v>20870</v>
      </c>
      <c r="C4383" s="40" t="s">
        <v>20871</v>
      </c>
      <c r="D4383" s="40" t="s">
        <v>20872</v>
      </c>
      <c r="E4383" s="41">
        <v>4.67</v>
      </c>
      <c r="F4383" s="40"/>
      <c r="G4383" s="41"/>
      <c r="H4383" s="40"/>
      <c r="I4383" s="41"/>
      <c r="J4383" s="41">
        <f t="shared" si="17"/>
        <v>4.67</v>
      </c>
      <c r="K4383" s="42" t="s">
        <v>5796</v>
      </c>
      <c r="L4383" s="39">
        <v>4373</v>
      </c>
    </row>
    <row r="4384" spans="1:12" ht="11.25" customHeight="1">
      <c r="A4384" s="39">
        <v>4374</v>
      </c>
      <c r="B4384" s="40" t="s">
        <v>20873</v>
      </c>
      <c r="C4384" s="40" t="s">
        <v>20874</v>
      </c>
      <c r="D4384" s="40" t="s">
        <v>20875</v>
      </c>
      <c r="E4384" s="41">
        <v>4.67</v>
      </c>
      <c r="F4384" s="40"/>
      <c r="G4384" s="41"/>
      <c r="H4384" s="40"/>
      <c r="I4384" s="41"/>
      <c r="J4384" s="41">
        <f t="shared" si="17"/>
        <v>4.67</v>
      </c>
      <c r="K4384" s="42" t="s">
        <v>5796</v>
      </c>
      <c r="L4384" s="39">
        <v>4374</v>
      </c>
    </row>
    <row r="4385" spans="1:12" ht="11.25" customHeight="1">
      <c r="A4385" s="39">
        <v>4375</v>
      </c>
      <c r="B4385" s="40" t="s">
        <v>20876</v>
      </c>
      <c r="C4385" s="40" t="s">
        <v>20877</v>
      </c>
      <c r="D4385" s="40" t="s">
        <v>20878</v>
      </c>
      <c r="E4385" s="41">
        <v>4.67</v>
      </c>
      <c r="F4385" s="40"/>
      <c r="G4385" s="41"/>
      <c r="H4385" s="40"/>
      <c r="I4385" s="41"/>
      <c r="J4385" s="41">
        <f t="shared" si="17"/>
        <v>4.67</v>
      </c>
      <c r="K4385" s="42" t="s">
        <v>5796</v>
      </c>
      <c r="L4385" s="39">
        <v>4375</v>
      </c>
    </row>
    <row r="4386" spans="1:12" ht="11.25" customHeight="1">
      <c r="A4386" s="39">
        <v>4376</v>
      </c>
      <c r="B4386" s="40" t="s">
        <v>20879</v>
      </c>
      <c r="C4386" s="40" t="s">
        <v>20880</v>
      </c>
      <c r="D4386" s="40" t="s">
        <v>20881</v>
      </c>
      <c r="E4386" s="41">
        <v>4.6500000000000004</v>
      </c>
      <c r="F4386" s="40"/>
      <c r="G4386" s="41"/>
      <c r="H4386" s="40"/>
      <c r="I4386" s="41"/>
      <c r="J4386" s="41">
        <f t="shared" si="17"/>
        <v>4.6500000000000004</v>
      </c>
      <c r="K4386" s="42" t="s">
        <v>5796</v>
      </c>
      <c r="L4386" s="39">
        <v>4376</v>
      </c>
    </row>
    <row r="4387" spans="1:12" ht="11.25" customHeight="1">
      <c r="A4387" s="39">
        <v>4377</v>
      </c>
      <c r="B4387" s="40" t="s">
        <v>20882</v>
      </c>
      <c r="C4387" s="40" t="s">
        <v>20883</v>
      </c>
      <c r="D4387" s="40" t="s">
        <v>20884</v>
      </c>
      <c r="E4387" s="41">
        <v>4.63</v>
      </c>
      <c r="F4387" s="40"/>
      <c r="G4387" s="41"/>
      <c r="H4387" s="40" t="s">
        <v>20885</v>
      </c>
      <c r="I4387" s="41">
        <v>4.630978629032259</v>
      </c>
      <c r="J4387" s="41">
        <f t="shared" si="17"/>
        <v>4.6304893145161294</v>
      </c>
      <c r="K4387" s="42" t="s">
        <v>5796</v>
      </c>
      <c r="L4387" s="39">
        <v>4377</v>
      </c>
    </row>
    <row r="4388" spans="1:12" ht="11.25" customHeight="1">
      <c r="A4388" s="39">
        <v>4378</v>
      </c>
      <c r="B4388" s="40" t="s">
        <v>20886</v>
      </c>
      <c r="C4388" s="40" t="s">
        <v>20887</v>
      </c>
      <c r="D4388" s="40" t="s">
        <v>20888</v>
      </c>
      <c r="E4388" s="41">
        <v>4.63</v>
      </c>
      <c r="F4388" s="40"/>
      <c r="G4388" s="41"/>
      <c r="H4388" s="40"/>
      <c r="I4388" s="41"/>
      <c r="J4388" s="41">
        <f t="shared" si="17"/>
        <v>4.63</v>
      </c>
      <c r="K4388" s="42" t="s">
        <v>5796</v>
      </c>
      <c r="L4388" s="39">
        <v>4378</v>
      </c>
    </row>
    <row r="4389" spans="1:12" ht="11.25" customHeight="1">
      <c r="A4389" s="39">
        <v>4379</v>
      </c>
      <c r="B4389" s="40" t="s">
        <v>20889</v>
      </c>
      <c r="C4389" s="40" t="s">
        <v>20890</v>
      </c>
      <c r="D4389" s="40" t="s">
        <v>20891</v>
      </c>
      <c r="E4389" s="41">
        <v>4.62</v>
      </c>
      <c r="F4389" s="40"/>
      <c r="G4389" s="41"/>
      <c r="H4389" s="40"/>
      <c r="I4389" s="41"/>
      <c r="J4389" s="41">
        <f t="shared" si="17"/>
        <v>4.62</v>
      </c>
      <c r="K4389" s="42" t="s">
        <v>5796</v>
      </c>
      <c r="L4389" s="39">
        <v>4379</v>
      </c>
    </row>
    <row r="4390" spans="1:12" ht="11.25" customHeight="1">
      <c r="A4390" s="39">
        <v>4381</v>
      </c>
      <c r="B4390" s="40" t="s">
        <v>20892</v>
      </c>
      <c r="C4390" s="40" t="s">
        <v>20893</v>
      </c>
      <c r="D4390" s="40" t="s">
        <v>20894</v>
      </c>
      <c r="E4390" s="41">
        <v>4.59</v>
      </c>
      <c r="F4390" s="40"/>
      <c r="G4390" s="41"/>
      <c r="H4390" s="40"/>
      <c r="I4390" s="41"/>
      <c r="J4390" s="41">
        <f t="shared" si="17"/>
        <v>4.59</v>
      </c>
      <c r="K4390" s="42" t="s">
        <v>5796</v>
      </c>
      <c r="L4390" s="39">
        <v>4381</v>
      </c>
    </row>
    <row r="4391" spans="1:12" ht="11.25" customHeight="1">
      <c r="A4391" s="39">
        <v>4382</v>
      </c>
      <c r="B4391" s="40" t="s">
        <v>20895</v>
      </c>
      <c r="C4391" s="40" t="s">
        <v>20896</v>
      </c>
      <c r="D4391" s="40" t="s">
        <v>20897</v>
      </c>
      <c r="E4391" s="41">
        <v>4.59</v>
      </c>
      <c r="F4391" s="40"/>
      <c r="G4391" s="41"/>
      <c r="H4391" s="40"/>
      <c r="I4391" s="41"/>
      <c r="J4391" s="41">
        <f t="shared" si="17"/>
        <v>4.59</v>
      </c>
      <c r="K4391" s="42" t="s">
        <v>5796</v>
      </c>
      <c r="L4391" s="39">
        <v>4382</v>
      </c>
    </row>
    <row r="4392" spans="1:12" ht="11.25" customHeight="1">
      <c r="A4392" s="39">
        <v>4383</v>
      </c>
      <c r="B4392" s="40" t="s">
        <v>20898</v>
      </c>
      <c r="C4392" s="40" t="s">
        <v>20899</v>
      </c>
      <c r="D4392" s="40" t="s">
        <v>20900</v>
      </c>
      <c r="E4392" s="41">
        <v>4.59</v>
      </c>
      <c r="F4392" s="40"/>
      <c r="G4392" s="41"/>
      <c r="H4392" s="40"/>
      <c r="I4392" s="41"/>
      <c r="J4392" s="41">
        <f t="shared" si="17"/>
        <v>4.59</v>
      </c>
      <c r="K4392" s="42" t="s">
        <v>5796</v>
      </c>
      <c r="L4392" s="39">
        <v>4383</v>
      </c>
    </row>
    <row r="4393" spans="1:12" ht="11.25" customHeight="1">
      <c r="A4393" s="39">
        <v>4384</v>
      </c>
      <c r="B4393" s="40" t="s">
        <v>20901</v>
      </c>
      <c r="C4393" s="40" t="s">
        <v>20902</v>
      </c>
      <c r="D4393" s="40" t="s">
        <v>20903</v>
      </c>
      <c r="E4393" s="41">
        <v>4.59</v>
      </c>
      <c r="F4393" s="40"/>
      <c r="G4393" s="41"/>
      <c r="H4393" s="40"/>
      <c r="I4393" s="41"/>
      <c r="J4393" s="41">
        <f t="shared" si="17"/>
        <v>4.59</v>
      </c>
      <c r="K4393" s="42" t="s">
        <v>5796</v>
      </c>
      <c r="L4393" s="39">
        <v>4384</v>
      </c>
    </row>
    <row r="4394" spans="1:12" ht="11.25" customHeight="1">
      <c r="A4394" s="39">
        <v>4385</v>
      </c>
      <c r="B4394" s="40" t="s">
        <v>20904</v>
      </c>
      <c r="C4394" s="40" t="s">
        <v>20905</v>
      </c>
      <c r="D4394" s="40" t="s">
        <v>20906</v>
      </c>
      <c r="E4394" s="41">
        <v>4.58</v>
      </c>
      <c r="F4394" s="40"/>
      <c r="G4394" s="41"/>
      <c r="H4394" s="40"/>
      <c r="I4394" s="41"/>
      <c r="J4394" s="41">
        <f t="shared" si="17"/>
        <v>4.58</v>
      </c>
      <c r="K4394" s="42" t="s">
        <v>5796</v>
      </c>
      <c r="L4394" s="39">
        <v>4385</v>
      </c>
    </row>
    <row r="4395" spans="1:12" ht="11.25" customHeight="1">
      <c r="A4395" s="39">
        <v>4386</v>
      </c>
      <c r="B4395" s="40" t="s">
        <v>20907</v>
      </c>
      <c r="C4395" s="40" t="s">
        <v>20908</v>
      </c>
      <c r="D4395" s="40" t="s">
        <v>20909</v>
      </c>
      <c r="E4395" s="41">
        <v>4.58</v>
      </c>
      <c r="F4395" s="40"/>
      <c r="G4395" s="41"/>
      <c r="H4395" s="40"/>
      <c r="I4395" s="41"/>
      <c r="J4395" s="41">
        <f t="shared" si="17"/>
        <v>4.58</v>
      </c>
      <c r="K4395" s="42" t="s">
        <v>5796</v>
      </c>
      <c r="L4395" s="39">
        <v>4386</v>
      </c>
    </row>
    <row r="4396" spans="1:12" ht="11.25" customHeight="1">
      <c r="A4396" s="39">
        <v>4387</v>
      </c>
      <c r="B4396" s="40" t="s">
        <v>20910</v>
      </c>
      <c r="C4396" s="40" t="s">
        <v>20911</v>
      </c>
      <c r="D4396" s="40" t="s">
        <v>20912</v>
      </c>
      <c r="E4396" s="41">
        <v>4.58</v>
      </c>
      <c r="F4396" s="40"/>
      <c r="G4396" s="41"/>
      <c r="H4396" s="40"/>
      <c r="I4396" s="41"/>
      <c r="J4396" s="41">
        <f t="shared" si="17"/>
        <v>4.58</v>
      </c>
      <c r="K4396" s="42" t="s">
        <v>5796</v>
      </c>
      <c r="L4396" s="39">
        <v>4387</v>
      </c>
    </row>
    <row r="4397" spans="1:12" ht="11.25" customHeight="1">
      <c r="A4397" s="39">
        <v>4388</v>
      </c>
      <c r="B4397" s="40" t="s">
        <v>20913</v>
      </c>
      <c r="C4397" s="40" t="s">
        <v>20914</v>
      </c>
      <c r="D4397" s="40" t="s">
        <v>20915</v>
      </c>
      <c r="E4397" s="41">
        <v>4.57</v>
      </c>
      <c r="F4397" s="40"/>
      <c r="G4397" s="41"/>
      <c r="H4397" s="40"/>
      <c r="I4397" s="41"/>
      <c r="J4397" s="41">
        <f t="shared" si="17"/>
        <v>4.57</v>
      </c>
      <c r="K4397" s="42" t="s">
        <v>5796</v>
      </c>
      <c r="L4397" s="39">
        <v>4388</v>
      </c>
    </row>
    <row r="4398" spans="1:12" ht="11.25" customHeight="1">
      <c r="A4398" s="39">
        <v>4389</v>
      </c>
      <c r="B4398" s="40" t="s">
        <v>20916</v>
      </c>
      <c r="C4398" s="40" t="s">
        <v>20917</v>
      </c>
      <c r="D4398" s="40" t="s">
        <v>20918</v>
      </c>
      <c r="E4398" s="41">
        <v>4.5599999999999996</v>
      </c>
      <c r="F4398" s="40"/>
      <c r="G4398" s="41"/>
      <c r="H4398" s="40"/>
      <c r="I4398" s="41"/>
      <c r="J4398" s="41">
        <f t="shared" si="17"/>
        <v>4.5599999999999996</v>
      </c>
      <c r="K4398" s="42" t="s">
        <v>5796</v>
      </c>
      <c r="L4398" s="39">
        <v>4389</v>
      </c>
    </row>
    <row r="4399" spans="1:12" ht="11.25" customHeight="1">
      <c r="A4399" s="39">
        <v>4390</v>
      </c>
      <c r="B4399" s="40" t="s">
        <v>20919</v>
      </c>
      <c r="C4399" s="40" t="s">
        <v>20920</v>
      </c>
      <c r="D4399" s="40" t="s">
        <v>20921</v>
      </c>
      <c r="E4399" s="41">
        <v>4.55</v>
      </c>
      <c r="F4399" s="40"/>
      <c r="G4399" s="41"/>
      <c r="H4399" s="40"/>
      <c r="I4399" s="41"/>
      <c r="J4399" s="41">
        <f t="shared" si="17"/>
        <v>4.55</v>
      </c>
      <c r="K4399" s="42" t="s">
        <v>5796</v>
      </c>
      <c r="L4399" s="39">
        <v>4390</v>
      </c>
    </row>
    <row r="4400" spans="1:12" ht="11.25" customHeight="1">
      <c r="A4400" s="39">
        <v>4391</v>
      </c>
      <c r="B4400" s="40" t="s">
        <v>20922</v>
      </c>
      <c r="C4400" s="40" t="s">
        <v>20923</v>
      </c>
      <c r="D4400" s="40" t="s">
        <v>20924</v>
      </c>
      <c r="E4400" s="41">
        <v>4.55</v>
      </c>
      <c r="F4400" s="40"/>
      <c r="G4400" s="41"/>
      <c r="H4400" s="40"/>
      <c r="I4400" s="41"/>
      <c r="J4400" s="41">
        <f t="shared" si="17"/>
        <v>4.55</v>
      </c>
      <c r="K4400" s="42" t="s">
        <v>5796</v>
      </c>
      <c r="L4400" s="39">
        <v>4391</v>
      </c>
    </row>
    <row r="4401" spans="1:12" ht="11.25" customHeight="1">
      <c r="A4401" s="39">
        <v>4392</v>
      </c>
      <c r="B4401" s="40" t="s">
        <v>20925</v>
      </c>
      <c r="C4401" s="40" t="s">
        <v>20926</v>
      </c>
      <c r="D4401" s="40" t="s">
        <v>20927</v>
      </c>
      <c r="E4401" s="41">
        <v>4.54</v>
      </c>
      <c r="F4401" s="40"/>
      <c r="G4401" s="41"/>
      <c r="H4401" s="40"/>
      <c r="I4401" s="41"/>
      <c r="J4401" s="41">
        <f t="shared" si="17"/>
        <v>4.54</v>
      </c>
      <c r="K4401" s="42" t="s">
        <v>5796</v>
      </c>
      <c r="L4401" s="39">
        <v>4392</v>
      </c>
    </row>
    <row r="4402" spans="1:12" ht="11.25" customHeight="1">
      <c r="A4402" s="39">
        <v>4393</v>
      </c>
      <c r="B4402" s="40" t="s">
        <v>20928</v>
      </c>
      <c r="C4402" s="40" t="s">
        <v>20929</v>
      </c>
      <c r="D4402" s="40" t="s">
        <v>20930</v>
      </c>
      <c r="E4402" s="41">
        <v>4.53</v>
      </c>
      <c r="F4402" s="40"/>
      <c r="G4402" s="41"/>
      <c r="H4402" s="40"/>
      <c r="I4402" s="41"/>
      <c r="J4402" s="41">
        <f t="shared" si="17"/>
        <v>4.53</v>
      </c>
      <c r="K4402" s="42" t="s">
        <v>5796</v>
      </c>
      <c r="L4402" s="39">
        <v>4393</v>
      </c>
    </row>
    <row r="4403" spans="1:12" ht="11.25" customHeight="1">
      <c r="A4403" s="39">
        <v>4394</v>
      </c>
      <c r="B4403" s="40" t="s">
        <v>20931</v>
      </c>
      <c r="C4403" s="40" t="s">
        <v>20932</v>
      </c>
      <c r="D4403" s="40" t="s">
        <v>20933</v>
      </c>
      <c r="E4403" s="41">
        <v>4.51</v>
      </c>
      <c r="F4403" s="40"/>
      <c r="G4403" s="41"/>
      <c r="H4403" s="40"/>
      <c r="I4403" s="41"/>
      <c r="J4403" s="41">
        <f t="shared" si="17"/>
        <v>4.51</v>
      </c>
      <c r="K4403" s="42" t="s">
        <v>5796</v>
      </c>
      <c r="L4403" s="39">
        <v>4394</v>
      </c>
    </row>
    <row r="4404" spans="1:12" ht="11.25" customHeight="1">
      <c r="A4404" s="39">
        <v>4395</v>
      </c>
      <c r="B4404" s="40" t="s">
        <v>20934</v>
      </c>
      <c r="C4404" s="40" t="s">
        <v>20935</v>
      </c>
      <c r="D4404" s="40" t="s">
        <v>20936</v>
      </c>
      <c r="E4404" s="41">
        <v>4.5</v>
      </c>
      <c r="F4404" s="40"/>
      <c r="G4404" s="41"/>
      <c r="H4404" s="40"/>
      <c r="I4404" s="41"/>
      <c r="J4404" s="41">
        <f t="shared" si="17"/>
        <v>4.5</v>
      </c>
      <c r="K4404" s="42" t="s">
        <v>5796</v>
      </c>
      <c r="L4404" s="39">
        <v>4395</v>
      </c>
    </row>
    <row r="4405" spans="1:12" ht="11.25" customHeight="1">
      <c r="A4405" s="39">
        <v>4396</v>
      </c>
      <c r="B4405" s="40" t="s">
        <v>20937</v>
      </c>
      <c r="C4405" s="40" t="s">
        <v>20938</v>
      </c>
      <c r="D4405" s="40" t="s">
        <v>20939</v>
      </c>
      <c r="E4405" s="41">
        <v>4.5</v>
      </c>
      <c r="F4405" s="40"/>
      <c r="G4405" s="41"/>
      <c r="H4405" s="40"/>
      <c r="I4405" s="41"/>
      <c r="J4405" s="41">
        <f t="shared" si="17"/>
        <v>4.5</v>
      </c>
      <c r="K4405" s="42" t="s">
        <v>5796</v>
      </c>
      <c r="L4405" s="39">
        <v>4396</v>
      </c>
    </row>
    <row r="4406" spans="1:12" ht="11.25" customHeight="1">
      <c r="A4406" s="39">
        <v>4397</v>
      </c>
      <c r="B4406" s="40" t="s">
        <v>9504</v>
      </c>
      <c r="C4406" s="40" t="s">
        <v>20940</v>
      </c>
      <c r="D4406" s="40" t="s">
        <v>20941</v>
      </c>
      <c r="E4406" s="41">
        <v>4.5</v>
      </c>
      <c r="F4406" s="40"/>
      <c r="G4406" s="41"/>
      <c r="H4406" s="40"/>
      <c r="I4406" s="41"/>
      <c r="J4406" s="41">
        <f t="shared" si="17"/>
        <v>4.5</v>
      </c>
      <c r="K4406" s="42" t="s">
        <v>5796</v>
      </c>
      <c r="L4406" s="39">
        <v>4397</v>
      </c>
    </row>
    <row r="4407" spans="1:12" ht="11.25" customHeight="1">
      <c r="A4407" s="39">
        <v>4398</v>
      </c>
      <c r="B4407" s="40" t="s">
        <v>20942</v>
      </c>
      <c r="C4407" s="40" t="s">
        <v>20943</v>
      </c>
      <c r="D4407" s="40" t="s">
        <v>20944</v>
      </c>
      <c r="E4407" s="41">
        <v>4.49</v>
      </c>
      <c r="F4407" s="40"/>
      <c r="G4407" s="41"/>
      <c r="H4407" s="40"/>
      <c r="I4407" s="41"/>
      <c r="J4407" s="41">
        <f t="shared" si="17"/>
        <v>4.49</v>
      </c>
      <c r="K4407" s="42" t="s">
        <v>5796</v>
      </c>
      <c r="L4407" s="39">
        <v>4398</v>
      </c>
    </row>
    <row r="4408" spans="1:12" ht="11.25" customHeight="1">
      <c r="A4408" s="39">
        <v>4399</v>
      </c>
      <c r="B4408" s="40" t="s">
        <v>20945</v>
      </c>
      <c r="C4408" s="40" t="s">
        <v>20946</v>
      </c>
      <c r="D4408" s="40" t="s">
        <v>20947</v>
      </c>
      <c r="E4408" s="41">
        <v>4.4800000000000004</v>
      </c>
      <c r="F4408" s="40"/>
      <c r="G4408" s="41"/>
      <c r="H4408" s="40"/>
      <c r="I4408" s="41"/>
      <c r="J4408" s="41">
        <f t="shared" si="17"/>
        <v>4.4800000000000004</v>
      </c>
      <c r="K4408" s="42" t="s">
        <v>5796</v>
      </c>
      <c r="L4408" s="39">
        <v>4399</v>
      </c>
    </row>
    <row r="4409" spans="1:12" ht="11.25" customHeight="1">
      <c r="A4409" s="39">
        <v>4400</v>
      </c>
      <c r="B4409" s="40" t="s">
        <v>9501</v>
      </c>
      <c r="C4409" s="40" t="s">
        <v>20948</v>
      </c>
      <c r="D4409" s="40" t="s">
        <v>20949</v>
      </c>
      <c r="E4409" s="41">
        <v>4.4800000000000004</v>
      </c>
      <c r="F4409" s="40"/>
      <c r="G4409" s="41"/>
      <c r="H4409" s="40"/>
      <c r="I4409" s="41"/>
      <c r="J4409" s="41">
        <f t="shared" si="17"/>
        <v>4.4800000000000004</v>
      </c>
      <c r="K4409" s="42" t="s">
        <v>5796</v>
      </c>
      <c r="L4409" s="39">
        <v>4400</v>
      </c>
    </row>
    <row r="4410" spans="1:12" ht="11.25" customHeight="1">
      <c r="A4410" s="39">
        <v>4401</v>
      </c>
      <c r="B4410" s="40" t="s">
        <v>20950</v>
      </c>
      <c r="C4410" s="40" t="s">
        <v>20951</v>
      </c>
      <c r="D4410" s="40" t="s">
        <v>20952</v>
      </c>
      <c r="E4410" s="41">
        <v>4.4800000000000004</v>
      </c>
      <c r="F4410" s="40"/>
      <c r="G4410" s="41"/>
      <c r="H4410" s="40"/>
      <c r="I4410" s="41"/>
      <c r="J4410" s="41">
        <f t="shared" si="17"/>
        <v>4.4800000000000004</v>
      </c>
      <c r="K4410" s="42" t="s">
        <v>5796</v>
      </c>
      <c r="L4410" s="39">
        <v>4401</v>
      </c>
    </row>
    <row r="4411" spans="1:12" ht="11.25" customHeight="1">
      <c r="A4411" s="39">
        <v>4402</v>
      </c>
      <c r="B4411" s="40" t="s">
        <v>20953</v>
      </c>
      <c r="C4411" s="40" t="s">
        <v>20954</v>
      </c>
      <c r="D4411" s="40" t="s">
        <v>20955</v>
      </c>
      <c r="E4411" s="41">
        <v>4.46</v>
      </c>
      <c r="F4411" s="40"/>
      <c r="G4411" s="41"/>
      <c r="H4411" s="40"/>
      <c r="I4411" s="41"/>
      <c r="J4411" s="41">
        <f t="shared" si="17"/>
        <v>4.46</v>
      </c>
      <c r="K4411" s="42" t="s">
        <v>5796</v>
      </c>
      <c r="L4411" s="39">
        <v>4402</v>
      </c>
    </row>
    <row r="4412" spans="1:12" ht="11.25" customHeight="1">
      <c r="A4412" s="39">
        <v>4403</v>
      </c>
      <c r="B4412" s="40" t="s">
        <v>20956</v>
      </c>
      <c r="C4412" s="40" t="s">
        <v>20957</v>
      </c>
      <c r="D4412" s="40" t="s">
        <v>20958</v>
      </c>
      <c r="E4412" s="41">
        <v>4.45</v>
      </c>
      <c r="F4412" s="40"/>
      <c r="G4412" s="41"/>
      <c r="H4412" s="40"/>
      <c r="I4412" s="41"/>
      <c r="J4412" s="41">
        <f t="shared" si="17"/>
        <v>4.45</v>
      </c>
      <c r="K4412" s="42" t="s">
        <v>5796</v>
      </c>
      <c r="L4412" s="39">
        <v>4403</v>
      </c>
    </row>
    <row r="4413" spans="1:12" ht="11.25" customHeight="1">
      <c r="A4413" s="39">
        <v>4404</v>
      </c>
      <c r="B4413" s="40" t="s">
        <v>20959</v>
      </c>
      <c r="C4413" s="40" t="s">
        <v>20960</v>
      </c>
      <c r="D4413" s="40" t="s">
        <v>20961</v>
      </c>
      <c r="E4413" s="41">
        <v>4.45</v>
      </c>
      <c r="F4413" s="40"/>
      <c r="G4413" s="41"/>
      <c r="H4413" s="40"/>
      <c r="I4413" s="41"/>
      <c r="J4413" s="41">
        <f t="shared" si="17"/>
        <v>4.45</v>
      </c>
      <c r="K4413" s="42" t="s">
        <v>5796</v>
      </c>
      <c r="L4413" s="39">
        <v>4404</v>
      </c>
    </row>
    <row r="4414" spans="1:12" ht="11.25" customHeight="1">
      <c r="A4414" s="39">
        <v>4405</v>
      </c>
      <c r="B4414" s="40" t="s">
        <v>20962</v>
      </c>
      <c r="C4414" s="40" t="s">
        <v>20963</v>
      </c>
      <c r="D4414" s="40" t="s">
        <v>20964</v>
      </c>
      <c r="E4414" s="41">
        <v>4.41</v>
      </c>
      <c r="F4414" s="40"/>
      <c r="G4414" s="41"/>
      <c r="H4414" s="40"/>
      <c r="I4414" s="41"/>
      <c r="J4414" s="41">
        <f t="shared" si="17"/>
        <v>4.41</v>
      </c>
      <c r="K4414" s="42" t="s">
        <v>5796</v>
      </c>
      <c r="L4414" s="39">
        <v>4405</v>
      </c>
    </row>
    <row r="4415" spans="1:12" ht="11.25" customHeight="1">
      <c r="A4415" s="39">
        <v>4406</v>
      </c>
      <c r="B4415" s="40" t="s">
        <v>20965</v>
      </c>
      <c r="C4415" s="40" t="s">
        <v>20966</v>
      </c>
      <c r="D4415" s="40" t="s">
        <v>20967</v>
      </c>
      <c r="E4415" s="41">
        <v>4.41</v>
      </c>
      <c r="F4415" s="40"/>
      <c r="G4415" s="41"/>
      <c r="H4415" s="40"/>
      <c r="I4415" s="41"/>
      <c r="J4415" s="41">
        <f t="shared" si="17"/>
        <v>4.41</v>
      </c>
      <c r="K4415" s="42" t="s">
        <v>5796</v>
      </c>
      <c r="L4415" s="39">
        <v>4406</v>
      </c>
    </row>
    <row r="4416" spans="1:12" ht="11.25" customHeight="1">
      <c r="A4416" s="39">
        <v>4407</v>
      </c>
      <c r="B4416" s="40" t="s">
        <v>20968</v>
      </c>
      <c r="C4416" s="40" t="s">
        <v>20969</v>
      </c>
      <c r="D4416" s="40" t="s">
        <v>20970</v>
      </c>
      <c r="E4416" s="41">
        <v>4.3899999999999997</v>
      </c>
      <c r="F4416" s="40"/>
      <c r="G4416" s="41"/>
      <c r="H4416" s="40"/>
      <c r="I4416" s="41"/>
      <c r="J4416" s="41">
        <f t="shared" si="17"/>
        <v>4.3899999999999997</v>
      </c>
      <c r="K4416" s="42" t="s">
        <v>5796</v>
      </c>
      <c r="L4416" s="39">
        <v>4407</v>
      </c>
    </row>
    <row r="4417" spans="1:12" ht="11.25" customHeight="1">
      <c r="A4417" s="39">
        <v>4408</v>
      </c>
      <c r="B4417" s="40" t="s">
        <v>20971</v>
      </c>
      <c r="C4417" s="40" t="s">
        <v>20972</v>
      </c>
      <c r="D4417" s="40" t="s">
        <v>20973</v>
      </c>
      <c r="E4417" s="41">
        <v>4.3600000000000003</v>
      </c>
      <c r="F4417" s="40"/>
      <c r="G4417" s="41"/>
      <c r="H4417" s="40"/>
      <c r="I4417" s="41"/>
      <c r="J4417" s="41">
        <f t="shared" si="17"/>
        <v>4.3600000000000003</v>
      </c>
      <c r="K4417" s="42" t="s">
        <v>5796</v>
      </c>
      <c r="L4417" s="39">
        <v>4408</v>
      </c>
    </row>
    <row r="4418" spans="1:12" ht="11.25" customHeight="1">
      <c r="A4418" s="39">
        <v>4409</v>
      </c>
      <c r="B4418" s="40" t="s">
        <v>20974</v>
      </c>
      <c r="C4418" s="40" t="s">
        <v>20975</v>
      </c>
      <c r="D4418" s="40" t="s">
        <v>20976</v>
      </c>
      <c r="E4418" s="41">
        <v>4.3499999999999996</v>
      </c>
      <c r="F4418" s="40"/>
      <c r="G4418" s="41"/>
      <c r="H4418" s="40"/>
      <c r="I4418" s="41"/>
      <c r="J4418" s="41">
        <f t="shared" si="17"/>
        <v>4.3499999999999996</v>
      </c>
      <c r="K4418" s="42" t="s">
        <v>5796</v>
      </c>
      <c r="L4418" s="39">
        <v>4409</v>
      </c>
    </row>
    <row r="4419" spans="1:12" ht="11.25" customHeight="1">
      <c r="A4419" s="39">
        <v>4410</v>
      </c>
      <c r="B4419" s="40" t="s">
        <v>20977</v>
      </c>
      <c r="C4419" s="40" t="s">
        <v>20978</v>
      </c>
      <c r="D4419" s="40" t="s">
        <v>20979</v>
      </c>
      <c r="E4419" s="41">
        <v>4.34</v>
      </c>
      <c r="F4419" s="40"/>
      <c r="G4419" s="41"/>
      <c r="H4419" s="40"/>
      <c r="I4419" s="41"/>
      <c r="J4419" s="41">
        <f t="shared" si="17"/>
        <v>4.34</v>
      </c>
      <c r="K4419" s="42" t="s">
        <v>5796</v>
      </c>
      <c r="L4419" s="39">
        <v>4410</v>
      </c>
    </row>
    <row r="4420" spans="1:12" ht="11.25" customHeight="1">
      <c r="A4420" s="39">
        <v>4411</v>
      </c>
      <c r="B4420" s="40" t="s">
        <v>20980</v>
      </c>
      <c r="C4420" s="40" t="s">
        <v>20981</v>
      </c>
      <c r="D4420" s="40" t="s">
        <v>20982</v>
      </c>
      <c r="E4420" s="41">
        <v>4.34</v>
      </c>
      <c r="F4420" s="40"/>
      <c r="G4420" s="41"/>
      <c r="H4420" s="40"/>
      <c r="I4420" s="41"/>
      <c r="J4420" s="41">
        <f t="shared" si="17"/>
        <v>4.34</v>
      </c>
      <c r="K4420" s="42" t="s">
        <v>5796</v>
      </c>
      <c r="L4420" s="39">
        <v>4411</v>
      </c>
    </row>
    <row r="4421" spans="1:12" ht="11.25" customHeight="1">
      <c r="A4421" s="39">
        <v>4412</v>
      </c>
      <c r="B4421" s="40" t="s">
        <v>20983</v>
      </c>
      <c r="C4421" s="40" t="s">
        <v>20984</v>
      </c>
      <c r="D4421" s="40" t="s">
        <v>20985</v>
      </c>
      <c r="E4421" s="41">
        <v>4.3099999999999996</v>
      </c>
      <c r="F4421" s="40"/>
      <c r="G4421" s="41"/>
      <c r="H4421" s="40"/>
      <c r="I4421" s="41"/>
      <c r="J4421" s="41">
        <f t="shared" si="17"/>
        <v>4.3099999999999996</v>
      </c>
      <c r="K4421" s="42" t="s">
        <v>5796</v>
      </c>
      <c r="L4421" s="39">
        <v>4412</v>
      </c>
    </row>
    <row r="4422" spans="1:12" ht="11.25" customHeight="1">
      <c r="A4422" s="39">
        <v>4413</v>
      </c>
      <c r="B4422" s="40" t="s">
        <v>20986</v>
      </c>
      <c r="C4422" s="40" t="s">
        <v>20987</v>
      </c>
      <c r="D4422" s="40" t="s">
        <v>20988</v>
      </c>
      <c r="E4422" s="41">
        <v>4.3</v>
      </c>
      <c r="F4422" s="40"/>
      <c r="G4422" s="41"/>
      <c r="H4422" s="40"/>
      <c r="I4422" s="41"/>
      <c r="J4422" s="41">
        <f t="shared" si="17"/>
        <v>4.3</v>
      </c>
      <c r="K4422" s="42" t="s">
        <v>5796</v>
      </c>
      <c r="L4422" s="39">
        <v>4413</v>
      </c>
    </row>
    <row r="4423" spans="1:12" ht="11.25" customHeight="1">
      <c r="A4423" s="39">
        <v>4414</v>
      </c>
      <c r="B4423" s="40" t="s">
        <v>20989</v>
      </c>
      <c r="C4423" s="40" t="s">
        <v>20990</v>
      </c>
      <c r="D4423" s="40" t="s">
        <v>6302</v>
      </c>
      <c r="E4423" s="41">
        <v>4.28</v>
      </c>
      <c r="F4423" s="40"/>
      <c r="G4423" s="41"/>
      <c r="H4423" s="40"/>
      <c r="I4423" s="41"/>
      <c r="J4423" s="41">
        <f t="shared" si="17"/>
        <v>4.28</v>
      </c>
      <c r="K4423" s="42" t="s">
        <v>5796</v>
      </c>
      <c r="L4423" s="39">
        <v>4414</v>
      </c>
    </row>
    <row r="4424" spans="1:12" ht="11.25" customHeight="1">
      <c r="A4424" s="39">
        <v>4415</v>
      </c>
      <c r="B4424" s="40" t="s">
        <v>20991</v>
      </c>
      <c r="C4424" s="40" t="s">
        <v>20992</v>
      </c>
      <c r="D4424" s="40" t="s">
        <v>20993</v>
      </c>
      <c r="E4424" s="41">
        <v>4.28</v>
      </c>
      <c r="F4424" s="40"/>
      <c r="G4424" s="41"/>
      <c r="H4424" s="40"/>
      <c r="I4424" s="41"/>
      <c r="J4424" s="41">
        <f t="shared" si="17"/>
        <v>4.28</v>
      </c>
      <c r="K4424" s="42" t="s">
        <v>5796</v>
      </c>
      <c r="L4424" s="39">
        <v>4415</v>
      </c>
    </row>
    <row r="4425" spans="1:12" ht="11.25" customHeight="1">
      <c r="A4425" s="39">
        <v>4416</v>
      </c>
      <c r="B4425" s="40" t="s">
        <v>20994</v>
      </c>
      <c r="C4425" s="40" t="s">
        <v>20995</v>
      </c>
      <c r="D4425" s="40" t="s">
        <v>20996</v>
      </c>
      <c r="E4425" s="41">
        <v>4.26</v>
      </c>
      <c r="F4425" s="40"/>
      <c r="G4425" s="41"/>
      <c r="H4425" s="40"/>
      <c r="I4425" s="41"/>
      <c r="J4425" s="41">
        <f t="shared" si="17"/>
        <v>4.26</v>
      </c>
      <c r="K4425" s="42" t="s">
        <v>5796</v>
      </c>
      <c r="L4425" s="39">
        <v>4416</v>
      </c>
    </row>
    <row r="4426" spans="1:12" ht="11.25" customHeight="1">
      <c r="A4426" s="39">
        <v>4417</v>
      </c>
      <c r="B4426" s="40" t="s">
        <v>20997</v>
      </c>
      <c r="C4426" s="40" t="s">
        <v>20998</v>
      </c>
      <c r="D4426" s="40" t="s">
        <v>20999</v>
      </c>
      <c r="E4426" s="41">
        <v>4.25</v>
      </c>
      <c r="F4426" s="40"/>
      <c r="G4426" s="41"/>
      <c r="H4426" s="40"/>
      <c r="I4426" s="41"/>
      <c r="J4426" s="41">
        <f t="shared" si="17"/>
        <v>4.25</v>
      </c>
      <c r="K4426" s="42" t="s">
        <v>5796</v>
      </c>
      <c r="L4426" s="39">
        <v>4417</v>
      </c>
    </row>
    <row r="4427" spans="1:12" ht="11.25" customHeight="1">
      <c r="A4427" s="39">
        <v>4418</v>
      </c>
      <c r="B4427" s="40" t="s">
        <v>21000</v>
      </c>
      <c r="C4427" s="40" t="s">
        <v>21001</v>
      </c>
      <c r="D4427" s="40" t="s">
        <v>21002</v>
      </c>
      <c r="E4427" s="41">
        <v>4.24</v>
      </c>
      <c r="F4427" s="40"/>
      <c r="G4427" s="41"/>
      <c r="H4427" s="40"/>
      <c r="I4427" s="41"/>
      <c r="J4427" s="41">
        <f t="shared" si="17"/>
        <v>4.24</v>
      </c>
      <c r="K4427" s="42" t="s">
        <v>5796</v>
      </c>
      <c r="L4427" s="39">
        <v>4418</v>
      </c>
    </row>
    <row r="4428" spans="1:12" ht="11.25" customHeight="1">
      <c r="A4428" s="39">
        <v>4420</v>
      </c>
      <c r="B4428" s="40" t="s">
        <v>21003</v>
      </c>
      <c r="C4428" s="40" t="s">
        <v>21004</v>
      </c>
      <c r="D4428" s="40" t="s">
        <v>21005</v>
      </c>
      <c r="E4428" s="41">
        <v>4.2300000000000004</v>
      </c>
      <c r="F4428" s="40"/>
      <c r="G4428" s="41"/>
      <c r="H4428" s="40"/>
      <c r="I4428" s="41"/>
      <c r="J4428" s="41">
        <f t="shared" si="17"/>
        <v>4.2300000000000004</v>
      </c>
      <c r="K4428" s="42" t="s">
        <v>5796</v>
      </c>
      <c r="L4428" s="39">
        <v>4420</v>
      </c>
    </row>
    <row r="4429" spans="1:12" ht="11.25" customHeight="1">
      <c r="A4429" s="39">
        <v>4421</v>
      </c>
      <c r="B4429" s="40" t="s">
        <v>21006</v>
      </c>
      <c r="C4429" s="40" t="s">
        <v>21007</v>
      </c>
      <c r="D4429" s="40" t="s">
        <v>21008</v>
      </c>
      <c r="E4429" s="41">
        <v>4.22</v>
      </c>
      <c r="F4429" s="40"/>
      <c r="G4429" s="41"/>
      <c r="H4429" s="40"/>
      <c r="I4429" s="41"/>
      <c r="J4429" s="41">
        <f t="shared" si="17"/>
        <v>4.22</v>
      </c>
      <c r="K4429" s="42" t="s">
        <v>5796</v>
      </c>
      <c r="L4429" s="39">
        <v>4421</v>
      </c>
    </row>
    <row r="4430" spans="1:12" ht="11.25" customHeight="1">
      <c r="A4430" s="39">
        <v>4422</v>
      </c>
      <c r="B4430" s="40" t="s">
        <v>21009</v>
      </c>
      <c r="C4430" s="40" t="s">
        <v>21010</v>
      </c>
      <c r="D4430" s="40" t="s">
        <v>21011</v>
      </c>
      <c r="E4430" s="41">
        <v>4.22</v>
      </c>
      <c r="F4430" s="40"/>
      <c r="G4430" s="41"/>
      <c r="H4430" s="40"/>
      <c r="I4430" s="41"/>
      <c r="J4430" s="41">
        <f t="shared" si="17"/>
        <v>4.22</v>
      </c>
      <c r="K4430" s="42" t="s">
        <v>5796</v>
      </c>
      <c r="L4430" s="39">
        <v>4422</v>
      </c>
    </row>
    <row r="4431" spans="1:12" ht="11.25" customHeight="1">
      <c r="A4431" s="39">
        <v>4423</v>
      </c>
      <c r="B4431" s="40" t="s">
        <v>21012</v>
      </c>
      <c r="C4431" s="40" t="s">
        <v>21013</v>
      </c>
      <c r="D4431" s="40" t="s">
        <v>21014</v>
      </c>
      <c r="E4431" s="41">
        <v>4.21</v>
      </c>
      <c r="F4431" s="40"/>
      <c r="G4431" s="41"/>
      <c r="H4431" s="40"/>
      <c r="I4431" s="41"/>
      <c r="J4431" s="41">
        <f t="shared" si="17"/>
        <v>4.21</v>
      </c>
      <c r="K4431" s="42" t="s">
        <v>5796</v>
      </c>
      <c r="L4431" s="39">
        <v>4423</v>
      </c>
    </row>
    <row r="4432" spans="1:12" ht="11.25" customHeight="1">
      <c r="A4432" s="39">
        <v>4424</v>
      </c>
      <c r="B4432" s="40" t="s">
        <v>21015</v>
      </c>
      <c r="C4432" s="40" t="s">
        <v>21016</v>
      </c>
      <c r="D4432" s="40" t="s">
        <v>21017</v>
      </c>
      <c r="E4432" s="41">
        <v>4.21</v>
      </c>
      <c r="F4432" s="40"/>
      <c r="G4432" s="41"/>
      <c r="H4432" s="40"/>
      <c r="I4432" s="41"/>
      <c r="J4432" s="41">
        <f t="shared" si="17"/>
        <v>4.21</v>
      </c>
      <c r="K4432" s="42" t="s">
        <v>5796</v>
      </c>
      <c r="L4432" s="39">
        <v>4424</v>
      </c>
    </row>
    <row r="4433" spans="1:12" ht="11.25" customHeight="1">
      <c r="A4433" s="39">
        <v>4425</v>
      </c>
      <c r="B4433" s="40" t="s">
        <v>9426</v>
      </c>
      <c r="C4433" s="40" t="s">
        <v>21018</v>
      </c>
      <c r="D4433" s="40" t="s">
        <v>21019</v>
      </c>
      <c r="E4433" s="41">
        <v>4.2</v>
      </c>
      <c r="F4433" s="40"/>
      <c r="G4433" s="41"/>
      <c r="H4433" s="40"/>
      <c r="I4433" s="41"/>
      <c r="J4433" s="41">
        <f t="shared" si="17"/>
        <v>4.2</v>
      </c>
      <c r="K4433" s="42" t="s">
        <v>5796</v>
      </c>
      <c r="L4433" s="39">
        <v>4425</v>
      </c>
    </row>
    <row r="4434" spans="1:12" ht="11.25" customHeight="1">
      <c r="A4434" s="39">
        <v>4426</v>
      </c>
      <c r="B4434" s="40" t="s">
        <v>21020</v>
      </c>
      <c r="C4434" s="40" t="s">
        <v>21021</v>
      </c>
      <c r="D4434" s="40" t="s">
        <v>21022</v>
      </c>
      <c r="E4434" s="41">
        <v>4.1900000000000004</v>
      </c>
      <c r="F4434" s="40"/>
      <c r="G4434" s="41"/>
      <c r="H4434" s="40"/>
      <c r="I4434" s="41"/>
      <c r="J4434" s="41">
        <f t="shared" si="17"/>
        <v>4.1900000000000004</v>
      </c>
      <c r="K4434" s="42" t="s">
        <v>5796</v>
      </c>
      <c r="L4434" s="39">
        <v>4426</v>
      </c>
    </row>
    <row r="4435" spans="1:12" ht="11.25" customHeight="1">
      <c r="A4435" s="39">
        <v>4427</v>
      </c>
      <c r="B4435" s="40" t="s">
        <v>21023</v>
      </c>
      <c r="C4435" s="40" t="s">
        <v>21024</v>
      </c>
      <c r="D4435" s="40" t="s">
        <v>21025</v>
      </c>
      <c r="E4435" s="41">
        <v>4.17</v>
      </c>
      <c r="F4435" s="40"/>
      <c r="G4435" s="41"/>
      <c r="H4435" s="40"/>
      <c r="I4435" s="41"/>
      <c r="J4435" s="41">
        <f t="shared" si="17"/>
        <v>4.17</v>
      </c>
      <c r="K4435" s="42" t="s">
        <v>5796</v>
      </c>
      <c r="L4435" s="39">
        <v>4427</v>
      </c>
    </row>
    <row r="4436" spans="1:12" ht="11.25" customHeight="1">
      <c r="A4436" s="39">
        <v>4428</v>
      </c>
      <c r="B4436" s="40" t="s">
        <v>21026</v>
      </c>
      <c r="C4436" s="40" t="s">
        <v>21027</v>
      </c>
      <c r="D4436" s="40" t="s">
        <v>21028</v>
      </c>
      <c r="E4436" s="41">
        <v>4.16</v>
      </c>
      <c r="F4436" s="40"/>
      <c r="G4436" s="41"/>
      <c r="H4436" s="40"/>
      <c r="I4436" s="41"/>
      <c r="J4436" s="41">
        <f t="shared" si="17"/>
        <v>4.16</v>
      </c>
      <c r="K4436" s="42" t="s">
        <v>5796</v>
      </c>
      <c r="L4436" s="39">
        <v>4428</v>
      </c>
    </row>
    <row r="4437" spans="1:12" ht="11.25" customHeight="1">
      <c r="A4437" s="39">
        <v>4429</v>
      </c>
      <c r="B4437" s="40" t="s">
        <v>21029</v>
      </c>
      <c r="C4437" s="40" t="s">
        <v>21030</v>
      </c>
      <c r="D4437" s="40" t="s">
        <v>21031</v>
      </c>
      <c r="E4437" s="41">
        <v>4.1500000000000004</v>
      </c>
      <c r="F4437" s="40"/>
      <c r="G4437" s="41"/>
      <c r="H4437" s="40"/>
      <c r="I4437" s="41"/>
      <c r="J4437" s="41">
        <f t="shared" si="17"/>
        <v>4.1500000000000004</v>
      </c>
      <c r="K4437" s="42" t="s">
        <v>5796</v>
      </c>
      <c r="L4437" s="39">
        <v>4429</v>
      </c>
    </row>
    <row r="4438" spans="1:12" ht="11.25" customHeight="1">
      <c r="A4438" s="39">
        <v>4430</v>
      </c>
      <c r="B4438" s="40" t="s">
        <v>21032</v>
      </c>
      <c r="C4438" s="40" t="s">
        <v>21033</v>
      </c>
      <c r="D4438" s="40" t="s">
        <v>21034</v>
      </c>
      <c r="E4438" s="41">
        <v>4.1399999999999997</v>
      </c>
      <c r="F4438" s="40"/>
      <c r="G4438" s="41"/>
      <c r="H4438" s="40"/>
      <c r="I4438" s="41"/>
      <c r="J4438" s="41">
        <f t="shared" si="17"/>
        <v>4.1399999999999997</v>
      </c>
      <c r="K4438" s="42" t="s">
        <v>5796</v>
      </c>
      <c r="L4438" s="39">
        <v>4430</v>
      </c>
    </row>
    <row r="4439" spans="1:12" ht="11.25" customHeight="1">
      <c r="A4439" s="39">
        <v>4431</v>
      </c>
      <c r="B4439" s="40" t="s">
        <v>21035</v>
      </c>
      <c r="C4439" s="40" t="s">
        <v>21036</v>
      </c>
      <c r="D4439" s="40" t="s">
        <v>21037</v>
      </c>
      <c r="E4439" s="41">
        <v>4.1399999999999997</v>
      </c>
      <c r="F4439" s="40"/>
      <c r="G4439" s="41"/>
      <c r="H4439" s="40"/>
      <c r="I4439" s="41"/>
      <c r="J4439" s="41">
        <f t="shared" si="17"/>
        <v>4.1399999999999997</v>
      </c>
      <c r="K4439" s="42" t="s">
        <v>5796</v>
      </c>
      <c r="L4439" s="39">
        <v>4431</v>
      </c>
    </row>
    <row r="4440" spans="1:12" ht="11.25" customHeight="1">
      <c r="A4440" s="39">
        <v>4432</v>
      </c>
      <c r="B4440" s="40" t="s">
        <v>21038</v>
      </c>
      <c r="C4440" s="40" t="s">
        <v>21039</v>
      </c>
      <c r="D4440" s="40" t="s">
        <v>21040</v>
      </c>
      <c r="E4440" s="41">
        <v>4.12</v>
      </c>
      <c r="F4440" s="40"/>
      <c r="G4440" s="41"/>
      <c r="H4440" s="40"/>
      <c r="I4440" s="41"/>
      <c r="J4440" s="41">
        <f t="shared" si="17"/>
        <v>4.12</v>
      </c>
      <c r="K4440" s="42" t="s">
        <v>5796</v>
      </c>
      <c r="L4440" s="39">
        <v>4432</v>
      </c>
    </row>
    <row r="4441" spans="1:12" ht="11.25" customHeight="1">
      <c r="A4441" s="39">
        <v>4433</v>
      </c>
      <c r="B4441" s="40" t="s">
        <v>21041</v>
      </c>
      <c r="C4441" s="40" t="s">
        <v>21042</v>
      </c>
      <c r="D4441" s="40" t="s">
        <v>21043</v>
      </c>
      <c r="E4441" s="41">
        <v>4.1100000000000003</v>
      </c>
      <c r="F4441" s="40"/>
      <c r="G4441" s="41"/>
      <c r="H4441" s="40"/>
      <c r="I4441" s="41"/>
      <c r="J4441" s="41">
        <f t="shared" si="17"/>
        <v>4.1100000000000003</v>
      </c>
      <c r="K4441" s="42" t="s">
        <v>5796</v>
      </c>
      <c r="L4441" s="39">
        <v>4433</v>
      </c>
    </row>
    <row r="4442" spans="1:12" ht="11.25" customHeight="1">
      <c r="A4442" s="39">
        <v>4434</v>
      </c>
      <c r="B4442" s="40" t="s">
        <v>21044</v>
      </c>
      <c r="C4442" s="40" t="s">
        <v>21045</v>
      </c>
      <c r="D4442" s="40" t="s">
        <v>21046</v>
      </c>
      <c r="E4442" s="41">
        <v>4.1100000000000003</v>
      </c>
      <c r="F4442" s="40"/>
      <c r="G4442" s="41"/>
      <c r="H4442" s="40"/>
      <c r="I4442" s="41"/>
      <c r="J4442" s="41">
        <f t="shared" si="17"/>
        <v>4.1100000000000003</v>
      </c>
      <c r="K4442" s="42" t="s">
        <v>5796</v>
      </c>
      <c r="L4442" s="39">
        <v>4434</v>
      </c>
    </row>
    <row r="4443" spans="1:12" ht="11.25" customHeight="1">
      <c r="A4443" s="39">
        <v>4435</v>
      </c>
      <c r="B4443" s="40" t="s">
        <v>21047</v>
      </c>
      <c r="C4443" s="40" t="s">
        <v>21048</v>
      </c>
      <c r="D4443" s="40" t="s">
        <v>21049</v>
      </c>
      <c r="E4443" s="41">
        <v>4.1100000000000003</v>
      </c>
      <c r="F4443" s="40"/>
      <c r="G4443" s="41"/>
      <c r="H4443" s="40"/>
      <c r="I4443" s="41"/>
      <c r="J4443" s="41">
        <f t="shared" si="17"/>
        <v>4.1100000000000003</v>
      </c>
      <c r="K4443" s="42" t="s">
        <v>5796</v>
      </c>
      <c r="L4443" s="39">
        <v>4435</v>
      </c>
    </row>
    <row r="4444" spans="1:12" ht="11.25" customHeight="1">
      <c r="A4444" s="39">
        <v>4436</v>
      </c>
      <c r="B4444" s="40" t="s">
        <v>21050</v>
      </c>
      <c r="C4444" s="40" t="s">
        <v>21051</v>
      </c>
      <c r="D4444" s="40" t="s">
        <v>21052</v>
      </c>
      <c r="E4444" s="41">
        <v>4.1100000000000003</v>
      </c>
      <c r="F4444" s="40"/>
      <c r="G4444" s="41"/>
      <c r="H4444" s="40"/>
      <c r="I4444" s="41"/>
      <c r="J4444" s="41">
        <f t="shared" si="17"/>
        <v>4.1100000000000003</v>
      </c>
      <c r="K4444" s="42" t="s">
        <v>5796</v>
      </c>
      <c r="L4444" s="39">
        <v>4436</v>
      </c>
    </row>
    <row r="4445" spans="1:12" ht="11.25" customHeight="1">
      <c r="A4445" s="39">
        <v>4437</v>
      </c>
      <c r="B4445" s="52" t="s">
        <v>9556</v>
      </c>
      <c r="C4445" s="52" t="s">
        <v>21053</v>
      </c>
      <c r="D4445" s="40"/>
      <c r="E4445" s="41"/>
      <c r="F4445" s="40"/>
      <c r="G4445" s="41"/>
      <c r="H4445" s="52" t="s">
        <v>21054</v>
      </c>
      <c r="I4445" s="53">
        <v>4.1058059000000062</v>
      </c>
      <c r="J4445" s="41">
        <f t="shared" si="17"/>
        <v>4.1058059000000062</v>
      </c>
      <c r="K4445" s="42" t="s">
        <v>5796</v>
      </c>
      <c r="L4445" s="39">
        <v>4437</v>
      </c>
    </row>
    <row r="4446" spans="1:12" ht="11.25" customHeight="1">
      <c r="A4446" s="39">
        <v>4438</v>
      </c>
      <c r="B4446" s="40" t="s">
        <v>21055</v>
      </c>
      <c r="C4446" s="40" t="s">
        <v>21056</v>
      </c>
      <c r="D4446" s="40" t="s">
        <v>21057</v>
      </c>
      <c r="E4446" s="41">
        <v>4.0999999999999996</v>
      </c>
      <c r="F4446" s="40"/>
      <c r="G4446" s="41"/>
      <c r="H4446" s="40"/>
      <c r="I4446" s="41"/>
      <c r="J4446" s="41">
        <f t="shared" si="17"/>
        <v>4.0999999999999996</v>
      </c>
      <c r="K4446" s="42" t="s">
        <v>5796</v>
      </c>
      <c r="L4446" s="39">
        <v>4438</v>
      </c>
    </row>
    <row r="4447" spans="1:12" ht="11.25" customHeight="1">
      <c r="A4447" s="39">
        <v>4439</v>
      </c>
      <c r="B4447" s="40" t="s">
        <v>21058</v>
      </c>
      <c r="C4447" s="40" t="s">
        <v>21059</v>
      </c>
      <c r="D4447" s="40" t="s">
        <v>21060</v>
      </c>
      <c r="E4447" s="41">
        <v>4.0999999999999996</v>
      </c>
      <c r="F4447" s="40"/>
      <c r="G4447" s="41"/>
      <c r="H4447" s="40"/>
      <c r="I4447" s="41"/>
      <c r="J4447" s="41">
        <f t="shared" si="17"/>
        <v>4.0999999999999996</v>
      </c>
      <c r="K4447" s="42" t="s">
        <v>5796</v>
      </c>
      <c r="L4447" s="39">
        <v>4439</v>
      </c>
    </row>
    <row r="4448" spans="1:12" ht="11.25" customHeight="1">
      <c r="A4448" s="39">
        <v>4440</v>
      </c>
      <c r="B4448" s="40" t="s">
        <v>21061</v>
      </c>
      <c r="C4448" s="40" t="s">
        <v>21062</v>
      </c>
      <c r="D4448" s="40" t="s">
        <v>21063</v>
      </c>
      <c r="E4448" s="41">
        <v>4.0999999999999996</v>
      </c>
      <c r="F4448" s="40"/>
      <c r="G4448" s="41"/>
      <c r="H4448" s="40"/>
      <c r="I4448" s="41"/>
      <c r="J4448" s="41">
        <f t="shared" si="17"/>
        <v>4.0999999999999996</v>
      </c>
      <c r="K4448" s="42" t="s">
        <v>5796</v>
      </c>
      <c r="L4448" s="39">
        <v>4440</v>
      </c>
    </row>
    <row r="4449" spans="1:12" ht="11.25" customHeight="1">
      <c r="A4449" s="39">
        <v>4441</v>
      </c>
      <c r="B4449" s="40" t="s">
        <v>21064</v>
      </c>
      <c r="C4449" s="40" t="s">
        <v>21065</v>
      </c>
      <c r="D4449" s="40" t="s">
        <v>21066</v>
      </c>
      <c r="E4449" s="41">
        <v>4.09</v>
      </c>
      <c r="F4449" s="40"/>
      <c r="G4449" s="41"/>
      <c r="H4449" s="40"/>
      <c r="I4449" s="41"/>
      <c r="J4449" s="41">
        <f t="shared" si="17"/>
        <v>4.09</v>
      </c>
      <c r="K4449" s="42" t="s">
        <v>5796</v>
      </c>
      <c r="L4449" s="39">
        <v>4441</v>
      </c>
    </row>
    <row r="4450" spans="1:12" ht="11.25" customHeight="1">
      <c r="A4450" s="39">
        <v>4442</v>
      </c>
      <c r="B4450" s="40" t="s">
        <v>21067</v>
      </c>
      <c r="C4450" s="40" t="s">
        <v>21068</v>
      </c>
      <c r="D4450" s="40" t="s">
        <v>21069</v>
      </c>
      <c r="E4450" s="41">
        <v>4.08</v>
      </c>
      <c r="F4450" s="40"/>
      <c r="G4450" s="41"/>
      <c r="H4450" s="40"/>
      <c r="I4450" s="41"/>
      <c r="J4450" s="41">
        <f t="shared" si="17"/>
        <v>4.08</v>
      </c>
      <c r="K4450" s="42" t="s">
        <v>5796</v>
      </c>
      <c r="L4450" s="39">
        <v>4442</v>
      </c>
    </row>
    <row r="4451" spans="1:12" ht="11.25" customHeight="1">
      <c r="A4451" s="39">
        <v>4443</v>
      </c>
      <c r="B4451" s="40" t="s">
        <v>21070</v>
      </c>
      <c r="C4451" s="40" t="s">
        <v>21071</v>
      </c>
      <c r="D4451" s="40" t="s">
        <v>21072</v>
      </c>
      <c r="E4451" s="41">
        <v>4.08</v>
      </c>
      <c r="F4451" s="40"/>
      <c r="G4451" s="41"/>
      <c r="H4451" s="40"/>
      <c r="I4451" s="41"/>
      <c r="J4451" s="41">
        <f t="shared" si="17"/>
        <v>4.08</v>
      </c>
      <c r="K4451" s="42" t="s">
        <v>5796</v>
      </c>
      <c r="L4451" s="39">
        <v>4443</v>
      </c>
    </row>
    <row r="4452" spans="1:12" ht="11.25" customHeight="1">
      <c r="A4452" s="39">
        <v>4444</v>
      </c>
      <c r="B4452" s="40" t="s">
        <v>21073</v>
      </c>
      <c r="C4452" s="40" t="s">
        <v>21074</v>
      </c>
      <c r="D4452" s="40" t="s">
        <v>21075</v>
      </c>
      <c r="E4452" s="41">
        <v>4.08</v>
      </c>
      <c r="F4452" s="40"/>
      <c r="G4452" s="41"/>
      <c r="H4452" s="40"/>
      <c r="I4452" s="41"/>
      <c r="J4452" s="41">
        <f t="shared" si="17"/>
        <v>4.08</v>
      </c>
      <c r="K4452" s="42" t="s">
        <v>5796</v>
      </c>
      <c r="L4452" s="39">
        <v>4444</v>
      </c>
    </row>
    <row r="4453" spans="1:12" ht="11.25" customHeight="1">
      <c r="A4453" s="39">
        <v>4445</v>
      </c>
      <c r="B4453" s="40" t="s">
        <v>21076</v>
      </c>
      <c r="C4453" s="40" t="s">
        <v>21077</v>
      </c>
      <c r="D4453" s="40" t="s">
        <v>21078</v>
      </c>
      <c r="E4453" s="41">
        <v>4.07</v>
      </c>
      <c r="F4453" s="40"/>
      <c r="G4453" s="41"/>
      <c r="H4453" s="40"/>
      <c r="I4453" s="41"/>
      <c r="J4453" s="41">
        <f t="shared" si="17"/>
        <v>4.07</v>
      </c>
      <c r="K4453" s="42" t="s">
        <v>5796</v>
      </c>
      <c r="L4453" s="39">
        <v>4445</v>
      </c>
    </row>
    <row r="4454" spans="1:12" ht="11.25" customHeight="1">
      <c r="A4454" s="39">
        <v>4446</v>
      </c>
      <c r="B4454" s="40" t="s">
        <v>21079</v>
      </c>
      <c r="C4454" s="40" t="s">
        <v>21080</v>
      </c>
      <c r="D4454" s="40" t="s">
        <v>21081</v>
      </c>
      <c r="E4454" s="41">
        <v>4.07</v>
      </c>
      <c r="F4454" s="40"/>
      <c r="G4454" s="41"/>
      <c r="H4454" s="40"/>
      <c r="I4454" s="41"/>
      <c r="J4454" s="41">
        <f t="shared" si="17"/>
        <v>4.07</v>
      </c>
      <c r="K4454" s="42" t="s">
        <v>5796</v>
      </c>
      <c r="L4454" s="39">
        <v>4446</v>
      </c>
    </row>
    <row r="4455" spans="1:12" ht="11.25" customHeight="1">
      <c r="A4455" s="39">
        <v>4447</v>
      </c>
      <c r="B4455" s="40" t="s">
        <v>21082</v>
      </c>
      <c r="C4455" s="40" t="s">
        <v>21083</v>
      </c>
      <c r="D4455" s="40" t="s">
        <v>21084</v>
      </c>
      <c r="E4455" s="41">
        <v>4.04</v>
      </c>
      <c r="F4455" s="40"/>
      <c r="G4455" s="41"/>
      <c r="H4455" s="40"/>
      <c r="I4455" s="41"/>
      <c r="J4455" s="41">
        <f t="shared" si="17"/>
        <v>4.04</v>
      </c>
      <c r="K4455" s="42" t="s">
        <v>5796</v>
      </c>
      <c r="L4455" s="39">
        <v>4447</v>
      </c>
    </row>
    <row r="4456" spans="1:12" ht="11.25" customHeight="1">
      <c r="A4456" s="39">
        <v>4448</v>
      </c>
      <c r="B4456" s="40" t="s">
        <v>21085</v>
      </c>
      <c r="C4456" s="40" t="s">
        <v>21086</v>
      </c>
      <c r="D4456" s="40" t="s">
        <v>21087</v>
      </c>
      <c r="E4456" s="41">
        <v>4.04</v>
      </c>
      <c r="F4456" s="40"/>
      <c r="G4456" s="41"/>
      <c r="H4456" s="40"/>
      <c r="I4456" s="41"/>
      <c r="J4456" s="41">
        <f t="shared" si="17"/>
        <v>4.04</v>
      </c>
      <c r="K4456" s="42" t="s">
        <v>5796</v>
      </c>
      <c r="L4456" s="39">
        <v>4448</v>
      </c>
    </row>
    <row r="4457" spans="1:12" ht="11.25" customHeight="1">
      <c r="A4457" s="39">
        <v>4449</v>
      </c>
      <c r="B4457" s="40" t="s">
        <v>9599</v>
      </c>
      <c r="C4457" s="40" t="s">
        <v>21088</v>
      </c>
      <c r="D4457" s="40" t="s">
        <v>21089</v>
      </c>
      <c r="E4457" s="41">
        <v>4.04</v>
      </c>
      <c r="F4457" s="40"/>
      <c r="G4457" s="41"/>
      <c r="H4457" s="40"/>
      <c r="I4457" s="41"/>
      <c r="J4457" s="41">
        <f t="shared" si="17"/>
        <v>4.04</v>
      </c>
      <c r="K4457" s="42" t="s">
        <v>5796</v>
      </c>
      <c r="L4457" s="39">
        <v>4449</v>
      </c>
    </row>
    <row r="4458" spans="1:12" ht="11.25" customHeight="1">
      <c r="A4458" s="39">
        <v>4450</v>
      </c>
      <c r="B4458" s="40" t="s">
        <v>9447</v>
      </c>
      <c r="C4458" s="40" t="s">
        <v>21090</v>
      </c>
      <c r="D4458" s="40" t="s">
        <v>21091</v>
      </c>
      <c r="E4458" s="41">
        <v>4.03</v>
      </c>
      <c r="F4458" s="40"/>
      <c r="G4458" s="41"/>
      <c r="H4458" s="40"/>
      <c r="I4458" s="41"/>
      <c r="J4458" s="41">
        <f t="shared" si="17"/>
        <v>4.03</v>
      </c>
      <c r="K4458" s="42" t="s">
        <v>5796</v>
      </c>
      <c r="L4458" s="39">
        <v>4450</v>
      </c>
    </row>
    <row r="4459" spans="1:12" ht="11.25" customHeight="1">
      <c r="A4459" s="39">
        <v>4451</v>
      </c>
      <c r="B4459" s="40" t="s">
        <v>21092</v>
      </c>
      <c r="C4459" s="40" t="s">
        <v>21093</v>
      </c>
      <c r="D4459" s="40" t="s">
        <v>21094</v>
      </c>
      <c r="E4459" s="41">
        <v>4.0199999999999996</v>
      </c>
      <c r="F4459" s="40"/>
      <c r="G4459" s="41"/>
      <c r="H4459" s="40"/>
      <c r="I4459" s="41"/>
      <c r="J4459" s="41">
        <f t="shared" si="17"/>
        <v>4.0199999999999996</v>
      </c>
      <c r="K4459" s="42" t="s">
        <v>5796</v>
      </c>
      <c r="L4459" s="39">
        <v>4451</v>
      </c>
    </row>
    <row r="4460" spans="1:12" ht="11.25" customHeight="1">
      <c r="A4460" s="39">
        <v>4452</v>
      </c>
      <c r="B4460" s="40" t="s">
        <v>21095</v>
      </c>
      <c r="C4460" s="40" t="s">
        <v>21096</v>
      </c>
      <c r="D4460" s="40" t="s">
        <v>21097</v>
      </c>
      <c r="E4460" s="41">
        <v>4.01</v>
      </c>
      <c r="F4460" s="40"/>
      <c r="G4460" s="41"/>
      <c r="H4460" s="40"/>
      <c r="I4460" s="41"/>
      <c r="J4460" s="41">
        <f t="shared" si="17"/>
        <v>4.01</v>
      </c>
      <c r="K4460" s="42" t="s">
        <v>5796</v>
      </c>
      <c r="L4460" s="39">
        <v>4452</v>
      </c>
    </row>
    <row r="4461" spans="1:12" ht="11.25" customHeight="1">
      <c r="A4461" s="39">
        <v>4453</v>
      </c>
      <c r="B4461" s="40" t="s">
        <v>9574</v>
      </c>
      <c r="C4461" s="40" t="s">
        <v>21098</v>
      </c>
      <c r="D4461" s="40" t="s">
        <v>21099</v>
      </c>
      <c r="E4461" s="41">
        <v>4</v>
      </c>
      <c r="F4461" s="40"/>
      <c r="G4461" s="41"/>
      <c r="H4461" s="40"/>
      <c r="I4461" s="41"/>
      <c r="J4461" s="41">
        <f t="shared" si="17"/>
        <v>4</v>
      </c>
      <c r="K4461" s="42" t="s">
        <v>5796</v>
      </c>
      <c r="L4461" s="39">
        <v>4453</v>
      </c>
    </row>
    <row r="4462" spans="1:12" ht="11.25" customHeight="1">
      <c r="A4462" s="39">
        <v>4454</v>
      </c>
      <c r="B4462" s="40" t="s">
        <v>21100</v>
      </c>
      <c r="C4462" s="40" t="s">
        <v>21101</v>
      </c>
      <c r="D4462" s="40" t="s">
        <v>21102</v>
      </c>
      <c r="E4462" s="41">
        <v>4</v>
      </c>
      <c r="F4462" s="40"/>
      <c r="G4462" s="41"/>
      <c r="H4462" s="40"/>
      <c r="I4462" s="41"/>
      <c r="J4462" s="41">
        <f t="shared" si="17"/>
        <v>4</v>
      </c>
      <c r="K4462" s="42" t="s">
        <v>5796</v>
      </c>
      <c r="L4462" s="39">
        <v>4454</v>
      </c>
    </row>
    <row r="4463" spans="1:12" ht="11.25" customHeight="1">
      <c r="A4463" s="39">
        <v>4455</v>
      </c>
      <c r="B4463" s="40" t="s">
        <v>21103</v>
      </c>
      <c r="C4463" s="40" t="s">
        <v>21104</v>
      </c>
      <c r="D4463" s="40" t="s">
        <v>21105</v>
      </c>
      <c r="E4463" s="41">
        <v>3.99</v>
      </c>
      <c r="F4463" s="40"/>
      <c r="G4463" s="41"/>
      <c r="H4463" s="40"/>
      <c r="I4463" s="41"/>
      <c r="J4463" s="41">
        <f t="shared" si="17"/>
        <v>3.99</v>
      </c>
      <c r="K4463" s="42" t="s">
        <v>5796</v>
      </c>
      <c r="L4463" s="39">
        <v>4455</v>
      </c>
    </row>
    <row r="4464" spans="1:12" ht="11.25" customHeight="1">
      <c r="A4464" s="39">
        <v>4456</v>
      </c>
      <c r="B4464" s="40" t="s">
        <v>21106</v>
      </c>
      <c r="C4464" s="40" t="s">
        <v>21107</v>
      </c>
      <c r="D4464" s="40" t="s">
        <v>21108</v>
      </c>
      <c r="E4464" s="41">
        <v>3.99</v>
      </c>
      <c r="F4464" s="40"/>
      <c r="G4464" s="41"/>
      <c r="H4464" s="40"/>
      <c r="I4464" s="41"/>
      <c r="J4464" s="41">
        <f t="shared" si="17"/>
        <v>3.99</v>
      </c>
      <c r="K4464" s="42" t="s">
        <v>5796</v>
      </c>
      <c r="L4464" s="39">
        <v>4456</v>
      </c>
    </row>
    <row r="4465" spans="1:12" ht="11.25" customHeight="1">
      <c r="A4465" s="39">
        <v>4457</v>
      </c>
      <c r="B4465" s="40" t="s">
        <v>21109</v>
      </c>
      <c r="C4465" s="40" t="s">
        <v>21110</v>
      </c>
      <c r="D4465" s="40" t="s">
        <v>21111</v>
      </c>
      <c r="E4465" s="41">
        <v>3.98</v>
      </c>
      <c r="F4465" s="40"/>
      <c r="G4465" s="41"/>
      <c r="H4465" s="40"/>
      <c r="I4465" s="41"/>
      <c r="J4465" s="41">
        <f t="shared" si="17"/>
        <v>3.98</v>
      </c>
      <c r="K4465" s="42" t="s">
        <v>5796</v>
      </c>
      <c r="L4465" s="39">
        <v>4457</v>
      </c>
    </row>
    <row r="4466" spans="1:12" ht="11.25" customHeight="1">
      <c r="A4466" s="39">
        <v>4458</v>
      </c>
      <c r="B4466" s="40" t="s">
        <v>21112</v>
      </c>
      <c r="C4466" s="40" t="s">
        <v>21113</v>
      </c>
      <c r="D4466" s="40" t="s">
        <v>21114</v>
      </c>
      <c r="E4466" s="41">
        <v>3.97</v>
      </c>
      <c r="F4466" s="40"/>
      <c r="G4466" s="41"/>
      <c r="H4466" s="40"/>
      <c r="I4466" s="41"/>
      <c r="J4466" s="41">
        <f t="shared" si="17"/>
        <v>3.97</v>
      </c>
      <c r="K4466" s="42" t="s">
        <v>5796</v>
      </c>
      <c r="L4466" s="39">
        <v>4458</v>
      </c>
    </row>
    <row r="4467" spans="1:12" ht="11.25" customHeight="1">
      <c r="A4467" s="39">
        <v>4459</v>
      </c>
      <c r="B4467" s="40" t="s">
        <v>21115</v>
      </c>
      <c r="C4467" s="40" t="s">
        <v>21116</v>
      </c>
      <c r="D4467" s="40" t="s">
        <v>21117</v>
      </c>
      <c r="E4467" s="41">
        <v>3.95</v>
      </c>
      <c r="F4467" s="40"/>
      <c r="G4467" s="41"/>
      <c r="H4467" s="40"/>
      <c r="I4467" s="41"/>
      <c r="J4467" s="41">
        <f t="shared" si="17"/>
        <v>3.95</v>
      </c>
      <c r="K4467" s="42" t="s">
        <v>5796</v>
      </c>
      <c r="L4467" s="39">
        <v>4459</v>
      </c>
    </row>
    <row r="4468" spans="1:12" ht="11.25" customHeight="1">
      <c r="A4468" s="39">
        <v>4460</v>
      </c>
      <c r="B4468" s="40" t="s">
        <v>21118</v>
      </c>
      <c r="C4468" s="40" t="s">
        <v>21119</v>
      </c>
      <c r="D4468" s="40" t="s">
        <v>21120</v>
      </c>
      <c r="E4468" s="41">
        <v>3.95</v>
      </c>
      <c r="F4468" s="40"/>
      <c r="G4468" s="41"/>
      <c r="H4468" s="40"/>
      <c r="I4468" s="41"/>
      <c r="J4468" s="41">
        <f t="shared" si="17"/>
        <v>3.95</v>
      </c>
      <c r="K4468" s="42" t="s">
        <v>5796</v>
      </c>
      <c r="L4468" s="39">
        <v>4460</v>
      </c>
    </row>
    <row r="4469" spans="1:12" ht="11.25" customHeight="1">
      <c r="A4469" s="39">
        <v>4461</v>
      </c>
      <c r="B4469" s="40" t="s">
        <v>21121</v>
      </c>
      <c r="C4469" s="40" t="s">
        <v>21122</v>
      </c>
      <c r="D4469" s="40" t="s">
        <v>21123</v>
      </c>
      <c r="E4469" s="41">
        <v>3.93</v>
      </c>
      <c r="F4469" s="40"/>
      <c r="G4469" s="41"/>
      <c r="H4469" s="40"/>
      <c r="I4469" s="41"/>
      <c r="J4469" s="41">
        <f t="shared" si="17"/>
        <v>3.93</v>
      </c>
      <c r="K4469" s="42" t="s">
        <v>5796</v>
      </c>
      <c r="L4469" s="39">
        <v>4461</v>
      </c>
    </row>
    <row r="4470" spans="1:12" ht="11.25" customHeight="1">
      <c r="A4470" s="39">
        <v>4462</v>
      </c>
      <c r="B4470" s="40" t="s">
        <v>21124</v>
      </c>
      <c r="C4470" s="40" t="s">
        <v>21125</v>
      </c>
      <c r="D4470" s="40" t="s">
        <v>21126</v>
      </c>
      <c r="E4470" s="41">
        <v>3.91</v>
      </c>
      <c r="F4470" s="40"/>
      <c r="G4470" s="41"/>
      <c r="H4470" s="40"/>
      <c r="I4470" s="41"/>
      <c r="J4470" s="41">
        <f t="shared" si="17"/>
        <v>3.91</v>
      </c>
      <c r="K4470" s="42" t="s">
        <v>5796</v>
      </c>
      <c r="L4470" s="39">
        <v>4462</v>
      </c>
    </row>
    <row r="4471" spans="1:12" ht="11.25" customHeight="1">
      <c r="A4471" s="39">
        <v>4463</v>
      </c>
      <c r="B4471" s="40" t="s">
        <v>21127</v>
      </c>
      <c r="C4471" s="40" t="s">
        <v>21128</v>
      </c>
      <c r="D4471" s="40" t="s">
        <v>21129</v>
      </c>
      <c r="E4471" s="41">
        <v>3.91</v>
      </c>
      <c r="F4471" s="40"/>
      <c r="G4471" s="41"/>
      <c r="H4471" s="40"/>
      <c r="I4471" s="41"/>
      <c r="J4471" s="41">
        <f t="shared" si="17"/>
        <v>3.91</v>
      </c>
      <c r="K4471" s="42" t="s">
        <v>5796</v>
      </c>
      <c r="L4471" s="39">
        <v>4463</v>
      </c>
    </row>
    <row r="4472" spans="1:12" ht="11.25" customHeight="1">
      <c r="A4472" s="39">
        <v>4464</v>
      </c>
      <c r="B4472" s="40" t="s">
        <v>21130</v>
      </c>
      <c r="C4472" s="40" t="s">
        <v>21131</v>
      </c>
      <c r="D4472" s="40" t="s">
        <v>21132</v>
      </c>
      <c r="E4472" s="41">
        <v>3.91</v>
      </c>
      <c r="F4472" s="40"/>
      <c r="G4472" s="41"/>
      <c r="H4472" s="40"/>
      <c r="I4472" s="41"/>
      <c r="J4472" s="41">
        <f t="shared" si="17"/>
        <v>3.91</v>
      </c>
      <c r="K4472" s="42" t="s">
        <v>5796</v>
      </c>
      <c r="L4472" s="39">
        <v>4464</v>
      </c>
    </row>
    <row r="4473" spans="1:12" ht="11.25" customHeight="1">
      <c r="A4473" s="39">
        <v>4465</v>
      </c>
      <c r="B4473" s="40" t="s">
        <v>9500</v>
      </c>
      <c r="C4473" s="40" t="s">
        <v>21133</v>
      </c>
      <c r="D4473" s="40" t="s">
        <v>21134</v>
      </c>
      <c r="E4473" s="41">
        <v>3.91</v>
      </c>
      <c r="F4473" s="40"/>
      <c r="G4473" s="41"/>
      <c r="H4473" s="40"/>
      <c r="I4473" s="41"/>
      <c r="J4473" s="41">
        <f t="shared" si="17"/>
        <v>3.91</v>
      </c>
      <c r="K4473" s="42" t="s">
        <v>5796</v>
      </c>
      <c r="L4473" s="39">
        <v>4465</v>
      </c>
    </row>
    <row r="4474" spans="1:12" ht="11.25" customHeight="1">
      <c r="A4474" s="39">
        <v>4466</v>
      </c>
      <c r="B4474" s="52" t="s">
        <v>9589</v>
      </c>
      <c r="C4474" s="52" t="s">
        <v>21135</v>
      </c>
      <c r="D4474" s="40"/>
      <c r="E4474" s="41"/>
      <c r="F4474" s="40"/>
      <c r="G4474" s="41"/>
      <c r="H4474" s="52" t="s">
        <v>21136</v>
      </c>
      <c r="I4474" s="53">
        <v>3.9005362500000045</v>
      </c>
      <c r="J4474" s="41">
        <f t="shared" si="17"/>
        <v>3.9005362500000045</v>
      </c>
      <c r="K4474" s="42" t="s">
        <v>5796</v>
      </c>
      <c r="L4474" s="39">
        <v>4466</v>
      </c>
    </row>
    <row r="4475" spans="1:12" ht="11.25" customHeight="1">
      <c r="A4475" s="39">
        <v>4467</v>
      </c>
      <c r="B4475" s="40" t="s">
        <v>21137</v>
      </c>
      <c r="C4475" s="40" t="s">
        <v>21138</v>
      </c>
      <c r="D4475" s="40" t="s">
        <v>21139</v>
      </c>
      <c r="E4475" s="41">
        <v>3.9</v>
      </c>
      <c r="F4475" s="40"/>
      <c r="G4475" s="41"/>
      <c r="H4475" s="40"/>
      <c r="I4475" s="41"/>
      <c r="J4475" s="41">
        <f t="shared" si="17"/>
        <v>3.9</v>
      </c>
      <c r="K4475" s="42" t="s">
        <v>5796</v>
      </c>
      <c r="L4475" s="39">
        <v>4467</v>
      </c>
    </row>
    <row r="4476" spans="1:12" ht="11.25" customHeight="1">
      <c r="A4476" s="39">
        <v>4468</v>
      </c>
      <c r="B4476" s="40" t="s">
        <v>21140</v>
      </c>
      <c r="C4476" s="40" t="s">
        <v>21141</v>
      </c>
      <c r="D4476" s="40" t="s">
        <v>21142</v>
      </c>
      <c r="E4476" s="41">
        <v>3.89</v>
      </c>
      <c r="F4476" s="40"/>
      <c r="G4476" s="41"/>
      <c r="H4476" s="40"/>
      <c r="I4476" s="41"/>
      <c r="J4476" s="41">
        <f t="shared" si="17"/>
        <v>3.89</v>
      </c>
      <c r="K4476" s="42" t="s">
        <v>5796</v>
      </c>
      <c r="L4476" s="39">
        <v>4468</v>
      </c>
    </row>
    <row r="4477" spans="1:12" ht="11.25" customHeight="1">
      <c r="A4477" s="39">
        <v>4469</v>
      </c>
      <c r="B4477" s="40" t="s">
        <v>21143</v>
      </c>
      <c r="C4477" s="40" t="s">
        <v>21144</v>
      </c>
      <c r="D4477" s="40" t="s">
        <v>21145</v>
      </c>
      <c r="E4477" s="41">
        <v>3.88</v>
      </c>
      <c r="F4477" s="40"/>
      <c r="G4477" s="41"/>
      <c r="H4477" s="40"/>
      <c r="I4477" s="41"/>
      <c r="J4477" s="41">
        <f t="shared" si="17"/>
        <v>3.88</v>
      </c>
      <c r="K4477" s="42" t="s">
        <v>5796</v>
      </c>
      <c r="L4477" s="39">
        <v>4469</v>
      </c>
    </row>
    <row r="4478" spans="1:12" ht="11.25" customHeight="1">
      <c r="A4478" s="39">
        <v>4470</v>
      </c>
      <c r="B4478" s="40" t="s">
        <v>21146</v>
      </c>
      <c r="C4478" s="40" t="s">
        <v>21147</v>
      </c>
      <c r="D4478" s="40" t="s">
        <v>21148</v>
      </c>
      <c r="E4478" s="41">
        <v>3.87</v>
      </c>
      <c r="F4478" s="40"/>
      <c r="G4478" s="41"/>
      <c r="H4478" s="40"/>
      <c r="I4478" s="41"/>
      <c r="J4478" s="41">
        <f t="shared" si="17"/>
        <v>3.87</v>
      </c>
      <c r="K4478" s="42" t="s">
        <v>5796</v>
      </c>
      <c r="L4478" s="39">
        <v>4470</v>
      </c>
    </row>
    <row r="4479" spans="1:12" ht="11.25" customHeight="1">
      <c r="A4479" s="39">
        <v>4471</v>
      </c>
      <c r="B4479" s="40" t="s">
        <v>21149</v>
      </c>
      <c r="C4479" s="40" t="s">
        <v>21150</v>
      </c>
      <c r="D4479" s="40" t="s">
        <v>21151</v>
      </c>
      <c r="E4479" s="41">
        <v>3.86</v>
      </c>
      <c r="F4479" s="40"/>
      <c r="G4479" s="41"/>
      <c r="H4479" s="40"/>
      <c r="I4479" s="41"/>
      <c r="J4479" s="41">
        <f t="shared" si="17"/>
        <v>3.86</v>
      </c>
      <c r="K4479" s="42" t="s">
        <v>5796</v>
      </c>
      <c r="L4479" s="39">
        <v>4471</v>
      </c>
    </row>
    <row r="4480" spans="1:12" ht="11.25" customHeight="1">
      <c r="A4480" s="39">
        <v>4472</v>
      </c>
      <c r="B4480" s="40" t="s">
        <v>21152</v>
      </c>
      <c r="C4480" s="40" t="s">
        <v>21153</v>
      </c>
      <c r="D4480" s="40" t="s">
        <v>21154</v>
      </c>
      <c r="E4480" s="41">
        <v>3.86</v>
      </c>
      <c r="F4480" s="40"/>
      <c r="G4480" s="41"/>
      <c r="H4480" s="40"/>
      <c r="I4480" s="41"/>
      <c r="J4480" s="41">
        <f t="shared" si="17"/>
        <v>3.86</v>
      </c>
      <c r="K4480" s="42" t="s">
        <v>5796</v>
      </c>
      <c r="L4480" s="39">
        <v>4472</v>
      </c>
    </row>
    <row r="4481" spans="1:12" ht="11.25" customHeight="1">
      <c r="A4481" s="39">
        <v>4473</v>
      </c>
      <c r="B4481" s="40" t="s">
        <v>21155</v>
      </c>
      <c r="C4481" s="40" t="s">
        <v>21156</v>
      </c>
      <c r="D4481" s="40" t="s">
        <v>21157</v>
      </c>
      <c r="E4481" s="41">
        <v>3.84</v>
      </c>
      <c r="F4481" s="40"/>
      <c r="G4481" s="41"/>
      <c r="H4481" s="40"/>
      <c r="I4481" s="41"/>
      <c r="J4481" s="41">
        <f t="shared" si="17"/>
        <v>3.84</v>
      </c>
      <c r="K4481" s="42" t="s">
        <v>5796</v>
      </c>
      <c r="L4481" s="39">
        <v>4473</v>
      </c>
    </row>
    <row r="4482" spans="1:12" ht="11.25" customHeight="1">
      <c r="A4482" s="39">
        <v>4474</v>
      </c>
      <c r="B4482" s="40" t="s">
        <v>21158</v>
      </c>
      <c r="C4482" s="40" t="s">
        <v>21159</v>
      </c>
      <c r="D4482" s="40" t="s">
        <v>21160</v>
      </c>
      <c r="E4482" s="41">
        <v>3.84</v>
      </c>
      <c r="F4482" s="40"/>
      <c r="G4482" s="41"/>
      <c r="H4482" s="40"/>
      <c r="I4482" s="41"/>
      <c r="J4482" s="41">
        <f t="shared" si="17"/>
        <v>3.84</v>
      </c>
      <c r="K4482" s="42" t="s">
        <v>5796</v>
      </c>
      <c r="L4482" s="39">
        <v>4474</v>
      </c>
    </row>
    <row r="4483" spans="1:12" ht="11.25" customHeight="1">
      <c r="A4483" s="39">
        <v>4476</v>
      </c>
      <c r="B4483" s="40" t="s">
        <v>21161</v>
      </c>
      <c r="C4483" s="40" t="s">
        <v>21162</v>
      </c>
      <c r="D4483" s="40" t="s">
        <v>21163</v>
      </c>
      <c r="E4483" s="41">
        <v>3.83</v>
      </c>
      <c r="F4483" s="40"/>
      <c r="G4483" s="41"/>
      <c r="H4483" s="40"/>
      <c r="I4483" s="41"/>
      <c r="J4483" s="41">
        <f t="shared" si="17"/>
        <v>3.83</v>
      </c>
      <c r="K4483" s="42" t="s">
        <v>5796</v>
      </c>
      <c r="L4483" s="39">
        <v>4476</v>
      </c>
    </row>
    <row r="4484" spans="1:12" ht="11.25" customHeight="1">
      <c r="A4484" s="39">
        <v>4477</v>
      </c>
      <c r="B4484" s="40" t="s">
        <v>21164</v>
      </c>
      <c r="C4484" s="40" t="s">
        <v>21165</v>
      </c>
      <c r="D4484" s="40" t="s">
        <v>21166</v>
      </c>
      <c r="E4484" s="41">
        <v>3.83</v>
      </c>
      <c r="F4484" s="40"/>
      <c r="G4484" s="41"/>
      <c r="H4484" s="40"/>
      <c r="I4484" s="41"/>
      <c r="J4484" s="41">
        <f t="shared" si="17"/>
        <v>3.83</v>
      </c>
      <c r="K4484" s="42" t="s">
        <v>5796</v>
      </c>
      <c r="L4484" s="39">
        <v>4477</v>
      </c>
    </row>
    <row r="4485" spans="1:12" ht="11.25" customHeight="1">
      <c r="A4485" s="39">
        <v>4478</v>
      </c>
      <c r="B4485" s="40" t="s">
        <v>21167</v>
      </c>
      <c r="C4485" s="40" t="s">
        <v>21168</v>
      </c>
      <c r="D4485" s="40" t="s">
        <v>21169</v>
      </c>
      <c r="E4485" s="41">
        <v>3.81</v>
      </c>
      <c r="F4485" s="40"/>
      <c r="G4485" s="41"/>
      <c r="H4485" s="40"/>
      <c r="I4485" s="41"/>
      <c r="J4485" s="41">
        <f t="shared" si="17"/>
        <v>3.81</v>
      </c>
      <c r="K4485" s="42" t="s">
        <v>5796</v>
      </c>
      <c r="L4485" s="39">
        <v>4478</v>
      </c>
    </row>
    <row r="4486" spans="1:12" ht="11.25" customHeight="1">
      <c r="A4486" s="39">
        <v>4479</v>
      </c>
      <c r="B4486" s="40" t="s">
        <v>21170</v>
      </c>
      <c r="C4486" s="40" t="s">
        <v>21171</v>
      </c>
      <c r="D4486" s="40" t="s">
        <v>21172</v>
      </c>
      <c r="E4486" s="41">
        <v>3.8</v>
      </c>
      <c r="F4486" s="40"/>
      <c r="G4486" s="41"/>
      <c r="H4486" s="40"/>
      <c r="I4486" s="41"/>
      <c r="J4486" s="41">
        <f t="shared" si="17"/>
        <v>3.8</v>
      </c>
      <c r="K4486" s="42" t="s">
        <v>5796</v>
      </c>
      <c r="L4486" s="39">
        <v>4479</v>
      </c>
    </row>
    <row r="4487" spans="1:12" ht="11.25" customHeight="1">
      <c r="A4487" s="39">
        <v>4480</v>
      </c>
      <c r="B4487" s="40" t="s">
        <v>21173</v>
      </c>
      <c r="C4487" s="40" t="s">
        <v>21174</v>
      </c>
      <c r="D4487" s="40" t="s">
        <v>21175</v>
      </c>
      <c r="E4487" s="41">
        <v>3.79</v>
      </c>
      <c r="F4487" s="40"/>
      <c r="G4487" s="41"/>
      <c r="H4487" s="40"/>
      <c r="I4487" s="41"/>
      <c r="J4487" s="41">
        <f t="shared" si="17"/>
        <v>3.79</v>
      </c>
      <c r="K4487" s="42" t="s">
        <v>5796</v>
      </c>
      <c r="L4487" s="39">
        <v>4480</v>
      </c>
    </row>
    <row r="4488" spans="1:12" ht="11.25" customHeight="1">
      <c r="A4488" s="39">
        <v>4481</v>
      </c>
      <c r="B4488" s="40" t="s">
        <v>21176</v>
      </c>
      <c r="C4488" s="40" t="s">
        <v>21177</v>
      </c>
      <c r="D4488" s="40" t="s">
        <v>21178</v>
      </c>
      <c r="E4488" s="41">
        <v>3.78</v>
      </c>
      <c r="F4488" s="40"/>
      <c r="G4488" s="41"/>
      <c r="H4488" s="40"/>
      <c r="I4488" s="41"/>
      <c r="J4488" s="41">
        <f t="shared" si="17"/>
        <v>3.78</v>
      </c>
      <c r="K4488" s="42" t="s">
        <v>5796</v>
      </c>
      <c r="L4488" s="39">
        <v>4481</v>
      </c>
    </row>
    <row r="4489" spans="1:12" ht="11.25" customHeight="1">
      <c r="A4489" s="39">
        <v>4482</v>
      </c>
      <c r="B4489" s="52" t="s">
        <v>9604</v>
      </c>
      <c r="C4489" s="52" t="s">
        <v>21179</v>
      </c>
      <c r="D4489" s="40"/>
      <c r="E4489" s="41"/>
      <c r="F4489" s="40"/>
      <c r="G4489" s="41"/>
      <c r="H4489" s="52" t="s">
        <v>21180</v>
      </c>
      <c r="I4489" s="53">
        <v>3.7749600000000068</v>
      </c>
      <c r="J4489" s="41">
        <f t="shared" si="17"/>
        <v>3.7749600000000068</v>
      </c>
      <c r="K4489" s="42" t="s">
        <v>5796</v>
      </c>
      <c r="L4489" s="39">
        <v>4482</v>
      </c>
    </row>
    <row r="4490" spans="1:12" ht="11.25" customHeight="1">
      <c r="A4490" s="39">
        <v>4483</v>
      </c>
      <c r="B4490" s="40" t="s">
        <v>21181</v>
      </c>
      <c r="C4490" s="40" t="s">
        <v>21182</v>
      </c>
      <c r="D4490" s="40" t="s">
        <v>21183</v>
      </c>
      <c r="E4490" s="41">
        <v>3.77</v>
      </c>
      <c r="F4490" s="40"/>
      <c r="G4490" s="41"/>
      <c r="H4490" s="40"/>
      <c r="I4490" s="41"/>
      <c r="J4490" s="41">
        <f t="shared" si="17"/>
        <v>3.77</v>
      </c>
      <c r="K4490" s="42" t="s">
        <v>5796</v>
      </c>
      <c r="L4490" s="39">
        <v>4483</v>
      </c>
    </row>
    <row r="4491" spans="1:12" ht="11.25" customHeight="1">
      <c r="A4491" s="39">
        <v>4484</v>
      </c>
      <c r="B4491" s="40" t="s">
        <v>21184</v>
      </c>
      <c r="C4491" s="40" t="s">
        <v>21185</v>
      </c>
      <c r="D4491" s="40" t="s">
        <v>21186</v>
      </c>
      <c r="E4491" s="41">
        <v>3.75</v>
      </c>
      <c r="F4491" s="40"/>
      <c r="G4491" s="41"/>
      <c r="H4491" s="40"/>
      <c r="I4491" s="41"/>
      <c r="J4491" s="41">
        <f t="shared" si="17"/>
        <v>3.75</v>
      </c>
      <c r="K4491" s="42" t="s">
        <v>5796</v>
      </c>
      <c r="L4491" s="39">
        <v>4484</v>
      </c>
    </row>
    <row r="4492" spans="1:12" ht="11.25" customHeight="1">
      <c r="A4492" s="39">
        <v>4485</v>
      </c>
      <c r="B4492" s="40" t="s">
        <v>21187</v>
      </c>
      <c r="C4492" s="40" t="s">
        <v>21188</v>
      </c>
      <c r="D4492" s="40" t="s">
        <v>21189</v>
      </c>
      <c r="E4492" s="41">
        <v>3.74</v>
      </c>
      <c r="F4492" s="40"/>
      <c r="G4492" s="41"/>
      <c r="H4492" s="40"/>
      <c r="I4492" s="41"/>
      <c r="J4492" s="41">
        <f t="shared" si="17"/>
        <v>3.74</v>
      </c>
      <c r="K4492" s="42" t="s">
        <v>5796</v>
      </c>
      <c r="L4492" s="39">
        <v>4485</v>
      </c>
    </row>
    <row r="4493" spans="1:12" ht="11.25" customHeight="1">
      <c r="A4493" s="39">
        <v>4486</v>
      </c>
      <c r="B4493" s="52" t="s">
        <v>9607</v>
      </c>
      <c r="C4493" s="52" t="s">
        <v>21190</v>
      </c>
      <c r="D4493" s="40"/>
      <c r="E4493" s="41"/>
      <c r="F4493" s="40"/>
      <c r="G4493" s="41"/>
      <c r="H4493" s="52" t="s">
        <v>21191</v>
      </c>
      <c r="I4493" s="53">
        <v>3.7378949999999933</v>
      </c>
      <c r="J4493" s="41">
        <f t="shared" si="17"/>
        <v>3.7378949999999933</v>
      </c>
      <c r="K4493" s="42" t="s">
        <v>5796</v>
      </c>
      <c r="L4493" s="39">
        <v>4486</v>
      </c>
    </row>
    <row r="4494" spans="1:12" ht="11.25" customHeight="1">
      <c r="A4494" s="39">
        <v>4487</v>
      </c>
      <c r="B4494" s="40" t="s">
        <v>21192</v>
      </c>
      <c r="C4494" s="40" t="s">
        <v>21193</v>
      </c>
      <c r="D4494" s="40" t="s">
        <v>21194</v>
      </c>
      <c r="E4494" s="41">
        <v>3.73</v>
      </c>
      <c r="F4494" s="40"/>
      <c r="G4494" s="41"/>
      <c r="H4494" s="40"/>
      <c r="I4494" s="41"/>
      <c r="J4494" s="41">
        <f t="shared" si="17"/>
        <v>3.73</v>
      </c>
      <c r="K4494" s="42" t="s">
        <v>5796</v>
      </c>
      <c r="L4494" s="39">
        <v>4487</v>
      </c>
    </row>
    <row r="4495" spans="1:12" ht="11.25" customHeight="1">
      <c r="A4495" s="39">
        <v>4489</v>
      </c>
      <c r="B4495" s="40" t="s">
        <v>21195</v>
      </c>
      <c r="C4495" s="40" t="s">
        <v>21196</v>
      </c>
      <c r="D4495" s="40" t="s">
        <v>21197</v>
      </c>
      <c r="E4495" s="41">
        <v>3.7</v>
      </c>
      <c r="F4495" s="40"/>
      <c r="G4495" s="41"/>
      <c r="H4495" s="40"/>
      <c r="I4495" s="41"/>
      <c r="J4495" s="41">
        <f t="shared" si="17"/>
        <v>3.7</v>
      </c>
      <c r="K4495" s="42" t="s">
        <v>5796</v>
      </c>
      <c r="L4495" s="39">
        <v>4489</v>
      </c>
    </row>
    <row r="4496" spans="1:12" ht="11.25" customHeight="1">
      <c r="A4496" s="39">
        <v>4490</v>
      </c>
      <c r="B4496" s="40" t="s">
        <v>21198</v>
      </c>
      <c r="C4496" s="40" t="s">
        <v>21199</v>
      </c>
      <c r="D4496" s="40" t="s">
        <v>21200</v>
      </c>
      <c r="E4496" s="41">
        <v>3.7</v>
      </c>
      <c r="F4496" s="40"/>
      <c r="G4496" s="41"/>
      <c r="H4496" s="40"/>
      <c r="I4496" s="41"/>
      <c r="J4496" s="41">
        <f t="shared" si="17"/>
        <v>3.7</v>
      </c>
      <c r="K4496" s="42" t="s">
        <v>5796</v>
      </c>
      <c r="L4496" s="39">
        <v>4490</v>
      </c>
    </row>
    <row r="4497" spans="1:12" ht="11.25" customHeight="1">
      <c r="A4497" s="39">
        <v>4491</v>
      </c>
      <c r="B4497" s="40" t="s">
        <v>21201</v>
      </c>
      <c r="C4497" s="40" t="s">
        <v>21202</v>
      </c>
      <c r="D4497" s="40" t="s">
        <v>21203</v>
      </c>
      <c r="E4497" s="41">
        <v>3.7</v>
      </c>
      <c r="F4497" s="40"/>
      <c r="G4497" s="41"/>
      <c r="H4497" s="40"/>
      <c r="I4497" s="41"/>
      <c r="J4497" s="41">
        <f t="shared" si="17"/>
        <v>3.7</v>
      </c>
      <c r="K4497" s="42" t="s">
        <v>5796</v>
      </c>
      <c r="L4497" s="39">
        <v>4491</v>
      </c>
    </row>
    <row r="4498" spans="1:12" ht="11.25" customHeight="1">
      <c r="A4498" s="39">
        <v>4492</v>
      </c>
      <c r="B4498" s="40" t="s">
        <v>9614</v>
      </c>
      <c r="C4498" s="40" t="s">
        <v>21204</v>
      </c>
      <c r="D4498" s="40" t="s">
        <v>21205</v>
      </c>
      <c r="E4498" s="41">
        <v>3.7</v>
      </c>
      <c r="F4498" s="40"/>
      <c r="G4498" s="41"/>
      <c r="H4498" s="40"/>
      <c r="I4498" s="41"/>
      <c r="J4498" s="41">
        <f t="shared" si="17"/>
        <v>3.7</v>
      </c>
      <c r="K4498" s="42" t="s">
        <v>5796</v>
      </c>
      <c r="L4498" s="39">
        <v>4492</v>
      </c>
    </row>
    <row r="4499" spans="1:12" ht="11.25" customHeight="1">
      <c r="A4499" s="39">
        <v>4493</v>
      </c>
      <c r="B4499" s="40" t="s">
        <v>21206</v>
      </c>
      <c r="C4499" s="40" t="s">
        <v>21207</v>
      </c>
      <c r="D4499" s="40" t="s">
        <v>21208</v>
      </c>
      <c r="E4499" s="41">
        <v>3.67</v>
      </c>
      <c r="F4499" s="40"/>
      <c r="G4499" s="41"/>
      <c r="H4499" s="40"/>
      <c r="I4499" s="41"/>
      <c r="J4499" s="41">
        <f t="shared" si="17"/>
        <v>3.67</v>
      </c>
      <c r="K4499" s="42" t="s">
        <v>5796</v>
      </c>
      <c r="L4499" s="39">
        <v>4493</v>
      </c>
    </row>
    <row r="4500" spans="1:12" ht="11.25" customHeight="1">
      <c r="A4500" s="39">
        <v>4494</v>
      </c>
      <c r="B4500" s="40" t="s">
        <v>21209</v>
      </c>
      <c r="C4500" s="40" t="s">
        <v>21210</v>
      </c>
      <c r="D4500" s="40" t="s">
        <v>21211</v>
      </c>
      <c r="E4500" s="41">
        <v>3.65</v>
      </c>
      <c r="F4500" s="40"/>
      <c r="G4500" s="41"/>
      <c r="H4500" s="40"/>
      <c r="I4500" s="41"/>
      <c r="J4500" s="41">
        <f t="shared" si="17"/>
        <v>3.65</v>
      </c>
      <c r="K4500" s="42" t="s">
        <v>5796</v>
      </c>
      <c r="L4500" s="39">
        <v>4494</v>
      </c>
    </row>
    <row r="4501" spans="1:12" ht="11.25" customHeight="1">
      <c r="A4501" s="39">
        <v>4495</v>
      </c>
      <c r="B4501" s="40" t="s">
        <v>21212</v>
      </c>
      <c r="C4501" s="40" t="s">
        <v>21213</v>
      </c>
      <c r="D4501" s="40" t="s">
        <v>21214</v>
      </c>
      <c r="E4501" s="41">
        <v>3.64</v>
      </c>
      <c r="F4501" s="40"/>
      <c r="G4501" s="41"/>
      <c r="H4501" s="40"/>
      <c r="I4501" s="41"/>
      <c r="J4501" s="41">
        <f t="shared" si="17"/>
        <v>3.64</v>
      </c>
      <c r="K4501" s="42" t="s">
        <v>5796</v>
      </c>
      <c r="L4501" s="39">
        <v>4495</v>
      </c>
    </row>
    <row r="4502" spans="1:12" ht="11.25" customHeight="1">
      <c r="A4502" s="39">
        <v>4496</v>
      </c>
      <c r="B4502" s="40" t="s">
        <v>21215</v>
      </c>
      <c r="C4502" s="40" t="s">
        <v>21216</v>
      </c>
      <c r="D4502" s="40" t="s">
        <v>21217</v>
      </c>
      <c r="E4502" s="41">
        <v>3.64</v>
      </c>
      <c r="F4502" s="40"/>
      <c r="G4502" s="41"/>
      <c r="H4502" s="40"/>
      <c r="I4502" s="41"/>
      <c r="J4502" s="41">
        <f t="shared" si="17"/>
        <v>3.64</v>
      </c>
      <c r="K4502" s="42" t="s">
        <v>5796</v>
      </c>
      <c r="L4502" s="39">
        <v>4496</v>
      </c>
    </row>
    <row r="4503" spans="1:12" ht="11.25" customHeight="1">
      <c r="A4503" s="39">
        <v>4497</v>
      </c>
      <c r="B4503" s="40" t="s">
        <v>21218</v>
      </c>
      <c r="C4503" s="40" t="s">
        <v>21219</v>
      </c>
      <c r="D4503" s="40" t="s">
        <v>21220</v>
      </c>
      <c r="E4503" s="41">
        <v>3.6</v>
      </c>
      <c r="F4503" s="40"/>
      <c r="G4503" s="41"/>
      <c r="H4503" s="40"/>
      <c r="I4503" s="41"/>
      <c r="J4503" s="41">
        <f t="shared" si="17"/>
        <v>3.6</v>
      </c>
      <c r="K4503" s="42" t="s">
        <v>5796</v>
      </c>
      <c r="L4503" s="39">
        <v>4497</v>
      </c>
    </row>
    <row r="4504" spans="1:12" ht="11.25" customHeight="1">
      <c r="A4504" s="39">
        <v>4498</v>
      </c>
      <c r="B4504" s="40" t="s">
        <v>9531</v>
      </c>
      <c r="C4504" s="40" t="s">
        <v>21221</v>
      </c>
      <c r="D4504" s="40" t="s">
        <v>21222</v>
      </c>
      <c r="E4504" s="41">
        <v>3.6</v>
      </c>
      <c r="F4504" s="40"/>
      <c r="G4504" s="41"/>
      <c r="H4504" s="40"/>
      <c r="I4504" s="41"/>
      <c r="J4504" s="41">
        <f t="shared" si="17"/>
        <v>3.6</v>
      </c>
      <c r="K4504" s="42" t="s">
        <v>5796</v>
      </c>
      <c r="L4504" s="39">
        <v>4498</v>
      </c>
    </row>
    <row r="4505" spans="1:12" ht="11.25" customHeight="1">
      <c r="A4505" s="39">
        <v>4499</v>
      </c>
      <c r="B4505" s="40" t="s">
        <v>21223</v>
      </c>
      <c r="C4505" s="40" t="s">
        <v>21224</v>
      </c>
      <c r="D4505" s="40" t="s">
        <v>21225</v>
      </c>
      <c r="E4505" s="41">
        <v>3.59</v>
      </c>
      <c r="F4505" s="40"/>
      <c r="G4505" s="41"/>
      <c r="H4505" s="40"/>
      <c r="I4505" s="41"/>
      <c r="J4505" s="41">
        <f t="shared" si="17"/>
        <v>3.59</v>
      </c>
      <c r="K4505" s="42" t="s">
        <v>5796</v>
      </c>
      <c r="L4505" s="39">
        <v>4499</v>
      </c>
    </row>
    <row r="4506" spans="1:12" ht="11.25" customHeight="1">
      <c r="A4506" s="39">
        <v>4500</v>
      </c>
      <c r="B4506" s="40" t="s">
        <v>21226</v>
      </c>
      <c r="C4506" s="40" t="s">
        <v>21227</v>
      </c>
      <c r="D4506" s="40" t="s">
        <v>21228</v>
      </c>
      <c r="E4506" s="41">
        <v>3.58</v>
      </c>
      <c r="F4506" s="40"/>
      <c r="G4506" s="41"/>
      <c r="H4506" s="40"/>
      <c r="I4506" s="41"/>
      <c r="J4506" s="41">
        <f t="shared" si="17"/>
        <v>3.58</v>
      </c>
      <c r="K4506" s="42" t="s">
        <v>5796</v>
      </c>
      <c r="L4506" s="39">
        <v>4500</v>
      </c>
    </row>
    <row r="4507" spans="1:12" ht="11.25" customHeight="1">
      <c r="A4507" s="39">
        <v>4501</v>
      </c>
      <c r="B4507" s="40" t="s">
        <v>21229</v>
      </c>
      <c r="C4507" s="40" t="s">
        <v>21230</v>
      </c>
      <c r="D4507" s="40" t="s">
        <v>21231</v>
      </c>
      <c r="E4507" s="41">
        <v>3.57</v>
      </c>
      <c r="F4507" s="40"/>
      <c r="G4507" s="41"/>
      <c r="H4507" s="40"/>
      <c r="I4507" s="41"/>
      <c r="J4507" s="41">
        <f t="shared" si="17"/>
        <v>3.57</v>
      </c>
      <c r="K4507" s="42" t="s">
        <v>5796</v>
      </c>
      <c r="L4507" s="39">
        <v>4501</v>
      </c>
    </row>
    <row r="4508" spans="1:12" ht="11.25" customHeight="1">
      <c r="A4508" s="39">
        <v>4502</v>
      </c>
      <c r="B4508" s="40" t="s">
        <v>21232</v>
      </c>
      <c r="C4508" s="40" t="s">
        <v>21233</v>
      </c>
      <c r="D4508" s="40" t="s">
        <v>21234</v>
      </c>
      <c r="E4508" s="41">
        <v>3.57</v>
      </c>
      <c r="F4508" s="40"/>
      <c r="G4508" s="41"/>
      <c r="H4508" s="40"/>
      <c r="I4508" s="41"/>
      <c r="J4508" s="41">
        <f t="shared" si="17"/>
        <v>3.57</v>
      </c>
      <c r="K4508" s="42" t="s">
        <v>5796</v>
      </c>
      <c r="L4508" s="39">
        <v>4502</v>
      </c>
    </row>
    <row r="4509" spans="1:12" ht="11.25" customHeight="1">
      <c r="A4509" s="39">
        <v>4503</v>
      </c>
      <c r="B4509" s="52" t="s">
        <v>9637</v>
      </c>
      <c r="C4509" s="52" t="s">
        <v>21235</v>
      </c>
      <c r="D4509" s="40"/>
      <c r="E4509" s="41"/>
      <c r="F4509" s="40"/>
      <c r="G4509" s="41"/>
      <c r="H4509" s="52" t="s">
        <v>21236</v>
      </c>
      <c r="I4509" s="53">
        <v>3.5644135750000028</v>
      </c>
      <c r="J4509" s="41">
        <f t="shared" si="17"/>
        <v>3.5644135750000028</v>
      </c>
      <c r="K4509" s="42" t="s">
        <v>5796</v>
      </c>
      <c r="L4509" s="39">
        <v>4503</v>
      </c>
    </row>
    <row r="4510" spans="1:12" ht="11.25" customHeight="1">
      <c r="A4510" s="39">
        <v>4504</v>
      </c>
      <c r="B4510" s="52" t="s">
        <v>9638</v>
      </c>
      <c r="C4510" s="52" t="s">
        <v>21237</v>
      </c>
      <c r="D4510" s="40"/>
      <c r="E4510" s="41"/>
      <c r="F4510" s="40"/>
      <c r="G4510" s="41"/>
      <c r="H4510" s="52" t="s">
        <v>21238</v>
      </c>
      <c r="I4510" s="53">
        <v>3.5500000000000074</v>
      </c>
      <c r="J4510" s="41">
        <f t="shared" si="17"/>
        <v>3.5500000000000074</v>
      </c>
      <c r="K4510" s="42" t="s">
        <v>5796</v>
      </c>
      <c r="L4510" s="39">
        <v>4504</v>
      </c>
    </row>
    <row r="4511" spans="1:12" ht="11.25" customHeight="1">
      <c r="A4511" s="39">
        <v>4505</v>
      </c>
      <c r="B4511" s="40" t="s">
        <v>21239</v>
      </c>
      <c r="C4511" s="40" t="s">
        <v>21240</v>
      </c>
      <c r="D4511" s="40" t="s">
        <v>21241</v>
      </c>
      <c r="E4511" s="41">
        <v>3.55</v>
      </c>
      <c r="F4511" s="40"/>
      <c r="G4511" s="41"/>
      <c r="H4511" s="40"/>
      <c r="I4511" s="41"/>
      <c r="J4511" s="41">
        <f t="shared" si="17"/>
        <v>3.55</v>
      </c>
      <c r="K4511" s="42" t="s">
        <v>5796</v>
      </c>
      <c r="L4511" s="39">
        <v>4505</v>
      </c>
    </row>
    <row r="4512" spans="1:12" ht="11.25" customHeight="1">
      <c r="A4512" s="39">
        <v>4506</v>
      </c>
      <c r="B4512" s="40" t="s">
        <v>21242</v>
      </c>
      <c r="C4512" s="40" t="s">
        <v>21243</v>
      </c>
      <c r="D4512" s="40" t="s">
        <v>21244</v>
      </c>
      <c r="E4512" s="41">
        <v>3.55</v>
      </c>
      <c r="F4512" s="40"/>
      <c r="G4512" s="41"/>
      <c r="H4512" s="40"/>
      <c r="I4512" s="41"/>
      <c r="J4512" s="41">
        <f t="shared" si="17"/>
        <v>3.55</v>
      </c>
      <c r="K4512" s="42" t="s">
        <v>5796</v>
      </c>
      <c r="L4512" s="39">
        <v>4506</v>
      </c>
    </row>
    <row r="4513" spans="1:12" ht="11.25" customHeight="1">
      <c r="A4513" s="39">
        <v>4507</v>
      </c>
      <c r="B4513" s="40" t="s">
        <v>21245</v>
      </c>
      <c r="C4513" s="40" t="s">
        <v>21246</v>
      </c>
      <c r="D4513" s="40" t="s">
        <v>21247</v>
      </c>
      <c r="E4513" s="41">
        <v>3.54</v>
      </c>
      <c r="F4513" s="40"/>
      <c r="G4513" s="41"/>
      <c r="H4513" s="40"/>
      <c r="I4513" s="41"/>
      <c r="J4513" s="41">
        <f t="shared" si="17"/>
        <v>3.54</v>
      </c>
      <c r="K4513" s="42" t="s">
        <v>5796</v>
      </c>
      <c r="L4513" s="39">
        <v>4507</v>
      </c>
    </row>
    <row r="4514" spans="1:12" ht="11.25" customHeight="1">
      <c r="A4514" s="39">
        <v>4508</v>
      </c>
      <c r="B4514" s="40" t="s">
        <v>21248</v>
      </c>
      <c r="C4514" s="40" t="s">
        <v>21249</v>
      </c>
      <c r="D4514" s="40" t="s">
        <v>21250</v>
      </c>
      <c r="E4514" s="41">
        <v>3.54</v>
      </c>
      <c r="F4514" s="40"/>
      <c r="G4514" s="41"/>
      <c r="H4514" s="40"/>
      <c r="I4514" s="41"/>
      <c r="J4514" s="41">
        <f t="shared" si="17"/>
        <v>3.54</v>
      </c>
      <c r="K4514" s="42" t="s">
        <v>5796</v>
      </c>
      <c r="L4514" s="39">
        <v>4508</v>
      </c>
    </row>
    <row r="4515" spans="1:12" ht="11.25" customHeight="1">
      <c r="A4515" s="39">
        <v>4509</v>
      </c>
      <c r="B4515" s="40" t="s">
        <v>21251</v>
      </c>
      <c r="C4515" s="40" t="s">
        <v>21252</v>
      </c>
      <c r="D4515" s="40" t="s">
        <v>21253</v>
      </c>
      <c r="E4515" s="41">
        <v>3.54</v>
      </c>
      <c r="F4515" s="40"/>
      <c r="G4515" s="41"/>
      <c r="H4515" s="40"/>
      <c r="I4515" s="41"/>
      <c r="J4515" s="41">
        <f t="shared" si="17"/>
        <v>3.54</v>
      </c>
      <c r="K4515" s="42" t="s">
        <v>5796</v>
      </c>
      <c r="L4515" s="39">
        <v>4509</v>
      </c>
    </row>
    <row r="4516" spans="1:12" ht="11.25" customHeight="1">
      <c r="A4516" s="39">
        <v>4510</v>
      </c>
      <c r="B4516" s="40" t="s">
        <v>21254</v>
      </c>
      <c r="C4516" s="40" t="s">
        <v>21255</v>
      </c>
      <c r="D4516" s="40" t="s">
        <v>21256</v>
      </c>
      <c r="E4516" s="41">
        <v>3.53</v>
      </c>
      <c r="F4516" s="40"/>
      <c r="G4516" s="41"/>
      <c r="H4516" s="40"/>
      <c r="I4516" s="41"/>
      <c r="J4516" s="41">
        <f t="shared" si="17"/>
        <v>3.53</v>
      </c>
      <c r="K4516" s="42" t="s">
        <v>5796</v>
      </c>
      <c r="L4516" s="39">
        <v>4510</v>
      </c>
    </row>
    <row r="4517" spans="1:12" ht="11.25" customHeight="1">
      <c r="A4517" s="39">
        <v>4511</v>
      </c>
      <c r="B4517" s="40" t="s">
        <v>21257</v>
      </c>
      <c r="C4517" s="40" t="s">
        <v>21258</v>
      </c>
      <c r="D4517" s="40" t="s">
        <v>21259</v>
      </c>
      <c r="E4517" s="41">
        <v>3.53</v>
      </c>
      <c r="F4517" s="40"/>
      <c r="G4517" s="41"/>
      <c r="H4517" s="40"/>
      <c r="I4517" s="41"/>
      <c r="J4517" s="41">
        <f t="shared" si="17"/>
        <v>3.53</v>
      </c>
      <c r="K4517" s="42" t="s">
        <v>5796</v>
      </c>
      <c r="L4517" s="39">
        <v>4511</v>
      </c>
    </row>
    <row r="4518" spans="1:12" ht="11.25" customHeight="1">
      <c r="A4518" s="39">
        <v>4512</v>
      </c>
      <c r="B4518" s="52" t="s">
        <v>9643</v>
      </c>
      <c r="C4518" s="52" t="s">
        <v>21260</v>
      </c>
      <c r="D4518" s="40"/>
      <c r="E4518" s="41"/>
      <c r="F4518" s="40"/>
      <c r="G4518" s="41"/>
      <c r="H4518" s="52" t="s">
        <v>21261</v>
      </c>
      <c r="I4518" s="53">
        <v>3.5201999999999924</v>
      </c>
      <c r="J4518" s="41">
        <f t="shared" si="17"/>
        <v>3.5201999999999924</v>
      </c>
      <c r="K4518" s="42" t="s">
        <v>5796</v>
      </c>
      <c r="L4518" s="39">
        <v>4512</v>
      </c>
    </row>
    <row r="4519" spans="1:12" ht="11.25" customHeight="1">
      <c r="A4519" s="39">
        <v>4513</v>
      </c>
      <c r="B4519" s="52" t="s">
        <v>21262</v>
      </c>
      <c r="C4519" s="52" t="s">
        <v>21263</v>
      </c>
      <c r="D4519" s="40"/>
      <c r="E4519" s="41"/>
      <c r="F4519" s="40"/>
      <c r="G4519" s="41"/>
      <c r="H4519" s="52" t="s">
        <v>21264</v>
      </c>
      <c r="I4519" s="53">
        <v>3.502799999999997</v>
      </c>
      <c r="J4519" s="41">
        <f t="shared" si="17"/>
        <v>3.502799999999997</v>
      </c>
      <c r="K4519" s="42" t="s">
        <v>5796</v>
      </c>
      <c r="L4519" s="39">
        <v>4513</v>
      </c>
    </row>
    <row r="4520" spans="1:12" ht="11.25" customHeight="1">
      <c r="A4520" s="39">
        <v>4514</v>
      </c>
      <c r="B4520" s="40" t="s">
        <v>21265</v>
      </c>
      <c r="C4520" s="40" t="s">
        <v>21266</v>
      </c>
      <c r="D4520" s="40" t="s">
        <v>21267</v>
      </c>
      <c r="E4520" s="41">
        <v>3.5</v>
      </c>
      <c r="F4520" s="40"/>
      <c r="G4520" s="41"/>
      <c r="H4520" s="40"/>
      <c r="I4520" s="41"/>
      <c r="J4520" s="41">
        <f t="shared" si="17"/>
        <v>3.5</v>
      </c>
      <c r="K4520" s="42" t="s">
        <v>5796</v>
      </c>
      <c r="L4520" s="39">
        <v>4514</v>
      </c>
    </row>
    <row r="4521" spans="1:12" ht="11.25" customHeight="1">
      <c r="A4521" s="39">
        <v>4515</v>
      </c>
      <c r="B4521" s="40" t="s">
        <v>21268</v>
      </c>
      <c r="C4521" s="40" t="s">
        <v>21269</v>
      </c>
      <c r="D4521" s="40" t="s">
        <v>21270</v>
      </c>
      <c r="E4521" s="41">
        <v>3.49</v>
      </c>
      <c r="F4521" s="40"/>
      <c r="G4521" s="41"/>
      <c r="H4521" s="40"/>
      <c r="I4521" s="41"/>
      <c r="J4521" s="41">
        <f t="shared" si="17"/>
        <v>3.49</v>
      </c>
      <c r="K4521" s="42" t="s">
        <v>5796</v>
      </c>
      <c r="L4521" s="39">
        <v>4515</v>
      </c>
    </row>
    <row r="4522" spans="1:12" ht="11.25" customHeight="1">
      <c r="A4522" s="39">
        <v>4516</v>
      </c>
      <c r="B4522" s="40" t="s">
        <v>21271</v>
      </c>
      <c r="C4522" s="40" t="s">
        <v>21272</v>
      </c>
      <c r="D4522" s="40" t="s">
        <v>21273</v>
      </c>
      <c r="E4522" s="41">
        <v>3.49</v>
      </c>
      <c r="F4522" s="40"/>
      <c r="G4522" s="41"/>
      <c r="H4522" s="40"/>
      <c r="I4522" s="41"/>
      <c r="J4522" s="41">
        <f t="shared" si="17"/>
        <v>3.49</v>
      </c>
      <c r="K4522" s="42" t="s">
        <v>5796</v>
      </c>
      <c r="L4522" s="39">
        <v>4516</v>
      </c>
    </row>
    <row r="4523" spans="1:12" ht="11.25" customHeight="1">
      <c r="A4523" s="39">
        <v>4517</v>
      </c>
      <c r="B4523" s="40" t="s">
        <v>21274</v>
      </c>
      <c r="C4523" s="40" t="s">
        <v>21275</v>
      </c>
      <c r="D4523" s="40" t="s">
        <v>21276</v>
      </c>
      <c r="E4523" s="41">
        <v>3.49</v>
      </c>
      <c r="F4523" s="40"/>
      <c r="G4523" s="41"/>
      <c r="H4523" s="40"/>
      <c r="I4523" s="41"/>
      <c r="J4523" s="41">
        <f t="shared" si="17"/>
        <v>3.49</v>
      </c>
      <c r="K4523" s="42" t="s">
        <v>5796</v>
      </c>
      <c r="L4523" s="39">
        <v>4517</v>
      </c>
    </row>
    <row r="4524" spans="1:12" ht="11.25" customHeight="1">
      <c r="A4524" s="39">
        <v>4518</v>
      </c>
      <c r="B4524" s="40" t="s">
        <v>21277</v>
      </c>
      <c r="C4524" s="40" t="s">
        <v>21278</v>
      </c>
      <c r="D4524" s="40" t="s">
        <v>21279</v>
      </c>
      <c r="E4524" s="41">
        <v>3.49</v>
      </c>
      <c r="F4524" s="40"/>
      <c r="G4524" s="41"/>
      <c r="H4524" s="40"/>
      <c r="I4524" s="41"/>
      <c r="J4524" s="41">
        <f t="shared" si="17"/>
        <v>3.49</v>
      </c>
      <c r="K4524" s="42" t="s">
        <v>5796</v>
      </c>
      <c r="L4524" s="39">
        <v>4518</v>
      </c>
    </row>
    <row r="4525" spans="1:12" ht="11.25" customHeight="1">
      <c r="A4525" s="39">
        <v>4519</v>
      </c>
      <c r="B4525" s="40" t="s">
        <v>21280</v>
      </c>
      <c r="C4525" s="40" t="s">
        <v>21281</v>
      </c>
      <c r="D4525" s="40" t="s">
        <v>21282</v>
      </c>
      <c r="E4525" s="41">
        <v>3.48</v>
      </c>
      <c r="F4525" s="40"/>
      <c r="G4525" s="41"/>
      <c r="H4525" s="40"/>
      <c r="I4525" s="41"/>
      <c r="J4525" s="41">
        <f t="shared" si="17"/>
        <v>3.48</v>
      </c>
      <c r="K4525" s="42" t="s">
        <v>5796</v>
      </c>
      <c r="L4525" s="39">
        <v>4519</v>
      </c>
    </row>
    <row r="4526" spans="1:12" ht="11.25" customHeight="1">
      <c r="A4526" s="39">
        <v>4520</v>
      </c>
      <c r="B4526" s="40" t="s">
        <v>21283</v>
      </c>
      <c r="C4526" s="40" t="s">
        <v>21284</v>
      </c>
      <c r="D4526" s="40" t="s">
        <v>21285</v>
      </c>
      <c r="E4526" s="41">
        <v>3.45</v>
      </c>
      <c r="F4526" s="40"/>
      <c r="G4526" s="41"/>
      <c r="H4526" s="40"/>
      <c r="I4526" s="41"/>
      <c r="J4526" s="41">
        <f t="shared" si="17"/>
        <v>3.45</v>
      </c>
      <c r="K4526" s="42" t="s">
        <v>5796</v>
      </c>
      <c r="L4526" s="39">
        <v>4520</v>
      </c>
    </row>
    <row r="4527" spans="1:12" ht="11.25" customHeight="1">
      <c r="A4527" s="39">
        <v>4521</v>
      </c>
      <c r="B4527" s="40" t="s">
        <v>21286</v>
      </c>
      <c r="C4527" s="40" t="s">
        <v>21287</v>
      </c>
      <c r="D4527" s="40" t="s">
        <v>21288</v>
      </c>
      <c r="E4527" s="41">
        <v>3.44</v>
      </c>
      <c r="F4527" s="40"/>
      <c r="G4527" s="41"/>
      <c r="H4527" s="40"/>
      <c r="I4527" s="41"/>
      <c r="J4527" s="41">
        <f t="shared" si="17"/>
        <v>3.44</v>
      </c>
      <c r="K4527" s="42" t="s">
        <v>5796</v>
      </c>
      <c r="L4527" s="39">
        <v>4521</v>
      </c>
    </row>
    <row r="4528" spans="1:12" ht="11.25" customHeight="1">
      <c r="A4528" s="39">
        <v>4522</v>
      </c>
      <c r="B4528" s="40" t="s">
        <v>21289</v>
      </c>
      <c r="C4528" s="40" t="s">
        <v>21290</v>
      </c>
      <c r="D4528" s="40" t="s">
        <v>21291</v>
      </c>
      <c r="E4528" s="41">
        <v>3.44</v>
      </c>
      <c r="F4528" s="40"/>
      <c r="G4528" s="41"/>
      <c r="H4528" s="40"/>
      <c r="I4528" s="41"/>
      <c r="J4528" s="41">
        <f t="shared" si="17"/>
        <v>3.44</v>
      </c>
      <c r="K4528" s="42" t="s">
        <v>5796</v>
      </c>
      <c r="L4528" s="39">
        <v>4522</v>
      </c>
    </row>
    <row r="4529" spans="1:12" ht="11.25" customHeight="1">
      <c r="A4529" s="39">
        <v>4523</v>
      </c>
      <c r="B4529" s="40" t="s">
        <v>21292</v>
      </c>
      <c r="C4529" s="40" t="s">
        <v>21293</v>
      </c>
      <c r="D4529" s="40" t="s">
        <v>21294</v>
      </c>
      <c r="E4529" s="41">
        <v>3.44</v>
      </c>
      <c r="F4529" s="40"/>
      <c r="G4529" s="41"/>
      <c r="H4529" s="40"/>
      <c r="I4529" s="41"/>
      <c r="J4529" s="41">
        <f t="shared" si="17"/>
        <v>3.44</v>
      </c>
      <c r="K4529" s="42" t="s">
        <v>5796</v>
      </c>
      <c r="L4529" s="39">
        <v>4523</v>
      </c>
    </row>
    <row r="4530" spans="1:12" ht="11.25" customHeight="1">
      <c r="A4530" s="39">
        <v>4524</v>
      </c>
      <c r="B4530" s="40" t="s">
        <v>21295</v>
      </c>
      <c r="C4530" s="40" t="s">
        <v>21296</v>
      </c>
      <c r="D4530" s="40" t="s">
        <v>21297</v>
      </c>
      <c r="E4530" s="41">
        <v>3.44</v>
      </c>
      <c r="F4530" s="40"/>
      <c r="G4530" s="41"/>
      <c r="H4530" s="40"/>
      <c r="I4530" s="41"/>
      <c r="J4530" s="41">
        <f t="shared" si="17"/>
        <v>3.44</v>
      </c>
      <c r="K4530" s="42" t="s">
        <v>5796</v>
      </c>
      <c r="L4530" s="39">
        <v>4524</v>
      </c>
    </row>
    <row r="4531" spans="1:12" ht="11.25" customHeight="1">
      <c r="A4531" s="39">
        <v>4525</v>
      </c>
      <c r="B4531" s="40" t="s">
        <v>21298</v>
      </c>
      <c r="C4531" s="40" t="s">
        <v>21299</v>
      </c>
      <c r="D4531" s="40" t="s">
        <v>21300</v>
      </c>
      <c r="E4531" s="41">
        <v>3.44</v>
      </c>
      <c r="F4531" s="40"/>
      <c r="G4531" s="41"/>
      <c r="H4531" s="40"/>
      <c r="I4531" s="41"/>
      <c r="J4531" s="41">
        <f t="shared" si="17"/>
        <v>3.44</v>
      </c>
      <c r="K4531" s="42" t="s">
        <v>5796</v>
      </c>
      <c r="L4531" s="39">
        <v>4525</v>
      </c>
    </row>
    <row r="4532" spans="1:12" ht="11.25" customHeight="1">
      <c r="A4532" s="39">
        <v>4526</v>
      </c>
      <c r="B4532" s="40" t="s">
        <v>21301</v>
      </c>
      <c r="C4532" s="40" t="s">
        <v>21302</v>
      </c>
      <c r="D4532" s="40" t="s">
        <v>21303</v>
      </c>
      <c r="E4532" s="41">
        <v>3.43</v>
      </c>
      <c r="F4532" s="40"/>
      <c r="G4532" s="41"/>
      <c r="H4532" s="40"/>
      <c r="I4532" s="41"/>
      <c r="J4532" s="41">
        <f t="shared" si="17"/>
        <v>3.43</v>
      </c>
      <c r="K4532" s="42" t="s">
        <v>5796</v>
      </c>
      <c r="L4532" s="39">
        <v>4526</v>
      </c>
    </row>
    <row r="4533" spans="1:12" ht="11.25" customHeight="1">
      <c r="A4533" s="39">
        <v>4527</v>
      </c>
      <c r="B4533" s="40" t="s">
        <v>21304</v>
      </c>
      <c r="C4533" s="40" t="s">
        <v>21305</v>
      </c>
      <c r="D4533" s="40" t="s">
        <v>21306</v>
      </c>
      <c r="E4533" s="41">
        <v>3.43</v>
      </c>
      <c r="F4533" s="40"/>
      <c r="G4533" s="41"/>
      <c r="H4533" s="40"/>
      <c r="I4533" s="41"/>
      <c r="J4533" s="41">
        <f t="shared" si="17"/>
        <v>3.43</v>
      </c>
      <c r="K4533" s="42" t="s">
        <v>5796</v>
      </c>
      <c r="L4533" s="39">
        <v>4527</v>
      </c>
    </row>
    <row r="4534" spans="1:12" ht="11.25" customHeight="1">
      <c r="A4534" s="39">
        <v>4528</v>
      </c>
      <c r="B4534" s="40" t="s">
        <v>21307</v>
      </c>
      <c r="C4534" s="40" t="s">
        <v>21308</v>
      </c>
      <c r="D4534" s="40" t="s">
        <v>21309</v>
      </c>
      <c r="E4534" s="41">
        <v>3.42</v>
      </c>
      <c r="F4534" s="40"/>
      <c r="G4534" s="41"/>
      <c r="H4534" s="40"/>
      <c r="I4534" s="41"/>
      <c r="J4534" s="41">
        <f t="shared" si="17"/>
        <v>3.42</v>
      </c>
      <c r="K4534" s="42" t="s">
        <v>5796</v>
      </c>
      <c r="L4534" s="39">
        <v>4528</v>
      </c>
    </row>
    <row r="4535" spans="1:12" ht="11.25" customHeight="1">
      <c r="A4535" s="39">
        <v>4529</v>
      </c>
      <c r="B4535" s="40" t="s">
        <v>9436</v>
      </c>
      <c r="C4535" s="40" t="s">
        <v>21310</v>
      </c>
      <c r="D4535" s="40" t="s">
        <v>21311</v>
      </c>
      <c r="E4535" s="41">
        <v>3.42</v>
      </c>
      <c r="F4535" s="40"/>
      <c r="G4535" s="41"/>
      <c r="H4535" s="40"/>
      <c r="I4535" s="41"/>
      <c r="J4535" s="41">
        <f t="shared" si="17"/>
        <v>3.42</v>
      </c>
      <c r="K4535" s="42" t="s">
        <v>5796</v>
      </c>
      <c r="L4535" s="39">
        <v>4529</v>
      </c>
    </row>
    <row r="4536" spans="1:12" ht="11.25" customHeight="1">
      <c r="A4536" s="39">
        <v>4530</v>
      </c>
      <c r="B4536" s="40" t="s">
        <v>21312</v>
      </c>
      <c r="C4536" s="40" t="s">
        <v>21313</v>
      </c>
      <c r="D4536" s="40" t="s">
        <v>21314</v>
      </c>
      <c r="E4536" s="41">
        <v>3.41</v>
      </c>
      <c r="F4536" s="40"/>
      <c r="G4536" s="41"/>
      <c r="H4536" s="40"/>
      <c r="I4536" s="41"/>
      <c r="J4536" s="41">
        <f t="shared" si="17"/>
        <v>3.41</v>
      </c>
      <c r="K4536" s="42" t="s">
        <v>5796</v>
      </c>
      <c r="L4536" s="39">
        <v>4530</v>
      </c>
    </row>
    <row r="4537" spans="1:12" ht="11.25" customHeight="1">
      <c r="A4537" s="39">
        <v>4531</v>
      </c>
      <c r="B4537" s="40" t="s">
        <v>21315</v>
      </c>
      <c r="C4537" s="40" t="s">
        <v>21316</v>
      </c>
      <c r="D4537" s="40" t="s">
        <v>21317</v>
      </c>
      <c r="E4537" s="41">
        <v>3.41</v>
      </c>
      <c r="F4537" s="40"/>
      <c r="G4537" s="41"/>
      <c r="H4537" s="40"/>
      <c r="I4537" s="41"/>
      <c r="J4537" s="41">
        <f t="shared" si="17"/>
        <v>3.41</v>
      </c>
      <c r="K4537" s="42" t="s">
        <v>5796</v>
      </c>
      <c r="L4537" s="39">
        <v>4531</v>
      </c>
    </row>
    <row r="4538" spans="1:12" ht="11.25" customHeight="1">
      <c r="A4538" s="39">
        <v>4532</v>
      </c>
      <c r="B4538" s="40" t="s">
        <v>21318</v>
      </c>
      <c r="C4538" s="40" t="s">
        <v>21319</v>
      </c>
      <c r="D4538" s="40" t="s">
        <v>21320</v>
      </c>
      <c r="E4538" s="41">
        <v>3.41</v>
      </c>
      <c r="F4538" s="40"/>
      <c r="G4538" s="41"/>
      <c r="H4538" s="40"/>
      <c r="I4538" s="41"/>
      <c r="J4538" s="41">
        <f t="shared" si="17"/>
        <v>3.41</v>
      </c>
      <c r="K4538" s="42" t="s">
        <v>5796</v>
      </c>
      <c r="L4538" s="39">
        <v>4532</v>
      </c>
    </row>
    <row r="4539" spans="1:12" ht="11.25" customHeight="1">
      <c r="A4539" s="39">
        <v>4533</v>
      </c>
      <c r="B4539" s="40" t="s">
        <v>21321</v>
      </c>
      <c r="C4539" s="40" t="s">
        <v>21322</v>
      </c>
      <c r="D4539" s="40" t="s">
        <v>21323</v>
      </c>
      <c r="E4539" s="41">
        <v>3.4</v>
      </c>
      <c r="F4539" s="40"/>
      <c r="G4539" s="41"/>
      <c r="H4539" s="40"/>
      <c r="I4539" s="41"/>
      <c r="J4539" s="41">
        <f t="shared" si="17"/>
        <v>3.4</v>
      </c>
      <c r="K4539" s="42" t="s">
        <v>5796</v>
      </c>
      <c r="L4539" s="39">
        <v>4533</v>
      </c>
    </row>
    <row r="4540" spans="1:12" ht="11.25" customHeight="1">
      <c r="A4540" s="39">
        <v>4534</v>
      </c>
      <c r="B4540" s="40" t="s">
        <v>21324</v>
      </c>
      <c r="C4540" s="40" t="s">
        <v>21325</v>
      </c>
      <c r="D4540" s="40" t="s">
        <v>21326</v>
      </c>
      <c r="E4540" s="41">
        <v>3.4</v>
      </c>
      <c r="F4540" s="40"/>
      <c r="G4540" s="41"/>
      <c r="H4540" s="40"/>
      <c r="I4540" s="41"/>
      <c r="J4540" s="41">
        <f t="shared" si="17"/>
        <v>3.4</v>
      </c>
      <c r="K4540" s="42" t="s">
        <v>5796</v>
      </c>
      <c r="L4540" s="39">
        <v>4534</v>
      </c>
    </row>
    <row r="4541" spans="1:12" ht="11.25" customHeight="1">
      <c r="A4541" s="39">
        <v>4535</v>
      </c>
      <c r="B4541" s="40" t="s">
        <v>9661</v>
      </c>
      <c r="C4541" s="40" t="s">
        <v>21327</v>
      </c>
      <c r="D4541" s="40" t="s">
        <v>21328</v>
      </c>
      <c r="E4541" s="41">
        <v>3.4</v>
      </c>
      <c r="F4541" s="40"/>
      <c r="G4541" s="41"/>
      <c r="H4541" s="40"/>
      <c r="I4541" s="41"/>
      <c r="J4541" s="41">
        <f t="shared" si="17"/>
        <v>3.4</v>
      </c>
      <c r="K4541" s="42" t="s">
        <v>5796</v>
      </c>
      <c r="L4541" s="39">
        <v>4535</v>
      </c>
    </row>
    <row r="4542" spans="1:12" ht="11.25" customHeight="1">
      <c r="A4542" s="39">
        <v>4536</v>
      </c>
      <c r="B4542" s="40" t="s">
        <v>21329</v>
      </c>
      <c r="C4542" s="40" t="s">
        <v>21330</v>
      </c>
      <c r="D4542" s="40" t="s">
        <v>21331</v>
      </c>
      <c r="E4542" s="41">
        <v>3.38</v>
      </c>
      <c r="F4542" s="40"/>
      <c r="G4542" s="41"/>
      <c r="H4542" s="40"/>
      <c r="I4542" s="41"/>
      <c r="J4542" s="41">
        <f t="shared" si="17"/>
        <v>3.38</v>
      </c>
      <c r="K4542" s="42" t="s">
        <v>5796</v>
      </c>
      <c r="L4542" s="39">
        <v>4536</v>
      </c>
    </row>
    <row r="4543" spans="1:12" ht="11.25" customHeight="1">
      <c r="A4543" s="39">
        <v>4537</v>
      </c>
      <c r="B4543" s="40" t="s">
        <v>21332</v>
      </c>
      <c r="C4543" s="40" t="s">
        <v>21333</v>
      </c>
      <c r="D4543" s="40" t="s">
        <v>21334</v>
      </c>
      <c r="E4543" s="41">
        <v>3.37</v>
      </c>
      <c r="F4543" s="40"/>
      <c r="G4543" s="41"/>
      <c r="H4543" s="40"/>
      <c r="I4543" s="41"/>
      <c r="J4543" s="41">
        <f t="shared" si="17"/>
        <v>3.37</v>
      </c>
      <c r="K4543" s="42" t="s">
        <v>5796</v>
      </c>
      <c r="L4543" s="39">
        <v>4537</v>
      </c>
    </row>
    <row r="4544" spans="1:12" ht="11.25" customHeight="1">
      <c r="A4544" s="39">
        <v>4538</v>
      </c>
      <c r="B4544" s="40" t="s">
        <v>9257</v>
      </c>
      <c r="C4544" s="40" t="s">
        <v>21335</v>
      </c>
      <c r="D4544" s="40" t="s">
        <v>21336</v>
      </c>
      <c r="E4544" s="41">
        <v>3.37</v>
      </c>
      <c r="F4544" s="40"/>
      <c r="G4544" s="41"/>
      <c r="H4544" s="40"/>
      <c r="I4544" s="41"/>
      <c r="J4544" s="41">
        <f t="shared" si="17"/>
        <v>3.37</v>
      </c>
      <c r="K4544" s="42" t="s">
        <v>5796</v>
      </c>
      <c r="L4544" s="39">
        <v>4538</v>
      </c>
    </row>
    <row r="4545" spans="1:12" ht="11.25" customHeight="1">
      <c r="A4545" s="39">
        <v>4539</v>
      </c>
      <c r="B4545" s="40" t="s">
        <v>21337</v>
      </c>
      <c r="C4545" s="40" t="s">
        <v>21338</v>
      </c>
      <c r="D4545" s="40" t="s">
        <v>21339</v>
      </c>
      <c r="E4545" s="41">
        <v>3.36</v>
      </c>
      <c r="F4545" s="40"/>
      <c r="G4545" s="41"/>
      <c r="H4545" s="40"/>
      <c r="I4545" s="41"/>
      <c r="J4545" s="41">
        <f t="shared" si="17"/>
        <v>3.36</v>
      </c>
      <c r="K4545" s="42" t="s">
        <v>5796</v>
      </c>
      <c r="L4545" s="39">
        <v>4539</v>
      </c>
    </row>
    <row r="4546" spans="1:12" ht="11.25" customHeight="1">
      <c r="A4546" s="39">
        <v>4540</v>
      </c>
      <c r="B4546" s="40" t="s">
        <v>21340</v>
      </c>
      <c r="C4546" s="40" t="s">
        <v>21341</v>
      </c>
      <c r="D4546" s="40" t="s">
        <v>21342</v>
      </c>
      <c r="E4546" s="41">
        <v>3.36</v>
      </c>
      <c r="F4546" s="40"/>
      <c r="G4546" s="41"/>
      <c r="H4546" s="40"/>
      <c r="I4546" s="41"/>
      <c r="J4546" s="41">
        <f t="shared" si="17"/>
        <v>3.36</v>
      </c>
      <c r="K4546" s="42" t="s">
        <v>5796</v>
      </c>
      <c r="L4546" s="39">
        <v>4540</v>
      </c>
    </row>
    <row r="4547" spans="1:12" ht="11.25" customHeight="1">
      <c r="A4547" s="39">
        <v>4541</v>
      </c>
      <c r="B4547" s="40" t="s">
        <v>21343</v>
      </c>
      <c r="C4547" s="40" t="s">
        <v>21344</v>
      </c>
      <c r="D4547" s="40" t="s">
        <v>21345</v>
      </c>
      <c r="E4547" s="41">
        <v>3.36</v>
      </c>
      <c r="F4547" s="40"/>
      <c r="G4547" s="41"/>
      <c r="H4547" s="40"/>
      <c r="I4547" s="41"/>
      <c r="J4547" s="41">
        <f t="shared" si="17"/>
        <v>3.36</v>
      </c>
      <c r="K4547" s="42" t="s">
        <v>5796</v>
      </c>
      <c r="L4547" s="39">
        <v>4541</v>
      </c>
    </row>
    <row r="4548" spans="1:12" ht="11.25" customHeight="1">
      <c r="A4548" s="39">
        <v>4542</v>
      </c>
      <c r="B4548" s="40" t="s">
        <v>21346</v>
      </c>
      <c r="C4548" s="40" t="s">
        <v>21347</v>
      </c>
      <c r="D4548" s="40" t="s">
        <v>21348</v>
      </c>
      <c r="E4548" s="41">
        <v>3.35</v>
      </c>
      <c r="F4548" s="40"/>
      <c r="G4548" s="41"/>
      <c r="H4548" s="40"/>
      <c r="I4548" s="41"/>
      <c r="J4548" s="41">
        <f t="shared" si="17"/>
        <v>3.35</v>
      </c>
      <c r="K4548" s="42" t="s">
        <v>5796</v>
      </c>
      <c r="L4548" s="39">
        <v>4542</v>
      </c>
    </row>
    <row r="4549" spans="1:12" ht="11.25" customHeight="1">
      <c r="A4549" s="39">
        <v>4543</v>
      </c>
      <c r="B4549" s="52" t="s">
        <v>9674</v>
      </c>
      <c r="C4549" s="52" t="s">
        <v>21349</v>
      </c>
      <c r="D4549" s="40"/>
      <c r="E4549" s="41"/>
      <c r="F4549" s="40"/>
      <c r="G4549" s="41"/>
      <c r="H4549" s="52" t="s">
        <v>21350</v>
      </c>
      <c r="I4549" s="53">
        <v>3.34500000000001</v>
      </c>
      <c r="J4549" s="41">
        <f t="shared" si="17"/>
        <v>3.34500000000001</v>
      </c>
      <c r="K4549" s="42" t="s">
        <v>5796</v>
      </c>
      <c r="L4549" s="39">
        <v>4543</v>
      </c>
    </row>
    <row r="4550" spans="1:12" ht="11.25" customHeight="1">
      <c r="A4550" s="39">
        <v>4544</v>
      </c>
      <c r="B4550" s="40" t="s">
        <v>21351</v>
      </c>
      <c r="C4550" s="40" t="s">
        <v>21352</v>
      </c>
      <c r="D4550" s="40" t="s">
        <v>21353</v>
      </c>
      <c r="E4550" s="41">
        <v>3.34</v>
      </c>
      <c r="F4550" s="40"/>
      <c r="G4550" s="41"/>
      <c r="H4550" s="40"/>
      <c r="I4550" s="41"/>
      <c r="J4550" s="41">
        <f t="shared" si="17"/>
        <v>3.34</v>
      </c>
      <c r="K4550" s="42" t="s">
        <v>5796</v>
      </c>
      <c r="L4550" s="39">
        <v>4544</v>
      </c>
    </row>
    <row r="4551" spans="1:12" ht="11.25" customHeight="1">
      <c r="A4551" s="39">
        <v>4545</v>
      </c>
      <c r="B4551" s="40" t="s">
        <v>21354</v>
      </c>
      <c r="C4551" s="40" t="s">
        <v>21355</v>
      </c>
      <c r="D4551" s="40" t="s">
        <v>21356</v>
      </c>
      <c r="E4551" s="41">
        <v>3.33</v>
      </c>
      <c r="F4551" s="40"/>
      <c r="G4551" s="41"/>
      <c r="H4551" s="40"/>
      <c r="I4551" s="41"/>
      <c r="J4551" s="41">
        <f t="shared" si="17"/>
        <v>3.33</v>
      </c>
      <c r="K4551" s="42" t="s">
        <v>5796</v>
      </c>
      <c r="L4551" s="39">
        <v>4545</v>
      </c>
    </row>
    <row r="4552" spans="1:12" ht="11.25" customHeight="1">
      <c r="A4552" s="39">
        <v>4546</v>
      </c>
      <c r="B4552" s="40" t="s">
        <v>21357</v>
      </c>
      <c r="C4552" s="40" t="s">
        <v>21358</v>
      </c>
      <c r="D4552" s="40" t="s">
        <v>21359</v>
      </c>
      <c r="E4552" s="41">
        <v>3.33</v>
      </c>
      <c r="F4552" s="40"/>
      <c r="G4552" s="41"/>
      <c r="H4552" s="40"/>
      <c r="I4552" s="41"/>
      <c r="J4552" s="41">
        <f t="shared" si="17"/>
        <v>3.33</v>
      </c>
      <c r="K4552" s="42" t="s">
        <v>5796</v>
      </c>
      <c r="L4552" s="39">
        <v>4546</v>
      </c>
    </row>
    <row r="4553" spans="1:12" ht="11.25" customHeight="1">
      <c r="A4553" s="39">
        <v>4547</v>
      </c>
      <c r="B4553" s="40" t="s">
        <v>21360</v>
      </c>
      <c r="C4553" s="40" t="s">
        <v>21361</v>
      </c>
      <c r="D4553" s="40" t="s">
        <v>21362</v>
      </c>
      <c r="E4553" s="41">
        <v>3.33</v>
      </c>
      <c r="F4553" s="40"/>
      <c r="G4553" s="41"/>
      <c r="H4553" s="40"/>
      <c r="I4553" s="41"/>
      <c r="J4553" s="41">
        <f t="shared" si="17"/>
        <v>3.33</v>
      </c>
      <c r="K4553" s="42" t="s">
        <v>5796</v>
      </c>
      <c r="L4553" s="39">
        <v>4547</v>
      </c>
    </row>
    <row r="4554" spans="1:12" ht="11.25" customHeight="1">
      <c r="A4554" s="39">
        <v>4548</v>
      </c>
      <c r="B4554" s="40" t="s">
        <v>21363</v>
      </c>
      <c r="C4554" s="40" t="s">
        <v>21364</v>
      </c>
      <c r="D4554" s="40" t="s">
        <v>21365</v>
      </c>
      <c r="E4554" s="41">
        <v>3.32</v>
      </c>
      <c r="F4554" s="40"/>
      <c r="G4554" s="41"/>
      <c r="H4554" s="40"/>
      <c r="I4554" s="41"/>
      <c r="J4554" s="41">
        <f t="shared" si="17"/>
        <v>3.32</v>
      </c>
      <c r="K4554" s="42" t="s">
        <v>5796</v>
      </c>
      <c r="L4554" s="39">
        <v>4548</v>
      </c>
    </row>
    <row r="4555" spans="1:12" ht="11.25" customHeight="1">
      <c r="A4555" s="39">
        <v>4549</v>
      </c>
      <c r="B4555" s="40" t="s">
        <v>21366</v>
      </c>
      <c r="C4555" s="40" t="s">
        <v>21367</v>
      </c>
      <c r="D4555" s="40" t="s">
        <v>21368</v>
      </c>
      <c r="E4555" s="41">
        <v>3.32</v>
      </c>
      <c r="F4555" s="40"/>
      <c r="G4555" s="41"/>
      <c r="H4555" s="40"/>
      <c r="I4555" s="41"/>
      <c r="J4555" s="41">
        <f t="shared" si="17"/>
        <v>3.32</v>
      </c>
      <c r="K4555" s="42" t="s">
        <v>5796</v>
      </c>
      <c r="L4555" s="39">
        <v>4549</v>
      </c>
    </row>
    <row r="4556" spans="1:12" ht="11.25" customHeight="1">
      <c r="A4556" s="39">
        <v>4550</v>
      </c>
      <c r="B4556" s="40" t="s">
        <v>21369</v>
      </c>
      <c r="C4556" s="40" t="s">
        <v>21370</v>
      </c>
      <c r="D4556" s="40" t="s">
        <v>21371</v>
      </c>
      <c r="E4556" s="41">
        <v>3.32</v>
      </c>
      <c r="F4556" s="40"/>
      <c r="G4556" s="41"/>
      <c r="H4556" s="40"/>
      <c r="I4556" s="41"/>
      <c r="J4556" s="41">
        <f t="shared" si="17"/>
        <v>3.32</v>
      </c>
      <c r="K4556" s="42" t="s">
        <v>5796</v>
      </c>
      <c r="L4556" s="39">
        <v>4550</v>
      </c>
    </row>
    <row r="4557" spans="1:12" ht="11.25" customHeight="1">
      <c r="A4557" s="39">
        <v>4551</v>
      </c>
      <c r="B4557" s="40" t="s">
        <v>21372</v>
      </c>
      <c r="C4557" s="40" t="s">
        <v>21373</v>
      </c>
      <c r="D4557" s="40" t="s">
        <v>21374</v>
      </c>
      <c r="E4557" s="41">
        <v>3.31</v>
      </c>
      <c r="F4557" s="40"/>
      <c r="G4557" s="41"/>
      <c r="H4557" s="40"/>
      <c r="I4557" s="41"/>
      <c r="J4557" s="41">
        <f t="shared" si="17"/>
        <v>3.31</v>
      </c>
      <c r="K4557" s="42" t="s">
        <v>5796</v>
      </c>
      <c r="L4557" s="39">
        <v>4551</v>
      </c>
    </row>
    <row r="4558" spans="1:12" ht="11.25" customHeight="1">
      <c r="A4558" s="39">
        <v>4552</v>
      </c>
      <c r="B4558" s="40" t="s">
        <v>21375</v>
      </c>
      <c r="C4558" s="40" t="s">
        <v>21376</v>
      </c>
      <c r="D4558" s="40" t="s">
        <v>21377</v>
      </c>
      <c r="E4558" s="41">
        <v>3.31</v>
      </c>
      <c r="F4558" s="40"/>
      <c r="G4558" s="41"/>
      <c r="H4558" s="40"/>
      <c r="I4558" s="41"/>
      <c r="J4558" s="41">
        <f t="shared" si="17"/>
        <v>3.31</v>
      </c>
      <c r="K4558" s="42" t="s">
        <v>5796</v>
      </c>
      <c r="L4558" s="39">
        <v>4552</v>
      </c>
    </row>
    <row r="4559" spans="1:12" ht="11.25" customHeight="1">
      <c r="A4559" s="39">
        <v>4553</v>
      </c>
      <c r="B4559" s="52" t="s">
        <v>9680</v>
      </c>
      <c r="C4559" s="52" t="s">
        <v>21378</v>
      </c>
      <c r="D4559" s="40"/>
      <c r="E4559" s="41"/>
      <c r="F4559" s="40"/>
      <c r="G4559" s="41"/>
      <c r="H4559" s="52" t="s">
        <v>21379</v>
      </c>
      <c r="I4559" s="53">
        <v>3.2900000000000063</v>
      </c>
      <c r="J4559" s="41">
        <f t="shared" si="17"/>
        <v>3.2900000000000063</v>
      </c>
      <c r="K4559" s="42" t="s">
        <v>5796</v>
      </c>
      <c r="L4559" s="39">
        <v>4553</v>
      </c>
    </row>
    <row r="4560" spans="1:12" ht="11.25" customHeight="1">
      <c r="A4560" s="39">
        <v>4554</v>
      </c>
      <c r="B4560" s="40" t="s">
        <v>21380</v>
      </c>
      <c r="C4560" s="40" t="s">
        <v>21381</v>
      </c>
      <c r="D4560" s="40" t="s">
        <v>21382</v>
      </c>
      <c r="E4560" s="41">
        <v>3.29</v>
      </c>
      <c r="F4560" s="40"/>
      <c r="G4560" s="41"/>
      <c r="H4560" s="40"/>
      <c r="I4560" s="41"/>
      <c r="J4560" s="41">
        <f t="shared" si="17"/>
        <v>3.29</v>
      </c>
      <c r="K4560" s="42" t="s">
        <v>5796</v>
      </c>
      <c r="L4560" s="39">
        <v>4554</v>
      </c>
    </row>
    <row r="4561" spans="1:12" ht="11.25" customHeight="1">
      <c r="A4561" s="39">
        <v>4555</v>
      </c>
      <c r="B4561" s="40" t="s">
        <v>21383</v>
      </c>
      <c r="C4561" s="40" t="s">
        <v>21384</v>
      </c>
      <c r="D4561" s="40" t="s">
        <v>21385</v>
      </c>
      <c r="E4561" s="41">
        <v>3.29</v>
      </c>
      <c r="F4561" s="40"/>
      <c r="G4561" s="41"/>
      <c r="H4561" s="40"/>
      <c r="I4561" s="41"/>
      <c r="J4561" s="41">
        <f t="shared" si="17"/>
        <v>3.29</v>
      </c>
      <c r="K4561" s="42" t="s">
        <v>5796</v>
      </c>
      <c r="L4561" s="39">
        <v>4555</v>
      </c>
    </row>
    <row r="4562" spans="1:12" ht="11.25" customHeight="1">
      <c r="A4562" s="39">
        <v>4556</v>
      </c>
      <c r="B4562" s="52" t="s">
        <v>9681</v>
      </c>
      <c r="C4562" s="52" t="s">
        <v>21386</v>
      </c>
      <c r="D4562" s="40"/>
      <c r="E4562" s="41"/>
      <c r="F4562" s="40"/>
      <c r="G4562" s="41"/>
      <c r="H4562" s="52" t="s">
        <v>21387</v>
      </c>
      <c r="I4562" s="53">
        <v>3.2844000000000042</v>
      </c>
      <c r="J4562" s="41">
        <f t="shared" si="17"/>
        <v>3.2844000000000042</v>
      </c>
      <c r="K4562" s="42" t="s">
        <v>5796</v>
      </c>
      <c r="L4562" s="39">
        <v>4556</v>
      </c>
    </row>
    <row r="4563" spans="1:12" ht="11.25" customHeight="1">
      <c r="A4563" s="39">
        <v>4557</v>
      </c>
      <c r="B4563" s="40" t="s">
        <v>21388</v>
      </c>
      <c r="C4563" s="40" t="s">
        <v>21389</v>
      </c>
      <c r="D4563" s="40" t="s">
        <v>21390</v>
      </c>
      <c r="E4563" s="41">
        <v>3.28</v>
      </c>
      <c r="F4563" s="40"/>
      <c r="G4563" s="41"/>
      <c r="H4563" s="40"/>
      <c r="I4563" s="41"/>
      <c r="J4563" s="41">
        <f t="shared" si="17"/>
        <v>3.28</v>
      </c>
      <c r="K4563" s="42" t="s">
        <v>5796</v>
      </c>
      <c r="L4563" s="39">
        <v>4557</v>
      </c>
    </row>
    <row r="4564" spans="1:12" ht="11.25" customHeight="1">
      <c r="A4564" s="39">
        <v>4558</v>
      </c>
      <c r="B4564" s="40" t="s">
        <v>21391</v>
      </c>
      <c r="C4564" s="40" t="s">
        <v>21392</v>
      </c>
      <c r="D4564" s="40" t="s">
        <v>21393</v>
      </c>
      <c r="E4564" s="41">
        <v>3.27</v>
      </c>
      <c r="F4564" s="40"/>
      <c r="G4564" s="41"/>
      <c r="H4564" s="40"/>
      <c r="I4564" s="41"/>
      <c r="J4564" s="41">
        <f t="shared" si="17"/>
        <v>3.27</v>
      </c>
      <c r="K4564" s="42" t="s">
        <v>5796</v>
      </c>
      <c r="L4564" s="39">
        <v>4558</v>
      </c>
    </row>
    <row r="4565" spans="1:12" ht="11.25" customHeight="1">
      <c r="A4565" s="39">
        <v>4559</v>
      </c>
      <c r="B4565" s="40" t="s">
        <v>21394</v>
      </c>
      <c r="C4565" s="40" t="s">
        <v>21395</v>
      </c>
      <c r="D4565" s="40" t="s">
        <v>21396</v>
      </c>
      <c r="E4565" s="41">
        <v>3.26</v>
      </c>
      <c r="F4565" s="40"/>
      <c r="G4565" s="41"/>
      <c r="H4565" s="40"/>
      <c r="I4565" s="41"/>
      <c r="J4565" s="41">
        <f t="shared" si="17"/>
        <v>3.26</v>
      </c>
      <c r="K4565" s="42" t="s">
        <v>5796</v>
      </c>
      <c r="L4565" s="39">
        <v>4559</v>
      </c>
    </row>
    <row r="4566" spans="1:12" ht="11.25" customHeight="1">
      <c r="A4566" s="39">
        <v>4560</v>
      </c>
      <c r="B4566" s="40" t="s">
        <v>21397</v>
      </c>
      <c r="C4566" s="40" t="s">
        <v>21398</v>
      </c>
      <c r="D4566" s="40" t="s">
        <v>21399</v>
      </c>
      <c r="E4566" s="41">
        <v>3.26</v>
      </c>
      <c r="F4566" s="40"/>
      <c r="G4566" s="41"/>
      <c r="H4566" s="40"/>
      <c r="I4566" s="41"/>
      <c r="J4566" s="41">
        <f t="shared" si="17"/>
        <v>3.26</v>
      </c>
      <c r="K4566" s="42" t="s">
        <v>5796</v>
      </c>
      <c r="L4566" s="39">
        <v>4560</v>
      </c>
    </row>
    <row r="4567" spans="1:12" ht="11.25" customHeight="1">
      <c r="A4567" s="39">
        <v>4561</v>
      </c>
      <c r="B4567" s="40" t="s">
        <v>9689</v>
      </c>
      <c r="C4567" s="40" t="s">
        <v>21400</v>
      </c>
      <c r="D4567" s="40" t="s">
        <v>21401</v>
      </c>
      <c r="E4567" s="41">
        <v>3.25</v>
      </c>
      <c r="F4567" s="40"/>
      <c r="G4567" s="41"/>
      <c r="H4567" s="40"/>
      <c r="I4567" s="41"/>
      <c r="J4567" s="41">
        <f t="shared" si="17"/>
        <v>3.25</v>
      </c>
      <c r="K4567" s="42" t="s">
        <v>5796</v>
      </c>
      <c r="L4567" s="39">
        <v>4561</v>
      </c>
    </row>
    <row r="4568" spans="1:12" ht="11.25" customHeight="1">
      <c r="A4568" s="39">
        <v>4562</v>
      </c>
      <c r="B4568" s="40" t="s">
        <v>21402</v>
      </c>
      <c r="C4568" s="40" t="s">
        <v>21403</v>
      </c>
      <c r="D4568" s="40" t="s">
        <v>21404</v>
      </c>
      <c r="E4568" s="41">
        <v>3.24</v>
      </c>
      <c r="F4568" s="40"/>
      <c r="G4568" s="41"/>
      <c r="H4568" s="40"/>
      <c r="I4568" s="41"/>
      <c r="J4568" s="41">
        <f t="shared" si="17"/>
        <v>3.24</v>
      </c>
      <c r="K4568" s="42" t="s">
        <v>5796</v>
      </c>
      <c r="L4568" s="39">
        <v>4562</v>
      </c>
    </row>
    <row r="4569" spans="1:12" ht="11.25" customHeight="1">
      <c r="A4569" s="39">
        <v>4563</v>
      </c>
      <c r="B4569" s="40" t="s">
        <v>21405</v>
      </c>
      <c r="C4569" s="40" t="s">
        <v>21406</v>
      </c>
      <c r="D4569" s="40" t="s">
        <v>21407</v>
      </c>
      <c r="E4569" s="41">
        <v>3.21</v>
      </c>
      <c r="F4569" s="40"/>
      <c r="G4569" s="41"/>
      <c r="H4569" s="40"/>
      <c r="I4569" s="41"/>
      <c r="J4569" s="41">
        <f t="shared" si="17"/>
        <v>3.21</v>
      </c>
      <c r="K4569" s="42" t="s">
        <v>5796</v>
      </c>
      <c r="L4569" s="39">
        <v>4563</v>
      </c>
    </row>
    <row r="4570" spans="1:12" ht="11.25" customHeight="1">
      <c r="A4570" s="39">
        <v>4564</v>
      </c>
      <c r="B4570" s="52" t="s">
        <v>9692</v>
      </c>
      <c r="C4570" s="52" t="s">
        <v>21408</v>
      </c>
      <c r="D4570" s="40"/>
      <c r="E4570" s="41"/>
      <c r="F4570" s="40"/>
      <c r="G4570" s="41"/>
      <c r="H4570" s="52" t="s">
        <v>21409</v>
      </c>
      <c r="I4570" s="53">
        <v>3.2004999999999937</v>
      </c>
      <c r="J4570" s="41">
        <f t="shared" si="17"/>
        <v>3.2004999999999937</v>
      </c>
      <c r="K4570" s="42" t="s">
        <v>5796</v>
      </c>
      <c r="L4570" s="39">
        <v>4564</v>
      </c>
    </row>
    <row r="4571" spans="1:12" ht="11.25" customHeight="1">
      <c r="A4571" s="39">
        <v>4565</v>
      </c>
      <c r="B4571" s="40" t="s">
        <v>9695</v>
      </c>
      <c r="C4571" s="40" t="s">
        <v>21410</v>
      </c>
      <c r="D4571" s="40" t="s">
        <v>21411</v>
      </c>
      <c r="E4571" s="41">
        <v>3.19</v>
      </c>
      <c r="F4571" s="40"/>
      <c r="G4571" s="41"/>
      <c r="H4571" s="40"/>
      <c r="I4571" s="41"/>
      <c r="J4571" s="41">
        <f t="shared" si="17"/>
        <v>3.19</v>
      </c>
      <c r="K4571" s="42" t="s">
        <v>5796</v>
      </c>
      <c r="L4571" s="39">
        <v>4565</v>
      </c>
    </row>
    <row r="4572" spans="1:12" ht="11.25" customHeight="1">
      <c r="A4572" s="39">
        <v>4566</v>
      </c>
      <c r="B4572" s="40" t="s">
        <v>21412</v>
      </c>
      <c r="C4572" s="40" t="s">
        <v>21413</v>
      </c>
      <c r="D4572" s="40" t="s">
        <v>21414</v>
      </c>
      <c r="E4572" s="41">
        <v>3.18</v>
      </c>
      <c r="F4572" s="40"/>
      <c r="G4572" s="41"/>
      <c r="H4572" s="40"/>
      <c r="I4572" s="41"/>
      <c r="J4572" s="41">
        <f t="shared" si="17"/>
        <v>3.18</v>
      </c>
      <c r="K4572" s="42" t="s">
        <v>5796</v>
      </c>
      <c r="L4572" s="39">
        <v>4566</v>
      </c>
    </row>
    <row r="4573" spans="1:12" ht="11.25" customHeight="1">
      <c r="A4573" s="39">
        <v>4567</v>
      </c>
      <c r="B4573" s="54" t="s">
        <v>10249</v>
      </c>
      <c r="C4573" s="54" t="s">
        <v>21415</v>
      </c>
      <c r="D4573" s="40"/>
      <c r="E4573" s="41"/>
      <c r="F4573" s="40"/>
      <c r="G4573" s="41"/>
      <c r="H4573" s="54" t="s">
        <v>21416</v>
      </c>
      <c r="I4573" s="41">
        <v>3.18</v>
      </c>
      <c r="J4573" s="41">
        <f t="shared" si="17"/>
        <v>3.18</v>
      </c>
      <c r="K4573" s="42" t="s">
        <v>5796</v>
      </c>
      <c r="L4573" s="39">
        <v>4567</v>
      </c>
    </row>
    <row r="4574" spans="1:12" ht="11.25" customHeight="1">
      <c r="A4574" s="39">
        <v>4569</v>
      </c>
      <c r="B4574" s="40" t="s">
        <v>21417</v>
      </c>
      <c r="C4574" s="40" t="s">
        <v>21418</v>
      </c>
      <c r="D4574" s="40" t="s">
        <v>21419</v>
      </c>
      <c r="E4574" s="41">
        <v>3.17</v>
      </c>
      <c r="F4574" s="40"/>
      <c r="G4574" s="41"/>
      <c r="H4574" s="40"/>
      <c r="I4574" s="41"/>
      <c r="J4574" s="41">
        <f t="shared" si="17"/>
        <v>3.17</v>
      </c>
      <c r="K4574" s="42" t="s">
        <v>5796</v>
      </c>
      <c r="L4574" s="39">
        <v>4569</v>
      </c>
    </row>
    <row r="4575" spans="1:12" ht="11.25" customHeight="1">
      <c r="A4575" s="39">
        <v>4571</v>
      </c>
      <c r="B4575" s="40" t="s">
        <v>21420</v>
      </c>
      <c r="C4575" s="40" t="s">
        <v>21421</v>
      </c>
      <c r="D4575" s="40" t="s">
        <v>21422</v>
      </c>
      <c r="E4575" s="41">
        <v>3.15</v>
      </c>
      <c r="F4575" s="40"/>
      <c r="G4575" s="41"/>
      <c r="H4575" s="40"/>
      <c r="I4575" s="41"/>
      <c r="J4575" s="41">
        <f t="shared" si="17"/>
        <v>3.15</v>
      </c>
      <c r="K4575" s="42" t="s">
        <v>5796</v>
      </c>
      <c r="L4575" s="39">
        <v>4571</v>
      </c>
    </row>
    <row r="4576" spans="1:12" ht="11.25" customHeight="1">
      <c r="A4576" s="39">
        <v>4572</v>
      </c>
      <c r="B4576" s="40" t="s">
        <v>21423</v>
      </c>
      <c r="C4576" s="40" t="s">
        <v>21424</v>
      </c>
      <c r="D4576" s="40" t="s">
        <v>21425</v>
      </c>
      <c r="E4576" s="41">
        <v>3.14</v>
      </c>
      <c r="F4576" s="40"/>
      <c r="G4576" s="41"/>
      <c r="H4576" s="40"/>
      <c r="I4576" s="41"/>
      <c r="J4576" s="41">
        <f t="shared" si="17"/>
        <v>3.14</v>
      </c>
      <c r="K4576" s="42" t="s">
        <v>5796</v>
      </c>
      <c r="L4576" s="39">
        <v>4572</v>
      </c>
    </row>
    <row r="4577" spans="1:12" ht="11.25" customHeight="1">
      <c r="A4577" s="39">
        <v>4573</v>
      </c>
      <c r="B4577" s="52" t="s">
        <v>9701</v>
      </c>
      <c r="C4577" s="52" t="s">
        <v>21426</v>
      </c>
      <c r="D4577" s="40"/>
      <c r="E4577" s="41"/>
      <c r="F4577" s="40"/>
      <c r="G4577" s="41"/>
      <c r="H4577" s="52" t="s">
        <v>21427</v>
      </c>
      <c r="I4577" s="53">
        <v>3.1320075599999946</v>
      </c>
      <c r="J4577" s="41">
        <f t="shared" si="17"/>
        <v>3.1320075599999946</v>
      </c>
      <c r="K4577" s="42" t="s">
        <v>5796</v>
      </c>
      <c r="L4577" s="39">
        <v>4573</v>
      </c>
    </row>
    <row r="4578" spans="1:12" ht="11.25" customHeight="1">
      <c r="A4578" s="39">
        <v>4574</v>
      </c>
      <c r="B4578" s="40" t="s">
        <v>9780</v>
      </c>
      <c r="C4578" s="40" t="s">
        <v>21428</v>
      </c>
      <c r="D4578" s="40" t="s">
        <v>21429</v>
      </c>
      <c r="E4578" s="41">
        <v>3.13</v>
      </c>
      <c r="F4578" s="40"/>
      <c r="G4578" s="41"/>
      <c r="H4578" s="40"/>
      <c r="I4578" s="41"/>
      <c r="J4578" s="41">
        <f t="shared" si="17"/>
        <v>3.13</v>
      </c>
      <c r="K4578" s="42" t="s">
        <v>5796</v>
      </c>
      <c r="L4578" s="39">
        <v>4574</v>
      </c>
    </row>
    <row r="4579" spans="1:12" ht="11.25" customHeight="1">
      <c r="A4579" s="39">
        <v>4575</v>
      </c>
      <c r="B4579" s="40" t="s">
        <v>21430</v>
      </c>
      <c r="C4579" s="40" t="s">
        <v>21431</v>
      </c>
      <c r="D4579" s="40" t="s">
        <v>21432</v>
      </c>
      <c r="E4579" s="41">
        <v>3.13</v>
      </c>
      <c r="F4579" s="40"/>
      <c r="G4579" s="41"/>
      <c r="H4579" s="40"/>
      <c r="I4579" s="41"/>
      <c r="J4579" s="41">
        <f t="shared" si="17"/>
        <v>3.13</v>
      </c>
      <c r="K4579" s="42" t="s">
        <v>5796</v>
      </c>
      <c r="L4579" s="39">
        <v>4575</v>
      </c>
    </row>
    <row r="4580" spans="1:12" ht="11.25" customHeight="1">
      <c r="A4580" s="39">
        <v>4576</v>
      </c>
      <c r="B4580" s="40" t="s">
        <v>21433</v>
      </c>
      <c r="C4580" s="40" t="s">
        <v>21434</v>
      </c>
      <c r="D4580" s="40" t="s">
        <v>21435</v>
      </c>
      <c r="E4580" s="41">
        <v>3.12</v>
      </c>
      <c r="F4580" s="40"/>
      <c r="G4580" s="41"/>
      <c r="H4580" s="40"/>
      <c r="I4580" s="41"/>
      <c r="J4580" s="41">
        <f t="shared" si="17"/>
        <v>3.12</v>
      </c>
      <c r="K4580" s="42" t="s">
        <v>5796</v>
      </c>
      <c r="L4580" s="39">
        <v>4576</v>
      </c>
    </row>
    <row r="4581" spans="1:12" ht="11.25" customHeight="1">
      <c r="A4581" s="39">
        <v>4577</v>
      </c>
      <c r="B4581" s="40" t="s">
        <v>21436</v>
      </c>
      <c r="C4581" s="40" t="s">
        <v>21437</v>
      </c>
      <c r="D4581" s="40" t="s">
        <v>21438</v>
      </c>
      <c r="E4581" s="41">
        <v>3.12</v>
      </c>
      <c r="F4581" s="40"/>
      <c r="G4581" s="41"/>
      <c r="H4581" s="40"/>
      <c r="I4581" s="41"/>
      <c r="J4581" s="41">
        <f t="shared" si="17"/>
        <v>3.12</v>
      </c>
      <c r="K4581" s="42" t="s">
        <v>5796</v>
      </c>
      <c r="L4581" s="39">
        <v>4577</v>
      </c>
    </row>
    <row r="4582" spans="1:12" ht="11.25" customHeight="1">
      <c r="A4582" s="39">
        <v>4578</v>
      </c>
      <c r="B4582" s="52" t="s">
        <v>9706</v>
      </c>
      <c r="C4582" s="52" t="s">
        <v>21439</v>
      </c>
      <c r="D4582" s="40"/>
      <c r="E4582" s="41"/>
      <c r="F4582" s="40"/>
      <c r="G4582" s="41"/>
      <c r="H4582" s="52" t="s">
        <v>21440</v>
      </c>
      <c r="I4582" s="53">
        <v>3.1141850000000053</v>
      </c>
      <c r="J4582" s="41">
        <f t="shared" si="17"/>
        <v>3.1141850000000053</v>
      </c>
      <c r="K4582" s="42" t="s">
        <v>5796</v>
      </c>
      <c r="L4582" s="39">
        <v>4578</v>
      </c>
    </row>
    <row r="4583" spans="1:12" ht="11.25" customHeight="1">
      <c r="A4583" s="39">
        <v>4579</v>
      </c>
      <c r="B4583" s="52" t="s">
        <v>9707</v>
      </c>
      <c r="C4583" s="52" t="s">
        <v>21441</v>
      </c>
      <c r="D4583" s="40"/>
      <c r="E4583" s="41"/>
      <c r="F4583" s="40"/>
      <c r="G4583" s="41"/>
      <c r="H4583" s="52" t="s">
        <v>21442</v>
      </c>
      <c r="I4583" s="53">
        <v>3.1104000000000083</v>
      </c>
      <c r="J4583" s="41">
        <f t="shared" si="17"/>
        <v>3.1104000000000083</v>
      </c>
      <c r="K4583" s="42" t="s">
        <v>5796</v>
      </c>
      <c r="L4583" s="39">
        <v>4579</v>
      </c>
    </row>
    <row r="4584" spans="1:12" ht="11.25" customHeight="1">
      <c r="A4584" s="39">
        <v>4580</v>
      </c>
      <c r="B4584" s="52" t="s">
        <v>9709</v>
      </c>
      <c r="C4584" s="52" t="s">
        <v>21443</v>
      </c>
      <c r="D4584" s="40"/>
      <c r="E4584" s="41"/>
      <c r="F4584" s="40"/>
      <c r="G4584" s="41"/>
      <c r="H4584" s="52" t="s">
        <v>21444</v>
      </c>
      <c r="I4584" s="53">
        <v>3.1059999999999959</v>
      </c>
      <c r="J4584" s="41">
        <f t="shared" si="17"/>
        <v>3.1059999999999959</v>
      </c>
      <c r="K4584" s="42" t="s">
        <v>5796</v>
      </c>
      <c r="L4584" s="39">
        <v>4580</v>
      </c>
    </row>
    <row r="4585" spans="1:12" ht="11.25" customHeight="1">
      <c r="A4585" s="39">
        <v>4581</v>
      </c>
      <c r="B4585" s="40" t="s">
        <v>21445</v>
      </c>
      <c r="C4585" s="40" t="s">
        <v>21446</v>
      </c>
      <c r="D4585" s="40" t="s">
        <v>21447</v>
      </c>
      <c r="E4585" s="41">
        <v>3.1</v>
      </c>
      <c r="F4585" s="40"/>
      <c r="G4585" s="41"/>
      <c r="H4585" s="40"/>
      <c r="I4585" s="41"/>
      <c r="J4585" s="41">
        <f t="shared" si="17"/>
        <v>3.1</v>
      </c>
      <c r="K4585" s="42" t="s">
        <v>5796</v>
      </c>
      <c r="L4585" s="39">
        <v>4581</v>
      </c>
    </row>
    <row r="4586" spans="1:12" ht="11.25" customHeight="1">
      <c r="A4586" s="39">
        <v>4582</v>
      </c>
      <c r="B4586" s="40" t="s">
        <v>21448</v>
      </c>
      <c r="C4586" s="40" t="s">
        <v>21449</v>
      </c>
      <c r="D4586" s="40" t="s">
        <v>21450</v>
      </c>
      <c r="E4586" s="41">
        <v>3.1</v>
      </c>
      <c r="F4586" s="40"/>
      <c r="G4586" s="41"/>
      <c r="H4586" s="40"/>
      <c r="I4586" s="41"/>
      <c r="J4586" s="41">
        <f t="shared" si="17"/>
        <v>3.1</v>
      </c>
      <c r="K4586" s="42" t="s">
        <v>5796</v>
      </c>
      <c r="L4586" s="39">
        <v>4582</v>
      </c>
    </row>
    <row r="4587" spans="1:12" ht="11.25" customHeight="1">
      <c r="A4587" s="39">
        <v>4583</v>
      </c>
      <c r="B4587" s="52" t="s">
        <v>9711</v>
      </c>
      <c r="C4587" s="52" t="s">
        <v>21451</v>
      </c>
      <c r="D4587" s="40"/>
      <c r="E4587" s="41"/>
      <c r="F4587" s="40"/>
      <c r="G4587" s="41"/>
      <c r="H4587" s="52" t="s">
        <v>21452</v>
      </c>
      <c r="I4587" s="53">
        <v>3.0976786499999953</v>
      </c>
      <c r="J4587" s="41">
        <f t="shared" si="17"/>
        <v>3.0976786499999953</v>
      </c>
      <c r="K4587" s="42" t="s">
        <v>5796</v>
      </c>
      <c r="L4587" s="39">
        <v>4583</v>
      </c>
    </row>
    <row r="4588" spans="1:12" ht="11.25" customHeight="1">
      <c r="A4588" s="39">
        <v>4584</v>
      </c>
      <c r="B4588" s="52" t="s">
        <v>9712</v>
      </c>
      <c r="C4588" s="52" t="s">
        <v>21453</v>
      </c>
      <c r="D4588" s="40"/>
      <c r="E4588" s="41"/>
      <c r="F4588" s="40"/>
      <c r="G4588" s="41"/>
      <c r="H4588" s="52" t="s">
        <v>21454</v>
      </c>
      <c r="I4588" s="53">
        <v>3.0974209999999975</v>
      </c>
      <c r="J4588" s="41">
        <f t="shared" si="17"/>
        <v>3.0974209999999975</v>
      </c>
      <c r="K4588" s="42" t="s">
        <v>5796</v>
      </c>
      <c r="L4588" s="39">
        <v>4584</v>
      </c>
    </row>
    <row r="4589" spans="1:12" ht="11.25" customHeight="1">
      <c r="A4589" s="39">
        <v>4585</v>
      </c>
      <c r="B4589" s="40" t="s">
        <v>21455</v>
      </c>
      <c r="C4589" s="40" t="s">
        <v>21456</v>
      </c>
      <c r="D4589" s="40" t="s">
        <v>21457</v>
      </c>
      <c r="E4589" s="41">
        <v>3.08</v>
      </c>
      <c r="F4589" s="40"/>
      <c r="G4589" s="41"/>
      <c r="H4589" s="40"/>
      <c r="I4589" s="41"/>
      <c r="J4589" s="41">
        <f t="shared" si="17"/>
        <v>3.08</v>
      </c>
      <c r="K4589" s="42" t="s">
        <v>5796</v>
      </c>
      <c r="L4589" s="39">
        <v>4585</v>
      </c>
    </row>
    <row r="4590" spans="1:12" ht="11.25" customHeight="1">
      <c r="A4590" s="39">
        <v>4586</v>
      </c>
      <c r="B4590" s="52" t="s">
        <v>9713</v>
      </c>
      <c r="C4590" s="52" t="s">
        <v>21458</v>
      </c>
      <c r="D4590" s="40"/>
      <c r="E4590" s="41"/>
      <c r="F4590" s="40"/>
      <c r="G4590" s="41"/>
      <c r="H4590" s="52" t="s">
        <v>21459</v>
      </c>
      <c r="I4590" s="53">
        <v>3.0749999999999931</v>
      </c>
      <c r="J4590" s="41">
        <f t="shared" si="17"/>
        <v>3.0749999999999931</v>
      </c>
      <c r="K4590" s="42" t="s">
        <v>5796</v>
      </c>
      <c r="L4590" s="39">
        <v>4586</v>
      </c>
    </row>
    <row r="4591" spans="1:12" ht="11.25" customHeight="1">
      <c r="A4591" s="39">
        <v>4587</v>
      </c>
      <c r="B4591" s="40" t="s">
        <v>21460</v>
      </c>
      <c r="C4591" s="40" t="s">
        <v>21461</v>
      </c>
      <c r="D4591" s="40" t="s">
        <v>21462</v>
      </c>
      <c r="E4591" s="41">
        <v>3.06</v>
      </c>
      <c r="F4591" s="40"/>
      <c r="G4591" s="41"/>
      <c r="H4591" s="40"/>
      <c r="I4591" s="41"/>
      <c r="J4591" s="41">
        <f t="shared" si="17"/>
        <v>3.06</v>
      </c>
      <c r="K4591" s="42" t="s">
        <v>5796</v>
      </c>
      <c r="L4591" s="39">
        <v>4587</v>
      </c>
    </row>
    <row r="4592" spans="1:12" ht="11.25" customHeight="1">
      <c r="A4592" s="39">
        <v>4588</v>
      </c>
      <c r="B4592" s="40" t="s">
        <v>9715</v>
      </c>
      <c r="C4592" s="40" t="s">
        <v>21463</v>
      </c>
      <c r="D4592" s="40" t="s">
        <v>21464</v>
      </c>
      <c r="E4592" s="41">
        <v>3.06</v>
      </c>
      <c r="F4592" s="40"/>
      <c r="G4592" s="41"/>
      <c r="H4592" s="40"/>
      <c r="I4592" s="41"/>
      <c r="J4592" s="41">
        <f t="shared" si="17"/>
        <v>3.06</v>
      </c>
      <c r="K4592" s="42" t="s">
        <v>5796</v>
      </c>
      <c r="L4592" s="39">
        <v>4588</v>
      </c>
    </row>
    <row r="4593" spans="1:12" ht="11.25" customHeight="1">
      <c r="A4593" s="39">
        <v>4589</v>
      </c>
      <c r="B4593" s="40" t="s">
        <v>21465</v>
      </c>
      <c r="C4593" s="40" t="s">
        <v>21466</v>
      </c>
      <c r="D4593" s="40" t="s">
        <v>21467</v>
      </c>
      <c r="E4593" s="41">
        <v>3.04</v>
      </c>
      <c r="F4593" s="40"/>
      <c r="G4593" s="41"/>
      <c r="H4593" s="40"/>
      <c r="I4593" s="41"/>
      <c r="J4593" s="41">
        <f t="shared" ref="J4593:J4847" si="18">AVERAGE(E4593,G4593,I4593)</f>
        <v>3.04</v>
      </c>
      <c r="K4593" s="42" t="s">
        <v>5796</v>
      </c>
      <c r="L4593" s="39">
        <v>4589</v>
      </c>
    </row>
    <row r="4594" spans="1:12" ht="11.25" customHeight="1">
      <c r="A4594" s="39">
        <v>4590</v>
      </c>
      <c r="B4594" s="52" t="s">
        <v>9723</v>
      </c>
      <c r="C4594" s="52" t="s">
        <v>21468</v>
      </c>
      <c r="D4594" s="40"/>
      <c r="E4594" s="41"/>
      <c r="F4594" s="40"/>
      <c r="G4594" s="41"/>
      <c r="H4594" s="52" t="s">
        <v>21469</v>
      </c>
      <c r="I4594" s="53">
        <v>3.0233709999999978</v>
      </c>
      <c r="J4594" s="41">
        <f t="shared" si="18"/>
        <v>3.0233709999999978</v>
      </c>
      <c r="K4594" s="42" t="s">
        <v>5796</v>
      </c>
      <c r="L4594" s="39">
        <v>4590</v>
      </c>
    </row>
    <row r="4595" spans="1:12" ht="11.25" customHeight="1">
      <c r="A4595" s="39">
        <v>4591</v>
      </c>
      <c r="B4595" s="40" t="s">
        <v>21470</v>
      </c>
      <c r="C4595" s="40" t="s">
        <v>21471</v>
      </c>
      <c r="D4595" s="40" t="s">
        <v>21472</v>
      </c>
      <c r="E4595" s="41">
        <v>3.01</v>
      </c>
      <c r="F4595" s="40"/>
      <c r="G4595" s="41"/>
      <c r="H4595" s="40"/>
      <c r="I4595" s="41"/>
      <c r="J4595" s="41">
        <f t="shared" si="18"/>
        <v>3.01</v>
      </c>
      <c r="K4595" s="42" t="s">
        <v>5796</v>
      </c>
      <c r="L4595" s="39">
        <v>4591</v>
      </c>
    </row>
    <row r="4596" spans="1:12" ht="11.25" customHeight="1">
      <c r="A4596" s="39">
        <v>4592</v>
      </c>
      <c r="B4596" s="40" t="s">
        <v>21473</v>
      </c>
      <c r="C4596" s="40" t="s">
        <v>21474</v>
      </c>
      <c r="D4596" s="40" t="s">
        <v>21475</v>
      </c>
      <c r="E4596" s="41">
        <v>3</v>
      </c>
      <c r="F4596" s="40"/>
      <c r="G4596" s="41"/>
      <c r="H4596" s="40"/>
      <c r="I4596" s="41"/>
      <c r="J4596" s="41">
        <f t="shared" si="18"/>
        <v>3</v>
      </c>
      <c r="K4596" s="42" t="s">
        <v>5796</v>
      </c>
      <c r="L4596" s="39">
        <v>4592</v>
      </c>
    </row>
    <row r="4597" spans="1:12" ht="11.25" customHeight="1">
      <c r="A4597" s="39">
        <v>4593</v>
      </c>
      <c r="B4597" s="40" t="s">
        <v>21476</v>
      </c>
      <c r="C4597" s="40" t="s">
        <v>21477</v>
      </c>
      <c r="D4597" s="40" t="s">
        <v>21478</v>
      </c>
      <c r="E4597" s="41">
        <v>3</v>
      </c>
      <c r="F4597" s="40"/>
      <c r="G4597" s="41"/>
      <c r="H4597" s="40"/>
      <c r="I4597" s="41"/>
      <c r="J4597" s="41">
        <f t="shared" si="18"/>
        <v>3</v>
      </c>
      <c r="K4597" s="42" t="s">
        <v>5796</v>
      </c>
      <c r="L4597" s="39">
        <v>4593</v>
      </c>
    </row>
    <row r="4598" spans="1:12" ht="11.25" customHeight="1">
      <c r="A4598" s="39">
        <v>4594</v>
      </c>
      <c r="B4598" s="52" t="s">
        <v>9727</v>
      </c>
      <c r="C4598" s="52" t="s">
        <v>21479</v>
      </c>
      <c r="D4598" s="40"/>
      <c r="E4598" s="41"/>
      <c r="F4598" s="40"/>
      <c r="G4598" s="41"/>
      <c r="H4598" s="52" t="s">
        <v>21480</v>
      </c>
      <c r="I4598" s="53">
        <v>2.9917500000000059</v>
      </c>
      <c r="J4598" s="41">
        <f t="shared" si="18"/>
        <v>2.9917500000000059</v>
      </c>
      <c r="K4598" s="42" t="s">
        <v>5796</v>
      </c>
      <c r="L4598" s="39">
        <v>4594</v>
      </c>
    </row>
    <row r="4599" spans="1:12" ht="11.25" customHeight="1">
      <c r="A4599" s="39">
        <v>4595</v>
      </c>
      <c r="B4599" s="40" t="s">
        <v>21481</v>
      </c>
      <c r="C4599" s="40" t="s">
        <v>21482</v>
      </c>
      <c r="D4599" s="40" t="s">
        <v>21483</v>
      </c>
      <c r="E4599" s="41">
        <v>2.99</v>
      </c>
      <c r="F4599" s="40"/>
      <c r="G4599" s="41"/>
      <c r="H4599" s="40"/>
      <c r="I4599" s="41"/>
      <c r="J4599" s="41">
        <f t="shared" si="18"/>
        <v>2.99</v>
      </c>
      <c r="K4599" s="42" t="s">
        <v>5796</v>
      </c>
      <c r="L4599" s="39">
        <v>4595</v>
      </c>
    </row>
    <row r="4600" spans="1:12" ht="11.25" customHeight="1">
      <c r="A4600" s="39">
        <v>4596</v>
      </c>
      <c r="B4600" s="40" t="s">
        <v>21484</v>
      </c>
      <c r="C4600" s="40" t="s">
        <v>21485</v>
      </c>
      <c r="D4600" s="40" t="s">
        <v>21486</v>
      </c>
      <c r="E4600" s="41">
        <v>2.99</v>
      </c>
      <c r="F4600" s="40"/>
      <c r="G4600" s="41"/>
      <c r="H4600" s="40"/>
      <c r="I4600" s="41"/>
      <c r="J4600" s="41">
        <f t="shared" si="18"/>
        <v>2.99</v>
      </c>
      <c r="K4600" s="42" t="s">
        <v>5796</v>
      </c>
      <c r="L4600" s="39">
        <v>4596</v>
      </c>
    </row>
    <row r="4601" spans="1:12" ht="11.25" customHeight="1">
      <c r="A4601" s="39">
        <v>4597</v>
      </c>
      <c r="B4601" s="40" t="s">
        <v>21487</v>
      </c>
      <c r="C4601" s="40" t="s">
        <v>21488</v>
      </c>
      <c r="D4601" s="40" t="s">
        <v>21489</v>
      </c>
      <c r="E4601" s="41">
        <v>2.99</v>
      </c>
      <c r="F4601" s="40"/>
      <c r="G4601" s="41"/>
      <c r="H4601" s="40"/>
      <c r="I4601" s="41"/>
      <c r="J4601" s="41">
        <f t="shared" si="18"/>
        <v>2.99</v>
      </c>
      <c r="K4601" s="42" t="s">
        <v>5796</v>
      </c>
      <c r="L4601" s="39">
        <v>4597</v>
      </c>
    </row>
    <row r="4602" spans="1:12" ht="11.25" customHeight="1">
      <c r="A4602" s="39">
        <v>4598</v>
      </c>
      <c r="B4602" s="40" t="s">
        <v>21490</v>
      </c>
      <c r="C4602" s="40" t="s">
        <v>21491</v>
      </c>
      <c r="D4602" s="40" t="s">
        <v>21492</v>
      </c>
      <c r="E4602" s="41">
        <v>2.98</v>
      </c>
      <c r="F4602" s="40"/>
      <c r="G4602" s="41"/>
      <c r="H4602" s="40"/>
      <c r="I4602" s="41"/>
      <c r="J4602" s="41">
        <f t="shared" si="18"/>
        <v>2.98</v>
      </c>
      <c r="K4602" s="42" t="s">
        <v>5796</v>
      </c>
      <c r="L4602" s="39">
        <v>4598</v>
      </c>
    </row>
    <row r="4603" spans="1:12" ht="11.25" customHeight="1">
      <c r="A4603" s="39">
        <v>4599</v>
      </c>
      <c r="B4603" s="40" t="s">
        <v>21493</v>
      </c>
      <c r="C4603" s="40" t="s">
        <v>21494</v>
      </c>
      <c r="D4603" s="40" t="s">
        <v>21495</v>
      </c>
      <c r="E4603" s="41">
        <v>2.95</v>
      </c>
      <c r="F4603" s="40"/>
      <c r="G4603" s="41"/>
      <c r="H4603" s="40"/>
      <c r="I4603" s="41"/>
      <c r="J4603" s="41">
        <f t="shared" si="18"/>
        <v>2.95</v>
      </c>
      <c r="K4603" s="42" t="s">
        <v>5796</v>
      </c>
      <c r="L4603" s="39">
        <v>4599</v>
      </c>
    </row>
    <row r="4604" spans="1:12" ht="11.25" customHeight="1">
      <c r="A4604" s="39">
        <v>4600</v>
      </c>
      <c r="B4604" s="40" t="s">
        <v>9737</v>
      </c>
      <c r="C4604" s="40" t="s">
        <v>21496</v>
      </c>
      <c r="D4604" s="40" t="s">
        <v>21497</v>
      </c>
      <c r="E4604" s="41">
        <v>2.95</v>
      </c>
      <c r="F4604" s="40"/>
      <c r="G4604" s="41"/>
      <c r="H4604" s="40"/>
      <c r="I4604" s="41"/>
      <c r="J4604" s="41">
        <f t="shared" si="18"/>
        <v>2.95</v>
      </c>
      <c r="K4604" s="42" t="s">
        <v>5796</v>
      </c>
      <c r="L4604" s="39">
        <v>4600</v>
      </c>
    </row>
    <row r="4605" spans="1:12" ht="11.25" customHeight="1">
      <c r="A4605" s="39">
        <v>4601</v>
      </c>
      <c r="B4605" s="40" t="s">
        <v>21498</v>
      </c>
      <c r="C4605" s="40" t="s">
        <v>21499</v>
      </c>
      <c r="D4605" s="40" t="s">
        <v>21500</v>
      </c>
      <c r="E4605" s="41">
        <v>2.94</v>
      </c>
      <c r="F4605" s="40"/>
      <c r="G4605" s="41"/>
      <c r="H4605" s="40"/>
      <c r="I4605" s="41"/>
      <c r="J4605" s="41">
        <f t="shared" si="18"/>
        <v>2.94</v>
      </c>
      <c r="K4605" s="42" t="s">
        <v>5796</v>
      </c>
      <c r="L4605" s="39">
        <v>4601</v>
      </c>
    </row>
    <row r="4606" spans="1:12" ht="11.25" customHeight="1">
      <c r="A4606" s="39">
        <v>4602</v>
      </c>
      <c r="B4606" s="40" t="s">
        <v>21501</v>
      </c>
      <c r="C4606" s="40" t="s">
        <v>21502</v>
      </c>
      <c r="D4606" s="40" t="s">
        <v>21503</v>
      </c>
      <c r="E4606" s="41">
        <v>2.93</v>
      </c>
      <c r="F4606" s="40"/>
      <c r="G4606" s="41"/>
      <c r="H4606" s="40"/>
      <c r="I4606" s="41"/>
      <c r="J4606" s="41">
        <f t="shared" si="18"/>
        <v>2.93</v>
      </c>
      <c r="K4606" s="42" t="s">
        <v>5796</v>
      </c>
      <c r="L4606" s="39">
        <v>4602</v>
      </c>
    </row>
    <row r="4607" spans="1:12" ht="11.25" customHeight="1">
      <c r="A4607" s="39">
        <v>4603</v>
      </c>
      <c r="B4607" s="40" t="s">
        <v>21504</v>
      </c>
      <c r="C4607" s="40" t="s">
        <v>21505</v>
      </c>
      <c r="D4607" s="40" t="s">
        <v>21506</v>
      </c>
      <c r="E4607" s="41">
        <v>2.92</v>
      </c>
      <c r="F4607" s="40"/>
      <c r="G4607" s="41"/>
      <c r="H4607" s="40"/>
      <c r="I4607" s="41"/>
      <c r="J4607" s="41">
        <f t="shared" si="18"/>
        <v>2.92</v>
      </c>
      <c r="K4607" s="42" t="s">
        <v>5796</v>
      </c>
      <c r="L4607" s="39">
        <v>4603</v>
      </c>
    </row>
    <row r="4608" spans="1:12" ht="11.25" customHeight="1">
      <c r="A4608" s="39">
        <v>4604</v>
      </c>
      <c r="B4608" s="40" t="s">
        <v>21507</v>
      </c>
      <c r="C4608" s="40" t="s">
        <v>21508</v>
      </c>
      <c r="D4608" s="40" t="s">
        <v>21509</v>
      </c>
      <c r="E4608" s="41">
        <v>2.9</v>
      </c>
      <c r="F4608" s="40"/>
      <c r="G4608" s="41"/>
      <c r="H4608" s="40"/>
      <c r="I4608" s="41"/>
      <c r="J4608" s="41">
        <f t="shared" si="18"/>
        <v>2.9</v>
      </c>
      <c r="K4608" s="42" t="s">
        <v>5796</v>
      </c>
      <c r="L4608" s="39">
        <v>4604</v>
      </c>
    </row>
    <row r="4609" spans="1:12" ht="11.25" customHeight="1">
      <c r="A4609" s="39">
        <v>4605</v>
      </c>
      <c r="B4609" s="40" t="s">
        <v>21510</v>
      </c>
      <c r="C4609" s="40" t="s">
        <v>21511</v>
      </c>
      <c r="D4609" s="40" t="s">
        <v>21512</v>
      </c>
      <c r="E4609" s="41">
        <v>2.9</v>
      </c>
      <c r="F4609" s="40"/>
      <c r="G4609" s="41"/>
      <c r="H4609" s="40"/>
      <c r="I4609" s="41"/>
      <c r="J4609" s="41">
        <f t="shared" si="18"/>
        <v>2.9</v>
      </c>
      <c r="K4609" s="42" t="s">
        <v>5796</v>
      </c>
      <c r="L4609" s="39">
        <v>4605</v>
      </c>
    </row>
    <row r="4610" spans="1:12" ht="11.25" customHeight="1">
      <c r="A4610" s="39">
        <v>4606</v>
      </c>
      <c r="B4610" s="52" t="s">
        <v>9747</v>
      </c>
      <c r="C4610" s="52" t="s">
        <v>21513</v>
      </c>
      <c r="D4610" s="40"/>
      <c r="E4610" s="41"/>
      <c r="F4610" s="40"/>
      <c r="G4610" s="41"/>
      <c r="H4610" s="52" t="s">
        <v>21514</v>
      </c>
      <c r="I4610" s="53">
        <v>2.8767129999999965</v>
      </c>
      <c r="J4610" s="41">
        <f t="shared" si="18"/>
        <v>2.8767129999999965</v>
      </c>
      <c r="K4610" s="42" t="s">
        <v>5796</v>
      </c>
      <c r="L4610" s="39">
        <v>4606</v>
      </c>
    </row>
    <row r="4611" spans="1:12" ht="11.25" customHeight="1">
      <c r="A4611" s="39">
        <v>4608</v>
      </c>
      <c r="B4611" s="40" t="s">
        <v>21515</v>
      </c>
      <c r="C4611" s="40" t="s">
        <v>21516</v>
      </c>
      <c r="D4611" s="40" t="s">
        <v>21517</v>
      </c>
      <c r="E4611" s="41">
        <v>2.87</v>
      </c>
      <c r="F4611" s="40"/>
      <c r="G4611" s="41"/>
      <c r="H4611" s="40"/>
      <c r="I4611" s="41"/>
      <c r="J4611" s="41">
        <f t="shared" si="18"/>
        <v>2.87</v>
      </c>
      <c r="K4611" s="42" t="s">
        <v>5796</v>
      </c>
      <c r="L4611" s="39">
        <v>4608</v>
      </c>
    </row>
    <row r="4612" spans="1:12" ht="11.25" customHeight="1">
      <c r="A4612" s="39">
        <v>4609</v>
      </c>
      <c r="B4612" s="40" t="s">
        <v>9749</v>
      </c>
      <c r="C4612" s="40" t="s">
        <v>21518</v>
      </c>
      <c r="D4612" s="40" t="s">
        <v>21519</v>
      </c>
      <c r="E4612" s="41">
        <v>2.86</v>
      </c>
      <c r="F4612" s="40"/>
      <c r="G4612" s="41"/>
      <c r="H4612" s="40"/>
      <c r="I4612" s="41"/>
      <c r="J4612" s="41">
        <f t="shared" si="18"/>
        <v>2.86</v>
      </c>
      <c r="K4612" s="42" t="s">
        <v>5796</v>
      </c>
      <c r="L4612" s="39">
        <v>4609</v>
      </c>
    </row>
    <row r="4613" spans="1:12" ht="11.25" customHeight="1">
      <c r="A4613" s="39">
        <v>4610</v>
      </c>
      <c r="B4613" s="40" t="s">
        <v>21520</v>
      </c>
      <c r="C4613" s="40" t="s">
        <v>21521</v>
      </c>
      <c r="D4613" s="40" t="s">
        <v>21522</v>
      </c>
      <c r="E4613" s="41">
        <v>2.84</v>
      </c>
      <c r="F4613" s="40"/>
      <c r="G4613" s="41"/>
      <c r="H4613" s="40"/>
      <c r="I4613" s="41"/>
      <c r="J4613" s="41">
        <f t="shared" si="18"/>
        <v>2.84</v>
      </c>
      <c r="K4613" s="42" t="s">
        <v>5796</v>
      </c>
      <c r="L4613" s="39">
        <v>4610</v>
      </c>
    </row>
    <row r="4614" spans="1:12" ht="11.25" customHeight="1">
      <c r="A4614" s="39">
        <v>4611</v>
      </c>
      <c r="B4614" s="40" t="s">
        <v>21523</v>
      </c>
      <c r="C4614" s="40" t="s">
        <v>21524</v>
      </c>
      <c r="D4614" s="40" t="s">
        <v>21525</v>
      </c>
      <c r="E4614" s="41">
        <v>2.84</v>
      </c>
      <c r="F4614" s="40"/>
      <c r="G4614" s="41"/>
      <c r="H4614" s="40"/>
      <c r="I4614" s="41"/>
      <c r="J4614" s="41">
        <f t="shared" si="18"/>
        <v>2.84</v>
      </c>
      <c r="K4614" s="42" t="s">
        <v>5796</v>
      </c>
      <c r="L4614" s="39">
        <v>4611</v>
      </c>
    </row>
    <row r="4615" spans="1:12" ht="11.25" customHeight="1">
      <c r="A4615" s="39">
        <v>4612</v>
      </c>
      <c r="B4615" s="40" t="s">
        <v>21526</v>
      </c>
      <c r="C4615" s="40" t="s">
        <v>21527</v>
      </c>
      <c r="D4615" s="40" t="s">
        <v>21528</v>
      </c>
      <c r="E4615" s="41">
        <v>2.84</v>
      </c>
      <c r="F4615" s="40"/>
      <c r="G4615" s="41"/>
      <c r="H4615" s="40"/>
      <c r="I4615" s="41"/>
      <c r="J4615" s="41">
        <f t="shared" si="18"/>
        <v>2.84</v>
      </c>
      <c r="K4615" s="42" t="s">
        <v>5796</v>
      </c>
      <c r="L4615" s="39">
        <v>4612</v>
      </c>
    </row>
    <row r="4616" spans="1:12" ht="11.25" customHeight="1">
      <c r="A4616" s="39">
        <v>4613</v>
      </c>
      <c r="B4616" s="40" t="s">
        <v>21529</v>
      </c>
      <c r="C4616" s="40" t="s">
        <v>21530</v>
      </c>
      <c r="D4616" s="40" t="s">
        <v>21531</v>
      </c>
      <c r="E4616" s="41">
        <v>2.82</v>
      </c>
      <c r="F4616" s="40"/>
      <c r="G4616" s="41"/>
      <c r="H4616" s="40"/>
      <c r="I4616" s="41"/>
      <c r="J4616" s="41">
        <f t="shared" si="18"/>
        <v>2.82</v>
      </c>
      <c r="K4616" s="42" t="s">
        <v>5796</v>
      </c>
      <c r="L4616" s="39">
        <v>4613</v>
      </c>
    </row>
    <row r="4617" spans="1:12" ht="11.25" customHeight="1">
      <c r="A4617" s="39">
        <v>4614</v>
      </c>
      <c r="B4617" s="40" t="s">
        <v>21532</v>
      </c>
      <c r="C4617" s="40" t="s">
        <v>21533</v>
      </c>
      <c r="D4617" s="40" t="s">
        <v>21534</v>
      </c>
      <c r="E4617" s="41">
        <v>2.81</v>
      </c>
      <c r="F4617" s="40"/>
      <c r="G4617" s="41"/>
      <c r="H4617" s="40"/>
      <c r="I4617" s="41"/>
      <c r="J4617" s="41">
        <f t="shared" si="18"/>
        <v>2.81</v>
      </c>
      <c r="K4617" s="42" t="s">
        <v>5796</v>
      </c>
      <c r="L4617" s="39">
        <v>4614</v>
      </c>
    </row>
    <row r="4618" spans="1:12" ht="11.25" customHeight="1">
      <c r="A4618" s="39">
        <v>4615</v>
      </c>
      <c r="B4618" s="40" t="s">
        <v>21535</v>
      </c>
      <c r="C4618" s="40" t="s">
        <v>21536</v>
      </c>
      <c r="D4618" s="40" t="s">
        <v>21537</v>
      </c>
      <c r="E4618" s="41">
        <v>2.81</v>
      </c>
      <c r="F4618" s="40"/>
      <c r="G4618" s="41"/>
      <c r="H4618" s="40"/>
      <c r="I4618" s="41"/>
      <c r="J4618" s="41">
        <f t="shared" si="18"/>
        <v>2.81</v>
      </c>
      <c r="K4618" s="42" t="s">
        <v>5796</v>
      </c>
      <c r="L4618" s="39">
        <v>4615</v>
      </c>
    </row>
    <row r="4619" spans="1:12" ht="11.25" customHeight="1">
      <c r="A4619" s="39">
        <v>4616</v>
      </c>
      <c r="B4619" s="40" t="s">
        <v>21538</v>
      </c>
      <c r="C4619" s="40" t="s">
        <v>21539</v>
      </c>
      <c r="D4619" s="40" t="s">
        <v>21540</v>
      </c>
      <c r="E4619" s="41">
        <v>2.8</v>
      </c>
      <c r="F4619" s="40"/>
      <c r="G4619" s="41"/>
      <c r="H4619" s="40"/>
      <c r="I4619" s="41"/>
      <c r="J4619" s="41">
        <f t="shared" si="18"/>
        <v>2.8</v>
      </c>
      <c r="K4619" s="42" t="s">
        <v>5796</v>
      </c>
      <c r="L4619" s="39">
        <v>4616</v>
      </c>
    </row>
    <row r="4620" spans="1:12" ht="11.25" customHeight="1">
      <c r="A4620" s="39">
        <v>4617</v>
      </c>
      <c r="B4620" s="40" t="s">
        <v>21541</v>
      </c>
      <c r="C4620" s="40" t="s">
        <v>21542</v>
      </c>
      <c r="D4620" s="40" t="s">
        <v>21543</v>
      </c>
      <c r="E4620" s="41">
        <v>2.8</v>
      </c>
      <c r="F4620" s="40"/>
      <c r="G4620" s="41"/>
      <c r="H4620" s="40"/>
      <c r="I4620" s="41"/>
      <c r="J4620" s="41">
        <f t="shared" si="18"/>
        <v>2.8</v>
      </c>
      <c r="K4620" s="42" t="s">
        <v>5796</v>
      </c>
      <c r="L4620" s="39">
        <v>4617</v>
      </c>
    </row>
    <row r="4621" spans="1:12" ht="11.25" customHeight="1">
      <c r="A4621" s="39">
        <v>4618</v>
      </c>
      <c r="B4621" s="40" t="s">
        <v>21544</v>
      </c>
      <c r="C4621" s="40" t="s">
        <v>21545</v>
      </c>
      <c r="D4621" s="40" t="s">
        <v>21546</v>
      </c>
      <c r="E4621" s="41">
        <v>2.79</v>
      </c>
      <c r="F4621" s="40"/>
      <c r="G4621" s="41"/>
      <c r="H4621" s="40"/>
      <c r="I4621" s="41"/>
      <c r="J4621" s="41">
        <f t="shared" si="18"/>
        <v>2.79</v>
      </c>
      <c r="K4621" s="42" t="s">
        <v>5796</v>
      </c>
      <c r="L4621" s="39">
        <v>4618</v>
      </c>
    </row>
    <row r="4622" spans="1:12" ht="11.25" customHeight="1">
      <c r="A4622" s="39">
        <v>4619</v>
      </c>
      <c r="B4622" s="40" t="s">
        <v>21547</v>
      </c>
      <c r="C4622" s="40" t="s">
        <v>21548</v>
      </c>
      <c r="D4622" s="40" t="s">
        <v>21549</v>
      </c>
      <c r="E4622" s="41">
        <v>2.78</v>
      </c>
      <c r="F4622" s="40"/>
      <c r="G4622" s="41"/>
      <c r="H4622" s="40"/>
      <c r="I4622" s="41"/>
      <c r="J4622" s="41">
        <f t="shared" si="18"/>
        <v>2.78</v>
      </c>
      <c r="K4622" s="42" t="s">
        <v>5796</v>
      </c>
      <c r="L4622" s="39">
        <v>4619</v>
      </c>
    </row>
    <row r="4623" spans="1:12" ht="11.25" customHeight="1">
      <c r="A4623" s="39">
        <v>4620</v>
      </c>
      <c r="B4623" s="40" t="s">
        <v>21550</v>
      </c>
      <c r="C4623" s="40" t="s">
        <v>21551</v>
      </c>
      <c r="D4623" s="40" t="s">
        <v>21552</v>
      </c>
      <c r="E4623" s="41">
        <v>2.77</v>
      </c>
      <c r="F4623" s="40"/>
      <c r="G4623" s="41"/>
      <c r="H4623" s="40"/>
      <c r="I4623" s="41"/>
      <c r="J4623" s="41">
        <f t="shared" si="18"/>
        <v>2.77</v>
      </c>
      <c r="K4623" s="42" t="s">
        <v>5796</v>
      </c>
      <c r="L4623" s="39">
        <v>4620</v>
      </c>
    </row>
    <row r="4624" spans="1:12" ht="11.25" customHeight="1">
      <c r="A4624" s="39">
        <v>4621</v>
      </c>
      <c r="B4624" s="40" t="s">
        <v>21553</v>
      </c>
      <c r="C4624" s="40" t="s">
        <v>21554</v>
      </c>
      <c r="D4624" s="40" t="s">
        <v>21555</v>
      </c>
      <c r="E4624" s="41">
        <v>2.76</v>
      </c>
      <c r="F4624" s="40"/>
      <c r="G4624" s="41"/>
      <c r="H4624" s="40" t="s">
        <v>21555</v>
      </c>
      <c r="I4624" s="41">
        <v>2.7565911290322567</v>
      </c>
      <c r="J4624" s="41">
        <f t="shared" si="18"/>
        <v>2.7582955645161285</v>
      </c>
      <c r="K4624" s="42" t="s">
        <v>5796</v>
      </c>
      <c r="L4624" s="39">
        <v>4621</v>
      </c>
    </row>
    <row r="4625" spans="1:12" ht="11.25" customHeight="1">
      <c r="A4625" s="39">
        <v>4622</v>
      </c>
      <c r="B4625" s="40" t="s">
        <v>21556</v>
      </c>
      <c r="C4625" s="40" t="s">
        <v>21557</v>
      </c>
      <c r="D4625" s="40" t="s">
        <v>21558</v>
      </c>
      <c r="E4625" s="41">
        <v>2.74</v>
      </c>
      <c r="F4625" s="40"/>
      <c r="G4625" s="41"/>
      <c r="H4625" s="40"/>
      <c r="I4625" s="41"/>
      <c r="J4625" s="41">
        <f t="shared" si="18"/>
        <v>2.74</v>
      </c>
      <c r="K4625" s="42" t="s">
        <v>5796</v>
      </c>
      <c r="L4625" s="39">
        <v>4622</v>
      </c>
    </row>
    <row r="4626" spans="1:12" ht="11.25" customHeight="1">
      <c r="A4626" s="39">
        <v>4623</v>
      </c>
      <c r="B4626" s="40" t="s">
        <v>21559</v>
      </c>
      <c r="C4626" s="40" t="s">
        <v>21560</v>
      </c>
      <c r="D4626" s="40" t="s">
        <v>21561</v>
      </c>
      <c r="E4626" s="41">
        <v>2.74</v>
      </c>
      <c r="F4626" s="40"/>
      <c r="G4626" s="41"/>
      <c r="H4626" s="40"/>
      <c r="I4626" s="41"/>
      <c r="J4626" s="41">
        <f t="shared" si="18"/>
        <v>2.74</v>
      </c>
      <c r="K4626" s="42" t="s">
        <v>5796</v>
      </c>
      <c r="L4626" s="39">
        <v>4623</v>
      </c>
    </row>
    <row r="4627" spans="1:12" ht="11.25" customHeight="1">
      <c r="A4627" s="39">
        <v>4624</v>
      </c>
      <c r="B4627" s="40" t="s">
        <v>21562</v>
      </c>
      <c r="C4627" s="40" t="s">
        <v>21563</v>
      </c>
      <c r="D4627" s="40" t="s">
        <v>21564</v>
      </c>
      <c r="E4627" s="41">
        <v>2.73</v>
      </c>
      <c r="F4627" s="40"/>
      <c r="G4627" s="41"/>
      <c r="H4627" s="40"/>
      <c r="I4627" s="41"/>
      <c r="J4627" s="41">
        <f t="shared" si="18"/>
        <v>2.73</v>
      </c>
      <c r="K4627" s="42" t="s">
        <v>5796</v>
      </c>
      <c r="L4627" s="39">
        <v>4624</v>
      </c>
    </row>
    <row r="4628" spans="1:12" ht="11.25" customHeight="1">
      <c r="A4628" s="39">
        <v>4625</v>
      </c>
      <c r="B4628" s="40" t="s">
        <v>21565</v>
      </c>
      <c r="C4628" s="40" t="s">
        <v>21566</v>
      </c>
      <c r="D4628" s="40" t="s">
        <v>21567</v>
      </c>
      <c r="E4628" s="41">
        <v>2.73</v>
      </c>
      <c r="F4628" s="40"/>
      <c r="G4628" s="41"/>
      <c r="H4628" s="40"/>
      <c r="I4628" s="41"/>
      <c r="J4628" s="41">
        <f t="shared" si="18"/>
        <v>2.73</v>
      </c>
      <c r="K4628" s="42" t="s">
        <v>5796</v>
      </c>
      <c r="L4628" s="39">
        <v>4625</v>
      </c>
    </row>
    <row r="4629" spans="1:12" ht="11.25" customHeight="1">
      <c r="A4629" s="39">
        <v>4626</v>
      </c>
      <c r="B4629" s="40" t="s">
        <v>21568</v>
      </c>
      <c r="C4629" s="40" t="s">
        <v>21569</v>
      </c>
      <c r="D4629" s="40" t="s">
        <v>21570</v>
      </c>
      <c r="E4629" s="41">
        <v>2.73</v>
      </c>
      <c r="F4629" s="40"/>
      <c r="G4629" s="41"/>
      <c r="H4629" s="40"/>
      <c r="I4629" s="41"/>
      <c r="J4629" s="41">
        <f t="shared" si="18"/>
        <v>2.73</v>
      </c>
      <c r="K4629" s="42" t="s">
        <v>5796</v>
      </c>
      <c r="L4629" s="39">
        <v>4626</v>
      </c>
    </row>
    <row r="4630" spans="1:12" ht="11.25" customHeight="1">
      <c r="A4630" s="39">
        <v>4627</v>
      </c>
      <c r="B4630" s="52" t="s">
        <v>9771</v>
      </c>
      <c r="C4630" s="52" t="s">
        <v>21571</v>
      </c>
      <c r="D4630" s="40"/>
      <c r="E4630" s="41"/>
      <c r="F4630" s="40"/>
      <c r="G4630" s="41"/>
      <c r="H4630" s="52" t="s">
        <v>19587</v>
      </c>
      <c r="I4630" s="53">
        <v>2.7203000000000048</v>
      </c>
      <c r="J4630" s="41">
        <f t="shared" si="18"/>
        <v>2.7203000000000048</v>
      </c>
      <c r="K4630" s="42" t="s">
        <v>5796</v>
      </c>
      <c r="L4630" s="39">
        <v>4627</v>
      </c>
    </row>
    <row r="4631" spans="1:12" ht="11.25" customHeight="1">
      <c r="A4631" s="39">
        <v>4628</v>
      </c>
      <c r="B4631" s="40" t="s">
        <v>21572</v>
      </c>
      <c r="C4631" s="40" t="s">
        <v>21573</v>
      </c>
      <c r="D4631" s="40" t="s">
        <v>21574</v>
      </c>
      <c r="E4631" s="41">
        <v>2.72</v>
      </c>
      <c r="F4631" s="40"/>
      <c r="G4631" s="41"/>
      <c r="H4631" s="40"/>
      <c r="I4631" s="41"/>
      <c r="J4631" s="41">
        <f t="shared" si="18"/>
        <v>2.72</v>
      </c>
      <c r="K4631" s="42" t="s">
        <v>5796</v>
      </c>
      <c r="L4631" s="39">
        <v>4628</v>
      </c>
    </row>
    <row r="4632" spans="1:12" ht="11.25" customHeight="1">
      <c r="A4632" s="39">
        <v>4629</v>
      </c>
      <c r="B4632" s="40" t="s">
        <v>21575</v>
      </c>
      <c r="C4632" s="40" t="s">
        <v>21576</v>
      </c>
      <c r="D4632" s="40" t="s">
        <v>21577</v>
      </c>
      <c r="E4632" s="41">
        <v>2.71</v>
      </c>
      <c r="F4632" s="40"/>
      <c r="G4632" s="41"/>
      <c r="H4632" s="40"/>
      <c r="I4632" s="41"/>
      <c r="J4632" s="41">
        <f t="shared" si="18"/>
        <v>2.71</v>
      </c>
      <c r="K4632" s="42" t="s">
        <v>5796</v>
      </c>
      <c r="L4632" s="39">
        <v>4629</v>
      </c>
    </row>
    <row r="4633" spans="1:12" ht="11.25" customHeight="1">
      <c r="A4633" s="39">
        <v>4630</v>
      </c>
      <c r="B4633" s="40" t="s">
        <v>21578</v>
      </c>
      <c r="C4633" s="40" t="s">
        <v>21579</v>
      </c>
      <c r="D4633" s="40" t="s">
        <v>21580</v>
      </c>
      <c r="E4633" s="41">
        <v>2.71</v>
      </c>
      <c r="F4633" s="40"/>
      <c r="G4633" s="41"/>
      <c r="H4633" s="40"/>
      <c r="I4633" s="41"/>
      <c r="J4633" s="41">
        <f t="shared" si="18"/>
        <v>2.71</v>
      </c>
      <c r="K4633" s="42" t="s">
        <v>5796</v>
      </c>
      <c r="L4633" s="39">
        <v>4630</v>
      </c>
    </row>
    <row r="4634" spans="1:12" ht="11.25" customHeight="1">
      <c r="A4634" s="39">
        <v>4631</v>
      </c>
      <c r="B4634" s="40" t="s">
        <v>9784</v>
      </c>
      <c r="C4634" s="40" t="s">
        <v>21581</v>
      </c>
      <c r="D4634" s="40" t="s">
        <v>21582</v>
      </c>
      <c r="E4634" s="41">
        <v>2.7</v>
      </c>
      <c r="F4634" s="40"/>
      <c r="G4634" s="41"/>
      <c r="H4634" s="40"/>
      <c r="I4634" s="41"/>
      <c r="J4634" s="41">
        <f t="shared" si="18"/>
        <v>2.7</v>
      </c>
      <c r="K4634" s="42" t="s">
        <v>5796</v>
      </c>
      <c r="L4634" s="39">
        <v>4631</v>
      </c>
    </row>
    <row r="4635" spans="1:12" ht="11.25" customHeight="1">
      <c r="A4635" s="39">
        <v>4632</v>
      </c>
      <c r="B4635" s="40" t="s">
        <v>21583</v>
      </c>
      <c r="C4635" s="40" t="s">
        <v>21584</v>
      </c>
      <c r="D4635" s="40" t="s">
        <v>21585</v>
      </c>
      <c r="E4635" s="41">
        <v>2.7</v>
      </c>
      <c r="F4635" s="40"/>
      <c r="G4635" s="41"/>
      <c r="H4635" s="40"/>
      <c r="I4635" s="41"/>
      <c r="J4635" s="41">
        <f t="shared" si="18"/>
        <v>2.7</v>
      </c>
      <c r="K4635" s="42" t="s">
        <v>5796</v>
      </c>
      <c r="L4635" s="39">
        <v>4632</v>
      </c>
    </row>
    <row r="4636" spans="1:12" ht="11.25" customHeight="1">
      <c r="A4636" s="39">
        <v>4633</v>
      </c>
      <c r="B4636" s="40" t="s">
        <v>21586</v>
      </c>
      <c r="C4636" s="40" t="s">
        <v>21587</v>
      </c>
      <c r="D4636" s="40" t="s">
        <v>21588</v>
      </c>
      <c r="E4636" s="41">
        <v>2.7</v>
      </c>
      <c r="F4636" s="40"/>
      <c r="G4636" s="41"/>
      <c r="H4636" s="40"/>
      <c r="I4636" s="41"/>
      <c r="J4636" s="41">
        <f t="shared" si="18"/>
        <v>2.7</v>
      </c>
      <c r="K4636" s="42" t="s">
        <v>5796</v>
      </c>
      <c r="L4636" s="39">
        <v>4633</v>
      </c>
    </row>
    <row r="4637" spans="1:12" ht="11.25" customHeight="1">
      <c r="A4637" s="39">
        <v>4634</v>
      </c>
      <c r="B4637" s="40" t="s">
        <v>21589</v>
      </c>
      <c r="C4637" s="40" t="s">
        <v>21590</v>
      </c>
      <c r="D4637" s="40" t="s">
        <v>21591</v>
      </c>
      <c r="E4637" s="41">
        <v>2.69</v>
      </c>
      <c r="F4637" s="40"/>
      <c r="G4637" s="41"/>
      <c r="H4637" s="40"/>
      <c r="I4637" s="41"/>
      <c r="J4637" s="41">
        <f t="shared" si="18"/>
        <v>2.69</v>
      </c>
      <c r="K4637" s="42" t="s">
        <v>5796</v>
      </c>
      <c r="L4637" s="39">
        <v>4634</v>
      </c>
    </row>
    <row r="4638" spans="1:12" ht="11.25" customHeight="1">
      <c r="A4638" s="39">
        <v>4635</v>
      </c>
      <c r="B4638" s="40" t="s">
        <v>21592</v>
      </c>
      <c r="C4638" s="40" t="s">
        <v>21593</v>
      </c>
      <c r="D4638" s="40" t="s">
        <v>21594</v>
      </c>
      <c r="E4638" s="41">
        <v>2.69</v>
      </c>
      <c r="F4638" s="40"/>
      <c r="G4638" s="41"/>
      <c r="H4638" s="40"/>
      <c r="I4638" s="41"/>
      <c r="J4638" s="41">
        <f t="shared" si="18"/>
        <v>2.69</v>
      </c>
      <c r="K4638" s="42" t="s">
        <v>5796</v>
      </c>
      <c r="L4638" s="39">
        <v>4635</v>
      </c>
    </row>
    <row r="4639" spans="1:12" ht="11.25" customHeight="1">
      <c r="A4639" s="39">
        <v>4636</v>
      </c>
      <c r="B4639" s="40" t="s">
        <v>21595</v>
      </c>
      <c r="C4639" s="40" t="s">
        <v>21596</v>
      </c>
      <c r="D4639" s="40" t="s">
        <v>21597</v>
      </c>
      <c r="E4639" s="41">
        <v>2.67</v>
      </c>
      <c r="F4639" s="40"/>
      <c r="G4639" s="41"/>
      <c r="H4639" s="40"/>
      <c r="I4639" s="41"/>
      <c r="J4639" s="41">
        <f t="shared" si="18"/>
        <v>2.67</v>
      </c>
      <c r="K4639" s="42" t="s">
        <v>5796</v>
      </c>
      <c r="L4639" s="39">
        <v>4636</v>
      </c>
    </row>
    <row r="4640" spans="1:12" ht="11.25" customHeight="1">
      <c r="A4640" s="39">
        <v>4637</v>
      </c>
      <c r="B4640" s="40" t="s">
        <v>21598</v>
      </c>
      <c r="C4640" s="40" t="s">
        <v>21599</v>
      </c>
      <c r="D4640" s="40" t="s">
        <v>21600</v>
      </c>
      <c r="E4640" s="41">
        <v>2.66</v>
      </c>
      <c r="F4640" s="40"/>
      <c r="G4640" s="41"/>
      <c r="H4640" s="40"/>
      <c r="I4640" s="41"/>
      <c r="J4640" s="41">
        <f t="shared" si="18"/>
        <v>2.66</v>
      </c>
      <c r="K4640" s="42" t="s">
        <v>5796</v>
      </c>
      <c r="L4640" s="39">
        <v>4637</v>
      </c>
    </row>
    <row r="4641" spans="1:12" ht="11.25" customHeight="1">
      <c r="A4641" s="39">
        <v>4638</v>
      </c>
      <c r="B4641" s="40" t="s">
        <v>21601</v>
      </c>
      <c r="C4641" s="40" t="s">
        <v>21602</v>
      </c>
      <c r="D4641" s="40" t="s">
        <v>21603</v>
      </c>
      <c r="E4641" s="41">
        <v>2.65</v>
      </c>
      <c r="F4641" s="40"/>
      <c r="G4641" s="41"/>
      <c r="H4641" s="40"/>
      <c r="I4641" s="41"/>
      <c r="J4641" s="41">
        <f t="shared" si="18"/>
        <v>2.65</v>
      </c>
      <c r="K4641" s="42" t="s">
        <v>5796</v>
      </c>
      <c r="L4641" s="39">
        <v>4638</v>
      </c>
    </row>
    <row r="4642" spans="1:12" ht="11.25" customHeight="1">
      <c r="A4642" s="39">
        <v>4639</v>
      </c>
      <c r="B4642" s="40" t="s">
        <v>21604</v>
      </c>
      <c r="C4642" s="40" t="s">
        <v>21605</v>
      </c>
      <c r="D4642" s="40" t="s">
        <v>21606</v>
      </c>
      <c r="E4642" s="41">
        <v>2.65</v>
      </c>
      <c r="F4642" s="40"/>
      <c r="G4642" s="41"/>
      <c r="H4642" s="40"/>
      <c r="I4642" s="41"/>
      <c r="J4642" s="41">
        <f t="shared" si="18"/>
        <v>2.65</v>
      </c>
      <c r="K4642" s="42" t="s">
        <v>5796</v>
      </c>
      <c r="L4642" s="39">
        <v>4639</v>
      </c>
    </row>
    <row r="4643" spans="1:12" ht="11.25" customHeight="1">
      <c r="A4643" s="39">
        <v>4640</v>
      </c>
      <c r="B4643" s="40" t="s">
        <v>21607</v>
      </c>
      <c r="C4643" s="40" t="s">
        <v>21608</v>
      </c>
      <c r="D4643" s="40" t="s">
        <v>21609</v>
      </c>
      <c r="E4643" s="41">
        <v>2.64</v>
      </c>
      <c r="F4643" s="40"/>
      <c r="G4643" s="41"/>
      <c r="H4643" s="40"/>
      <c r="I4643" s="41"/>
      <c r="J4643" s="41">
        <f t="shared" si="18"/>
        <v>2.64</v>
      </c>
      <c r="K4643" s="42" t="s">
        <v>5796</v>
      </c>
      <c r="L4643" s="39">
        <v>4640</v>
      </c>
    </row>
    <row r="4644" spans="1:12" ht="11.25" customHeight="1">
      <c r="A4644" s="39">
        <v>4641</v>
      </c>
      <c r="B4644" s="40" t="s">
        <v>21610</v>
      </c>
      <c r="C4644" s="40" t="s">
        <v>21611</v>
      </c>
      <c r="D4644" s="40" t="s">
        <v>21612</v>
      </c>
      <c r="E4644" s="41">
        <v>2.62</v>
      </c>
      <c r="F4644" s="40"/>
      <c r="G4644" s="41"/>
      <c r="H4644" s="40"/>
      <c r="I4644" s="41"/>
      <c r="J4644" s="41">
        <f t="shared" si="18"/>
        <v>2.62</v>
      </c>
      <c r="K4644" s="42" t="s">
        <v>5796</v>
      </c>
      <c r="L4644" s="39">
        <v>4641</v>
      </c>
    </row>
    <row r="4645" spans="1:12" ht="11.25" customHeight="1">
      <c r="A4645" s="39">
        <v>4642</v>
      </c>
      <c r="B4645" s="40" t="s">
        <v>21613</v>
      </c>
      <c r="C4645" s="40" t="s">
        <v>21614</v>
      </c>
      <c r="D4645" s="40" t="s">
        <v>21615</v>
      </c>
      <c r="E4645" s="41">
        <v>2.6</v>
      </c>
      <c r="F4645" s="40"/>
      <c r="G4645" s="41"/>
      <c r="H4645" s="40"/>
      <c r="I4645" s="41"/>
      <c r="J4645" s="41">
        <f t="shared" si="18"/>
        <v>2.6</v>
      </c>
      <c r="K4645" s="42" t="s">
        <v>5796</v>
      </c>
      <c r="L4645" s="39">
        <v>4642</v>
      </c>
    </row>
    <row r="4646" spans="1:12" ht="11.25" customHeight="1">
      <c r="A4646" s="39">
        <v>4643</v>
      </c>
      <c r="B4646" s="40" t="s">
        <v>21616</v>
      </c>
      <c r="C4646" s="40" t="s">
        <v>21617</v>
      </c>
      <c r="D4646" s="40" t="s">
        <v>21618</v>
      </c>
      <c r="E4646" s="41">
        <v>2.6</v>
      </c>
      <c r="F4646" s="40"/>
      <c r="G4646" s="41"/>
      <c r="H4646" s="40"/>
      <c r="I4646" s="41"/>
      <c r="J4646" s="41">
        <f t="shared" si="18"/>
        <v>2.6</v>
      </c>
      <c r="K4646" s="42" t="s">
        <v>5796</v>
      </c>
      <c r="L4646" s="39">
        <v>4643</v>
      </c>
    </row>
    <row r="4647" spans="1:12" ht="11.25" customHeight="1">
      <c r="A4647" s="39">
        <v>4644</v>
      </c>
      <c r="B4647" s="40" t="s">
        <v>21619</v>
      </c>
      <c r="C4647" s="40" t="s">
        <v>21620</v>
      </c>
      <c r="D4647" s="40" t="s">
        <v>21621</v>
      </c>
      <c r="E4647" s="41">
        <v>2.59</v>
      </c>
      <c r="F4647" s="40"/>
      <c r="G4647" s="41"/>
      <c r="H4647" s="40"/>
      <c r="I4647" s="41"/>
      <c r="J4647" s="41">
        <f t="shared" si="18"/>
        <v>2.59</v>
      </c>
      <c r="K4647" s="42" t="s">
        <v>5796</v>
      </c>
      <c r="L4647" s="39">
        <v>4644</v>
      </c>
    </row>
    <row r="4648" spans="1:12" ht="11.25" customHeight="1">
      <c r="A4648" s="39">
        <v>4645</v>
      </c>
      <c r="B4648" s="40" t="s">
        <v>21622</v>
      </c>
      <c r="C4648" s="40" t="s">
        <v>21623</v>
      </c>
      <c r="D4648" s="40" t="s">
        <v>21624</v>
      </c>
      <c r="E4648" s="41">
        <v>2.59</v>
      </c>
      <c r="F4648" s="40"/>
      <c r="G4648" s="41"/>
      <c r="H4648" s="40"/>
      <c r="I4648" s="41"/>
      <c r="J4648" s="41">
        <f t="shared" si="18"/>
        <v>2.59</v>
      </c>
      <c r="K4648" s="42" t="s">
        <v>5796</v>
      </c>
      <c r="L4648" s="39">
        <v>4645</v>
      </c>
    </row>
    <row r="4649" spans="1:12" ht="11.25" customHeight="1">
      <c r="A4649" s="39">
        <v>4646</v>
      </c>
      <c r="B4649" s="40" t="s">
        <v>21625</v>
      </c>
      <c r="C4649" s="40" t="s">
        <v>21626</v>
      </c>
      <c r="D4649" s="40" t="s">
        <v>21627</v>
      </c>
      <c r="E4649" s="41">
        <v>2.58</v>
      </c>
      <c r="F4649" s="40"/>
      <c r="G4649" s="41"/>
      <c r="H4649" s="40"/>
      <c r="I4649" s="41"/>
      <c r="J4649" s="41">
        <f t="shared" si="18"/>
        <v>2.58</v>
      </c>
      <c r="K4649" s="42" t="s">
        <v>5796</v>
      </c>
      <c r="L4649" s="39">
        <v>4646</v>
      </c>
    </row>
    <row r="4650" spans="1:12" ht="11.25" customHeight="1">
      <c r="A4650" s="39">
        <v>4647</v>
      </c>
      <c r="B4650" s="40" t="s">
        <v>21628</v>
      </c>
      <c r="C4650" s="40" t="s">
        <v>21629</v>
      </c>
      <c r="D4650" s="40" t="s">
        <v>21630</v>
      </c>
      <c r="E4650" s="41">
        <v>2.58</v>
      </c>
      <c r="F4650" s="40"/>
      <c r="G4650" s="41"/>
      <c r="H4650" s="40"/>
      <c r="I4650" s="41"/>
      <c r="J4650" s="41">
        <f t="shared" si="18"/>
        <v>2.58</v>
      </c>
      <c r="K4650" s="42" t="s">
        <v>5796</v>
      </c>
      <c r="L4650" s="39">
        <v>4647</v>
      </c>
    </row>
    <row r="4651" spans="1:12" ht="11.25" customHeight="1">
      <c r="A4651" s="39">
        <v>4648</v>
      </c>
      <c r="B4651" s="40" t="s">
        <v>21631</v>
      </c>
      <c r="C4651" s="40" t="s">
        <v>21632</v>
      </c>
      <c r="D4651" s="40" t="s">
        <v>21633</v>
      </c>
      <c r="E4651" s="41">
        <v>2.57</v>
      </c>
      <c r="F4651" s="40"/>
      <c r="G4651" s="41"/>
      <c r="H4651" s="40"/>
      <c r="I4651" s="41"/>
      <c r="J4651" s="41">
        <f t="shared" si="18"/>
        <v>2.57</v>
      </c>
      <c r="K4651" s="42" t="s">
        <v>5796</v>
      </c>
      <c r="L4651" s="39">
        <v>4648</v>
      </c>
    </row>
    <row r="4652" spans="1:12" ht="11.25" customHeight="1">
      <c r="A4652" s="39">
        <v>4649</v>
      </c>
      <c r="B4652" s="40" t="s">
        <v>21634</v>
      </c>
      <c r="C4652" s="40" t="s">
        <v>21635</v>
      </c>
      <c r="D4652" s="40" t="s">
        <v>21636</v>
      </c>
      <c r="E4652" s="41">
        <v>2.57</v>
      </c>
      <c r="F4652" s="40"/>
      <c r="G4652" s="41"/>
      <c r="H4652" s="40"/>
      <c r="I4652" s="41"/>
      <c r="J4652" s="41">
        <f t="shared" si="18"/>
        <v>2.57</v>
      </c>
      <c r="K4652" s="42" t="s">
        <v>5796</v>
      </c>
      <c r="L4652" s="39">
        <v>4649</v>
      </c>
    </row>
    <row r="4653" spans="1:12" ht="11.25" customHeight="1">
      <c r="A4653" s="39">
        <v>4650</v>
      </c>
      <c r="B4653" s="40" t="s">
        <v>21637</v>
      </c>
      <c r="C4653" s="40" t="s">
        <v>21638</v>
      </c>
      <c r="D4653" s="40" t="s">
        <v>21639</v>
      </c>
      <c r="E4653" s="41">
        <v>2.57</v>
      </c>
      <c r="F4653" s="40"/>
      <c r="G4653" s="41"/>
      <c r="H4653" s="40"/>
      <c r="I4653" s="41"/>
      <c r="J4653" s="41">
        <f t="shared" si="18"/>
        <v>2.57</v>
      </c>
      <c r="K4653" s="42" t="s">
        <v>5796</v>
      </c>
      <c r="L4653" s="39">
        <v>4650</v>
      </c>
    </row>
    <row r="4654" spans="1:12" ht="11.25" customHeight="1">
      <c r="A4654" s="39">
        <v>4651</v>
      </c>
      <c r="B4654" s="40" t="s">
        <v>9593</v>
      </c>
      <c r="C4654" s="40" t="s">
        <v>21640</v>
      </c>
      <c r="D4654" s="40" t="s">
        <v>21641</v>
      </c>
      <c r="E4654" s="41">
        <v>2.56</v>
      </c>
      <c r="F4654" s="40"/>
      <c r="G4654" s="41"/>
      <c r="H4654" s="40"/>
      <c r="I4654" s="41"/>
      <c r="J4654" s="41">
        <f t="shared" si="18"/>
        <v>2.56</v>
      </c>
      <c r="K4654" s="42" t="s">
        <v>5796</v>
      </c>
      <c r="L4654" s="39">
        <v>4651</v>
      </c>
    </row>
    <row r="4655" spans="1:12" ht="11.25" customHeight="1">
      <c r="A4655" s="39">
        <v>4652</v>
      </c>
      <c r="B4655" s="40" t="s">
        <v>21642</v>
      </c>
      <c r="C4655" s="40" t="s">
        <v>21643</v>
      </c>
      <c r="D4655" s="40" t="s">
        <v>21644</v>
      </c>
      <c r="E4655" s="41">
        <v>2.54</v>
      </c>
      <c r="F4655" s="40"/>
      <c r="G4655" s="41"/>
      <c r="H4655" s="40"/>
      <c r="I4655" s="41"/>
      <c r="J4655" s="41">
        <f t="shared" si="18"/>
        <v>2.54</v>
      </c>
      <c r="K4655" s="42" t="s">
        <v>5796</v>
      </c>
      <c r="L4655" s="39">
        <v>4652</v>
      </c>
    </row>
    <row r="4656" spans="1:12" ht="11.25" customHeight="1">
      <c r="A4656" s="39">
        <v>4653</v>
      </c>
      <c r="B4656" s="40" t="s">
        <v>21645</v>
      </c>
      <c r="C4656" s="40" t="s">
        <v>21646</v>
      </c>
      <c r="D4656" s="40" t="s">
        <v>21647</v>
      </c>
      <c r="E4656" s="41">
        <v>2.54</v>
      </c>
      <c r="F4656" s="40"/>
      <c r="G4656" s="41"/>
      <c r="H4656" s="40"/>
      <c r="I4656" s="41"/>
      <c r="J4656" s="41">
        <f t="shared" si="18"/>
        <v>2.54</v>
      </c>
      <c r="K4656" s="42" t="s">
        <v>5796</v>
      </c>
      <c r="L4656" s="39">
        <v>4653</v>
      </c>
    </row>
    <row r="4657" spans="1:12" ht="11.25" customHeight="1">
      <c r="A4657" s="39">
        <v>4654</v>
      </c>
      <c r="B4657" s="40" t="s">
        <v>21648</v>
      </c>
      <c r="C4657" s="40" t="s">
        <v>21649</v>
      </c>
      <c r="D4657" s="40" t="s">
        <v>21650</v>
      </c>
      <c r="E4657" s="41">
        <v>2.52</v>
      </c>
      <c r="F4657" s="40"/>
      <c r="G4657" s="41"/>
      <c r="H4657" s="40"/>
      <c r="I4657" s="41"/>
      <c r="J4657" s="41">
        <f t="shared" si="18"/>
        <v>2.52</v>
      </c>
      <c r="K4657" s="42" t="s">
        <v>5796</v>
      </c>
      <c r="L4657" s="39">
        <v>4654</v>
      </c>
    </row>
    <row r="4658" spans="1:12" ht="11.25" customHeight="1">
      <c r="A4658" s="39">
        <v>4655</v>
      </c>
      <c r="B4658" s="40" t="s">
        <v>21651</v>
      </c>
      <c r="C4658" s="40" t="s">
        <v>21652</v>
      </c>
      <c r="D4658" s="40" t="s">
        <v>21653</v>
      </c>
      <c r="E4658" s="41">
        <v>2.5099999999999998</v>
      </c>
      <c r="F4658" s="40"/>
      <c r="G4658" s="41"/>
      <c r="H4658" s="40"/>
      <c r="I4658" s="41"/>
      <c r="J4658" s="41">
        <f t="shared" si="18"/>
        <v>2.5099999999999998</v>
      </c>
      <c r="K4658" s="42" t="s">
        <v>5796</v>
      </c>
      <c r="L4658" s="39">
        <v>4655</v>
      </c>
    </row>
    <row r="4659" spans="1:12" ht="11.25" customHeight="1">
      <c r="A4659" s="39">
        <v>4656</v>
      </c>
      <c r="B4659" s="40" t="s">
        <v>21654</v>
      </c>
      <c r="C4659" s="40" t="s">
        <v>21655</v>
      </c>
      <c r="D4659" s="40" t="s">
        <v>21656</v>
      </c>
      <c r="E4659" s="41">
        <v>2.5</v>
      </c>
      <c r="F4659" s="40"/>
      <c r="G4659" s="41"/>
      <c r="H4659" s="40"/>
      <c r="I4659" s="41"/>
      <c r="J4659" s="41">
        <f t="shared" si="18"/>
        <v>2.5</v>
      </c>
      <c r="K4659" s="42" t="s">
        <v>5796</v>
      </c>
      <c r="L4659" s="39">
        <v>4656</v>
      </c>
    </row>
    <row r="4660" spans="1:12" ht="11.25" customHeight="1">
      <c r="A4660" s="39">
        <v>4657</v>
      </c>
      <c r="B4660" s="40" t="s">
        <v>21657</v>
      </c>
      <c r="C4660" s="40" t="s">
        <v>21658</v>
      </c>
      <c r="D4660" s="40" t="s">
        <v>21659</v>
      </c>
      <c r="E4660" s="41">
        <v>2.5</v>
      </c>
      <c r="F4660" s="40"/>
      <c r="G4660" s="41"/>
      <c r="H4660" s="40"/>
      <c r="I4660" s="41"/>
      <c r="J4660" s="41">
        <f t="shared" si="18"/>
        <v>2.5</v>
      </c>
      <c r="K4660" s="42" t="s">
        <v>5796</v>
      </c>
      <c r="L4660" s="39">
        <v>4657</v>
      </c>
    </row>
    <row r="4661" spans="1:12" ht="11.25" customHeight="1">
      <c r="A4661" s="39">
        <v>4658</v>
      </c>
      <c r="B4661" s="40" t="s">
        <v>21660</v>
      </c>
      <c r="C4661" s="40" t="s">
        <v>21661</v>
      </c>
      <c r="D4661" s="40" t="s">
        <v>21662</v>
      </c>
      <c r="E4661" s="41">
        <v>2.4900000000000002</v>
      </c>
      <c r="F4661" s="40"/>
      <c r="G4661" s="41"/>
      <c r="H4661" s="40"/>
      <c r="I4661" s="41"/>
      <c r="J4661" s="41">
        <f t="shared" si="18"/>
        <v>2.4900000000000002</v>
      </c>
      <c r="K4661" s="42" t="s">
        <v>5796</v>
      </c>
      <c r="L4661" s="39">
        <v>4658</v>
      </c>
    </row>
    <row r="4662" spans="1:12" ht="11.25" customHeight="1">
      <c r="A4662" s="39">
        <v>4659</v>
      </c>
      <c r="B4662" s="40" t="s">
        <v>21663</v>
      </c>
      <c r="C4662" s="40" t="s">
        <v>21664</v>
      </c>
      <c r="D4662" s="40" t="s">
        <v>21665</v>
      </c>
      <c r="E4662" s="41">
        <v>2.4900000000000002</v>
      </c>
      <c r="F4662" s="40"/>
      <c r="G4662" s="41"/>
      <c r="H4662" s="40"/>
      <c r="I4662" s="41"/>
      <c r="J4662" s="41">
        <f t="shared" si="18"/>
        <v>2.4900000000000002</v>
      </c>
      <c r="K4662" s="42" t="s">
        <v>5796</v>
      </c>
      <c r="L4662" s="39">
        <v>4659</v>
      </c>
    </row>
    <row r="4663" spans="1:12" ht="11.25" customHeight="1">
      <c r="A4663" s="39">
        <v>4660</v>
      </c>
      <c r="B4663" s="40" t="s">
        <v>21666</v>
      </c>
      <c r="C4663" s="40" t="s">
        <v>21667</v>
      </c>
      <c r="D4663" s="40" t="s">
        <v>21668</v>
      </c>
      <c r="E4663" s="41">
        <v>2.48</v>
      </c>
      <c r="F4663" s="40"/>
      <c r="G4663" s="41"/>
      <c r="H4663" s="40"/>
      <c r="I4663" s="41"/>
      <c r="J4663" s="41">
        <f t="shared" si="18"/>
        <v>2.48</v>
      </c>
      <c r="K4663" s="42" t="s">
        <v>5796</v>
      </c>
      <c r="L4663" s="39">
        <v>4660</v>
      </c>
    </row>
    <row r="4664" spans="1:12" ht="11.25" customHeight="1">
      <c r="A4664" s="39">
        <v>4661</v>
      </c>
      <c r="B4664" s="40" t="s">
        <v>21669</v>
      </c>
      <c r="C4664" s="40" t="s">
        <v>21670</v>
      </c>
      <c r="D4664" s="40" t="s">
        <v>21671</v>
      </c>
      <c r="E4664" s="41">
        <v>2.48</v>
      </c>
      <c r="F4664" s="40"/>
      <c r="G4664" s="41"/>
      <c r="H4664" s="40"/>
      <c r="I4664" s="41"/>
      <c r="J4664" s="41">
        <f t="shared" si="18"/>
        <v>2.48</v>
      </c>
      <c r="K4664" s="42" t="s">
        <v>5796</v>
      </c>
      <c r="L4664" s="39">
        <v>4661</v>
      </c>
    </row>
    <row r="4665" spans="1:12" ht="11.25" customHeight="1">
      <c r="A4665" s="39">
        <v>4662</v>
      </c>
      <c r="B4665" s="40" t="s">
        <v>9653</v>
      </c>
      <c r="C4665" s="40" t="s">
        <v>21672</v>
      </c>
      <c r="D4665" s="40" t="s">
        <v>21673</v>
      </c>
      <c r="E4665" s="41">
        <v>2.4700000000000002</v>
      </c>
      <c r="F4665" s="40"/>
      <c r="G4665" s="41"/>
      <c r="H4665" s="40"/>
      <c r="I4665" s="41"/>
      <c r="J4665" s="41">
        <f t="shared" si="18"/>
        <v>2.4700000000000002</v>
      </c>
      <c r="K4665" s="42" t="s">
        <v>5796</v>
      </c>
      <c r="L4665" s="39">
        <v>4662</v>
      </c>
    </row>
    <row r="4666" spans="1:12" ht="11.25" customHeight="1">
      <c r="A4666" s="39">
        <v>4663</v>
      </c>
      <c r="B4666" s="40" t="s">
        <v>21674</v>
      </c>
      <c r="C4666" s="40" t="s">
        <v>21675</v>
      </c>
      <c r="D4666" s="40" t="s">
        <v>21676</v>
      </c>
      <c r="E4666" s="41">
        <v>2.4300000000000002</v>
      </c>
      <c r="F4666" s="40"/>
      <c r="G4666" s="41"/>
      <c r="H4666" s="40"/>
      <c r="I4666" s="41"/>
      <c r="J4666" s="41">
        <f t="shared" si="18"/>
        <v>2.4300000000000002</v>
      </c>
      <c r="K4666" s="42" t="s">
        <v>5796</v>
      </c>
      <c r="L4666" s="39">
        <v>4663</v>
      </c>
    </row>
    <row r="4667" spans="1:12" ht="11.25" customHeight="1">
      <c r="A4667" s="39">
        <v>4664</v>
      </c>
      <c r="B4667" s="40" t="s">
        <v>21677</v>
      </c>
      <c r="C4667" s="40" t="s">
        <v>21678</v>
      </c>
      <c r="D4667" s="40" t="s">
        <v>21679</v>
      </c>
      <c r="E4667" s="41">
        <v>2.42</v>
      </c>
      <c r="F4667" s="40"/>
      <c r="G4667" s="41"/>
      <c r="H4667" s="40"/>
      <c r="I4667" s="41"/>
      <c r="J4667" s="41">
        <f t="shared" si="18"/>
        <v>2.42</v>
      </c>
      <c r="K4667" s="42" t="s">
        <v>5796</v>
      </c>
      <c r="L4667" s="39">
        <v>4664</v>
      </c>
    </row>
    <row r="4668" spans="1:12" ht="11.25" customHeight="1">
      <c r="A4668" s="39">
        <v>4665</v>
      </c>
      <c r="B4668" s="40" t="s">
        <v>21680</v>
      </c>
      <c r="C4668" s="40" t="s">
        <v>21681</v>
      </c>
      <c r="D4668" s="40" t="s">
        <v>21682</v>
      </c>
      <c r="E4668" s="41">
        <v>2.41</v>
      </c>
      <c r="F4668" s="40"/>
      <c r="G4668" s="41"/>
      <c r="H4668" s="40"/>
      <c r="I4668" s="41"/>
      <c r="J4668" s="41">
        <f t="shared" si="18"/>
        <v>2.41</v>
      </c>
      <c r="K4668" s="42" t="s">
        <v>5796</v>
      </c>
      <c r="L4668" s="39">
        <v>4665</v>
      </c>
    </row>
    <row r="4669" spans="1:12" ht="11.25" customHeight="1">
      <c r="A4669" s="39">
        <v>4666</v>
      </c>
      <c r="B4669" s="40" t="s">
        <v>21683</v>
      </c>
      <c r="C4669" s="40" t="s">
        <v>21684</v>
      </c>
      <c r="D4669" s="40" t="s">
        <v>21685</v>
      </c>
      <c r="E4669" s="41">
        <v>2.38</v>
      </c>
      <c r="F4669" s="40"/>
      <c r="G4669" s="41"/>
      <c r="H4669" s="40"/>
      <c r="I4669" s="41"/>
      <c r="J4669" s="41">
        <f t="shared" si="18"/>
        <v>2.38</v>
      </c>
      <c r="K4669" s="42" t="s">
        <v>5796</v>
      </c>
      <c r="L4669" s="39">
        <v>4666</v>
      </c>
    </row>
    <row r="4670" spans="1:12" ht="11.25" customHeight="1">
      <c r="A4670" s="39">
        <v>4667</v>
      </c>
      <c r="B4670" s="40" t="s">
        <v>21686</v>
      </c>
      <c r="C4670" s="40" t="s">
        <v>21687</v>
      </c>
      <c r="D4670" s="40" t="s">
        <v>21688</v>
      </c>
      <c r="E4670" s="41">
        <v>2.36</v>
      </c>
      <c r="F4670" s="40"/>
      <c r="G4670" s="41"/>
      <c r="H4670" s="40"/>
      <c r="I4670" s="41"/>
      <c r="J4670" s="41">
        <f t="shared" si="18"/>
        <v>2.36</v>
      </c>
      <c r="K4670" s="42" t="s">
        <v>5796</v>
      </c>
      <c r="L4670" s="39">
        <v>4667</v>
      </c>
    </row>
    <row r="4671" spans="1:12" ht="11.25" customHeight="1">
      <c r="A4671" s="39">
        <v>4668</v>
      </c>
      <c r="B4671" s="40" t="s">
        <v>21689</v>
      </c>
      <c r="C4671" s="40" t="s">
        <v>21690</v>
      </c>
      <c r="D4671" s="40" t="s">
        <v>21691</v>
      </c>
      <c r="E4671" s="41">
        <v>2.35</v>
      </c>
      <c r="F4671" s="40"/>
      <c r="G4671" s="41"/>
      <c r="H4671" s="40"/>
      <c r="I4671" s="41"/>
      <c r="J4671" s="41">
        <f t="shared" si="18"/>
        <v>2.35</v>
      </c>
      <c r="K4671" s="42" t="s">
        <v>5796</v>
      </c>
      <c r="L4671" s="39">
        <v>4668</v>
      </c>
    </row>
    <row r="4672" spans="1:12" ht="11.25" customHeight="1">
      <c r="A4672" s="39">
        <v>4669</v>
      </c>
      <c r="B4672" s="40" t="s">
        <v>21692</v>
      </c>
      <c r="C4672" s="40" t="s">
        <v>21693</v>
      </c>
      <c r="D4672" s="40" t="s">
        <v>21694</v>
      </c>
      <c r="E4672" s="41">
        <v>2.34</v>
      </c>
      <c r="F4672" s="40"/>
      <c r="G4672" s="41"/>
      <c r="H4672" s="40"/>
      <c r="I4672" s="41"/>
      <c r="J4672" s="41">
        <f t="shared" si="18"/>
        <v>2.34</v>
      </c>
      <c r="K4672" s="42" t="s">
        <v>5796</v>
      </c>
      <c r="L4672" s="39">
        <v>4669</v>
      </c>
    </row>
    <row r="4673" spans="1:12" ht="11.25" customHeight="1">
      <c r="A4673" s="39">
        <v>4670</v>
      </c>
      <c r="B4673" s="40" t="s">
        <v>9740</v>
      </c>
      <c r="C4673" s="40" t="s">
        <v>21695</v>
      </c>
      <c r="D4673" s="40" t="s">
        <v>21696</v>
      </c>
      <c r="E4673" s="41">
        <v>2.33</v>
      </c>
      <c r="F4673" s="40"/>
      <c r="G4673" s="41"/>
      <c r="H4673" s="40"/>
      <c r="I4673" s="41"/>
      <c r="J4673" s="41">
        <f t="shared" si="18"/>
        <v>2.33</v>
      </c>
      <c r="K4673" s="42" t="s">
        <v>5796</v>
      </c>
      <c r="L4673" s="39">
        <v>4670</v>
      </c>
    </row>
    <row r="4674" spans="1:12" ht="11.25" customHeight="1">
      <c r="A4674" s="39">
        <v>4671</v>
      </c>
      <c r="B4674" s="40" t="s">
        <v>21697</v>
      </c>
      <c r="C4674" s="40" t="s">
        <v>21698</v>
      </c>
      <c r="D4674" s="40" t="s">
        <v>21699</v>
      </c>
      <c r="E4674" s="41">
        <v>2.3199999999999998</v>
      </c>
      <c r="F4674" s="40"/>
      <c r="G4674" s="41"/>
      <c r="H4674" s="40"/>
      <c r="I4674" s="41"/>
      <c r="J4674" s="41">
        <f t="shared" si="18"/>
        <v>2.3199999999999998</v>
      </c>
      <c r="K4674" s="42" t="s">
        <v>5796</v>
      </c>
      <c r="L4674" s="39">
        <v>4671</v>
      </c>
    </row>
    <row r="4675" spans="1:12" ht="11.25" customHeight="1">
      <c r="A4675" s="39">
        <v>4672</v>
      </c>
      <c r="B4675" s="40" t="s">
        <v>21700</v>
      </c>
      <c r="C4675" s="40" t="s">
        <v>21701</v>
      </c>
      <c r="D4675" s="40" t="s">
        <v>21702</v>
      </c>
      <c r="E4675" s="41">
        <v>2.31</v>
      </c>
      <c r="F4675" s="40"/>
      <c r="G4675" s="41"/>
      <c r="H4675" s="40"/>
      <c r="I4675" s="41"/>
      <c r="J4675" s="41">
        <f t="shared" si="18"/>
        <v>2.31</v>
      </c>
      <c r="K4675" s="42" t="s">
        <v>5796</v>
      </c>
      <c r="L4675" s="39">
        <v>4672</v>
      </c>
    </row>
    <row r="4676" spans="1:12" ht="11.25" customHeight="1">
      <c r="A4676" s="39">
        <v>4673</v>
      </c>
      <c r="B4676" s="40" t="s">
        <v>21703</v>
      </c>
      <c r="C4676" s="40" t="s">
        <v>21704</v>
      </c>
      <c r="D4676" s="40" t="s">
        <v>21705</v>
      </c>
      <c r="E4676" s="41">
        <v>2.31</v>
      </c>
      <c r="F4676" s="40"/>
      <c r="G4676" s="41"/>
      <c r="H4676" s="40"/>
      <c r="I4676" s="41"/>
      <c r="J4676" s="41">
        <f t="shared" si="18"/>
        <v>2.31</v>
      </c>
      <c r="K4676" s="42" t="s">
        <v>5796</v>
      </c>
      <c r="L4676" s="39">
        <v>4673</v>
      </c>
    </row>
    <row r="4677" spans="1:12" ht="11.25" customHeight="1">
      <c r="A4677" s="39">
        <v>4674</v>
      </c>
      <c r="B4677" s="40" t="s">
        <v>21706</v>
      </c>
      <c r="C4677" s="40" t="s">
        <v>21707</v>
      </c>
      <c r="D4677" s="40" t="s">
        <v>21708</v>
      </c>
      <c r="E4677" s="41">
        <v>2.31</v>
      </c>
      <c r="F4677" s="40"/>
      <c r="G4677" s="41"/>
      <c r="H4677" s="40"/>
      <c r="I4677" s="41"/>
      <c r="J4677" s="41">
        <f t="shared" si="18"/>
        <v>2.31</v>
      </c>
      <c r="K4677" s="42" t="s">
        <v>5796</v>
      </c>
      <c r="L4677" s="39">
        <v>4674</v>
      </c>
    </row>
    <row r="4678" spans="1:12" ht="11.25" customHeight="1">
      <c r="A4678" s="39">
        <v>4675</v>
      </c>
      <c r="B4678" s="40" t="s">
        <v>21709</v>
      </c>
      <c r="C4678" s="40" t="s">
        <v>21710</v>
      </c>
      <c r="D4678" s="40" t="s">
        <v>21711</v>
      </c>
      <c r="E4678" s="41">
        <v>2.2999999999999998</v>
      </c>
      <c r="F4678" s="40"/>
      <c r="G4678" s="41"/>
      <c r="H4678" s="40"/>
      <c r="I4678" s="41"/>
      <c r="J4678" s="41">
        <f t="shared" si="18"/>
        <v>2.2999999999999998</v>
      </c>
      <c r="K4678" s="42" t="s">
        <v>5796</v>
      </c>
      <c r="L4678" s="39">
        <v>4675</v>
      </c>
    </row>
    <row r="4679" spans="1:12" ht="11.25" customHeight="1">
      <c r="A4679" s="39">
        <v>4676</v>
      </c>
      <c r="B4679" s="40" t="s">
        <v>21712</v>
      </c>
      <c r="C4679" s="40" t="s">
        <v>21713</v>
      </c>
      <c r="D4679" s="40" t="s">
        <v>21714</v>
      </c>
      <c r="E4679" s="41">
        <v>2.29</v>
      </c>
      <c r="F4679" s="40"/>
      <c r="G4679" s="41"/>
      <c r="H4679" s="40"/>
      <c r="I4679" s="41"/>
      <c r="J4679" s="41">
        <f t="shared" si="18"/>
        <v>2.29</v>
      </c>
      <c r="K4679" s="42" t="s">
        <v>5796</v>
      </c>
      <c r="L4679" s="39">
        <v>4676</v>
      </c>
    </row>
    <row r="4680" spans="1:12" ht="11.25" customHeight="1">
      <c r="A4680" s="39">
        <v>4677</v>
      </c>
      <c r="B4680" s="40" t="s">
        <v>21715</v>
      </c>
      <c r="C4680" s="40" t="s">
        <v>21716</v>
      </c>
      <c r="D4680" s="40" t="s">
        <v>21717</v>
      </c>
      <c r="E4680" s="41">
        <v>2.2799999999999998</v>
      </c>
      <c r="F4680" s="40"/>
      <c r="G4680" s="41"/>
      <c r="H4680" s="40"/>
      <c r="I4680" s="41"/>
      <c r="J4680" s="41">
        <f t="shared" si="18"/>
        <v>2.2799999999999998</v>
      </c>
      <c r="K4680" s="42" t="s">
        <v>5796</v>
      </c>
      <c r="L4680" s="39">
        <v>4677</v>
      </c>
    </row>
    <row r="4681" spans="1:12" ht="11.25" customHeight="1">
      <c r="A4681" s="39">
        <v>4678</v>
      </c>
      <c r="B4681" s="40" t="s">
        <v>21718</v>
      </c>
      <c r="C4681" s="40" t="s">
        <v>21719</v>
      </c>
      <c r="D4681" s="40" t="s">
        <v>21720</v>
      </c>
      <c r="E4681" s="41">
        <v>2.2799999999999998</v>
      </c>
      <c r="F4681" s="40"/>
      <c r="G4681" s="41"/>
      <c r="H4681" s="40"/>
      <c r="I4681" s="41"/>
      <c r="J4681" s="41">
        <f t="shared" si="18"/>
        <v>2.2799999999999998</v>
      </c>
      <c r="K4681" s="42" t="s">
        <v>5796</v>
      </c>
      <c r="L4681" s="39">
        <v>4678</v>
      </c>
    </row>
    <row r="4682" spans="1:12" ht="11.25" customHeight="1">
      <c r="A4682" s="39">
        <v>4679</v>
      </c>
      <c r="B4682" s="40" t="s">
        <v>21721</v>
      </c>
      <c r="C4682" s="40" t="s">
        <v>21722</v>
      </c>
      <c r="D4682" s="40" t="s">
        <v>21723</v>
      </c>
      <c r="E4682" s="41">
        <v>2.2799999999999998</v>
      </c>
      <c r="F4682" s="40"/>
      <c r="G4682" s="41"/>
      <c r="H4682" s="40"/>
      <c r="I4682" s="41"/>
      <c r="J4682" s="41">
        <f t="shared" si="18"/>
        <v>2.2799999999999998</v>
      </c>
      <c r="K4682" s="42" t="s">
        <v>5796</v>
      </c>
      <c r="L4682" s="39">
        <v>4679</v>
      </c>
    </row>
    <row r="4683" spans="1:12" ht="11.25" customHeight="1">
      <c r="A4683" s="39">
        <v>4680</v>
      </c>
      <c r="B4683" s="40" t="s">
        <v>21724</v>
      </c>
      <c r="C4683" s="40" t="s">
        <v>21725</v>
      </c>
      <c r="D4683" s="40" t="s">
        <v>21726</v>
      </c>
      <c r="E4683" s="41">
        <v>2.27</v>
      </c>
      <c r="F4683" s="40"/>
      <c r="G4683" s="41"/>
      <c r="H4683" s="40"/>
      <c r="I4683" s="41"/>
      <c r="J4683" s="41">
        <f t="shared" si="18"/>
        <v>2.27</v>
      </c>
      <c r="K4683" s="42" t="s">
        <v>5796</v>
      </c>
      <c r="L4683" s="39">
        <v>4680</v>
      </c>
    </row>
    <row r="4684" spans="1:12" ht="11.25" customHeight="1">
      <c r="A4684" s="39">
        <v>4681</v>
      </c>
      <c r="B4684" s="40" t="s">
        <v>9846</v>
      </c>
      <c r="C4684" s="40" t="s">
        <v>21727</v>
      </c>
      <c r="D4684" s="40" t="s">
        <v>21728</v>
      </c>
      <c r="E4684" s="41">
        <v>2.27</v>
      </c>
      <c r="F4684" s="40"/>
      <c r="G4684" s="41"/>
      <c r="H4684" s="40"/>
      <c r="I4684" s="41"/>
      <c r="J4684" s="41">
        <f t="shared" si="18"/>
        <v>2.27</v>
      </c>
      <c r="K4684" s="42" t="s">
        <v>5796</v>
      </c>
      <c r="L4684" s="39">
        <v>4681</v>
      </c>
    </row>
    <row r="4685" spans="1:12" ht="11.25" customHeight="1">
      <c r="A4685" s="39">
        <v>4682</v>
      </c>
      <c r="B4685" s="40" t="s">
        <v>21729</v>
      </c>
      <c r="C4685" s="40" t="s">
        <v>21730</v>
      </c>
      <c r="D4685" s="40" t="s">
        <v>21731</v>
      </c>
      <c r="E4685" s="41">
        <v>2.2599999999999998</v>
      </c>
      <c r="F4685" s="40"/>
      <c r="G4685" s="41"/>
      <c r="H4685" s="40"/>
      <c r="I4685" s="41"/>
      <c r="J4685" s="41">
        <f t="shared" si="18"/>
        <v>2.2599999999999998</v>
      </c>
      <c r="K4685" s="42" t="s">
        <v>5796</v>
      </c>
      <c r="L4685" s="39">
        <v>4682</v>
      </c>
    </row>
    <row r="4686" spans="1:12" ht="11.25" customHeight="1">
      <c r="A4686" s="39">
        <v>4683</v>
      </c>
      <c r="B4686" s="40" t="s">
        <v>21732</v>
      </c>
      <c r="C4686" s="40" t="s">
        <v>21733</v>
      </c>
      <c r="D4686" s="40" t="s">
        <v>21734</v>
      </c>
      <c r="E4686" s="41">
        <v>2.2599999999999998</v>
      </c>
      <c r="F4686" s="40"/>
      <c r="G4686" s="41"/>
      <c r="H4686" s="40"/>
      <c r="I4686" s="41"/>
      <c r="J4686" s="41">
        <f t="shared" si="18"/>
        <v>2.2599999999999998</v>
      </c>
      <c r="K4686" s="42" t="s">
        <v>5796</v>
      </c>
      <c r="L4686" s="39">
        <v>4683</v>
      </c>
    </row>
    <row r="4687" spans="1:12" ht="11.25" customHeight="1">
      <c r="A4687" s="39">
        <v>4684</v>
      </c>
      <c r="B4687" s="40" t="s">
        <v>21735</v>
      </c>
      <c r="C4687" s="40" t="s">
        <v>21736</v>
      </c>
      <c r="D4687" s="40" t="s">
        <v>21737</v>
      </c>
      <c r="E4687" s="41">
        <v>2.2599999999999998</v>
      </c>
      <c r="F4687" s="40"/>
      <c r="G4687" s="41"/>
      <c r="H4687" s="40"/>
      <c r="I4687" s="41"/>
      <c r="J4687" s="41">
        <f t="shared" si="18"/>
        <v>2.2599999999999998</v>
      </c>
      <c r="K4687" s="42" t="s">
        <v>5796</v>
      </c>
      <c r="L4687" s="39">
        <v>4684</v>
      </c>
    </row>
    <row r="4688" spans="1:12" ht="11.25" customHeight="1">
      <c r="A4688" s="39">
        <v>4685</v>
      </c>
      <c r="B4688" s="40" t="s">
        <v>21738</v>
      </c>
      <c r="C4688" s="40" t="s">
        <v>21739</v>
      </c>
      <c r="D4688" s="40" t="s">
        <v>21740</v>
      </c>
      <c r="E4688" s="41">
        <v>2.2599999999999998</v>
      </c>
      <c r="F4688" s="40"/>
      <c r="G4688" s="41"/>
      <c r="H4688" s="40"/>
      <c r="I4688" s="41"/>
      <c r="J4688" s="41">
        <f t="shared" si="18"/>
        <v>2.2599999999999998</v>
      </c>
      <c r="K4688" s="42" t="s">
        <v>5796</v>
      </c>
      <c r="L4688" s="39">
        <v>4685</v>
      </c>
    </row>
    <row r="4689" spans="1:12" ht="11.25" customHeight="1">
      <c r="A4689" s="39">
        <v>4686</v>
      </c>
      <c r="B4689" s="40" t="s">
        <v>21741</v>
      </c>
      <c r="C4689" s="40" t="s">
        <v>21742</v>
      </c>
      <c r="D4689" s="40" t="s">
        <v>21743</v>
      </c>
      <c r="E4689" s="41">
        <v>2.25</v>
      </c>
      <c r="F4689" s="40"/>
      <c r="G4689" s="41"/>
      <c r="H4689" s="40"/>
      <c r="I4689" s="41"/>
      <c r="J4689" s="41">
        <f t="shared" si="18"/>
        <v>2.25</v>
      </c>
      <c r="K4689" s="42" t="s">
        <v>5796</v>
      </c>
      <c r="L4689" s="39">
        <v>4686</v>
      </c>
    </row>
    <row r="4690" spans="1:12" ht="11.25" customHeight="1">
      <c r="A4690" s="39">
        <v>4687</v>
      </c>
      <c r="B4690" s="40" t="s">
        <v>21744</v>
      </c>
      <c r="C4690" s="40" t="s">
        <v>21745</v>
      </c>
      <c r="D4690" s="40" t="s">
        <v>21746</v>
      </c>
      <c r="E4690" s="41">
        <v>2.25</v>
      </c>
      <c r="F4690" s="40"/>
      <c r="G4690" s="41"/>
      <c r="H4690" s="40"/>
      <c r="I4690" s="41"/>
      <c r="J4690" s="41">
        <f t="shared" si="18"/>
        <v>2.25</v>
      </c>
      <c r="K4690" s="42" t="s">
        <v>5796</v>
      </c>
      <c r="L4690" s="39">
        <v>4687</v>
      </c>
    </row>
    <row r="4691" spans="1:12" ht="11.25" customHeight="1">
      <c r="A4691" s="39">
        <v>4688</v>
      </c>
      <c r="B4691" s="40" t="s">
        <v>21747</v>
      </c>
      <c r="C4691" s="40" t="s">
        <v>21748</v>
      </c>
      <c r="D4691" s="40" t="s">
        <v>21749</v>
      </c>
      <c r="E4691" s="41">
        <v>2.2400000000000002</v>
      </c>
      <c r="F4691" s="40"/>
      <c r="G4691" s="41"/>
      <c r="H4691" s="40"/>
      <c r="I4691" s="41"/>
      <c r="J4691" s="41">
        <f t="shared" si="18"/>
        <v>2.2400000000000002</v>
      </c>
      <c r="K4691" s="42" t="s">
        <v>5796</v>
      </c>
      <c r="L4691" s="39">
        <v>4688</v>
      </c>
    </row>
    <row r="4692" spans="1:12" ht="11.25" customHeight="1">
      <c r="A4692" s="39">
        <v>4689</v>
      </c>
      <c r="B4692" s="40" t="s">
        <v>21750</v>
      </c>
      <c r="C4692" s="40" t="s">
        <v>21751</v>
      </c>
      <c r="D4692" s="40" t="s">
        <v>21752</v>
      </c>
      <c r="E4692" s="41">
        <v>2.21</v>
      </c>
      <c r="F4692" s="40"/>
      <c r="G4692" s="41"/>
      <c r="H4692" s="40"/>
      <c r="I4692" s="41"/>
      <c r="J4692" s="41">
        <f t="shared" si="18"/>
        <v>2.21</v>
      </c>
      <c r="K4692" s="42" t="s">
        <v>5796</v>
      </c>
      <c r="L4692" s="39">
        <v>4689</v>
      </c>
    </row>
    <row r="4693" spans="1:12" ht="11.25" customHeight="1">
      <c r="A4693" s="39">
        <v>4690</v>
      </c>
      <c r="B4693" s="40" t="s">
        <v>21753</v>
      </c>
      <c r="C4693" s="40" t="s">
        <v>21754</v>
      </c>
      <c r="D4693" s="40" t="s">
        <v>21755</v>
      </c>
      <c r="E4693" s="41">
        <v>2.21</v>
      </c>
      <c r="F4693" s="40"/>
      <c r="G4693" s="41"/>
      <c r="H4693" s="40"/>
      <c r="I4693" s="41"/>
      <c r="J4693" s="41">
        <f t="shared" si="18"/>
        <v>2.21</v>
      </c>
      <c r="K4693" s="42" t="s">
        <v>5796</v>
      </c>
      <c r="L4693" s="39">
        <v>4690</v>
      </c>
    </row>
    <row r="4694" spans="1:12" ht="11.25" customHeight="1">
      <c r="A4694" s="39">
        <v>4691</v>
      </c>
      <c r="B4694" s="52" t="s">
        <v>9851</v>
      </c>
      <c r="C4694" s="52" t="s">
        <v>21756</v>
      </c>
      <c r="D4694" s="40"/>
      <c r="E4694" s="41"/>
      <c r="F4694" s="40"/>
      <c r="G4694" s="41"/>
      <c r="H4694" s="52" t="s">
        <v>21757</v>
      </c>
      <c r="I4694" s="53">
        <v>2.2021910000000009</v>
      </c>
      <c r="J4694" s="41">
        <f t="shared" si="18"/>
        <v>2.2021910000000009</v>
      </c>
      <c r="K4694" s="42" t="s">
        <v>5796</v>
      </c>
      <c r="L4694" s="39">
        <v>4691</v>
      </c>
    </row>
    <row r="4695" spans="1:12" ht="11.25" customHeight="1">
      <c r="A4695" s="39">
        <v>4692</v>
      </c>
      <c r="B4695" s="40" t="s">
        <v>21758</v>
      </c>
      <c r="C4695" s="40" t="s">
        <v>21759</v>
      </c>
      <c r="D4695" s="40" t="s">
        <v>21760</v>
      </c>
      <c r="E4695" s="41">
        <v>2.2000000000000002</v>
      </c>
      <c r="F4695" s="40"/>
      <c r="G4695" s="41"/>
      <c r="H4695" s="40"/>
      <c r="I4695" s="41"/>
      <c r="J4695" s="41">
        <f t="shared" si="18"/>
        <v>2.2000000000000002</v>
      </c>
      <c r="K4695" s="42" t="s">
        <v>5796</v>
      </c>
      <c r="L4695" s="39">
        <v>4692</v>
      </c>
    </row>
    <row r="4696" spans="1:12" ht="11.25" customHeight="1">
      <c r="A4696" s="39">
        <v>4693</v>
      </c>
      <c r="B4696" s="40" t="s">
        <v>21761</v>
      </c>
      <c r="C4696" s="40" t="s">
        <v>21762</v>
      </c>
      <c r="D4696" s="40" t="s">
        <v>21763</v>
      </c>
      <c r="E4696" s="41">
        <v>2.2000000000000002</v>
      </c>
      <c r="F4696" s="40"/>
      <c r="G4696" s="41"/>
      <c r="H4696" s="40"/>
      <c r="I4696" s="41"/>
      <c r="J4696" s="41">
        <f t="shared" si="18"/>
        <v>2.2000000000000002</v>
      </c>
      <c r="K4696" s="42" t="s">
        <v>5796</v>
      </c>
      <c r="L4696" s="39">
        <v>4693</v>
      </c>
    </row>
    <row r="4697" spans="1:12" ht="11.25" customHeight="1">
      <c r="A4697" s="39">
        <v>4694</v>
      </c>
      <c r="B4697" s="40" t="s">
        <v>21764</v>
      </c>
      <c r="C4697" s="40" t="s">
        <v>21765</v>
      </c>
      <c r="D4697" s="40" t="s">
        <v>21766</v>
      </c>
      <c r="E4697" s="41">
        <v>2.19</v>
      </c>
      <c r="F4697" s="40"/>
      <c r="G4697" s="41"/>
      <c r="H4697" s="40"/>
      <c r="I4697" s="41"/>
      <c r="J4697" s="41">
        <f t="shared" si="18"/>
        <v>2.19</v>
      </c>
      <c r="K4697" s="42" t="s">
        <v>5796</v>
      </c>
      <c r="L4697" s="39">
        <v>4694</v>
      </c>
    </row>
    <row r="4698" spans="1:12" ht="11.25" customHeight="1">
      <c r="A4698" s="39">
        <v>4695</v>
      </c>
      <c r="B4698" s="40" t="s">
        <v>21767</v>
      </c>
      <c r="C4698" s="40" t="s">
        <v>21768</v>
      </c>
      <c r="D4698" s="40" t="s">
        <v>21769</v>
      </c>
      <c r="E4698" s="41">
        <v>2.19</v>
      </c>
      <c r="F4698" s="40"/>
      <c r="G4698" s="41"/>
      <c r="H4698" s="40"/>
      <c r="I4698" s="41"/>
      <c r="J4698" s="41">
        <f t="shared" si="18"/>
        <v>2.19</v>
      </c>
      <c r="K4698" s="42" t="s">
        <v>5796</v>
      </c>
      <c r="L4698" s="39">
        <v>4695</v>
      </c>
    </row>
    <row r="4699" spans="1:12" ht="11.25" customHeight="1">
      <c r="A4699" s="39">
        <v>4696</v>
      </c>
      <c r="B4699" s="40" t="s">
        <v>9856</v>
      </c>
      <c r="C4699" s="40" t="s">
        <v>21770</v>
      </c>
      <c r="D4699" s="40" t="s">
        <v>21771</v>
      </c>
      <c r="E4699" s="41">
        <v>2.19</v>
      </c>
      <c r="F4699" s="40"/>
      <c r="G4699" s="41"/>
      <c r="H4699" s="40"/>
      <c r="I4699" s="41"/>
      <c r="J4699" s="41">
        <f t="shared" si="18"/>
        <v>2.19</v>
      </c>
      <c r="K4699" s="42" t="s">
        <v>5796</v>
      </c>
      <c r="L4699" s="39">
        <v>4696</v>
      </c>
    </row>
    <row r="4700" spans="1:12" ht="11.25" customHeight="1">
      <c r="A4700" s="39">
        <v>4697</v>
      </c>
      <c r="B4700" s="52" t="s">
        <v>9857</v>
      </c>
      <c r="C4700" s="52" t="s">
        <v>21772</v>
      </c>
      <c r="D4700" s="40"/>
      <c r="E4700" s="41"/>
      <c r="F4700" s="40"/>
      <c r="G4700" s="41"/>
      <c r="H4700" s="52" t="s">
        <v>21773</v>
      </c>
      <c r="I4700" s="53">
        <v>2.1825000000000032</v>
      </c>
      <c r="J4700" s="41">
        <f t="shared" si="18"/>
        <v>2.1825000000000032</v>
      </c>
      <c r="K4700" s="42" t="s">
        <v>5796</v>
      </c>
      <c r="L4700" s="39">
        <v>4697</v>
      </c>
    </row>
    <row r="4701" spans="1:12" ht="11.25" customHeight="1">
      <c r="A4701" s="39">
        <v>4698</v>
      </c>
      <c r="B4701" s="40" t="s">
        <v>21774</v>
      </c>
      <c r="C4701" s="40" t="s">
        <v>21775</v>
      </c>
      <c r="D4701" s="40" t="s">
        <v>21776</v>
      </c>
      <c r="E4701" s="41">
        <v>2.1800000000000002</v>
      </c>
      <c r="F4701" s="40"/>
      <c r="G4701" s="41"/>
      <c r="H4701" s="40"/>
      <c r="I4701" s="41"/>
      <c r="J4701" s="41">
        <f t="shared" si="18"/>
        <v>2.1800000000000002</v>
      </c>
      <c r="K4701" s="42" t="s">
        <v>5796</v>
      </c>
      <c r="L4701" s="39">
        <v>4698</v>
      </c>
    </row>
    <row r="4702" spans="1:12" ht="11.25" customHeight="1">
      <c r="A4702" s="39">
        <v>4699</v>
      </c>
      <c r="B4702" s="40" t="s">
        <v>21777</v>
      </c>
      <c r="C4702" s="40" t="s">
        <v>21778</v>
      </c>
      <c r="D4702" s="40" t="s">
        <v>21779</v>
      </c>
      <c r="E4702" s="41">
        <v>2.17</v>
      </c>
      <c r="F4702" s="40"/>
      <c r="G4702" s="41"/>
      <c r="H4702" s="40"/>
      <c r="I4702" s="41"/>
      <c r="J4702" s="41">
        <f t="shared" si="18"/>
        <v>2.17</v>
      </c>
      <c r="K4702" s="42" t="s">
        <v>5796</v>
      </c>
      <c r="L4702" s="39">
        <v>4699</v>
      </c>
    </row>
    <row r="4703" spans="1:12" ht="11.25" customHeight="1">
      <c r="A4703" s="39">
        <v>4700</v>
      </c>
      <c r="B4703" s="40" t="s">
        <v>21780</v>
      </c>
      <c r="C4703" s="40" t="s">
        <v>21781</v>
      </c>
      <c r="D4703" s="40" t="s">
        <v>21782</v>
      </c>
      <c r="E4703" s="41">
        <v>2.17</v>
      </c>
      <c r="F4703" s="40"/>
      <c r="G4703" s="41"/>
      <c r="H4703" s="40"/>
      <c r="I4703" s="41"/>
      <c r="J4703" s="41">
        <f t="shared" si="18"/>
        <v>2.17</v>
      </c>
      <c r="K4703" s="42" t="s">
        <v>5796</v>
      </c>
      <c r="L4703" s="39">
        <v>4700</v>
      </c>
    </row>
    <row r="4704" spans="1:12" ht="11.25" customHeight="1">
      <c r="A4704" s="39">
        <v>4701</v>
      </c>
      <c r="B4704" s="40" t="s">
        <v>21783</v>
      </c>
      <c r="C4704" s="40" t="s">
        <v>21784</v>
      </c>
      <c r="D4704" s="40" t="s">
        <v>21785</v>
      </c>
      <c r="E4704" s="41">
        <v>2.17</v>
      </c>
      <c r="F4704" s="40"/>
      <c r="G4704" s="41"/>
      <c r="H4704" s="40"/>
      <c r="I4704" s="41"/>
      <c r="J4704" s="41">
        <f t="shared" si="18"/>
        <v>2.17</v>
      </c>
      <c r="K4704" s="42" t="s">
        <v>5796</v>
      </c>
      <c r="L4704" s="39">
        <v>4701</v>
      </c>
    </row>
    <row r="4705" spans="1:12" ht="11.25" customHeight="1">
      <c r="A4705" s="39">
        <v>4702</v>
      </c>
      <c r="B4705" s="40" t="s">
        <v>9876</v>
      </c>
      <c r="C4705" s="40" t="s">
        <v>21786</v>
      </c>
      <c r="D4705" s="40" t="s">
        <v>21787</v>
      </c>
      <c r="E4705" s="41">
        <v>2.17</v>
      </c>
      <c r="F4705" s="40"/>
      <c r="G4705" s="41"/>
      <c r="H4705" s="40"/>
      <c r="I4705" s="41"/>
      <c r="J4705" s="41">
        <f t="shared" si="18"/>
        <v>2.17</v>
      </c>
      <c r="K4705" s="42" t="s">
        <v>5796</v>
      </c>
      <c r="L4705" s="39">
        <v>4702</v>
      </c>
    </row>
    <row r="4706" spans="1:12" ht="11.25" customHeight="1">
      <c r="A4706" s="39">
        <v>4703</v>
      </c>
      <c r="B4706" s="40" t="s">
        <v>21788</v>
      </c>
      <c r="C4706" s="40" t="s">
        <v>21789</v>
      </c>
      <c r="D4706" s="40" t="s">
        <v>21790</v>
      </c>
      <c r="E4706" s="41">
        <v>2.16</v>
      </c>
      <c r="F4706" s="40"/>
      <c r="G4706" s="41"/>
      <c r="H4706" s="40"/>
      <c r="I4706" s="41"/>
      <c r="J4706" s="41">
        <f t="shared" si="18"/>
        <v>2.16</v>
      </c>
      <c r="K4706" s="42" t="s">
        <v>5796</v>
      </c>
      <c r="L4706" s="39">
        <v>4703</v>
      </c>
    </row>
    <row r="4707" spans="1:12" ht="11.25" customHeight="1">
      <c r="A4707" s="39">
        <v>4704</v>
      </c>
      <c r="B4707" s="40" t="s">
        <v>9802</v>
      </c>
      <c r="C4707" s="40" t="s">
        <v>21791</v>
      </c>
      <c r="D4707" s="40" t="s">
        <v>21792</v>
      </c>
      <c r="E4707" s="41">
        <v>2.16</v>
      </c>
      <c r="F4707" s="40"/>
      <c r="G4707" s="41"/>
      <c r="H4707" s="40"/>
      <c r="I4707" s="41"/>
      <c r="J4707" s="41">
        <f t="shared" si="18"/>
        <v>2.16</v>
      </c>
      <c r="K4707" s="42" t="s">
        <v>5796</v>
      </c>
      <c r="L4707" s="39">
        <v>4704</v>
      </c>
    </row>
    <row r="4708" spans="1:12" ht="11.25" customHeight="1">
      <c r="A4708" s="39">
        <v>4705</v>
      </c>
      <c r="B4708" s="40" t="s">
        <v>21793</v>
      </c>
      <c r="C4708" s="40" t="s">
        <v>21794</v>
      </c>
      <c r="D4708" s="40" t="s">
        <v>21795</v>
      </c>
      <c r="E4708" s="41">
        <v>2.15</v>
      </c>
      <c r="F4708" s="40"/>
      <c r="G4708" s="41"/>
      <c r="H4708" s="40"/>
      <c r="I4708" s="41"/>
      <c r="J4708" s="41">
        <f t="shared" si="18"/>
        <v>2.15</v>
      </c>
      <c r="K4708" s="42" t="s">
        <v>5796</v>
      </c>
      <c r="L4708" s="39">
        <v>4705</v>
      </c>
    </row>
    <row r="4709" spans="1:12" ht="11.25" customHeight="1">
      <c r="A4709" s="39">
        <v>4706</v>
      </c>
      <c r="B4709" s="40" t="s">
        <v>21796</v>
      </c>
      <c r="C4709" s="40" t="s">
        <v>21797</v>
      </c>
      <c r="D4709" s="40" t="s">
        <v>21798</v>
      </c>
      <c r="E4709" s="41">
        <v>2.14</v>
      </c>
      <c r="F4709" s="40"/>
      <c r="G4709" s="41"/>
      <c r="H4709" s="40"/>
      <c r="I4709" s="41"/>
      <c r="J4709" s="41">
        <f t="shared" si="18"/>
        <v>2.14</v>
      </c>
      <c r="K4709" s="42" t="s">
        <v>5796</v>
      </c>
      <c r="L4709" s="39">
        <v>4706</v>
      </c>
    </row>
    <row r="4710" spans="1:12" ht="11.25" customHeight="1">
      <c r="A4710" s="39">
        <v>4707</v>
      </c>
      <c r="B4710" s="40" t="s">
        <v>9801</v>
      </c>
      <c r="C4710" s="40" t="s">
        <v>21799</v>
      </c>
      <c r="D4710" s="40" t="s">
        <v>21800</v>
      </c>
      <c r="E4710" s="41">
        <v>2.14</v>
      </c>
      <c r="F4710" s="40"/>
      <c r="G4710" s="41"/>
      <c r="H4710" s="40"/>
      <c r="I4710" s="41"/>
      <c r="J4710" s="41">
        <f t="shared" si="18"/>
        <v>2.14</v>
      </c>
      <c r="K4710" s="42" t="s">
        <v>5796</v>
      </c>
      <c r="L4710" s="39">
        <v>4707</v>
      </c>
    </row>
    <row r="4711" spans="1:12" ht="11.25" customHeight="1">
      <c r="A4711" s="39">
        <v>4708</v>
      </c>
      <c r="B4711" s="40" t="s">
        <v>21801</v>
      </c>
      <c r="C4711" s="40" t="s">
        <v>21802</v>
      </c>
      <c r="D4711" s="40" t="s">
        <v>21803</v>
      </c>
      <c r="E4711" s="41">
        <v>2.13</v>
      </c>
      <c r="F4711" s="40"/>
      <c r="G4711" s="41"/>
      <c r="H4711" s="40"/>
      <c r="I4711" s="41"/>
      <c r="J4711" s="41">
        <f t="shared" si="18"/>
        <v>2.13</v>
      </c>
      <c r="K4711" s="42" t="s">
        <v>5796</v>
      </c>
      <c r="L4711" s="39">
        <v>4708</v>
      </c>
    </row>
    <row r="4712" spans="1:12" ht="11.25" customHeight="1">
      <c r="A4712" s="39">
        <v>4709</v>
      </c>
      <c r="B4712" s="40" t="s">
        <v>21804</v>
      </c>
      <c r="C4712" s="40" t="s">
        <v>21805</v>
      </c>
      <c r="D4712" s="40" t="s">
        <v>21806</v>
      </c>
      <c r="E4712" s="41">
        <v>2.13</v>
      </c>
      <c r="F4712" s="40"/>
      <c r="G4712" s="41"/>
      <c r="H4712" s="40"/>
      <c r="I4712" s="41"/>
      <c r="J4712" s="41">
        <f t="shared" si="18"/>
        <v>2.13</v>
      </c>
      <c r="K4712" s="42" t="s">
        <v>5796</v>
      </c>
      <c r="L4712" s="39">
        <v>4709</v>
      </c>
    </row>
    <row r="4713" spans="1:12" ht="11.25" customHeight="1">
      <c r="A4713" s="39">
        <v>4710</v>
      </c>
      <c r="B4713" s="40" t="s">
        <v>21807</v>
      </c>
      <c r="C4713" s="40" t="s">
        <v>21808</v>
      </c>
      <c r="D4713" s="40" t="s">
        <v>21809</v>
      </c>
      <c r="E4713" s="41">
        <v>2.13</v>
      </c>
      <c r="F4713" s="40"/>
      <c r="G4713" s="41"/>
      <c r="H4713" s="40"/>
      <c r="I4713" s="41"/>
      <c r="J4713" s="41">
        <f t="shared" si="18"/>
        <v>2.13</v>
      </c>
      <c r="K4713" s="42" t="s">
        <v>5796</v>
      </c>
      <c r="L4713" s="39">
        <v>4710</v>
      </c>
    </row>
    <row r="4714" spans="1:12" ht="11.25" customHeight="1">
      <c r="A4714" s="39">
        <v>4711</v>
      </c>
      <c r="B4714" s="40" t="s">
        <v>21810</v>
      </c>
      <c r="C4714" s="40" t="s">
        <v>21811</v>
      </c>
      <c r="D4714" s="40" t="s">
        <v>21812</v>
      </c>
      <c r="E4714" s="41">
        <v>2.12</v>
      </c>
      <c r="F4714" s="40"/>
      <c r="G4714" s="41"/>
      <c r="H4714" s="40"/>
      <c r="I4714" s="41"/>
      <c r="J4714" s="41">
        <f t="shared" si="18"/>
        <v>2.12</v>
      </c>
      <c r="K4714" s="42" t="s">
        <v>5796</v>
      </c>
      <c r="L4714" s="39">
        <v>4711</v>
      </c>
    </row>
    <row r="4715" spans="1:12" ht="11.25" customHeight="1">
      <c r="A4715" s="39">
        <v>4712</v>
      </c>
      <c r="B4715" s="40" t="s">
        <v>21813</v>
      </c>
      <c r="C4715" s="40" t="s">
        <v>21814</v>
      </c>
      <c r="D4715" s="40" t="s">
        <v>21815</v>
      </c>
      <c r="E4715" s="41">
        <v>2.1</v>
      </c>
      <c r="F4715" s="40"/>
      <c r="G4715" s="41"/>
      <c r="H4715" s="40"/>
      <c r="I4715" s="41"/>
      <c r="J4715" s="41">
        <f t="shared" si="18"/>
        <v>2.1</v>
      </c>
      <c r="K4715" s="42" t="s">
        <v>5796</v>
      </c>
      <c r="L4715" s="39">
        <v>4712</v>
      </c>
    </row>
    <row r="4716" spans="1:12" ht="11.25" customHeight="1">
      <c r="A4716" s="39">
        <v>4713</v>
      </c>
      <c r="B4716" s="40" t="s">
        <v>21816</v>
      </c>
      <c r="C4716" s="40" t="s">
        <v>21817</v>
      </c>
      <c r="D4716" s="40" t="s">
        <v>21818</v>
      </c>
      <c r="E4716" s="41">
        <v>2.09</v>
      </c>
      <c r="F4716" s="40"/>
      <c r="G4716" s="41"/>
      <c r="H4716" s="40"/>
      <c r="I4716" s="41"/>
      <c r="J4716" s="41">
        <f t="shared" si="18"/>
        <v>2.09</v>
      </c>
      <c r="K4716" s="42" t="s">
        <v>5796</v>
      </c>
      <c r="L4716" s="39">
        <v>4713</v>
      </c>
    </row>
    <row r="4717" spans="1:12" ht="11.25" customHeight="1">
      <c r="A4717" s="39">
        <v>4714</v>
      </c>
      <c r="B4717" s="40" t="s">
        <v>21819</v>
      </c>
      <c r="C4717" s="40" t="s">
        <v>21820</v>
      </c>
      <c r="D4717" s="40" t="s">
        <v>21821</v>
      </c>
      <c r="E4717" s="41">
        <v>2.08</v>
      </c>
      <c r="F4717" s="40"/>
      <c r="G4717" s="41"/>
      <c r="H4717" s="40"/>
      <c r="I4717" s="41"/>
      <c r="J4717" s="41">
        <f t="shared" si="18"/>
        <v>2.08</v>
      </c>
      <c r="K4717" s="42" t="s">
        <v>5796</v>
      </c>
      <c r="L4717" s="39">
        <v>4714</v>
      </c>
    </row>
    <row r="4718" spans="1:12" ht="11.25" customHeight="1">
      <c r="A4718" s="39">
        <v>4715</v>
      </c>
      <c r="B4718" s="40" t="s">
        <v>21822</v>
      </c>
      <c r="C4718" s="40" t="s">
        <v>21823</v>
      </c>
      <c r="D4718" s="40" t="s">
        <v>21824</v>
      </c>
      <c r="E4718" s="41">
        <v>2.06</v>
      </c>
      <c r="F4718" s="40"/>
      <c r="G4718" s="41"/>
      <c r="H4718" s="40"/>
      <c r="I4718" s="41"/>
      <c r="J4718" s="41">
        <f t="shared" si="18"/>
        <v>2.06</v>
      </c>
      <c r="K4718" s="42" t="s">
        <v>5796</v>
      </c>
      <c r="L4718" s="39">
        <v>4715</v>
      </c>
    </row>
    <row r="4719" spans="1:12" ht="11.25" customHeight="1">
      <c r="A4719" s="39">
        <v>4716</v>
      </c>
      <c r="B4719" s="40" t="s">
        <v>21825</v>
      </c>
      <c r="C4719" s="40" t="s">
        <v>21826</v>
      </c>
      <c r="D4719" s="40" t="s">
        <v>21827</v>
      </c>
      <c r="E4719" s="41">
        <v>2.06</v>
      </c>
      <c r="F4719" s="40"/>
      <c r="G4719" s="41"/>
      <c r="H4719" s="40"/>
      <c r="I4719" s="41"/>
      <c r="J4719" s="41">
        <f t="shared" si="18"/>
        <v>2.06</v>
      </c>
      <c r="K4719" s="42" t="s">
        <v>5796</v>
      </c>
      <c r="L4719" s="39">
        <v>4716</v>
      </c>
    </row>
    <row r="4720" spans="1:12" ht="11.25" customHeight="1">
      <c r="A4720" s="39">
        <v>4717</v>
      </c>
      <c r="B4720" s="40" t="s">
        <v>9817</v>
      </c>
      <c r="C4720" s="40" t="s">
        <v>21828</v>
      </c>
      <c r="D4720" s="40" t="s">
        <v>21829</v>
      </c>
      <c r="E4720" s="41">
        <v>2.06</v>
      </c>
      <c r="F4720" s="40"/>
      <c r="G4720" s="41"/>
      <c r="H4720" s="40"/>
      <c r="I4720" s="41"/>
      <c r="J4720" s="41">
        <f t="shared" si="18"/>
        <v>2.06</v>
      </c>
      <c r="K4720" s="42" t="s">
        <v>5796</v>
      </c>
      <c r="L4720" s="39">
        <v>4717</v>
      </c>
    </row>
    <row r="4721" spans="1:12" ht="11.25" customHeight="1">
      <c r="A4721" s="39">
        <v>4718</v>
      </c>
      <c r="B4721" s="40" t="s">
        <v>21830</v>
      </c>
      <c r="C4721" s="40" t="s">
        <v>21831</v>
      </c>
      <c r="D4721" s="40" t="s">
        <v>21832</v>
      </c>
      <c r="E4721" s="41">
        <v>2.0499999999999998</v>
      </c>
      <c r="F4721" s="40"/>
      <c r="G4721" s="41"/>
      <c r="H4721" s="40"/>
      <c r="I4721" s="41"/>
      <c r="J4721" s="41">
        <f t="shared" si="18"/>
        <v>2.0499999999999998</v>
      </c>
      <c r="K4721" s="42" t="s">
        <v>5796</v>
      </c>
      <c r="L4721" s="39">
        <v>4718</v>
      </c>
    </row>
    <row r="4722" spans="1:12" ht="11.25" customHeight="1">
      <c r="A4722" s="39">
        <v>4719</v>
      </c>
      <c r="B4722" s="40" t="s">
        <v>21833</v>
      </c>
      <c r="C4722" s="40" t="s">
        <v>21834</v>
      </c>
      <c r="D4722" s="40" t="s">
        <v>21835</v>
      </c>
      <c r="E4722" s="41">
        <v>2.0499999999999998</v>
      </c>
      <c r="F4722" s="40"/>
      <c r="G4722" s="41"/>
      <c r="H4722" s="40"/>
      <c r="I4722" s="41"/>
      <c r="J4722" s="41">
        <f t="shared" si="18"/>
        <v>2.0499999999999998</v>
      </c>
      <c r="K4722" s="42" t="s">
        <v>5796</v>
      </c>
      <c r="L4722" s="39">
        <v>4719</v>
      </c>
    </row>
    <row r="4723" spans="1:12" ht="11.25" customHeight="1">
      <c r="A4723" s="39">
        <v>4720</v>
      </c>
      <c r="B4723" s="40" t="s">
        <v>21836</v>
      </c>
      <c r="C4723" s="40" t="s">
        <v>21837</v>
      </c>
      <c r="D4723" s="40" t="s">
        <v>21838</v>
      </c>
      <c r="E4723" s="41">
        <v>2.04</v>
      </c>
      <c r="F4723" s="40"/>
      <c r="G4723" s="41"/>
      <c r="H4723" s="40"/>
      <c r="I4723" s="41"/>
      <c r="J4723" s="41">
        <f t="shared" si="18"/>
        <v>2.04</v>
      </c>
      <c r="K4723" s="42" t="s">
        <v>5796</v>
      </c>
      <c r="L4723" s="39">
        <v>4720</v>
      </c>
    </row>
    <row r="4724" spans="1:12" ht="11.25" customHeight="1">
      <c r="A4724" s="39">
        <v>4721</v>
      </c>
      <c r="B4724" s="40" t="s">
        <v>21839</v>
      </c>
      <c r="C4724" s="40" t="s">
        <v>21840</v>
      </c>
      <c r="D4724" s="40" t="s">
        <v>21841</v>
      </c>
      <c r="E4724" s="41">
        <v>2.04</v>
      </c>
      <c r="F4724" s="40"/>
      <c r="G4724" s="41"/>
      <c r="H4724" s="40"/>
      <c r="I4724" s="41"/>
      <c r="J4724" s="41">
        <f t="shared" si="18"/>
        <v>2.04</v>
      </c>
      <c r="K4724" s="42" t="s">
        <v>5796</v>
      </c>
      <c r="L4724" s="39">
        <v>4721</v>
      </c>
    </row>
    <row r="4725" spans="1:12" ht="11.25" customHeight="1">
      <c r="A4725" s="39">
        <v>4722</v>
      </c>
      <c r="B4725" s="40" t="s">
        <v>21842</v>
      </c>
      <c r="C4725" s="40" t="s">
        <v>21843</v>
      </c>
      <c r="D4725" s="40" t="s">
        <v>21844</v>
      </c>
      <c r="E4725" s="41">
        <v>2.04</v>
      </c>
      <c r="F4725" s="40"/>
      <c r="G4725" s="41"/>
      <c r="H4725" s="40"/>
      <c r="I4725" s="41"/>
      <c r="J4725" s="41">
        <f t="shared" si="18"/>
        <v>2.04</v>
      </c>
      <c r="K4725" s="42" t="s">
        <v>5796</v>
      </c>
      <c r="L4725" s="39">
        <v>4722</v>
      </c>
    </row>
    <row r="4726" spans="1:12" ht="11.25" customHeight="1">
      <c r="A4726" s="39">
        <v>4724</v>
      </c>
      <c r="B4726" s="40" t="s">
        <v>21845</v>
      </c>
      <c r="C4726" s="40" t="s">
        <v>21846</v>
      </c>
      <c r="D4726" s="40" t="s">
        <v>21847</v>
      </c>
      <c r="E4726" s="41">
        <v>2.0299999999999998</v>
      </c>
      <c r="F4726" s="40"/>
      <c r="G4726" s="41"/>
      <c r="H4726" s="40"/>
      <c r="I4726" s="41"/>
      <c r="J4726" s="41">
        <f t="shared" si="18"/>
        <v>2.0299999999999998</v>
      </c>
      <c r="K4726" s="42" t="s">
        <v>5796</v>
      </c>
      <c r="L4726" s="39">
        <v>4724</v>
      </c>
    </row>
    <row r="4727" spans="1:12" ht="11.25" customHeight="1">
      <c r="A4727" s="39">
        <v>4725</v>
      </c>
      <c r="B4727" s="40" t="s">
        <v>21848</v>
      </c>
      <c r="C4727" s="40" t="s">
        <v>21849</v>
      </c>
      <c r="D4727" s="40" t="s">
        <v>21850</v>
      </c>
      <c r="E4727" s="41">
        <v>2.0299999999999998</v>
      </c>
      <c r="F4727" s="40"/>
      <c r="G4727" s="41"/>
      <c r="H4727" s="40"/>
      <c r="I4727" s="41"/>
      <c r="J4727" s="41">
        <f t="shared" si="18"/>
        <v>2.0299999999999998</v>
      </c>
      <c r="K4727" s="42" t="s">
        <v>5796</v>
      </c>
      <c r="L4727" s="39">
        <v>4725</v>
      </c>
    </row>
    <row r="4728" spans="1:12" ht="11.25" customHeight="1">
      <c r="A4728" s="39">
        <v>4726</v>
      </c>
      <c r="B4728" s="40" t="s">
        <v>21851</v>
      </c>
      <c r="C4728" s="40" t="s">
        <v>21852</v>
      </c>
      <c r="D4728" s="40" t="s">
        <v>21853</v>
      </c>
      <c r="E4728" s="41">
        <v>2.02</v>
      </c>
      <c r="F4728" s="40"/>
      <c r="G4728" s="41"/>
      <c r="H4728" s="40"/>
      <c r="I4728" s="41"/>
      <c r="J4728" s="41">
        <f t="shared" si="18"/>
        <v>2.02</v>
      </c>
      <c r="K4728" s="42" t="s">
        <v>5796</v>
      </c>
      <c r="L4728" s="39">
        <v>4726</v>
      </c>
    </row>
    <row r="4729" spans="1:12" ht="11.25" customHeight="1">
      <c r="A4729" s="39">
        <v>4727</v>
      </c>
      <c r="B4729" s="52" t="s">
        <v>9885</v>
      </c>
      <c r="C4729" s="52" t="s">
        <v>21854</v>
      </c>
      <c r="D4729" s="40"/>
      <c r="E4729" s="41"/>
      <c r="F4729" s="40"/>
      <c r="G4729" s="41"/>
      <c r="H4729" s="52" t="s">
        <v>21855</v>
      </c>
      <c r="I4729" s="53">
        <v>2.0105000000000022</v>
      </c>
      <c r="J4729" s="41">
        <f t="shared" si="18"/>
        <v>2.0105000000000022</v>
      </c>
      <c r="K4729" s="42" t="s">
        <v>5796</v>
      </c>
      <c r="L4729" s="39">
        <v>4727</v>
      </c>
    </row>
    <row r="4730" spans="1:12" ht="11.25" customHeight="1">
      <c r="A4730" s="39">
        <v>4728</v>
      </c>
      <c r="B4730" s="40" t="s">
        <v>21856</v>
      </c>
      <c r="C4730" s="40" t="s">
        <v>21857</v>
      </c>
      <c r="D4730" s="40" t="s">
        <v>21858</v>
      </c>
      <c r="E4730" s="41">
        <v>2.0099999999999998</v>
      </c>
      <c r="F4730" s="40"/>
      <c r="G4730" s="41"/>
      <c r="H4730" s="40"/>
      <c r="I4730" s="41"/>
      <c r="J4730" s="41">
        <f t="shared" si="18"/>
        <v>2.0099999999999998</v>
      </c>
      <c r="K4730" s="42" t="s">
        <v>5796</v>
      </c>
      <c r="L4730" s="39">
        <v>4728</v>
      </c>
    </row>
    <row r="4731" spans="1:12" ht="11.25" customHeight="1">
      <c r="A4731" s="39">
        <v>4729</v>
      </c>
      <c r="B4731" s="40" t="s">
        <v>21859</v>
      </c>
      <c r="C4731" s="40" t="s">
        <v>21860</v>
      </c>
      <c r="D4731" s="40" t="s">
        <v>21861</v>
      </c>
      <c r="E4731" s="41">
        <v>2.0099999999999998</v>
      </c>
      <c r="F4731" s="40"/>
      <c r="G4731" s="41"/>
      <c r="H4731" s="40"/>
      <c r="I4731" s="41"/>
      <c r="J4731" s="41">
        <f t="shared" si="18"/>
        <v>2.0099999999999998</v>
      </c>
      <c r="K4731" s="42" t="s">
        <v>5796</v>
      </c>
      <c r="L4731" s="39">
        <v>4729</v>
      </c>
    </row>
    <row r="4732" spans="1:12" ht="11.25" customHeight="1">
      <c r="A4732" s="39">
        <v>4730</v>
      </c>
      <c r="B4732" s="52" t="s">
        <v>9888</v>
      </c>
      <c r="C4732" s="52" t="s">
        <v>21862</v>
      </c>
      <c r="D4732" s="40"/>
      <c r="E4732" s="41"/>
      <c r="F4732" s="40"/>
      <c r="G4732" s="41"/>
      <c r="H4732" s="52" t="s">
        <v>17634</v>
      </c>
      <c r="I4732" s="53">
        <v>2</v>
      </c>
      <c r="J4732" s="41">
        <f t="shared" si="18"/>
        <v>2</v>
      </c>
      <c r="K4732" s="42" t="s">
        <v>5796</v>
      </c>
      <c r="L4732" s="39">
        <v>4730</v>
      </c>
    </row>
    <row r="4733" spans="1:12" ht="11.25" customHeight="1">
      <c r="A4733" s="39">
        <v>4731</v>
      </c>
      <c r="B4733" s="52" t="s">
        <v>9889</v>
      </c>
      <c r="C4733" s="52" t="s">
        <v>21863</v>
      </c>
      <c r="D4733" s="40"/>
      <c r="E4733" s="41"/>
      <c r="F4733" s="40"/>
      <c r="G4733" s="41"/>
      <c r="H4733" s="52" t="s">
        <v>21864</v>
      </c>
      <c r="I4733" s="53">
        <v>1.9919999999999962</v>
      </c>
      <c r="J4733" s="41">
        <f t="shared" si="18"/>
        <v>1.9919999999999962</v>
      </c>
      <c r="K4733" s="42" t="s">
        <v>5796</v>
      </c>
      <c r="L4733" s="39">
        <v>4731</v>
      </c>
    </row>
    <row r="4734" spans="1:12" ht="11.25" customHeight="1">
      <c r="A4734" s="39">
        <v>4732</v>
      </c>
      <c r="B4734" s="40" t="s">
        <v>21865</v>
      </c>
      <c r="C4734" s="40" t="s">
        <v>21866</v>
      </c>
      <c r="D4734" s="40" t="s">
        <v>21867</v>
      </c>
      <c r="E4734" s="41">
        <v>1.99</v>
      </c>
      <c r="F4734" s="40"/>
      <c r="G4734" s="41"/>
      <c r="H4734" s="40"/>
      <c r="I4734" s="41"/>
      <c r="J4734" s="41">
        <f t="shared" si="18"/>
        <v>1.99</v>
      </c>
      <c r="K4734" s="42" t="s">
        <v>5796</v>
      </c>
      <c r="L4734" s="39">
        <v>4732</v>
      </c>
    </row>
    <row r="4735" spans="1:12" ht="11.25" customHeight="1">
      <c r="A4735" s="39">
        <v>4733</v>
      </c>
      <c r="B4735" s="40" t="s">
        <v>21868</v>
      </c>
      <c r="C4735" s="40" t="s">
        <v>21869</v>
      </c>
      <c r="D4735" s="40" t="s">
        <v>21870</v>
      </c>
      <c r="E4735" s="41">
        <v>1.99</v>
      </c>
      <c r="F4735" s="40"/>
      <c r="G4735" s="41"/>
      <c r="H4735" s="40"/>
      <c r="I4735" s="41"/>
      <c r="J4735" s="41">
        <f t="shared" si="18"/>
        <v>1.99</v>
      </c>
      <c r="K4735" s="42" t="s">
        <v>5796</v>
      </c>
      <c r="L4735" s="39">
        <v>4733</v>
      </c>
    </row>
    <row r="4736" spans="1:12" ht="11.25" customHeight="1">
      <c r="A4736" s="39">
        <v>4734</v>
      </c>
      <c r="B4736" s="52" t="s">
        <v>9892</v>
      </c>
      <c r="C4736" s="52" t="s">
        <v>21871</v>
      </c>
      <c r="D4736" s="40"/>
      <c r="E4736" s="41"/>
      <c r="F4736" s="40"/>
      <c r="G4736" s="41"/>
      <c r="H4736" s="52" t="s">
        <v>21872</v>
      </c>
      <c r="I4736" s="53">
        <v>1.9850000000000063</v>
      </c>
      <c r="J4736" s="41">
        <f t="shared" si="18"/>
        <v>1.9850000000000063</v>
      </c>
      <c r="K4736" s="42" t="s">
        <v>5796</v>
      </c>
      <c r="L4736" s="39">
        <v>4734</v>
      </c>
    </row>
    <row r="4737" spans="1:12" ht="11.25" customHeight="1">
      <c r="A4737" s="39">
        <v>4735</v>
      </c>
      <c r="B4737" s="40" t="s">
        <v>21873</v>
      </c>
      <c r="C4737" s="40" t="s">
        <v>21874</v>
      </c>
      <c r="D4737" s="40" t="s">
        <v>21875</v>
      </c>
      <c r="E4737" s="41">
        <v>1.98</v>
      </c>
      <c r="F4737" s="40"/>
      <c r="G4737" s="41"/>
      <c r="H4737" s="40"/>
      <c r="I4737" s="41"/>
      <c r="J4737" s="41">
        <f t="shared" si="18"/>
        <v>1.98</v>
      </c>
      <c r="K4737" s="42" t="s">
        <v>5796</v>
      </c>
      <c r="L4737" s="39">
        <v>4735</v>
      </c>
    </row>
    <row r="4738" spans="1:12" ht="11.25" customHeight="1">
      <c r="A4738" s="39">
        <v>4736</v>
      </c>
      <c r="B4738" s="40" t="s">
        <v>9893</v>
      </c>
      <c r="C4738" s="40" t="s">
        <v>21876</v>
      </c>
      <c r="D4738" s="40" t="s">
        <v>21877</v>
      </c>
      <c r="E4738" s="41">
        <v>1.98</v>
      </c>
      <c r="F4738" s="40"/>
      <c r="G4738" s="41"/>
      <c r="H4738" s="40"/>
      <c r="I4738" s="41"/>
      <c r="J4738" s="41">
        <f t="shared" si="18"/>
        <v>1.98</v>
      </c>
      <c r="K4738" s="42" t="s">
        <v>5796</v>
      </c>
      <c r="L4738" s="39">
        <v>4736</v>
      </c>
    </row>
    <row r="4739" spans="1:12" ht="11.25" customHeight="1">
      <c r="A4739" s="39">
        <v>4737</v>
      </c>
      <c r="B4739" s="40" t="s">
        <v>21878</v>
      </c>
      <c r="C4739" s="40" t="s">
        <v>21879</v>
      </c>
      <c r="D4739" s="40" t="s">
        <v>21880</v>
      </c>
      <c r="E4739" s="41">
        <v>1.98</v>
      </c>
      <c r="F4739" s="40"/>
      <c r="G4739" s="41"/>
      <c r="H4739" s="40"/>
      <c r="I4739" s="41"/>
      <c r="J4739" s="41">
        <f t="shared" si="18"/>
        <v>1.98</v>
      </c>
      <c r="K4739" s="42" t="s">
        <v>5796</v>
      </c>
      <c r="L4739" s="39">
        <v>4737</v>
      </c>
    </row>
    <row r="4740" spans="1:12" ht="11.25" customHeight="1">
      <c r="A4740" s="39">
        <v>4738</v>
      </c>
      <c r="B4740" s="40" t="s">
        <v>21881</v>
      </c>
      <c r="C4740" s="40" t="s">
        <v>21882</v>
      </c>
      <c r="D4740" s="40" t="s">
        <v>21883</v>
      </c>
      <c r="E4740" s="41">
        <v>1.97</v>
      </c>
      <c r="F4740" s="40"/>
      <c r="G4740" s="41"/>
      <c r="H4740" s="40"/>
      <c r="I4740" s="41"/>
      <c r="J4740" s="41">
        <f t="shared" si="18"/>
        <v>1.97</v>
      </c>
      <c r="K4740" s="42" t="s">
        <v>5796</v>
      </c>
      <c r="L4740" s="39">
        <v>4738</v>
      </c>
    </row>
    <row r="4741" spans="1:12" ht="11.25" customHeight="1">
      <c r="A4741" s="39">
        <v>4739</v>
      </c>
      <c r="B4741" s="40" t="s">
        <v>21884</v>
      </c>
      <c r="C4741" s="40" t="s">
        <v>21885</v>
      </c>
      <c r="D4741" s="40" t="s">
        <v>21886</v>
      </c>
      <c r="E4741" s="41">
        <v>1.96</v>
      </c>
      <c r="F4741" s="40"/>
      <c r="G4741" s="41"/>
      <c r="H4741" s="40"/>
      <c r="I4741" s="41"/>
      <c r="J4741" s="41">
        <f t="shared" si="18"/>
        <v>1.96</v>
      </c>
      <c r="K4741" s="42" t="s">
        <v>5796</v>
      </c>
      <c r="L4741" s="39">
        <v>4739</v>
      </c>
    </row>
    <row r="4742" spans="1:12" ht="11.25" customHeight="1">
      <c r="A4742" s="39">
        <v>4740</v>
      </c>
      <c r="B4742" s="40" t="s">
        <v>21887</v>
      </c>
      <c r="C4742" s="40" t="s">
        <v>21888</v>
      </c>
      <c r="D4742" s="40" t="s">
        <v>21889</v>
      </c>
      <c r="E4742" s="41">
        <v>1.96</v>
      </c>
      <c r="F4742" s="40"/>
      <c r="G4742" s="41"/>
      <c r="H4742" s="40"/>
      <c r="I4742" s="41"/>
      <c r="J4742" s="41">
        <f t="shared" si="18"/>
        <v>1.96</v>
      </c>
      <c r="K4742" s="42" t="s">
        <v>5796</v>
      </c>
      <c r="L4742" s="39">
        <v>4740</v>
      </c>
    </row>
    <row r="4743" spans="1:12" ht="11.25" customHeight="1">
      <c r="A4743" s="39">
        <v>4741</v>
      </c>
      <c r="B4743" s="40" t="s">
        <v>21890</v>
      </c>
      <c r="C4743" s="40" t="s">
        <v>21891</v>
      </c>
      <c r="D4743" s="40" t="s">
        <v>21892</v>
      </c>
      <c r="E4743" s="41">
        <v>1.92</v>
      </c>
      <c r="F4743" s="40"/>
      <c r="G4743" s="41"/>
      <c r="H4743" s="40"/>
      <c r="I4743" s="41"/>
      <c r="J4743" s="41">
        <f t="shared" si="18"/>
        <v>1.92</v>
      </c>
      <c r="K4743" s="42" t="s">
        <v>5796</v>
      </c>
      <c r="L4743" s="39">
        <v>4741</v>
      </c>
    </row>
    <row r="4744" spans="1:12" ht="11.25" customHeight="1">
      <c r="A4744" s="39">
        <v>4742</v>
      </c>
      <c r="B4744" s="40" t="s">
        <v>21893</v>
      </c>
      <c r="C4744" s="40" t="s">
        <v>21894</v>
      </c>
      <c r="D4744" s="40" t="s">
        <v>21895</v>
      </c>
      <c r="E4744" s="41">
        <v>1.91</v>
      </c>
      <c r="F4744" s="40"/>
      <c r="G4744" s="41"/>
      <c r="H4744" s="40"/>
      <c r="I4744" s="41"/>
      <c r="J4744" s="41">
        <f t="shared" si="18"/>
        <v>1.91</v>
      </c>
      <c r="K4744" s="42" t="s">
        <v>5796</v>
      </c>
      <c r="L4744" s="39">
        <v>4742</v>
      </c>
    </row>
    <row r="4745" spans="1:12" ht="11.25" customHeight="1">
      <c r="A4745" s="39">
        <v>4743</v>
      </c>
      <c r="B4745" s="40" t="s">
        <v>9423</v>
      </c>
      <c r="C4745" s="40" t="s">
        <v>21896</v>
      </c>
      <c r="D4745" s="40" t="s">
        <v>21897</v>
      </c>
      <c r="E4745" s="41">
        <v>1.91</v>
      </c>
      <c r="F4745" s="40"/>
      <c r="G4745" s="41"/>
      <c r="H4745" s="40"/>
      <c r="I4745" s="41"/>
      <c r="J4745" s="41">
        <f t="shared" si="18"/>
        <v>1.91</v>
      </c>
      <c r="K4745" s="42" t="s">
        <v>5796</v>
      </c>
      <c r="L4745" s="39">
        <v>4743</v>
      </c>
    </row>
    <row r="4746" spans="1:12" ht="11.25" customHeight="1">
      <c r="A4746" s="39">
        <v>4744</v>
      </c>
      <c r="B4746" s="40" t="s">
        <v>21898</v>
      </c>
      <c r="C4746" s="40" t="s">
        <v>21899</v>
      </c>
      <c r="D4746" s="40" t="s">
        <v>21900</v>
      </c>
      <c r="E4746" s="41">
        <v>1.9</v>
      </c>
      <c r="F4746" s="40"/>
      <c r="G4746" s="41"/>
      <c r="H4746" s="40"/>
      <c r="I4746" s="41"/>
      <c r="J4746" s="41">
        <f t="shared" si="18"/>
        <v>1.9</v>
      </c>
      <c r="K4746" s="42" t="s">
        <v>5796</v>
      </c>
      <c r="L4746" s="39">
        <v>4744</v>
      </c>
    </row>
    <row r="4747" spans="1:12" ht="11.25" customHeight="1">
      <c r="A4747" s="39">
        <v>4745</v>
      </c>
      <c r="B4747" s="40" t="s">
        <v>21901</v>
      </c>
      <c r="C4747" s="40" t="s">
        <v>21902</v>
      </c>
      <c r="D4747" s="40" t="s">
        <v>21903</v>
      </c>
      <c r="E4747" s="41">
        <v>1.9</v>
      </c>
      <c r="F4747" s="40"/>
      <c r="G4747" s="41"/>
      <c r="H4747" s="40"/>
      <c r="I4747" s="41"/>
      <c r="J4747" s="41">
        <f t="shared" si="18"/>
        <v>1.9</v>
      </c>
      <c r="K4747" s="42" t="s">
        <v>5796</v>
      </c>
      <c r="L4747" s="39">
        <v>4745</v>
      </c>
    </row>
    <row r="4748" spans="1:12" ht="11.25" customHeight="1">
      <c r="A4748" s="39">
        <v>4746</v>
      </c>
      <c r="B4748" s="40" t="s">
        <v>21904</v>
      </c>
      <c r="C4748" s="40" t="s">
        <v>21905</v>
      </c>
      <c r="D4748" s="40" t="s">
        <v>21906</v>
      </c>
      <c r="E4748" s="41">
        <v>1.89</v>
      </c>
      <c r="F4748" s="40"/>
      <c r="G4748" s="41"/>
      <c r="H4748" s="40"/>
      <c r="I4748" s="41"/>
      <c r="J4748" s="41">
        <f t="shared" si="18"/>
        <v>1.89</v>
      </c>
      <c r="K4748" s="42" t="s">
        <v>5796</v>
      </c>
      <c r="L4748" s="39">
        <v>4746</v>
      </c>
    </row>
    <row r="4749" spans="1:12" ht="11.25" customHeight="1">
      <c r="A4749" s="39">
        <v>4747</v>
      </c>
      <c r="B4749" s="52" t="s">
        <v>9908</v>
      </c>
      <c r="C4749" s="52" t="s">
        <v>21907</v>
      </c>
      <c r="D4749" s="40"/>
      <c r="E4749" s="41"/>
      <c r="F4749" s="40"/>
      <c r="G4749" s="41"/>
      <c r="H4749" s="52" t="s">
        <v>21908</v>
      </c>
      <c r="I4749" s="53">
        <v>1.8899999999999939</v>
      </c>
      <c r="J4749" s="41">
        <f t="shared" si="18"/>
        <v>1.8899999999999939</v>
      </c>
      <c r="K4749" s="42" t="s">
        <v>5796</v>
      </c>
      <c r="L4749" s="39">
        <v>4747</v>
      </c>
    </row>
    <row r="4750" spans="1:12" ht="11.25" customHeight="1">
      <c r="A4750" s="39">
        <v>4748</v>
      </c>
      <c r="B4750" s="40" t="s">
        <v>21909</v>
      </c>
      <c r="C4750" s="40" t="s">
        <v>21910</v>
      </c>
      <c r="D4750" s="40" t="s">
        <v>21911</v>
      </c>
      <c r="E4750" s="41">
        <v>1.87</v>
      </c>
      <c r="F4750" s="40"/>
      <c r="G4750" s="41"/>
      <c r="H4750" s="40"/>
      <c r="I4750" s="41"/>
      <c r="J4750" s="41">
        <f t="shared" si="18"/>
        <v>1.87</v>
      </c>
      <c r="K4750" s="42" t="s">
        <v>5796</v>
      </c>
      <c r="L4750" s="39">
        <v>4748</v>
      </c>
    </row>
    <row r="4751" spans="1:12" ht="11.25" customHeight="1">
      <c r="A4751" s="39">
        <v>4749</v>
      </c>
      <c r="B4751" s="40" t="s">
        <v>21912</v>
      </c>
      <c r="C4751" s="40" t="s">
        <v>21913</v>
      </c>
      <c r="D4751" s="40" t="s">
        <v>21914</v>
      </c>
      <c r="E4751" s="41">
        <v>1.87</v>
      </c>
      <c r="F4751" s="40"/>
      <c r="G4751" s="41"/>
      <c r="H4751" s="40"/>
      <c r="I4751" s="41"/>
      <c r="J4751" s="41">
        <f t="shared" si="18"/>
        <v>1.87</v>
      </c>
      <c r="K4751" s="42" t="s">
        <v>5796</v>
      </c>
      <c r="L4751" s="39">
        <v>4749</v>
      </c>
    </row>
    <row r="4752" spans="1:12" ht="11.25" customHeight="1">
      <c r="A4752" s="39">
        <v>4750</v>
      </c>
      <c r="B4752" s="40" t="s">
        <v>21915</v>
      </c>
      <c r="C4752" s="40" t="s">
        <v>21916</v>
      </c>
      <c r="D4752" s="40" t="s">
        <v>21917</v>
      </c>
      <c r="E4752" s="41">
        <v>1.86</v>
      </c>
      <c r="F4752" s="40"/>
      <c r="G4752" s="41"/>
      <c r="H4752" s="40"/>
      <c r="I4752" s="41"/>
      <c r="J4752" s="41">
        <f t="shared" si="18"/>
        <v>1.86</v>
      </c>
      <c r="K4752" s="42" t="s">
        <v>5796</v>
      </c>
      <c r="L4752" s="39">
        <v>4750</v>
      </c>
    </row>
    <row r="4753" spans="1:12" ht="11.25" customHeight="1">
      <c r="A4753" s="39">
        <v>4751</v>
      </c>
      <c r="B4753" s="40" t="s">
        <v>21918</v>
      </c>
      <c r="C4753" s="40" t="s">
        <v>21919</v>
      </c>
      <c r="D4753" s="40" t="s">
        <v>21920</v>
      </c>
      <c r="E4753" s="41">
        <v>1.85</v>
      </c>
      <c r="F4753" s="40"/>
      <c r="G4753" s="41"/>
      <c r="H4753" s="40"/>
      <c r="I4753" s="41"/>
      <c r="J4753" s="41">
        <f t="shared" si="18"/>
        <v>1.85</v>
      </c>
      <c r="K4753" s="42" t="s">
        <v>5796</v>
      </c>
      <c r="L4753" s="39">
        <v>4751</v>
      </c>
    </row>
    <row r="4754" spans="1:12" ht="11.25" customHeight="1">
      <c r="A4754" s="39">
        <v>4752</v>
      </c>
      <c r="B4754" s="40" t="s">
        <v>21921</v>
      </c>
      <c r="C4754" s="40" t="s">
        <v>21922</v>
      </c>
      <c r="D4754" s="40" t="s">
        <v>21923</v>
      </c>
      <c r="E4754" s="41">
        <v>1.84</v>
      </c>
      <c r="F4754" s="40"/>
      <c r="G4754" s="41"/>
      <c r="H4754" s="40"/>
      <c r="I4754" s="41"/>
      <c r="J4754" s="41">
        <f t="shared" si="18"/>
        <v>1.84</v>
      </c>
      <c r="K4754" s="42" t="s">
        <v>5796</v>
      </c>
      <c r="L4754" s="39">
        <v>4752</v>
      </c>
    </row>
    <row r="4755" spans="1:12" ht="11.25" customHeight="1">
      <c r="A4755" s="39">
        <v>4753</v>
      </c>
      <c r="B4755" s="40" t="s">
        <v>21924</v>
      </c>
      <c r="C4755" s="40" t="s">
        <v>21925</v>
      </c>
      <c r="D4755" s="40" t="s">
        <v>21926</v>
      </c>
      <c r="E4755" s="41">
        <v>1.83</v>
      </c>
      <c r="F4755" s="40"/>
      <c r="G4755" s="41"/>
      <c r="H4755" s="40"/>
      <c r="I4755" s="41"/>
      <c r="J4755" s="41">
        <f t="shared" si="18"/>
        <v>1.83</v>
      </c>
      <c r="K4755" s="42" t="s">
        <v>5796</v>
      </c>
      <c r="L4755" s="39">
        <v>4753</v>
      </c>
    </row>
    <row r="4756" spans="1:12" ht="11.25" customHeight="1">
      <c r="A4756" s="39">
        <v>4754</v>
      </c>
      <c r="B4756" s="40" t="s">
        <v>21927</v>
      </c>
      <c r="C4756" s="40" t="s">
        <v>21928</v>
      </c>
      <c r="D4756" s="40" t="s">
        <v>21929</v>
      </c>
      <c r="E4756" s="41">
        <v>1.83</v>
      </c>
      <c r="F4756" s="40"/>
      <c r="G4756" s="41"/>
      <c r="H4756" s="40"/>
      <c r="I4756" s="41"/>
      <c r="J4756" s="41">
        <f t="shared" si="18"/>
        <v>1.83</v>
      </c>
      <c r="K4756" s="42" t="s">
        <v>5796</v>
      </c>
      <c r="L4756" s="39">
        <v>4754</v>
      </c>
    </row>
    <row r="4757" spans="1:12" ht="11.25" customHeight="1">
      <c r="A4757" s="39">
        <v>4755</v>
      </c>
      <c r="B4757" s="40" t="s">
        <v>21930</v>
      </c>
      <c r="C4757" s="40" t="s">
        <v>21931</v>
      </c>
      <c r="D4757" s="40" t="s">
        <v>21932</v>
      </c>
      <c r="E4757" s="41">
        <v>1.82</v>
      </c>
      <c r="F4757" s="40"/>
      <c r="G4757" s="41"/>
      <c r="H4757" s="40"/>
      <c r="I4757" s="41"/>
      <c r="J4757" s="41">
        <f t="shared" si="18"/>
        <v>1.82</v>
      </c>
      <c r="K4757" s="42" t="s">
        <v>5796</v>
      </c>
      <c r="L4757" s="39">
        <v>4755</v>
      </c>
    </row>
    <row r="4758" spans="1:12" ht="11.25" customHeight="1">
      <c r="A4758" s="39">
        <v>4756</v>
      </c>
      <c r="B4758" s="40" t="s">
        <v>21933</v>
      </c>
      <c r="C4758" s="40" t="s">
        <v>21934</v>
      </c>
      <c r="D4758" s="40" t="s">
        <v>21935</v>
      </c>
      <c r="E4758" s="41">
        <v>1.82</v>
      </c>
      <c r="F4758" s="40"/>
      <c r="G4758" s="41"/>
      <c r="H4758" s="40"/>
      <c r="I4758" s="41"/>
      <c r="J4758" s="41">
        <f t="shared" si="18"/>
        <v>1.82</v>
      </c>
      <c r="K4758" s="42" t="s">
        <v>5796</v>
      </c>
      <c r="L4758" s="39">
        <v>4756</v>
      </c>
    </row>
    <row r="4759" spans="1:12" ht="11.25" customHeight="1">
      <c r="A4759" s="39">
        <v>4757</v>
      </c>
      <c r="B4759" s="40" t="s">
        <v>21936</v>
      </c>
      <c r="C4759" s="40" t="s">
        <v>21937</v>
      </c>
      <c r="D4759" s="40" t="s">
        <v>21938</v>
      </c>
      <c r="E4759" s="41">
        <v>1.82</v>
      </c>
      <c r="F4759" s="40"/>
      <c r="G4759" s="41"/>
      <c r="H4759" s="40"/>
      <c r="I4759" s="41"/>
      <c r="J4759" s="41">
        <f t="shared" si="18"/>
        <v>1.82</v>
      </c>
      <c r="K4759" s="42" t="s">
        <v>5796</v>
      </c>
      <c r="L4759" s="39">
        <v>4757</v>
      </c>
    </row>
    <row r="4760" spans="1:12" ht="11.25" customHeight="1">
      <c r="A4760" s="39">
        <v>4758</v>
      </c>
      <c r="B4760" s="40" t="s">
        <v>21939</v>
      </c>
      <c r="C4760" s="40" t="s">
        <v>21940</v>
      </c>
      <c r="D4760" s="40" t="s">
        <v>21941</v>
      </c>
      <c r="E4760" s="41">
        <v>1.81</v>
      </c>
      <c r="F4760" s="40"/>
      <c r="G4760" s="41"/>
      <c r="H4760" s="40"/>
      <c r="I4760" s="41"/>
      <c r="J4760" s="41">
        <f t="shared" si="18"/>
        <v>1.81</v>
      </c>
      <c r="K4760" s="42" t="s">
        <v>5796</v>
      </c>
      <c r="L4760" s="39">
        <v>4758</v>
      </c>
    </row>
    <row r="4761" spans="1:12" ht="11.25" customHeight="1">
      <c r="A4761" s="39">
        <v>4759</v>
      </c>
      <c r="B4761" s="40" t="s">
        <v>21942</v>
      </c>
      <c r="C4761" s="40" t="s">
        <v>21943</v>
      </c>
      <c r="D4761" s="40" t="s">
        <v>21944</v>
      </c>
      <c r="E4761" s="41">
        <v>1.81</v>
      </c>
      <c r="F4761" s="40"/>
      <c r="G4761" s="41"/>
      <c r="H4761" s="40"/>
      <c r="I4761" s="41"/>
      <c r="J4761" s="41">
        <f t="shared" si="18"/>
        <v>1.81</v>
      </c>
      <c r="K4761" s="42" t="s">
        <v>5796</v>
      </c>
      <c r="L4761" s="39">
        <v>4759</v>
      </c>
    </row>
    <row r="4762" spans="1:12" ht="11.25" customHeight="1">
      <c r="A4762" s="39">
        <v>4760</v>
      </c>
      <c r="B4762" s="40" t="s">
        <v>21945</v>
      </c>
      <c r="C4762" s="40" t="s">
        <v>21946</v>
      </c>
      <c r="D4762" s="40" t="s">
        <v>21947</v>
      </c>
      <c r="E4762" s="41">
        <v>1.8</v>
      </c>
      <c r="F4762" s="40"/>
      <c r="G4762" s="41"/>
      <c r="H4762" s="40"/>
      <c r="I4762" s="41"/>
      <c r="J4762" s="41">
        <f t="shared" si="18"/>
        <v>1.8</v>
      </c>
      <c r="K4762" s="42" t="s">
        <v>5796</v>
      </c>
      <c r="L4762" s="39">
        <v>4760</v>
      </c>
    </row>
    <row r="4763" spans="1:12" ht="11.25" customHeight="1">
      <c r="A4763" s="39">
        <v>4761</v>
      </c>
      <c r="B4763" s="40" t="s">
        <v>21948</v>
      </c>
      <c r="C4763" s="40" t="s">
        <v>21949</v>
      </c>
      <c r="D4763" s="40" t="s">
        <v>21950</v>
      </c>
      <c r="E4763" s="41">
        <v>1.8</v>
      </c>
      <c r="F4763" s="40"/>
      <c r="G4763" s="41"/>
      <c r="H4763" s="40"/>
      <c r="I4763" s="41"/>
      <c r="J4763" s="41">
        <f t="shared" si="18"/>
        <v>1.8</v>
      </c>
      <c r="K4763" s="42" t="s">
        <v>5796</v>
      </c>
      <c r="L4763" s="39">
        <v>4761</v>
      </c>
    </row>
    <row r="4764" spans="1:12" ht="11.25" customHeight="1">
      <c r="A4764" s="39">
        <v>4762</v>
      </c>
      <c r="B4764" s="40" t="s">
        <v>21951</v>
      </c>
      <c r="C4764" s="40" t="s">
        <v>21952</v>
      </c>
      <c r="D4764" s="40" t="s">
        <v>21953</v>
      </c>
      <c r="E4764" s="41">
        <v>1.79</v>
      </c>
      <c r="F4764" s="40"/>
      <c r="G4764" s="41"/>
      <c r="H4764" s="40"/>
      <c r="I4764" s="41"/>
      <c r="J4764" s="41">
        <f t="shared" si="18"/>
        <v>1.79</v>
      </c>
      <c r="K4764" s="42" t="s">
        <v>5796</v>
      </c>
      <c r="L4764" s="39">
        <v>4762</v>
      </c>
    </row>
    <row r="4765" spans="1:12" ht="11.25" customHeight="1">
      <c r="A4765" s="39">
        <v>4763</v>
      </c>
      <c r="B4765" s="40" t="s">
        <v>21954</v>
      </c>
      <c r="C4765" s="40" t="s">
        <v>21955</v>
      </c>
      <c r="D4765" s="40" t="s">
        <v>21956</v>
      </c>
      <c r="E4765" s="41">
        <v>1.79</v>
      </c>
      <c r="F4765" s="40"/>
      <c r="G4765" s="41"/>
      <c r="H4765" s="40"/>
      <c r="I4765" s="41"/>
      <c r="J4765" s="41">
        <f t="shared" si="18"/>
        <v>1.79</v>
      </c>
      <c r="K4765" s="42" t="s">
        <v>5796</v>
      </c>
      <c r="L4765" s="39">
        <v>4763</v>
      </c>
    </row>
    <row r="4766" spans="1:12" ht="11.25" customHeight="1">
      <c r="A4766" s="39">
        <v>4764</v>
      </c>
      <c r="B4766" s="52" t="s">
        <v>9924</v>
      </c>
      <c r="C4766" s="52" t="s">
        <v>21957</v>
      </c>
      <c r="D4766" s="40"/>
      <c r="E4766" s="41"/>
      <c r="F4766" s="40"/>
      <c r="G4766" s="41"/>
      <c r="H4766" s="52" t="s">
        <v>21958</v>
      </c>
      <c r="I4766" s="53">
        <v>1.7891840000000039</v>
      </c>
      <c r="J4766" s="41">
        <f t="shared" si="18"/>
        <v>1.7891840000000039</v>
      </c>
      <c r="K4766" s="42" t="s">
        <v>5796</v>
      </c>
      <c r="L4766" s="39">
        <v>4764</v>
      </c>
    </row>
    <row r="4767" spans="1:12" ht="11.25" customHeight="1">
      <c r="A4767" s="39">
        <v>4765</v>
      </c>
      <c r="B4767" s="40" t="s">
        <v>21959</v>
      </c>
      <c r="C4767" s="40" t="s">
        <v>21960</v>
      </c>
      <c r="D4767" s="40" t="s">
        <v>21961</v>
      </c>
      <c r="E4767" s="41">
        <v>1.77</v>
      </c>
      <c r="F4767" s="40"/>
      <c r="G4767" s="41"/>
      <c r="H4767" s="40"/>
      <c r="I4767" s="41"/>
      <c r="J4767" s="41">
        <f t="shared" si="18"/>
        <v>1.77</v>
      </c>
      <c r="K4767" s="42" t="s">
        <v>5796</v>
      </c>
      <c r="L4767" s="39">
        <v>4765</v>
      </c>
    </row>
    <row r="4768" spans="1:12" ht="11.25" customHeight="1">
      <c r="A4768" s="39">
        <v>4766</v>
      </c>
      <c r="B4768" s="40" t="s">
        <v>9979</v>
      </c>
      <c r="C4768" s="40" t="s">
        <v>21962</v>
      </c>
      <c r="D4768" s="40" t="s">
        <v>21963</v>
      </c>
      <c r="E4768" s="41">
        <v>1.76</v>
      </c>
      <c r="F4768" s="40"/>
      <c r="G4768" s="41"/>
      <c r="H4768" s="40"/>
      <c r="I4768" s="41"/>
      <c r="J4768" s="41">
        <f t="shared" si="18"/>
        <v>1.76</v>
      </c>
      <c r="K4768" s="42" t="s">
        <v>5796</v>
      </c>
      <c r="L4768" s="39">
        <v>4766</v>
      </c>
    </row>
    <row r="4769" spans="1:12" ht="11.25" customHeight="1">
      <c r="A4769" s="39">
        <v>4767</v>
      </c>
      <c r="B4769" s="40" t="s">
        <v>21964</v>
      </c>
      <c r="C4769" s="40" t="s">
        <v>21965</v>
      </c>
      <c r="D4769" s="40" t="s">
        <v>21966</v>
      </c>
      <c r="E4769" s="41">
        <v>1.75</v>
      </c>
      <c r="F4769" s="40"/>
      <c r="G4769" s="41"/>
      <c r="H4769" s="40"/>
      <c r="I4769" s="41"/>
      <c r="J4769" s="41">
        <f t="shared" si="18"/>
        <v>1.75</v>
      </c>
      <c r="K4769" s="42" t="s">
        <v>5796</v>
      </c>
      <c r="L4769" s="39">
        <v>4767</v>
      </c>
    </row>
    <row r="4770" spans="1:12" ht="11.25" customHeight="1">
      <c r="A4770" s="39">
        <v>4768</v>
      </c>
      <c r="B4770" s="40" t="s">
        <v>21967</v>
      </c>
      <c r="C4770" s="40" t="s">
        <v>21968</v>
      </c>
      <c r="D4770" s="40" t="s">
        <v>21969</v>
      </c>
      <c r="E4770" s="41">
        <v>1.75</v>
      </c>
      <c r="F4770" s="40"/>
      <c r="G4770" s="41"/>
      <c r="H4770" s="40"/>
      <c r="I4770" s="41"/>
      <c r="J4770" s="41">
        <f t="shared" si="18"/>
        <v>1.75</v>
      </c>
      <c r="K4770" s="42" t="s">
        <v>5796</v>
      </c>
      <c r="L4770" s="39">
        <v>4768</v>
      </c>
    </row>
    <row r="4771" spans="1:12" ht="11.25" customHeight="1">
      <c r="A4771" s="39">
        <v>4769</v>
      </c>
      <c r="B4771" s="40" t="s">
        <v>21970</v>
      </c>
      <c r="C4771" s="40" t="s">
        <v>21971</v>
      </c>
      <c r="D4771" s="40" t="s">
        <v>21972</v>
      </c>
      <c r="E4771" s="41">
        <v>1.73</v>
      </c>
      <c r="F4771" s="40"/>
      <c r="G4771" s="41"/>
      <c r="H4771" s="40"/>
      <c r="I4771" s="41"/>
      <c r="J4771" s="41">
        <f t="shared" si="18"/>
        <v>1.73</v>
      </c>
      <c r="K4771" s="42" t="s">
        <v>5796</v>
      </c>
      <c r="L4771" s="39">
        <v>4769</v>
      </c>
    </row>
    <row r="4772" spans="1:12" ht="11.25" customHeight="1">
      <c r="A4772" s="39">
        <v>4770</v>
      </c>
      <c r="B4772" s="40" t="s">
        <v>21973</v>
      </c>
      <c r="C4772" s="40" t="s">
        <v>21974</v>
      </c>
      <c r="D4772" s="40" t="s">
        <v>21975</v>
      </c>
      <c r="E4772" s="41">
        <v>1.72</v>
      </c>
      <c r="F4772" s="40"/>
      <c r="G4772" s="41"/>
      <c r="H4772" s="40"/>
      <c r="I4772" s="41"/>
      <c r="J4772" s="41">
        <f t="shared" si="18"/>
        <v>1.72</v>
      </c>
      <c r="K4772" s="42" t="s">
        <v>5796</v>
      </c>
      <c r="L4772" s="39">
        <v>4770</v>
      </c>
    </row>
    <row r="4773" spans="1:12" ht="11.25" customHeight="1">
      <c r="A4773" s="39">
        <v>4771</v>
      </c>
      <c r="B4773" s="40" t="s">
        <v>21976</v>
      </c>
      <c r="C4773" s="40" t="s">
        <v>21977</v>
      </c>
      <c r="D4773" s="40" t="s">
        <v>21978</v>
      </c>
      <c r="E4773" s="41">
        <v>1.71</v>
      </c>
      <c r="F4773" s="40"/>
      <c r="G4773" s="41"/>
      <c r="H4773" s="40"/>
      <c r="I4773" s="41"/>
      <c r="J4773" s="41">
        <f t="shared" si="18"/>
        <v>1.71</v>
      </c>
      <c r="K4773" s="42" t="s">
        <v>5796</v>
      </c>
      <c r="L4773" s="39">
        <v>4771</v>
      </c>
    </row>
    <row r="4774" spans="1:12" ht="11.25" customHeight="1">
      <c r="A4774" s="39">
        <v>4772</v>
      </c>
      <c r="B4774" s="40" t="s">
        <v>21979</v>
      </c>
      <c r="C4774" s="40" t="s">
        <v>21980</v>
      </c>
      <c r="D4774" s="40" t="s">
        <v>21981</v>
      </c>
      <c r="E4774" s="41">
        <v>1.7</v>
      </c>
      <c r="F4774" s="40"/>
      <c r="G4774" s="41"/>
      <c r="H4774" s="40"/>
      <c r="I4774" s="41"/>
      <c r="J4774" s="41">
        <f t="shared" si="18"/>
        <v>1.7</v>
      </c>
      <c r="K4774" s="42" t="s">
        <v>5796</v>
      </c>
      <c r="L4774" s="39">
        <v>4772</v>
      </c>
    </row>
    <row r="4775" spans="1:12" ht="11.25" customHeight="1">
      <c r="A4775" s="39">
        <v>4773</v>
      </c>
      <c r="B4775" s="40" t="s">
        <v>21982</v>
      </c>
      <c r="C4775" s="40" t="s">
        <v>21983</v>
      </c>
      <c r="D4775" s="40" t="s">
        <v>21984</v>
      </c>
      <c r="E4775" s="41">
        <v>1.7</v>
      </c>
      <c r="F4775" s="40"/>
      <c r="G4775" s="41"/>
      <c r="H4775" s="40"/>
      <c r="I4775" s="41"/>
      <c r="J4775" s="41">
        <f t="shared" si="18"/>
        <v>1.7</v>
      </c>
      <c r="K4775" s="42" t="s">
        <v>5796</v>
      </c>
      <c r="L4775" s="39">
        <v>4773</v>
      </c>
    </row>
    <row r="4776" spans="1:12" ht="11.25" customHeight="1">
      <c r="A4776" s="39">
        <v>4774</v>
      </c>
      <c r="B4776" s="40" t="s">
        <v>21985</v>
      </c>
      <c r="C4776" s="40" t="s">
        <v>21986</v>
      </c>
      <c r="D4776" s="40" t="s">
        <v>21987</v>
      </c>
      <c r="E4776" s="41">
        <v>1.69</v>
      </c>
      <c r="F4776" s="40"/>
      <c r="G4776" s="41"/>
      <c r="H4776" s="40"/>
      <c r="I4776" s="41"/>
      <c r="J4776" s="41">
        <f t="shared" si="18"/>
        <v>1.69</v>
      </c>
      <c r="K4776" s="42" t="s">
        <v>5796</v>
      </c>
      <c r="L4776" s="39">
        <v>4774</v>
      </c>
    </row>
    <row r="4777" spans="1:12" ht="11.25" customHeight="1">
      <c r="A4777" s="39">
        <v>4775</v>
      </c>
      <c r="B4777" s="40" t="s">
        <v>21988</v>
      </c>
      <c r="C4777" s="40" t="s">
        <v>21989</v>
      </c>
      <c r="D4777" s="40" t="s">
        <v>21990</v>
      </c>
      <c r="E4777" s="41">
        <v>1.68</v>
      </c>
      <c r="F4777" s="40"/>
      <c r="G4777" s="41"/>
      <c r="H4777" s="40"/>
      <c r="I4777" s="41"/>
      <c r="J4777" s="41">
        <f t="shared" si="18"/>
        <v>1.68</v>
      </c>
      <c r="K4777" s="42" t="s">
        <v>5796</v>
      </c>
      <c r="L4777" s="39">
        <v>4775</v>
      </c>
    </row>
    <row r="4778" spans="1:12" ht="11.25" customHeight="1">
      <c r="A4778" s="39">
        <v>4776</v>
      </c>
      <c r="B4778" s="40" t="s">
        <v>21991</v>
      </c>
      <c r="C4778" s="40" t="s">
        <v>21992</v>
      </c>
      <c r="D4778" s="40" t="s">
        <v>21993</v>
      </c>
      <c r="E4778" s="41">
        <v>1.67</v>
      </c>
      <c r="F4778" s="40"/>
      <c r="G4778" s="41"/>
      <c r="H4778" s="40"/>
      <c r="I4778" s="41"/>
      <c r="J4778" s="41">
        <f t="shared" si="18"/>
        <v>1.67</v>
      </c>
      <c r="K4778" s="42" t="s">
        <v>5796</v>
      </c>
      <c r="L4778" s="39">
        <v>4776</v>
      </c>
    </row>
    <row r="4779" spans="1:12" ht="11.25" customHeight="1">
      <c r="A4779" s="39">
        <v>4777</v>
      </c>
      <c r="B4779" s="40" t="s">
        <v>21994</v>
      </c>
      <c r="C4779" s="40" t="s">
        <v>21995</v>
      </c>
      <c r="D4779" s="40" t="s">
        <v>21996</v>
      </c>
      <c r="E4779" s="41">
        <v>1.66</v>
      </c>
      <c r="F4779" s="40"/>
      <c r="G4779" s="41"/>
      <c r="H4779" s="40"/>
      <c r="I4779" s="41"/>
      <c r="J4779" s="41">
        <f t="shared" si="18"/>
        <v>1.66</v>
      </c>
      <c r="K4779" s="42" t="s">
        <v>5796</v>
      </c>
      <c r="L4779" s="39">
        <v>4777</v>
      </c>
    </row>
    <row r="4780" spans="1:12" ht="11.25" customHeight="1">
      <c r="A4780" s="39">
        <v>4778</v>
      </c>
      <c r="B4780" s="40" t="s">
        <v>21997</v>
      </c>
      <c r="C4780" s="40" t="s">
        <v>21998</v>
      </c>
      <c r="D4780" s="40" t="s">
        <v>21999</v>
      </c>
      <c r="E4780" s="41">
        <v>1.66</v>
      </c>
      <c r="F4780" s="40"/>
      <c r="G4780" s="41"/>
      <c r="H4780" s="40"/>
      <c r="I4780" s="41"/>
      <c r="J4780" s="41">
        <f t="shared" si="18"/>
        <v>1.66</v>
      </c>
      <c r="K4780" s="42" t="s">
        <v>5796</v>
      </c>
      <c r="L4780" s="39">
        <v>4778</v>
      </c>
    </row>
    <row r="4781" spans="1:12" ht="11.25" customHeight="1">
      <c r="A4781" s="39">
        <v>4779</v>
      </c>
      <c r="B4781" s="40" t="s">
        <v>22000</v>
      </c>
      <c r="C4781" s="40" t="s">
        <v>22001</v>
      </c>
      <c r="D4781" s="40" t="s">
        <v>22002</v>
      </c>
      <c r="E4781" s="41">
        <v>1.66</v>
      </c>
      <c r="F4781" s="40"/>
      <c r="G4781" s="41"/>
      <c r="H4781" s="40"/>
      <c r="I4781" s="41"/>
      <c r="J4781" s="41">
        <f t="shared" si="18"/>
        <v>1.66</v>
      </c>
      <c r="K4781" s="42" t="s">
        <v>5796</v>
      </c>
      <c r="L4781" s="39">
        <v>4779</v>
      </c>
    </row>
    <row r="4782" spans="1:12" ht="11.25" customHeight="1">
      <c r="A4782" s="39">
        <v>4780</v>
      </c>
      <c r="B4782" s="40" t="s">
        <v>22003</v>
      </c>
      <c r="C4782" s="40" t="s">
        <v>22004</v>
      </c>
      <c r="D4782" s="40" t="s">
        <v>22005</v>
      </c>
      <c r="E4782" s="41">
        <v>1.66</v>
      </c>
      <c r="F4782" s="40"/>
      <c r="G4782" s="41"/>
      <c r="H4782" s="40"/>
      <c r="I4782" s="41"/>
      <c r="J4782" s="41">
        <f t="shared" si="18"/>
        <v>1.66</v>
      </c>
      <c r="K4782" s="42" t="s">
        <v>5796</v>
      </c>
      <c r="L4782" s="39">
        <v>4780</v>
      </c>
    </row>
    <row r="4783" spans="1:12" ht="11.25" customHeight="1">
      <c r="A4783" s="39">
        <v>4781</v>
      </c>
      <c r="B4783" s="40" t="s">
        <v>22006</v>
      </c>
      <c r="C4783" s="40" t="s">
        <v>22007</v>
      </c>
      <c r="D4783" s="40" t="s">
        <v>22008</v>
      </c>
      <c r="E4783" s="41">
        <v>1.65</v>
      </c>
      <c r="F4783" s="40"/>
      <c r="G4783" s="41"/>
      <c r="H4783" s="40"/>
      <c r="I4783" s="41"/>
      <c r="J4783" s="41">
        <f t="shared" si="18"/>
        <v>1.65</v>
      </c>
      <c r="K4783" s="42" t="s">
        <v>5796</v>
      </c>
      <c r="L4783" s="39">
        <v>4781</v>
      </c>
    </row>
    <row r="4784" spans="1:12" ht="11.25" customHeight="1">
      <c r="A4784" s="39">
        <v>4782</v>
      </c>
      <c r="B4784" s="40" t="s">
        <v>22009</v>
      </c>
      <c r="C4784" s="40" t="s">
        <v>22010</v>
      </c>
      <c r="D4784" s="40" t="s">
        <v>22011</v>
      </c>
      <c r="E4784" s="41">
        <v>1.64</v>
      </c>
      <c r="F4784" s="40"/>
      <c r="G4784" s="41"/>
      <c r="H4784" s="40"/>
      <c r="I4784" s="41"/>
      <c r="J4784" s="41">
        <f t="shared" si="18"/>
        <v>1.64</v>
      </c>
      <c r="K4784" s="42" t="s">
        <v>5796</v>
      </c>
      <c r="L4784" s="39">
        <v>4782</v>
      </c>
    </row>
    <row r="4785" spans="1:12" ht="11.25" customHeight="1">
      <c r="A4785" s="39">
        <v>4783</v>
      </c>
      <c r="B4785" s="40" t="s">
        <v>22012</v>
      </c>
      <c r="C4785" s="40" t="s">
        <v>22013</v>
      </c>
      <c r="D4785" s="40" t="s">
        <v>22014</v>
      </c>
      <c r="E4785" s="41">
        <v>1.62</v>
      </c>
      <c r="F4785" s="40"/>
      <c r="G4785" s="41"/>
      <c r="H4785" s="40"/>
      <c r="I4785" s="41"/>
      <c r="J4785" s="41">
        <f t="shared" si="18"/>
        <v>1.62</v>
      </c>
      <c r="K4785" s="42" t="s">
        <v>5796</v>
      </c>
      <c r="L4785" s="39">
        <v>4783</v>
      </c>
    </row>
    <row r="4786" spans="1:12" ht="11.25" customHeight="1">
      <c r="A4786" s="39">
        <v>4784</v>
      </c>
      <c r="B4786" s="52" t="s">
        <v>9949</v>
      </c>
      <c r="C4786" s="52" t="s">
        <v>22015</v>
      </c>
      <c r="D4786" s="40"/>
      <c r="E4786" s="41"/>
      <c r="F4786" s="40"/>
      <c r="G4786" s="41"/>
      <c r="H4786" s="52" t="s">
        <v>22016</v>
      </c>
      <c r="I4786" s="53">
        <v>1.6012499999999954</v>
      </c>
      <c r="J4786" s="41">
        <f t="shared" si="18"/>
        <v>1.6012499999999954</v>
      </c>
      <c r="K4786" s="42" t="s">
        <v>5796</v>
      </c>
      <c r="L4786" s="39">
        <v>4784</v>
      </c>
    </row>
    <row r="4787" spans="1:12" ht="11.25" customHeight="1">
      <c r="A4787" s="39">
        <v>4785</v>
      </c>
      <c r="B4787" s="40" t="s">
        <v>22017</v>
      </c>
      <c r="C4787" s="40" t="s">
        <v>22018</v>
      </c>
      <c r="D4787" s="40" t="s">
        <v>22019</v>
      </c>
      <c r="E4787" s="41">
        <v>1.6</v>
      </c>
      <c r="F4787" s="40"/>
      <c r="G4787" s="41"/>
      <c r="H4787" s="40"/>
      <c r="I4787" s="41"/>
      <c r="J4787" s="41">
        <f t="shared" si="18"/>
        <v>1.6</v>
      </c>
      <c r="K4787" s="42" t="s">
        <v>5796</v>
      </c>
      <c r="L4787" s="39">
        <v>4785</v>
      </c>
    </row>
    <row r="4788" spans="1:12" ht="11.25" customHeight="1">
      <c r="A4788" s="39">
        <v>4786</v>
      </c>
      <c r="B4788" s="40" t="s">
        <v>22020</v>
      </c>
      <c r="C4788" s="40" t="s">
        <v>22021</v>
      </c>
      <c r="D4788" s="40" t="s">
        <v>22022</v>
      </c>
      <c r="E4788" s="41">
        <v>1.6</v>
      </c>
      <c r="F4788" s="40"/>
      <c r="G4788" s="41"/>
      <c r="H4788" s="40"/>
      <c r="I4788" s="41"/>
      <c r="J4788" s="41">
        <f t="shared" si="18"/>
        <v>1.6</v>
      </c>
      <c r="K4788" s="42" t="s">
        <v>5796</v>
      </c>
      <c r="L4788" s="39">
        <v>4786</v>
      </c>
    </row>
    <row r="4789" spans="1:12" ht="11.25" customHeight="1">
      <c r="A4789" s="39">
        <v>4787</v>
      </c>
      <c r="B4789" s="52" t="s">
        <v>9953</v>
      </c>
      <c r="C4789" s="52" t="s">
        <v>22023</v>
      </c>
      <c r="D4789" s="40"/>
      <c r="E4789" s="41"/>
      <c r="F4789" s="40"/>
      <c r="G4789" s="41"/>
      <c r="H4789" s="52" t="s">
        <v>22024</v>
      </c>
      <c r="I4789" s="53">
        <v>1.5902000000000025</v>
      </c>
      <c r="J4789" s="41">
        <f t="shared" si="18"/>
        <v>1.5902000000000025</v>
      </c>
      <c r="K4789" s="42" t="s">
        <v>5796</v>
      </c>
      <c r="L4789" s="39">
        <v>4787</v>
      </c>
    </row>
    <row r="4790" spans="1:12" ht="11.25" customHeight="1">
      <c r="A4790" s="39">
        <v>4788</v>
      </c>
      <c r="B4790" s="40" t="s">
        <v>22025</v>
      </c>
      <c r="C4790" s="40" t="s">
        <v>22026</v>
      </c>
      <c r="D4790" s="40" t="s">
        <v>22027</v>
      </c>
      <c r="E4790" s="41">
        <v>1.59</v>
      </c>
      <c r="F4790" s="40"/>
      <c r="G4790" s="41"/>
      <c r="H4790" s="40"/>
      <c r="I4790" s="41"/>
      <c r="J4790" s="41">
        <f t="shared" si="18"/>
        <v>1.59</v>
      </c>
      <c r="K4790" s="42" t="s">
        <v>5796</v>
      </c>
      <c r="L4790" s="39">
        <v>4788</v>
      </c>
    </row>
    <row r="4791" spans="1:12" ht="11.25" customHeight="1">
      <c r="A4791" s="39">
        <v>4789</v>
      </c>
      <c r="B4791" s="40" t="s">
        <v>22028</v>
      </c>
      <c r="C4791" s="40" t="s">
        <v>22029</v>
      </c>
      <c r="D4791" s="40" t="s">
        <v>22030</v>
      </c>
      <c r="E4791" s="41">
        <v>1.59</v>
      </c>
      <c r="F4791" s="40"/>
      <c r="G4791" s="41"/>
      <c r="H4791" s="40"/>
      <c r="I4791" s="41"/>
      <c r="J4791" s="41">
        <f t="shared" si="18"/>
        <v>1.59</v>
      </c>
      <c r="K4791" s="42" t="s">
        <v>5796</v>
      </c>
      <c r="L4791" s="39">
        <v>4789</v>
      </c>
    </row>
    <row r="4792" spans="1:12" ht="11.25" customHeight="1">
      <c r="A4792" s="39">
        <v>4790</v>
      </c>
      <c r="B4792" s="40" t="s">
        <v>22031</v>
      </c>
      <c r="C4792" s="40" t="s">
        <v>22032</v>
      </c>
      <c r="D4792" s="40" t="s">
        <v>22033</v>
      </c>
      <c r="E4792" s="41">
        <v>1.59</v>
      </c>
      <c r="F4792" s="40"/>
      <c r="G4792" s="41"/>
      <c r="H4792" s="40"/>
      <c r="I4792" s="41"/>
      <c r="J4792" s="41">
        <f t="shared" si="18"/>
        <v>1.59</v>
      </c>
      <c r="K4792" s="42" t="s">
        <v>5796</v>
      </c>
      <c r="L4792" s="39">
        <v>4790</v>
      </c>
    </row>
    <row r="4793" spans="1:12" ht="11.25" customHeight="1">
      <c r="A4793" s="39">
        <v>4791</v>
      </c>
      <c r="B4793" s="40" t="s">
        <v>22034</v>
      </c>
      <c r="C4793" s="40" t="s">
        <v>22035</v>
      </c>
      <c r="D4793" s="40" t="s">
        <v>22036</v>
      </c>
      <c r="E4793" s="41">
        <v>1.58</v>
      </c>
      <c r="F4793" s="40"/>
      <c r="G4793" s="41"/>
      <c r="H4793" s="40"/>
      <c r="I4793" s="41"/>
      <c r="J4793" s="41">
        <f t="shared" si="18"/>
        <v>1.58</v>
      </c>
      <c r="K4793" s="42" t="s">
        <v>5796</v>
      </c>
      <c r="L4793" s="39">
        <v>4791</v>
      </c>
    </row>
    <row r="4794" spans="1:12" ht="11.25" customHeight="1">
      <c r="A4794" s="39">
        <v>4792</v>
      </c>
      <c r="B4794" s="40" t="s">
        <v>9914</v>
      </c>
      <c r="C4794" s="40" t="s">
        <v>22037</v>
      </c>
      <c r="D4794" s="40" t="s">
        <v>22038</v>
      </c>
      <c r="E4794" s="41">
        <v>1.57</v>
      </c>
      <c r="F4794" s="40"/>
      <c r="G4794" s="41"/>
      <c r="H4794" s="40"/>
      <c r="I4794" s="41"/>
      <c r="J4794" s="41">
        <f t="shared" si="18"/>
        <v>1.57</v>
      </c>
      <c r="K4794" s="42" t="s">
        <v>5796</v>
      </c>
      <c r="L4794" s="39">
        <v>4792</v>
      </c>
    </row>
    <row r="4795" spans="1:12" ht="11.25" customHeight="1">
      <c r="A4795" s="39">
        <v>4793</v>
      </c>
      <c r="B4795" s="40" t="s">
        <v>22039</v>
      </c>
      <c r="C4795" s="40" t="s">
        <v>22040</v>
      </c>
      <c r="D4795" s="40" t="s">
        <v>22041</v>
      </c>
      <c r="E4795" s="41">
        <v>1.56</v>
      </c>
      <c r="F4795" s="40"/>
      <c r="G4795" s="41"/>
      <c r="H4795" s="40"/>
      <c r="I4795" s="41"/>
      <c r="J4795" s="41">
        <f t="shared" si="18"/>
        <v>1.56</v>
      </c>
      <c r="K4795" s="42" t="s">
        <v>5796</v>
      </c>
      <c r="L4795" s="39">
        <v>4793</v>
      </c>
    </row>
    <row r="4796" spans="1:12" ht="11.25" customHeight="1">
      <c r="A4796" s="39">
        <v>4794</v>
      </c>
      <c r="B4796" s="40" t="s">
        <v>22042</v>
      </c>
      <c r="C4796" s="40" t="s">
        <v>22043</v>
      </c>
      <c r="D4796" s="40" t="s">
        <v>22044</v>
      </c>
      <c r="E4796" s="41">
        <v>1.55</v>
      </c>
      <c r="F4796" s="40"/>
      <c r="G4796" s="41"/>
      <c r="H4796" s="40"/>
      <c r="I4796" s="41"/>
      <c r="J4796" s="41">
        <f t="shared" si="18"/>
        <v>1.55</v>
      </c>
      <c r="K4796" s="42" t="s">
        <v>5796</v>
      </c>
      <c r="L4796" s="39">
        <v>4794</v>
      </c>
    </row>
    <row r="4797" spans="1:12" ht="11.25" customHeight="1">
      <c r="A4797" s="39">
        <v>4795</v>
      </c>
      <c r="B4797" s="40" t="s">
        <v>22045</v>
      </c>
      <c r="C4797" s="40" t="s">
        <v>22046</v>
      </c>
      <c r="D4797" s="40" t="s">
        <v>22047</v>
      </c>
      <c r="E4797" s="41">
        <v>1.53</v>
      </c>
      <c r="F4797" s="40"/>
      <c r="G4797" s="41"/>
      <c r="H4797" s="40"/>
      <c r="I4797" s="41"/>
      <c r="J4797" s="41">
        <f t="shared" si="18"/>
        <v>1.53</v>
      </c>
      <c r="K4797" s="42" t="s">
        <v>5796</v>
      </c>
      <c r="L4797" s="39">
        <v>4795</v>
      </c>
    </row>
    <row r="4798" spans="1:12" ht="11.25" customHeight="1">
      <c r="A4798" s="39">
        <v>4796</v>
      </c>
      <c r="B4798" s="40" t="s">
        <v>22048</v>
      </c>
      <c r="C4798" s="40" t="s">
        <v>22049</v>
      </c>
      <c r="D4798" s="40" t="s">
        <v>22050</v>
      </c>
      <c r="E4798" s="41">
        <v>1.52</v>
      </c>
      <c r="F4798" s="40"/>
      <c r="G4798" s="41"/>
      <c r="H4798" s="40"/>
      <c r="I4798" s="41"/>
      <c r="J4798" s="41">
        <f t="shared" si="18"/>
        <v>1.52</v>
      </c>
      <c r="K4798" s="42" t="s">
        <v>5796</v>
      </c>
      <c r="L4798" s="39">
        <v>4796</v>
      </c>
    </row>
    <row r="4799" spans="1:12" ht="11.25" customHeight="1">
      <c r="A4799" s="39">
        <v>4797</v>
      </c>
      <c r="B4799" s="40" t="s">
        <v>22051</v>
      </c>
      <c r="C4799" s="40" t="s">
        <v>22052</v>
      </c>
      <c r="D4799" s="40" t="s">
        <v>22053</v>
      </c>
      <c r="E4799" s="41">
        <v>1.52</v>
      </c>
      <c r="F4799" s="40"/>
      <c r="G4799" s="41"/>
      <c r="H4799" s="40"/>
      <c r="I4799" s="41"/>
      <c r="J4799" s="41">
        <f t="shared" si="18"/>
        <v>1.52</v>
      </c>
      <c r="K4799" s="42" t="s">
        <v>5796</v>
      </c>
      <c r="L4799" s="39">
        <v>4797</v>
      </c>
    </row>
    <row r="4800" spans="1:12" ht="11.25" customHeight="1">
      <c r="A4800" s="39">
        <v>4798</v>
      </c>
      <c r="B4800" s="40" t="s">
        <v>22054</v>
      </c>
      <c r="C4800" s="40" t="s">
        <v>22055</v>
      </c>
      <c r="D4800" s="40" t="s">
        <v>22056</v>
      </c>
      <c r="E4800" s="41">
        <v>1.5</v>
      </c>
      <c r="F4800" s="40"/>
      <c r="G4800" s="41"/>
      <c r="H4800" s="40"/>
      <c r="I4800" s="41"/>
      <c r="J4800" s="41">
        <f t="shared" si="18"/>
        <v>1.5</v>
      </c>
      <c r="K4800" s="42" t="s">
        <v>5796</v>
      </c>
      <c r="L4800" s="39">
        <v>4798</v>
      </c>
    </row>
    <row r="4801" spans="1:12" ht="11.25" customHeight="1">
      <c r="A4801" s="39">
        <v>4799</v>
      </c>
      <c r="B4801" s="40" t="s">
        <v>22057</v>
      </c>
      <c r="C4801" s="40" t="s">
        <v>22058</v>
      </c>
      <c r="D4801" s="40" t="s">
        <v>22059</v>
      </c>
      <c r="E4801" s="41">
        <v>1.5</v>
      </c>
      <c r="F4801" s="40"/>
      <c r="G4801" s="41"/>
      <c r="H4801" s="40"/>
      <c r="I4801" s="41"/>
      <c r="J4801" s="41">
        <f t="shared" si="18"/>
        <v>1.5</v>
      </c>
      <c r="K4801" s="42" t="s">
        <v>5796</v>
      </c>
      <c r="L4801" s="39">
        <v>4799</v>
      </c>
    </row>
    <row r="4802" spans="1:12" ht="11.25" customHeight="1">
      <c r="A4802" s="39">
        <v>4800</v>
      </c>
      <c r="B4802" s="40" t="s">
        <v>22060</v>
      </c>
      <c r="C4802" s="40" t="s">
        <v>22061</v>
      </c>
      <c r="D4802" s="40" t="s">
        <v>22062</v>
      </c>
      <c r="E4802" s="41">
        <v>1.49</v>
      </c>
      <c r="F4802" s="40"/>
      <c r="G4802" s="41"/>
      <c r="H4802" s="40"/>
      <c r="I4802" s="41"/>
      <c r="J4802" s="41">
        <f t="shared" si="18"/>
        <v>1.49</v>
      </c>
      <c r="K4802" s="42" t="s">
        <v>5796</v>
      </c>
      <c r="L4802" s="39">
        <v>4800</v>
      </c>
    </row>
    <row r="4803" spans="1:12" ht="11.25" customHeight="1">
      <c r="A4803" s="39">
        <v>4801</v>
      </c>
      <c r="B4803" s="40" t="s">
        <v>22063</v>
      </c>
      <c r="C4803" s="40" t="s">
        <v>22064</v>
      </c>
      <c r="D4803" s="40" t="s">
        <v>22065</v>
      </c>
      <c r="E4803" s="41">
        <v>1.49</v>
      </c>
      <c r="F4803" s="40"/>
      <c r="G4803" s="41"/>
      <c r="H4803" s="40"/>
      <c r="I4803" s="41"/>
      <c r="J4803" s="41">
        <f t="shared" si="18"/>
        <v>1.49</v>
      </c>
      <c r="K4803" s="42" t="s">
        <v>5796</v>
      </c>
      <c r="L4803" s="39">
        <v>4801</v>
      </c>
    </row>
    <row r="4804" spans="1:12" ht="11.25" customHeight="1">
      <c r="A4804" s="39">
        <v>4802</v>
      </c>
      <c r="B4804" s="40" t="s">
        <v>22066</v>
      </c>
      <c r="C4804" s="40" t="s">
        <v>22067</v>
      </c>
      <c r="D4804" s="40" t="s">
        <v>22068</v>
      </c>
      <c r="E4804" s="41">
        <v>1.49</v>
      </c>
      <c r="F4804" s="40"/>
      <c r="G4804" s="41"/>
      <c r="H4804" s="40"/>
      <c r="I4804" s="41"/>
      <c r="J4804" s="41">
        <f t="shared" si="18"/>
        <v>1.49</v>
      </c>
      <c r="K4804" s="42" t="s">
        <v>5796</v>
      </c>
      <c r="L4804" s="39">
        <v>4802</v>
      </c>
    </row>
    <row r="4805" spans="1:12" ht="11.25" customHeight="1">
      <c r="A4805" s="39">
        <v>4803</v>
      </c>
      <c r="B4805" s="52" t="s">
        <v>9973</v>
      </c>
      <c r="C4805" s="52" t="s">
        <v>22069</v>
      </c>
      <c r="D4805" s="40"/>
      <c r="E4805" s="41"/>
      <c r="F4805" s="40"/>
      <c r="G4805" s="41"/>
      <c r="H4805" s="52" t="s">
        <v>22070</v>
      </c>
      <c r="I4805" s="53">
        <v>1.4819999999999995</v>
      </c>
      <c r="J4805" s="41">
        <f t="shared" si="18"/>
        <v>1.4819999999999995</v>
      </c>
      <c r="K4805" s="42" t="s">
        <v>5796</v>
      </c>
      <c r="L4805" s="39">
        <v>4803</v>
      </c>
    </row>
    <row r="4806" spans="1:12" ht="11.25" customHeight="1">
      <c r="A4806" s="39">
        <v>4804</v>
      </c>
      <c r="B4806" s="52" t="s">
        <v>9976</v>
      </c>
      <c r="C4806" s="52" t="s">
        <v>22071</v>
      </c>
      <c r="D4806" s="40"/>
      <c r="E4806" s="41"/>
      <c r="F4806" s="40"/>
      <c r="G4806" s="41"/>
      <c r="H4806" s="52" t="s">
        <v>22072</v>
      </c>
      <c r="I4806" s="53">
        <v>1.473937000000004</v>
      </c>
      <c r="J4806" s="41">
        <f t="shared" si="18"/>
        <v>1.473937000000004</v>
      </c>
      <c r="K4806" s="42" t="s">
        <v>5796</v>
      </c>
      <c r="L4806" s="39">
        <v>4804</v>
      </c>
    </row>
    <row r="4807" spans="1:12" ht="11.25" customHeight="1">
      <c r="A4807" s="39">
        <v>4805</v>
      </c>
      <c r="B4807" s="40" t="s">
        <v>22073</v>
      </c>
      <c r="C4807" s="40" t="s">
        <v>22074</v>
      </c>
      <c r="D4807" s="40" t="s">
        <v>22075</v>
      </c>
      <c r="E4807" s="41">
        <v>1.47</v>
      </c>
      <c r="F4807" s="40"/>
      <c r="G4807" s="41"/>
      <c r="H4807" s="40"/>
      <c r="I4807" s="41"/>
      <c r="J4807" s="41">
        <f t="shared" si="18"/>
        <v>1.47</v>
      </c>
      <c r="K4807" s="42" t="s">
        <v>5796</v>
      </c>
      <c r="L4807" s="39">
        <v>4805</v>
      </c>
    </row>
    <row r="4808" spans="1:12" ht="11.25" customHeight="1">
      <c r="A4808" s="39">
        <v>4806</v>
      </c>
      <c r="B4808" s="40" t="s">
        <v>22076</v>
      </c>
      <c r="C4808" s="40" t="s">
        <v>22077</v>
      </c>
      <c r="D4808" s="40" t="s">
        <v>22078</v>
      </c>
      <c r="E4808" s="41">
        <v>1.47</v>
      </c>
      <c r="F4808" s="40"/>
      <c r="G4808" s="41"/>
      <c r="H4808" s="40"/>
      <c r="I4808" s="41"/>
      <c r="J4808" s="41">
        <f t="shared" si="18"/>
        <v>1.47</v>
      </c>
      <c r="K4808" s="42" t="s">
        <v>5796</v>
      </c>
      <c r="L4808" s="39">
        <v>4806</v>
      </c>
    </row>
    <row r="4809" spans="1:12" ht="11.25" customHeight="1">
      <c r="A4809" s="39">
        <v>4807</v>
      </c>
      <c r="B4809" s="40" t="s">
        <v>22079</v>
      </c>
      <c r="C4809" s="40" t="s">
        <v>22080</v>
      </c>
      <c r="D4809" s="40" t="s">
        <v>22081</v>
      </c>
      <c r="E4809" s="41">
        <v>1.47</v>
      </c>
      <c r="F4809" s="40"/>
      <c r="G4809" s="41"/>
      <c r="H4809" s="40"/>
      <c r="I4809" s="41"/>
      <c r="J4809" s="41">
        <f t="shared" si="18"/>
        <v>1.47</v>
      </c>
      <c r="K4809" s="42" t="s">
        <v>5796</v>
      </c>
      <c r="L4809" s="39">
        <v>4807</v>
      </c>
    </row>
    <row r="4810" spans="1:12" ht="11.25" customHeight="1">
      <c r="A4810" s="39">
        <v>4808</v>
      </c>
      <c r="B4810" s="40" t="s">
        <v>22082</v>
      </c>
      <c r="C4810" s="40" t="s">
        <v>22083</v>
      </c>
      <c r="D4810" s="40" t="s">
        <v>22084</v>
      </c>
      <c r="E4810" s="41">
        <v>1.46</v>
      </c>
      <c r="F4810" s="40"/>
      <c r="G4810" s="41"/>
      <c r="H4810" s="40"/>
      <c r="I4810" s="41"/>
      <c r="J4810" s="41">
        <f t="shared" si="18"/>
        <v>1.46</v>
      </c>
      <c r="K4810" s="42" t="s">
        <v>5796</v>
      </c>
      <c r="L4810" s="39">
        <v>4808</v>
      </c>
    </row>
    <row r="4811" spans="1:12" ht="11.25" customHeight="1">
      <c r="A4811" s="39">
        <v>4809</v>
      </c>
      <c r="B4811" s="40" t="s">
        <v>22085</v>
      </c>
      <c r="C4811" s="40" t="s">
        <v>22086</v>
      </c>
      <c r="D4811" s="40" t="s">
        <v>22087</v>
      </c>
      <c r="E4811" s="41">
        <v>1.44</v>
      </c>
      <c r="F4811" s="40"/>
      <c r="G4811" s="41"/>
      <c r="H4811" s="40"/>
      <c r="I4811" s="41"/>
      <c r="J4811" s="41">
        <f t="shared" si="18"/>
        <v>1.44</v>
      </c>
      <c r="K4811" s="42" t="s">
        <v>5796</v>
      </c>
      <c r="L4811" s="39">
        <v>4809</v>
      </c>
    </row>
    <row r="4812" spans="1:12" ht="11.25" customHeight="1">
      <c r="A4812" s="39">
        <v>4810</v>
      </c>
      <c r="B4812" s="40" t="s">
        <v>22088</v>
      </c>
      <c r="C4812" s="40" t="s">
        <v>22089</v>
      </c>
      <c r="D4812" s="40" t="s">
        <v>22090</v>
      </c>
      <c r="E4812" s="41">
        <v>1.44</v>
      </c>
      <c r="F4812" s="40"/>
      <c r="G4812" s="41"/>
      <c r="H4812" s="40"/>
      <c r="I4812" s="41"/>
      <c r="J4812" s="41">
        <f t="shared" si="18"/>
        <v>1.44</v>
      </c>
      <c r="K4812" s="42" t="s">
        <v>5796</v>
      </c>
      <c r="L4812" s="39">
        <v>4810</v>
      </c>
    </row>
    <row r="4813" spans="1:12" ht="11.25" customHeight="1">
      <c r="A4813" s="39">
        <v>4811</v>
      </c>
      <c r="B4813" s="40" t="s">
        <v>22091</v>
      </c>
      <c r="C4813" s="40" t="s">
        <v>22092</v>
      </c>
      <c r="D4813" s="40" t="s">
        <v>22093</v>
      </c>
      <c r="E4813" s="41">
        <v>1.44</v>
      </c>
      <c r="F4813" s="40"/>
      <c r="G4813" s="41"/>
      <c r="H4813" s="40"/>
      <c r="I4813" s="41"/>
      <c r="J4813" s="41">
        <f t="shared" si="18"/>
        <v>1.44</v>
      </c>
      <c r="K4813" s="42" t="s">
        <v>5796</v>
      </c>
      <c r="L4813" s="39">
        <v>4811</v>
      </c>
    </row>
    <row r="4814" spans="1:12" ht="11.25" customHeight="1">
      <c r="A4814" s="39">
        <v>4812</v>
      </c>
      <c r="B4814" s="40" t="s">
        <v>22094</v>
      </c>
      <c r="C4814" s="40" t="s">
        <v>22095</v>
      </c>
      <c r="D4814" s="40" t="s">
        <v>22096</v>
      </c>
      <c r="E4814" s="41">
        <v>1.43</v>
      </c>
      <c r="F4814" s="40"/>
      <c r="G4814" s="41"/>
      <c r="H4814" s="40"/>
      <c r="I4814" s="41"/>
      <c r="J4814" s="41">
        <f t="shared" si="18"/>
        <v>1.43</v>
      </c>
      <c r="K4814" s="42" t="s">
        <v>5796</v>
      </c>
      <c r="L4814" s="39">
        <v>4812</v>
      </c>
    </row>
    <row r="4815" spans="1:12" ht="11.25" customHeight="1">
      <c r="A4815" s="39">
        <v>4813</v>
      </c>
      <c r="B4815" s="40" t="s">
        <v>22097</v>
      </c>
      <c r="C4815" s="40" t="s">
        <v>22098</v>
      </c>
      <c r="D4815" s="40" t="s">
        <v>22099</v>
      </c>
      <c r="E4815" s="41">
        <v>1.43</v>
      </c>
      <c r="F4815" s="40"/>
      <c r="G4815" s="41"/>
      <c r="H4815" s="40"/>
      <c r="I4815" s="41"/>
      <c r="J4815" s="41">
        <f t="shared" si="18"/>
        <v>1.43</v>
      </c>
      <c r="K4815" s="42" t="s">
        <v>5796</v>
      </c>
      <c r="L4815" s="39">
        <v>4813</v>
      </c>
    </row>
    <row r="4816" spans="1:12" ht="11.25" customHeight="1">
      <c r="A4816" s="39">
        <v>4814</v>
      </c>
      <c r="B4816" s="40" t="s">
        <v>22100</v>
      </c>
      <c r="C4816" s="40" t="s">
        <v>22101</v>
      </c>
      <c r="D4816" s="40" t="s">
        <v>22102</v>
      </c>
      <c r="E4816" s="41">
        <v>1.42</v>
      </c>
      <c r="F4816" s="40"/>
      <c r="G4816" s="41"/>
      <c r="H4816" s="40"/>
      <c r="I4816" s="41"/>
      <c r="J4816" s="41">
        <f t="shared" si="18"/>
        <v>1.42</v>
      </c>
      <c r="K4816" s="42" t="s">
        <v>5796</v>
      </c>
      <c r="L4816" s="39">
        <v>4814</v>
      </c>
    </row>
    <row r="4817" spans="1:12" ht="11.25" customHeight="1">
      <c r="A4817" s="39">
        <v>4815</v>
      </c>
      <c r="B4817" s="52" t="s">
        <v>9987</v>
      </c>
      <c r="C4817" s="52" t="s">
        <v>22103</v>
      </c>
      <c r="D4817" s="40"/>
      <c r="E4817" s="41"/>
      <c r="F4817" s="40"/>
      <c r="G4817" s="41"/>
      <c r="H4817" s="52" t="s">
        <v>22104</v>
      </c>
      <c r="I4817" s="53">
        <v>1.4099999999999973</v>
      </c>
      <c r="J4817" s="41">
        <f t="shared" si="18"/>
        <v>1.4099999999999973</v>
      </c>
      <c r="K4817" s="42" t="s">
        <v>5796</v>
      </c>
      <c r="L4817" s="39">
        <v>4815</v>
      </c>
    </row>
    <row r="4818" spans="1:12" ht="11.25" customHeight="1">
      <c r="A4818" s="39">
        <v>4816</v>
      </c>
      <c r="B4818" s="40" t="s">
        <v>22105</v>
      </c>
      <c r="C4818" s="40" t="s">
        <v>22106</v>
      </c>
      <c r="D4818" s="40" t="s">
        <v>22107</v>
      </c>
      <c r="E4818" s="41">
        <v>1.39</v>
      </c>
      <c r="F4818" s="40"/>
      <c r="G4818" s="41"/>
      <c r="H4818" s="40"/>
      <c r="I4818" s="41"/>
      <c r="J4818" s="41">
        <f t="shared" si="18"/>
        <v>1.39</v>
      </c>
      <c r="K4818" s="42" t="s">
        <v>5796</v>
      </c>
      <c r="L4818" s="39">
        <v>4816</v>
      </c>
    </row>
    <row r="4819" spans="1:12" ht="11.25" customHeight="1">
      <c r="A4819" s="39">
        <v>4817</v>
      </c>
      <c r="B4819" s="40" t="s">
        <v>22108</v>
      </c>
      <c r="C4819" s="40" t="s">
        <v>22109</v>
      </c>
      <c r="D4819" s="40" t="s">
        <v>22110</v>
      </c>
      <c r="E4819" s="41">
        <v>1.39</v>
      </c>
      <c r="F4819" s="40"/>
      <c r="G4819" s="41"/>
      <c r="H4819" s="40"/>
      <c r="I4819" s="41"/>
      <c r="J4819" s="41">
        <f t="shared" si="18"/>
        <v>1.39</v>
      </c>
      <c r="K4819" s="42" t="s">
        <v>5796</v>
      </c>
      <c r="L4819" s="39">
        <v>4817</v>
      </c>
    </row>
    <row r="4820" spans="1:12" ht="11.25" customHeight="1">
      <c r="A4820" s="39">
        <v>4818</v>
      </c>
      <c r="B4820" s="40" t="s">
        <v>22111</v>
      </c>
      <c r="C4820" s="40" t="s">
        <v>22112</v>
      </c>
      <c r="D4820" s="40" t="s">
        <v>22113</v>
      </c>
      <c r="E4820" s="41">
        <v>1.39</v>
      </c>
      <c r="F4820" s="40"/>
      <c r="G4820" s="41"/>
      <c r="H4820" s="40"/>
      <c r="I4820" s="41"/>
      <c r="J4820" s="41">
        <f t="shared" si="18"/>
        <v>1.39</v>
      </c>
      <c r="K4820" s="42" t="s">
        <v>5796</v>
      </c>
      <c r="L4820" s="39">
        <v>4818</v>
      </c>
    </row>
    <row r="4821" spans="1:12" ht="11.25" customHeight="1">
      <c r="A4821" s="39">
        <v>4819</v>
      </c>
      <c r="B4821" s="40" t="s">
        <v>22114</v>
      </c>
      <c r="C4821" s="40" t="s">
        <v>22115</v>
      </c>
      <c r="D4821" s="40" t="s">
        <v>22116</v>
      </c>
      <c r="E4821" s="41">
        <v>1.38</v>
      </c>
      <c r="F4821" s="40"/>
      <c r="G4821" s="41"/>
      <c r="H4821" s="40"/>
      <c r="I4821" s="41"/>
      <c r="J4821" s="41">
        <f t="shared" si="18"/>
        <v>1.38</v>
      </c>
      <c r="K4821" s="42" t="s">
        <v>5796</v>
      </c>
      <c r="L4821" s="39">
        <v>4819</v>
      </c>
    </row>
    <row r="4822" spans="1:12" ht="11.25" customHeight="1">
      <c r="A4822" s="39">
        <v>4820</v>
      </c>
      <c r="B4822" s="40" t="s">
        <v>22117</v>
      </c>
      <c r="C4822" s="40" t="s">
        <v>22118</v>
      </c>
      <c r="D4822" s="40" t="s">
        <v>22119</v>
      </c>
      <c r="E4822" s="41">
        <v>1.38</v>
      </c>
      <c r="F4822" s="40"/>
      <c r="G4822" s="41"/>
      <c r="H4822" s="40"/>
      <c r="I4822" s="41"/>
      <c r="J4822" s="41">
        <f t="shared" si="18"/>
        <v>1.38</v>
      </c>
      <c r="K4822" s="42" t="s">
        <v>5796</v>
      </c>
      <c r="L4822" s="39">
        <v>4820</v>
      </c>
    </row>
    <row r="4823" spans="1:12" ht="11.25" customHeight="1">
      <c r="A4823" s="39">
        <v>4821</v>
      </c>
      <c r="B4823" s="40" t="s">
        <v>9993</v>
      </c>
      <c r="C4823" s="40" t="s">
        <v>22120</v>
      </c>
      <c r="D4823" s="40" t="s">
        <v>22121</v>
      </c>
      <c r="E4823" s="41">
        <v>1.38</v>
      </c>
      <c r="F4823" s="40"/>
      <c r="G4823" s="41"/>
      <c r="H4823" s="40"/>
      <c r="I4823" s="41"/>
      <c r="J4823" s="41">
        <f t="shared" si="18"/>
        <v>1.38</v>
      </c>
      <c r="K4823" s="42" t="s">
        <v>5796</v>
      </c>
      <c r="L4823" s="39">
        <v>4821</v>
      </c>
    </row>
    <row r="4824" spans="1:12" ht="11.25" customHeight="1">
      <c r="A4824" s="39">
        <v>4822</v>
      </c>
      <c r="B4824" s="40" t="s">
        <v>22122</v>
      </c>
      <c r="C4824" s="40" t="s">
        <v>22123</v>
      </c>
      <c r="D4824" s="40" t="s">
        <v>22124</v>
      </c>
      <c r="E4824" s="41">
        <v>1.38</v>
      </c>
      <c r="F4824" s="40"/>
      <c r="G4824" s="41"/>
      <c r="H4824" s="40"/>
      <c r="I4824" s="41"/>
      <c r="J4824" s="41">
        <f t="shared" si="18"/>
        <v>1.38</v>
      </c>
      <c r="K4824" s="42" t="s">
        <v>5796</v>
      </c>
      <c r="L4824" s="39">
        <v>4822</v>
      </c>
    </row>
    <row r="4825" spans="1:12" ht="11.25" customHeight="1">
      <c r="A4825" s="39">
        <v>4823</v>
      </c>
      <c r="B4825" s="40" t="s">
        <v>22125</v>
      </c>
      <c r="C4825" s="40" t="s">
        <v>22126</v>
      </c>
      <c r="D4825" s="40" t="s">
        <v>22127</v>
      </c>
      <c r="E4825" s="41">
        <v>1.34</v>
      </c>
      <c r="F4825" s="40"/>
      <c r="G4825" s="41"/>
      <c r="H4825" s="40"/>
      <c r="I4825" s="41"/>
      <c r="J4825" s="41">
        <f t="shared" si="18"/>
        <v>1.34</v>
      </c>
      <c r="K4825" s="42" t="s">
        <v>5796</v>
      </c>
      <c r="L4825" s="39">
        <v>4823</v>
      </c>
    </row>
    <row r="4826" spans="1:12" ht="11.25" customHeight="1">
      <c r="A4826" s="39">
        <v>4824</v>
      </c>
      <c r="B4826" s="40" t="s">
        <v>22128</v>
      </c>
      <c r="C4826" s="40" t="s">
        <v>22129</v>
      </c>
      <c r="D4826" s="40" t="s">
        <v>22130</v>
      </c>
      <c r="E4826" s="41">
        <v>1.34</v>
      </c>
      <c r="F4826" s="40"/>
      <c r="G4826" s="41"/>
      <c r="H4826" s="40"/>
      <c r="I4826" s="41"/>
      <c r="J4826" s="41">
        <f t="shared" si="18"/>
        <v>1.34</v>
      </c>
      <c r="K4826" s="42" t="s">
        <v>5796</v>
      </c>
      <c r="L4826" s="39">
        <v>4824</v>
      </c>
    </row>
    <row r="4827" spans="1:12" ht="11.25" customHeight="1">
      <c r="A4827" s="39">
        <v>4825</v>
      </c>
      <c r="B4827" s="40" t="s">
        <v>22131</v>
      </c>
      <c r="C4827" s="40" t="s">
        <v>22132</v>
      </c>
      <c r="D4827" s="40" t="s">
        <v>22133</v>
      </c>
      <c r="E4827" s="41">
        <v>1.34</v>
      </c>
      <c r="F4827" s="40"/>
      <c r="G4827" s="41"/>
      <c r="H4827" s="40"/>
      <c r="I4827" s="41"/>
      <c r="J4827" s="41">
        <f t="shared" si="18"/>
        <v>1.34</v>
      </c>
      <c r="K4827" s="42" t="s">
        <v>5796</v>
      </c>
      <c r="L4827" s="39">
        <v>4825</v>
      </c>
    </row>
    <row r="4828" spans="1:12" ht="11.25" customHeight="1">
      <c r="A4828" s="39">
        <v>4826</v>
      </c>
      <c r="B4828" s="40" t="s">
        <v>22134</v>
      </c>
      <c r="C4828" s="40" t="s">
        <v>22135</v>
      </c>
      <c r="D4828" s="40" t="s">
        <v>22136</v>
      </c>
      <c r="E4828" s="41">
        <v>1.32</v>
      </c>
      <c r="F4828" s="40"/>
      <c r="G4828" s="41"/>
      <c r="H4828" s="40"/>
      <c r="I4828" s="41"/>
      <c r="J4828" s="41">
        <f t="shared" si="18"/>
        <v>1.32</v>
      </c>
      <c r="K4828" s="42" t="s">
        <v>5796</v>
      </c>
      <c r="L4828" s="39">
        <v>4826</v>
      </c>
    </row>
    <row r="4829" spans="1:12" ht="11.25" customHeight="1">
      <c r="A4829" s="39">
        <v>4827</v>
      </c>
      <c r="B4829" s="40" t="s">
        <v>22137</v>
      </c>
      <c r="C4829" s="40" t="s">
        <v>22138</v>
      </c>
      <c r="D4829" s="40" t="s">
        <v>22139</v>
      </c>
      <c r="E4829" s="41">
        <v>1.31</v>
      </c>
      <c r="F4829" s="40"/>
      <c r="G4829" s="41"/>
      <c r="H4829" s="40"/>
      <c r="I4829" s="41"/>
      <c r="J4829" s="41">
        <f t="shared" si="18"/>
        <v>1.31</v>
      </c>
      <c r="K4829" s="42" t="s">
        <v>5796</v>
      </c>
      <c r="L4829" s="39">
        <v>4827</v>
      </c>
    </row>
    <row r="4830" spans="1:12" ht="11.25" customHeight="1">
      <c r="A4830" s="39">
        <v>4828</v>
      </c>
      <c r="B4830" s="40" t="s">
        <v>22140</v>
      </c>
      <c r="C4830" s="40" t="s">
        <v>22141</v>
      </c>
      <c r="D4830" s="40" t="s">
        <v>22142</v>
      </c>
      <c r="E4830" s="41">
        <v>1.28</v>
      </c>
      <c r="F4830" s="40"/>
      <c r="G4830" s="41"/>
      <c r="H4830" s="40"/>
      <c r="I4830" s="41"/>
      <c r="J4830" s="41">
        <f t="shared" si="18"/>
        <v>1.28</v>
      </c>
      <c r="K4830" s="42" t="s">
        <v>5796</v>
      </c>
      <c r="L4830" s="39">
        <v>4828</v>
      </c>
    </row>
    <row r="4831" spans="1:12" ht="11.25" customHeight="1">
      <c r="A4831" s="39">
        <v>4829</v>
      </c>
      <c r="B4831" s="40" t="s">
        <v>10003</v>
      </c>
      <c r="C4831" s="40" t="s">
        <v>22143</v>
      </c>
      <c r="D4831" s="40" t="s">
        <v>22144</v>
      </c>
      <c r="E4831" s="41">
        <v>1.28</v>
      </c>
      <c r="F4831" s="40"/>
      <c r="G4831" s="41"/>
      <c r="H4831" s="40"/>
      <c r="I4831" s="41"/>
      <c r="J4831" s="41">
        <f t="shared" si="18"/>
        <v>1.28</v>
      </c>
      <c r="K4831" s="42" t="s">
        <v>5796</v>
      </c>
      <c r="L4831" s="39">
        <v>4829</v>
      </c>
    </row>
    <row r="4832" spans="1:12" ht="11.25" customHeight="1">
      <c r="A4832" s="39">
        <v>4830</v>
      </c>
      <c r="B4832" s="52" t="s">
        <v>10006</v>
      </c>
      <c r="C4832" s="52" t="s">
        <v>22145</v>
      </c>
      <c r="D4832" s="40"/>
      <c r="E4832" s="41"/>
      <c r="F4832" s="40"/>
      <c r="G4832" s="41"/>
      <c r="H4832" s="52" t="s">
        <v>15637</v>
      </c>
      <c r="I4832" s="53">
        <v>1.2704999999999986</v>
      </c>
      <c r="J4832" s="41">
        <f t="shared" si="18"/>
        <v>1.2704999999999986</v>
      </c>
      <c r="K4832" s="42" t="s">
        <v>5796</v>
      </c>
      <c r="L4832" s="39">
        <v>4830</v>
      </c>
    </row>
    <row r="4833" spans="1:12" ht="11.25" customHeight="1">
      <c r="A4833" s="39">
        <v>4831</v>
      </c>
      <c r="B4833" s="40" t="s">
        <v>22146</v>
      </c>
      <c r="C4833" s="40" t="s">
        <v>22147</v>
      </c>
      <c r="D4833" s="40" t="s">
        <v>22148</v>
      </c>
      <c r="E4833" s="41">
        <v>1.27</v>
      </c>
      <c r="F4833" s="40"/>
      <c r="G4833" s="41"/>
      <c r="H4833" s="40"/>
      <c r="I4833" s="41"/>
      <c r="J4833" s="41">
        <f t="shared" si="18"/>
        <v>1.27</v>
      </c>
      <c r="K4833" s="42" t="s">
        <v>5796</v>
      </c>
      <c r="L4833" s="39">
        <v>4831</v>
      </c>
    </row>
    <row r="4834" spans="1:12" ht="11.25" customHeight="1">
      <c r="A4834" s="39">
        <v>4832</v>
      </c>
      <c r="B4834" s="40" t="s">
        <v>10008</v>
      </c>
      <c r="C4834" s="40" t="s">
        <v>22149</v>
      </c>
      <c r="D4834" s="40" t="s">
        <v>22150</v>
      </c>
      <c r="E4834" s="41">
        <v>1.27</v>
      </c>
      <c r="F4834" s="40"/>
      <c r="G4834" s="41"/>
      <c r="H4834" s="40"/>
      <c r="I4834" s="41"/>
      <c r="J4834" s="41">
        <f t="shared" si="18"/>
        <v>1.27</v>
      </c>
      <c r="K4834" s="42" t="s">
        <v>5796</v>
      </c>
      <c r="L4834" s="39">
        <v>4832</v>
      </c>
    </row>
    <row r="4835" spans="1:12" ht="11.25" customHeight="1">
      <c r="A4835" s="39">
        <v>4833</v>
      </c>
      <c r="B4835" s="40" t="s">
        <v>22151</v>
      </c>
      <c r="C4835" s="40" t="s">
        <v>22152</v>
      </c>
      <c r="D4835" s="40" t="s">
        <v>22153</v>
      </c>
      <c r="E4835" s="41">
        <v>1.26</v>
      </c>
      <c r="F4835" s="40"/>
      <c r="G4835" s="41"/>
      <c r="H4835" s="40"/>
      <c r="I4835" s="41"/>
      <c r="J4835" s="41">
        <f t="shared" si="18"/>
        <v>1.26</v>
      </c>
      <c r="K4835" s="42" t="s">
        <v>5796</v>
      </c>
      <c r="L4835" s="39">
        <v>4833</v>
      </c>
    </row>
    <row r="4836" spans="1:12" ht="11.25" customHeight="1">
      <c r="A4836" s="39">
        <v>4834</v>
      </c>
      <c r="B4836" s="40" t="s">
        <v>22154</v>
      </c>
      <c r="C4836" s="40" t="s">
        <v>22155</v>
      </c>
      <c r="D4836" s="40" t="s">
        <v>22156</v>
      </c>
      <c r="E4836" s="41">
        <v>1.25</v>
      </c>
      <c r="F4836" s="40"/>
      <c r="G4836" s="41"/>
      <c r="H4836" s="40"/>
      <c r="I4836" s="41"/>
      <c r="J4836" s="41">
        <f t="shared" si="18"/>
        <v>1.25</v>
      </c>
      <c r="K4836" s="42" t="s">
        <v>5796</v>
      </c>
      <c r="L4836" s="39">
        <v>4834</v>
      </c>
    </row>
    <row r="4837" spans="1:12" ht="11.25" customHeight="1">
      <c r="A4837" s="39">
        <v>4835</v>
      </c>
      <c r="B4837" s="40" t="s">
        <v>22157</v>
      </c>
      <c r="C4837" s="40" t="s">
        <v>22158</v>
      </c>
      <c r="D4837" s="40" t="s">
        <v>22159</v>
      </c>
      <c r="E4837" s="41">
        <v>1.25</v>
      </c>
      <c r="F4837" s="40"/>
      <c r="G4837" s="41"/>
      <c r="H4837" s="40"/>
      <c r="I4837" s="41"/>
      <c r="J4837" s="41">
        <f t="shared" si="18"/>
        <v>1.25</v>
      </c>
      <c r="K4837" s="42" t="s">
        <v>5796</v>
      </c>
      <c r="L4837" s="39">
        <v>4835</v>
      </c>
    </row>
    <row r="4838" spans="1:12" ht="11.25" customHeight="1">
      <c r="A4838" s="39">
        <v>4836</v>
      </c>
      <c r="B4838" s="40" t="s">
        <v>22160</v>
      </c>
      <c r="C4838" s="40" t="s">
        <v>22161</v>
      </c>
      <c r="D4838" s="40" t="s">
        <v>22162</v>
      </c>
      <c r="E4838" s="41">
        <v>1.24</v>
      </c>
      <c r="F4838" s="40"/>
      <c r="G4838" s="41"/>
      <c r="H4838" s="40"/>
      <c r="I4838" s="41"/>
      <c r="J4838" s="41">
        <f t="shared" si="18"/>
        <v>1.24</v>
      </c>
      <c r="K4838" s="42" t="s">
        <v>5796</v>
      </c>
      <c r="L4838" s="39">
        <v>4836</v>
      </c>
    </row>
    <row r="4839" spans="1:12" ht="11.25" customHeight="1">
      <c r="A4839" s="39">
        <v>4837</v>
      </c>
      <c r="B4839" s="52" t="s">
        <v>10017</v>
      </c>
      <c r="C4839" s="52" t="s">
        <v>22163</v>
      </c>
      <c r="D4839" s="40"/>
      <c r="E4839" s="41"/>
      <c r="F4839" s="40"/>
      <c r="G4839" s="41"/>
      <c r="H4839" s="52" t="s">
        <v>22164</v>
      </c>
      <c r="I4839" s="53">
        <v>1.2372500000000002</v>
      </c>
      <c r="J4839" s="41">
        <f t="shared" si="18"/>
        <v>1.2372500000000002</v>
      </c>
      <c r="K4839" s="42" t="s">
        <v>5796</v>
      </c>
      <c r="L4839" s="39">
        <v>4837</v>
      </c>
    </row>
    <row r="4840" spans="1:12" ht="11.25" customHeight="1">
      <c r="A4840" s="39">
        <v>4838</v>
      </c>
      <c r="B4840" s="40" t="s">
        <v>22165</v>
      </c>
      <c r="C4840" s="40" t="s">
        <v>22166</v>
      </c>
      <c r="D4840" s="40" t="s">
        <v>22167</v>
      </c>
      <c r="E4840" s="41">
        <v>1.23</v>
      </c>
      <c r="F4840" s="40"/>
      <c r="G4840" s="41"/>
      <c r="H4840" s="40"/>
      <c r="I4840" s="41"/>
      <c r="J4840" s="41">
        <f t="shared" si="18"/>
        <v>1.23</v>
      </c>
      <c r="K4840" s="42" t="s">
        <v>5796</v>
      </c>
      <c r="L4840" s="39">
        <v>4838</v>
      </c>
    </row>
    <row r="4841" spans="1:12" ht="11.25" customHeight="1">
      <c r="A4841" s="39">
        <v>4839</v>
      </c>
      <c r="B4841" s="40" t="s">
        <v>22168</v>
      </c>
      <c r="C4841" s="40" t="s">
        <v>22169</v>
      </c>
      <c r="D4841" s="40" t="s">
        <v>22170</v>
      </c>
      <c r="E4841" s="41">
        <v>1.21</v>
      </c>
      <c r="F4841" s="40"/>
      <c r="G4841" s="41"/>
      <c r="H4841" s="40"/>
      <c r="I4841" s="41"/>
      <c r="J4841" s="41">
        <f t="shared" si="18"/>
        <v>1.21</v>
      </c>
      <c r="K4841" s="42" t="s">
        <v>5796</v>
      </c>
      <c r="L4841" s="39">
        <v>4839</v>
      </c>
    </row>
    <row r="4842" spans="1:12" ht="11.25" customHeight="1">
      <c r="A4842" s="39">
        <v>4840</v>
      </c>
      <c r="B4842" s="40" t="s">
        <v>22171</v>
      </c>
      <c r="C4842" s="40" t="s">
        <v>22172</v>
      </c>
      <c r="D4842" s="40" t="s">
        <v>22173</v>
      </c>
      <c r="E4842" s="41">
        <v>1.2</v>
      </c>
      <c r="F4842" s="40"/>
      <c r="G4842" s="41"/>
      <c r="H4842" s="40"/>
      <c r="I4842" s="41"/>
      <c r="J4842" s="41">
        <f t="shared" si="18"/>
        <v>1.2</v>
      </c>
      <c r="K4842" s="42" t="s">
        <v>5796</v>
      </c>
      <c r="L4842" s="39">
        <v>4840</v>
      </c>
    </row>
    <row r="4843" spans="1:12" ht="11.25" customHeight="1">
      <c r="A4843" s="39">
        <v>4841</v>
      </c>
      <c r="B4843" s="40" t="s">
        <v>22174</v>
      </c>
      <c r="C4843" s="40" t="s">
        <v>22175</v>
      </c>
      <c r="D4843" s="40" t="s">
        <v>22176</v>
      </c>
      <c r="E4843" s="41">
        <v>1.2</v>
      </c>
      <c r="F4843" s="40"/>
      <c r="G4843" s="41"/>
      <c r="H4843" s="40"/>
      <c r="I4843" s="41"/>
      <c r="J4843" s="41">
        <f t="shared" si="18"/>
        <v>1.2</v>
      </c>
      <c r="K4843" s="42" t="s">
        <v>5796</v>
      </c>
      <c r="L4843" s="39">
        <v>4841</v>
      </c>
    </row>
    <row r="4844" spans="1:12" ht="11.25" customHeight="1">
      <c r="A4844" s="39">
        <v>4842</v>
      </c>
      <c r="B4844" s="40" t="s">
        <v>22177</v>
      </c>
      <c r="C4844" s="40" t="s">
        <v>22178</v>
      </c>
      <c r="D4844" s="40" t="s">
        <v>22179</v>
      </c>
      <c r="E4844" s="41">
        <v>1.19</v>
      </c>
      <c r="F4844" s="40"/>
      <c r="G4844" s="41"/>
      <c r="H4844" s="40"/>
      <c r="I4844" s="41"/>
      <c r="J4844" s="41">
        <f t="shared" si="18"/>
        <v>1.19</v>
      </c>
      <c r="K4844" s="42" t="s">
        <v>5796</v>
      </c>
      <c r="L4844" s="39">
        <v>4842</v>
      </c>
    </row>
    <row r="4845" spans="1:12" ht="11.25" customHeight="1">
      <c r="A4845" s="39">
        <v>4843</v>
      </c>
      <c r="B4845" s="40" t="s">
        <v>22180</v>
      </c>
      <c r="C4845" s="40" t="s">
        <v>22181</v>
      </c>
      <c r="D4845" s="40" t="s">
        <v>22182</v>
      </c>
      <c r="E4845" s="41">
        <v>1.19</v>
      </c>
      <c r="F4845" s="40"/>
      <c r="G4845" s="41"/>
      <c r="H4845" s="40"/>
      <c r="I4845" s="41"/>
      <c r="J4845" s="41">
        <f t="shared" si="18"/>
        <v>1.19</v>
      </c>
      <c r="K4845" s="42" t="s">
        <v>5796</v>
      </c>
      <c r="L4845" s="39">
        <v>4843</v>
      </c>
    </row>
    <row r="4846" spans="1:12" ht="11.25" customHeight="1">
      <c r="A4846" s="39">
        <v>4844</v>
      </c>
      <c r="B4846" s="40" t="s">
        <v>22183</v>
      </c>
      <c r="C4846" s="40" t="s">
        <v>22184</v>
      </c>
      <c r="D4846" s="40" t="s">
        <v>22185</v>
      </c>
      <c r="E4846" s="41">
        <v>1.18</v>
      </c>
      <c r="F4846" s="40"/>
      <c r="G4846" s="41"/>
      <c r="H4846" s="40"/>
      <c r="I4846" s="41"/>
      <c r="J4846" s="41">
        <f t="shared" si="18"/>
        <v>1.18</v>
      </c>
      <c r="K4846" s="42" t="s">
        <v>5796</v>
      </c>
      <c r="L4846" s="39">
        <v>4844</v>
      </c>
    </row>
    <row r="4847" spans="1:12" ht="11.25" customHeight="1">
      <c r="A4847" s="39">
        <v>4845</v>
      </c>
      <c r="B4847" s="52" t="s">
        <v>10030</v>
      </c>
      <c r="C4847" s="52" t="s">
        <v>22186</v>
      </c>
      <c r="D4847" s="40"/>
      <c r="E4847" s="41"/>
      <c r="F4847" s="40"/>
      <c r="G4847" s="41"/>
      <c r="H4847" s="52" t="s">
        <v>22187</v>
      </c>
      <c r="I4847" s="53">
        <v>1.167557160000001</v>
      </c>
      <c r="J4847" s="41">
        <f t="shared" si="18"/>
        <v>1.167557160000001</v>
      </c>
      <c r="K4847" s="42" t="s">
        <v>5796</v>
      </c>
      <c r="L4847" s="39">
        <v>4845</v>
      </c>
    </row>
    <row r="4848" spans="1:12" ht="11.25" customHeight="1">
      <c r="A4848" s="39">
        <v>4846</v>
      </c>
      <c r="B4848" s="40" t="s">
        <v>22188</v>
      </c>
      <c r="C4848" s="40" t="s">
        <v>22189</v>
      </c>
      <c r="D4848" s="40" t="s">
        <v>22190</v>
      </c>
      <c r="E4848" s="41">
        <v>1.1499999999999999</v>
      </c>
      <c r="F4848" s="40"/>
      <c r="G4848" s="41"/>
      <c r="H4848" s="40"/>
      <c r="I4848" s="41"/>
      <c r="J4848" s="41">
        <f t="shared" ref="J4848:J5014" si="19">AVERAGE(E4848,G4848,I4848)</f>
        <v>1.1499999999999999</v>
      </c>
      <c r="K4848" s="42" t="s">
        <v>5796</v>
      </c>
      <c r="L4848" s="39">
        <v>4846</v>
      </c>
    </row>
    <row r="4849" spans="1:12" ht="11.25" customHeight="1">
      <c r="A4849" s="39">
        <v>4847</v>
      </c>
      <c r="B4849" s="40" t="s">
        <v>10032</v>
      </c>
      <c r="C4849" s="40" t="s">
        <v>22191</v>
      </c>
      <c r="D4849" s="40" t="s">
        <v>22192</v>
      </c>
      <c r="E4849" s="41">
        <v>1.1399999999999999</v>
      </c>
      <c r="F4849" s="40"/>
      <c r="G4849" s="41"/>
      <c r="H4849" s="40"/>
      <c r="I4849" s="41"/>
      <c r="J4849" s="41">
        <f t="shared" si="19"/>
        <v>1.1399999999999999</v>
      </c>
      <c r="K4849" s="42" t="s">
        <v>5796</v>
      </c>
      <c r="L4849" s="39">
        <v>4847</v>
      </c>
    </row>
    <row r="4850" spans="1:12" ht="11.25" customHeight="1">
      <c r="A4850" s="39">
        <v>4848</v>
      </c>
      <c r="B4850" s="40" t="s">
        <v>22193</v>
      </c>
      <c r="C4850" s="40" t="s">
        <v>22194</v>
      </c>
      <c r="D4850" s="40" t="s">
        <v>22195</v>
      </c>
      <c r="E4850" s="41">
        <v>1.1299999999999999</v>
      </c>
      <c r="F4850" s="40"/>
      <c r="G4850" s="41"/>
      <c r="H4850" s="40"/>
      <c r="I4850" s="41"/>
      <c r="J4850" s="41">
        <f t="shared" si="19"/>
        <v>1.1299999999999999</v>
      </c>
      <c r="K4850" s="42" t="s">
        <v>5796</v>
      </c>
      <c r="L4850" s="39">
        <v>4848</v>
      </c>
    </row>
    <row r="4851" spans="1:12" ht="11.25" customHeight="1">
      <c r="A4851" s="39">
        <v>4849</v>
      </c>
      <c r="B4851" s="40" t="s">
        <v>22196</v>
      </c>
      <c r="C4851" s="40" t="s">
        <v>22197</v>
      </c>
      <c r="D4851" s="40" t="s">
        <v>22198</v>
      </c>
      <c r="E4851" s="41">
        <v>1.1299999999999999</v>
      </c>
      <c r="F4851" s="40"/>
      <c r="G4851" s="41"/>
      <c r="H4851" s="40"/>
      <c r="I4851" s="41"/>
      <c r="J4851" s="41">
        <f t="shared" si="19"/>
        <v>1.1299999999999999</v>
      </c>
      <c r="K4851" s="42" t="s">
        <v>5796</v>
      </c>
      <c r="L4851" s="39">
        <v>4849</v>
      </c>
    </row>
    <row r="4852" spans="1:12" ht="11.25" customHeight="1">
      <c r="A4852" s="39">
        <v>4850</v>
      </c>
      <c r="B4852" s="40" t="s">
        <v>22199</v>
      </c>
      <c r="C4852" s="40" t="s">
        <v>22200</v>
      </c>
      <c r="D4852" s="40" t="s">
        <v>22201</v>
      </c>
      <c r="E4852" s="41">
        <v>1.1200000000000001</v>
      </c>
      <c r="F4852" s="40"/>
      <c r="G4852" s="41"/>
      <c r="H4852" s="40"/>
      <c r="I4852" s="41"/>
      <c r="J4852" s="41">
        <f t="shared" si="19"/>
        <v>1.1200000000000001</v>
      </c>
      <c r="K4852" s="42" t="s">
        <v>5796</v>
      </c>
      <c r="L4852" s="39">
        <v>4850</v>
      </c>
    </row>
    <row r="4853" spans="1:12" ht="11.25" customHeight="1">
      <c r="A4853" s="39">
        <v>4851</v>
      </c>
      <c r="B4853" s="40" t="s">
        <v>22202</v>
      </c>
      <c r="C4853" s="40" t="s">
        <v>22203</v>
      </c>
      <c r="D4853" s="40" t="s">
        <v>22204</v>
      </c>
      <c r="E4853" s="41">
        <v>1.1000000000000001</v>
      </c>
      <c r="F4853" s="40"/>
      <c r="G4853" s="41"/>
      <c r="H4853" s="40"/>
      <c r="I4853" s="41"/>
      <c r="J4853" s="41">
        <f t="shared" si="19"/>
        <v>1.1000000000000001</v>
      </c>
      <c r="K4853" s="42" t="s">
        <v>5796</v>
      </c>
      <c r="L4853" s="39">
        <v>4851</v>
      </c>
    </row>
    <row r="4854" spans="1:12" ht="11.25" customHeight="1">
      <c r="A4854" s="39">
        <v>4852</v>
      </c>
      <c r="B4854" s="52" t="s">
        <v>10040</v>
      </c>
      <c r="C4854" s="52" t="s">
        <v>22205</v>
      </c>
      <c r="D4854" s="40"/>
      <c r="E4854" s="41"/>
      <c r="F4854" s="40"/>
      <c r="G4854" s="41"/>
      <c r="H4854" s="52" t="s">
        <v>22206</v>
      </c>
      <c r="I4854" s="53">
        <v>1.0999999999999974</v>
      </c>
      <c r="J4854" s="41">
        <f t="shared" si="19"/>
        <v>1.0999999999999974</v>
      </c>
      <c r="K4854" s="42" t="s">
        <v>5796</v>
      </c>
      <c r="L4854" s="39">
        <v>4852</v>
      </c>
    </row>
    <row r="4855" spans="1:12" ht="11.25" customHeight="1">
      <c r="A4855" s="39">
        <v>4853</v>
      </c>
      <c r="B4855" s="40" t="s">
        <v>22207</v>
      </c>
      <c r="C4855" s="40" t="s">
        <v>22208</v>
      </c>
      <c r="D4855" s="40" t="s">
        <v>22209</v>
      </c>
      <c r="E4855" s="41">
        <v>1.0900000000000001</v>
      </c>
      <c r="F4855" s="40"/>
      <c r="G4855" s="41"/>
      <c r="H4855" s="40"/>
      <c r="I4855" s="41"/>
      <c r="J4855" s="41">
        <f t="shared" si="19"/>
        <v>1.0900000000000001</v>
      </c>
      <c r="K4855" s="42" t="s">
        <v>5796</v>
      </c>
      <c r="L4855" s="39">
        <v>4853</v>
      </c>
    </row>
    <row r="4856" spans="1:12" ht="11.25" customHeight="1">
      <c r="A4856" s="39">
        <v>4854</v>
      </c>
      <c r="B4856" s="40" t="s">
        <v>22210</v>
      </c>
      <c r="C4856" s="40" t="s">
        <v>22211</v>
      </c>
      <c r="D4856" s="40" t="s">
        <v>22212</v>
      </c>
      <c r="E4856" s="41">
        <v>1.08</v>
      </c>
      <c r="F4856" s="40"/>
      <c r="G4856" s="41"/>
      <c r="H4856" s="40"/>
      <c r="I4856" s="41"/>
      <c r="J4856" s="41">
        <f t="shared" si="19"/>
        <v>1.08</v>
      </c>
      <c r="K4856" s="42" t="s">
        <v>5796</v>
      </c>
      <c r="L4856" s="39">
        <v>4854</v>
      </c>
    </row>
    <row r="4857" spans="1:12" ht="11.25" customHeight="1">
      <c r="A4857" s="39">
        <v>4855</v>
      </c>
      <c r="B4857" s="40" t="s">
        <v>22213</v>
      </c>
      <c r="C4857" s="40" t="s">
        <v>22214</v>
      </c>
      <c r="D4857" s="40" t="s">
        <v>22215</v>
      </c>
      <c r="E4857" s="41">
        <v>1.08</v>
      </c>
      <c r="F4857" s="40"/>
      <c r="G4857" s="41"/>
      <c r="H4857" s="40"/>
      <c r="I4857" s="41"/>
      <c r="J4857" s="41">
        <f t="shared" si="19"/>
        <v>1.08</v>
      </c>
      <c r="K4857" s="42" t="s">
        <v>5796</v>
      </c>
      <c r="L4857" s="39">
        <v>4855</v>
      </c>
    </row>
    <row r="4858" spans="1:12" ht="11.25" customHeight="1">
      <c r="A4858" s="39">
        <v>4856</v>
      </c>
      <c r="B4858" s="52" t="s">
        <v>10045</v>
      </c>
      <c r="C4858" s="52" t="s">
        <v>22216</v>
      </c>
      <c r="D4858" s="40"/>
      <c r="E4858" s="41"/>
      <c r="F4858" s="40"/>
      <c r="G4858" s="41"/>
      <c r="H4858" s="52" t="s">
        <v>22217</v>
      </c>
      <c r="I4858" s="53">
        <v>1.0759999999999967</v>
      </c>
      <c r="J4858" s="41">
        <f t="shared" si="19"/>
        <v>1.0759999999999967</v>
      </c>
      <c r="K4858" s="42" t="s">
        <v>5796</v>
      </c>
      <c r="L4858" s="39">
        <v>4856</v>
      </c>
    </row>
    <row r="4859" spans="1:12" ht="11.25" customHeight="1">
      <c r="A4859" s="39">
        <v>4857</v>
      </c>
      <c r="B4859" s="40" t="s">
        <v>22218</v>
      </c>
      <c r="C4859" s="40" t="s">
        <v>22219</v>
      </c>
      <c r="D4859" s="40" t="s">
        <v>22220</v>
      </c>
      <c r="E4859" s="41">
        <v>1.07</v>
      </c>
      <c r="F4859" s="40"/>
      <c r="G4859" s="41"/>
      <c r="H4859" s="40"/>
      <c r="I4859" s="41"/>
      <c r="J4859" s="41">
        <f t="shared" si="19"/>
        <v>1.07</v>
      </c>
      <c r="K4859" s="42" t="s">
        <v>5796</v>
      </c>
      <c r="L4859" s="39">
        <v>4857</v>
      </c>
    </row>
    <row r="4860" spans="1:12" ht="11.25" customHeight="1">
      <c r="A4860" s="39">
        <v>4858</v>
      </c>
      <c r="B4860" s="40" t="s">
        <v>22221</v>
      </c>
      <c r="C4860" s="40" t="s">
        <v>22222</v>
      </c>
      <c r="D4860" s="40" t="s">
        <v>22223</v>
      </c>
      <c r="E4860" s="41">
        <v>1.06</v>
      </c>
      <c r="F4860" s="40"/>
      <c r="G4860" s="41"/>
      <c r="H4860" s="40"/>
      <c r="I4860" s="41"/>
      <c r="J4860" s="41">
        <f t="shared" si="19"/>
        <v>1.06</v>
      </c>
      <c r="K4860" s="42" t="s">
        <v>5796</v>
      </c>
      <c r="L4860" s="39">
        <v>4858</v>
      </c>
    </row>
    <row r="4861" spans="1:12" ht="11.25" customHeight="1">
      <c r="A4861" s="39">
        <v>4859</v>
      </c>
      <c r="B4861" s="40" t="s">
        <v>22224</v>
      </c>
      <c r="C4861" s="40" t="s">
        <v>22225</v>
      </c>
      <c r="D4861" s="40" t="s">
        <v>22226</v>
      </c>
      <c r="E4861" s="41">
        <v>1.01</v>
      </c>
      <c r="F4861" s="40"/>
      <c r="G4861" s="41"/>
      <c r="H4861" s="40"/>
      <c r="I4861" s="41"/>
      <c r="J4861" s="41">
        <f t="shared" si="19"/>
        <v>1.01</v>
      </c>
      <c r="K4861" s="42" t="s">
        <v>5796</v>
      </c>
      <c r="L4861" s="39">
        <v>4859</v>
      </c>
    </row>
    <row r="4862" spans="1:12" ht="11.25" customHeight="1">
      <c r="A4862" s="39">
        <v>4860</v>
      </c>
      <c r="B4862" s="40" t="s">
        <v>22227</v>
      </c>
      <c r="C4862" s="40" t="s">
        <v>22228</v>
      </c>
      <c r="D4862" s="40" t="s">
        <v>22229</v>
      </c>
      <c r="E4862" s="41">
        <v>1.01</v>
      </c>
      <c r="F4862" s="40"/>
      <c r="G4862" s="41"/>
      <c r="H4862" s="40"/>
      <c r="I4862" s="41"/>
      <c r="J4862" s="41">
        <f t="shared" si="19"/>
        <v>1.01</v>
      </c>
      <c r="K4862" s="42" t="s">
        <v>5796</v>
      </c>
      <c r="L4862" s="39">
        <v>4860</v>
      </c>
    </row>
    <row r="4863" spans="1:12" ht="11.25" customHeight="1">
      <c r="A4863" s="39">
        <v>4861</v>
      </c>
      <c r="B4863" s="40" t="s">
        <v>22230</v>
      </c>
      <c r="C4863" s="40" t="s">
        <v>22231</v>
      </c>
      <c r="D4863" s="40" t="s">
        <v>22232</v>
      </c>
      <c r="E4863" s="41">
        <v>1</v>
      </c>
      <c r="F4863" s="40"/>
      <c r="G4863" s="41"/>
      <c r="H4863" s="40"/>
      <c r="I4863" s="41"/>
      <c r="J4863" s="41">
        <f t="shared" si="19"/>
        <v>1</v>
      </c>
      <c r="K4863" s="42" t="s">
        <v>5796</v>
      </c>
      <c r="L4863" s="39">
        <v>4861</v>
      </c>
    </row>
    <row r="4864" spans="1:12" ht="11.25" customHeight="1">
      <c r="A4864" s="39">
        <v>4862</v>
      </c>
      <c r="B4864" s="40" t="s">
        <v>22233</v>
      </c>
      <c r="C4864" s="40" t="s">
        <v>22234</v>
      </c>
      <c r="D4864" s="40" t="s">
        <v>22235</v>
      </c>
      <c r="E4864" s="41">
        <v>1</v>
      </c>
      <c r="F4864" s="40"/>
      <c r="G4864" s="41"/>
      <c r="H4864" s="40"/>
      <c r="I4864" s="41"/>
      <c r="J4864" s="41">
        <f t="shared" si="19"/>
        <v>1</v>
      </c>
      <c r="K4864" s="42" t="s">
        <v>5796</v>
      </c>
      <c r="L4864" s="39">
        <v>4862</v>
      </c>
    </row>
    <row r="4865" spans="1:12" ht="11.25" customHeight="1">
      <c r="A4865" s="39">
        <v>4863</v>
      </c>
      <c r="B4865" s="52" t="s">
        <v>10051</v>
      </c>
      <c r="C4865" s="52" t="s">
        <v>22236</v>
      </c>
      <c r="D4865" s="40"/>
      <c r="E4865" s="41"/>
      <c r="F4865" s="40"/>
      <c r="G4865" s="41"/>
      <c r="H4865" s="52" t="s">
        <v>22237</v>
      </c>
      <c r="I4865" s="53">
        <v>1</v>
      </c>
      <c r="J4865" s="41">
        <f t="shared" si="19"/>
        <v>1</v>
      </c>
      <c r="K4865" s="42" t="s">
        <v>5796</v>
      </c>
      <c r="L4865" s="39">
        <v>4863</v>
      </c>
    </row>
    <row r="4866" spans="1:12" ht="11.25" customHeight="1">
      <c r="A4866" s="39">
        <v>4864</v>
      </c>
      <c r="B4866" s="52" t="s">
        <v>10052</v>
      </c>
      <c r="C4866" s="52" t="s">
        <v>22238</v>
      </c>
      <c r="D4866" s="40"/>
      <c r="E4866" s="41"/>
      <c r="F4866" s="40"/>
      <c r="G4866" s="41"/>
      <c r="H4866" s="52" t="s">
        <v>22239</v>
      </c>
      <c r="I4866" s="53">
        <v>1</v>
      </c>
      <c r="J4866" s="41">
        <f t="shared" si="19"/>
        <v>1</v>
      </c>
      <c r="K4866" s="42" t="s">
        <v>5796</v>
      </c>
      <c r="L4866" s="39">
        <v>4864</v>
      </c>
    </row>
    <row r="4867" spans="1:12" ht="11.25" customHeight="1">
      <c r="A4867" s="39">
        <v>4865</v>
      </c>
      <c r="B4867" s="52" t="s">
        <v>10053</v>
      </c>
      <c r="C4867" s="52" t="s">
        <v>22240</v>
      </c>
      <c r="D4867" s="40"/>
      <c r="E4867" s="41"/>
      <c r="F4867" s="40"/>
      <c r="G4867" s="41"/>
      <c r="H4867" s="52" t="s">
        <v>22241</v>
      </c>
      <c r="I4867" s="53">
        <v>1</v>
      </c>
      <c r="J4867" s="41">
        <f t="shared" si="19"/>
        <v>1</v>
      </c>
      <c r="K4867" s="42" t="s">
        <v>5796</v>
      </c>
      <c r="L4867" s="39">
        <v>4865</v>
      </c>
    </row>
    <row r="4868" spans="1:12" ht="11.25" customHeight="1">
      <c r="A4868" s="39">
        <v>4866</v>
      </c>
      <c r="B4868" s="52" t="s">
        <v>10054</v>
      </c>
      <c r="C4868" s="52" t="s">
        <v>22242</v>
      </c>
      <c r="D4868" s="40"/>
      <c r="E4868" s="41"/>
      <c r="F4868" s="40"/>
      <c r="G4868" s="41"/>
      <c r="H4868" s="52" t="s">
        <v>22243</v>
      </c>
      <c r="I4868" s="53">
        <v>1</v>
      </c>
      <c r="J4868" s="41">
        <f t="shared" si="19"/>
        <v>1</v>
      </c>
      <c r="K4868" s="42" t="s">
        <v>5796</v>
      </c>
      <c r="L4868" s="39">
        <v>4866</v>
      </c>
    </row>
    <row r="4869" spans="1:12" ht="11.25" customHeight="1">
      <c r="A4869" s="39">
        <v>4867</v>
      </c>
      <c r="B4869" s="52" t="s">
        <v>10055</v>
      </c>
      <c r="C4869" s="52" t="s">
        <v>22244</v>
      </c>
      <c r="D4869" s="40"/>
      <c r="E4869" s="41"/>
      <c r="F4869" s="40"/>
      <c r="G4869" s="41"/>
      <c r="H4869" s="52" t="s">
        <v>15025</v>
      </c>
      <c r="I4869" s="53">
        <v>0.99800000000000166</v>
      </c>
      <c r="J4869" s="41">
        <f t="shared" si="19"/>
        <v>0.99800000000000166</v>
      </c>
      <c r="K4869" s="42" t="s">
        <v>5796</v>
      </c>
      <c r="L4869" s="39">
        <v>4867</v>
      </c>
    </row>
    <row r="4870" spans="1:12" ht="11.25" customHeight="1">
      <c r="A4870" s="39">
        <v>4868</v>
      </c>
      <c r="B4870" s="52" t="s">
        <v>10056</v>
      </c>
      <c r="C4870" s="52" t="s">
        <v>22245</v>
      </c>
      <c r="D4870" s="40"/>
      <c r="E4870" s="41"/>
      <c r="F4870" s="40"/>
      <c r="G4870" s="41"/>
      <c r="H4870" s="52" t="s">
        <v>22246</v>
      </c>
      <c r="I4870" s="53">
        <v>0.99599999999999811</v>
      </c>
      <c r="J4870" s="41">
        <f t="shared" si="19"/>
        <v>0.99599999999999811</v>
      </c>
      <c r="K4870" s="42" t="s">
        <v>5796</v>
      </c>
      <c r="L4870" s="39">
        <v>4868</v>
      </c>
    </row>
    <row r="4871" spans="1:12" ht="11.25" customHeight="1">
      <c r="A4871" s="39">
        <v>4869</v>
      </c>
      <c r="B4871" s="52" t="s">
        <v>10057</v>
      </c>
      <c r="C4871" s="52" t="s">
        <v>22247</v>
      </c>
      <c r="D4871" s="40"/>
      <c r="E4871" s="41"/>
      <c r="F4871" s="40"/>
      <c r="G4871" s="41"/>
      <c r="H4871" s="52" t="s">
        <v>22248</v>
      </c>
      <c r="I4871" s="53">
        <v>0.99599999999999811</v>
      </c>
      <c r="J4871" s="41">
        <f t="shared" si="19"/>
        <v>0.99599999999999811</v>
      </c>
      <c r="K4871" s="42" t="s">
        <v>5796</v>
      </c>
      <c r="L4871" s="39">
        <v>4869</v>
      </c>
    </row>
    <row r="4872" spans="1:12" ht="11.25" customHeight="1">
      <c r="A4872" s="39">
        <v>4870</v>
      </c>
      <c r="B4872" s="40" t="s">
        <v>22249</v>
      </c>
      <c r="C4872" s="40" t="s">
        <v>22250</v>
      </c>
      <c r="D4872" s="40" t="s">
        <v>22251</v>
      </c>
      <c r="E4872" s="41">
        <v>0.99</v>
      </c>
      <c r="F4872" s="40"/>
      <c r="G4872" s="41"/>
      <c r="H4872" s="40"/>
      <c r="I4872" s="41"/>
      <c r="J4872" s="41">
        <f t="shared" si="19"/>
        <v>0.99</v>
      </c>
      <c r="K4872" s="42" t="s">
        <v>5796</v>
      </c>
      <c r="L4872" s="39">
        <v>4870</v>
      </c>
    </row>
    <row r="4873" spans="1:12" ht="11.25" customHeight="1">
      <c r="A4873" s="39">
        <v>4871</v>
      </c>
      <c r="B4873" s="40" t="s">
        <v>22252</v>
      </c>
      <c r="C4873" s="40" t="s">
        <v>22253</v>
      </c>
      <c r="D4873" s="40" t="s">
        <v>22254</v>
      </c>
      <c r="E4873" s="41">
        <v>0.99</v>
      </c>
      <c r="F4873" s="40"/>
      <c r="G4873" s="41"/>
      <c r="H4873" s="40"/>
      <c r="I4873" s="41"/>
      <c r="J4873" s="41">
        <f t="shared" si="19"/>
        <v>0.99</v>
      </c>
      <c r="K4873" s="42" t="s">
        <v>5796</v>
      </c>
      <c r="L4873" s="39">
        <v>4871</v>
      </c>
    </row>
    <row r="4874" spans="1:12" ht="11.25" customHeight="1">
      <c r="A4874" s="39">
        <v>4872</v>
      </c>
      <c r="B4874" s="40" t="s">
        <v>22255</v>
      </c>
      <c r="C4874" s="40" t="s">
        <v>22256</v>
      </c>
      <c r="D4874" s="40" t="s">
        <v>22257</v>
      </c>
      <c r="E4874" s="41">
        <v>0.99</v>
      </c>
      <c r="F4874" s="40"/>
      <c r="G4874" s="41"/>
      <c r="H4874" s="40"/>
      <c r="I4874" s="41"/>
      <c r="J4874" s="41">
        <f t="shared" si="19"/>
        <v>0.99</v>
      </c>
      <c r="K4874" s="42" t="s">
        <v>5796</v>
      </c>
      <c r="L4874" s="39">
        <v>4872</v>
      </c>
    </row>
    <row r="4875" spans="1:12" ht="11.25" customHeight="1">
      <c r="A4875" s="39">
        <v>4873</v>
      </c>
      <c r="B4875" s="40" t="s">
        <v>22258</v>
      </c>
      <c r="C4875" s="40" t="s">
        <v>22259</v>
      </c>
      <c r="D4875" s="40" t="s">
        <v>22260</v>
      </c>
      <c r="E4875" s="41">
        <v>0.98</v>
      </c>
      <c r="F4875" s="40"/>
      <c r="G4875" s="41"/>
      <c r="H4875" s="40"/>
      <c r="I4875" s="41"/>
      <c r="J4875" s="41">
        <f t="shared" si="19"/>
        <v>0.98</v>
      </c>
      <c r="K4875" s="42" t="s">
        <v>5796</v>
      </c>
      <c r="L4875" s="39">
        <v>4873</v>
      </c>
    </row>
    <row r="4876" spans="1:12" ht="11.25" customHeight="1">
      <c r="A4876" s="39">
        <v>4874</v>
      </c>
      <c r="B4876" s="52" t="s">
        <v>10061</v>
      </c>
      <c r="C4876" s="52" t="s">
        <v>22261</v>
      </c>
      <c r="D4876" s="40"/>
      <c r="E4876" s="41"/>
      <c r="F4876" s="40"/>
      <c r="G4876" s="41"/>
      <c r="H4876" s="52" t="s">
        <v>22262</v>
      </c>
      <c r="I4876" s="53">
        <v>0.97669999999999746</v>
      </c>
      <c r="J4876" s="41">
        <f t="shared" si="19"/>
        <v>0.97669999999999746</v>
      </c>
      <c r="K4876" s="42" t="s">
        <v>5796</v>
      </c>
      <c r="L4876" s="39">
        <v>4874</v>
      </c>
    </row>
    <row r="4877" spans="1:12" ht="11.25" customHeight="1">
      <c r="A4877" s="39">
        <v>4875</v>
      </c>
      <c r="B4877" s="40" t="s">
        <v>10092</v>
      </c>
      <c r="C4877" s="40" t="s">
        <v>22263</v>
      </c>
      <c r="D4877" s="40" t="s">
        <v>22264</v>
      </c>
      <c r="E4877" s="41">
        <v>0.97</v>
      </c>
      <c r="F4877" s="40"/>
      <c r="G4877" s="41"/>
      <c r="H4877" s="40"/>
      <c r="I4877" s="41"/>
      <c r="J4877" s="41">
        <f t="shared" si="19"/>
        <v>0.97</v>
      </c>
      <c r="K4877" s="42" t="s">
        <v>5796</v>
      </c>
      <c r="L4877" s="39">
        <v>4875</v>
      </c>
    </row>
    <row r="4878" spans="1:12" ht="11.25" customHeight="1">
      <c r="A4878" s="39">
        <v>4876</v>
      </c>
      <c r="B4878" s="52" t="s">
        <v>10065</v>
      </c>
      <c r="C4878" s="52" t="s">
        <v>22265</v>
      </c>
      <c r="D4878" s="40"/>
      <c r="E4878" s="41"/>
      <c r="F4878" s="40"/>
      <c r="G4878" s="41"/>
      <c r="H4878" s="52" t="s">
        <v>22266</v>
      </c>
      <c r="I4878" s="53">
        <v>0.94594999999999929</v>
      </c>
      <c r="J4878" s="41">
        <f t="shared" si="19"/>
        <v>0.94594999999999929</v>
      </c>
      <c r="K4878" s="42" t="s">
        <v>5796</v>
      </c>
      <c r="L4878" s="39">
        <v>4876</v>
      </c>
    </row>
    <row r="4879" spans="1:12" ht="11.25" customHeight="1">
      <c r="A4879" s="39">
        <v>4877</v>
      </c>
      <c r="B4879" s="40" t="s">
        <v>22267</v>
      </c>
      <c r="C4879" s="40" t="s">
        <v>22268</v>
      </c>
      <c r="D4879" s="40" t="s">
        <v>22269</v>
      </c>
      <c r="E4879" s="41">
        <v>0.94</v>
      </c>
      <c r="F4879" s="40"/>
      <c r="G4879" s="41"/>
      <c r="H4879" s="40"/>
      <c r="I4879" s="41"/>
      <c r="J4879" s="41">
        <f t="shared" si="19"/>
        <v>0.94</v>
      </c>
      <c r="K4879" s="42" t="s">
        <v>5796</v>
      </c>
      <c r="L4879" s="39">
        <v>4877</v>
      </c>
    </row>
    <row r="4880" spans="1:12" ht="11.25" customHeight="1">
      <c r="A4880" s="39">
        <v>4878</v>
      </c>
      <c r="B4880" s="40" t="s">
        <v>22270</v>
      </c>
      <c r="C4880" s="40" t="s">
        <v>22271</v>
      </c>
      <c r="D4880" s="40" t="s">
        <v>22272</v>
      </c>
      <c r="E4880" s="41">
        <v>0.93</v>
      </c>
      <c r="F4880" s="40"/>
      <c r="G4880" s="41"/>
      <c r="H4880" s="40"/>
      <c r="I4880" s="41"/>
      <c r="J4880" s="41">
        <f t="shared" si="19"/>
        <v>0.93</v>
      </c>
      <c r="K4880" s="42" t="s">
        <v>5796</v>
      </c>
      <c r="L4880" s="39">
        <v>4878</v>
      </c>
    </row>
    <row r="4881" spans="1:12" ht="11.25" customHeight="1">
      <c r="A4881" s="39">
        <v>4879</v>
      </c>
      <c r="B4881" s="40" t="s">
        <v>22273</v>
      </c>
      <c r="C4881" s="40" t="s">
        <v>22274</v>
      </c>
      <c r="D4881" s="40" t="s">
        <v>22275</v>
      </c>
      <c r="E4881" s="41">
        <v>0.93</v>
      </c>
      <c r="F4881" s="40"/>
      <c r="G4881" s="41"/>
      <c r="H4881" s="40"/>
      <c r="I4881" s="41"/>
      <c r="J4881" s="41">
        <f t="shared" si="19"/>
        <v>0.93</v>
      </c>
      <c r="K4881" s="42" t="s">
        <v>5796</v>
      </c>
      <c r="L4881" s="39">
        <v>4879</v>
      </c>
    </row>
    <row r="4882" spans="1:12" ht="11.25" customHeight="1">
      <c r="A4882" s="39">
        <v>4880</v>
      </c>
      <c r="B4882" s="40" t="s">
        <v>22276</v>
      </c>
      <c r="C4882" s="40" t="s">
        <v>22277</v>
      </c>
      <c r="D4882" s="40" t="s">
        <v>22278</v>
      </c>
      <c r="E4882" s="41">
        <v>0.93</v>
      </c>
      <c r="F4882" s="40"/>
      <c r="G4882" s="41"/>
      <c r="H4882" s="40"/>
      <c r="I4882" s="41"/>
      <c r="J4882" s="41">
        <f t="shared" si="19"/>
        <v>0.93</v>
      </c>
      <c r="K4882" s="42" t="s">
        <v>5796</v>
      </c>
      <c r="L4882" s="39">
        <v>4880</v>
      </c>
    </row>
    <row r="4883" spans="1:12" ht="11.25" customHeight="1">
      <c r="A4883" s="39">
        <v>4881</v>
      </c>
      <c r="B4883" s="40" t="s">
        <v>22279</v>
      </c>
      <c r="C4883" s="40" t="s">
        <v>22280</v>
      </c>
      <c r="D4883" s="40" t="s">
        <v>22281</v>
      </c>
      <c r="E4883" s="41">
        <v>0.92</v>
      </c>
      <c r="F4883" s="40"/>
      <c r="G4883" s="41"/>
      <c r="H4883" s="40"/>
      <c r="I4883" s="41"/>
      <c r="J4883" s="41">
        <f t="shared" si="19"/>
        <v>0.92</v>
      </c>
      <c r="K4883" s="42" t="s">
        <v>5796</v>
      </c>
      <c r="L4883" s="39">
        <v>4881</v>
      </c>
    </row>
    <row r="4884" spans="1:12" ht="11.25" customHeight="1">
      <c r="A4884" s="39">
        <v>4882</v>
      </c>
      <c r="B4884" s="40" t="s">
        <v>22282</v>
      </c>
      <c r="C4884" s="40" t="s">
        <v>22283</v>
      </c>
      <c r="D4884" s="40" t="s">
        <v>22284</v>
      </c>
      <c r="E4884" s="41">
        <v>0.91</v>
      </c>
      <c r="F4884" s="40"/>
      <c r="G4884" s="41"/>
      <c r="H4884" s="40"/>
      <c r="I4884" s="41"/>
      <c r="J4884" s="41">
        <f t="shared" si="19"/>
        <v>0.91</v>
      </c>
      <c r="K4884" s="42" t="s">
        <v>5796</v>
      </c>
      <c r="L4884" s="39">
        <v>4882</v>
      </c>
    </row>
    <row r="4885" spans="1:12" ht="11.25" customHeight="1">
      <c r="A4885" s="39">
        <v>4883</v>
      </c>
      <c r="B4885" s="40" t="s">
        <v>22285</v>
      </c>
      <c r="C4885" s="40" t="s">
        <v>22286</v>
      </c>
      <c r="D4885" s="40" t="s">
        <v>22287</v>
      </c>
      <c r="E4885" s="41">
        <v>0.91</v>
      </c>
      <c r="F4885" s="40"/>
      <c r="G4885" s="41"/>
      <c r="H4885" s="40"/>
      <c r="I4885" s="41"/>
      <c r="J4885" s="41">
        <f t="shared" si="19"/>
        <v>0.91</v>
      </c>
      <c r="K4885" s="42" t="s">
        <v>5796</v>
      </c>
      <c r="L4885" s="39">
        <v>4883</v>
      </c>
    </row>
    <row r="4886" spans="1:12" ht="11.25" customHeight="1">
      <c r="A4886" s="39">
        <v>4884</v>
      </c>
      <c r="B4886" s="52" t="s">
        <v>10072</v>
      </c>
      <c r="C4886" s="52" t="s">
        <v>22288</v>
      </c>
      <c r="D4886" s="40"/>
      <c r="E4886" s="41"/>
      <c r="F4886" s="40"/>
      <c r="G4886" s="41"/>
      <c r="H4886" s="52" t="s">
        <v>22289</v>
      </c>
      <c r="I4886" s="53">
        <v>0.90532799999999825</v>
      </c>
      <c r="J4886" s="41">
        <f t="shared" si="19"/>
        <v>0.90532799999999825</v>
      </c>
      <c r="K4886" s="42" t="s">
        <v>5796</v>
      </c>
      <c r="L4886" s="39">
        <v>4884</v>
      </c>
    </row>
    <row r="4887" spans="1:12" ht="11.25" customHeight="1">
      <c r="A4887" s="39">
        <v>4885</v>
      </c>
      <c r="B4887" s="40" t="s">
        <v>22290</v>
      </c>
      <c r="C4887" s="40" t="s">
        <v>22291</v>
      </c>
      <c r="D4887" s="40" t="s">
        <v>22292</v>
      </c>
      <c r="E4887" s="41">
        <v>0.9</v>
      </c>
      <c r="F4887" s="40"/>
      <c r="G4887" s="41"/>
      <c r="H4887" s="40"/>
      <c r="I4887" s="41"/>
      <c r="J4887" s="41">
        <f t="shared" si="19"/>
        <v>0.9</v>
      </c>
      <c r="K4887" s="42" t="s">
        <v>5796</v>
      </c>
      <c r="L4887" s="39">
        <v>4885</v>
      </c>
    </row>
    <row r="4888" spans="1:12" ht="11.25" customHeight="1">
      <c r="A4888" s="39">
        <v>4886</v>
      </c>
      <c r="B4888" s="52" t="s">
        <v>10075</v>
      </c>
      <c r="C4888" s="52" t="s">
        <v>22293</v>
      </c>
      <c r="D4888" s="40"/>
      <c r="E4888" s="41"/>
      <c r="F4888" s="40"/>
      <c r="G4888" s="41"/>
      <c r="H4888" s="52" t="s">
        <v>22294</v>
      </c>
      <c r="I4888" s="53">
        <v>0.89903250000000101</v>
      </c>
      <c r="J4888" s="41">
        <f t="shared" si="19"/>
        <v>0.89903250000000101</v>
      </c>
      <c r="K4888" s="42" t="s">
        <v>5796</v>
      </c>
      <c r="L4888" s="39">
        <v>4886</v>
      </c>
    </row>
    <row r="4889" spans="1:12" ht="11.25" customHeight="1">
      <c r="A4889" s="39">
        <v>4887</v>
      </c>
      <c r="B4889" s="40" t="s">
        <v>22295</v>
      </c>
      <c r="C4889" s="40" t="s">
        <v>22296</v>
      </c>
      <c r="D4889" s="40" t="s">
        <v>22297</v>
      </c>
      <c r="E4889" s="41">
        <v>0.89</v>
      </c>
      <c r="F4889" s="40"/>
      <c r="G4889" s="41"/>
      <c r="H4889" s="40"/>
      <c r="I4889" s="41"/>
      <c r="J4889" s="41">
        <f t="shared" si="19"/>
        <v>0.89</v>
      </c>
      <c r="K4889" s="42" t="s">
        <v>5796</v>
      </c>
      <c r="L4889" s="39">
        <v>4887</v>
      </c>
    </row>
    <row r="4890" spans="1:12" ht="11.25" customHeight="1">
      <c r="A4890" s="39">
        <v>4888</v>
      </c>
      <c r="B4890" s="40" t="s">
        <v>22298</v>
      </c>
      <c r="C4890" s="40" t="s">
        <v>22299</v>
      </c>
      <c r="D4890" s="40" t="s">
        <v>22300</v>
      </c>
      <c r="E4890" s="41">
        <v>0.87</v>
      </c>
      <c r="F4890" s="40"/>
      <c r="G4890" s="41"/>
      <c r="H4890" s="40"/>
      <c r="I4890" s="41"/>
      <c r="J4890" s="41">
        <f t="shared" si="19"/>
        <v>0.87</v>
      </c>
      <c r="K4890" s="42" t="s">
        <v>5796</v>
      </c>
      <c r="L4890" s="39">
        <v>4888</v>
      </c>
    </row>
    <row r="4891" spans="1:12" ht="11.25" customHeight="1">
      <c r="A4891" s="39">
        <v>4889</v>
      </c>
      <c r="B4891" s="40" t="s">
        <v>22301</v>
      </c>
      <c r="C4891" s="40" t="s">
        <v>22302</v>
      </c>
      <c r="D4891" s="40" t="s">
        <v>22303</v>
      </c>
      <c r="E4891" s="41">
        <v>0.87</v>
      </c>
      <c r="F4891" s="40"/>
      <c r="G4891" s="41"/>
      <c r="H4891" s="40"/>
      <c r="I4891" s="41"/>
      <c r="J4891" s="41">
        <f t="shared" si="19"/>
        <v>0.87</v>
      </c>
      <c r="K4891" s="42" t="s">
        <v>5796</v>
      </c>
      <c r="L4891" s="39">
        <v>4889</v>
      </c>
    </row>
    <row r="4892" spans="1:12" ht="11.25" customHeight="1">
      <c r="A4892" s="39">
        <v>4890</v>
      </c>
      <c r="B4892" s="40" t="s">
        <v>10077</v>
      </c>
      <c r="C4892" s="40" t="s">
        <v>22304</v>
      </c>
      <c r="D4892" s="40" t="s">
        <v>22305</v>
      </c>
      <c r="E4892" s="41">
        <v>0.87</v>
      </c>
      <c r="F4892" s="40"/>
      <c r="G4892" s="41"/>
      <c r="H4892" s="40"/>
      <c r="I4892" s="41"/>
      <c r="J4892" s="41">
        <f t="shared" si="19"/>
        <v>0.87</v>
      </c>
      <c r="K4892" s="42" t="s">
        <v>5796</v>
      </c>
      <c r="L4892" s="39">
        <v>4890</v>
      </c>
    </row>
    <row r="4893" spans="1:12" ht="11.25" customHeight="1">
      <c r="A4893" s="39">
        <v>4891</v>
      </c>
      <c r="B4893" s="40" t="s">
        <v>22306</v>
      </c>
      <c r="C4893" s="40" t="s">
        <v>22307</v>
      </c>
      <c r="D4893" s="40" t="s">
        <v>22308</v>
      </c>
      <c r="E4893" s="41">
        <v>0.85</v>
      </c>
      <c r="F4893" s="40"/>
      <c r="G4893" s="41"/>
      <c r="H4893" s="40"/>
      <c r="I4893" s="41"/>
      <c r="J4893" s="41">
        <f t="shared" si="19"/>
        <v>0.85</v>
      </c>
      <c r="K4893" s="42" t="s">
        <v>5796</v>
      </c>
      <c r="L4893" s="39">
        <v>4891</v>
      </c>
    </row>
    <row r="4894" spans="1:12" ht="11.25" customHeight="1">
      <c r="A4894" s="39">
        <v>4892</v>
      </c>
      <c r="B4894" s="40" t="s">
        <v>22309</v>
      </c>
      <c r="C4894" s="40" t="s">
        <v>22310</v>
      </c>
      <c r="D4894" s="40" t="s">
        <v>22311</v>
      </c>
      <c r="E4894" s="41">
        <v>0.85</v>
      </c>
      <c r="F4894" s="40"/>
      <c r="G4894" s="41"/>
      <c r="H4894" s="40"/>
      <c r="I4894" s="41"/>
      <c r="J4894" s="41">
        <f t="shared" si="19"/>
        <v>0.85</v>
      </c>
      <c r="K4894" s="42" t="s">
        <v>5796</v>
      </c>
      <c r="L4894" s="39">
        <v>4892</v>
      </c>
    </row>
    <row r="4895" spans="1:12" ht="11.25" customHeight="1">
      <c r="A4895" s="39">
        <v>4893</v>
      </c>
      <c r="B4895" s="40" t="s">
        <v>22312</v>
      </c>
      <c r="C4895" s="40" t="s">
        <v>22313</v>
      </c>
      <c r="D4895" s="40" t="s">
        <v>22314</v>
      </c>
      <c r="E4895" s="41">
        <v>0.84</v>
      </c>
      <c r="F4895" s="40"/>
      <c r="G4895" s="41"/>
      <c r="H4895" s="40"/>
      <c r="I4895" s="41"/>
      <c r="J4895" s="41">
        <f t="shared" si="19"/>
        <v>0.84</v>
      </c>
      <c r="K4895" s="42" t="s">
        <v>5796</v>
      </c>
      <c r="L4895" s="39">
        <v>4893</v>
      </c>
    </row>
    <row r="4896" spans="1:12" ht="11.25" customHeight="1">
      <c r="A4896" s="39">
        <v>4894</v>
      </c>
      <c r="B4896" s="52" t="s">
        <v>10086</v>
      </c>
      <c r="C4896" s="52" t="s">
        <v>22315</v>
      </c>
      <c r="D4896" s="40"/>
      <c r="E4896" s="41"/>
      <c r="F4896" s="40"/>
      <c r="G4896" s="41"/>
      <c r="H4896" s="52" t="s">
        <v>22316</v>
      </c>
      <c r="I4896" s="53">
        <v>0.83983200000000102</v>
      </c>
      <c r="J4896" s="41">
        <f t="shared" si="19"/>
        <v>0.83983200000000102</v>
      </c>
      <c r="K4896" s="42" t="s">
        <v>5796</v>
      </c>
      <c r="L4896" s="39">
        <v>4894</v>
      </c>
    </row>
    <row r="4897" spans="1:12" ht="11.25" customHeight="1">
      <c r="A4897" s="39">
        <v>4895</v>
      </c>
      <c r="B4897" s="52" t="s">
        <v>10087</v>
      </c>
      <c r="C4897" s="52" t="s">
        <v>22317</v>
      </c>
      <c r="D4897" s="40"/>
      <c r="E4897" s="41"/>
      <c r="F4897" s="40"/>
      <c r="G4897" s="41"/>
      <c r="H4897" s="52" t="s">
        <v>22318</v>
      </c>
      <c r="I4897" s="53">
        <v>0.8358309999999991</v>
      </c>
      <c r="J4897" s="41">
        <f t="shared" si="19"/>
        <v>0.8358309999999991</v>
      </c>
      <c r="K4897" s="42" t="s">
        <v>5796</v>
      </c>
      <c r="L4897" s="39">
        <v>4895</v>
      </c>
    </row>
    <row r="4898" spans="1:12" ht="11.25" customHeight="1">
      <c r="A4898" s="39">
        <v>4896</v>
      </c>
      <c r="B4898" s="40" t="s">
        <v>22319</v>
      </c>
      <c r="C4898" s="40" t="s">
        <v>22320</v>
      </c>
      <c r="D4898" s="40" t="s">
        <v>22321</v>
      </c>
      <c r="E4898" s="41">
        <v>0.83</v>
      </c>
      <c r="F4898" s="40"/>
      <c r="G4898" s="41"/>
      <c r="H4898" s="40"/>
      <c r="I4898" s="41"/>
      <c r="J4898" s="41">
        <f t="shared" si="19"/>
        <v>0.83</v>
      </c>
      <c r="K4898" s="42" t="s">
        <v>5796</v>
      </c>
      <c r="L4898" s="39">
        <v>4896</v>
      </c>
    </row>
    <row r="4899" spans="1:12" ht="11.25" customHeight="1">
      <c r="A4899" s="39">
        <v>4897</v>
      </c>
      <c r="B4899" s="40" t="s">
        <v>22322</v>
      </c>
      <c r="C4899" s="40" t="s">
        <v>22323</v>
      </c>
      <c r="D4899" s="40" t="s">
        <v>22324</v>
      </c>
      <c r="E4899" s="41">
        <v>0.82</v>
      </c>
      <c r="F4899" s="40"/>
      <c r="G4899" s="41"/>
      <c r="H4899" s="40"/>
      <c r="I4899" s="41"/>
      <c r="J4899" s="41">
        <f t="shared" si="19"/>
        <v>0.82</v>
      </c>
      <c r="K4899" s="42" t="s">
        <v>5796</v>
      </c>
      <c r="L4899" s="39">
        <v>4897</v>
      </c>
    </row>
    <row r="4900" spans="1:12" ht="11.25" customHeight="1">
      <c r="A4900" s="39">
        <v>4898</v>
      </c>
      <c r="B4900" s="52" t="s">
        <v>10091</v>
      </c>
      <c r="C4900" s="52" t="s">
        <v>22325</v>
      </c>
      <c r="D4900" s="40"/>
      <c r="E4900" s="41"/>
      <c r="F4900" s="40"/>
      <c r="G4900" s="41"/>
      <c r="H4900" s="52" t="s">
        <v>22326</v>
      </c>
      <c r="I4900" s="53">
        <v>0.81119999999999959</v>
      </c>
      <c r="J4900" s="41">
        <f t="shared" si="19"/>
        <v>0.81119999999999959</v>
      </c>
      <c r="K4900" s="42" t="s">
        <v>5796</v>
      </c>
      <c r="L4900" s="39">
        <v>4898</v>
      </c>
    </row>
    <row r="4901" spans="1:12" ht="11.25" customHeight="1">
      <c r="A4901" s="39">
        <v>4899</v>
      </c>
      <c r="B4901" s="40" t="s">
        <v>22327</v>
      </c>
      <c r="C4901" s="40" t="s">
        <v>22328</v>
      </c>
      <c r="D4901" s="40" t="s">
        <v>22329</v>
      </c>
      <c r="E4901" s="41">
        <v>0.77</v>
      </c>
      <c r="F4901" s="40"/>
      <c r="G4901" s="41"/>
      <c r="H4901" s="40"/>
      <c r="I4901" s="41"/>
      <c r="J4901" s="41">
        <f t="shared" si="19"/>
        <v>0.77</v>
      </c>
      <c r="K4901" s="42" t="s">
        <v>5796</v>
      </c>
      <c r="L4901" s="39">
        <v>4899</v>
      </c>
    </row>
    <row r="4902" spans="1:12" ht="11.25" customHeight="1">
      <c r="A4902" s="39">
        <v>4900</v>
      </c>
      <c r="B4902" s="40" t="s">
        <v>22330</v>
      </c>
      <c r="C4902" s="40" t="s">
        <v>22331</v>
      </c>
      <c r="D4902" s="40" t="s">
        <v>22332</v>
      </c>
      <c r="E4902" s="41">
        <v>0.75</v>
      </c>
      <c r="F4902" s="40"/>
      <c r="G4902" s="41"/>
      <c r="H4902" s="40"/>
      <c r="I4902" s="41"/>
      <c r="J4902" s="41">
        <f t="shared" si="19"/>
        <v>0.75</v>
      </c>
      <c r="K4902" s="42" t="s">
        <v>5796</v>
      </c>
      <c r="L4902" s="39">
        <v>4900</v>
      </c>
    </row>
    <row r="4903" spans="1:12" ht="11.25" customHeight="1">
      <c r="A4903" s="39">
        <v>4901</v>
      </c>
      <c r="B4903" s="40" t="s">
        <v>22333</v>
      </c>
      <c r="C4903" s="40" t="s">
        <v>22334</v>
      </c>
      <c r="D4903" s="40" t="s">
        <v>22335</v>
      </c>
      <c r="E4903" s="41">
        <v>0.74</v>
      </c>
      <c r="F4903" s="40"/>
      <c r="G4903" s="41"/>
      <c r="H4903" s="40"/>
      <c r="I4903" s="41"/>
      <c r="J4903" s="41">
        <f t="shared" si="19"/>
        <v>0.74</v>
      </c>
      <c r="K4903" s="42" t="s">
        <v>5796</v>
      </c>
      <c r="L4903" s="39">
        <v>4901</v>
      </c>
    </row>
    <row r="4904" spans="1:12" ht="11.25" customHeight="1">
      <c r="A4904" s="39">
        <v>4902</v>
      </c>
      <c r="B4904" s="52" t="s">
        <v>10100</v>
      </c>
      <c r="C4904" s="52" t="s">
        <v>22336</v>
      </c>
      <c r="D4904" s="40"/>
      <c r="E4904" s="41"/>
      <c r="F4904" s="40"/>
      <c r="G4904" s="41"/>
      <c r="H4904" s="52" t="s">
        <v>22337</v>
      </c>
      <c r="I4904" s="53">
        <v>0.73499999999999954</v>
      </c>
      <c r="J4904" s="41">
        <f t="shared" si="19"/>
        <v>0.73499999999999954</v>
      </c>
      <c r="K4904" s="42" t="s">
        <v>5796</v>
      </c>
      <c r="L4904" s="39">
        <v>4902</v>
      </c>
    </row>
    <row r="4905" spans="1:12" ht="11.25" customHeight="1">
      <c r="A4905" s="39">
        <v>4903</v>
      </c>
      <c r="B4905" s="40" t="s">
        <v>22338</v>
      </c>
      <c r="C4905" s="40" t="s">
        <v>22339</v>
      </c>
      <c r="D4905" s="40" t="s">
        <v>22340</v>
      </c>
      <c r="E4905" s="41">
        <v>0.73</v>
      </c>
      <c r="F4905" s="40"/>
      <c r="G4905" s="41"/>
      <c r="H4905" s="40"/>
      <c r="I4905" s="41"/>
      <c r="J4905" s="41">
        <f t="shared" si="19"/>
        <v>0.73</v>
      </c>
      <c r="K4905" s="42" t="s">
        <v>5796</v>
      </c>
      <c r="L4905" s="39">
        <v>4903</v>
      </c>
    </row>
    <row r="4906" spans="1:12" ht="11.25" customHeight="1">
      <c r="A4906" s="39">
        <v>4904</v>
      </c>
      <c r="B4906" s="40" t="s">
        <v>22341</v>
      </c>
      <c r="C4906" s="40" t="s">
        <v>22342</v>
      </c>
      <c r="D4906" s="40" t="s">
        <v>22343</v>
      </c>
      <c r="E4906" s="41">
        <v>0.73</v>
      </c>
      <c r="F4906" s="40"/>
      <c r="G4906" s="41"/>
      <c r="H4906" s="40"/>
      <c r="I4906" s="41"/>
      <c r="J4906" s="41">
        <f t="shared" si="19"/>
        <v>0.73</v>
      </c>
      <c r="K4906" s="42" t="s">
        <v>5796</v>
      </c>
      <c r="L4906" s="39">
        <v>4904</v>
      </c>
    </row>
    <row r="4907" spans="1:12" ht="11.25" customHeight="1">
      <c r="A4907" s="39">
        <v>4905</v>
      </c>
      <c r="B4907" s="40" t="s">
        <v>22344</v>
      </c>
      <c r="C4907" s="40" t="s">
        <v>22345</v>
      </c>
      <c r="D4907" s="40" t="s">
        <v>22346</v>
      </c>
      <c r="E4907" s="41">
        <v>0.73</v>
      </c>
      <c r="F4907" s="40"/>
      <c r="G4907" s="41"/>
      <c r="H4907" s="40"/>
      <c r="I4907" s="41"/>
      <c r="J4907" s="41">
        <f t="shared" si="19"/>
        <v>0.73</v>
      </c>
      <c r="K4907" s="42" t="s">
        <v>5796</v>
      </c>
      <c r="L4907" s="39">
        <v>4905</v>
      </c>
    </row>
    <row r="4908" spans="1:12" ht="11.25" customHeight="1">
      <c r="A4908" s="39">
        <v>4906</v>
      </c>
      <c r="B4908" s="40" t="s">
        <v>22347</v>
      </c>
      <c r="C4908" s="40" t="s">
        <v>22348</v>
      </c>
      <c r="D4908" s="40" t="s">
        <v>22349</v>
      </c>
      <c r="E4908" s="41">
        <v>0.73</v>
      </c>
      <c r="F4908" s="40"/>
      <c r="G4908" s="41"/>
      <c r="H4908" s="40"/>
      <c r="I4908" s="41"/>
      <c r="J4908" s="41">
        <f t="shared" si="19"/>
        <v>0.73</v>
      </c>
      <c r="K4908" s="42" t="s">
        <v>5796</v>
      </c>
      <c r="L4908" s="39">
        <v>4906</v>
      </c>
    </row>
    <row r="4909" spans="1:12" ht="11.25" customHeight="1">
      <c r="A4909" s="39">
        <v>4907</v>
      </c>
      <c r="B4909" s="40" t="s">
        <v>22350</v>
      </c>
      <c r="C4909" s="40" t="s">
        <v>22351</v>
      </c>
      <c r="D4909" s="40" t="s">
        <v>22352</v>
      </c>
      <c r="E4909" s="41">
        <v>0.71</v>
      </c>
      <c r="F4909" s="40"/>
      <c r="G4909" s="41"/>
      <c r="H4909" s="40"/>
      <c r="I4909" s="41"/>
      <c r="J4909" s="41">
        <f t="shared" si="19"/>
        <v>0.71</v>
      </c>
      <c r="K4909" s="42" t="s">
        <v>5796</v>
      </c>
      <c r="L4909" s="39">
        <v>4907</v>
      </c>
    </row>
    <row r="4910" spans="1:12" ht="11.25" customHeight="1">
      <c r="A4910" s="39">
        <v>4908</v>
      </c>
      <c r="B4910" s="40" t="s">
        <v>22353</v>
      </c>
      <c r="C4910" s="40" t="s">
        <v>22354</v>
      </c>
      <c r="D4910" s="40" t="s">
        <v>22355</v>
      </c>
      <c r="E4910" s="41">
        <v>0.69</v>
      </c>
      <c r="F4910" s="40"/>
      <c r="G4910" s="41"/>
      <c r="H4910" s="40"/>
      <c r="I4910" s="41"/>
      <c r="J4910" s="41">
        <f t="shared" si="19"/>
        <v>0.69</v>
      </c>
      <c r="K4910" s="42" t="s">
        <v>5796</v>
      </c>
      <c r="L4910" s="39">
        <v>4908</v>
      </c>
    </row>
    <row r="4911" spans="1:12" ht="11.25" customHeight="1">
      <c r="A4911" s="39">
        <v>4909</v>
      </c>
      <c r="B4911" s="40" t="s">
        <v>22356</v>
      </c>
      <c r="C4911" s="40" t="s">
        <v>22357</v>
      </c>
      <c r="D4911" s="40" t="s">
        <v>22358</v>
      </c>
      <c r="E4911" s="41">
        <v>0.68</v>
      </c>
      <c r="F4911" s="40"/>
      <c r="G4911" s="41"/>
      <c r="H4911" s="40"/>
      <c r="I4911" s="41"/>
      <c r="J4911" s="41">
        <f t="shared" si="19"/>
        <v>0.68</v>
      </c>
      <c r="K4911" s="42" t="s">
        <v>5796</v>
      </c>
      <c r="L4911" s="39">
        <v>4909</v>
      </c>
    </row>
    <row r="4912" spans="1:12" ht="11.25" customHeight="1">
      <c r="A4912" s="39">
        <v>4910</v>
      </c>
      <c r="B4912" s="40" t="s">
        <v>22359</v>
      </c>
      <c r="C4912" s="40" t="s">
        <v>22360</v>
      </c>
      <c r="D4912" s="40" t="s">
        <v>22361</v>
      </c>
      <c r="E4912" s="41">
        <v>0.64</v>
      </c>
      <c r="F4912" s="40"/>
      <c r="G4912" s="41"/>
      <c r="H4912" s="40"/>
      <c r="I4912" s="41"/>
      <c r="J4912" s="41">
        <f t="shared" si="19"/>
        <v>0.64</v>
      </c>
      <c r="K4912" s="42" t="s">
        <v>5796</v>
      </c>
      <c r="L4912" s="39">
        <v>4910</v>
      </c>
    </row>
    <row r="4913" spans="1:12" ht="11.25" customHeight="1">
      <c r="A4913" s="39">
        <v>4911</v>
      </c>
      <c r="B4913" s="40" t="s">
        <v>22362</v>
      </c>
      <c r="C4913" s="40" t="s">
        <v>22363</v>
      </c>
      <c r="D4913" s="40" t="s">
        <v>22364</v>
      </c>
      <c r="E4913" s="41">
        <v>0.64</v>
      </c>
      <c r="F4913" s="40"/>
      <c r="G4913" s="41"/>
      <c r="H4913" s="40"/>
      <c r="I4913" s="41"/>
      <c r="J4913" s="41">
        <f t="shared" si="19"/>
        <v>0.64</v>
      </c>
      <c r="K4913" s="42" t="s">
        <v>5796</v>
      </c>
      <c r="L4913" s="39">
        <v>4911</v>
      </c>
    </row>
    <row r="4914" spans="1:12" ht="11.25" customHeight="1">
      <c r="A4914" s="39">
        <v>4912</v>
      </c>
      <c r="B4914" s="40" t="s">
        <v>22365</v>
      </c>
      <c r="C4914" s="40" t="s">
        <v>22366</v>
      </c>
      <c r="D4914" s="40" t="s">
        <v>22367</v>
      </c>
      <c r="E4914" s="41">
        <v>0.63</v>
      </c>
      <c r="F4914" s="40"/>
      <c r="G4914" s="41"/>
      <c r="H4914" s="40"/>
      <c r="I4914" s="41"/>
      <c r="J4914" s="41">
        <f t="shared" si="19"/>
        <v>0.63</v>
      </c>
      <c r="K4914" s="42" t="s">
        <v>5796</v>
      </c>
      <c r="L4914" s="39">
        <v>4912</v>
      </c>
    </row>
    <row r="4915" spans="1:12" ht="11.25" customHeight="1">
      <c r="A4915" s="39">
        <v>4913</v>
      </c>
      <c r="B4915" s="40" t="s">
        <v>22368</v>
      </c>
      <c r="C4915" s="40" t="s">
        <v>22369</v>
      </c>
      <c r="D4915" s="40" t="s">
        <v>22370</v>
      </c>
      <c r="E4915" s="41">
        <v>0.63</v>
      </c>
      <c r="F4915" s="40"/>
      <c r="G4915" s="41"/>
      <c r="H4915" s="40"/>
      <c r="I4915" s="41"/>
      <c r="J4915" s="41">
        <f t="shared" si="19"/>
        <v>0.63</v>
      </c>
      <c r="K4915" s="42" t="s">
        <v>5796</v>
      </c>
      <c r="L4915" s="39">
        <v>4913</v>
      </c>
    </row>
    <row r="4916" spans="1:12" ht="11.25" customHeight="1">
      <c r="A4916" s="39">
        <v>4914</v>
      </c>
      <c r="B4916" s="40" t="s">
        <v>22371</v>
      </c>
      <c r="C4916" s="40" t="s">
        <v>22372</v>
      </c>
      <c r="D4916" s="40" t="s">
        <v>22373</v>
      </c>
      <c r="E4916" s="41">
        <v>0.63</v>
      </c>
      <c r="F4916" s="40"/>
      <c r="G4916" s="41"/>
      <c r="H4916" s="40"/>
      <c r="I4916" s="41"/>
      <c r="J4916" s="41">
        <f t="shared" si="19"/>
        <v>0.63</v>
      </c>
      <c r="K4916" s="42" t="s">
        <v>5796</v>
      </c>
      <c r="L4916" s="39">
        <v>4914</v>
      </c>
    </row>
    <row r="4917" spans="1:12" ht="11.25" customHeight="1">
      <c r="A4917" s="39">
        <v>4915</v>
      </c>
      <c r="B4917" s="52" t="s">
        <v>10116</v>
      </c>
      <c r="C4917" s="52" t="s">
        <v>22374</v>
      </c>
      <c r="D4917" s="40"/>
      <c r="E4917" s="41"/>
      <c r="F4917" s="40"/>
      <c r="G4917" s="41"/>
      <c r="H4917" s="52" t="s">
        <v>22375</v>
      </c>
      <c r="I4917" s="53">
        <v>0.62107500000000004</v>
      </c>
      <c r="J4917" s="41">
        <f t="shared" si="19"/>
        <v>0.62107500000000004</v>
      </c>
      <c r="K4917" s="42" t="s">
        <v>5796</v>
      </c>
      <c r="L4917" s="39">
        <v>4915</v>
      </c>
    </row>
    <row r="4918" spans="1:12" ht="11.25" customHeight="1">
      <c r="A4918" s="39">
        <v>4916</v>
      </c>
      <c r="B4918" s="40" t="s">
        <v>22376</v>
      </c>
      <c r="C4918" s="40" t="s">
        <v>22377</v>
      </c>
      <c r="D4918" s="40" t="s">
        <v>22378</v>
      </c>
      <c r="E4918" s="41">
        <v>0.62</v>
      </c>
      <c r="F4918" s="40"/>
      <c r="G4918" s="41"/>
      <c r="H4918" s="40"/>
      <c r="I4918" s="41"/>
      <c r="J4918" s="41">
        <f t="shared" si="19"/>
        <v>0.62</v>
      </c>
      <c r="K4918" s="42" t="s">
        <v>5796</v>
      </c>
      <c r="L4918" s="39">
        <v>4916</v>
      </c>
    </row>
    <row r="4919" spans="1:12" ht="11.25" customHeight="1">
      <c r="A4919" s="39">
        <v>4917</v>
      </c>
      <c r="B4919" s="40" t="s">
        <v>22379</v>
      </c>
      <c r="C4919" s="40" t="s">
        <v>22380</v>
      </c>
      <c r="D4919" s="40" t="s">
        <v>22381</v>
      </c>
      <c r="E4919" s="41">
        <v>0.62</v>
      </c>
      <c r="F4919" s="40"/>
      <c r="G4919" s="41"/>
      <c r="H4919" s="40"/>
      <c r="I4919" s="41"/>
      <c r="J4919" s="41">
        <f t="shared" si="19"/>
        <v>0.62</v>
      </c>
      <c r="K4919" s="42" t="s">
        <v>5796</v>
      </c>
      <c r="L4919" s="39">
        <v>4917</v>
      </c>
    </row>
    <row r="4920" spans="1:12" ht="11.25" customHeight="1">
      <c r="A4920" s="39">
        <v>4918</v>
      </c>
      <c r="B4920" s="40" t="s">
        <v>22382</v>
      </c>
      <c r="C4920" s="40" t="s">
        <v>22383</v>
      </c>
      <c r="D4920" s="40" t="s">
        <v>22384</v>
      </c>
      <c r="E4920" s="41">
        <v>0.6</v>
      </c>
      <c r="F4920" s="40"/>
      <c r="G4920" s="41"/>
      <c r="H4920" s="40"/>
      <c r="I4920" s="41"/>
      <c r="J4920" s="41">
        <f t="shared" si="19"/>
        <v>0.6</v>
      </c>
      <c r="K4920" s="42" t="s">
        <v>5796</v>
      </c>
      <c r="L4920" s="39">
        <v>4918</v>
      </c>
    </row>
    <row r="4921" spans="1:12" ht="11.25" customHeight="1">
      <c r="A4921" s="39">
        <v>4919</v>
      </c>
      <c r="B4921" s="40" t="s">
        <v>22385</v>
      </c>
      <c r="C4921" s="40" t="s">
        <v>22386</v>
      </c>
      <c r="D4921" s="40" t="s">
        <v>22387</v>
      </c>
      <c r="E4921" s="41">
        <v>0.57999999999999996</v>
      </c>
      <c r="F4921" s="40"/>
      <c r="G4921" s="41"/>
      <c r="H4921" s="40"/>
      <c r="I4921" s="41"/>
      <c r="J4921" s="41">
        <f t="shared" si="19"/>
        <v>0.57999999999999996</v>
      </c>
      <c r="K4921" s="42" t="s">
        <v>5796</v>
      </c>
      <c r="L4921" s="39">
        <v>4919</v>
      </c>
    </row>
    <row r="4922" spans="1:12" ht="11.25" customHeight="1">
      <c r="A4922" s="39">
        <v>4920</v>
      </c>
      <c r="B4922" s="40" t="s">
        <v>22388</v>
      </c>
      <c r="C4922" s="40" t="s">
        <v>22389</v>
      </c>
      <c r="D4922" s="40" t="s">
        <v>22390</v>
      </c>
      <c r="E4922" s="41">
        <v>0.57999999999999996</v>
      </c>
      <c r="F4922" s="40"/>
      <c r="G4922" s="41"/>
      <c r="H4922" s="40"/>
      <c r="I4922" s="41"/>
      <c r="J4922" s="41">
        <f t="shared" si="19"/>
        <v>0.57999999999999996</v>
      </c>
      <c r="K4922" s="42" t="s">
        <v>5796</v>
      </c>
      <c r="L4922" s="39">
        <v>4920</v>
      </c>
    </row>
    <row r="4923" spans="1:12" ht="11.25" customHeight="1">
      <c r="A4923" s="39">
        <v>4921</v>
      </c>
      <c r="B4923" s="40" t="s">
        <v>22391</v>
      </c>
      <c r="C4923" s="40" t="s">
        <v>22392</v>
      </c>
      <c r="D4923" s="40" t="s">
        <v>22393</v>
      </c>
      <c r="E4923" s="41">
        <v>0.57999999999999996</v>
      </c>
      <c r="F4923" s="40"/>
      <c r="G4923" s="41"/>
      <c r="H4923" s="40"/>
      <c r="I4923" s="41"/>
      <c r="J4923" s="41">
        <f t="shared" si="19"/>
        <v>0.57999999999999996</v>
      </c>
      <c r="K4923" s="42" t="s">
        <v>5796</v>
      </c>
      <c r="L4923" s="39">
        <v>4921</v>
      </c>
    </row>
    <row r="4924" spans="1:12" ht="11.25" customHeight="1">
      <c r="A4924" s="39">
        <v>4922</v>
      </c>
      <c r="B4924" s="40" t="s">
        <v>9636</v>
      </c>
      <c r="C4924" s="40" t="s">
        <v>22394</v>
      </c>
      <c r="D4924" s="40" t="s">
        <v>22395</v>
      </c>
      <c r="E4924" s="41">
        <v>0.56000000000000005</v>
      </c>
      <c r="F4924" s="40"/>
      <c r="G4924" s="41"/>
      <c r="H4924" s="40"/>
      <c r="I4924" s="41"/>
      <c r="J4924" s="41">
        <f t="shared" si="19"/>
        <v>0.56000000000000005</v>
      </c>
      <c r="K4924" s="42" t="s">
        <v>5796</v>
      </c>
      <c r="L4924" s="39">
        <v>4922</v>
      </c>
    </row>
    <row r="4925" spans="1:12" ht="11.25" customHeight="1">
      <c r="A4925" s="39">
        <v>4923</v>
      </c>
      <c r="B4925" s="40" t="s">
        <v>22396</v>
      </c>
      <c r="C4925" s="40" t="s">
        <v>22397</v>
      </c>
      <c r="D4925" s="40" t="s">
        <v>22398</v>
      </c>
      <c r="E4925" s="41">
        <v>0.56000000000000005</v>
      </c>
      <c r="F4925" s="40"/>
      <c r="G4925" s="41"/>
      <c r="H4925" s="40"/>
      <c r="I4925" s="41"/>
      <c r="J4925" s="41">
        <f t="shared" si="19"/>
        <v>0.56000000000000005</v>
      </c>
      <c r="K4925" s="42" t="s">
        <v>5796</v>
      </c>
      <c r="L4925" s="39">
        <v>4923</v>
      </c>
    </row>
    <row r="4926" spans="1:12" ht="11.25" customHeight="1">
      <c r="A4926" s="39">
        <v>4924</v>
      </c>
      <c r="B4926" s="40" t="s">
        <v>22399</v>
      </c>
      <c r="C4926" s="40" t="s">
        <v>22400</v>
      </c>
      <c r="D4926" s="40" t="s">
        <v>22401</v>
      </c>
      <c r="E4926" s="41">
        <v>0.56000000000000005</v>
      </c>
      <c r="F4926" s="40"/>
      <c r="G4926" s="41"/>
      <c r="H4926" s="40"/>
      <c r="I4926" s="41"/>
      <c r="J4926" s="41">
        <f t="shared" si="19"/>
        <v>0.56000000000000005</v>
      </c>
      <c r="K4926" s="42" t="s">
        <v>5796</v>
      </c>
      <c r="L4926" s="39">
        <v>4924</v>
      </c>
    </row>
    <row r="4927" spans="1:12" ht="11.25" customHeight="1">
      <c r="A4927" s="39">
        <v>4925</v>
      </c>
      <c r="B4927" s="40" t="s">
        <v>10063</v>
      </c>
      <c r="C4927" s="40" t="s">
        <v>22402</v>
      </c>
      <c r="D4927" s="40" t="s">
        <v>22403</v>
      </c>
      <c r="E4927" s="41">
        <v>0.56000000000000005</v>
      </c>
      <c r="F4927" s="40"/>
      <c r="G4927" s="41"/>
      <c r="H4927" s="40"/>
      <c r="I4927" s="41"/>
      <c r="J4927" s="41">
        <f t="shared" si="19"/>
        <v>0.56000000000000005</v>
      </c>
      <c r="K4927" s="42" t="s">
        <v>5796</v>
      </c>
      <c r="L4927" s="39">
        <v>4925</v>
      </c>
    </row>
    <row r="4928" spans="1:12" ht="11.25" customHeight="1">
      <c r="A4928" s="39">
        <v>4926</v>
      </c>
      <c r="B4928" s="52" t="s">
        <v>10126</v>
      </c>
      <c r="C4928" s="52" t="s">
        <v>22404</v>
      </c>
      <c r="D4928" s="40"/>
      <c r="E4928" s="41"/>
      <c r="F4928" s="40"/>
      <c r="G4928" s="41"/>
      <c r="H4928" s="52" t="s">
        <v>22405</v>
      </c>
      <c r="I4928" s="53">
        <v>0.54780000000000062</v>
      </c>
      <c r="J4928" s="41">
        <f t="shared" si="19"/>
        <v>0.54780000000000062</v>
      </c>
      <c r="K4928" s="42" t="s">
        <v>5796</v>
      </c>
      <c r="L4928" s="39">
        <v>4926</v>
      </c>
    </row>
    <row r="4929" spans="1:12" ht="11.25" customHeight="1">
      <c r="A4929" s="39">
        <v>4927</v>
      </c>
      <c r="B4929" s="40" t="s">
        <v>22406</v>
      </c>
      <c r="C4929" s="40" t="s">
        <v>22407</v>
      </c>
      <c r="D4929" s="40" t="s">
        <v>22408</v>
      </c>
      <c r="E4929" s="41">
        <v>0.54</v>
      </c>
      <c r="F4929" s="40"/>
      <c r="G4929" s="41"/>
      <c r="H4929" s="40"/>
      <c r="I4929" s="41"/>
      <c r="J4929" s="41">
        <f t="shared" si="19"/>
        <v>0.54</v>
      </c>
      <c r="K4929" s="42" t="s">
        <v>5796</v>
      </c>
      <c r="L4929" s="39">
        <v>4927</v>
      </c>
    </row>
    <row r="4930" spans="1:12" ht="11.25" customHeight="1">
      <c r="A4930" s="39">
        <v>4928</v>
      </c>
      <c r="B4930" s="52" t="s">
        <v>10128</v>
      </c>
      <c r="C4930" s="52" t="s">
        <v>22409</v>
      </c>
      <c r="D4930" s="40"/>
      <c r="E4930" s="41"/>
      <c r="F4930" s="40"/>
      <c r="G4930" s="41"/>
      <c r="H4930" s="52" t="s">
        <v>22410</v>
      </c>
      <c r="I4930" s="53">
        <v>0.53574900000000081</v>
      </c>
      <c r="J4930" s="41">
        <f t="shared" si="19"/>
        <v>0.53574900000000081</v>
      </c>
      <c r="K4930" s="42" t="s">
        <v>5796</v>
      </c>
      <c r="L4930" s="39">
        <v>4928</v>
      </c>
    </row>
    <row r="4931" spans="1:12" ht="11.25" customHeight="1">
      <c r="A4931" s="39">
        <v>4929</v>
      </c>
      <c r="B4931" s="40" t="s">
        <v>22411</v>
      </c>
      <c r="C4931" s="40" t="s">
        <v>22412</v>
      </c>
      <c r="D4931" s="40" t="s">
        <v>22413</v>
      </c>
      <c r="E4931" s="41">
        <v>0.5</v>
      </c>
      <c r="F4931" s="40"/>
      <c r="G4931" s="41"/>
      <c r="H4931" s="40"/>
      <c r="I4931" s="41"/>
      <c r="J4931" s="41">
        <f t="shared" si="19"/>
        <v>0.5</v>
      </c>
      <c r="K4931" s="42" t="s">
        <v>5796</v>
      </c>
      <c r="L4931" s="39">
        <v>4929</v>
      </c>
    </row>
    <row r="4932" spans="1:12" ht="11.25" customHeight="1">
      <c r="A4932" s="39">
        <v>4930</v>
      </c>
      <c r="B4932" s="52" t="s">
        <v>10133</v>
      </c>
      <c r="C4932" s="52" t="s">
        <v>22414</v>
      </c>
      <c r="D4932" s="40"/>
      <c r="E4932" s="41"/>
      <c r="F4932" s="40"/>
      <c r="G4932" s="41"/>
      <c r="H4932" s="52" t="s">
        <v>22415</v>
      </c>
      <c r="I4932" s="53">
        <v>0.5</v>
      </c>
      <c r="J4932" s="41">
        <f t="shared" si="19"/>
        <v>0.5</v>
      </c>
      <c r="K4932" s="42" t="s">
        <v>5796</v>
      </c>
      <c r="L4932" s="39">
        <v>4930</v>
      </c>
    </row>
    <row r="4933" spans="1:12" ht="11.25" customHeight="1">
      <c r="A4933" s="39">
        <v>4931</v>
      </c>
      <c r="B4933" s="40" t="s">
        <v>22416</v>
      </c>
      <c r="C4933" s="40" t="s">
        <v>22417</v>
      </c>
      <c r="D4933" s="40" t="s">
        <v>22418</v>
      </c>
      <c r="E4933" s="41">
        <v>0.49</v>
      </c>
      <c r="F4933" s="40"/>
      <c r="G4933" s="41"/>
      <c r="H4933" s="40"/>
      <c r="I4933" s="41"/>
      <c r="J4933" s="41">
        <f t="shared" si="19"/>
        <v>0.49</v>
      </c>
      <c r="K4933" s="42" t="s">
        <v>5796</v>
      </c>
      <c r="L4933" s="39">
        <v>4931</v>
      </c>
    </row>
    <row r="4934" spans="1:12" ht="11.25" customHeight="1">
      <c r="A4934" s="39">
        <v>4932</v>
      </c>
      <c r="B4934" s="52" t="s">
        <v>10136</v>
      </c>
      <c r="C4934" s="52" t="s">
        <v>22419</v>
      </c>
      <c r="D4934" s="40"/>
      <c r="E4934" s="41"/>
      <c r="F4934" s="40"/>
      <c r="G4934" s="41"/>
      <c r="H4934" s="52" t="s">
        <v>22420</v>
      </c>
      <c r="I4934" s="53">
        <v>0.48378000000000115</v>
      </c>
      <c r="J4934" s="41">
        <f t="shared" si="19"/>
        <v>0.48378000000000115</v>
      </c>
      <c r="K4934" s="42" t="s">
        <v>5796</v>
      </c>
      <c r="L4934" s="39">
        <v>4932</v>
      </c>
    </row>
    <row r="4935" spans="1:12" ht="11.25" customHeight="1">
      <c r="A4935" s="39">
        <v>4933</v>
      </c>
      <c r="B4935" s="40" t="s">
        <v>22421</v>
      </c>
      <c r="C4935" s="40" t="s">
        <v>22422</v>
      </c>
      <c r="D4935" s="40" t="s">
        <v>22423</v>
      </c>
      <c r="E4935" s="41">
        <v>0.48</v>
      </c>
      <c r="F4935" s="40"/>
      <c r="G4935" s="41"/>
      <c r="H4935" s="40"/>
      <c r="I4935" s="41"/>
      <c r="J4935" s="41">
        <f t="shared" si="19"/>
        <v>0.48</v>
      </c>
      <c r="K4935" s="42" t="s">
        <v>5796</v>
      </c>
      <c r="L4935" s="39">
        <v>4933</v>
      </c>
    </row>
    <row r="4936" spans="1:12" ht="11.25" customHeight="1">
      <c r="A4936" s="39">
        <v>4934</v>
      </c>
      <c r="B4936" s="52" t="s">
        <v>10140</v>
      </c>
      <c r="C4936" s="52" t="s">
        <v>22424</v>
      </c>
      <c r="D4936" s="40"/>
      <c r="E4936" s="41"/>
      <c r="F4936" s="40"/>
      <c r="G4936" s="41"/>
      <c r="H4936" s="52" t="s">
        <v>22425</v>
      </c>
      <c r="I4936" s="53">
        <v>0.4676499999999994</v>
      </c>
      <c r="J4936" s="41">
        <f t="shared" si="19"/>
        <v>0.4676499999999994</v>
      </c>
      <c r="K4936" s="42" t="s">
        <v>5796</v>
      </c>
      <c r="L4936" s="39">
        <v>4934</v>
      </c>
    </row>
    <row r="4937" spans="1:12" ht="11.25" customHeight="1">
      <c r="A4937" s="39">
        <v>4935</v>
      </c>
      <c r="B4937" s="40" t="s">
        <v>22426</v>
      </c>
      <c r="C4937" s="40" t="s">
        <v>22427</v>
      </c>
      <c r="D4937" s="40" t="s">
        <v>22428</v>
      </c>
      <c r="E4937" s="41">
        <v>0.46</v>
      </c>
      <c r="F4937" s="40"/>
      <c r="G4937" s="41"/>
      <c r="H4937" s="40"/>
      <c r="I4937" s="41"/>
      <c r="J4937" s="41">
        <f t="shared" si="19"/>
        <v>0.46</v>
      </c>
      <c r="K4937" s="42" t="s">
        <v>5796</v>
      </c>
      <c r="L4937" s="39">
        <v>4935</v>
      </c>
    </row>
    <row r="4938" spans="1:12" ht="11.25" customHeight="1">
      <c r="A4938" s="39">
        <v>4936</v>
      </c>
      <c r="B4938" s="40" t="s">
        <v>22429</v>
      </c>
      <c r="C4938" s="40" t="s">
        <v>22430</v>
      </c>
      <c r="D4938" s="40" t="s">
        <v>22431</v>
      </c>
      <c r="E4938" s="41">
        <v>0.46</v>
      </c>
      <c r="F4938" s="40"/>
      <c r="G4938" s="41"/>
      <c r="H4938" s="40"/>
      <c r="I4938" s="41"/>
      <c r="J4938" s="41">
        <f t="shared" si="19"/>
        <v>0.46</v>
      </c>
      <c r="K4938" s="42" t="s">
        <v>5796</v>
      </c>
      <c r="L4938" s="39">
        <v>4936</v>
      </c>
    </row>
    <row r="4939" spans="1:12" ht="11.25" customHeight="1">
      <c r="A4939" s="39">
        <v>4937</v>
      </c>
      <c r="B4939" s="40" t="s">
        <v>22432</v>
      </c>
      <c r="C4939" s="40" t="s">
        <v>22433</v>
      </c>
      <c r="D4939" s="40" t="s">
        <v>22434</v>
      </c>
      <c r="E4939" s="41">
        <v>0.46</v>
      </c>
      <c r="F4939" s="40"/>
      <c r="G4939" s="41"/>
      <c r="H4939" s="40"/>
      <c r="I4939" s="41"/>
      <c r="J4939" s="41">
        <f t="shared" si="19"/>
        <v>0.46</v>
      </c>
      <c r="K4939" s="42" t="s">
        <v>5796</v>
      </c>
      <c r="L4939" s="39">
        <v>4937</v>
      </c>
    </row>
    <row r="4940" spans="1:12" ht="11.25" customHeight="1">
      <c r="A4940" s="39">
        <v>4938</v>
      </c>
      <c r="B4940" s="40" t="s">
        <v>22435</v>
      </c>
      <c r="C4940" s="40" t="s">
        <v>22436</v>
      </c>
      <c r="D4940" s="40" t="s">
        <v>22437</v>
      </c>
      <c r="E4940" s="41">
        <v>0.46</v>
      </c>
      <c r="F4940" s="40"/>
      <c r="G4940" s="41"/>
      <c r="H4940" s="40"/>
      <c r="I4940" s="41"/>
      <c r="J4940" s="41">
        <f t="shared" si="19"/>
        <v>0.46</v>
      </c>
      <c r="K4940" s="42" t="s">
        <v>5796</v>
      </c>
      <c r="L4940" s="39">
        <v>4938</v>
      </c>
    </row>
    <row r="4941" spans="1:12" ht="11.25" customHeight="1">
      <c r="A4941" s="39">
        <v>4939</v>
      </c>
      <c r="B4941" s="40" t="s">
        <v>22438</v>
      </c>
      <c r="C4941" s="40" t="s">
        <v>22439</v>
      </c>
      <c r="D4941" s="40" t="s">
        <v>22440</v>
      </c>
      <c r="E4941" s="41">
        <v>0.45</v>
      </c>
      <c r="F4941" s="40"/>
      <c r="G4941" s="41"/>
      <c r="H4941" s="40"/>
      <c r="I4941" s="41"/>
      <c r="J4941" s="41">
        <f t="shared" si="19"/>
        <v>0.45</v>
      </c>
      <c r="K4941" s="42" t="s">
        <v>5796</v>
      </c>
      <c r="L4941" s="39">
        <v>4939</v>
      </c>
    </row>
    <row r="4942" spans="1:12" ht="11.25" customHeight="1">
      <c r="A4942" s="39">
        <v>4940</v>
      </c>
      <c r="B4942" s="40" t="s">
        <v>22441</v>
      </c>
      <c r="C4942" s="40" t="s">
        <v>22442</v>
      </c>
      <c r="D4942" s="40" t="s">
        <v>22443</v>
      </c>
      <c r="E4942" s="41">
        <v>0.45</v>
      </c>
      <c r="F4942" s="40"/>
      <c r="G4942" s="41"/>
      <c r="H4942" s="40"/>
      <c r="I4942" s="41"/>
      <c r="J4942" s="41">
        <f t="shared" si="19"/>
        <v>0.45</v>
      </c>
      <c r="K4942" s="42" t="s">
        <v>5796</v>
      </c>
      <c r="L4942" s="39">
        <v>4940</v>
      </c>
    </row>
    <row r="4943" spans="1:12" ht="11.25" customHeight="1">
      <c r="A4943" s="39">
        <v>4941</v>
      </c>
      <c r="B4943" s="40" t="s">
        <v>22444</v>
      </c>
      <c r="C4943" s="40" t="s">
        <v>22445</v>
      </c>
      <c r="D4943" s="40" t="s">
        <v>22446</v>
      </c>
      <c r="E4943" s="41">
        <v>0.44</v>
      </c>
      <c r="F4943" s="40"/>
      <c r="G4943" s="41"/>
      <c r="H4943" s="40"/>
      <c r="I4943" s="41"/>
      <c r="J4943" s="41">
        <f t="shared" si="19"/>
        <v>0.44</v>
      </c>
      <c r="K4943" s="42" t="s">
        <v>5796</v>
      </c>
      <c r="L4943" s="39">
        <v>4941</v>
      </c>
    </row>
    <row r="4944" spans="1:12" ht="11.25" customHeight="1">
      <c r="A4944" s="39">
        <v>4942</v>
      </c>
      <c r="B4944" s="40" t="s">
        <v>22447</v>
      </c>
      <c r="C4944" s="40" t="s">
        <v>22448</v>
      </c>
      <c r="D4944" s="40" t="s">
        <v>22449</v>
      </c>
      <c r="E4944" s="41">
        <v>0.44</v>
      </c>
      <c r="F4944" s="40"/>
      <c r="G4944" s="41"/>
      <c r="H4944" s="40"/>
      <c r="I4944" s="41"/>
      <c r="J4944" s="41">
        <f t="shared" si="19"/>
        <v>0.44</v>
      </c>
      <c r="K4944" s="42" t="s">
        <v>5796</v>
      </c>
      <c r="L4944" s="39">
        <v>4942</v>
      </c>
    </row>
    <row r="4945" spans="1:12" ht="11.25" customHeight="1">
      <c r="A4945" s="39">
        <v>4943</v>
      </c>
      <c r="B4945" s="40" t="s">
        <v>22450</v>
      </c>
      <c r="C4945" s="40" t="s">
        <v>22451</v>
      </c>
      <c r="D4945" s="40" t="s">
        <v>22452</v>
      </c>
      <c r="E4945" s="41">
        <v>0.43</v>
      </c>
      <c r="F4945" s="40"/>
      <c r="G4945" s="41"/>
      <c r="H4945" s="40"/>
      <c r="I4945" s="41"/>
      <c r="J4945" s="41">
        <f t="shared" si="19"/>
        <v>0.43</v>
      </c>
      <c r="K4945" s="42" t="s">
        <v>5796</v>
      </c>
      <c r="L4945" s="39">
        <v>4943</v>
      </c>
    </row>
    <row r="4946" spans="1:12" ht="11.25" customHeight="1">
      <c r="A4946" s="39">
        <v>4944</v>
      </c>
      <c r="B4946" s="40" t="s">
        <v>22453</v>
      </c>
      <c r="C4946" s="40" t="s">
        <v>22454</v>
      </c>
      <c r="D4946" s="40" t="s">
        <v>22455</v>
      </c>
      <c r="E4946" s="41">
        <v>0.43</v>
      </c>
      <c r="F4946" s="40"/>
      <c r="G4946" s="41"/>
      <c r="H4946" s="40"/>
      <c r="I4946" s="41"/>
      <c r="J4946" s="41">
        <f t="shared" si="19"/>
        <v>0.43</v>
      </c>
      <c r="K4946" s="42" t="s">
        <v>5796</v>
      </c>
      <c r="L4946" s="39">
        <v>4944</v>
      </c>
    </row>
    <row r="4947" spans="1:12" ht="11.25" customHeight="1">
      <c r="A4947" s="39">
        <v>4945</v>
      </c>
      <c r="B4947" s="40" t="s">
        <v>22456</v>
      </c>
      <c r="C4947" s="40" t="s">
        <v>22457</v>
      </c>
      <c r="D4947" s="40" t="s">
        <v>22458</v>
      </c>
      <c r="E4947" s="41">
        <v>0.42</v>
      </c>
      <c r="F4947" s="40"/>
      <c r="G4947" s="41"/>
      <c r="H4947" s="40"/>
      <c r="I4947" s="41"/>
      <c r="J4947" s="41">
        <f t="shared" si="19"/>
        <v>0.42</v>
      </c>
      <c r="K4947" s="42" t="s">
        <v>5796</v>
      </c>
      <c r="L4947" s="39">
        <v>4945</v>
      </c>
    </row>
    <row r="4948" spans="1:12" ht="11.25" customHeight="1">
      <c r="A4948" s="39">
        <v>4946</v>
      </c>
      <c r="B4948" s="40" t="s">
        <v>22459</v>
      </c>
      <c r="C4948" s="40" t="s">
        <v>22460</v>
      </c>
      <c r="D4948" s="40" t="s">
        <v>22461</v>
      </c>
      <c r="E4948" s="41">
        <v>0.42</v>
      </c>
      <c r="F4948" s="40"/>
      <c r="G4948" s="41"/>
      <c r="H4948" s="40"/>
      <c r="I4948" s="41"/>
      <c r="J4948" s="41">
        <f t="shared" si="19"/>
        <v>0.42</v>
      </c>
      <c r="K4948" s="42" t="s">
        <v>5796</v>
      </c>
      <c r="L4948" s="39">
        <v>4946</v>
      </c>
    </row>
    <row r="4949" spans="1:12" ht="11.25" customHeight="1">
      <c r="A4949" s="39">
        <v>4947</v>
      </c>
      <c r="B4949" s="40" t="s">
        <v>22462</v>
      </c>
      <c r="C4949" s="40" t="s">
        <v>22463</v>
      </c>
      <c r="D4949" s="40" t="s">
        <v>22464</v>
      </c>
      <c r="E4949" s="41">
        <v>0.4</v>
      </c>
      <c r="F4949" s="40"/>
      <c r="G4949" s="41"/>
      <c r="H4949" s="40"/>
      <c r="I4949" s="41"/>
      <c r="J4949" s="41">
        <f t="shared" si="19"/>
        <v>0.4</v>
      </c>
      <c r="K4949" s="42" t="s">
        <v>5796</v>
      </c>
      <c r="L4949" s="39">
        <v>4947</v>
      </c>
    </row>
    <row r="4950" spans="1:12" ht="11.25" customHeight="1">
      <c r="A4950" s="39">
        <v>4948</v>
      </c>
      <c r="B4950" s="52" t="s">
        <v>10154</v>
      </c>
      <c r="C4950" s="52" t="s">
        <v>22465</v>
      </c>
      <c r="D4950" s="40"/>
      <c r="E4950" s="41"/>
      <c r="F4950" s="40"/>
      <c r="G4950" s="41"/>
      <c r="H4950" s="52" t="s">
        <v>22466</v>
      </c>
      <c r="I4950" s="53">
        <v>0.39571699999999949</v>
      </c>
      <c r="J4950" s="41">
        <f t="shared" si="19"/>
        <v>0.39571699999999949</v>
      </c>
      <c r="K4950" s="42" t="s">
        <v>5796</v>
      </c>
      <c r="L4950" s="39">
        <v>4948</v>
      </c>
    </row>
    <row r="4951" spans="1:12" ht="11.25" customHeight="1">
      <c r="A4951" s="39">
        <v>4949</v>
      </c>
      <c r="B4951" s="40" t="s">
        <v>22467</v>
      </c>
      <c r="C4951" s="40" t="s">
        <v>22468</v>
      </c>
      <c r="D4951" s="40" t="s">
        <v>22469</v>
      </c>
      <c r="E4951" s="41">
        <v>0.39</v>
      </c>
      <c r="F4951" s="40"/>
      <c r="G4951" s="41"/>
      <c r="H4951" s="40"/>
      <c r="I4951" s="41"/>
      <c r="J4951" s="41">
        <f t="shared" si="19"/>
        <v>0.39</v>
      </c>
      <c r="K4951" s="42" t="s">
        <v>5796</v>
      </c>
      <c r="L4951" s="39">
        <v>4949</v>
      </c>
    </row>
    <row r="4952" spans="1:12" ht="11.25" customHeight="1">
      <c r="A4952" s="39">
        <v>4950</v>
      </c>
      <c r="B4952" s="52" t="s">
        <v>10156</v>
      </c>
      <c r="C4952" s="52" t="s">
        <v>22470</v>
      </c>
      <c r="D4952" s="40"/>
      <c r="E4952" s="41"/>
      <c r="F4952" s="40"/>
      <c r="G4952" s="41"/>
      <c r="H4952" s="52" t="s">
        <v>22471</v>
      </c>
      <c r="I4952" s="53">
        <v>0.38192000000000048</v>
      </c>
      <c r="J4952" s="41">
        <f t="shared" si="19"/>
        <v>0.38192000000000048</v>
      </c>
      <c r="K4952" s="42" t="s">
        <v>5796</v>
      </c>
      <c r="L4952" s="39">
        <v>4950</v>
      </c>
    </row>
    <row r="4953" spans="1:12" ht="11.25" customHeight="1">
      <c r="A4953" s="39">
        <v>4951</v>
      </c>
      <c r="B4953" s="40" t="s">
        <v>22472</v>
      </c>
      <c r="C4953" s="40" t="s">
        <v>22473</v>
      </c>
      <c r="D4953" s="40" t="s">
        <v>22474</v>
      </c>
      <c r="E4953" s="41">
        <v>0.38</v>
      </c>
      <c r="F4953" s="40"/>
      <c r="G4953" s="41"/>
      <c r="H4953" s="40"/>
      <c r="I4953" s="41"/>
      <c r="J4953" s="41">
        <f t="shared" si="19"/>
        <v>0.38</v>
      </c>
      <c r="K4953" s="42" t="s">
        <v>5796</v>
      </c>
      <c r="L4953" s="39">
        <v>4951</v>
      </c>
    </row>
    <row r="4954" spans="1:12" ht="11.25" customHeight="1">
      <c r="A4954" s="39">
        <v>4952</v>
      </c>
      <c r="B4954" s="40" t="s">
        <v>22475</v>
      </c>
      <c r="C4954" s="40" t="s">
        <v>22476</v>
      </c>
      <c r="D4954" s="40" t="s">
        <v>22477</v>
      </c>
      <c r="E4954" s="41">
        <v>0.38</v>
      </c>
      <c r="F4954" s="40"/>
      <c r="G4954" s="41"/>
      <c r="H4954" s="40"/>
      <c r="I4954" s="41"/>
      <c r="J4954" s="41">
        <f t="shared" si="19"/>
        <v>0.38</v>
      </c>
      <c r="K4954" s="42" t="s">
        <v>5796</v>
      </c>
      <c r="L4954" s="39">
        <v>4952</v>
      </c>
    </row>
    <row r="4955" spans="1:12" ht="11.25" customHeight="1">
      <c r="A4955" s="39">
        <v>4953</v>
      </c>
      <c r="B4955" s="40" t="s">
        <v>22478</v>
      </c>
      <c r="C4955" s="40" t="s">
        <v>22479</v>
      </c>
      <c r="D4955" s="40" t="s">
        <v>22480</v>
      </c>
      <c r="E4955" s="41">
        <v>0.37</v>
      </c>
      <c r="F4955" s="40"/>
      <c r="G4955" s="41"/>
      <c r="H4955" s="40"/>
      <c r="I4955" s="41"/>
      <c r="J4955" s="41">
        <f t="shared" si="19"/>
        <v>0.37</v>
      </c>
      <c r="K4955" s="42" t="s">
        <v>5796</v>
      </c>
      <c r="L4955" s="39">
        <v>4953</v>
      </c>
    </row>
    <row r="4956" spans="1:12" ht="11.25" customHeight="1">
      <c r="A4956" s="39">
        <v>4954</v>
      </c>
      <c r="B4956" s="40" t="s">
        <v>22481</v>
      </c>
      <c r="C4956" s="40" t="s">
        <v>22482</v>
      </c>
      <c r="D4956" s="40" t="s">
        <v>22483</v>
      </c>
      <c r="E4956" s="41">
        <v>0.37</v>
      </c>
      <c r="F4956" s="40"/>
      <c r="G4956" s="41"/>
      <c r="H4956" s="40"/>
      <c r="I4956" s="41"/>
      <c r="J4956" s="41">
        <f t="shared" si="19"/>
        <v>0.37</v>
      </c>
      <c r="K4956" s="42" t="s">
        <v>5796</v>
      </c>
      <c r="L4956" s="39">
        <v>4954</v>
      </c>
    </row>
    <row r="4957" spans="1:12" ht="11.25" customHeight="1">
      <c r="A4957" s="39">
        <v>4955</v>
      </c>
      <c r="B4957" s="52" t="s">
        <v>10163</v>
      </c>
      <c r="C4957" s="52" t="s">
        <v>22484</v>
      </c>
      <c r="D4957" s="40"/>
      <c r="E4957" s="41"/>
      <c r="F4957" s="40"/>
      <c r="G4957" s="41"/>
      <c r="H4957" s="52" t="s">
        <v>22485</v>
      </c>
      <c r="I4957" s="53">
        <v>0.36106399999999944</v>
      </c>
      <c r="J4957" s="41">
        <f t="shared" si="19"/>
        <v>0.36106399999999944</v>
      </c>
      <c r="K4957" s="42" t="s">
        <v>5796</v>
      </c>
      <c r="L4957" s="39">
        <v>4955</v>
      </c>
    </row>
    <row r="4958" spans="1:12" ht="11.25" customHeight="1">
      <c r="A4958" s="39">
        <v>4956</v>
      </c>
      <c r="B4958" s="40" t="s">
        <v>22486</v>
      </c>
      <c r="C4958" s="40" t="s">
        <v>22487</v>
      </c>
      <c r="D4958" s="40" t="s">
        <v>22488</v>
      </c>
      <c r="E4958" s="41">
        <v>0.36</v>
      </c>
      <c r="F4958" s="40"/>
      <c r="G4958" s="41"/>
      <c r="H4958" s="40"/>
      <c r="I4958" s="41"/>
      <c r="J4958" s="41">
        <f t="shared" si="19"/>
        <v>0.36</v>
      </c>
      <c r="K4958" s="42" t="s">
        <v>5796</v>
      </c>
      <c r="L4958" s="39">
        <v>4956</v>
      </c>
    </row>
    <row r="4959" spans="1:12" ht="11.25" customHeight="1">
      <c r="A4959" s="39">
        <v>4957</v>
      </c>
      <c r="B4959" s="40" t="s">
        <v>22489</v>
      </c>
      <c r="C4959" s="40" t="s">
        <v>22490</v>
      </c>
      <c r="D4959" s="40" t="s">
        <v>22491</v>
      </c>
      <c r="E4959" s="41">
        <v>0.36</v>
      </c>
      <c r="F4959" s="40"/>
      <c r="G4959" s="41"/>
      <c r="H4959" s="40"/>
      <c r="I4959" s="41"/>
      <c r="J4959" s="41">
        <f t="shared" si="19"/>
        <v>0.36</v>
      </c>
      <c r="K4959" s="42" t="s">
        <v>5796</v>
      </c>
      <c r="L4959" s="39">
        <v>4957</v>
      </c>
    </row>
    <row r="4960" spans="1:12" ht="11.25" customHeight="1">
      <c r="A4960" s="39">
        <v>4958</v>
      </c>
      <c r="B4960" s="40" t="s">
        <v>22492</v>
      </c>
      <c r="C4960" s="40" t="s">
        <v>22493</v>
      </c>
      <c r="D4960" s="40" t="s">
        <v>22494</v>
      </c>
      <c r="E4960" s="41">
        <v>0.34</v>
      </c>
      <c r="F4960" s="40"/>
      <c r="G4960" s="41"/>
      <c r="H4960" s="40"/>
      <c r="I4960" s="41"/>
      <c r="J4960" s="41">
        <f t="shared" si="19"/>
        <v>0.34</v>
      </c>
      <c r="K4960" s="42" t="s">
        <v>5796</v>
      </c>
      <c r="L4960" s="39">
        <v>4958</v>
      </c>
    </row>
    <row r="4961" spans="1:12" ht="11.25" customHeight="1">
      <c r="A4961" s="39">
        <v>4959</v>
      </c>
      <c r="B4961" s="40" t="s">
        <v>22495</v>
      </c>
      <c r="C4961" s="40" t="s">
        <v>22496</v>
      </c>
      <c r="D4961" s="40" t="s">
        <v>22497</v>
      </c>
      <c r="E4961" s="41">
        <v>0.34</v>
      </c>
      <c r="F4961" s="40"/>
      <c r="G4961" s="41"/>
      <c r="H4961" s="40"/>
      <c r="I4961" s="41"/>
      <c r="J4961" s="41">
        <f t="shared" si="19"/>
        <v>0.34</v>
      </c>
      <c r="K4961" s="42" t="s">
        <v>5796</v>
      </c>
      <c r="L4961" s="39">
        <v>4959</v>
      </c>
    </row>
    <row r="4962" spans="1:12" ht="11.25" customHeight="1">
      <c r="A4962" s="39">
        <v>4960</v>
      </c>
      <c r="B4962" s="40" t="s">
        <v>22498</v>
      </c>
      <c r="C4962" s="40" t="s">
        <v>22499</v>
      </c>
      <c r="D4962" s="40" t="s">
        <v>22500</v>
      </c>
      <c r="E4962" s="41">
        <v>0.33</v>
      </c>
      <c r="F4962" s="40"/>
      <c r="G4962" s="41"/>
      <c r="H4962" s="40"/>
      <c r="I4962" s="41"/>
      <c r="J4962" s="41">
        <f t="shared" si="19"/>
        <v>0.33</v>
      </c>
      <c r="K4962" s="42" t="s">
        <v>5796</v>
      </c>
      <c r="L4962" s="39">
        <v>4960</v>
      </c>
    </row>
    <row r="4963" spans="1:12" ht="11.25" customHeight="1">
      <c r="A4963" s="39">
        <v>4961</v>
      </c>
      <c r="B4963" s="40" t="s">
        <v>22501</v>
      </c>
      <c r="C4963" s="40" t="s">
        <v>22502</v>
      </c>
      <c r="D4963" s="40" t="s">
        <v>22503</v>
      </c>
      <c r="E4963" s="41">
        <v>0.33</v>
      </c>
      <c r="F4963" s="40"/>
      <c r="G4963" s="41"/>
      <c r="H4963" s="40"/>
      <c r="I4963" s="41"/>
      <c r="J4963" s="41">
        <f t="shared" si="19"/>
        <v>0.33</v>
      </c>
      <c r="K4963" s="42" t="s">
        <v>5796</v>
      </c>
      <c r="L4963" s="39">
        <v>4961</v>
      </c>
    </row>
    <row r="4964" spans="1:12" ht="11.25" customHeight="1">
      <c r="A4964" s="39">
        <v>4962</v>
      </c>
      <c r="B4964" s="52" t="s">
        <v>10172</v>
      </c>
      <c r="C4964" s="52" t="s">
        <v>22504</v>
      </c>
      <c r="D4964" s="40"/>
      <c r="E4964" s="41"/>
      <c r="F4964" s="40"/>
      <c r="G4964" s="41"/>
      <c r="H4964" s="52" t="s">
        <v>22505</v>
      </c>
      <c r="I4964" s="53">
        <v>0.32400000000000018</v>
      </c>
      <c r="J4964" s="41">
        <f t="shared" si="19"/>
        <v>0.32400000000000018</v>
      </c>
      <c r="K4964" s="42" t="s">
        <v>5796</v>
      </c>
      <c r="L4964" s="39">
        <v>4962</v>
      </c>
    </row>
    <row r="4965" spans="1:12" ht="11.25" customHeight="1">
      <c r="A4965" s="39">
        <v>4963</v>
      </c>
      <c r="B4965" s="40" t="s">
        <v>22506</v>
      </c>
      <c r="C4965" s="40" t="s">
        <v>22507</v>
      </c>
      <c r="D4965" s="40" t="s">
        <v>22508</v>
      </c>
      <c r="E4965" s="41">
        <v>0.32</v>
      </c>
      <c r="F4965" s="40"/>
      <c r="G4965" s="41"/>
      <c r="H4965" s="40"/>
      <c r="I4965" s="41"/>
      <c r="J4965" s="41">
        <f t="shared" si="19"/>
        <v>0.32</v>
      </c>
      <c r="K4965" s="42" t="s">
        <v>5796</v>
      </c>
      <c r="L4965" s="39">
        <v>4963</v>
      </c>
    </row>
    <row r="4966" spans="1:12" ht="11.25" customHeight="1">
      <c r="A4966" s="39">
        <v>4964</v>
      </c>
      <c r="B4966" s="40" t="s">
        <v>22509</v>
      </c>
      <c r="C4966" s="40" t="s">
        <v>22510</v>
      </c>
      <c r="D4966" s="40" t="s">
        <v>22511</v>
      </c>
      <c r="E4966" s="41">
        <v>0.32</v>
      </c>
      <c r="F4966" s="40"/>
      <c r="G4966" s="41"/>
      <c r="H4966" s="40"/>
      <c r="I4966" s="41"/>
      <c r="J4966" s="41">
        <f t="shared" si="19"/>
        <v>0.32</v>
      </c>
      <c r="K4966" s="42" t="s">
        <v>5796</v>
      </c>
      <c r="L4966" s="39">
        <v>4964</v>
      </c>
    </row>
    <row r="4967" spans="1:12" ht="11.25" customHeight="1">
      <c r="A4967" s="39">
        <v>4965</v>
      </c>
      <c r="B4967" s="40" t="s">
        <v>22512</v>
      </c>
      <c r="C4967" s="40" t="s">
        <v>22513</v>
      </c>
      <c r="D4967" s="40" t="s">
        <v>22514</v>
      </c>
      <c r="E4967" s="41">
        <v>0.32</v>
      </c>
      <c r="F4967" s="40"/>
      <c r="G4967" s="41"/>
      <c r="H4967" s="40"/>
      <c r="I4967" s="41"/>
      <c r="J4967" s="41">
        <f t="shared" si="19"/>
        <v>0.32</v>
      </c>
      <c r="K4967" s="42" t="s">
        <v>5796</v>
      </c>
      <c r="L4967" s="39">
        <v>4965</v>
      </c>
    </row>
    <row r="4968" spans="1:12" ht="11.25" customHeight="1">
      <c r="A4968" s="39">
        <v>4966</v>
      </c>
      <c r="B4968" s="40" t="s">
        <v>22515</v>
      </c>
      <c r="C4968" s="40" t="s">
        <v>22516</v>
      </c>
      <c r="D4968" s="40" t="s">
        <v>22517</v>
      </c>
      <c r="E4968" s="41">
        <v>0.32</v>
      </c>
      <c r="F4968" s="40"/>
      <c r="G4968" s="41"/>
      <c r="H4968" s="40"/>
      <c r="I4968" s="41"/>
      <c r="J4968" s="41">
        <f t="shared" si="19"/>
        <v>0.32</v>
      </c>
      <c r="K4968" s="42" t="s">
        <v>5796</v>
      </c>
      <c r="L4968" s="39">
        <v>4966</v>
      </c>
    </row>
    <row r="4969" spans="1:12" ht="11.25" customHeight="1">
      <c r="A4969" s="39">
        <v>4967</v>
      </c>
      <c r="B4969" s="40" t="s">
        <v>22518</v>
      </c>
      <c r="C4969" s="40" t="s">
        <v>22519</v>
      </c>
      <c r="D4969" s="40" t="s">
        <v>22520</v>
      </c>
      <c r="E4969" s="41">
        <v>0.3</v>
      </c>
      <c r="F4969" s="40"/>
      <c r="G4969" s="41"/>
      <c r="H4969" s="40"/>
      <c r="I4969" s="41"/>
      <c r="J4969" s="41">
        <f t="shared" si="19"/>
        <v>0.3</v>
      </c>
      <c r="K4969" s="42" t="s">
        <v>5796</v>
      </c>
      <c r="L4969" s="39">
        <v>4967</v>
      </c>
    </row>
    <row r="4970" spans="1:12" ht="11.25" customHeight="1">
      <c r="A4970" s="39">
        <v>4968</v>
      </c>
      <c r="B4970" s="54" t="s">
        <v>9685</v>
      </c>
      <c r="C4970" s="54" t="s">
        <v>22521</v>
      </c>
      <c r="D4970" s="40"/>
      <c r="E4970" s="41"/>
      <c r="F4970" s="40"/>
      <c r="G4970" s="41"/>
      <c r="H4970" s="54" t="s">
        <v>22522</v>
      </c>
      <c r="I4970" s="41">
        <v>0.293904</v>
      </c>
      <c r="J4970" s="41">
        <f t="shared" si="19"/>
        <v>0.293904</v>
      </c>
      <c r="K4970" s="42" t="s">
        <v>5796</v>
      </c>
      <c r="L4970" s="39">
        <v>4968</v>
      </c>
    </row>
    <row r="4971" spans="1:12" ht="11.25" customHeight="1">
      <c r="A4971" s="39">
        <v>4969</v>
      </c>
      <c r="B4971" s="40" t="s">
        <v>22523</v>
      </c>
      <c r="C4971" s="40" t="s">
        <v>22524</v>
      </c>
      <c r="D4971" s="40" t="s">
        <v>22525</v>
      </c>
      <c r="E4971" s="41">
        <v>0.27</v>
      </c>
      <c r="F4971" s="40"/>
      <c r="G4971" s="41"/>
      <c r="H4971" s="40"/>
      <c r="I4971" s="41"/>
      <c r="J4971" s="41">
        <f t="shared" si="19"/>
        <v>0.27</v>
      </c>
      <c r="K4971" s="42" t="s">
        <v>5796</v>
      </c>
      <c r="L4971" s="39">
        <v>4969</v>
      </c>
    </row>
    <row r="4972" spans="1:12" ht="11.25" customHeight="1">
      <c r="A4972" s="39">
        <v>4970</v>
      </c>
      <c r="B4972" s="54" t="s">
        <v>10237</v>
      </c>
      <c r="C4972" s="54" t="s">
        <v>22526</v>
      </c>
      <c r="D4972" s="40"/>
      <c r="E4972" s="41"/>
      <c r="F4972" s="40"/>
      <c r="G4972" s="41"/>
      <c r="H4972" s="54" t="s">
        <v>22527</v>
      </c>
      <c r="I4972" s="41">
        <v>0.255</v>
      </c>
      <c r="J4972" s="41">
        <f t="shared" si="19"/>
        <v>0.255</v>
      </c>
      <c r="K4972" s="42" t="s">
        <v>5796</v>
      </c>
      <c r="L4972" s="39">
        <v>4970</v>
      </c>
    </row>
    <row r="4973" spans="1:12" ht="11.25" customHeight="1">
      <c r="A4973" s="39">
        <v>4971</v>
      </c>
      <c r="B4973" s="52" t="s">
        <v>10184</v>
      </c>
      <c r="C4973" s="52" t="s">
        <v>22528</v>
      </c>
      <c r="D4973" s="40"/>
      <c r="E4973" s="41"/>
      <c r="F4973" s="40"/>
      <c r="G4973" s="41"/>
      <c r="H4973" s="52" t="s">
        <v>22529</v>
      </c>
      <c r="I4973" s="53">
        <v>0.25</v>
      </c>
      <c r="J4973" s="41">
        <f t="shared" si="19"/>
        <v>0.25</v>
      </c>
      <c r="K4973" s="42" t="s">
        <v>5796</v>
      </c>
      <c r="L4973" s="39">
        <v>4971</v>
      </c>
    </row>
    <row r="4974" spans="1:12" ht="11.25" customHeight="1">
      <c r="A4974" s="39">
        <v>4972</v>
      </c>
      <c r="B4974" s="52" t="s">
        <v>10185</v>
      </c>
      <c r="C4974" s="52" t="s">
        <v>22530</v>
      </c>
      <c r="D4974" s="40"/>
      <c r="E4974" s="41"/>
      <c r="F4974" s="40"/>
      <c r="G4974" s="41"/>
      <c r="H4974" s="52" t="s">
        <v>22531</v>
      </c>
      <c r="I4974" s="53">
        <v>0.24899999999999953</v>
      </c>
      <c r="J4974" s="41">
        <f t="shared" si="19"/>
        <v>0.24899999999999953</v>
      </c>
      <c r="K4974" s="42" t="s">
        <v>5796</v>
      </c>
      <c r="L4974" s="39">
        <v>4972</v>
      </c>
    </row>
    <row r="4975" spans="1:12" ht="11.25" customHeight="1">
      <c r="A4975" s="39">
        <v>4973</v>
      </c>
      <c r="B4975" s="52" t="s">
        <v>10186</v>
      </c>
      <c r="C4975" s="52" t="s">
        <v>22532</v>
      </c>
      <c r="D4975" s="40"/>
      <c r="E4975" s="41"/>
      <c r="F4975" s="40"/>
      <c r="G4975" s="41"/>
      <c r="H4975" s="52" t="s">
        <v>22533</v>
      </c>
      <c r="I4975" s="53">
        <v>0.24800000000000039</v>
      </c>
      <c r="J4975" s="41">
        <f t="shared" si="19"/>
        <v>0.24800000000000039</v>
      </c>
      <c r="K4975" s="42" t="s">
        <v>5796</v>
      </c>
      <c r="L4975" s="39">
        <v>4973</v>
      </c>
    </row>
    <row r="4976" spans="1:12" ht="11.25" customHeight="1">
      <c r="A4976" s="39">
        <v>4974</v>
      </c>
      <c r="B4976" s="52" t="s">
        <v>10187</v>
      </c>
      <c r="C4976" s="52" t="s">
        <v>22534</v>
      </c>
      <c r="D4976" s="40"/>
      <c r="E4976" s="41"/>
      <c r="F4976" s="40"/>
      <c r="G4976" s="41"/>
      <c r="H4976" s="52" t="s">
        <v>22535</v>
      </c>
      <c r="I4976" s="53">
        <v>0.23999999999999938</v>
      </c>
      <c r="J4976" s="41">
        <f t="shared" si="19"/>
        <v>0.23999999999999938</v>
      </c>
      <c r="K4976" s="42" t="s">
        <v>5796</v>
      </c>
      <c r="L4976" s="39">
        <v>4974</v>
      </c>
    </row>
    <row r="4977" spans="1:12" ht="11.25" customHeight="1">
      <c r="A4977" s="39">
        <v>4975</v>
      </c>
      <c r="B4977" s="40" t="s">
        <v>22536</v>
      </c>
      <c r="C4977" s="40" t="s">
        <v>22537</v>
      </c>
      <c r="D4977" s="40" t="s">
        <v>22538</v>
      </c>
      <c r="E4977" s="41">
        <v>0.23</v>
      </c>
      <c r="F4977" s="40"/>
      <c r="G4977" s="41"/>
      <c r="H4977" s="40"/>
      <c r="I4977" s="41"/>
      <c r="J4977" s="41">
        <f t="shared" si="19"/>
        <v>0.23</v>
      </c>
      <c r="K4977" s="42" t="s">
        <v>5796</v>
      </c>
      <c r="L4977" s="39">
        <v>4975</v>
      </c>
    </row>
    <row r="4978" spans="1:12" ht="11.25" customHeight="1">
      <c r="A4978" s="39">
        <v>4976</v>
      </c>
      <c r="B4978" s="40" t="s">
        <v>22539</v>
      </c>
      <c r="C4978" s="40" t="s">
        <v>22540</v>
      </c>
      <c r="D4978" s="40" t="s">
        <v>22541</v>
      </c>
      <c r="E4978" s="41">
        <v>0.22</v>
      </c>
      <c r="F4978" s="40"/>
      <c r="G4978" s="41"/>
      <c r="H4978" s="40"/>
      <c r="I4978" s="41"/>
      <c r="J4978" s="41">
        <f t="shared" si="19"/>
        <v>0.22</v>
      </c>
      <c r="K4978" s="42" t="s">
        <v>5796</v>
      </c>
      <c r="L4978" s="39">
        <v>4976</v>
      </c>
    </row>
    <row r="4979" spans="1:12" ht="11.25" customHeight="1">
      <c r="A4979" s="39">
        <v>4977</v>
      </c>
      <c r="B4979" s="40" t="s">
        <v>22542</v>
      </c>
      <c r="C4979" s="40" t="s">
        <v>22543</v>
      </c>
      <c r="D4979" s="40" t="s">
        <v>22544</v>
      </c>
      <c r="E4979" s="41">
        <v>0.22</v>
      </c>
      <c r="F4979" s="40"/>
      <c r="G4979" s="41"/>
      <c r="H4979" s="40"/>
      <c r="I4979" s="41"/>
      <c r="J4979" s="41">
        <f t="shared" si="19"/>
        <v>0.22</v>
      </c>
      <c r="K4979" s="42" t="s">
        <v>5796</v>
      </c>
      <c r="L4979" s="39">
        <v>4977</v>
      </c>
    </row>
    <row r="4980" spans="1:12" ht="11.25" customHeight="1">
      <c r="A4980" s="39">
        <v>4978</v>
      </c>
      <c r="B4980" s="40" t="s">
        <v>22545</v>
      </c>
      <c r="C4980" s="40" t="s">
        <v>22546</v>
      </c>
      <c r="D4980" s="40" t="s">
        <v>22547</v>
      </c>
      <c r="E4980" s="41">
        <v>0.21</v>
      </c>
      <c r="F4980" s="40"/>
      <c r="G4980" s="41"/>
      <c r="H4980" s="40"/>
      <c r="I4980" s="41"/>
      <c r="J4980" s="41">
        <f t="shared" si="19"/>
        <v>0.21</v>
      </c>
      <c r="K4980" s="42" t="s">
        <v>5796</v>
      </c>
      <c r="L4980" s="39">
        <v>4978</v>
      </c>
    </row>
    <row r="4981" spans="1:12" ht="11.25" customHeight="1">
      <c r="A4981" s="39">
        <v>4979</v>
      </c>
      <c r="B4981" s="40" t="s">
        <v>22548</v>
      </c>
      <c r="C4981" s="40" t="s">
        <v>22549</v>
      </c>
      <c r="D4981" s="40" t="s">
        <v>22550</v>
      </c>
      <c r="E4981" s="41">
        <v>0.2</v>
      </c>
      <c r="F4981" s="40"/>
      <c r="G4981" s="41"/>
      <c r="H4981" s="40"/>
      <c r="I4981" s="41"/>
      <c r="J4981" s="41">
        <f t="shared" si="19"/>
        <v>0.2</v>
      </c>
      <c r="K4981" s="42" t="s">
        <v>5796</v>
      </c>
      <c r="L4981" s="39">
        <v>4979</v>
      </c>
    </row>
    <row r="4982" spans="1:12" ht="11.25" customHeight="1">
      <c r="A4982" s="39">
        <v>4980</v>
      </c>
      <c r="B4982" s="40" t="s">
        <v>22551</v>
      </c>
      <c r="C4982" s="40" t="s">
        <v>22552</v>
      </c>
      <c r="D4982" s="40" t="s">
        <v>22553</v>
      </c>
      <c r="E4982" s="41">
        <v>0.2</v>
      </c>
      <c r="F4982" s="40"/>
      <c r="G4982" s="41"/>
      <c r="H4982" s="40"/>
      <c r="I4982" s="41"/>
      <c r="J4982" s="41">
        <f t="shared" si="19"/>
        <v>0.2</v>
      </c>
      <c r="K4982" s="42" t="s">
        <v>5796</v>
      </c>
      <c r="L4982" s="39">
        <v>4980</v>
      </c>
    </row>
    <row r="4983" spans="1:12" ht="11.25" customHeight="1">
      <c r="A4983" s="39">
        <v>4981</v>
      </c>
      <c r="B4983" s="40" t="s">
        <v>10191</v>
      </c>
      <c r="C4983" s="40" t="s">
        <v>22554</v>
      </c>
      <c r="D4983" s="40" t="s">
        <v>22555</v>
      </c>
      <c r="E4983" s="41">
        <v>0.2</v>
      </c>
      <c r="F4983" s="40"/>
      <c r="G4983" s="41"/>
      <c r="H4983" s="40"/>
      <c r="I4983" s="41"/>
      <c r="J4983" s="41">
        <f t="shared" si="19"/>
        <v>0.2</v>
      </c>
      <c r="K4983" s="42" t="s">
        <v>5796</v>
      </c>
      <c r="L4983" s="39">
        <v>4981</v>
      </c>
    </row>
    <row r="4984" spans="1:12" ht="11.25" customHeight="1">
      <c r="A4984" s="39">
        <v>4982</v>
      </c>
      <c r="B4984" s="52" t="s">
        <v>10196</v>
      </c>
      <c r="C4984" s="52" t="s">
        <v>22556</v>
      </c>
      <c r="D4984" s="40"/>
      <c r="E4984" s="41"/>
      <c r="F4984" s="40"/>
      <c r="G4984" s="41"/>
      <c r="H4984" s="52" t="s">
        <v>22557</v>
      </c>
      <c r="I4984" s="53">
        <v>0.19999999999999954</v>
      </c>
      <c r="J4984" s="41">
        <f t="shared" si="19"/>
        <v>0.19999999999999954</v>
      </c>
      <c r="K4984" s="42" t="s">
        <v>5796</v>
      </c>
      <c r="L4984" s="39">
        <v>4982</v>
      </c>
    </row>
    <row r="4985" spans="1:12" ht="11.25" customHeight="1">
      <c r="A4985" s="39">
        <v>4983</v>
      </c>
      <c r="B4985" s="52" t="s">
        <v>10197</v>
      </c>
      <c r="C4985" s="52" t="s">
        <v>22558</v>
      </c>
      <c r="D4985" s="40"/>
      <c r="E4985" s="41"/>
      <c r="F4985" s="40"/>
      <c r="G4985" s="41"/>
      <c r="H4985" s="52" t="s">
        <v>22559</v>
      </c>
      <c r="I4985" s="53">
        <v>0.19999999999999954</v>
      </c>
      <c r="J4985" s="41">
        <f t="shared" si="19"/>
        <v>0.19999999999999954</v>
      </c>
      <c r="K4985" s="42" t="s">
        <v>5796</v>
      </c>
      <c r="L4985" s="39">
        <v>4983</v>
      </c>
    </row>
    <row r="4986" spans="1:12" ht="11.25" customHeight="1">
      <c r="A4986" s="39">
        <v>4984</v>
      </c>
      <c r="B4986" s="54" t="s">
        <v>10241</v>
      </c>
      <c r="C4986" s="54" t="s">
        <v>22560</v>
      </c>
      <c r="D4986" s="40"/>
      <c r="E4986" s="41"/>
      <c r="F4986" s="40"/>
      <c r="G4986" s="41"/>
      <c r="H4986" s="54" t="s">
        <v>22561</v>
      </c>
      <c r="I4986" s="41">
        <v>0.18375</v>
      </c>
      <c r="J4986" s="41">
        <f t="shared" si="19"/>
        <v>0.18375</v>
      </c>
      <c r="K4986" s="42" t="s">
        <v>5796</v>
      </c>
      <c r="L4986" s="39">
        <v>4984</v>
      </c>
    </row>
    <row r="4987" spans="1:12" ht="11.25" customHeight="1">
      <c r="A4987" s="39">
        <v>4985</v>
      </c>
      <c r="B4987" s="40" t="s">
        <v>22562</v>
      </c>
      <c r="C4987" s="40" t="s">
        <v>22563</v>
      </c>
      <c r="D4987" s="40" t="s">
        <v>22564</v>
      </c>
      <c r="E4987" s="41">
        <v>0.18</v>
      </c>
      <c r="F4987" s="40"/>
      <c r="G4987" s="41"/>
      <c r="H4987" s="40"/>
      <c r="I4987" s="41"/>
      <c r="J4987" s="41">
        <f t="shared" si="19"/>
        <v>0.18</v>
      </c>
      <c r="K4987" s="42" t="s">
        <v>5796</v>
      </c>
      <c r="L4987" s="39">
        <v>4985</v>
      </c>
    </row>
    <row r="4988" spans="1:12" ht="11.25" customHeight="1">
      <c r="A4988" s="39">
        <v>4986</v>
      </c>
      <c r="B4988" s="40" t="s">
        <v>22565</v>
      </c>
      <c r="C4988" s="40" t="s">
        <v>22566</v>
      </c>
      <c r="D4988" s="40" t="s">
        <v>22567</v>
      </c>
      <c r="E4988" s="41">
        <v>0.18</v>
      </c>
      <c r="F4988" s="40"/>
      <c r="G4988" s="41"/>
      <c r="H4988" s="40"/>
      <c r="I4988" s="41"/>
      <c r="J4988" s="41">
        <f t="shared" si="19"/>
        <v>0.18</v>
      </c>
      <c r="K4988" s="42" t="s">
        <v>5796</v>
      </c>
      <c r="L4988" s="39">
        <v>4986</v>
      </c>
    </row>
    <row r="4989" spans="1:12" ht="11.25" customHeight="1">
      <c r="A4989" s="39">
        <v>4987</v>
      </c>
      <c r="B4989" s="40" t="s">
        <v>22568</v>
      </c>
      <c r="C4989" s="40" t="s">
        <v>22569</v>
      </c>
      <c r="D4989" s="40" t="s">
        <v>22570</v>
      </c>
      <c r="E4989" s="41">
        <v>0.16</v>
      </c>
      <c r="F4989" s="40"/>
      <c r="G4989" s="41"/>
      <c r="H4989" s="40"/>
      <c r="I4989" s="41"/>
      <c r="J4989" s="41">
        <f t="shared" si="19"/>
        <v>0.16</v>
      </c>
      <c r="K4989" s="42" t="s">
        <v>5796</v>
      </c>
      <c r="L4989" s="39">
        <v>4987</v>
      </c>
    </row>
    <row r="4990" spans="1:12" ht="11.25" customHeight="1">
      <c r="A4990" s="39">
        <v>4988</v>
      </c>
      <c r="B4990" s="40" t="s">
        <v>22571</v>
      </c>
      <c r="C4990" s="40" t="s">
        <v>22572</v>
      </c>
      <c r="D4990" s="40" t="s">
        <v>22573</v>
      </c>
      <c r="E4990" s="41">
        <v>0.16</v>
      </c>
      <c r="F4990" s="40"/>
      <c r="G4990" s="41"/>
      <c r="H4990" s="40"/>
      <c r="I4990" s="41"/>
      <c r="J4990" s="41">
        <f t="shared" si="19"/>
        <v>0.16</v>
      </c>
      <c r="K4990" s="42" t="s">
        <v>5796</v>
      </c>
      <c r="L4990" s="39">
        <v>4988</v>
      </c>
    </row>
    <row r="4991" spans="1:12" ht="11.25" customHeight="1">
      <c r="A4991" s="39">
        <v>4989</v>
      </c>
      <c r="B4991" s="40" t="s">
        <v>22574</v>
      </c>
      <c r="C4991" s="40" t="s">
        <v>22575</v>
      </c>
      <c r="D4991" s="40" t="s">
        <v>22576</v>
      </c>
      <c r="E4991" s="41">
        <v>0.15</v>
      </c>
      <c r="F4991" s="40"/>
      <c r="G4991" s="41"/>
      <c r="H4991" s="40"/>
      <c r="I4991" s="41"/>
      <c r="J4991" s="41">
        <f t="shared" si="19"/>
        <v>0.15</v>
      </c>
      <c r="K4991" s="42" t="s">
        <v>5796</v>
      </c>
      <c r="L4991" s="39">
        <v>4989</v>
      </c>
    </row>
    <row r="4992" spans="1:12" ht="11.25" customHeight="1">
      <c r="A4992" s="39">
        <v>4990</v>
      </c>
      <c r="B4992" s="40" t="s">
        <v>22577</v>
      </c>
      <c r="C4992" s="40" t="s">
        <v>22578</v>
      </c>
      <c r="D4992" s="40" t="s">
        <v>22579</v>
      </c>
      <c r="E4992" s="41">
        <v>0.15</v>
      </c>
      <c r="F4992" s="40"/>
      <c r="G4992" s="41"/>
      <c r="H4992" s="40"/>
      <c r="I4992" s="41"/>
      <c r="J4992" s="41">
        <f t="shared" si="19"/>
        <v>0.15</v>
      </c>
      <c r="K4992" s="42" t="s">
        <v>5796</v>
      </c>
      <c r="L4992" s="39">
        <v>4990</v>
      </c>
    </row>
    <row r="4993" spans="1:12" ht="11.25" customHeight="1">
      <c r="A4993" s="39">
        <v>4991</v>
      </c>
      <c r="B4993" s="52" t="s">
        <v>22580</v>
      </c>
      <c r="C4993" s="52" t="s">
        <v>22581</v>
      </c>
      <c r="D4993" s="40"/>
      <c r="E4993" s="41"/>
      <c r="F4993" s="40"/>
      <c r="G4993" s="41"/>
      <c r="H4993" s="52" t="s">
        <v>22582</v>
      </c>
      <c r="I4993" s="53">
        <v>0.13736249999999994</v>
      </c>
      <c r="J4993" s="41">
        <f t="shared" si="19"/>
        <v>0.13736249999999994</v>
      </c>
      <c r="K4993" s="42" t="s">
        <v>5796</v>
      </c>
      <c r="L4993" s="39">
        <v>4991</v>
      </c>
    </row>
    <row r="4994" spans="1:12" ht="11.25" customHeight="1">
      <c r="A4994" s="39">
        <v>4992</v>
      </c>
      <c r="B4994" s="40" t="s">
        <v>22583</v>
      </c>
      <c r="C4994" s="40" t="s">
        <v>22584</v>
      </c>
      <c r="D4994" s="40" t="s">
        <v>22585</v>
      </c>
      <c r="E4994" s="41">
        <v>0.13</v>
      </c>
      <c r="F4994" s="40"/>
      <c r="G4994" s="41"/>
      <c r="H4994" s="40"/>
      <c r="I4994" s="41"/>
      <c r="J4994" s="41">
        <f t="shared" si="19"/>
        <v>0.13</v>
      </c>
      <c r="K4994" s="42" t="s">
        <v>5796</v>
      </c>
      <c r="L4994" s="39">
        <v>4992</v>
      </c>
    </row>
    <row r="4995" spans="1:12" ht="11.25" customHeight="1">
      <c r="A4995" s="39">
        <v>4993</v>
      </c>
      <c r="B4995" s="52" t="s">
        <v>10211</v>
      </c>
      <c r="C4995" s="52" t="s">
        <v>22586</v>
      </c>
      <c r="D4995" s="40"/>
      <c r="E4995" s="41"/>
      <c r="F4995" s="40"/>
      <c r="G4995" s="41"/>
      <c r="H4995" s="52" t="s">
        <v>22587</v>
      </c>
      <c r="I4995" s="53">
        <v>0.125</v>
      </c>
      <c r="J4995" s="41">
        <f t="shared" si="19"/>
        <v>0.125</v>
      </c>
      <c r="K4995" s="42" t="s">
        <v>5796</v>
      </c>
      <c r="L4995" s="39">
        <v>4993</v>
      </c>
    </row>
    <row r="4996" spans="1:12" ht="11.25" customHeight="1">
      <c r="A4996" s="39">
        <v>4994</v>
      </c>
      <c r="B4996" s="40" t="s">
        <v>22588</v>
      </c>
      <c r="C4996" s="40" t="s">
        <v>22589</v>
      </c>
      <c r="D4996" s="40" t="s">
        <v>22590</v>
      </c>
      <c r="E4996" s="41">
        <v>0.12</v>
      </c>
      <c r="F4996" s="40"/>
      <c r="G4996" s="41"/>
      <c r="H4996" s="40"/>
      <c r="I4996" s="41"/>
      <c r="J4996" s="41">
        <f t="shared" si="19"/>
        <v>0.12</v>
      </c>
      <c r="K4996" s="42" t="s">
        <v>5796</v>
      </c>
      <c r="L4996" s="39">
        <v>4994</v>
      </c>
    </row>
    <row r="4997" spans="1:12" ht="11.25" customHeight="1">
      <c r="A4997" s="39">
        <v>4995</v>
      </c>
      <c r="B4997" s="40" t="s">
        <v>22591</v>
      </c>
      <c r="C4997" s="40" t="s">
        <v>22592</v>
      </c>
      <c r="D4997" s="40" t="s">
        <v>22593</v>
      </c>
      <c r="E4997" s="41">
        <v>0.11</v>
      </c>
      <c r="F4997" s="40"/>
      <c r="G4997" s="41"/>
      <c r="H4997" s="40"/>
      <c r="I4997" s="41"/>
      <c r="J4997" s="41">
        <f t="shared" si="19"/>
        <v>0.11</v>
      </c>
      <c r="K4997" s="42" t="s">
        <v>5796</v>
      </c>
      <c r="L4997" s="39">
        <v>4995</v>
      </c>
    </row>
    <row r="4998" spans="1:12" ht="11.25" customHeight="1">
      <c r="A4998" s="39">
        <v>4996</v>
      </c>
      <c r="B4998" s="40" t="s">
        <v>22594</v>
      </c>
      <c r="C4998" s="40" t="s">
        <v>22595</v>
      </c>
      <c r="D4998" s="40" t="s">
        <v>22596</v>
      </c>
      <c r="E4998" s="41">
        <v>0.11</v>
      </c>
      <c r="F4998" s="40"/>
      <c r="G4998" s="41"/>
      <c r="H4998" s="40"/>
      <c r="I4998" s="41"/>
      <c r="J4998" s="41">
        <f t="shared" si="19"/>
        <v>0.11</v>
      </c>
      <c r="K4998" s="42" t="s">
        <v>5796</v>
      </c>
      <c r="L4998" s="39">
        <v>4996</v>
      </c>
    </row>
    <row r="4999" spans="1:12" ht="11.25" customHeight="1">
      <c r="A4999" s="39">
        <v>4997</v>
      </c>
      <c r="B4999" s="40" t="s">
        <v>22597</v>
      </c>
      <c r="C4999" s="40" t="s">
        <v>22598</v>
      </c>
      <c r="D4999" s="40" t="s">
        <v>22599</v>
      </c>
      <c r="E4999" s="41">
        <v>0.1</v>
      </c>
      <c r="F4999" s="40"/>
      <c r="G4999" s="41"/>
      <c r="H4999" s="40"/>
      <c r="I4999" s="41"/>
      <c r="J4999" s="41">
        <f t="shared" si="19"/>
        <v>0.1</v>
      </c>
      <c r="K4999" s="42" t="s">
        <v>5796</v>
      </c>
      <c r="L4999" s="39">
        <v>4997</v>
      </c>
    </row>
    <row r="5000" spans="1:12" ht="11.25" customHeight="1">
      <c r="A5000" s="39">
        <v>4998</v>
      </c>
      <c r="B5000" s="40" t="s">
        <v>22600</v>
      </c>
      <c r="C5000" s="40" t="s">
        <v>22601</v>
      </c>
      <c r="D5000" s="40" t="s">
        <v>22602</v>
      </c>
      <c r="E5000" s="41">
        <v>0.09</v>
      </c>
      <c r="F5000" s="40"/>
      <c r="G5000" s="41"/>
      <c r="H5000" s="40"/>
      <c r="I5000" s="41"/>
      <c r="J5000" s="41">
        <f t="shared" si="19"/>
        <v>0.09</v>
      </c>
      <c r="K5000" s="42" t="s">
        <v>5796</v>
      </c>
      <c r="L5000" s="39">
        <v>4998</v>
      </c>
    </row>
    <row r="5001" spans="1:12" ht="11.25" customHeight="1">
      <c r="A5001" s="39">
        <v>4999</v>
      </c>
      <c r="B5001" s="40" t="s">
        <v>22603</v>
      </c>
      <c r="C5001" s="40" t="s">
        <v>22604</v>
      </c>
      <c r="D5001" s="40" t="s">
        <v>22605</v>
      </c>
      <c r="E5001" s="41">
        <v>0.09</v>
      </c>
      <c r="F5001" s="40"/>
      <c r="G5001" s="41"/>
      <c r="H5001" s="40"/>
      <c r="I5001" s="41"/>
      <c r="J5001" s="41">
        <f t="shared" si="19"/>
        <v>0.09</v>
      </c>
      <c r="K5001" s="42" t="s">
        <v>5796</v>
      </c>
      <c r="L5001" s="39">
        <v>4999</v>
      </c>
    </row>
    <row r="5002" spans="1:12" ht="11.25" customHeight="1">
      <c r="A5002" s="39">
        <v>5000</v>
      </c>
      <c r="B5002" s="40" t="s">
        <v>22606</v>
      </c>
      <c r="C5002" s="40" t="s">
        <v>22607</v>
      </c>
      <c r="D5002" s="40" t="s">
        <v>22608</v>
      </c>
      <c r="E5002" s="41">
        <v>0.09</v>
      </c>
      <c r="F5002" s="40"/>
      <c r="G5002" s="41"/>
      <c r="H5002" s="40"/>
      <c r="I5002" s="41"/>
      <c r="J5002" s="41">
        <f t="shared" si="19"/>
        <v>0.09</v>
      </c>
      <c r="K5002" s="42" t="s">
        <v>5796</v>
      </c>
      <c r="L5002" s="39">
        <v>5000</v>
      </c>
    </row>
    <row r="5003" spans="1:12" ht="11.25" customHeight="1">
      <c r="A5003" s="39">
        <v>5001</v>
      </c>
      <c r="B5003" s="52" t="s">
        <v>10209</v>
      </c>
      <c r="C5003" s="52" t="s">
        <v>22609</v>
      </c>
      <c r="D5003" s="40"/>
      <c r="E5003" s="41"/>
      <c r="F5003" s="40"/>
      <c r="G5003" s="41"/>
      <c r="H5003" s="52" t="s">
        <v>22610</v>
      </c>
      <c r="I5003" s="53">
        <v>8.8099403225806394E-2</v>
      </c>
      <c r="J5003" s="41">
        <f t="shared" si="19"/>
        <v>8.8099403225806394E-2</v>
      </c>
      <c r="K5003" s="42" t="s">
        <v>5796</v>
      </c>
      <c r="L5003" s="39">
        <v>5001</v>
      </c>
    </row>
    <row r="5004" spans="1:12" ht="11.25" customHeight="1">
      <c r="A5004" s="39">
        <v>5002</v>
      </c>
      <c r="B5004" s="40" t="s">
        <v>22611</v>
      </c>
      <c r="C5004" s="40" t="s">
        <v>22612</v>
      </c>
      <c r="D5004" s="40" t="s">
        <v>22613</v>
      </c>
      <c r="E5004" s="41">
        <v>0.08</v>
      </c>
      <c r="F5004" s="40"/>
      <c r="G5004" s="41"/>
      <c r="H5004" s="40"/>
      <c r="I5004" s="41"/>
      <c r="J5004" s="41">
        <f t="shared" si="19"/>
        <v>0.08</v>
      </c>
      <c r="K5004" s="42" t="s">
        <v>5796</v>
      </c>
      <c r="L5004" s="39">
        <v>5002</v>
      </c>
    </row>
    <row r="5005" spans="1:12" ht="11.25" customHeight="1">
      <c r="A5005" s="39">
        <v>5003</v>
      </c>
      <c r="B5005" s="40" t="s">
        <v>22614</v>
      </c>
      <c r="C5005" s="40" t="s">
        <v>22615</v>
      </c>
      <c r="D5005" s="40" t="s">
        <v>22616</v>
      </c>
      <c r="E5005" s="41">
        <v>0.08</v>
      </c>
      <c r="F5005" s="40"/>
      <c r="G5005" s="41"/>
      <c r="H5005" s="40"/>
      <c r="I5005" s="41"/>
      <c r="J5005" s="41">
        <f t="shared" si="19"/>
        <v>0.08</v>
      </c>
      <c r="K5005" s="42" t="s">
        <v>5796</v>
      </c>
      <c r="L5005" s="39">
        <v>5003</v>
      </c>
    </row>
    <row r="5006" spans="1:12" ht="11.25" customHeight="1">
      <c r="A5006" s="39">
        <v>5004</v>
      </c>
      <c r="B5006" s="40" t="s">
        <v>22617</v>
      </c>
      <c r="C5006" s="40" t="s">
        <v>22618</v>
      </c>
      <c r="D5006" s="40" t="s">
        <v>22619</v>
      </c>
      <c r="E5006" s="41">
        <v>0.08</v>
      </c>
      <c r="F5006" s="40"/>
      <c r="G5006" s="41"/>
      <c r="H5006" s="40"/>
      <c r="I5006" s="41"/>
      <c r="J5006" s="41">
        <f t="shared" si="19"/>
        <v>0.08</v>
      </c>
      <c r="K5006" s="42" t="s">
        <v>5796</v>
      </c>
      <c r="L5006" s="39">
        <v>5004</v>
      </c>
    </row>
    <row r="5007" spans="1:12" ht="11.25" customHeight="1">
      <c r="A5007" s="39">
        <v>5005</v>
      </c>
      <c r="B5007" s="40" t="s">
        <v>22620</v>
      </c>
      <c r="C5007" s="40" t="s">
        <v>22621</v>
      </c>
      <c r="D5007" s="40" t="s">
        <v>22622</v>
      </c>
      <c r="E5007" s="41">
        <v>0.08</v>
      </c>
      <c r="F5007" s="40"/>
      <c r="G5007" s="41"/>
      <c r="H5007" s="40"/>
      <c r="I5007" s="41"/>
      <c r="J5007" s="41">
        <f t="shared" si="19"/>
        <v>0.08</v>
      </c>
      <c r="K5007" s="42" t="s">
        <v>5796</v>
      </c>
      <c r="L5007" s="39">
        <v>5005</v>
      </c>
    </row>
    <row r="5008" spans="1:12" ht="11.25" customHeight="1">
      <c r="A5008" s="39">
        <v>5006</v>
      </c>
      <c r="B5008" s="40" t="s">
        <v>22623</v>
      </c>
      <c r="C5008" s="40" t="s">
        <v>22624</v>
      </c>
      <c r="D5008" s="40" t="s">
        <v>22625</v>
      </c>
      <c r="E5008" s="41">
        <v>7.0000000000000007E-2</v>
      </c>
      <c r="F5008" s="40"/>
      <c r="G5008" s="41"/>
      <c r="H5008" s="40"/>
      <c r="I5008" s="41"/>
      <c r="J5008" s="41">
        <f t="shared" si="19"/>
        <v>7.0000000000000007E-2</v>
      </c>
      <c r="K5008" s="42" t="s">
        <v>5796</v>
      </c>
      <c r="L5008" s="39">
        <v>5006</v>
      </c>
    </row>
    <row r="5009" spans="1:12" ht="11.25" customHeight="1">
      <c r="A5009" s="39">
        <v>5007</v>
      </c>
      <c r="B5009" s="40" t="s">
        <v>22626</v>
      </c>
      <c r="C5009" s="40" t="s">
        <v>22627</v>
      </c>
      <c r="D5009" s="40" t="s">
        <v>22628</v>
      </c>
      <c r="E5009" s="41">
        <v>0.06</v>
      </c>
      <c r="F5009" s="40"/>
      <c r="G5009" s="41"/>
      <c r="H5009" s="40"/>
      <c r="I5009" s="41"/>
      <c r="J5009" s="41">
        <f t="shared" si="19"/>
        <v>0.06</v>
      </c>
      <c r="K5009" s="42" t="s">
        <v>5796</v>
      </c>
      <c r="L5009" s="39">
        <v>5007</v>
      </c>
    </row>
    <row r="5010" spans="1:12" ht="11.25" customHeight="1">
      <c r="A5010" s="39">
        <v>5008</v>
      </c>
      <c r="B5010" s="40" t="s">
        <v>22629</v>
      </c>
      <c r="C5010" s="40" t="s">
        <v>22630</v>
      </c>
      <c r="D5010" s="40" t="s">
        <v>22631</v>
      </c>
      <c r="E5010" s="41">
        <v>0.05</v>
      </c>
      <c r="F5010" s="40"/>
      <c r="G5010" s="41"/>
      <c r="H5010" s="40"/>
      <c r="I5010" s="41"/>
      <c r="J5010" s="41">
        <f t="shared" si="19"/>
        <v>0.05</v>
      </c>
      <c r="K5010" s="42" t="s">
        <v>5796</v>
      </c>
      <c r="L5010" s="39">
        <v>5008</v>
      </c>
    </row>
    <row r="5011" spans="1:12" ht="11.25" customHeight="1">
      <c r="A5011" s="39">
        <v>5009</v>
      </c>
      <c r="B5011" s="40" t="s">
        <v>10229</v>
      </c>
      <c r="C5011" s="40" t="s">
        <v>22632</v>
      </c>
      <c r="D5011" s="40" t="s">
        <v>22633</v>
      </c>
      <c r="E5011" s="41">
        <v>0.03</v>
      </c>
      <c r="F5011" s="40"/>
      <c r="G5011" s="41"/>
      <c r="H5011" s="40"/>
      <c r="I5011" s="41"/>
      <c r="J5011" s="41">
        <f t="shared" si="19"/>
        <v>0.03</v>
      </c>
      <c r="K5011" s="42" t="s">
        <v>5796</v>
      </c>
      <c r="L5011" s="39">
        <v>5009</v>
      </c>
    </row>
    <row r="5012" spans="1:12" ht="11.25" customHeight="1">
      <c r="A5012" s="39">
        <v>5010</v>
      </c>
      <c r="B5012" s="40" t="s">
        <v>22634</v>
      </c>
      <c r="C5012" s="40" t="s">
        <v>22635</v>
      </c>
      <c r="D5012" s="40" t="s">
        <v>22636</v>
      </c>
      <c r="E5012" s="41">
        <v>0.02</v>
      </c>
      <c r="F5012" s="40"/>
      <c r="G5012" s="41"/>
      <c r="H5012" s="40"/>
      <c r="I5012" s="41"/>
      <c r="J5012" s="41">
        <f t="shared" si="19"/>
        <v>0.02</v>
      </c>
      <c r="K5012" s="42" t="s">
        <v>5796</v>
      </c>
      <c r="L5012" s="39">
        <v>5010</v>
      </c>
    </row>
    <row r="5013" spans="1:12" ht="11.25" customHeight="1">
      <c r="A5013" s="39">
        <v>5011</v>
      </c>
      <c r="B5013" s="40" t="s">
        <v>22637</v>
      </c>
      <c r="C5013" s="40" t="s">
        <v>22638</v>
      </c>
      <c r="D5013" s="40" t="s">
        <v>22639</v>
      </c>
      <c r="E5013" s="41">
        <v>0</v>
      </c>
      <c r="F5013" s="40"/>
      <c r="G5013" s="41"/>
      <c r="H5013" s="40"/>
      <c r="I5013" s="41"/>
      <c r="J5013" s="41">
        <f t="shared" si="19"/>
        <v>0</v>
      </c>
      <c r="K5013" s="42" t="s">
        <v>5796</v>
      </c>
      <c r="L5013" s="39">
        <v>5011</v>
      </c>
    </row>
    <row r="5014" spans="1:12" ht="11.25" customHeight="1">
      <c r="A5014" s="39">
        <v>5012</v>
      </c>
      <c r="B5014" s="40" t="s">
        <v>22640</v>
      </c>
      <c r="C5014" s="40" t="s">
        <v>22641</v>
      </c>
      <c r="D5014" s="40" t="s">
        <v>22642</v>
      </c>
      <c r="E5014" s="41">
        <v>0</v>
      </c>
      <c r="F5014" s="40"/>
      <c r="G5014" s="41"/>
      <c r="H5014" s="40"/>
      <c r="I5014" s="41"/>
      <c r="J5014" s="41">
        <f t="shared" si="19"/>
        <v>0</v>
      </c>
      <c r="K5014" s="42" t="s">
        <v>5796</v>
      </c>
      <c r="L5014" s="39">
        <v>5012</v>
      </c>
    </row>
  </sheetData>
  <pageMargins left="0.70866141732283472" right="0.70866141732283472" top="0.74803149606299213" bottom="0.74803149606299213" header="0" footer="0"/>
  <pageSetup paperSize="9" orientation="portrait"/>
  <rowBreaks count="1" manualBreakCount="1">
    <brk id="10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 CAP DATA</vt:lpstr>
      <vt:lpstr>(W1)Exp 0501</vt:lpstr>
      <vt:lpstr>% Week</vt:lpstr>
      <vt:lpstr>AMFI DATA_2023H1</vt:lpstr>
      <vt:lpstr>Ticker name</vt:lpstr>
      <vt:lpstr>AMFI DATA_2023H2</vt:lpstr>
      <vt:lpstr>'Ticker name'!Company_name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Vetri Vj</dc:creator>
  <cp:lastModifiedBy>Vetri Vj</cp:lastModifiedBy>
  <dcterms:created xsi:type="dcterms:W3CDTF">2024-01-21T07:03:27Z</dcterms:created>
  <dcterms:modified xsi:type="dcterms:W3CDTF">2024-01-21T07:03:27Z</dcterms:modified>
</cp:coreProperties>
</file>